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ms-office.chartcolorstyle+xml" PartName="/xl/charts/colors1.xml"/>
  <Override ContentType="application/vnd.ms-office.chartcolorstyle+xml" PartName="/xl/charts/colors2.xml"/>
  <Override ContentType="application/vnd.ms-office.chartcolorstyle+xml" PartName="/xl/charts/colors3.xml"/>
  <Override ContentType="application/vnd.ms-office.chartcolorstyle+xml" PartName="/xl/charts/colors4.xml"/>
  <Override ContentType="application/vnd.ms-office.chartcolorstyle+xml" PartName="/xl/charts/colors5.xml"/>
  <Override ContentType="application/vnd.ms-office.chartcolorstyle+xml" PartName="/xl/charts/colors6.xml"/>
  <Override ContentType="application/vnd.ms-office.chartcolorstyle+xml" PartName="/xl/charts/colors7.xml"/>
  <Override ContentType="application/vnd.ms-office.chartstyle+xml" PartName="/xl/charts/style1.xml"/>
  <Override ContentType="application/vnd.ms-office.chartstyle+xml" PartName="/xl/charts/style2.xml"/>
  <Override ContentType="application/vnd.ms-office.chartstyle+xml" PartName="/xl/charts/style3.xml"/>
  <Override ContentType="application/vnd.ms-office.chartstyle+xml" PartName="/xl/charts/style4.xml"/>
  <Override ContentType="application/vnd.ms-office.chartstyle+xml" PartName="/xl/charts/style5.xml"/>
  <Override ContentType="application/vnd.ms-office.chartstyle+xml" PartName="/xl/charts/style6.xml"/>
  <Override ContentType="application/vnd.ms-office.chartstyle+xml" PartName="/xl/charts/style7.xml"/>
  <Override ContentType="application/vnd.openxmlformats-officedocument.drawing+xml" PartName="/xl/drawings/drawing1.xml"/>
  <Override ContentType="application/vnd.openxmlformats-officedocument.drawingml.chartshapes+xml" PartName="/xl/drawings/drawing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&#65279;<?xml version="1.0" encoding="utf-8" standalone="yes"?>
<Relationships xmlns="http://schemas.openxmlformats.org/package/2006/relationships">
  <Relationship Id="rId1" Target="xl/workbook.xml" Type="http://schemas.openxmlformats.org/officeDocument/2006/relationships/officeDocument" />
  <Relationship Id="rId4" Target="docProps/custom.xml" Type="http://schemas.openxmlformats.org/officeDocument/2006/relationships/custom-properties"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seminar\Desktop\"/>
    </mc:Choice>
  </mc:AlternateContent>
  <xr:revisionPtr revIDLastSave="0" documentId="13_ncr:1_{345343B1-AC46-4821-83FA-58DE4BE23898}" xr6:coauthVersionLast="47" xr6:coauthVersionMax="47" xr10:uidLastSave="{00000000-0000-0000-0000-000000000000}"/>
  <bookViews>
    <workbookView xWindow="-108" yWindow="-108" windowWidth="23256" windowHeight="12456" tabRatio="1000" xr2:uid="{0D921B40-A92F-3C4C-BB58-FE1329FAA155}"/>
  </bookViews>
  <sheets>
    <sheet name="分析結果" sheetId="11" r:id="rId1"/>
    <sheet name="入力シート" sheetId="7" r:id="rId2"/>
    <sheet name="従業員情報(給与以外)" sheetId="2" r:id="rId3"/>
    <sheet name="従業員の給与情報" sheetId="3" r:id="rId4"/>
    <sheet name="入力リスト" sheetId="10" state="hidden" r:id="rId5"/>
    <sheet name="エラー表示用" sheetId="40" state="hidden" r:id="rId6"/>
    <sheet name="賃構DB" sheetId="38" state="hidden" r:id="rId7"/>
    <sheet name="雇動DB" sheetId="43" state="hidden" r:id="rId8"/>
    <sheet name="計算" sheetId="12" state="hidden" r:id="rId9"/>
  </sheets>
  <definedNames>
    <definedName name="_xlnm._FilterDatabase" localSheetId="5" hidden="1">エラー表示用!$B$3:$XFD$24</definedName>
    <definedName name="_xlnm._FilterDatabase" localSheetId="8" hidden="1">計算!$A$7:$U$130</definedName>
    <definedName name="_xlnm._FilterDatabase" localSheetId="3" hidden="1">従業員の給与情報!$A$3:$P$2225</definedName>
    <definedName name="_xlnm._FilterDatabase" localSheetId="2" hidden="1">'従業員情報(給与以外)'!$A$3:$E$870</definedName>
    <definedName name="_xlnm._FilterDatabase" localSheetId="6" hidden="1">賃構DB!$3:$4476</definedName>
    <definedName name="_xlnm.Print_Area" localSheetId="3">従業員の給与情報!$A$1:$F$2502</definedName>
    <definedName name="_xlnm.Print_Area" localSheetId="2">'従業員情報(給与以外)'!$A$1:$E$502</definedName>
    <definedName name="_xlnm.Print_Area" localSheetId="1">入力シート!$A$1:$BI$118</definedName>
    <definedName name="_xlnm.Print_Area" localSheetId="0">分析結果!$A$1:$BG$55</definedName>
    <definedName name="_xlnm.Print_Titles" localSheetId="0">分析結果!$1:$1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03" i="2" l="1"/>
  <c r="O503" i="2"/>
  <c r="P503" i="2"/>
  <c r="Q503" i="2" s="1"/>
  <c r="R503" i="2"/>
  <c r="S503" i="2"/>
  <c r="T503" i="2"/>
  <c r="U503" i="2"/>
  <c r="V503" i="2"/>
  <c r="W503" i="2"/>
  <c r="G504" i="2"/>
  <c r="O504" i="2"/>
  <c r="P504" i="2"/>
  <c r="Q504" i="2" s="1"/>
  <c r="R504" i="2"/>
  <c r="S504" i="2"/>
  <c r="T504" i="2"/>
  <c r="U504" i="2"/>
  <c r="V504" i="2"/>
  <c r="W504" i="2"/>
  <c r="G505" i="2"/>
  <c r="O505" i="2"/>
  <c r="P505" i="2"/>
  <c r="Q505" i="2"/>
  <c r="R505" i="2"/>
  <c r="S505" i="2"/>
  <c r="T505" i="2"/>
  <c r="U505" i="2"/>
  <c r="V505" i="2"/>
  <c r="W505" i="2"/>
  <c r="G506" i="2"/>
  <c r="O506" i="2"/>
  <c r="P506" i="2"/>
  <c r="Q506" i="2" s="1"/>
  <c r="R506" i="2"/>
  <c r="S506" i="2"/>
  <c r="T506" i="2"/>
  <c r="U506" i="2"/>
  <c r="V506" i="2"/>
  <c r="W506" i="2"/>
  <c r="G507" i="2"/>
  <c r="O507" i="2"/>
  <c r="P507" i="2"/>
  <c r="Q507" i="2" s="1"/>
  <c r="R507" i="2"/>
  <c r="S507" i="2"/>
  <c r="T507" i="2"/>
  <c r="U507" i="2"/>
  <c r="V507" i="2"/>
  <c r="W507" i="2"/>
  <c r="G508" i="2"/>
  <c r="O508" i="2"/>
  <c r="P508" i="2"/>
  <c r="Q508" i="2" s="1"/>
  <c r="R508" i="2"/>
  <c r="S508" i="2"/>
  <c r="T508" i="2"/>
  <c r="U508" i="2"/>
  <c r="V508" i="2"/>
  <c r="W508" i="2"/>
  <c r="G509" i="2"/>
  <c r="O509" i="2"/>
  <c r="P509" i="2"/>
  <c r="Q509" i="2" s="1"/>
  <c r="R509" i="2"/>
  <c r="S509" i="2"/>
  <c r="T509" i="2"/>
  <c r="U509" i="2"/>
  <c r="V509" i="2"/>
  <c r="W509" i="2"/>
  <c r="G510" i="2"/>
  <c r="O510" i="2"/>
  <c r="P510" i="2"/>
  <c r="Q510" i="2" s="1"/>
  <c r="R510" i="2"/>
  <c r="S510" i="2"/>
  <c r="T510" i="2"/>
  <c r="U510" i="2"/>
  <c r="V510" i="2"/>
  <c r="W510" i="2"/>
  <c r="G511" i="2"/>
  <c r="O511" i="2"/>
  <c r="P511" i="2"/>
  <c r="Q511" i="2" s="1"/>
  <c r="R511" i="2"/>
  <c r="S511" i="2"/>
  <c r="T511" i="2"/>
  <c r="U511" i="2"/>
  <c r="V511" i="2"/>
  <c r="W511" i="2"/>
  <c r="G512" i="2"/>
  <c r="O512" i="2"/>
  <c r="P512" i="2"/>
  <c r="Q512" i="2" s="1"/>
  <c r="R512" i="2"/>
  <c r="S512" i="2"/>
  <c r="T512" i="2"/>
  <c r="U512" i="2"/>
  <c r="V512" i="2"/>
  <c r="W512" i="2"/>
  <c r="G513" i="2"/>
  <c r="O513" i="2"/>
  <c r="P513" i="2"/>
  <c r="Q513" i="2" s="1"/>
  <c r="R513" i="2"/>
  <c r="S513" i="2"/>
  <c r="T513" i="2"/>
  <c r="U513" i="2"/>
  <c r="V513" i="2"/>
  <c r="W513" i="2"/>
  <c r="G514" i="2"/>
  <c r="O514" i="2"/>
  <c r="P514" i="2"/>
  <c r="Q514" i="2" s="1"/>
  <c r="R514" i="2"/>
  <c r="S514" i="2"/>
  <c r="T514" i="2"/>
  <c r="U514" i="2"/>
  <c r="V514" i="2"/>
  <c r="W514" i="2"/>
  <c r="G515" i="2"/>
  <c r="O515" i="2"/>
  <c r="P515" i="2"/>
  <c r="Q515" i="2"/>
  <c r="R515" i="2"/>
  <c r="S515" i="2"/>
  <c r="T515" i="2"/>
  <c r="U515" i="2"/>
  <c r="V515" i="2"/>
  <c r="W515" i="2"/>
  <c r="G516" i="2"/>
  <c r="O516" i="2"/>
  <c r="P516" i="2"/>
  <c r="Q516" i="2" s="1"/>
  <c r="R516" i="2"/>
  <c r="S516" i="2"/>
  <c r="T516" i="2"/>
  <c r="U516" i="2"/>
  <c r="V516" i="2"/>
  <c r="W516" i="2"/>
  <c r="G517" i="2"/>
  <c r="O517" i="2"/>
  <c r="P517" i="2"/>
  <c r="Q517" i="2" s="1"/>
  <c r="R517" i="2"/>
  <c r="S517" i="2"/>
  <c r="T517" i="2"/>
  <c r="U517" i="2"/>
  <c r="V517" i="2"/>
  <c r="W517" i="2"/>
  <c r="G518" i="2"/>
  <c r="O518" i="2"/>
  <c r="P518" i="2"/>
  <c r="Q518" i="2" s="1"/>
  <c r="R518" i="2"/>
  <c r="S518" i="2"/>
  <c r="T518" i="2"/>
  <c r="U518" i="2"/>
  <c r="V518" i="2"/>
  <c r="W518" i="2"/>
  <c r="G519" i="2"/>
  <c r="O519" i="2"/>
  <c r="P519" i="2"/>
  <c r="Q519" i="2" s="1"/>
  <c r="R519" i="2"/>
  <c r="S519" i="2"/>
  <c r="T519" i="2"/>
  <c r="U519" i="2"/>
  <c r="V519" i="2"/>
  <c r="W519" i="2"/>
  <c r="G520" i="2"/>
  <c r="O520" i="2"/>
  <c r="P520" i="2"/>
  <c r="Q520" i="2" s="1"/>
  <c r="R520" i="2"/>
  <c r="S520" i="2"/>
  <c r="T520" i="2"/>
  <c r="U520" i="2"/>
  <c r="V520" i="2"/>
  <c r="W520" i="2"/>
  <c r="G521" i="2"/>
  <c r="O521" i="2"/>
  <c r="P521" i="2"/>
  <c r="Q521" i="2" s="1"/>
  <c r="R521" i="2"/>
  <c r="S521" i="2"/>
  <c r="T521" i="2"/>
  <c r="U521" i="2"/>
  <c r="V521" i="2"/>
  <c r="W521" i="2"/>
  <c r="G522" i="2"/>
  <c r="O522" i="2"/>
  <c r="P522" i="2"/>
  <c r="Q522" i="2" s="1"/>
  <c r="R522" i="2"/>
  <c r="S522" i="2"/>
  <c r="T522" i="2"/>
  <c r="U522" i="2"/>
  <c r="V522" i="2"/>
  <c r="W522" i="2"/>
  <c r="G523" i="2"/>
  <c r="O523" i="2"/>
  <c r="P523" i="2"/>
  <c r="Q523" i="2" s="1"/>
  <c r="R523" i="2"/>
  <c r="S523" i="2"/>
  <c r="T523" i="2"/>
  <c r="U523" i="2"/>
  <c r="V523" i="2"/>
  <c r="W523" i="2"/>
  <c r="G524" i="2"/>
  <c r="O524" i="2"/>
  <c r="P524" i="2"/>
  <c r="Q524" i="2" s="1"/>
  <c r="R524" i="2"/>
  <c r="S524" i="2"/>
  <c r="T524" i="2"/>
  <c r="U524" i="2"/>
  <c r="V524" i="2"/>
  <c r="W524" i="2"/>
  <c r="G525" i="2"/>
  <c r="O525" i="2"/>
  <c r="P525" i="2"/>
  <c r="Q525" i="2" s="1"/>
  <c r="R525" i="2"/>
  <c r="S525" i="2"/>
  <c r="T525" i="2"/>
  <c r="U525" i="2"/>
  <c r="V525" i="2"/>
  <c r="W525" i="2"/>
  <c r="G526" i="2"/>
  <c r="O526" i="2"/>
  <c r="P526" i="2"/>
  <c r="Q526" i="2" s="1"/>
  <c r="R526" i="2"/>
  <c r="S526" i="2"/>
  <c r="T526" i="2"/>
  <c r="U526" i="2"/>
  <c r="V526" i="2"/>
  <c r="W526" i="2"/>
  <c r="G527" i="2"/>
  <c r="O527" i="2"/>
  <c r="P527" i="2"/>
  <c r="Q527" i="2" s="1"/>
  <c r="R527" i="2"/>
  <c r="S527" i="2"/>
  <c r="T527" i="2"/>
  <c r="U527" i="2"/>
  <c r="V527" i="2"/>
  <c r="W527" i="2"/>
  <c r="G528" i="2"/>
  <c r="O528" i="2"/>
  <c r="P528" i="2"/>
  <c r="Q528" i="2" s="1"/>
  <c r="R528" i="2"/>
  <c r="S528" i="2"/>
  <c r="T528" i="2"/>
  <c r="U528" i="2"/>
  <c r="V528" i="2"/>
  <c r="W528" i="2"/>
  <c r="G529" i="2"/>
  <c r="O529" i="2"/>
  <c r="P529" i="2"/>
  <c r="Q529" i="2" s="1"/>
  <c r="R529" i="2"/>
  <c r="S529" i="2"/>
  <c r="T529" i="2"/>
  <c r="U529" i="2"/>
  <c r="V529" i="2"/>
  <c r="W529" i="2"/>
  <c r="G530" i="2"/>
  <c r="O530" i="2"/>
  <c r="P530" i="2"/>
  <c r="Q530" i="2" s="1"/>
  <c r="R530" i="2"/>
  <c r="S530" i="2"/>
  <c r="T530" i="2"/>
  <c r="U530" i="2"/>
  <c r="V530" i="2"/>
  <c r="W530" i="2"/>
  <c r="G531" i="2"/>
  <c r="O531" i="2"/>
  <c r="P531" i="2"/>
  <c r="Q531" i="2" s="1"/>
  <c r="R531" i="2"/>
  <c r="S531" i="2"/>
  <c r="T531" i="2"/>
  <c r="U531" i="2"/>
  <c r="V531" i="2"/>
  <c r="W531" i="2"/>
  <c r="G532" i="2"/>
  <c r="O532" i="2"/>
  <c r="P532" i="2"/>
  <c r="Q532" i="2" s="1"/>
  <c r="R532" i="2"/>
  <c r="S532" i="2"/>
  <c r="T532" i="2"/>
  <c r="U532" i="2"/>
  <c r="V532" i="2"/>
  <c r="W532" i="2"/>
  <c r="G533" i="2"/>
  <c r="O533" i="2"/>
  <c r="P533" i="2"/>
  <c r="Q533" i="2" s="1"/>
  <c r="R533" i="2"/>
  <c r="S533" i="2"/>
  <c r="T533" i="2"/>
  <c r="U533" i="2"/>
  <c r="V533" i="2"/>
  <c r="W533" i="2"/>
  <c r="G534" i="2"/>
  <c r="O534" i="2"/>
  <c r="P534" i="2"/>
  <c r="Q534" i="2" s="1"/>
  <c r="R534" i="2"/>
  <c r="S534" i="2"/>
  <c r="T534" i="2"/>
  <c r="U534" i="2"/>
  <c r="V534" i="2"/>
  <c r="W534" i="2"/>
  <c r="G535" i="2"/>
  <c r="O535" i="2"/>
  <c r="P535" i="2"/>
  <c r="Q535" i="2" s="1"/>
  <c r="R535" i="2"/>
  <c r="S535" i="2"/>
  <c r="T535" i="2"/>
  <c r="U535" i="2"/>
  <c r="V535" i="2"/>
  <c r="W535" i="2"/>
  <c r="G536" i="2"/>
  <c r="O536" i="2"/>
  <c r="P536" i="2"/>
  <c r="Q536" i="2" s="1"/>
  <c r="R536" i="2"/>
  <c r="S536" i="2"/>
  <c r="T536" i="2"/>
  <c r="U536" i="2"/>
  <c r="V536" i="2"/>
  <c r="W536" i="2"/>
  <c r="G537" i="2"/>
  <c r="O537" i="2"/>
  <c r="P537" i="2"/>
  <c r="Q537" i="2" s="1"/>
  <c r="R537" i="2"/>
  <c r="S537" i="2"/>
  <c r="T537" i="2"/>
  <c r="U537" i="2"/>
  <c r="V537" i="2"/>
  <c r="W537" i="2"/>
  <c r="G538" i="2"/>
  <c r="O538" i="2"/>
  <c r="P538" i="2"/>
  <c r="Q538" i="2" s="1"/>
  <c r="R538" i="2"/>
  <c r="S538" i="2"/>
  <c r="T538" i="2"/>
  <c r="U538" i="2"/>
  <c r="V538" i="2"/>
  <c r="W538" i="2"/>
  <c r="G539" i="2"/>
  <c r="O539" i="2"/>
  <c r="P539" i="2"/>
  <c r="Q539" i="2" s="1"/>
  <c r="R539" i="2"/>
  <c r="S539" i="2"/>
  <c r="T539" i="2"/>
  <c r="U539" i="2"/>
  <c r="V539" i="2"/>
  <c r="W539" i="2"/>
  <c r="G540" i="2"/>
  <c r="O540" i="2"/>
  <c r="P540" i="2"/>
  <c r="Q540" i="2" s="1"/>
  <c r="R540" i="2"/>
  <c r="S540" i="2"/>
  <c r="T540" i="2"/>
  <c r="U540" i="2"/>
  <c r="V540" i="2"/>
  <c r="W540" i="2"/>
  <c r="G541" i="2"/>
  <c r="O541" i="2"/>
  <c r="P541" i="2"/>
  <c r="Q541" i="2" s="1"/>
  <c r="R541" i="2"/>
  <c r="S541" i="2"/>
  <c r="T541" i="2"/>
  <c r="U541" i="2"/>
  <c r="V541" i="2"/>
  <c r="W541" i="2"/>
  <c r="G542" i="2"/>
  <c r="O542" i="2"/>
  <c r="P542" i="2"/>
  <c r="Q542" i="2" s="1"/>
  <c r="R542" i="2"/>
  <c r="S542" i="2"/>
  <c r="T542" i="2"/>
  <c r="U542" i="2"/>
  <c r="V542" i="2"/>
  <c r="W542" i="2"/>
  <c r="G543" i="2"/>
  <c r="O543" i="2"/>
  <c r="P543" i="2"/>
  <c r="Q543" i="2" s="1"/>
  <c r="R543" i="2"/>
  <c r="S543" i="2"/>
  <c r="T543" i="2"/>
  <c r="U543" i="2"/>
  <c r="V543" i="2"/>
  <c r="W543" i="2"/>
  <c r="G544" i="2"/>
  <c r="O544" i="2"/>
  <c r="P544" i="2"/>
  <c r="Q544" i="2" s="1"/>
  <c r="R544" i="2"/>
  <c r="S544" i="2"/>
  <c r="T544" i="2"/>
  <c r="U544" i="2"/>
  <c r="V544" i="2"/>
  <c r="W544" i="2"/>
  <c r="G545" i="2"/>
  <c r="O545" i="2"/>
  <c r="P545" i="2"/>
  <c r="Q545" i="2" s="1"/>
  <c r="R545" i="2"/>
  <c r="S545" i="2"/>
  <c r="T545" i="2"/>
  <c r="U545" i="2"/>
  <c r="V545" i="2"/>
  <c r="W545" i="2"/>
  <c r="G546" i="2"/>
  <c r="O546" i="2"/>
  <c r="P546" i="2"/>
  <c r="Q546" i="2" s="1"/>
  <c r="R546" i="2"/>
  <c r="S546" i="2"/>
  <c r="T546" i="2"/>
  <c r="U546" i="2"/>
  <c r="V546" i="2"/>
  <c r="W546" i="2"/>
  <c r="G547" i="2"/>
  <c r="O547" i="2"/>
  <c r="P547" i="2"/>
  <c r="Q547" i="2" s="1"/>
  <c r="R547" i="2"/>
  <c r="S547" i="2"/>
  <c r="T547" i="2"/>
  <c r="U547" i="2"/>
  <c r="V547" i="2"/>
  <c r="W547" i="2"/>
  <c r="G548" i="2"/>
  <c r="O548" i="2"/>
  <c r="P548" i="2"/>
  <c r="Q548" i="2" s="1"/>
  <c r="R548" i="2"/>
  <c r="S548" i="2"/>
  <c r="T548" i="2"/>
  <c r="U548" i="2"/>
  <c r="V548" i="2"/>
  <c r="W548" i="2"/>
  <c r="G549" i="2"/>
  <c r="O549" i="2"/>
  <c r="P549" i="2"/>
  <c r="Q549" i="2" s="1"/>
  <c r="R549" i="2"/>
  <c r="S549" i="2"/>
  <c r="T549" i="2"/>
  <c r="U549" i="2"/>
  <c r="V549" i="2"/>
  <c r="W549" i="2"/>
  <c r="G550" i="2"/>
  <c r="O550" i="2"/>
  <c r="P550" i="2"/>
  <c r="Q550" i="2" s="1"/>
  <c r="R550" i="2"/>
  <c r="S550" i="2"/>
  <c r="T550" i="2"/>
  <c r="U550" i="2"/>
  <c r="V550" i="2"/>
  <c r="W550" i="2"/>
  <c r="G551" i="2"/>
  <c r="O551" i="2"/>
  <c r="P551" i="2"/>
  <c r="Q551" i="2" s="1"/>
  <c r="R551" i="2"/>
  <c r="S551" i="2"/>
  <c r="T551" i="2"/>
  <c r="U551" i="2"/>
  <c r="V551" i="2"/>
  <c r="W551" i="2"/>
  <c r="G552" i="2"/>
  <c r="O552" i="2"/>
  <c r="P552" i="2"/>
  <c r="Q552" i="2" s="1"/>
  <c r="R552" i="2"/>
  <c r="S552" i="2"/>
  <c r="T552" i="2"/>
  <c r="U552" i="2"/>
  <c r="V552" i="2"/>
  <c r="W552" i="2"/>
  <c r="G553" i="2"/>
  <c r="O553" i="2"/>
  <c r="P553" i="2"/>
  <c r="Q553" i="2" s="1"/>
  <c r="R553" i="2"/>
  <c r="S553" i="2"/>
  <c r="T553" i="2"/>
  <c r="U553" i="2"/>
  <c r="V553" i="2"/>
  <c r="W553" i="2"/>
  <c r="G554" i="2"/>
  <c r="O554" i="2"/>
  <c r="P554" i="2"/>
  <c r="Q554" i="2" s="1"/>
  <c r="R554" i="2"/>
  <c r="S554" i="2"/>
  <c r="T554" i="2"/>
  <c r="U554" i="2"/>
  <c r="V554" i="2"/>
  <c r="W554" i="2"/>
  <c r="G555" i="2"/>
  <c r="O555" i="2"/>
  <c r="P555" i="2"/>
  <c r="Q555" i="2" s="1"/>
  <c r="R555" i="2"/>
  <c r="S555" i="2"/>
  <c r="T555" i="2"/>
  <c r="U555" i="2"/>
  <c r="V555" i="2"/>
  <c r="W555" i="2"/>
  <c r="G556" i="2"/>
  <c r="O556" i="2"/>
  <c r="P556" i="2"/>
  <c r="Q556" i="2" s="1"/>
  <c r="R556" i="2"/>
  <c r="S556" i="2"/>
  <c r="T556" i="2"/>
  <c r="U556" i="2"/>
  <c r="V556" i="2"/>
  <c r="W556" i="2"/>
  <c r="G557" i="2"/>
  <c r="O557" i="2"/>
  <c r="P557" i="2"/>
  <c r="Q557" i="2" s="1"/>
  <c r="R557" i="2"/>
  <c r="S557" i="2"/>
  <c r="T557" i="2"/>
  <c r="U557" i="2"/>
  <c r="V557" i="2"/>
  <c r="W557" i="2"/>
  <c r="G558" i="2"/>
  <c r="O558" i="2"/>
  <c r="P558" i="2"/>
  <c r="Q558" i="2" s="1"/>
  <c r="R558" i="2"/>
  <c r="S558" i="2"/>
  <c r="T558" i="2"/>
  <c r="U558" i="2"/>
  <c r="V558" i="2"/>
  <c r="W558" i="2"/>
  <c r="G559" i="2"/>
  <c r="O559" i="2"/>
  <c r="P559" i="2"/>
  <c r="Q559" i="2" s="1"/>
  <c r="R559" i="2"/>
  <c r="S559" i="2"/>
  <c r="T559" i="2"/>
  <c r="U559" i="2"/>
  <c r="V559" i="2"/>
  <c r="W559" i="2"/>
  <c r="G560" i="2"/>
  <c r="O560" i="2"/>
  <c r="P560" i="2"/>
  <c r="Q560" i="2" s="1"/>
  <c r="R560" i="2"/>
  <c r="S560" i="2"/>
  <c r="T560" i="2"/>
  <c r="U560" i="2"/>
  <c r="V560" i="2"/>
  <c r="W560" i="2"/>
  <c r="G561" i="2"/>
  <c r="O561" i="2"/>
  <c r="P561" i="2"/>
  <c r="Q561" i="2" s="1"/>
  <c r="R561" i="2"/>
  <c r="S561" i="2"/>
  <c r="T561" i="2"/>
  <c r="U561" i="2"/>
  <c r="V561" i="2"/>
  <c r="W561" i="2"/>
  <c r="G562" i="2"/>
  <c r="O562" i="2"/>
  <c r="P562" i="2"/>
  <c r="Q562" i="2" s="1"/>
  <c r="R562" i="2"/>
  <c r="S562" i="2"/>
  <c r="T562" i="2"/>
  <c r="U562" i="2"/>
  <c r="V562" i="2"/>
  <c r="W562" i="2"/>
  <c r="G563" i="2"/>
  <c r="O563" i="2"/>
  <c r="P563" i="2"/>
  <c r="Q563" i="2" s="1"/>
  <c r="R563" i="2"/>
  <c r="S563" i="2"/>
  <c r="T563" i="2"/>
  <c r="U563" i="2"/>
  <c r="V563" i="2"/>
  <c r="W563" i="2"/>
  <c r="G564" i="2"/>
  <c r="O564" i="2"/>
  <c r="P564" i="2"/>
  <c r="Q564" i="2" s="1"/>
  <c r="R564" i="2"/>
  <c r="S564" i="2"/>
  <c r="T564" i="2"/>
  <c r="U564" i="2"/>
  <c r="V564" i="2"/>
  <c r="W564" i="2"/>
  <c r="G565" i="2"/>
  <c r="O565" i="2"/>
  <c r="P565" i="2"/>
  <c r="Q565" i="2" s="1"/>
  <c r="R565" i="2"/>
  <c r="S565" i="2"/>
  <c r="T565" i="2"/>
  <c r="U565" i="2"/>
  <c r="V565" i="2"/>
  <c r="W565" i="2"/>
  <c r="G566" i="2"/>
  <c r="O566" i="2"/>
  <c r="P566" i="2"/>
  <c r="Q566" i="2" s="1"/>
  <c r="R566" i="2"/>
  <c r="S566" i="2"/>
  <c r="T566" i="2"/>
  <c r="U566" i="2"/>
  <c r="V566" i="2"/>
  <c r="W566" i="2"/>
  <c r="G567" i="2"/>
  <c r="O567" i="2"/>
  <c r="P567" i="2"/>
  <c r="Q567" i="2" s="1"/>
  <c r="R567" i="2"/>
  <c r="S567" i="2"/>
  <c r="T567" i="2"/>
  <c r="U567" i="2"/>
  <c r="V567" i="2"/>
  <c r="W567" i="2"/>
  <c r="G568" i="2"/>
  <c r="O568" i="2"/>
  <c r="P568" i="2"/>
  <c r="Q568" i="2" s="1"/>
  <c r="R568" i="2"/>
  <c r="S568" i="2"/>
  <c r="T568" i="2"/>
  <c r="U568" i="2"/>
  <c r="V568" i="2"/>
  <c r="W568" i="2"/>
  <c r="G569" i="2"/>
  <c r="O569" i="2"/>
  <c r="P569" i="2"/>
  <c r="Q569" i="2" s="1"/>
  <c r="R569" i="2"/>
  <c r="S569" i="2"/>
  <c r="T569" i="2"/>
  <c r="U569" i="2"/>
  <c r="V569" i="2"/>
  <c r="W569" i="2"/>
  <c r="G570" i="2"/>
  <c r="O570" i="2"/>
  <c r="P570" i="2"/>
  <c r="Q570" i="2" s="1"/>
  <c r="R570" i="2"/>
  <c r="S570" i="2"/>
  <c r="T570" i="2"/>
  <c r="U570" i="2"/>
  <c r="V570" i="2"/>
  <c r="W570" i="2"/>
  <c r="G571" i="2"/>
  <c r="O571" i="2"/>
  <c r="P571" i="2"/>
  <c r="Q571" i="2" s="1"/>
  <c r="R571" i="2"/>
  <c r="S571" i="2"/>
  <c r="T571" i="2"/>
  <c r="U571" i="2"/>
  <c r="V571" i="2"/>
  <c r="W571" i="2"/>
  <c r="G572" i="2"/>
  <c r="O572" i="2"/>
  <c r="P572" i="2"/>
  <c r="Q572" i="2" s="1"/>
  <c r="R572" i="2"/>
  <c r="S572" i="2"/>
  <c r="T572" i="2"/>
  <c r="U572" i="2"/>
  <c r="V572" i="2"/>
  <c r="W572" i="2"/>
  <c r="G573" i="2"/>
  <c r="O573" i="2"/>
  <c r="P573" i="2"/>
  <c r="Q573" i="2" s="1"/>
  <c r="R573" i="2"/>
  <c r="S573" i="2"/>
  <c r="T573" i="2"/>
  <c r="U573" i="2"/>
  <c r="V573" i="2"/>
  <c r="W573" i="2"/>
  <c r="G574" i="2"/>
  <c r="O574" i="2"/>
  <c r="P574" i="2"/>
  <c r="Q574" i="2" s="1"/>
  <c r="R574" i="2"/>
  <c r="S574" i="2"/>
  <c r="T574" i="2"/>
  <c r="U574" i="2"/>
  <c r="V574" i="2"/>
  <c r="W574" i="2"/>
  <c r="G575" i="2"/>
  <c r="O575" i="2"/>
  <c r="P575" i="2"/>
  <c r="Q575" i="2" s="1"/>
  <c r="R575" i="2"/>
  <c r="S575" i="2"/>
  <c r="T575" i="2"/>
  <c r="U575" i="2"/>
  <c r="V575" i="2"/>
  <c r="W575" i="2"/>
  <c r="G576" i="2"/>
  <c r="O576" i="2"/>
  <c r="P576" i="2"/>
  <c r="Q576" i="2" s="1"/>
  <c r="R576" i="2"/>
  <c r="S576" i="2"/>
  <c r="T576" i="2"/>
  <c r="U576" i="2"/>
  <c r="V576" i="2"/>
  <c r="W576" i="2"/>
  <c r="G577" i="2"/>
  <c r="O577" i="2"/>
  <c r="P577" i="2"/>
  <c r="Q577" i="2" s="1"/>
  <c r="R577" i="2"/>
  <c r="S577" i="2"/>
  <c r="T577" i="2"/>
  <c r="U577" i="2"/>
  <c r="V577" i="2"/>
  <c r="W577" i="2"/>
  <c r="G578" i="2"/>
  <c r="O578" i="2"/>
  <c r="P578" i="2"/>
  <c r="Q578" i="2" s="1"/>
  <c r="R578" i="2"/>
  <c r="S578" i="2"/>
  <c r="T578" i="2"/>
  <c r="U578" i="2"/>
  <c r="V578" i="2"/>
  <c r="W578" i="2"/>
  <c r="G579" i="2"/>
  <c r="O579" i="2"/>
  <c r="P579" i="2"/>
  <c r="Q579" i="2" s="1"/>
  <c r="R579" i="2"/>
  <c r="S579" i="2"/>
  <c r="T579" i="2"/>
  <c r="U579" i="2"/>
  <c r="V579" i="2"/>
  <c r="W579" i="2"/>
  <c r="G580" i="2"/>
  <c r="O580" i="2"/>
  <c r="P580" i="2"/>
  <c r="Q580" i="2" s="1"/>
  <c r="R580" i="2"/>
  <c r="S580" i="2"/>
  <c r="T580" i="2"/>
  <c r="U580" i="2"/>
  <c r="V580" i="2"/>
  <c r="W580" i="2"/>
  <c r="G581" i="2"/>
  <c r="O581" i="2"/>
  <c r="P581" i="2"/>
  <c r="Q581" i="2" s="1"/>
  <c r="R581" i="2"/>
  <c r="S581" i="2"/>
  <c r="T581" i="2"/>
  <c r="U581" i="2"/>
  <c r="V581" i="2"/>
  <c r="W581" i="2"/>
  <c r="G582" i="2"/>
  <c r="O582" i="2"/>
  <c r="P582" i="2"/>
  <c r="Q582" i="2" s="1"/>
  <c r="R582" i="2"/>
  <c r="S582" i="2"/>
  <c r="T582" i="2"/>
  <c r="U582" i="2"/>
  <c r="V582" i="2"/>
  <c r="W582" i="2"/>
  <c r="G583" i="2"/>
  <c r="O583" i="2"/>
  <c r="P583" i="2"/>
  <c r="Q583" i="2" s="1"/>
  <c r="R583" i="2"/>
  <c r="S583" i="2"/>
  <c r="T583" i="2"/>
  <c r="U583" i="2"/>
  <c r="V583" i="2"/>
  <c r="W583" i="2"/>
  <c r="G584" i="2"/>
  <c r="O584" i="2"/>
  <c r="P584" i="2"/>
  <c r="Q584" i="2" s="1"/>
  <c r="R584" i="2"/>
  <c r="S584" i="2"/>
  <c r="T584" i="2"/>
  <c r="U584" i="2"/>
  <c r="V584" i="2"/>
  <c r="W584" i="2"/>
  <c r="G585" i="2"/>
  <c r="O585" i="2"/>
  <c r="P585" i="2"/>
  <c r="Q585" i="2" s="1"/>
  <c r="R585" i="2"/>
  <c r="S585" i="2"/>
  <c r="T585" i="2"/>
  <c r="U585" i="2"/>
  <c r="V585" i="2"/>
  <c r="W585" i="2"/>
  <c r="G586" i="2"/>
  <c r="O586" i="2"/>
  <c r="P586" i="2"/>
  <c r="Q586" i="2" s="1"/>
  <c r="R586" i="2"/>
  <c r="S586" i="2"/>
  <c r="T586" i="2"/>
  <c r="U586" i="2"/>
  <c r="V586" i="2"/>
  <c r="W586" i="2"/>
  <c r="G587" i="2"/>
  <c r="O587" i="2"/>
  <c r="P587" i="2"/>
  <c r="Q587" i="2" s="1"/>
  <c r="R587" i="2"/>
  <c r="S587" i="2"/>
  <c r="T587" i="2"/>
  <c r="U587" i="2"/>
  <c r="V587" i="2"/>
  <c r="W587" i="2"/>
  <c r="G588" i="2"/>
  <c r="O588" i="2"/>
  <c r="P588" i="2"/>
  <c r="Q588" i="2" s="1"/>
  <c r="R588" i="2"/>
  <c r="S588" i="2"/>
  <c r="T588" i="2"/>
  <c r="U588" i="2"/>
  <c r="V588" i="2"/>
  <c r="W588" i="2"/>
  <c r="G589" i="2"/>
  <c r="O589" i="2"/>
  <c r="P589" i="2"/>
  <c r="Q589" i="2" s="1"/>
  <c r="R589" i="2"/>
  <c r="S589" i="2"/>
  <c r="T589" i="2"/>
  <c r="U589" i="2"/>
  <c r="V589" i="2"/>
  <c r="W589" i="2"/>
  <c r="G590" i="2"/>
  <c r="O590" i="2"/>
  <c r="P590" i="2"/>
  <c r="Q590" i="2" s="1"/>
  <c r="R590" i="2"/>
  <c r="S590" i="2"/>
  <c r="T590" i="2"/>
  <c r="U590" i="2"/>
  <c r="V590" i="2"/>
  <c r="W590" i="2"/>
  <c r="G591" i="2"/>
  <c r="O591" i="2"/>
  <c r="P591" i="2"/>
  <c r="Q591" i="2" s="1"/>
  <c r="R591" i="2"/>
  <c r="S591" i="2"/>
  <c r="T591" i="2"/>
  <c r="U591" i="2"/>
  <c r="V591" i="2"/>
  <c r="W591" i="2"/>
  <c r="G592" i="2"/>
  <c r="O592" i="2"/>
  <c r="P592" i="2"/>
  <c r="Q592" i="2" s="1"/>
  <c r="R592" i="2"/>
  <c r="S592" i="2"/>
  <c r="T592" i="2"/>
  <c r="U592" i="2"/>
  <c r="V592" i="2"/>
  <c r="W592" i="2"/>
  <c r="G593" i="2"/>
  <c r="O593" i="2"/>
  <c r="P593" i="2"/>
  <c r="Q593" i="2" s="1"/>
  <c r="R593" i="2"/>
  <c r="S593" i="2"/>
  <c r="T593" i="2"/>
  <c r="U593" i="2"/>
  <c r="V593" i="2"/>
  <c r="W593" i="2"/>
  <c r="G594" i="2"/>
  <c r="O594" i="2"/>
  <c r="P594" i="2"/>
  <c r="Q594" i="2" s="1"/>
  <c r="R594" i="2"/>
  <c r="S594" i="2"/>
  <c r="T594" i="2"/>
  <c r="U594" i="2"/>
  <c r="V594" i="2"/>
  <c r="W594" i="2"/>
  <c r="G595" i="2"/>
  <c r="O595" i="2"/>
  <c r="P595" i="2"/>
  <c r="Q595" i="2" s="1"/>
  <c r="R595" i="2"/>
  <c r="S595" i="2"/>
  <c r="T595" i="2"/>
  <c r="U595" i="2"/>
  <c r="V595" i="2"/>
  <c r="W595" i="2"/>
  <c r="G596" i="2"/>
  <c r="O596" i="2"/>
  <c r="P596" i="2"/>
  <c r="Q596" i="2" s="1"/>
  <c r="R596" i="2"/>
  <c r="S596" i="2"/>
  <c r="T596" i="2"/>
  <c r="U596" i="2"/>
  <c r="V596" i="2"/>
  <c r="W596" i="2"/>
  <c r="G597" i="2"/>
  <c r="O597" i="2"/>
  <c r="P597" i="2"/>
  <c r="Q597" i="2" s="1"/>
  <c r="R597" i="2"/>
  <c r="S597" i="2"/>
  <c r="T597" i="2"/>
  <c r="U597" i="2"/>
  <c r="V597" i="2"/>
  <c r="W597" i="2"/>
  <c r="G598" i="2"/>
  <c r="O598" i="2"/>
  <c r="P598" i="2"/>
  <c r="Q598" i="2" s="1"/>
  <c r="R598" i="2"/>
  <c r="S598" i="2"/>
  <c r="T598" i="2"/>
  <c r="U598" i="2"/>
  <c r="V598" i="2"/>
  <c r="W598" i="2"/>
  <c r="G599" i="2"/>
  <c r="O599" i="2"/>
  <c r="P599" i="2"/>
  <c r="Q599" i="2" s="1"/>
  <c r="R599" i="2"/>
  <c r="S599" i="2"/>
  <c r="T599" i="2"/>
  <c r="U599" i="2"/>
  <c r="V599" i="2"/>
  <c r="W599" i="2"/>
  <c r="G600" i="2"/>
  <c r="O600" i="2"/>
  <c r="P600" i="2"/>
  <c r="Q600" i="2" s="1"/>
  <c r="R600" i="2"/>
  <c r="S600" i="2"/>
  <c r="T600" i="2"/>
  <c r="U600" i="2"/>
  <c r="V600" i="2"/>
  <c r="W600" i="2"/>
  <c r="G601" i="2"/>
  <c r="O601" i="2"/>
  <c r="P601" i="2"/>
  <c r="Q601" i="2" s="1"/>
  <c r="R601" i="2"/>
  <c r="S601" i="2"/>
  <c r="T601" i="2"/>
  <c r="U601" i="2"/>
  <c r="V601" i="2"/>
  <c r="W601" i="2"/>
  <c r="G602" i="2"/>
  <c r="O602" i="2"/>
  <c r="P602" i="2"/>
  <c r="Q602" i="2" s="1"/>
  <c r="R602" i="2"/>
  <c r="S602" i="2"/>
  <c r="T602" i="2"/>
  <c r="U602" i="2"/>
  <c r="V602" i="2"/>
  <c r="W602" i="2"/>
  <c r="G603" i="2"/>
  <c r="O603" i="2"/>
  <c r="P603" i="2"/>
  <c r="Q603" i="2" s="1"/>
  <c r="R603" i="2"/>
  <c r="S603" i="2"/>
  <c r="T603" i="2"/>
  <c r="U603" i="2"/>
  <c r="V603" i="2"/>
  <c r="W603" i="2"/>
  <c r="G604" i="2"/>
  <c r="O604" i="2"/>
  <c r="P604" i="2"/>
  <c r="Q604" i="2" s="1"/>
  <c r="R604" i="2"/>
  <c r="S604" i="2"/>
  <c r="T604" i="2"/>
  <c r="U604" i="2"/>
  <c r="V604" i="2"/>
  <c r="W604" i="2"/>
  <c r="G605" i="2"/>
  <c r="O605" i="2"/>
  <c r="P605" i="2"/>
  <c r="Q605" i="2" s="1"/>
  <c r="R605" i="2"/>
  <c r="S605" i="2"/>
  <c r="T605" i="2"/>
  <c r="U605" i="2"/>
  <c r="V605" i="2"/>
  <c r="W605" i="2"/>
  <c r="G606" i="2"/>
  <c r="O606" i="2"/>
  <c r="P606" i="2"/>
  <c r="Q606" i="2" s="1"/>
  <c r="R606" i="2"/>
  <c r="S606" i="2"/>
  <c r="T606" i="2"/>
  <c r="U606" i="2"/>
  <c r="V606" i="2"/>
  <c r="W606" i="2"/>
  <c r="G607" i="2"/>
  <c r="O607" i="2"/>
  <c r="P607" i="2"/>
  <c r="Q607" i="2" s="1"/>
  <c r="R607" i="2"/>
  <c r="S607" i="2"/>
  <c r="T607" i="2"/>
  <c r="U607" i="2"/>
  <c r="V607" i="2"/>
  <c r="W607" i="2"/>
  <c r="G608" i="2"/>
  <c r="O608" i="2"/>
  <c r="P608" i="2"/>
  <c r="Q608" i="2" s="1"/>
  <c r="R608" i="2"/>
  <c r="S608" i="2"/>
  <c r="T608" i="2"/>
  <c r="U608" i="2"/>
  <c r="V608" i="2"/>
  <c r="W608" i="2"/>
  <c r="G609" i="2"/>
  <c r="O609" i="2"/>
  <c r="P609" i="2"/>
  <c r="Q609" i="2" s="1"/>
  <c r="R609" i="2"/>
  <c r="S609" i="2"/>
  <c r="T609" i="2"/>
  <c r="U609" i="2"/>
  <c r="V609" i="2"/>
  <c r="W609" i="2"/>
  <c r="G610" i="2"/>
  <c r="O610" i="2"/>
  <c r="P610" i="2"/>
  <c r="Q610" i="2" s="1"/>
  <c r="R610" i="2"/>
  <c r="S610" i="2"/>
  <c r="T610" i="2"/>
  <c r="U610" i="2"/>
  <c r="V610" i="2"/>
  <c r="W610" i="2"/>
  <c r="G611" i="2"/>
  <c r="O611" i="2"/>
  <c r="P611" i="2"/>
  <c r="Q611" i="2" s="1"/>
  <c r="R611" i="2"/>
  <c r="S611" i="2"/>
  <c r="T611" i="2"/>
  <c r="U611" i="2"/>
  <c r="V611" i="2"/>
  <c r="W611" i="2"/>
  <c r="G612" i="2"/>
  <c r="O612" i="2"/>
  <c r="P612" i="2"/>
  <c r="Q612" i="2" s="1"/>
  <c r="R612" i="2"/>
  <c r="S612" i="2"/>
  <c r="T612" i="2"/>
  <c r="U612" i="2"/>
  <c r="V612" i="2"/>
  <c r="W612" i="2"/>
  <c r="G613" i="2"/>
  <c r="O613" i="2"/>
  <c r="P613" i="2"/>
  <c r="Q613" i="2" s="1"/>
  <c r="R613" i="2"/>
  <c r="S613" i="2"/>
  <c r="T613" i="2"/>
  <c r="U613" i="2"/>
  <c r="V613" i="2"/>
  <c r="W613" i="2"/>
  <c r="G614" i="2"/>
  <c r="O614" i="2"/>
  <c r="P614" i="2"/>
  <c r="Q614" i="2" s="1"/>
  <c r="R614" i="2"/>
  <c r="S614" i="2"/>
  <c r="T614" i="2"/>
  <c r="U614" i="2"/>
  <c r="V614" i="2"/>
  <c r="W614" i="2"/>
  <c r="G615" i="2"/>
  <c r="O615" i="2"/>
  <c r="P615" i="2"/>
  <c r="Q615" i="2" s="1"/>
  <c r="R615" i="2"/>
  <c r="S615" i="2"/>
  <c r="T615" i="2"/>
  <c r="U615" i="2"/>
  <c r="V615" i="2"/>
  <c r="W615" i="2"/>
  <c r="G616" i="2"/>
  <c r="O616" i="2"/>
  <c r="P616" i="2"/>
  <c r="Q616" i="2" s="1"/>
  <c r="R616" i="2"/>
  <c r="S616" i="2"/>
  <c r="T616" i="2"/>
  <c r="U616" i="2"/>
  <c r="V616" i="2"/>
  <c r="W616" i="2"/>
  <c r="G617" i="2"/>
  <c r="O617" i="2"/>
  <c r="P617" i="2"/>
  <c r="Q617" i="2" s="1"/>
  <c r="R617" i="2"/>
  <c r="S617" i="2"/>
  <c r="T617" i="2"/>
  <c r="U617" i="2"/>
  <c r="V617" i="2"/>
  <c r="W617" i="2"/>
  <c r="G618" i="2"/>
  <c r="O618" i="2"/>
  <c r="P618" i="2"/>
  <c r="Q618" i="2"/>
  <c r="R618" i="2"/>
  <c r="S618" i="2"/>
  <c r="T618" i="2"/>
  <c r="U618" i="2"/>
  <c r="V618" i="2"/>
  <c r="W618" i="2"/>
  <c r="G619" i="2"/>
  <c r="O619" i="2"/>
  <c r="P619" i="2"/>
  <c r="Q619" i="2" s="1"/>
  <c r="R619" i="2"/>
  <c r="S619" i="2"/>
  <c r="T619" i="2"/>
  <c r="U619" i="2"/>
  <c r="V619" i="2"/>
  <c r="W619" i="2"/>
  <c r="G620" i="2"/>
  <c r="O620" i="2"/>
  <c r="P620" i="2"/>
  <c r="Q620" i="2" s="1"/>
  <c r="R620" i="2"/>
  <c r="S620" i="2"/>
  <c r="T620" i="2"/>
  <c r="U620" i="2"/>
  <c r="V620" i="2"/>
  <c r="W620" i="2"/>
  <c r="G621" i="2"/>
  <c r="O621" i="2"/>
  <c r="P621" i="2"/>
  <c r="Q621" i="2" s="1"/>
  <c r="R621" i="2"/>
  <c r="S621" i="2"/>
  <c r="T621" i="2"/>
  <c r="U621" i="2"/>
  <c r="V621" i="2"/>
  <c r="W621" i="2"/>
  <c r="G622" i="2"/>
  <c r="O622" i="2"/>
  <c r="P622" i="2"/>
  <c r="Q622" i="2" s="1"/>
  <c r="R622" i="2"/>
  <c r="S622" i="2"/>
  <c r="T622" i="2"/>
  <c r="U622" i="2"/>
  <c r="V622" i="2"/>
  <c r="W622" i="2"/>
  <c r="G623" i="2"/>
  <c r="O623" i="2"/>
  <c r="P623" i="2"/>
  <c r="Q623" i="2" s="1"/>
  <c r="R623" i="2"/>
  <c r="S623" i="2"/>
  <c r="T623" i="2"/>
  <c r="U623" i="2"/>
  <c r="V623" i="2"/>
  <c r="W623" i="2"/>
  <c r="G624" i="2"/>
  <c r="O624" i="2"/>
  <c r="P624" i="2"/>
  <c r="Q624" i="2" s="1"/>
  <c r="R624" i="2"/>
  <c r="S624" i="2"/>
  <c r="T624" i="2"/>
  <c r="U624" i="2"/>
  <c r="V624" i="2"/>
  <c r="W624" i="2"/>
  <c r="G625" i="2"/>
  <c r="O625" i="2"/>
  <c r="P625" i="2"/>
  <c r="Q625" i="2" s="1"/>
  <c r="R625" i="2"/>
  <c r="S625" i="2"/>
  <c r="T625" i="2"/>
  <c r="U625" i="2"/>
  <c r="V625" i="2"/>
  <c r="W625" i="2"/>
  <c r="G626" i="2"/>
  <c r="O626" i="2"/>
  <c r="P626" i="2"/>
  <c r="Q626" i="2" s="1"/>
  <c r="R626" i="2"/>
  <c r="S626" i="2"/>
  <c r="T626" i="2"/>
  <c r="U626" i="2"/>
  <c r="V626" i="2"/>
  <c r="W626" i="2"/>
  <c r="G627" i="2"/>
  <c r="O627" i="2"/>
  <c r="P627" i="2"/>
  <c r="Q627" i="2"/>
  <c r="R627" i="2"/>
  <c r="S627" i="2"/>
  <c r="T627" i="2"/>
  <c r="U627" i="2"/>
  <c r="V627" i="2"/>
  <c r="W627" i="2"/>
  <c r="G628" i="2"/>
  <c r="O628" i="2"/>
  <c r="P628" i="2"/>
  <c r="Q628" i="2" s="1"/>
  <c r="R628" i="2"/>
  <c r="S628" i="2"/>
  <c r="T628" i="2"/>
  <c r="U628" i="2"/>
  <c r="V628" i="2"/>
  <c r="W628" i="2"/>
  <c r="G629" i="2"/>
  <c r="O629" i="2"/>
  <c r="P629" i="2"/>
  <c r="Q629" i="2" s="1"/>
  <c r="R629" i="2"/>
  <c r="S629" i="2"/>
  <c r="T629" i="2"/>
  <c r="U629" i="2"/>
  <c r="V629" i="2"/>
  <c r="W629" i="2"/>
  <c r="G630" i="2"/>
  <c r="O630" i="2"/>
  <c r="P630" i="2"/>
  <c r="Q630" i="2" s="1"/>
  <c r="R630" i="2"/>
  <c r="S630" i="2"/>
  <c r="T630" i="2"/>
  <c r="U630" i="2"/>
  <c r="V630" i="2"/>
  <c r="W630" i="2"/>
  <c r="G631" i="2"/>
  <c r="O631" i="2"/>
  <c r="P631" i="2"/>
  <c r="Q631" i="2" s="1"/>
  <c r="R631" i="2"/>
  <c r="S631" i="2"/>
  <c r="T631" i="2"/>
  <c r="U631" i="2"/>
  <c r="V631" i="2"/>
  <c r="W631" i="2"/>
  <c r="G632" i="2"/>
  <c r="O632" i="2"/>
  <c r="P632" i="2"/>
  <c r="Q632" i="2" s="1"/>
  <c r="R632" i="2"/>
  <c r="S632" i="2"/>
  <c r="T632" i="2"/>
  <c r="U632" i="2"/>
  <c r="V632" i="2"/>
  <c r="W632" i="2"/>
  <c r="G633" i="2"/>
  <c r="O633" i="2"/>
  <c r="P633" i="2"/>
  <c r="Q633" i="2" s="1"/>
  <c r="R633" i="2"/>
  <c r="S633" i="2"/>
  <c r="T633" i="2"/>
  <c r="U633" i="2"/>
  <c r="V633" i="2"/>
  <c r="W633" i="2"/>
  <c r="G634" i="2"/>
  <c r="O634" i="2"/>
  <c r="P634" i="2"/>
  <c r="Q634" i="2" s="1"/>
  <c r="R634" i="2"/>
  <c r="S634" i="2"/>
  <c r="T634" i="2"/>
  <c r="U634" i="2"/>
  <c r="V634" i="2"/>
  <c r="W634" i="2"/>
  <c r="G635" i="2"/>
  <c r="O635" i="2"/>
  <c r="P635" i="2"/>
  <c r="Q635" i="2" s="1"/>
  <c r="R635" i="2"/>
  <c r="S635" i="2"/>
  <c r="T635" i="2"/>
  <c r="U635" i="2"/>
  <c r="V635" i="2"/>
  <c r="W635" i="2"/>
  <c r="G636" i="2"/>
  <c r="O636" i="2"/>
  <c r="P636" i="2"/>
  <c r="Q636" i="2"/>
  <c r="R636" i="2"/>
  <c r="S636" i="2"/>
  <c r="T636" i="2"/>
  <c r="U636" i="2"/>
  <c r="V636" i="2"/>
  <c r="W636" i="2"/>
  <c r="G637" i="2"/>
  <c r="O637" i="2"/>
  <c r="P637" i="2"/>
  <c r="Q637" i="2" s="1"/>
  <c r="R637" i="2"/>
  <c r="S637" i="2"/>
  <c r="T637" i="2"/>
  <c r="U637" i="2"/>
  <c r="V637" i="2"/>
  <c r="W637" i="2"/>
  <c r="G638" i="2"/>
  <c r="O638" i="2"/>
  <c r="P638" i="2"/>
  <c r="Q638" i="2"/>
  <c r="R638" i="2"/>
  <c r="S638" i="2"/>
  <c r="T638" i="2"/>
  <c r="U638" i="2"/>
  <c r="V638" i="2"/>
  <c r="W638" i="2"/>
  <c r="G639" i="2"/>
  <c r="O639" i="2"/>
  <c r="P639" i="2"/>
  <c r="Q639" i="2" s="1"/>
  <c r="R639" i="2"/>
  <c r="S639" i="2"/>
  <c r="T639" i="2"/>
  <c r="U639" i="2"/>
  <c r="V639" i="2"/>
  <c r="W639" i="2"/>
  <c r="G640" i="2"/>
  <c r="O640" i="2"/>
  <c r="P640" i="2"/>
  <c r="Q640" i="2" s="1"/>
  <c r="R640" i="2"/>
  <c r="S640" i="2"/>
  <c r="T640" i="2"/>
  <c r="U640" i="2"/>
  <c r="V640" i="2"/>
  <c r="W640" i="2"/>
  <c r="G641" i="2"/>
  <c r="O641" i="2"/>
  <c r="P641" i="2"/>
  <c r="Q641" i="2" s="1"/>
  <c r="R641" i="2"/>
  <c r="S641" i="2"/>
  <c r="T641" i="2"/>
  <c r="U641" i="2"/>
  <c r="V641" i="2"/>
  <c r="W641" i="2"/>
  <c r="G642" i="2"/>
  <c r="O642" i="2"/>
  <c r="P642" i="2"/>
  <c r="Q642" i="2" s="1"/>
  <c r="R642" i="2"/>
  <c r="S642" i="2"/>
  <c r="T642" i="2"/>
  <c r="U642" i="2"/>
  <c r="V642" i="2"/>
  <c r="W642" i="2"/>
  <c r="G643" i="2"/>
  <c r="O643" i="2"/>
  <c r="P643" i="2"/>
  <c r="Q643" i="2" s="1"/>
  <c r="R643" i="2"/>
  <c r="S643" i="2"/>
  <c r="T643" i="2"/>
  <c r="U643" i="2"/>
  <c r="V643" i="2"/>
  <c r="W643" i="2"/>
  <c r="G644" i="2"/>
  <c r="O644" i="2"/>
  <c r="P644" i="2"/>
  <c r="Q644" i="2" s="1"/>
  <c r="R644" i="2"/>
  <c r="S644" i="2"/>
  <c r="T644" i="2"/>
  <c r="U644" i="2"/>
  <c r="V644" i="2"/>
  <c r="W644" i="2"/>
  <c r="G645" i="2"/>
  <c r="O645" i="2"/>
  <c r="P645" i="2"/>
  <c r="Q645" i="2" s="1"/>
  <c r="R645" i="2"/>
  <c r="S645" i="2"/>
  <c r="T645" i="2"/>
  <c r="U645" i="2"/>
  <c r="V645" i="2"/>
  <c r="W645" i="2"/>
  <c r="G646" i="2"/>
  <c r="O646" i="2"/>
  <c r="P646" i="2"/>
  <c r="Q646" i="2" s="1"/>
  <c r="R646" i="2"/>
  <c r="S646" i="2"/>
  <c r="T646" i="2"/>
  <c r="U646" i="2"/>
  <c r="V646" i="2"/>
  <c r="W646" i="2"/>
  <c r="G647" i="2"/>
  <c r="O647" i="2"/>
  <c r="P647" i="2"/>
  <c r="Q647" i="2" s="1"/>
  <c r="R647" i="2"/>
  <c r="S647" i="2"/>
  <c r="T647" i="2"/>
  <c r="U647" i="2"/>
  <c r="V647" i="2"/>
  <c r="W647" i="2"/>
  <c r="G648" i="2"/>
  <c r="O648" i="2"/>
  <c r="P648" i="2"/>
  <c r="Q648" i="2" s="1"/>
  <c r="R648" i="2"/>
  <c r="S648" i="2"/>
  <c r="T648" i="2"/>
  <c r="U648" i="2"/>
  <c r="V648" i="2"/>
  <c r="W648" i="2"/>
  <c r="G649" i="2"/>
  <c r="O649" i="2"/>
  <c r="P649" i="2"/>
  <c r="Q649" i="2" s="1"/>
  <c r="R649" i="2"/>
  <c r="S649" i="2"/>
  <c r="T649" i="2"/>
  <c r="U649" i="2"/>
  <c r="V649" i="2"/>
  <c r="W649" i="2"/>
  <c r="G650" i="2"/>
  <c r="O650" i="2"/>
  <c r="P650" i="2"/>
  <c r="Q650" i="2" s="1"/>
  <c r="R650" i="2"/>
  <c r="S650" i="2"/>
  <c r="T650" i="2"/>
  <c r="U650" i="2"/>
  <c r="V650" i="2"/>
  <c r="W650" i="2"/>
  <c r="G651" i="2"/>
  <c r="O651" i="2"/>
  <c r="P651" i="2"/>
  <c r="Q651" i="2" s="1"/>
  <c r="R651" i="2"/>
  <c r="S651" i="2"/>
  <c r="T651" i="2"/>
  <c r="U651" i="2"/>
  <c r="V651" i="2"/>
  <c r="W651" i="2"/>
  <c r="G652" i="2"/>
  <c r="O652" i="2"/>
  <c r="P652" i="2"/>
  <c r="Q652" i="2" s="1"/>
  <c r="R652" i="2"/>
  <c r="S652" i="2"/>
  <c r="T652" i="2"/>
  <c r="U652" i="2"/>
  <c r="V652" i="2"/>
  <c r="W652" i="2"/>
  <c r="G653" i="2"/>
  <c r="O653" i="2"/>
  <c r="P653" i="2"/>
  <c r="Q653" i="2" s="1"/>
  <c r="R653" i="2"/>
  <c r="S653" i="2"/>
  <c r="T653" i="2"/>
  <c r="U653" i="2"/>
  <c r="V653" i="2"/>
  <c r="W653" i="2"/>
  <c r="G654" i="2"/>
  <c r="O654" i="2"/>
  <c r="P654" i="2"/>
  <c r="Q654" i="2" s="1"/>
  <c r="R654" i="2"/>
  <c r="S654" i="2"/>
  <c r="T654" i="2"/>
  <c r="U654" i="2"/>
  <c r="V654" i="2"/>
  <c r="W654" i="2"/>
  <c r="G655" i="2"/>
  <c r="O655" i="2"/>
  <c r="P655" i="2"/>
  <c r="Q655" i="2" s="1"/>
  <c r="R655" i="2"/>
  <c r="S655" i="2"/>
  <c r="T655" i="2"/>
  <c r="U655" i="2"/>
  <c r="V655" i="2"/>
  <c r="W655" i="2"/>
  <c r="G656" i="2"/>
  <c r="O656" i="2"/>
  <c r="P656" i="2"/>
  <c r="Q656" i="2" s="1"/>
  <c r="R656" i="2"/>
  <c r="S656" i="2"/>
  <c r="T656" i="2"/>
  <c r="U656" i="2"/>
  <c r="V656" i="2"/>
  <c r="W656" i="2"/>
  <c r="G657" i="2"/>
  <c r="O657" i="2"/>
  <c r="P657" i="2"/>
  <c r="Q657" i="2" s="1"/>
  <c r="R657" i="2"/>
  <c r="S657" i="2"/>
  <c r="T657" i="2"/>
  <c r="U657" i="2"/>
  <c r="V657" i="2"/>
  <c r="W657" i="2"/>
  <c r="G658" i="2"/>
  <c r="O658" i="2"/>
  <c r="P658" i="2"/>
  <c r="Q658" i="2" s="1"/>
  <c r="R658" i="2"/>
  <c r="S658" i="2"/>
  <c r="T658" i="2"/>
  <c r="U658" i="2"/>
  <c r="V658" i="2"/>
  <c r="W658" i="2"/>
  <c r="G659" i="2"/>
  <c r="O659" i="2"/>
  <c r="P659" i="2"/>
  <c r="Q659" i="2" s="1"/>
  <c r="R659" i="2"/>
  <c r="S659" i="2"/>
  <c r="T659" i="2"/>
  <c r="U659" i="2"/>
  <c r="V659" i="2"/>
  <c r="W659" i="2"/>
  <c r="G660" i="2"/>
  <c r="O660" i="2"/>
  <c r="P660" i="2"/>
  <c r="Q660" i="2" s="1"/>
  <c r="R660" i="2"/>
  <c r="S660" i="2"/>
  <c r="T660" i="2"/>
  <c r="U660" i="2"/>
  <c r="V660" i="2"/>
  <c r="W660" i="2"/>
  <c r="G661" i="2"/>
  <c r="O661" i="2"/>
  <c r="P661" i="2"/>
  <c r="Q661" i="2" s="1"/>
  <c r="R661" i="2"/>
  <c r="S661" i="2"/>
  <c r="T661" i="2"/>
  <c r="U661" i="2"/>
  <c r="V661" i="2"/>
  <c r="W661" i="2"/>
  <c r="G662" i="2"/>
  <c r="O662" i="2"/>
  <c r="P662" i="2"/>
  <c r="Q662" i="2" s="1"/>
  <c r="R662" i="2"/>
  <c r="S662" i="2"/>
  <c r="T662" i="2"/>
  <c r="U662" i="2"/>
  <c r="V662" i="2"/>
  <c r="W662" i="2"/>
  <c r="G663" i="2"/>
  <c r="O663" i="2"/>
  <c r="P663" i="2"/>
  <c r="Q663" i="2" s="1"/>
  <c r="R663" i="2"/>
  <c r="S663" i="2"/>
  <c r="T663" i="2"/>
  <c r="U663" i="2"/>
  <c r="V663" i="2"/>
  <c r="W663" i="2"/>
  <c r="G664" i="2"/>
  <c r="O664" i="2"/>
  <c r="P664" i="2"/>
  <c r="Q664" i="2" s="1"/>
  <c r="R664" i="2"/>
  <c r="S664" i="2"/>
  <c r="T664" i="2"/>
  <c r="U664" i="2"/>
  <c r="V664" i="2"/>
  <c r="W664" i="2"/>
  <c r="G665" i="2"/>
  <c r="O665" i="2"/>
  <c r="P665" i="2"/>
  <c r="Q665" i="2" s="1"/>
  <c r="R665" i="2"/>
  <c r="S665" i="2"/>
  <c r="T665" i="2"/>
  <c r="U665" i="2"/>
  <c r="V665" i="2"/>
  <c r="W665" i="2"/>
  <c r="G666" i="2"/>
  <c r="O666" i="2"/>
  <c r="P666" i="2"/>
  <c r="Q666" i="2" s="1"/>
  <c r="R666" i="2"/>
  <c r="S666" i="2"/>
  <c r="T666" i="2"/>
  <c r="U666" i="2"/>
  <c r="V666" i="2"/>
  <c r="W666" i="2"/>
  <c r="G667" i="2"/>
  <c r="O667" i="2"/>
  <c r="P667" i="2"/>
  <c r="Q667" i="2" s="1"/>
  <c r="R667" i="2"/>
  <c r="S667" i="2"/>
  <c r="T667" i="2"/>
  <c r="U667" i="2"/>
  <c r="V667" i="2"/>
  <c r="W667" i="2"/>
  <c r="G668" i="2"/>
  <c r="O668" i="2"/>
  <c r="P668" i="2"/>
  <c r="Q668" i="2" s="1"/>
  <c r="R668" i="2"/>
  <c r="S668" i="2"/>
  <c r="T668" i="2"/>
  <c r="U668" i="2"/>
  <c r="V668" i="2"/>
  <c r="W668" i="2"/>
  <c r="G669" i="2"/>
  <c r="O669" i="2"/>
  <c r="P669" i="2"/>
  <c r="Q669" i="2" s="1"/>
  <c r="R669" i="2"/>
  <c r="S669" i="2"/>
  <c r="T669" i="2"/>
  <c r="U669" i="2"/>
  <c r="V669" i="2"/>
  <c r="W669" i="2"/>
  <c r="G670" i="2"/>
  <c r="O670" i="2"/>
  <c r="P670" i="2"/>
  <c r="Q670" i="2" s="1"/>
  <c r="R670" i="2"/>
  <c r="S670" i="2"/>
  <c r="T670" i="2"/>
  <c r="U670" i="2"/>
  <c r="V670" i="2"/>
  <c r="W670" i="2"/>
  <c r="G671" i="2"/>
  <c r="O671" i="2"/>
  <c r="P671" i="2"/>
  <c r="Q671" i="2" s="1"/>
  <c r="R671" i="2"/>
  <c r="S671" i="2"/>
  <c r="T671" i="2"/>
  <c r="U671" i="2"/>
  <c r="V671" i="2"/>
  <c r="W671" i="2"/>
  <c r="G672" i="2"/>
  <c r="O672" i="2"/>
  <c r="P672" i="2"/>
  <c r="Q672" i="2"/>
  <c r="R672" i="2"/>
  <c r="S672" i="2"/>
  <c r="T672" i="2"/>
  <c r="U672" i="2"/>
  <c r="V672" i="2"/>
  <c r="W672" i="2"/>
  <c r="G673" i="2"/>
  <c r="O673" i="2"/>
  <c r="P673" i="2"/>
  <c r="Q673" i="2" s="1"/>
  <c r="R673" i="2"/>
  <c r="S673" i="2"/>
  <c r="T673" i="2"/>
  <c r="U673" i="2"/>
  <c r="V673" i="2"/>
  <c r="W673" i="2"/>
  <c r="G674" i="2"/>
  <c r="O674" i="2"/>
  <c r="P674" i="2"/>
  <c r="Q674" i="2" s="1"/>
  <c r="R674" i="2"/>
  <c r="S674" i="2"/>
  <c r="T674" i="2"/>
  <c r="U674" i="2"/>
  <c r="V674" i="2"/>
  <c r="W674" i="2"/>
  <c r="G675" i="2"/>
  <c r="O675" i="2"/>
  <c r="P675" i="2"/>
  <c r="Q675" i="2" s="1"/>
  <c r="R675" i="2"/>
  <c r="S675" i="2"/>
  <c r="T675" i="2"/>
  <c r="U675" i="2"/>
  <c r="V675" i="2"/>
  <c r="W675" i="2"/>
  <c r="G676" i="2"/>
  <c r="O676" i="2"/>
  <c r="P676" i="2"/>
  <c r="Q676" i="2"/>
  <c r="R676" i="2"/>
  <c r="S676" i="2"/>
  <c r="T676" i="2"/>
  <c r="U676" i="2"/>
  <c r="V676" i="2"/>
  <c r="W676" i="2"/>
  <c r="G677" i="2"/>
  <c r="O677" i="2"/>
  <c r="P677" i="2"/>
  <c r="Q677" i="2" s="1"/>
  <c r="R677" i="2"/>
  <c r="S677" i="2"/>
  <c r="T677" i="2"/>
  <c r="U677" i="2"/>
  <c r="V677" i="2"/>
  <c r="W677" i="2"/>
  <c r="G678" i="2"/>
  <c r="O678" i="2"/>
  <c r="P678" i="2"/>
  <c r="Q678" i="2" s="1"/>
  <c r="R678" i="2"/>
  <c r="S678" i="2"/>
  <c r="T678" i="2"/>
  <c r="U678" i="2"/>
  <c r="V678" i="2"/>
  <c r="W678" i="2"/>
  <c r="G679" i="2"/>
  <c r="O679" i="2"/>
  <c r="P679" i="2"/>
  <c r="Q679" i="2" s="1"/>
  <c r="R679" i="2"/>
  <c r="S679" i="2"/>
  <c r="T679" i="2"/>
  <c r="U679" i="2"/>
  <c r="V679" i="2"/>
  <c r="W679" i="2"/>
  <c r="G680" i="2"/>
  <c r="O680" i="2"/>
  <c r="P680" i="2"/>
  <c r="Q680" i="2"/>
  <c r="R680" i="2"/>
  <c r="S680" i="2"/>
  <c r="T680" i="2"/>
  <c r="U680" i="2"/>
  <c r="V680" i="2"/>
  <c r="W680" i="2"/>
  <c r="G681" i="2"/>
  <c r="O681" i="2"/>
  <c r="P681" i="2"/>
  <c r="Q681" i="2" s="1"/>
  <c r="R681" i="2"/>
  <c r="S681" i="2"/>
  <c r="T681" i="2"/>
  <c r="U681" i="2"/>
  <c r="V681" i="2"/>
  <c r="W681" i="2"/>
  <c r="G682" i="2"/>
  <c r="O682" i="2"/>
  <c r="P682" i="2"/>
  <c r="Q682" i="2" s="1"/>
  <c r="R682" i="2"/>
  <c r="S682" i="2"/>
  <c r="T682" i="2"/>
  <c r="U682" i="2"/>
  <c r="V682" i="2"/>
  <c r="W682" i="2"/>
  <c r="G683" i="2"/>
  <c r="O683" i="2"/>
  <c r="P683" i="2"/>
  <c r="Q683" i="2" s="1"/>
  <c r="R683" i="2"/>
  <c r="S683" i="2"/>
  <c r="T683" i="2"/>
  <c r="U683" i="2"/>
  <c r="V683" i="2"/>
  <c r="W683" i="2"/>
  <c r="G684" i="2"/>
  <c r="O684" i="2"/>
  <c r="P684" i="2"/>
  <c r="Q684" i="2" s="1"/>
  <c r="R684" i="2"/>
  <c r="S684" i="2"/>
  <c r="T684" i="2"/>
  <c r="U684" i="2"/>
  <c r="V684" i="2"/>
  <c r="W684" i="2"/>
  <c r="G685" i="2"/>
  <c r="O685" i="2"/>
  <c r="P685" i="2"/>
  <c r="Q685" i="2" s="1"/>
  <c r="R685" i="2"/>
  <c r="S685" i="2"/>
  <c r="T685" i="2"/>
  <c r="U685" i="2"/>
  <c r="V685" i="2"/>
  <c r="W685" i="2"/>
  <c r="G686" i="2"/>
  <c r="O686" i="2"/>
  <c r="P686" i="2"/>
  <c r="Q686" i="2" s="1"/>
  <c r="R686" i="2"/>
  <c r="S686" i="2"/>
  <c r="T686" i="2"/>
  <c r="U686" i="2"/>
  <c r="V686" i="2"/>
  <c r="W686" i="2"/>
  <c r="G687" i="2"/>
  <c r="O687" i="2"/>
  <c r="P687" i="2"/>
  <c r="Q687" i="2" s="1"/>
  <c r="R687" i="2"/>
  <c r="S687" i="2"/>
  <c r="T687" i="2"/>
  <c r="U687" i="2"/>
  <c r="V687" i="2"/>
  <c r="W687" i="2"/>
  <c r="G688" i="2"/>
  <c r="O688" i="2"/>
  <c r="P688" i="2"/>
  <c r="Q688" i="2" s="1"/>
  <c r="R688" i="2"/>
  <c r="S688" i="2"/>
  <c r="T688" i="2"/>
  <c r="U688" i="2"/>
  <c r="V688" i="2"/>
  <c r="W688" i="2"/>
  <c r="G689" i="2"/>
  <c r="O689" i="2"/>
  <c r="P689" i="2"/>
  <c r="Q689" i="2" s="1"/>
  <c r="R689" i="2"/>
  <c r="S689" i="2"/>
  <c r="T689" i="2"/>
  <c r="U689" i="2"/>
  <c r="V689" i="2"/>
  <c r="W689" i="2"/>
  <c r="G690" i="2"/>
  <c r="O690" i="2"/>
  <c r="P690" i="2"/>
  <c r="Q690" i="2" s="1"/>
  <c r="R690" i="2"/>
  <c r="S690" i="2"/>
  <c r="T690" i="2"/>
  <c r="U690" i="2"/>
  <c r="V690" i="2"/>
  <c r="W690" i="2"/>
  <c r="G691" i="2"/>
  <c r="O691" i="2"/>
  <c r="P691" i="2"/>
  <c r="Q691" i="2" s="1"/>
  <c r="R691" i="2"/>
  <c r="S691" i="2"/>
  <c r="T691" i="2"/>
  <c r="U691" i="2"/>
  <c r="V691" i="2"/>
  <c r="W691" i="2"/>
  <c r="G692" i="2"/>
  <c r="O692" i="2"/>
  <c r="P692" i="2"/>
  <c r="Q692" i="2" s="1"/>
  <c r="R692" i="2"/>
  <c r="S692" i="2"/>
  <c r="T692" i="2"/>
  <c r="U692" i="2"/>
  <c r="V692" i="2"/>
  <c r="W692" i="2"/>
  <c r="G693" i="2"/>
  <c r="O693" i="2"/>
  <c r="P693" i="2"/>
  <c r="Q693" i="2"/>
  <c r="R693" i="2"/>
  <c r="S693" i="2"/>
  <c r="T693" i="2"/>
  <c r="U693" i="2"/>
  <c r="V693" i="2"/>
  <c r="W693" i="2"/>
  <c r="G694" i="2"/>
  <c r="O694" i="2"/>
  <c r="P694" i="2"/>
  <c r="Q694" i="2" s="1"/>
  <c r="R694" i="2"/>
  <c r="S694" i="2"/>
  <c r="T694" i="2"/>
  <c r="U694" i="2"/>
  <c r="V694" i="2"/>
  <c r="W694" i="2"/>
  <c r="G695" i="2"/>
  <c r="O695" i="2"/>
  <c r="P695" i="2"/>
  <c r="Q695" i="2" s="1"/>
  <c r="R695" i="2"/>
  <c r="S695" i="2"/>
  <c r="T695" i="2"/>
  <c r="U695" i="2"/>
  <c r="V695" i="2"/>
  <c r="W695" i="2"/>
  <c r="G696" i="2"/>
  <c r="O696" i="2"/>
  <c r="P696" i="2"/>
  <c r="Q696" i="2" s="1"/>
  <c r="R696" i="2"/>
  <c r="S696" i="2"/>
  <c r="T696" i="2"/>
  <c r="U696" i="2"/>
  <c r="V696" i="2"/>
  <c r="W696" i="2"/>
  <c r="G697" i="2"/>
  <c r="O697" i="2"/>
  <c r="P697" i="2"/>
  <c r="Q697" i="2" s="1"/>
  <c r="R697" i="2"/>
  <c r="S697" i="2"/>
  <c r="T697" i="2"/>
  <c r="U697" i="2"/>
  <c r="V697" i="2"/>
  <c r="W697" i="2"/>
  <c r="G698" i="2"/>
  <c r="O698" i="2"/>
  <c r="P698" i="2"/>
  <c r="Q698" i="2" s="1"/>
  <c r="R698" i="2"/>
  <c r="S698" i="2"/>
  <c r="T698" i="2"/>
  <c r="U698" i="2"/>
  <c r="V698" i="2"/>
  <c r="W698" i="2"/>
  <c r="G699" i="2"/>
  <c r="O699" i="2"/>
  <c r="P699" i="2"/>
  <c r="Q699" i="2" s="1"/>
  <c r="R699" i="2"/>
  <c r="S699" i="2"/>
  <c r="T699" i="2"/>
  <c r="U699" i="2"/>
  <c r="V699" i="2"/>
  <c r="W699" i="2"/>
  <c r="G700" i="2"/>
  <c r="O700" i="2"/>
  <c r="P700" i="2"/>
  <c r="Q700" i="2" s="1"/>
  <c r="R700" i="2"/>
  <c r="S700" i="2"/>
  <c r="T700" i="2"/>
  <c r="U700" i="2"/>
  <c r="V700" i="2"/>
  <c r="W700" i="2"/>
  <c r="G701" i="2"/>
  <c r="O701" i="2"/>
  <c r="P701" i="2"/>
  <c r="Q701" i="2" s="1"/>
  <c r="R701" i="2"/>
  <c r="S701" i="2"/>
  <c r="T701" i="2"/>
  <c r="U701" i="2"/>
  <c r="V701" i="2"/>
  <c r="W701" i="2"/>
  <c r="G702" i="2"/>
  <c r="O702" i="2"/>
  <c r="P702" i="2"/>
  <c r="Q702" i="2" s="1"/>
  <c r="R702" i="2"/>
  <c r="S702" i="2"/>
  <c r="T702" i="2"/>
  <c r="U702" i="2"/>
  <c r="V702" i="2"/>
  <c r="W702" i="2"/>
  <c r="G703" i="2"/>
  <c r="O703" i="2"/>
  <c r="P703" i="2"/>
  <c r="Q703" i="2" s="1"/>
  <c r="R703" i="2"/>
  <c r="S703" i="2"/>
  <c r="T703" i="2"/>
  <c r="U703" i="2"/>
  <c r="V703" i="2"/>
  <c r="W703" i="2"/>
  <c r="G704" i="2"/>
  <c r="O704" i="2"/>
  <c r="P704" i="2"/>
  <c r="Q704" i="2" s="1"/>
  <c r="R704" i="2"/>
  <c r="S704" i="2"/>
  <c r="T704" i="2"/>
  <c r="U704" i="2"/>
  <c r="V704" i="2"/>
  <c r="W704" i="2"/>
  <c r="G705" i="2"/>
  <c r="O705" i="2"/>
  <c r="P705" i="2"/>
  <c r="Q705" i="2" s="1"/>
  <c r="R705" i="2"/>
  <c r="S705" i="2"/>
  <c r="T705" i="2"/>
  <c r="U705" i="2"/>
  <c r="V705" i="2"/>
  <c r="W705" i="2"/>
  <c r="G706" i="2"/>
  <c r="O706" i="2"/>
  <c r="P706" i="2"/>
  <c r="Q706" i="2"/>
  <c r="R706" i="2"/>
  <c r="S706" i="2"/>
  <c r="T706" i="2"/>
  <c r="U706" i="2"/>
  <c r="V706" i="2"/>
  <c r="W706" i="2"/>
  <c r="G707" i="2"/>
  <c r="O707" i="2"/>
  <c r="P707" i="2"/>
  <c r="Q707" i="2" s="1"/>
  <c r="R707" i="2"/>
  <c r="S707" i="2"/>
  <c r="T707" i="2"/>
  <c r="U707" i="2"/>
  <c r="V707" i="2"/>
  <c r="W707" i="2"/>
  <c r="G708" i="2"/>
  <c r="O708" i="2"/>
  <c r="P708" i="2"/>
  <c r="Q708" i="2" s="1"/>
  <c r="R708" i="2"/>
  <c r="S708" i="2"/>
  <c r="T708" i="2"/>
  <c r="U708" i="2"/>
  <c r="V708" i="2"/>
  <c r="W708" i="2"/>
  <c r="G709" i="2"/>
  <c r="O709" i="2"/>
  <c r="P709" i="2"/>
  <c r="Q709" i="2" s="1"/>
  <c r="R709" i="2"/>
  <c r="S709" i="2"/>
  <c r="T709" i="2"/>
  <c r="U709" i="2"/>
  <c r="V709" i="2"/>
  <c r="W709" i="2"/>
  <c r="G710" i="2"/>
  <c r="O710" i="2"/>
  <c r="P710" i="2"/>
  <c r="Q710" i="2" s="1"/>
  <c r="R710" i="2"/>
  <c r="S710" i="2"/>
  <c r="T710" i="2"/>
  <c r="U710" i="2"/>
  <c r="V710" i="2"/>
  <c r="W710" i="2"/>
  <c r="G711" i="2"/>
  <c r="O711" i="2"/>
  <c r="P711" i="2"/>
  <c r="Q711" i="2" s="1"/>
  <c r="R711" i="2"/>
  <c r="S711" i="2"/>
  <c r="T711" i="2"/>
  <c r="U711" i="2"/>
  <c r="V711" i="2"/>
  <c r="W711" i="2"/>
  <c r="G712" i="2"/>
  <c r="O712" i="2"/>
  <c r="P712" i="2"/>
  <c r="Q712" i="2" s="1"/>
  <c r="R712" i="2"/>
  <c r="S712" i="2"/>
  <c r="T712" i="2"/>
  <c r="U712" i="2"/>
  <c r="V712" i="2"/>
  <c r="W712" i="2"/>
  <c r="G713" i="2"/>
  <c r="O713" i="2"/>
  <c r="P713" i="2"/>
  <c r="Q713" i="2" s="1"/>
  <c r="R713" i="2"/>
  <c r="S713" i="2"/>
  <c r="T713" i="2"/>
  <c r="U713" i="2"/>
  <c r="V713" i="2"/>
  <c r="W713" i="2"/>
  <c r="G714" i="2"/>
  <c r="O714" i="2"/>
  <c r="P714" i="2"/>
  <c r="Q714" i="2" s="1"/>
  <c r="R714" i="2"/>
  <c r="S714" i="2"/>
  <c r="T714" i="2"/>
  <c r="U714" i="2"/>
  <c r="V714" i="2"/>
  <c r="W714" i="2"/>
  <c r="G715" i="2"/>
  <c r="O715" i="2"/>
  <c r="P715" i="2"/>
  <c r="Q715" i="2" s="1"/>
  <c r="R715" i="2"/>
  <c r="S715" i="2"/>
  <c r="T715" i="2"/>
  <c r="U715" i="2"/>
  <c r="V715" i="2"/>
  <c r="W715" i="2"/>
  <c r="G716" i="2"/>
  <c r="O716" i="2"/>
  <c r="P716" i="2"/>
  <c r="Q716" i="2" s="1"/>
  <c r="R716" i="2"/>
  <c r="S716" i="2"/>
  <c r="T716" i="2"/>
  <c r="U716" i="2"/>
  <c r="V716" i="2"/>
  <c r="W716" i="2"/>
  <c r="G717" i="2"/>
  <c r="O717" i="2"/>
  <c r="P717" i="2"/>
  <c r="Q717" i="2" s="1"/>
  <c r="R717" i="2"/>
  <c r="S717" i="2"/>
  <c r="T717" i="2"/>
  <c r="U717" i="2"/>
  <c r="V717" i="2"/>
  <c r="W717" i="2"/>
  <c r="G718" i="2"/>
  <c r="O718" i="2"/>
  <c r="P718" i="2"/>
  <c r="Q718" i="2" s="1"/>
  <c r="R718" i="2"/>
  <c r="S718" i="2"/>
  <c r="T718" i="2"/>
  <c r="U718" i="2"/>
  <c r="V718" i="2"/>
  <c r="W718" i="2"/>
  <c r="G719" i="2"/>
  <c r="O719" i="2"/>
  <c r="P719" i="2"/>
  <c r="Q719" i="2" s="1"/>
  <c r="R719" i="2"/>
  <c r="S719" i="2"/>
  <c r="T719" i="2"/>
  <c r="U719" i="2"/>
  <c r="V719" i="2"/>
  <c r="W719" i="2"/>
  <c r="G720" i="2"/>
  <c r="O720" i="2"/>
  <c r="P720" i="2"/>
  <c r="Q720" i="2" s="1"/>
  <c r="R720" i="2"/>
  <c r="S720" i="2"/>
  <c r="T720" i="2"/>
  <c r="U720" i="2"/>
  <c r="V720" i="2"/>
  <c r="W720" i="2"/>
  <c r="G721" i="2"/>
  <c r="O721" i="2"/>
  <c r="P721" i="2"/>
  <c r="Q721" i="2" s="1"/>
  <c r="R721" i="2"/>
  <c r="S721" i="2"/>
  <c r="T721" i="2"/>
  <c r="U721" i="2"/>
  <c r="V721" i="2"/>
  <c r="W721" i="2"/>
  <c r="G722" i="2"/>
  <c r="O722" i="2"/>
  <c r="P722" i="2"/>
  <c r="Q722" i="2" s="1"/>
  <c r="R722" i="2"/>
  <c r="S722" i="2"/>
  <c r="T722" i="2"/>
  <c r="U722" i="2"/>
  <c r="V722" i="2"/>
  <c r="W722" i="2"/>
  <c r="G723" i="2"/>
  <c r="O723" i="2"/>
  <c r="P723" i="2"/>
  <c r="Q723" i="2" s="1"/>
  <c r="R723" i="2"/>
  <c r="S723" i="2"/>
  <c r="T723" i="2"/>
  <c r="U723" i="2"/>
  <c r="V723" i="2"/>
  <c r="W723" i="2"/>
  <c r="G724" i="2"/>
  <c r="O724" i="2"/>
  <c r="P724" i="2"/>
  <c r="Q724" i="2" s="1"/>
  <c r="R724" i="2"/>
  <c r="S724" i="2"/>
  <c r="T724" i="2"/>
  <c r="U724" i="2"/>
  <c r="V724" i="2"/>
  <c r="W724" i="2"/>
  <c r="G725" i="2"/>
  <c r="O725" i="2"/>
  <c r="P725" i="2"/>
  <c r="Q725" i="2" s="1"/>
  <c r="R725" i="2"/>
  <c r="S725" i="2"/>
  <c r="T725" i="2"/>
  <c r="U725" i="2"/>
  <c r="V725" i="2"/>
  <c r="W725" i="2"/>
  <c r="G726" i="2"/>
  <c r="O726" i="2"/>
  <c r="P726" i="2"/>
  <c r="Q726" i="2" s="1"/>
  <c r="R726" i="2"/>
  <c r="S726" i="2"/>
  <c r="T726" i="2"/>
  <c r="U726" i="2"/>
  <c r="V726" i="2"/>
  <c r="W726" i="2"/>
  <c r="G727" i="2"/>
  <c r="O727" i="2"/>
  <c r="P727" i="2"/>
  <c r="Q727" i="2" s="1"/>
  <c r="R727" i="2"/>
  <c r="S727" i="2"/>
  <c r="T727" i="2"/>
  <c r="U727" i="2"/>
  <c r="V727" i="2"/>
  <c r="W727" i="2"/>
  <c r="G728" i="2"/>
  <c r="O728" i="2"/>
  <c r="P728" i="2"/>
  <c r="Q728" i="2" s="1"/>
  <c r="R728" i="2"/>
  <c r="S728" i="2"/>
  <c r="T728" i="2"/>
  <c r="U728" i="2"/>
  <c r="V728" i="2"/>
  <c r="W728" i="2"/>
  <c r="G729" i="2"/>
  <c r="O729" i="2"/>
  <c r="P729" i="2"/>
  <c r="Q729" i="2" s="1"/>
  <c r="R729" i="2"/>
  <c r="S729" i="2"/>
  <c r="T729" i="2"/>
  <c r="U729" i="2"/>
  <c r="V729" i="2"/>
  <c r="W729" i="2"/>
  <c r="G730" i="2"/>
  <c r="O730" i="2"/>
  <c r="P730" i="2"/>
  <c r="Q730" i="2" s="1"/>
  <c r="R730" i="2"/>
  <c r="S730" i="2"/>
  <c r="T730" i="2"/>
  <c r="U730" i="2"/>
  <c r="V730" i="2"/>
  <c r="W730" i="2"/>
  <c r="G731" i="2"/>
  <c r="O731" i="2"/>
  <c r="P731" i="2"/>
  <c r="Q731" i="2" s="1"/>
  <c r="R731" i="2"/>
  <c r="S731" i="2"/>
  <c r="T731" i="2"/>
  <c r="U731" i="2"/>
  <c r="V731" i="2"/>
  <c r="W731" i="2"/>
  <c r="G732" i="2"/>
  <c r="O732" i="2"/>
  <c r="P732" i="2"/>
  <c r="Q732" i="2" s="1"/>
  <c r="R732" i="2"/>
  <c r="S732" i="2"/>
  <c r="T732" i="2"/>
  <c r="U732" i="2"/>
  <c r="V732" i="2"/>
  <c r="W732" i="2"/>
  <c r="G733" i="2"/>
  <c r="O733" i="2"/>
  <c r="P733" i="2"/>
  <c r="Q733" i="2" s="1"/>
  <c r="R733" i="2"/>
  <c r="S733" i="2"/>
  <c r="T733" i="2"/>
  <c r="U733" i="2"/>
  <c r="V733" i="2"/>
  <c r="W733" i="2"/>
  <c r="G734" i="2"/>
  <c r="O734" i="2"/>
  <c r="P734" i="2"/>
  <c r="Q734" i="2" s="1"/>
  <c r="R734" i="2"/>
  <c r="S734" i="2"/>
  <c r="T734" i="2"/>
  <c r="U734" i="2"/>
  <c r="V734" i="2"/>
  <c r="W734" i="2"/>
  <c r="G735" i="2"/>
  <c r="O735" i="2"/>
  <c r="P735" i="2"/>
  <c r="Q735" i="2" s="1"/>
  <c r="R735" i="2"/>
  <c r="S735" i="2"/>
  <c r="T735" i="2"/>
  <c r="U735" i="2"/>
  <c r="V735" i="2"/>
  <c r="W735" i="2"/>
  <c r="G736" i="2"/>
  <c r="O736" i="2"/>
  <c r="P736" i="2"/>
  <c r="Q736" i="2" s="1"/>
  <c r="R736" i="2"/>
  <c r="S736" i="2"/>
  <c r="T736" i="2"/>
  <c r="U736" i="2"/>
  <c r="V736" i="2"/>
  <c r="W736" i="2"/>
  <c r="G737" i="2"/>
  <c r="O737" i="2"/>
  <c r="P737" i="2"/>
  <c r="Q737" i="2" s="1"/>
  <c r="R737" i="2"/>
  <c r="S737" i="2"/>
  <c r="T737" i="2"/>
  <c r="U737" i="2"/>
  <c r="V737" i="2"/>
  <c r="W737" i="2"/>
  <c r="G738" i="2"/>
  <c r="O738" i="2"/>
  <c r="P738" i="2"/>
  <c r="Q738" i="2" s="1"/>
  <c r="R738" i="2"/>
  <c r="S738" i="2"/>
  <c r="T738" i="2"/>
  <c r="U738" i="2"/>
  <c r="V738" i="2"/>
  <c r="W738" i="2"/>
  <c r="G739" i="2"/>
  <c r="O739" i="2"/>
  <c r="P739" i="2"/>
  <c r="Q739" i="2" s="1"/>
  <c r="R739" i="2"/>
  <c r="S739" i="2"/>
  <c r="T739" i="2"/>
  <c r="U739" i="2"/>
  <c r="V739" i="2"/>
  <c r="W739" i="2"/>
  <c r="G740" i="2"/>
  <c r="O740" i="2"/>
  <c r="P740" i="2"/>
  <c r="Q740" i="2" s="1"/>
  <c r="R740" i="2"/>
  <c r="S740" i="2"/>
  <c r="T740" i="2"/>
  <c r="U740" i="2"/>
  <c r="V740" i="2"/>
  <c r="W740" i="2"/>
  <c r="G741" i="2"/>
  <c r="O741" i="2"/>
  <c r="P741" i="2"/>
  <c r="Q741" i="2" s="1"/>
  <c r="R741" i="2"/>
  <c r="S741" i="2"/>
  <c r="T741" i="2"/>
  <c r="U741" i="2"/>
  <c r="V741" i="2"/>
  <c r="W741" i="2"/>
  <c r="G742" i="2"/>
  <c r="O742" i="2"/>
  <c r="P742" i="2"/>
  <c r="Q742" i="2" s="1"/>
  <c r="R742" i="2"/>
  <c r="S742" i="2"/>
  <c r="T742" i="2"/>
  <c r="U742" i="2"/>
  <c r="V742" i="2"/>
  <c r="W742" i="2"/>
  <c r="G743" i="2"/>
  <c r="O743" i="2"/>
  <c r="P743" i="2"/>
  <c r="Q743" i="2" s="1"/>
  <c r="R743" i="2"/>
  <c r="S743" i="2"/>
  <c r="T743" i="2"/>
  <c r="U743" i="2"/>
  <c r="V743" i="2"/>
  <c r="W743" i="2"/>
  <c r="G744" i="2"/>
  <c r="O744" i="2"/>
  <c r="P744" i="2"/>
  <c r="Q744" i="2" s="1"/>
  <c r="R744" i="2"/>
  <c r="S744" i="2"/>
  <c r="T744" i="2"/>
  <c r="U744" i="2"/>
  <c r="V744" i="2"/>
  <c r="W744" i="2"/>
  <c r="G745" i="2"/>
  <c r="O745" i="2"/>
  <c r="P745" i="2"/>
  <c r="Q745" i="2" s="1"/>
  <c r="R745" i="2"/>
  <c r="S745" i="2"/>
  <c r="T745" i="2"/>
  <c r="U745" i="2"/>
  <c r="V745" i="2"/>
  <c r="W745" i="2"/>
  <c r="G746" i="2"/>
  <c r="O746" i="2"/>
  <c r="P746" i="2"/>
  <c r="Q746" i="2" s="1"/>
  <c r="R746" i="2"/>
  <c r="S746" i="2"/>
  <c r="T746" i="2"/>
  <c r="U746" i="2"/>
  <c r="V746" i="2"/>
  <c r="W746" i="2"/>
  <c r="G747" i="2"/>
  <c r="O747" i="2"/>
  <c r="P747" i="2"/>
  <c r="Q747" i="2" s="1"/>
  <c r="R747" i="2"/>
  <c r="S747" i="2"/>
  <c r="T747" i="2"/>
  <c r="U747" i="2"/>
  <c r="V747" i="2"/>
  <c r="W747" i="2"/>
  <c r="G748" i="2"/>
  <c r="O748" i="2"/>
  <c r="P748" i="2"/>
  <c r="Q748" i="2" s="1"/>
  <c r="R748" i="2"/>
  <c r="S748" i="2"/>
  <c r="T748" i="2"/>
  <c r="U748" i="2"/>
  <c r="V748" i="2"/>
  <c r="W748" i="2"/>
  <c r="G749" i="2"/>
  <c r="O749" i="2"/>
  <c r="P749" i="2"/>
  <c r="Q749" i="2" s="1"/>
  <c r="R749" i="2"/>
  <c r="S749" i="2"/>
  <c r="T749" i="2"/>
  <c r="U749" i="2"/>
  <c r="V749" i="2"/>
  <c r="W749" i="2"/>
  <c r="G750" i="2"/>
  <c r="O750" i="2"/>
  <c r="P750" i="2"/>
  <c r="Q750" i="2" s="1"/>
  <c r="R750" i="2"/>
  <c r="S750" i="2"/>
  <c r="T750" i="2"/>
  <c r="U750" i="2"/>
  <c r="V750" i="2"/>
  <c r="W750" i="2"/>
  <c r="G751" i="2"/>
  <c r="O751" i="2"/>
  <c r="P751" i="2"/>
  <c r="Q751" i="2" s="1"/>
  <c r="R751" i="2"/>
  <c r="S751" i="2"/>
  <c r="T751" i="2"/>
  <c r="U751" i="2"/>
  <c r="V751" i="2"/>
  <c r="W751" i="2"/>
  <c r="G752" i="2"/>
  <c r="O752" i="2"/>
  <c r="P752" i="2"/>
  <c r="Q752" i="2" s="1"/>
  <c r="R752" i="2"/>
  <c r="S752" i="2"/>
  <c r="T752" i="2"/>
  <c r="U752" i="2"/>
  <c r="V752" i="2"/>
  <c r="W752" i="2"/>
  <c r="G753" i="2"/>
  <c r="O753" i="2"/>
  <c r="P753" i="2"/>
  <c r="Q753" i="2" s="1"/>
  <c r="R753" i="2"/>
  <c r="S753" i="2"/>
  <c r="T753" i="2"/>
  <c r="U753" i="2"/>
  <c r="V753" i="2"/>
  <c r="W753" i="2"/>
  <c r="G754" i="2"/>
  <c r="O754" i="2"/>
  <c r="P754" i="2"/>
  <c r="Q754" i="2" s="1"/>
  <c r="R754" i="2"/>
  <c r="S754" i="2"/>
  <c r="T754" i="2"/>
  <c r="U754" i="2"/>
  <c r="V754" i="2"/>
  <c r="W754" i="2"/>
  <c r="G755" i="2"/>
  <c r="O755" i="2"/>
  <c r="P755" i="2"/>
  <c r="Q755" i="2" s="1"/>
  <c r="R755" i="2"/>
  <c r="S755" i="2"/>
  <c r="T755" i="2"/>
  <c r="U755" i="2"/>
  <c r="V755" i="2"/>
  <c r="W755" i="2"/>
  <c r="G756" i="2"/>
  <c r="O756" i="2"/>
  <c r="P756" i="2"/>
  <c r="Q756" i="2" s="1"/>
  <c r="R756" i="2"/>
  <c r="S756" i="2"/>
  <c r="T756" i="2"/>
  <c r="U756" i="2"/>
  <c r="V756" i="2"/>
  <c r="W756" i="2"/>
  <c r="G757" i="2"/>
  <c r="O757" i="2"/>
  <c r="P757" i="2"/>
  <c r="Q757" i="2" s="1"/>
  <c r="R757" i="2"/>
  <c r="S757" i="2"/>
  <c r="T757" i="2"/>
  <c r="U757" i="2"/>
  <c r="V757" i="2"/>
  <c r="W757" i="2"/>
  <c r="G758" i="2"/>
  <c r="O758" i="2"/>
  <c r="P758" i="2"/>
  <c r="Q758" i="2" s="1"/>
  <c r="R758" i="2"/>
  <c r="S758" i="2"/>
  <c r="T758" i="2"/>
  <c r="U758" i="2"/>
  <c r="V758" i="2"/>
  <c r="W758" i="2"/>
  <c r="G759" i="2"/>
  <c r="O759" i="2"/>
  <c r="P759" i="2"/>
  <c r="Q759" i="2" s="1"/>
  <c r="R759" i="2"/>
  <c r="S759" i="2"/>
  <c r="T759" i="2"/>
  <c r="U759" i="2"/>
  <c r="V759" i="2"/>
  <c r="W759" i="2"/>
  <c r="G760" i="2"/>
  <c r="O760" i="2"/>
  <c r="P760" i="2"/>
  <c r="Q760" i="2" s="1"/>
  <c r="R760" i="2"/>
  <c r="S760" i="2"/>
  <c r="T760" i="2"/>
  <c r="U760" i="2"/>
  <c r="V760" i="2"/>
  <c r="W760" i="2"/>
  <c r="G761" i="2"/>
  <c r="O761" i="2"/>
  <c r="P761" i="2"/>
  <c r="Q761" i="2" s="1"/>
  <c r="R761" i="2"/>
  <c r="S761" i="2"/>
  <c r="T761" i="2"/>
  <c r="U761" i="2"/>
  <c r="V761" i="2"/>
  <c r="W761" i="2"/>
  <c r="G762" i="2"/>
  <c r="O762" i="2"/>
  <c r="P762" i="2"/>
  <c r="Q762" i="2" s="1"/>
  <c r="R762" i="2"/>
  <c r="S762" i="2"/>
  <c r="T762" i="2"/>
  <c r="U762" i="2"/>
  <c r="V762" i="2"/>
  <c r="W762" i="2"/>
  <c r="G763" i="2"/>
  <c r="O763" i="2"/>
  <c r="P763" i="2"/>
  <c r="Q763" i="2" s="1"/>
  <c r="R763" i="2"/>
  <c r="S763" i="2"/>
  <c r="T763" i="2"/>
  <c r="U763" i="2"/>
  <c r="V763" i="2"/>
  <c r="W763" i="2"/>
  <c r="G764" i="2"/>
  <c r="O764" i="2"/>
  <c r="P764" i="2"/>
  <c r="Q764" i="2" s="1"/>
  <c r="R764" i="2"/>
  <c r="S764" i="2"/>
  <c r="T764" i="2"/>
  <c r="U764" i="2"/>
  <c r="V764" i="2"/>
  <c r="W764" i="2"/>
  <c r="G765" i="2"/>
  <c r="O765" i="2"/>
  <c r="P765" i="2"/>
  <c r="Q765" i="2" s="1"/>
  <c r="R765" i="2"/>
  <c r="S765" i="2"/>
  <c r="T765" i="2"/>
  <c r="U765" i="2"/>
  <c r="V765" i="2"/>
  <c r="W765" i="2"/>
  <c r="G766" i="2"/>
  <c r="O766" i="2"/>
  <c r="P766" i="2"/>
  <c r="Q766" i="2" s="1"/>
  <c r="R766" i="2"/>
  <c r="S766" i="2"/>
  <c r="T766" i="2"/>
  <c r="U766" i="2"/>
  <c r="V766" i="2"/>
  <c r="W766" i="2"/>
  <c r="G767" i="2"/>
  <c r="O767" i="2"/>
  <c r="P767" i="2"/>
  <c r="Q767" i="2" s="1"/>
  <c r="R767" i="2"/>
  <c r="S767" i="2"/>
  <c r="T767" i="2"/>
  <c r="U767" i="2"/>
  <c r="V767" i="2"/>
  <c r="W767" i="2"/>
  <c r="G768" i="2"/>
  <c r="O768" i="2"/>
  <c r="P768" i="2"/>
  <c r="Q768" i="2" s="1"/>
  <c r="R768" i="2"/>
  <c r="S768" i="2"/>
  <c r="T768" i="2"/>
  <c r="U768" i="2"/>
  <c r="V768" i="2"/>
  <c r="W768" i="2"/>
  <c r="G769" i="2"/>
  <c r="O769" i="2"/>
  <c r="P769" i="2"/>
  <c r="Q769" i="2" s="1"/>
  <c r="R769" i="2"/>
  <c r="S769" i="2"/>
  <c r="T769" i="2"/>
  <c r="U769" i="2"/>
  <c r="V769" i="2"/>
  <c r="W769" i="2"/>
  <c r="G770" i="2"/>
  <c r="O770" i="2"/>
  <c r="P770" i="2"/>
  <c r="Q770" i="2" s="1"/>
  <c r="R770" i="2"/>
  <c r="S770" i="2"/>
  <c r="T770" i="2"/>
  <c r="U770" i="2"/>
  <c r="V770" i="2"/>
  <c r="W770" i="2"/>
  <c r="G771" i="2"/>
  <c r="O771" i="2"/>
  <c r="P771" i="2"/>
  <c r="Q771" i="2" s="1"/>
  <c r="R771" i="2"/>
  <c r="S771" i="2"/>
  <c r="T771" i="2"/>
  <c r="U771" i="2"/>
  <c r="V771" i="2"/>
  <c r="W771" i="2"/>
  <c r="G772" i="2"/>
  <c r="O772" i="2"/>
  <c r="P772" i="2"/>
  <c r="Q772" i="2" s="1"/>
  <c r="R772" i="2"/>
  <c r="S772" i="2"/>
  <c r="T772" i="2"/>
  <c r="U772" i="2"/>
  <c r="V772" i="2"/>
  <c r="W772" i="2"/>
  <c r="G773" i="2"/>
  <c r="O773" i="2"/>
  <c r="P773" i="2"/>
  <c r="Q773" i="2" s="1"/>
  <c r="R773" i="2"/>
  <c r="S773" i="2"/>
  <c r="T773" i="2"/>
  <c r="U773" i="2"/>
  <c r="V773" i="2"/>
  <c r="W773" i="2"/>
  <c r="G774" i="2"/>
  <c r="O774" i="2"/>
  <c r="P774" i="2"/>
  <c r="Q774" i="2" s="1"/>
  <c r="R774" i="2"/>
  <c r="S774" i="2"/>
  <c r="T774" i="2"/>
  <c r="U774" i="2"/>
  <c r="V774" i="2"/>
  <c r="W774" i="2"/>
  <c r="G775" i="2"/>
  <c r="O775" i="2"/>
  <c r="P775" i="2"/>
  <c r="Q775" i="2" s="1"/>
  <c r="R775" i="2"/>
  <c r="S775" i="2"/>
  <c r="T775" i="2"/>
  <c r="U775" i="2"/>
  <c r="V775" i="2"/>
  <c r="W775" i="2"/>
  <c r="G776" i="2"/>
  <c r="O776" i="2"/>
  <c r="P776" i="2"/>
  <c r="Q776" i="2" s="1"/>
  <c r="R776" i="2"/>
  <c r="S776" i="2"/>
  <c r="T776" i="2"/>
  <c r="U776" i="2"/>
  <c r="V776" i="2"/>
  <c r="W776" i="2"/>
  <c r="G777" i="2"/>
  <c r="O777" i="2"/>
  <c r="P777" i="2"/>
  <c r="Q777" i="2" s="1"/>
  <c r="R777" i="2"/>
  <c r="S777" i="2"/>
  <c r="T777" i="2"/>
  <c r="U777" i="2"/>
  <c r="V777" i="2"/>
  <c r="W777" i="2"/>
  <c r="G778" i="2"/>
  <c r="O778" i="2"/>
  <c r="P778" i="2"/>
  <c r="Q778" i="2" s="1"/>
  <c r="R778" i="2"/>
  <c r="S778" i="2"/>
  <c r="T778" i="2"/>
  <c r="U778" i="2"/>
  <c r="V778" i="2"/>
  <c r="W778" i="2"/>
  <c r="G779" i="2"/>
  <c r="O779" i="2"/>
  <c r="P779" i="2"/>
  <c r="Q779" i="2" s="1"/>
  <c r="R779" i="2"/>
  <c r="S779" i="2"/>
  <c r="T779" i="2"/>
  <c r="U779" i="2"/>
  <c r="V779" i="2"/>
  <c r="W779" i="2"/>
  <c r="G780" i="2"/>
  <c r="O780" i="2"/>
  <c r="P780" i="2"/>
  <c r="Q780" i="2" s="1"/>
  <c r="R780" i="2"/>
  <c r="S780" i="2"/>
  <c r="T780" i="2"/>
  <c r="U780" i="2"/>
  <c r="V780" i="2"/>
  <c r="W780" i="2"/>
  <c r="G781" i="2"/>
  <c r="O781" i="2"/>
  <c r="P781" i="2"/>
  <c r="Q781" i="2" s="1"/>
  <c r="R781" i="2"/>
  <c r="S781" i="2"/>
  <c r="T781" i="2"/>
  <c r="U781" i="2"/>
  <c r="V781" i="2"/>
  <c r="W781" i="2"/>
  <c r="G782" i="2"/>
  <c r="O782" i="2"/>
  <c r="P782" i="2"/>
  <c r="Q782" i="2" s="1"/>
  <c r="R782" i="2"/>
  <c r="S782" i="2"/>
  <c r="T782" i="2"/>
  <c r="U782" i="2"/>
  <c r="V782" i="2"/>
  <c r="W782" i="2"/>
  <c r="G783" i="2"/>
  <c r="O783" i="2"/>
  <c r="P783" i="2"/>
  <c r="Q783" i="2" s="1"/>
  <c r="R783" i="2"/>
  <c r="S783" i="2"/>
  <c r="T783" i="2"/>
  <c r="U783" i="2"/>
  <c r="V783" i="2"/>
  <c r="W783" i="2"/>
  <c r="G784" i="2"/>
  <c r="O784" i="2"/>
  <c r="P784" i="2"/>
  <c r="Q784" i="2" s="1"/>
  <c r="R784" i="2"/>
  <c r="S784" i="2"/>
  <c r="T784" i="2"/>
  <c r="U784" i="2"/>
  <c r="V784" i="2"/>
  <c r="W784" i="2"/>
  <c r="G785" i="2"/>
  <c r="O785" i="2"/>
  <c r="P785" i="2"/>
  <c r="Q785" i="2" s="1"/>
  <c r="R785" i="2"/>
  <c r="S785" i="2"/>
  <c r="T785" i="2"/>
  <c r="U785" i="2"/>
  <c r="V785" i="2"/>
  <c r="W785" i="2"/>
  <c r="G786" i="2"/>
  <c r="O786" i="2"/>
  <c r="P786" i="2"/>
  <c r="Q786" i="2" s="1"/>
  <c r="R786" i="2"/>
  <c r="S786" i="2"/>
  <c r="T786" i="2"/>
  <c r="U786" i="2"/>
  <c r="V786" i="2"/>
  <c r="W786" i="2"/>
  <c r="G787" i="2"/>
  <c r="O787" i="2"/>
  <c r="P787" i="2"/>
  <c r="Q787" i="2" s="1"/>
  <c r="R787" i="2"/>
  <c r="S787" i="2"/>
  <c r="T787" i="2"/>
  <c r="U787" i="2"/>
  <c r="V787" i="2"/>
  <c r="W787" i="2"/>
  <c r="G788" i="2"/>
  <c r="O788" i="2"/>
  <c r="P788" i="2"/>
  <c r="Q788" i="2" s="1"/>
  <c r="R788" i="2"/>
  <c r="S788" i="2"/>
  <c r="T788" i="2"/>
  <c r="U788" i="2"/>
  <c r="V788" i="2"/>
  <c r="W788" i="2"/>
  <c r="G789" i="2"/>
  <c r="O789" i="2"/>
  <c r="P789" i="2"/>
  <c r="Q789" i="2"/>
  <c r="R789" i="2"/>
  <c r="S789" i="2"/>
  <c r="T789" i="2"/>
  <c r="U789" i="2"/>
  <c r="V789" i="2"/>
  <c r="W789" i="2"/>
  <c r="G790" i="2"/>
  <c r="O790" i="2"/>
  <c r="P790" i="2"/>
  <c r="Q790" i="2" s="1"/>
  <c r="R790" i="2"/>
  <c r="S790" i="2"/>
  <c r="T790" i="2"/>
  <c r="U790" i="2"/>
  <c r="V790" i="2"/>
  <c r="W790" i="2"/>
  <c r="G791" i="2"/>
  <c r="O791" i="2"/>
  <c r="P791" i="2"/>
  <c r="Q791" i="2" s="1"/>
  <c r="R791" i="2"/>
  <c r="S791" i="2"/>
  <c r="T791" i="2"/>
  <c r="U791" i="2"/>
  <c r="V791" i="2"/>
  <c r="W791" i="2"/>
  <c r="G792" i="2"/>
  <c r="O792" i="2"/>
  <c r="P792" i="2"/>
  <c r="Q792" i="2" s="1"/>
  <c r="R792" i="2"/>
  <c r="S792" i="2"/>
  <c r="T792" i="2"/>
  <c r="U792" i="2"/>
  <c r="V792" i="2"/>
  <c r="W792" i="2"/>
  <c r="G793" i="2"/>
  <c r="O793" i="2"/>
  <c r="P793" i="2"/>
  <c r="Q793" i="2"/>
  <c r="R793" i="2"/>
  <c r="S793" i="2"/>
  <c r="T793" i="2"/>
  <c r="U793" i="2"/>
  <c r="V793" i="2"/>
  <c r="W793" i="2"/>
  <c r="G794" i="2"/>
  <c r="O794" i="2"/>
  <c r="P794" i="2"/>
  <c r="Q794" i="2" s="1"/>
  <c r="R794" i="2"/>
  <c r="S794" i="2"/>
  <c r="T794" i="2"/>
  <c r="U794" i="2"/>
  <c r="V794" i="2"/>
  <c r="W794" i="2"/>
  <c r="G795" i="2"/>
  <c r="O795" i="2"/>
  <c r="P795" i="2"/>
  <c r="Q795" i="2" s="1"/>
  <c r="R795" i="2"/>
  <c r="S795" i="2"/>
  <c r="T795" i="2"/>
  <c r="U795" i="2"/>
  <c r="V795" i="2"/>
  <c r="W795" i="2"/>
  <c r="G796" i="2"/>
  <c r="O796" i="2"/>
  <c r="P796" i="2"/>
  <c r="Q796" i="2" s="1"/>
  <c r="R796" i="2"/>
  <c r="S796" i="2"/>
  <c r="T796" i="2"/>
  <c r="U796" i="2"/>
  <c r="V796" i="2"/>
  <c r="W796" i="2"/>
  <c r="G797" i="2"/>
  <c r="O797" i="2"/>
  <c r="P797" i="2"/>
  <c r="Q797" i="2" s="1"/>
  <c r="R797" i="2"/>
  <c r="S797" i="2"/>
  <c r="T797" i="2"/>
  <c r="U797" i="2"/>
  <c r="V797" i="2"/>
  <c r="W797" i="2"/>
  <c r="G798" i="2"/>
  <c r="O798" i="2"/>
  <c r="P798" i="2"/>
  <c r="Q798" i="2" s="1"/>
  <c r="R798" i="2"/>
  <c r="S798" i="2"/>
  <c r="T798" i="2"/>
  <c r="U798" i="2"/>
  <c r="V798" i="2"/>
  <c r="W798" i="2"/>
  <c r="G799" i="2"/>
  <c r="O799" i="2"/>
  <c r="P799" i="2"/>
  <c r="Q799" i="2" s="1"/>
  <c r="R799" i="2"/>
  <c r="S799" i="2"/>
  <c r="T799" i="2"/>
  <c r="U799" i="2"/>
  <c r="V799" i="2"/>
  <c r="W799" i="2"/>
  <c r="G800" i="2"/>
  <c r="O800" i="2"/>
  <c r="P800" i="2"/>
  <c r="Q800" i="2" s="1"/>
  <c r="R800" i="2"/>
  <c r="S800" i="2"/>
  <c r="T800" i="2"/>
  <c r="U800" i="2"/>
  <c r="V800" i="2"/>
  <c r="W800" i="2"/>
  <c r="G801" i="2"/>
  <c r="O801" i="2"/>
  <c r="P801" i="2"/>
  <c r="Q801" i="2"/>
  <c r="R801" i="2"/>
  <c r="S801" i="2"/>
  <c r="T801" i="2"/>
  <c r="U801" i="2"/>
  <c r="V801" i="2"/>
  <c r="W801" i="2"/>
  <c r="G802" i="2"/>
  <c r="O802" i="2"/>
  <c r="P802" i="2"/>
  <c r="Q802" i="2" s="1"/>
  <c r="R802" i="2"/>
  <c r="S802" i="2"/>
  <c r="T802" i="2"/>
  <c r="U802" i="2"/>
  <c r="V802" i="2"/>
  <c r="W802" i="2"/>
  <c r="G803" i="2"/>
  <c r="O803" i="2"/>
  <c r="P803" i="2"/>
  <c r="Q803" i="2" s="1"/>
  <c r="R803" i="2"/>
  <c r="S803" i="2"/>
  <c r="T803" i="2"/>
  <c r="U803" i="2"/>
  <c r="V803" i="2"/>
  <c r="W803" i="2"/>
  <c r="G804" i="2"/>
  <c r="O804" i="2"/>
  <c r="P804" i="2"/>
  <c r="Q804" i="2" s="1"/>
  <c r="R804" i="2"/>
  <c r="S804" i="2"/>
  <c r="T804" i="2"/>
  <c r="U804" i="2"/>
  <c r="V804" i="2"/>
  <c r="W804" i="2"/>
  <c r="G805" i="2"/>
  <c r="O805" i="2"/>
  <c r="P805" i="2"/>
  <c r="Q805" i="2" s="1"/>
  <c r="R805" i="2"/>
  <c r="S805" i="2"/>
  <c r="T805" i="2"/>
  <c r="U805" i="2"/>
  <c r="V805" i="2"/>
  <c r="W805" i="2"/>
  <c r="G806" i="2"/>
  <c r="O806" i="2"/>
  <c r="P806" i="2"/>
  <c r="Q806" i="2" s="1"/>
  <c r="R806" i="2"/>
  <c r="S806" i="2"/>
  <c r="T806" i="2"/>
  <c r="U806" i="2"/>
  <c r="V806" i="2"/>
  <c r="W806" i="2"/>
  <c r="G807" i="2"/>
  <c r="O807" i="2"/>
  <c r="P807" i="2"/>
  <c r="Q807" i="2" s="1"/>
  <c r="R807" i="2"/>
  <c r="S807" i="2"/>
  <c r="T807" i="2"/>
  <c r="U807" i="2"/>
  <c r="V807" i="2"/>
  <c r="W807" i="2"/>
  <c r="G808" i="2"/>
  <c r="O808" i="2"/>
  <c r="P808" i="2"/>
  <c r="Q808" i="2" s="1"/>
  <c r="R808" i="2"/>
  <c r="S808" i="2"/>
  <c r="T808" i="2"/>
  <c r="U808" i="2"/>
  <c r="V808" i="2"/>
  <c r="W808" i="2"/>
  <c r="G809" i="2"/>
  <c r="O809" i="2"/>
  <c r="P809" i="2"/>
  <c r="Q809" i="2"/>
  <c r="R809" i="2"/>
  <c r="S809" i="2"/>
  <c r="T809" i="2"/>
  <c r="U809" i="2"/>
  <c r="V809" i="2"/>
  <c r="W809" i="2"/>
  <c r="G810" i="2"/>
  <c r="O810" i="2"/>
  <c r="P810" i="2"/>
  <c r="Q810" i="2" s="1"/>
  <c r="R810" i="2"/>
  <c r="S810" i="2"/>
  <c r="T810" i="2"/>
  <c r="U810" i="2"/>
  <c r="V810" i="2"/>
  <c r="W810" i="2"/>
  <c r="G811" i="2"/>
  <c r="O811" i="2"/>
  <c r="P811" i="2"/>
  <c r="Q811" i="2" s="1"/>
  <c r="R811" i="2"/>
  <c r="S811" i="2"/>
  <c r="T811" i="2"/>
  <c r="U811" i="2"/>
  <c r="V811" i="2"/>
  <c r="W811" i="2"/>
  <c r="G812" i="2"/>
  <c r="O812" i="2"/>
  <c r="P812" i="2"/>
  <c r="Q812" i="2" s="1"/>
  <c r="R812" i="2"/>
  <c r="S812" i="2"/>
  <c r="T812" i="2"/>
  <c r="U812" i="2"/>
  <c r="V812" i="2"/>
  <c r="W812" i="2"/>
  <c r="G813" i="2"/>
  <c r="O813" i="2"/>
  <c r="P813" i="2"/>
  <c r="Q813" i="2" s="1"/>
  <c r="R813" i="2"/>
  <c r="S813" i="2"/>
  <c r="T813" i="2"/>
  <c r="U813" i="2"/>
  <c r="V813" i="2"/>
  <c r="W813" i="2"/>
  <c r="G814" i="2"/>
  <c r="O814" i="2"/>
  <c r="P814" i="2"/>
  <c r="Q814" i="2" s="1"/>
  <c r="R814" i="2"/>
  <c r="S814" i="2"/>
  <c r="T814" i="2"/>
  <c r="U814" i="2"/>
  <c r="V814" i="2"/>
  <c r="W814" i="2"/>
  <c r="G815" i="2"/>
  <c r="O815" i="2"/>
  <c r="P815" i="2"/>
  <c r="Q815" i="2" s="1"/>
  <c r="R815" i="2"/>
  <c r="S815" i="2"/>
  <c r="T815" i="2"/>
  <c r="U815" i="2"/>
  <c r="V815" i="2"/>
  <c r="W815" i="2"/>
  <c r="G816" i="2"/>
  <c r="O816" i="2"/>
  <c r="P816" i="2"/>
  <c r="Q816" i="2" s="1"/>
  <c r="R816" i="2"/>
  <c r="S816" i="2"/>
  <c r="T816" i="2"/>
  <c r="U816" i="2"/>
  <c r="V816" i="2"/>
  <c r="W816" i="2"/>
  <c r="G817" i="2"/>
  <c r="O817" i="2"/>
  <c r="P817" i="2"/>
  <c r="Q817" i="2" s="1"/>
  <c r="R817" i="2"/>
  <c r="S817" i="2"/>
  <c r="T817" i="2"/>
  <c r="U817" i="2"/>
  <c r="V817" i="2"/>
  <c r="W817" i="2"/>
  <c r="G818" i="2"/>
  <c r="O818" i="2"/>
  <c r="P818" i="2"/>
  <c r="Q818" i="2" s="1"/>
  <c r="R818" i="2"/>
  <c r="S818" i="2"/>
  <c r="T818" i="2"/>
  <c r="U818" i="2"/>
  <c r="V818" i="2"/>
  <c r="W818" i="2"/>
  <c r="G819" i="2"/>
  <c r="O819" i="2"/>
  <c r="P819" i="2"/>
  <c r="Q819" i="2" s="1"/>
  <c r="R819" i="2"/>
  <c r="S819" i="2"/>
  <c r="T819" i="2"/>
  <c r="U819" i="2"/>
  <c r="V819" i="2"/>
  <c r="W819" i="2"/>
  <c r="G820" i="2"/>
  <c r="O820" i="2"/>
  <c r="P820" i="2"/>
  <c r="Q820" i="2" s="1"/>
  <c r="R820" i="2"/>
  <c r="S820" i="2"/>
  <c r="T820" i="2"/>
  <c r="U820" i="2"/>
  <c r="V820" i="2"/>
  <c r="W820" i="2"/>
  <c r="G821" i="2"/>
  <c r="O821" i="2"/>
  <c r="P821" i="2"/>
  <c r="Q821" i="2" s="1"/>
  <c r="R821" i="2"/>
  <c r="S821" i="2"/>
  <c r="T821" i="2"/>
  <c r="U821" i="2"/>
  <c r="V821" i="2"/>
  <c r="W821" i="2"/>
  <c r="G822" i="2"/>
  <c r="O822" i="2"/>
  <c r="P822" i="2"/>
  <c r="Q822" i="2" s="1"/>
  <c r="R822" i="2"/>
  <c r="S822" i="2"/>
  <c r="T822" i="2"/>
  <c r="U822" i="2"/>
  <c r="V822" i="2"/>
  <c r="W822" i="2"/>
  <c r="G823" i="2"/>
  <c r="O823" i="2"/>
  <c r="P823" i="2"/>
  <c r="Q823" i="2" s="1"/>
  <c r="R823" i="2"/>
  <c r="S823" i="2"/>
  <c r="T823" i="2"/>
  <c r="U823" i="2"/>
  <c r="V823" i="2"/>
  <c r="W823" i="2"/>
  <c r="G824" i="2"/>
  <c r="O824" i="2"/>
  <c r="P824" i="2"/>
  <c r="Q824" i="2" s="1"/>
  <c r="R824" i="2"/>
  <c r="S824" i="2"/>
  <c r="T824" i="2"/>
  <c r="U824" i="2"/>
  <c r="V824" i="2"/>
  <c r="W824" i="2"/>
  <c r="G825" i="2"/>
  <c r="O825" i="2"/>
  <c r="P825" i="2"/>
  <c r="Q825" i="2" s="1"/>
  <c r="R825" i="2"/>
  <c r="S825" i="2"/>
  <c r="T825" i="2"/>
  <c r="U825" i="2"/>
  <c r="V825" i="2"/>
  <c r="W825" i="2"/>
  <c r="G826" i="2"/>
  <c r="O826" i="2"/>
  <c r="P826" i="2"/>
  <c r="Q826" i="2" s="1"/>
  <c r="R826" i="2"/>
  <c r="S826" i="2"/>
  <c r="T826" i="2"/>
  <c r="U826" i="2"/>
  <c r="V826" i="2"/>
  <c r="W826" i="2"/>
  <c r="G827" i="2"/>
  <c r="O827" i="2"/>
  <c r="P827" i="2"/>
  <c r="Q827" i="2" s="1"/>
  <c r="R827" i="2"/>
  <c r="S827" i="2"/>
  <c r="T827" i="2"/>
  <c r="U827" i="2"/>
  <c r="V827" i="2"/>
  <c r="W827" i="2"/>
  <c r="G828" i="2"/>
  <c r="O828" i="2"/>
  <c r="P828" i="2"/>
  <c r="Q828" i="2" s="1"/>
  <c r="R828" i="2"/>
  <c r="S828" i="2"/>
  <c r="T828" i="2"/>
  <c r="U828" i="2"/>
  <c r="V828" i="2"/>
  <c r="W828" i="2"/>
  <c r="G829" i="2"/>
  <c r="O829" i="2"/>
  <c r="P829" i="2"/>
  <c r="Q829" i="2" s="1"/>
  <c r="R829" i="2"/>
  <c r="S829" i="2"/>
  <c r="T829" i="2"/>
  <c r="U829" i="2"/>
  <c r="V829" i="2"/>
  <c r="W829" i="2"/>
  <c r="G830" i="2"/>
  <c r="O830" i="2"/>
  <c r="P830" i="2"/>
  <c r="Q830" i="2" s="1"/>
  <c r="R830" i="2"/>
  <c r="S830" i="2"/>
  <c r="T830" i="2"/>
  <c r="U830" i="2"/>
  <c r="V830" i="2"/>
  <c r="W830" i="2"/>
  <c r="G831" i="2"/>
  <c r="O831" i="2"/>
  <c r="P831" i="2"/>
  <c r="Q831" i="2" s="1"/>
  <c r="R831" i="2"/>
  <c r="S831" i="2"/>
  <c r="T831" i="2"/>
  <c r="U831" i="2"/>
  <c r="V831" i="2"/>
  <c r="W831" i="2"/>
  <c r="G832" i="2"/>
  <c r="O832" i="2"/>
  <c r="P832" i="2"/>
  <c r="Q832" i="2" s="1"/>
  <c r="R832" i="2"/>
  <c r="S832" i="2"/>
  <c r="T832" i="2"/>
  <c r="U832" i="2"/>
  <c r="V832" i="2"/>
  <c r="W832" i="2"/>
  <c r="G833" i="2"/>
  <c r="O833" i="2"/>
  <c r="P833" i="2"/>
  <c r="Q833" i="2" s="1"/>
  <c r="R833" i="2"/>
  <c r="S833" i="2"/>
  <c r="T833" i="2"/>
  <c r="U833" i="2"/>
  <c r="V833" i="2"/>
  <c r="W833" i="2"/>
  <c r="G834" i="2"/>
  <c r="O834" i="2"/>
  <c r="P834" i="2"/>
  <c r="Q834" i="2" s="1"/>
  <c r="R834" i="2"/>
  <c r="S834" i="2"/>
  <c r="T834" i="2"/>
  <c r="U834" i="2"/>
  <c r="V834" i="2"/>
  <c r="W834" i="2"/>
  <c r="G835" i="2"/>
  <c r="O835" i="2"/>
  <c r="P835" i="2"/>
  <c r="Q835" i="2" s="1"/>
  <c r="R835" i="2"/>
  <c r="S835" i="2"/>
  <c r="T835" i="2"/>
  <c r="U835" i="2"/>
  <c r="V835" i="2"/>
  <c r="W835" i="2"/>
  <c r="G836" i="2"/>
  <c r="O836" i="2"/>
  <c r="P836" i="2"/>
  <c r="Q836" i="2" s="1"/>
  <c r="R836" i="2"/>
  <c r="S836" i="2"/>
  <c r="T836" i="2"/>
  <c r="U836" i="2"/>
  <c r="V836" i="2"/>
  <c r="W836" i="2"/>
  <c r="G837" i="2"/>
  <c r="O837" i="2"/>
  <c r="P837" i="2"/>
  <c r="Q837" i="2" s="1"/>
  <c r="R837" i="2"/>
  <c r="S837" i="2"/>
  <c r="T837" i="2"/>
  <c r="U837" i="2"/>
  <c r="V837" i="2"/>
  <c r="W837" i="2"/>
  <c r="G838" i="2"/>
  <c r="O838" i="2"/>
  <c r="P838" i="2"/>
  <c r="Q838" i="2" s="1"/>
  <c r="R838" i="2"/>
  <c r="S838" i="2"/>
  <c r="T838" i="2"/>
  <c r="U838" i="2"/>
  <c r="V838" i="2"/>
  <c r="W838" i="2"/>
  <c r="G839" i="2"/>
  <c r="O839" i="2"/>
  <c r="P839" i="2"/>
  <c r="Q839" i="2" s="1"/>
  <c r="R839" i="2"/>
  <c r="S839" i="2"/>
  <c r="T839" i="2"/>
  <c r="U839" i="2"/>
  <c r="V839" i="2"/>
  <c r="W839" i="2"/>
  <c r="G840" i="2"/>
  <c r="O840" i="2"/>
  <c r="P840" i="2"/>
  <c r="Q840" i="2" s="1"/>
  <c r="R840" i="2"/>
  <c r="S840" i="2"/>
  <c r="T840" i="2"/>
  <c r="U840" i="2"/>
  <c r="V840" i="2"/>
  <c r="W840" i="2"/>
  <c r="G841" i="2"/>
  <c r="O841" i="2"/>
  <c r="P841" i="2"/>
  <c r="Q841" i="2" s="1"/>
  <c r="R841" i="2"/>
  <c r="S841" i="2"/>
  <c r="T841" i="2"/>
  <c r="U841" i="2"/>
  <c r="V841" i="2"/>
  <c r="W841" i="2"/>
  <c r="G842" i="2"/>
  <c r="O842" i="2"/>
  <c r="P842" i="2"/>
  <c r="Q842" i="2" s="1"/>
  <c r="R842" i="2"/>
  <c r="S842" i="2"/>
  <c r="T842" i="2"/>
  <c r="U842" i="2"/>
  <c r="V842" i="2"/>
  <c r="W842" i="2"/>
  <c r="G843" i="2"/>
  <c r="O843" i="2"/>
  <c r="P843" i="2"/>
  <c r="Q843" i="2" s="1"/>
  <c r="R843" i="2"/>
  <c r="S843" i="2"/>
  <c r="T843" i="2"/>
  <c r="U843" i="2"/>
  <c r="V843" i="2"/>
  <c r="W843" i="2"/>
  <c r="G844" i="2"/>
  <c r="O844" i="2"/>
  <c r="P844" i="2"/>
  <c r="Q844" i="2" s="1"/>
  <c r="R844" i="2"/>
  <c r="S844" i="2"/>
  <c r="T844" i="2"/>
  <c r="U844" i="2"/>
  <c r="V844" i="2"/>
  <c r="W844" i="2"/>
  <c r="G845" i="2"/>
  <c r="O845" i="2"/>
  <c r="P845" i="2"/>
  <c r="Q845" i="2" s="1"/>
  <c r="R845" i="2"/>
  <c r="S845" i="2"/>
  <c r="T845" i="2"/>
  <c r="U845" i="2"/>
  <c r="V845" i="2"/>
  <c r="W845" i="2"/>
  <c r="G846" i="2"/>
  <c r="O846" i="2"/>
  <c r="P846" i="2"/>
  <c r="Q846" i="2" s="1"/>
  <c r="R846" i="2"/>
  <c r="S846" i="2"/>
  <c r="T846" i="2"/>
  <c r="U846" i="2"/>
  <c r="V846" i="2"/>
  <c r="W846" i="2"/>
  <c r="G847" i="2"/>
  <c r="O847" i="2"/>
  <c r="P847" i="2"/>
  <c r="Q847" i="2" s="1"/>
  <c r="R847" i="2"/>
  <c r="S847" i="2"/>
  <c r="T847" i="2"/>
  <c r="U847" i="2"/>
  <c r="V847" i="2"/>
  <c r="W847" i="2"/>
  <c r="G848" i="2"/>
  <c r="O848" i="2"/>
  <c r="P848" i="2"/>
  <c r="Q848" i="2" s="1"/>
  <c r="R848" i="2"/>
  <c r="S848" i="2"/>
  <c r="T848" i="2"/>
  <c r="U848" i="2"/>
  <c r="V848" i="2"/>
  <c r="W848" i="2"/>
  <c r="G849" i="2"/>
  <c r="O849" i="2"/>
  <c r="P849" i="2"/>
  <c r="Q849" i="2" s="1"/>
  <c r="R849" i="2"/>
  <c r="S849" i="2"/>
  <c r="T849" i="2"/>
  <c r="U849" i="2"/>
  <c r="V849" i="2"/>
  <c r="W849" i="2"/>
  <c r="G850" i="2"/>
  <c r="O850" i="2"/>
  <c r="P850" i="2"/>
  <c r="Q850" i="2" s="1"/>
  <c r="R850" i="2"/>
  <c r="S850" i="2"/>
  <c r="T850" i="2"/>
  <c r="U850" i="2"/>
  <c r="V850" i="2"/>
  <c r="W850" i="2"/>
  <c r="G851" i="2"/>
  <c r="O851" i="2"/>
  <c r="P851" i="2"/>
  <c r="Q851" i="2" s="1"/>
  <c r="R851" i="2"/>
  <c r="S851" i="2"/>
  <c r="T851" i="2"/>
  <c r="U851" i="2"/>
  <c r="V851" i="2"/>
  <c r="W851" i="2"/>
  <c r="G852" i="2"/>
  <c r="O852" i="2"/>
  <c r="P852" i="2"/>
  <c r="Q852" i="2" s="1"/>
  <c r="R852" i="2"/>
  <c r="S852" i="2"/>
  <c r="T852" i="2"/>
  <c r="U852" i="2"/>
  <c r="V852" i="2"/>
  <c r="W852" i="2"/>
  <c r="G853" i="2"/>
  <c r="O853" i="2"/>
  <c r="P853" i="2"/>
  <c r="Q853" i="2" s="1"/>
  <c r="R853" i="2"/>
  <c r="S853" i="2"/>
  <c r="T853" i="2"/>
  <c r="U853" i="2"/>
  <c r="V853" i="2"/>
  <c r="W853" i="2"/>
  <c r="G854" i="2"/>
  <c r="O854" i="2"/>
  <c r="P854" i="2"/>
  <c r="Q854" i="2" s="1"/>
  <c r="R854" i="2"/>
  <c r="S854" i="2"/>
  <c r="T854" i="2"/>
  <c r="U854" i="2"/>
  <c r="V854" i="2"/>
  <c r="W854" i="2"/>
  <c r="G855" i="2"/>
  <c r="O855" i="2"/>
  <c r="P855" i="2"/>
  <c r="Q855" i="2" s="1"/>
  <c r="R855" i="2"/>
  <c r="S855" i="2"/>
  <c r="T855" i="2"/>
  <c r="U855" i="2"/>
  <c r="V855" i="2"/>
  <c r="W855" i="2"/>
  <c r="G856" i="2"/>
  <c r="O856" i="2"/>
  <c r="P856" i="2"/>
  <c r="Q856" i="2" s="1"/>
  <c r="R856" i="2"/>
  <c r="S856" i="2"/>
  <c r="T856" i="2"/>
  <c r="U856" i="2"/>
  <c r="V856" i="2"/>
  <c r="W856" i="2"/>
  <c r="G857" i="2"/>
  <c r="O857" i="2"/>
  <c r="P857" i="2"/>
  <c r="Q857" i="2" s="1"/>
  <c r="R857" i="2"/>
  <c r="S857" i="2"/>
  <c r="T857" i="2"/>
  <c r="U857" i="2"/>
  <c r="V857" i="2"/>
  <c r="W857" i="2"/>
  <c r="G858" i="2"/>
  <c r="O858" i="2"/>
  <c r="P858" i="2"/>
  <c r="Q858" i="2" s="1"/>
  <c r="R858" i="2"/>
  <c r="S858" i="2"/>
  <c r="T858" i="2"/>
  <c r="U858" i="2"/>
  <c r="V858" i="2"/>
  <c r="W858" i="2"/>
  <c r="G859" i="2"/>
  <c r="O859" i="2"/>
  <c r="P859" i="2"/>
  <c r="Q859" i="2" s="1"/>
  <c r="R859" i="2"/>
  <c r="S859" i="2"/>
  <c r="T859" i="2"/>
  <c r="U859" i="2"/>
  <c r="V859" i="2"/>
  <c r="W859" i="2"/>
  <c r="G860" i="2"/>
  <c r="O860" i="2"/>
  <c r="P860" i="2"/>
  <c r="Q860" i="2" s="1"/>
  <c r="R860" i="2"/>
  <c r="S860" i="2"/>
  <c r="T860" i="2"/>
  <c r="U860" i="2"/>
  <c r="V860" i="2"/>
  <c r="W860" i="2"/>
  <c r="G861" i="2"/>
  <c r="O861" i="2"/>
  <c r="P861" i="2"/>
  <c r="Q861" i="2" s="1"/>
  <c r="R861" i="2"/>
  <c r="S861" i="2"/>
  <c r="T861" i="2"/>
  <c r="U861" i="2"/>
  <c r="V861" i="2"/>
  <c r="W861" i="2"/>
  <c r="G862" i="2"/>
  <c r="O862" i="2"/>
  <c r="P862" i="2"/>
  <c r="Q862" i="2" s="1"/>
  <c r="R862" i="2"/>
  <c r="S862" i="2"/>
  <c r="T862" i="2"/>
  <c r="U862" i="2"/>
  <c r="V862" i="2"/>
  <c r="W862" i="2"/>
  <c r="G863" i="2"/>
  <c r="O863" i="2"/>
  <c r="P863" i="2"/>
  <c r="Q863" i="2" s="1"/>
  <c r="R863" i="2"/>
  <c r="S863" i="2"/>
  <c r="T863" i="2"/>
  <c r="U863" i="2"/>
  <c r="V863" i="2"/>
  <c r="W863" i="2"/>
  <c r="G864" i="2"/>
  <c r="O864" i="2"/>
  <c r="P864" i="2"/>
  <c r="Q864" i="2" s="1"/>
  <c r="R864" i="2"/>
  <c r="S864" i="2"/>
  <c r="T864" i="2"/>
  <c r="U864" i="2"/>
  <c r="V864" i="2"/>
  <c r="W864" i="2"/>
  <c r="G865" i="2"/>
  <c r="O865" i="2"/>
  <c r="P865" i="2"/>
  <c r="Q865" i="2" s="1"/>
  <c r="R865" i="2"/>
  <c r="S865" i="2"/>
  <c r="T865" i="2"/>
  <c r="U865" i="2"/>
  <c r="V865" i="2"/>
  <c r="W865" i="2"/>
  <c r="G866" i="2"/>
  <c r="O866" i="2"/>
  <c r="P866" i="2"/>
  <c r="Q866" i="2" s="1"/>
  <c r="R866" i="2"/>
  <c r="S866" i="2"/>
  <c r="T866" i="2"/>
  <c r="U866" i="2"/>
  <c r="V866" i="2"/>
  <c r="W866" i="2"/>
  <c r="G867" i="2"/>
  <c r="O867" i="2"/>
  <c r="P867" i="2"/>
  <c r="Q867" i="2" s="1"/>
  <c r="R867" i="2"/>
  <c r="S867" i="2"/>
  <c r="T867" i="2"/>
  <c r="U867" i="2"/>
  <c r="V867" i="2"/>
  <c r="W867" i="2"/>
  <c r="G868" i="2"/>
  <c r="O868" i="2"/>
  <c r="P868" i="2"/>
  <c r="Q868" i="2" s="1"/>
  <c r="R868" i="2"/>
  <c r="S868" i="2"/>
  <c r="T868" i="2"/>
  <c r="U868" i="2"/>
  <c r="V868" i="2"/>
  <c r="W868" i="2"/>
  <c r="G869" i="2"/>
  <c r="O869" i="2"/>
  <c r="P869" i="2"/>
  <c r="Q869" i="2" s="1"/>
  <c r="R869" i="2"/>
  <c r="S869" i="2"/>
  <c r="T869" i="2"/>
  <c r="U869" i="2"/>
  <c r="V869" i="2"/>
  <c r="W869" i="2"/>
  <c r="G870" i="2"/>
  <c r="O870" i="2"/>
  <c r="P870" i="2"/>
  <c r="Q870" i="2" s="1"/>
  <c r="R870" i="2"/>
  <c r="S870" i="2"/>
  <c r="T870" i="2"/>
  <c r="U870" i="2"/>
  <c r="V870" i="2"/>
  <c r="W870" i="2"/>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I123" i="3"/>
  <c r="I124" i="3"/>
  <c r="I125" i="3"/>
  <c r="I126" i="3"/>
  <c r="I127" i="3"/>
  <c r="I128" i="3"/>
  <c r="I129" i="3"/>
  <c r="I130" i="3"/>
  <c r="I131" i="3"/>
  <c r="I132" i="3"/>
  <c r="I133" i="3"/>
  <c r="I134" i="3"/>
  <c r="I135" i="3"/>
  <c r="I136" i="3"/>
  <c r="I137" i="3"/>
  <c r="I138" i="3"/>
  <c r="I139" i="3"/>
  <c r="I140" i="3"/>
  <c r="I141" i="3"/>
  <c r="I142" i="3"/>
  <c r="I143" i="3"/>
  <c r="I144" i="3"/>
  <c r="I145" i="3"/>
  <c r="I146" i="3"/>
  <c r="I147" i="3"/>
  <c r="I148" i="3"/>
  <c r="I149" i="3"/>
  <c r="I150" i="3"/>
  <c r="I151" i="3"/>
  <c r="I152" i="3"/>
  <c r="I153" i="3"/>
  <c r="I154" i="3"/>
  <c r="I155" i="3"/>
  <c r="I156" i="3"/>
  <c r="I157" i="3"/>
  <c r="I158" i="3"/>
  <c r="I159" i="3"/>
  <c r="I160" i="3"/>
  <c r="I161" i="3"/>
  <c r="I162" i="3"/>
  <c r="I163" i="3"/>
  <c r="I164" i="3"/>
  <c r="I165" i="3"/>
  <c r="I166" i="3"/>
  <c r="I167" i="3"/>
  <c r="I168" i="3"/>
  <c r="I169" i="3"/>
  <c r="I170" i="3"/>
  <c r="I171" i="3"/>
  <c r="I172" i="3"/>
  <c r="I173" i="3"/>
  <c r="I174" i="3"/>
  <c r="I175" i="3"/>
  <c r="I176" i="3"/>
  <c r="I177" i="3"/>
  <c r="I178" i="3"/>
  <c r="I179" i="3"/>
  <c r="I180" i="3"/>
  <c r="I181" i="3"/>
  <c r="I182" i="3"/>
  <c r="I183" i="3"/>
  <c r="I184" i="3"/>
  <c r="I185" i="3"/>
  <c r="I186" i="3"/>
  <c r="I187" i="3"/>
  <c r="I188" i="3"/>
  <c r="I189" i="3"/>
  <c r="I190" i="3"/>
  <c r="I191" i="3"/>
  <c r="I192" i="3"/>
  <c r="I193" i="3"/>
  <c r="I194" i="3"/>
  <c r="I195" i="3"/>
  <c r="I196" i="3"/>
  <c r="I197" i="3"/>
  <c r="I198" i="3"/>
  <c r="I199" i="3"/>
  <c r="I200" i="3"/>
  <c r="I201" i="3"/>
  <c r="I202" i="3"/>
  <c r="I203" i="3"/>
  <c r="I204" i="3"/>
  <c r="I205" i="3"/>
  <c r="I206" i="3"/>
  <c r="I207" i="3"/>
  <c r="I208" i="3"/>
  <c r="I209" i="3"/>
  <c r="I210" i="3"/>
  <c r="I211" i="3"/>
  <c r="I212" i="3"/>
  <c r="I213" i="3"/>
  <c r="I214" i="3"/>
  <c r="I215" i="3"/>
  <c r="I216" i="3"/>
  <c r="I217" i="3"/>
  <c r="I218" i="3"/>
  <c r="I219" i="3"/>
  <c r="I220" i="3"/>
  <c r="I221" i="3"/>
  <c r="I222" i="3"/>
  <c r="I223" i="3"/>
  <c r="I224" i="3"/>
  <c r="I225" i="3"/>
  <c r="I226" i="3"/>
  <c r="I227" i="3"/>
  <c r="I228" i="3"/>
  <c r="I229" i="3"/>
  <c r="I230" i="3"/>
  <c r="I231" i="3"/>
  <c r="I232" i="3"/>
  <c r="I233" i="3"/>
  <c r="I234" i="3"/>
  <c r="I235" i="3"/>
  <c r="I236" i="3"/>
  <c r="I237" i="3"/>
  <c r="I238" i="3"/>
  <c r="I239" i="3"/>
  <c r="I240" i="3"/>
  <c r="I241" i="3"/>
  <c r="I242" i="3"/>
  <c r="I243" i="3"/>
  <c r="I244" i="3"/>
  <c r="I245" i="3"/>
  <c r="I246" i="3"/>
  <c r="I247" i="3"/>
  <c r="I248" i="3"/>
  <c r="I249" i="3"/>
  <c r="I250" i="3"/>
  <c r="I251" i="3"/>
  <c r="I252" i="3"/>
  <c r="I253" i="3"/>
  <c r="I254" i="3"/>
  <c r="I255" i="3"/>
  <c r="I256" i="3"/>
  <c r="I257" i="3"/>
  <c r="I258" i="3"/>
  <c r="I259" i="3"/>
  <c r="I260" i="3"/>
  <c r="I261" i="3"/>
  <c r="I262" i="3"/>
  <c r="I263" i="3"/>
  <c r="I264" i="3"/>
  <c r="I265" i="3"/>
  <c r="I266" i="3"/>
  <c r="I267" i="3"/>
  <c r="I268" i="3"/>
  <c r="I269" i="3"/>
  <c r="I270" i="3"/>
  <c r="I271" i="3"/>
  <c r="I272" i="3"/>
  <c r="I273" i="3"/>
  <c r="I274" i="3"/>
  <c r="I275" i="3"/>
  <c r="I276" i="3"/>
  <c r="I277" i="3"/>
  <c r="I278" i="3"/>
  <c r="I279" i="3"/>
  <c r="I280" i="3"/>
  <c r="I281" i="3"/>
  <c r="I282" i="3"/>
  <c r="I283" i="3"/>
  <c r="I284" i="3"/>
  <c r="I285" i="3"/>
  <c r="I286" i="3"/>
  <c r="I287" i="3"/>
  <c r="I288" i="3"/>
  <c r="I289" i="3"/>
  <c r="I290" i="3"/>
  <c r="I291" i="3"/>
  <c r="I292" i="3"/>
  <c r="I293" i="3"/>
  <c r="I294" i="3"/>
  <c r="I295" i="3"/>
  <c r="I296" i="3"/>
  <c r="I297" i="3"/>
  <c r="I298" i="3"/>
  <c r="I299" i="3"/>
  <c r="I300" i="3"/>
  <c r="I301" i="3"/>
  <c r="I302" i="3"/>
  <c r="I303" i="3"/>
  <c r="I304" i="3"/>
  <c r="I305" i="3"/>
  <c r="I306" i="3"/>
  <c r="I307" i="3"/>
  <c r="I308" i="3"/>
  <c r="I309" i="3"/>
  <c r="I310" i="3"/>
  <c r="I311" i="3"/>
  <c r="I312" i="3"/>
  <c r="I313" i="3"/>
  <c r="I314" i="3"/>
  <c r="I315" i="3"/>
  <c r="I316" i="3"/>
  <c r="I317" i="3"/>
  <c r="I318" i="3"/>
  <c r="I319" i="3"/>
  <c r="I320" i="3"/>
  <c r="I321" i="3"/>
  <c r="I322" i="3"/>
  <c r="I323" i="3"/>
  <c r="I324" i="3"/>
  <c r="I325" i="3"/>
  <c r="I326" i="3"/>
  <c r="I327" i="3"/>
  <c r="I328" i="3"/>
  <c r="I329" i="3"/>
  <c r="I330" i="3"/>
  <c r="I331" i="3"/>
  <c r="I332" i="3"/>
  <c r="I333" i="3"/>
  <c r="I334" i="3"/>
  <c r="I335" i="3"/>
  <c r="I336" i="3"/>
  <c r="I337" i="3"/>
  <c r="I338" i="3"/>
  <c r="I339" i="3"/>
  <c r="I340" i="3"/>
  <c r="I341" i="3"/>
  <c r="I342" i="3"/>
  <c r="I343" i="3"/>
  <c r="I344" i="3"/>
  <c r="I345" i="3"/>
  <c r="I346" i="3"/>
  <c r="I347" i="3"/>
  <c r="I348" i="3"/>
  <c r="I349" i="3"/>
  <c r="I350" i="3"/>
  <c r="I351" i="3"/>
  <c r="I352" i="3"/>
  <c r="I353" i="3"/>
  <c r="I354" i="3"/>
  <c r="I355" i="3"/>
  <c r="I356" i="3"/>
  <c r="I357" i="3"/>
  <c r="I358" i="3"/>
  <c r="I359" i="3"/>
  <c r="I360" i="3"/>
  <c r="I361" i="3"/>
  <c r="I362" i="3"/>
  <c r="I363" i="3"/>
  <c r="I364" i="3"/>
  <c r="I365" i="3"/>
  <c r="I366" i="3"/>
  <c r="I367" i="3"/>
  <c r="I368" i="3"/>
  <c r="I369" i="3"/>
  <c r="I370" i="3"/>
  <c r="I371" i="3"/>
  <c r="I372" i="3"/>
  <c r="I373" i="3"/>
  <c r="I374" i="3"/>
  <c r="I375" i="3"/>
  <c r="I376" i="3"/>
  <c r="I377" i="3"/>
  <c r="I378" i="3"/>
  <c r="I379" i="3"/>
  <c r="I380" i="3"/>
  <c r="I381" i="3"/>
  <c r="I382" i="3"/>
  <c r="I383" i="3"/>
  <c r="I384" i="3"/>
  <c r="I385" i="3"/>
  <c r="I386" i="3"/>
  <c r="I387" i="3"/>
  <c r="I388" i="3"/>
  <c r="I389" i="3"/>
  <c r="I390" i="3"/>
  <c r="I391" i="3"/>
  <c r="I392" i="3"/>
  <c r="I393" i="3"/>
  <c r="I394" i="3"/>
  <c r="I395" i="3"/>
  <c r="I396" i="3"/>
  <c r="I397" i="3"/>
  <c r="I398" i="3"/>
  <c r="I399" i="3"/>
  <c r="I400" i="3"/>
  <c r="I401" i="3"/>
  <c r="I402" i="3"/>
  <c r="I403" i="3"/>
  <c r="I404" i="3"/>
  <c r="I405" i="3"/>
  <c r="I406" i="3"/>
  <c r="I407" i="3"/>
  <c r="I408" i="3"/>
  <c r="I409" i="3"/>
  <c r="I410" i="3"/>
  <c r="I411" i="3"/>
  <c r="I412" i="3"/>
  <c r="I413" i="3"/>
  <c r="I414" i="3"/>
  <c r="I415" i="3"/>
  <c r="I416" i="3"/>
  <c r="I417" i="3"/>
  <c r="I418" i="3"/>
  <c r="I419" i="3"/>
  <c r="I420" i="3"/>
  <c r="I421" i="3"/>
  <c r="I422" i="3"/>
  <c r="I423" i="3"/>
  <c r="I424" i="3"/>
  <c r="I425" i="3"/>
  <c r="I426" i="3"/>
  <c r="I427" i="3"/>
  <c r="I428" i="3"/>
  <c r="I429" i="3"/>
  <c r="I430" i="3"/>
  <c r="I431" i="3"/>
  <c r="I432" i="3"/>
  <c r="I433" i="3"/>
  <c r="I434" i="3"/>
  <c r="I435" i="3"/>
  <c r="I436" i="3"/>
  <c r="I437" i="3"/>
  <c r="I438" i="3"/>
  <c r="I439" i="3"/>
  <c r="I440" i="3"/>
  <c r="I441" i="3"/>
  <c r="I442" i="3"/>
  <c r="I443" i="3"/>
  <c r="I444" i="3"/>
  <c r="I445" i="3"/>
  <c r="I446" i="3"/>
  <c r="I447" i="3"/>
  <c r="I448" i="3"/>
  <c r="I449" i="3"/>
  <c r="I450" i="3"/>
  <c r="I451" i="3"/>
  <c r="I452" i="3"/>
  <c r="I453" i="3"/>
  <c r="I454" i="3"/>
  <c r="I455" i="3"/>
  <c r="I456" i="3"/>
  <c r="I457" i="3"/>
  <c r="I458" i="3"/>
  <c r="I459" i="3"/>
  <c r="I460" i="3"/>
  <c r="I461" i="3"/>
  <c r="I462" i="3"/>
  <c r="I463" i="3"/>
  <c r="I464" i="3"/>
  <c r="I465" i="3"/>
  <c r="I466" i="3"/>
  <c r="I467" i="3"/>
  <c r="I468" i="3"/>
  <c r="I469" i="3"/>
  <c r="I470" i="3"/>
  <c r="I471" i="3"/>
  <c r="I472" i="3"/>
  <c r="I473" i="3"/>
  <c r="I474" i="3"/>
  <c r="I475" i="3"/>
  <c r="I476" i="3"/>
  <c r="I477" i="3"/>
  <c r="I478" i="3"/>
  <c r="I479" i="3"/>
  <c r="I480" i="3"/>
  <c r="I481" i="3"/>
  <c r="I482" i="3"/>
  <c r="I483" i="3"/>
  <c r="I484" i="3"/>
  <c r="I485" i="3"/>
  <c r="I486" i="3"/>
  <c r="I487" i="3"/>
  <c r="I488" i="3"/>
  <c r="I489" i="3"/>
  <c r="I490" i="3"/>
  <c r="I491" i="3"/>
  <c r="I492" i="3"/>
  <c r="I493" i="3"/>
  <c r="I494" i="3"/>
  <c r="I495" i="3"/>
  <c r="I496" i="3"/>
  <c r="I497" i="3"/>
  <c r="I498" i="3"/>
  <c r="I499" i="3"/>
  <c r="I500" i="3"/>
  <c r="I501" i="3"/>
  <c r="I502" i="3"/>
  <c r="I503" i="3"/>
  <c r="I504" i="3"/>
  <c r="I505" i="3"/>
  <c r="I506" i="3"/>
  <c r="I507" i="3"/>
  <c r="I508" i="3"/>
  <c r="I509" i="3"/>
  <c r="I510" i="3"/>
  <c r="I511" i="3"/>
  <c r="I512" i="3"/>
  <c r="I513" i="3"/>
  <c r="I514" i="3"/>
  <c r="I515" i="3"/>
  <c r="I516" i="3"/>
  <c r="I517" i="3"/>
  <c r="I518" i="3"/>
  <c r="I519" i="3"/>
  <c r="I520" i="3"/>
  <c r="I521" i="3"/>
  <c r="I522" i="3"/>
  <c r="I523" i="3"/>
  <c r="I524" i="3"/>
  <c r="I525" i="3"/>
  <c r="I526" i="3"/>
  <c r="I527" i="3"/>
  <c r="I528" i="3"/>
  <c r="I529" i="3"/>
  <c r="I530" i="3"/>
  <c r="I531" i="3"/>
  <c r="I532" i="3"/>
  <c r="I533" i="3"/>
  <c r="I534" i="3"/>
  <c r="I535" i="3"/>
  <c r="I536" i="3"/>
  <c r="I537" i="3"/>
  <c r="I538" i="3"/>
  <c r="I539" i="3"/>
  <c r="I540" i="3"/>
  <c r="I541" i="3"/>
  <c r="I542" i="3"/>
  <c r="I543" i="3"/>
  <c r="I544" i="3"/>
  <c r="I545" i="3"/>
  <c r="I546" i="3"/>
  <c r="I547" i="3"/>
  <c r="I548" i="3"/>
  <c r="I549" i="3"/>
  <c r="I550" i="3"/>
  <c r="I551" i="3"/>
  <c r="I552" i="3"/>
  <c r="I553" i="3"/>
  <c r="I554" i="3"/>
  <c r="I555" i="3"/>
  <c r="I556" i="3"/>
  <c r="I557" i="3"/>
  <c r="I558" i="3"/>
  <c r="I559" i="3"/>
  <c r="I560" i="3"/>
  <c r="I561" i="3"/>
  <c r="I562" i="3"/>
  <c r="I563" i="3"/>
  <c r="I564" i="3"/>
  <c r="I565" i="3"/>
  <c r="I566" i="3"/>
  <c r="I567" i="3"/>
  <c r="I568" i="3"/>
  <c r="I569" i="3"/>
  <c r="I570" i="3"/>
  <c r="I571" i="3"/>
  <c r="I572" i="3"/>
  <c r="I573" i="3"/>
  <c r="I574" i="3"/>
  <c r="I575" i="3"/>
  <c r="I576" i="3"/>
  <c r="I577" i="3"/>
  <c r="I578" i="3"/>
  <c r="I579" i="3"/>
  <c r="I580" i="3"/>
  <c r="I581" i="3"/>
  <c r="I582" i="3"/>
  <c r="I583" i="3"/>
  <c r="I584" i="3"/>
  <c r="I585" i="3"/>
  <c r="I586" i="3"/>
  <c r="I587" i="3"/>
  <c r="I588" i="3"/>
  <c r="I589" i="3"/>
  <c r="I590" i="3"/>
  <c r="I591" i="3"/>
  <c r="I592" i="3"/>
  <c r="I593" i="3"/>
  <c r="I594" i="3"/>
  <c r="I595" i="3"/>
  <c r="I596" i="3"/>
  <c r="I597" i="3"/>
  <c r="I598" i="3"/>
  <c r="I599" i="3"/>
  <c r="I600" i="3"/>
  <c r="I601" i="3"/>
  <c r="I602" i="3"/>
  <c r="I603" i="3"/>
  <c r="I604" i="3"/>
  <c r="I605" i="3"/>
  <c r="I606" i="3"/>
  <c r="I607" i="3"/>
  <c r="I608" i="3"/>
  <c r="I609" i="3"/>
  <c r="I610" i="3"/>
  <c r="I611" i="3"/>
  <c r="I612" i="3"/>
  <c r="I613" i="3"/>
  <c r="I614" i="3"/>
  <c r="I615" i="3"/>
  <c r="I616" i="3"/>
  <c r="I617" i="3"/>
  <c r="I618" i="3"/>
  <c r="I619" i="3"/>
  <c r="I620" i="3"/>
  <c r="I621" i="3"/>
  <c r="I622" i="3"/>
  <c r="I623" i="3"/>
  <c r="I624" i="3"/>
  <c r="I625" i="3"/>
  <c r="I626" i="3"/>
  <c r="I627" i="3"/>
  <c r="I628" i="3"/>
  <c r="I629" i="3"/>
  <c r="I630" i="3"/>
  <c r="I631" i="3"/>
  <c r="I632" i="3"/>
  <c r="I633" i="3"/>
  <c r="I634" i="3"/>
  <c r="I635" i="3"/>
  <c r="I636" i="3"/>
  <c r="I637" i="3"/>
  <c r="I638" i="3"/>
  <c r="I639" i="3"/>
  <c r="I640" i="3"/>
  <c r="I641" i="3"/>
  <c r="I642" i="3"/>
  <c r="I643" i="3"/>
  <c r="I644" i="3"/>
  <c r="I645" i="3"/>
  <c r="I646" i="3"/>
  <c r="I647" i="3"/>
  <c r="I648" i="3"/>
  <c r="I649" i="3"/>
  <c r="I650" i="3"/>
  <c r="I651" i="3"/>
  <c r="I652" i="3"/>
  <c r="I653" i="3"/>
  <c r="I654" i="3"/>
  <c r="I655" i="3"/>
  <c r="I656" i="3"/>
  <c r="I657" i="3"/>
  <c r="I658" i="3"/>
  <c r="I659" i="3"/>
  <c r="I660" i="3"/>
  <c r="I661" i="3"/>
  <c r="I662" i="3"/>
  <c r="I663" i="3"/>
  <c r="I664" i="3"/>
  <c r="I665" i="3"/>
  <c r="I666" i="3"/>
  <c r="I667" i="3"/>
  <c r="I668" i="3"/>
  <c r="I669" i="3"/>
  <c r="I670" i="3"/>
  <c r="I671" i="3"/>
  <c r="I672" i="3"/>
  <c r="I673" i="3"/>
  <c r="I674" i="3"/>
  <c r="I675" i="3"/>
  <c r="I676" i="3"/>
  <c r="I677" i="3"/>
  <c r="I678" i="3"/>
  <c r="I679" i="3"/>
  <c r="I680" i="3"/>
  <c r="I681" i="3"/>
  <c r="I682" i="3"/>
  <c r="I683" i="3"/>
  <c r="I684" i="3"/>
  <c r="I685" i="3"/>
  <c r="I686" i="3"/>
  <c r="I687" i="3"/>
  <c r="I688" i="3"/>
  <c r="I689" i="3"/>
  <c r="I690" i="3"/>
  <c r="I691" i="3"/>
  <c r="I692" i="3"/>
  <c r="I693" i="3"/>
  <c r="I694" i="3"/>
  <c r="I695" i="3"/>
  <c r="I696" i="3"/>
  <c r="I697" i="3"/>
  <c r="I698" i="3"/>
  <c r="I699" i="3"/>
  <c r="I700" i="3"/>
  <c r="I701" i="3"/>
  <c r="I702" i="3"/>
  <c r="I703" i="3"/>
  <c r="I704" i="3"/>
  <c r="I705" i="3"/>
  <c r="I706" i="3"/>
  <c r="I707" i="3"/>
  <c r="I708" i="3"/>
  <c r="I709" i="3"/>
  <c r="I710" i="3"/>
  <c r="I711" i="3"/>
  <c r="I712" i="3"/>
  <c r="I713" i="3"/>
  <c r="I714" i="3"/>
  <c r="I715" i="3"/>
  <c r="I716" i="3"/>
  <c r="I717" i="3"/>
  <c r="I718" i="3"/>
  <c r="I719" i="3"/>
  <c r="I720" i="3"/>
  <c r="I721" i="3"/>
  <c r="I722" i="3"/>
  <c r="I723" i="3"/>
  <c r="I724" i="3"/>
  <c r="I725" i="3"/>
  <c r="I726" i="3"/>
  <c r="I727" i="3"/>
  <c r="I728" i="3"/>
  <c r="I729" i="3"/>
  <c r="I730" i="3"/>
  <c r="I731" i="3"/>
  <c r="I732" i="3"/>
  <c r="I733" i="3"/>
  <c r="I734" i="3"/>
  <c r="I735" i="3"/>
  <c r="I736" i="3"/>
  <c r="I737" i="3"/>
  <c r="I738" i="3"/>
  <c r="I739" i="3"/>
  <c r="I740" i="3"/>
  <c r="I741" i="3"/>
  <c r="I742" i="3"/>
  <c r="I743" i="3"/>
  <c r="I744" i="3"/>
  <c r="I745" i="3"/>
  <c r="I746" i="3"/>
  <c r="I747" i="3"/>
  <c r="I748" i="3"/>
  <c r="I749" i="3"/>
  <c r="I750" i="3"/>
  <c r="I751" i="3"/>
  <c r="I752" i="3"/>
  <c r="I753" i="3"/>
  <c r="I754" i="3"/>
  <c r="I755" i="3"/>
  <c r="I756" i="3"/>
  <c r="I757" i="3"/>
  <c r="I758" i="3"/>
  <c r="I759" i="3"/>
  <c r="I760" i="3"/>
  <c r="I761" i="3"/>
  <c r="I762" i="3"/>
  <c r="I763" i="3"/>
  <c r="I764" i="3"/>
  <c r="I765" i="3"/>
  <c r="I766" i="3"/>
  <c r="I767" i="3"/>
  <c r="I768" i="3"/>
  <c r="I769" i="3"/>
  <c r="I770" i="3"/>
  <c r="I771" i="3"/>
  <c r="I772" i="3"/>
  <c r="I773" i="3"/>
  <c r="I774" i="3"/>
  <c r="I775" i="3"/>
  <c r="I776" i="3"/>
  <c r="I777" i="3"/>
  <c r="I778" i="3"/>
  <c r="I779" i="3"/>
  <c r="I780" i="3"/>
  <c r="I781" i="3"/>
  <c r="I782" i="3"/>
  <c r="I783" i="3"/>
  <c r="I784" i="3"/>
  <c r="I785" i="3"/>
  <c r="I786" i="3"/>
  <c r="I787" i="3"/>
  <c r="I788" i="3"/>
  <c r="I789" i="3"/>
  <c r="I790" i="3"/>
  <c r="I791" i="3"/>
  <c r="I792" i="3"/>
  <c r="I793" i="3"/>
  <c r="I794" i="3"/>
  <c r="I795" i="3"/>
  <c r="I796" i="3"/>
  <c r="I797" i="3"/>
  <c r="I798" i="3"/>
  <c r="I799" i="3"/>
  <c r="I800" i="3"/>
  <c r="I801" i="3"/>
  <c r="I802" i="3"/>
  <c r="I803" i="3"/>
  <c r="I804" i="3"/>
  <c r="I805" i="3"/>
  <c r="I806" i="3"/>
  <c r="I807" i="3"/>
  <c r="I808" i="3"/>
  <c r="I809" i="3"/>
  <c r="I810" i="3"/>
  <c r="I811" i="3"/>
  <c r="I812" i="3"/>
  <c r="I813" i="3"/>
  <c r="I814" i="3"/>
  <c r="I815" i="3"/>
  <c r="I816" i="3"/>
  <c r="I817" i="3"/>
  <c r="I818" i="3"/>
  <c r="I819" i="3"/>
  <c r="I820" i="3"/>
  <c r="I821" i="3"/>
  <c r="I822" i="3"/>
  <c r="I823" i="3"/>
  <c r="I824" i="3"/>
  <c r="I825" i="3"/>
  <c r="I826" i="3"/>
  <c r="I827" i="3"/>
  <c r="I828" i="3"/>
  <c r="I829" i="3"/>
  <c r="I830" i="3"/>
  <c r="I831" i="3"/>
  <c r="I832" i="3"/>
  <c r="I833" i="3"/>
  <c r="I834" i="3"/>
  <c r="I835" i="3"/>
  <c r="I836" i="3"/>
  <c r="I837" i="3"/>
  <c r="I838" i="3"/>
  <c r="I839" i="3"/>
  <c r="I840" i="3"/>
  <c r="I841" i="3"/>
  <c r="I842" i="3"/>
  <c r="I843" i="3"/>
  <c r="I844" i="3"/>
  <c r="I845" i="3"/>
  <c r="I846" i="3"/>
  <c r="I847" i="3"/>
  <c r="I848" i="3"/>
  <c r="I849" i="3"/>
  <c r="I850" i="3"/>
  <c r="I851" i="3"/>
  <c r="I852" i="3"/>
  <c r="I853" i="3"/>
  <c r="I854" i="3"/>
  <c r="I855" i="3"/>
  <c r="I856" i="3"/>
  <c r="I857" i="3"/>
  <c r="I858" i="3"/>
  <c r="I859" i="3"/>
  <c r="I860" i="3"/>
  <c r="I861" i="3"/>
  <c r="I862" i="3"/>
  <c r="I863" i="3"/>
  <c r="I864" i="3"/>
  <c r="I865" i="3"/>
  <c r="I866" i="3"/>
  <c r="I867" i="3"/>
  <c r="I868" i="3"/>
  <c r="I869" i="3"/>
  <c r="I870" i="3"/>
  <c r="I871" i="3"/>
  <c r="I872" i="3"/>
  <c r="I873" i="3"/>
  <c r="I874" i="3"/>
  <c r="I875" i="3"/>
  <c r="I876" i="3"/>
  <c r="I877" i="3"/>
  <c r="I878" i="3"/>
  <c r="I879" i="3"/>
  <c r="I880" i="3"/>
  <c r="I881" i="3"/>
  <c r="I882" i="3"/>
  <c r="I883" i="3"/>
  <c r="I884" i="3"/>
  <c r="I885" i="3"/>
  <c r="I886" i="3"/>
  <c r="I887" i="3"/>
  <c r="I888" i="3"/>
  <c r="I889" i="3"/>
  <c r="I890" i="3"/>
  <c r="I891" i="3"/>
  <c r="I892" i="3"/>
  <c r="I893" i="3"/>
  <c r="I894" i="3"/>
  <c r="I895" i="3"/>
  <c r="I896" i="3"/>
  <c r="I897" i="3"/>
  <c r="I898" i="3"/>
  <c r="I899" i="3"/>
  <c r="I900" i="3"/>
  <c r="I901" i="3"/>
  <c r="I902" i="3"/>
  <c r="I903" i="3"/>
  <c r="I904" i="3"/>
  <c r="I905" i="3"/>
  <c r="I906" i="3"/>
  <c r="I907" i="3"/>
  <c r="I908" i="3"/>
  <c r="I909" i="3"/>
  <c r="I910" i="3"/>
  <c r="I911" i="3"/>
  <c r="I912" i="3"/>
  <c r="I913" i="3"/>
  <c r="I914" i="3"/>
  <c r="I915" i="3"/>
  <c r="I916" i="3"/>
  <c r="I917" i="3"/>
  <c r="I918" i="3"/>
  <c r="I919" i="3"/>
  <c r="I920" i="3"/>
  <c r="I921" i="3"/>
  <c r="I922" i="3"/>
  <c r="I923" i="3"/>
  <c r="I924" i="3"/>
  <c r="I925" i="3"/>
  <c r="I926" i="3"/>
  <c r="I927" i="3"/>
  <c r="I928" i="3"/>
  <c r="I929" i="3"/>
  <c r="I930" i="3"/>
  <c r="I931" i="3"/>
  <c r="I932" i="3"/>
  <c r="I933" i="3"/>
  <c r="I934" i="3"/>
  <c r="I935" i="3"/>
  <c r="I936" i="3"/>
  <c r="I937" i="3"/>
  <c r="I938" i="3"/>
  <c r="I939" i="3"/>
  <c r="I940" i="3"/>
  <c r="I941" i="3"/>
  <c r="I942" i="3"/>
  <c r="I943" i="3"/>
  <c r="I944" i="3"/>
  <c r="I945" i="3"/>
  <c r="I946" i="3"/>
  <c r="I947" i="3"/>
  <c r="I948" i="3"/>
  <c r="I949" i="3"/>
  <c r="I950" i="3"/>
  <c r="I951" i="3"/>
  <c r="I952" i="3"/>
  <c r="I953" i="3"/>
  <c r="I954" i="3"/>
  <c r="I955" i="3"/>
  <c r="I956" i="3"/>
  <c r="I957" i="3"/>
  <c r="I958" i="3"/>
  <c r="I959" i="3"/>
  <c r="I960" i="3"/>
  <c r="I961" i="3"/>
  <c r="I962" i="3"/>
  <c r="I963" i="3"/>
  <c r="I964" i="3"/>
  <c r="I965" i="3"/>
  <c r="I966" i="3"/>
  <c r="I967" i="3"/>
  <c r="I968" i="3"/>
  <c r="I969" i="3"/>
  <c r="I970" i="3"/>
  <c r="I971" i="3"/>
  <c r="I972" i="3"/>
  <c r="I973" i="3"/>
  <c r="I974" i="3"/>
  <c r="I975" i="3"/>
  <c r="I976" i="3"/>
  <c r="I977" i="3"/>
  <c r="I978" i="3"/>
  <c r="I979" i="3"/>
  <c r="I980" i="3"/>
  <c r="I981" i="3"/>
  <c r="I982" i="3"/>
  <c r="I983" i="3"/>
  <c r="I984" i="3"/>
  <c r="I985" i="3"/>
  <c r="I986" i="3"/>
  <c r="I987" i="3"/>
  <c r="I988" i="3"/>
  <c r="I989" i="3"/>
  <c r="I990" i="3"/>
  <c r="I991" i="3"/>
  <c r="I992" i="3"/>
  <c r="I993" i="3"/>
  <c r="I994" i="3"/>
  <c r="I995" i="3"/>
  <c r="I996" i="3"/>
  <c r="I997" i="3"/>
  <c r="I998" i="3"/>
  <c r="I999" i="3"/>
  <c r="I1000" i="3"/>
  <c r="I1001" i="3"/>
  <c r="I1002" i="3"/>
  <c r="I1003" i="3"/>
  <c r="I1004" i="3"/>
  <c r="I1005" i="3"/>
  <c r="I1006" i="3"/>
  <c r="I1007" i="3"/>
  <c r="I1008" i="3"/>
  <c r="I1009" i="3"/>
  <c r="I1010" i="3"/>
  <c r="I1011" i="3"/>
  <c r="I1012" i="3"/>
  <c r="I1013" i="3"/>
  <c r="I1014" i="3"/>
  <c r="I1015" i="3"/>
  <c r="I1016" i="3"/>
  <c r="I1017" i="3"/>
  <c r="I1018" i="3"/>
  <c r="I1019" i="3"/>
  <c r="I1020" i="3"/>
  <c r="I1021" i="3"/>
  <c r="I1022" i="3"/>
  <c r="I1023" i="3"/>
  <c r="I1024" i="3"/>
  <c r="I1025" i="3"/>
  <c r="I1026" i="3"/>
  <c r="I1027" i="3"/>
  <c r="I1028" i="3"/>
  <c r="I1029" i="3"/>
  <c r="I1030" i="3"/>
  <c r="I1031" i="3"/>
  <c r="I1032" i="3"/>
  <c r="I1033" i="3"/>
  <c r="I1034" i="3"/>
  <c r="I1035" i="3"/>
  <c r="I1036" i="3"/>
  <c r="I1037" i="3"/>
  <c r="I1038" i="3"/>
  <c r="I1039" i="3"/>
  <c r="I1040" i="3"/>
  <c r="I1041" i="3"/>
  <c r="I1042" i="3"/>
  <c r="I1043" i="3"/>
  <c r="I1044" i="3"/>
  <c r="I1045" i="3"/>
  <c r="I1046" i="3"/>
  <c r="I1047" i="3"/>
  <c r="I1048" i="3"/>
  <c r="I1049" i="3"/>
  <c r="I1050" i="3"/>
  <c r="I1051" i="3"/>
  <c r="I1052" i="3"/>
  <c r="I1053" i="3"/>
  <c r="I1054" i="3"/>
  <c r="I1055" i="3"/>
  <c r="I1056" i="3"/>
  <c r="I1057" i="3"/>
  <c r="I1058" i="3"/>
  <c r="I1059" i="3"/>
  <c r="I1060" i="3"/>
  <c r="I1061" i="3"/>
  <c r="I1062" i="3"/>
  <c r="I1063" i="3"/>
  <c r="I1064" i="3"/>
  <c r="I1065" i="3"/>
  <c r="I1066" i="3"/>
  <c r="I1067" i="3"/>
  <c r="I1068" i="3"/>
  <c r="I1069" i="3"/>
  <c r="I1070" i="3"/>
  <c r="I1071" i="3"/>
  <c r="I1072" i="3"/>
  <c r="I1073" i="3"/>
  <c r="I1074" i="3"/>
  <c r="I1075" i="3"/>
  <c r="I1076" i="3"/>
  <c r="I1077" i="3"/>
  <c r="I1078" i="3"/>
  <c r="I1079" i="3"/>
  <c r="I1080" i="3"/>
  <c r="I1081" i="3"/>
  <c r="I1082" i="3"/>
  <c r="I1083" i="3"/>
  <c r="I1084" i="3"/>
  <c r="I1085" i="3"/>
  <c r="I1086" i="3"/>
  <c r="I1087" i="3"/>
  <c r="I1088" i="3"/>
  <c r="I1089" i="3"/>
  <c r="I1090" i="3"/>
  <c r="I1091" i="3"/>
  <c r="I1092" i="3"/>
  <c r="I1093" i="3"/>
  <c r="I1094" i="3"/>
  <c r="I1095" i="3"/>
  <c r="I1096" i="3"/>
  <c r="I1097" i="3"/>
  <c r="I1098" i="3"/>
  <c r="I1099" i="3"/>
  <c r="I1100" i="3"/>
  <c r="I1101" i="3"/>
  <c r="I1102" i="3"/>
  <c r="I1103" i="3"/>
  <c r="I1104" i="3"/>
  <c r="I1105" i="3"/>
  <c r="I1106" i="3"/>
  <c r="I1107" i="3"/>
  <c r="I1108" i="3"/>
  <c r="I1109" i="3"/>
  <c r="I1110" i="3"/>
  <c r="I1111" i="3"/>
  <c r="I1112" i="3"/>
  <c r="I1113" i="3"/>
  <c r="I1114" i="3"/>
  <c r="I1115" i="3"/>
  <c r="I1116" i="3"/>
  <c r="I1117" i="3"/>
  <c r="I1118" i="3"/>
  <c r="I1119" i="3"/>
  <c r="I1120" i="3"/>
  <c r="I1121" i="3"/>
  <c r="I1122" i="3"/>
  <c r="I1123" i="3"/>
  <c r="I1124" i="3"/>
  <c r="I1125" i="3"/>
  <c r="I1126" i="3"/>
  <c r="I1127" i="3"/>
  <c r="I1128" i="3"/>
  <c r="I1129" i="3"/>
  <c r="I1130" i="3"/>
  <c r="I1131" i="3"/>
  <c r="I1132" i="3"/>
  <c r="I1133" i="3"/>
  <c r="I1134" i="3"/>
  <c r="I1135" i="3"/>
  <c r="I1136" i="3"/>
  <c r="I1137" i="3"/>
  <c r="I1138" i="3"/>
  <c r="I1139" i="3"/>
  <c r="I1140" i="3"/>
  <c r="I1141" i="3"/>
  <c r="I1142" i="3"/>
  <c r="I1143" i="3"/>
  <c r="I1144" i="3"/>
  <c r="I1145" i="3"/>
  <c r="I1146" i="3"/>
  <c r="I1147" i="3"/>
  <c r="I1148" i="3"/>
  <c r="I1149" i="3"/>
  <c r="I1150" i="3"/>
  <c r="I1151" i="3"/>
  <c r="I1152" i="3"/>
  <c r="I1153" i="3"/>
  <c r="I1154" i="3"/>
  <c r="I1155" i="3"/>
  <c r="I1156" i="3"/>
  <c r="I1157" i="3"/>
  <c r="I1158" i="3"/>
  <c r="I1159" i="3"/>
  <c r="I1160" i="3"/>
  <c r="I1161" i="3"/>
  <c r="I1162" i="3"/>
  <c r="I1163" i="3"/>
  <c r="I1164" i="3"/>
  <c r="I1165" i="3"/>
  <c r="I1166" i="3"/>
  <c r="I1167" i="3"/>
  <c r="I1168" i="3"/>
  <c r="I1169" i="3"/>
  <c r="I1170" i="3"/>
  <c r="I1171" i="3"/>
  <c r="I1172" i="3"/>
  <c r="I1173" i="3"/>
  <c r="I1174" i="3"/>
  <c r="I1175" i="3"/>
  <c r="I1176" i="3"/>
  <c r="I1177" i="3"/>
  <c r="I1178" i="3"/>
  <c r="I1179" i="3"/>
  <c r="I1180" i="3"/>
  <c r="I1181" i="3"/>
  <c r="I1182" i="3"/>
  <c r="I1183" i="3"/>
  <c r="I1184" i="3"/>
  <c r="I1185" i="3"/>
  <c r="I1186" i="3"/>
  <c r="I1187" i="3"/>
  <c r="I1188" i="3"/>
  <c r="I1189" i="3"/>
  <c r="I1190" i="3"/>
  <c r="I1191" i="3"/>
  <c r="I1192" i="3"/>
  <c r="I1193" i="3"/>
  <c r="I1194" i="3"/>
  <c r="I1195" i="3"/>
  <c r="I1196" i="3"/>
  <c r="I1197" i="3"/>
  <c r="I1198" i="3"/>
  <c r="I1199" i="3"/>
  <c r="I1200" i="3"/>
  <c r="I1201" i="3"/>
  <c r="I1202" i="3"/>
  <c r="I1203" i="3"/>
  <c r="I1204" i="3"/>
  <c r="I1205" i="3"/>
  <c r="I1206" i="3"/>
  <c r="I1207" i="3"/>
  <c r="I1208" i="3"/>
  <c r="I1209" i="3"/>
  <c r="I1210" i="3"/>
  <c r="I1211" i="3"/>
  <c r="I1212" i="3"/>
  <c r="I1213" i="3"/>
  <c r="I1214" i="3"/>
  <c r="I1215" i="3"/>
  <c r="I1216" i="3"/>
  <c r="I1217" i="3"/>
  <c r="I1218" i="3"/>
  <c r="I1219" i="3"/>
  <c r="I1220" i="3"/>
  <c r="I1221" i="3"/>
  <c r="I1222" i="3"/>
  <c r="I1223" i="3"/>
  <c r="I1224" i="3"/>
  <c r="I1225" i="3"/>
  <c r="I1226" i="3"/>
  <c r="I1227" i="3"/>
  <c r="I1228" i="3"/>
  <c r="I1229" i="3"/>
  <c r="I1230" i="3"/>
  <c r="I1231" i="3"/>
  <c r="I1232" i="3"/>
  <c r="I1233" i="3"/>
  <c r="I1234" i="3"/>
  <c r="I1235" i="3"/>
  <c r="I1236" i="3"/>
  <c r="I1237" i="3"/>
  <c r="I1238" i="3"/>
  <c r="I1239" i="3"/>
  <c r="I1240" i="3"/>
  <c r="I1241" i="3"/>
  <c r="I1242" i="3"/>
  <c r="I1243" i="3"/>
  <c r="I1244" i="3"/>
  <c r="I1245" i="3"/>
  <c r="I1246" i="3"/>
  <c r="I1247" i="3"/>
  <c r="I1248" i="3"/>
  <c r="I1249" i="3"/>
  <c r="I1250" i="3"/>
  <c r="I1251" i="3"/>
  <c r="I1252" i="3"/>
  <c r="I1253" i="3"/>
  <c r="I1254" i="3"/>
  <c r="I1255" i="3"/>
  <c r="I1256" i="3"/>
  <c r="I1257" i="3"/>
  <c r="I1258" i="3"/>
  <c r="I1259" i="3"/>
  <c r="I1260" i="3"/>
  <c r="I1261" i="3"/>
  <c r="I1262" i="3"/>
  <c r="I1263" i="3"/>
  <c r="I1264" i="3"/>
  <c r="I1265" i="3"/>
  <c r="I1266" i="3"/>
  <c r="I1267" i="3"/>
  <c r="I1268" i="3"/>
  <c r="I1269" i="3"/>
  <c r="I1270" i="3"/>
  <c r="I1271" i="3"/>
  <c r="I1272" i="3"/>
  <c r="I1273" i="3"/>
  <c r="I1274" i="3"/>
  <c r="I1275" i="3"/>
  <c r="I1276" i="3"/>
  <c r="I1277" i="3"/>
  <c r="I1278" i="3"/>
  <c r="I1279" i="3"/>
  <c r="I1280" i="3"/>
  <c r="I1281" i="3"/>
  <c r="I1282" i="3"/>
  <c r="I1283" i="3"/>
  <c r="I1284" i="3"/>
  <c r="I1285" i="3"/>
  <c r="I1286" i="3"/>
  <c r="I1287" i="3"/>
  <c r="I1288" i="3"/>
  <c r="I1289" i="3"/>
  <c r="I1290" i="3"/>
  <c r="I1291" i="3"/>
  <c r="I1292" i="3"/>
  <c r="I1293" i="3"/>
  <c r="I1294" i="3"/>
  <c r="I1295" i="3"/>
  <c r="I1296" i="3"/>
  <c r="I1297" i="3"/>
  <c r="I1298" i="3"/>
  <c r="I1299" i="3"/>
  <c r="I1300" i="3"/>
  <c r="I1301" i="3"/>
  <c r="I1302" i="3"/>
  <c r="I1303" i="3"/>
  <c r="I1304" i="3"/>
  <c r="I1305" i="3"/>
  <c r="I1306" i="3"/>
  <c r="I1307" i="3"/>
  <c r="I1308" i="3"/>
  <c r="I1309" i="3"/>
  <c r="I1310" i="3"/>
  <c r="I1311" i="3"/>
  <c r="I1312" i="3"/>
  <c r="I1313" i="3"/>
  <c r="I1314" i="3"/>
  <c r="I1315" i="3"/>
  <c r="I1316" i="3"/>
  <c r="I1317" i="3"/>
  <c r="I1318" i="3"/>
  <c r="I1319" i="3"/>
  <c r="I1320" i="3"/>
  <c r="I1321" i="3"/>
  <c r="I1322" i="3"/>
  <c r="I1323" i="3"/>
  <c r="I1324" i="3"/>
  <c r="I1325" i="3"/>
  <c r="I1326" i="3"/>
  <c r="I1327" i="3"/>
  <c r="I1328" i="3"/>
  <c r="I1329" i="3"/>
  <c r="I1330" i="3"/>
  <c r="I1331" i="3"/>
  <c r="I1332" i="3"/>
  <c r="I1333" i="3"/>
  <c r="I1334" i="3"/>
  <c r="I1335" i="3"/>
  <c r="I1336" i="3"/>
  <c r="I1337" i="3"/>
  <c r="I1338" i="3"/>
  <c r="I1339" i="3"/>
  <c r="I1340" i="3"/>
  <c r="I1341" i="3"/>
  <c r="I1342" i="3"/>
  <c r="I1343" i="3"/>
  <c r="I1344" i="3"/>
  <c r="I1345" i="3"/>
  <c r="I1346" i="3"/>
  <c r="I1347" i="3"/>
  <c r="I1348" i="3"/>
  <c r="I1349" i="3"/>
  <c r="I1350" i="3"/>
  <c r="I1351" i="3"/>
  <c r="I1352" i="3"/>
  <c r="I1353" i="3"/>
  <c r="I1354" i="3"/>
  <c r="I1355" i="3"/>
  <c r="I1356" i="3"/>
  <c r="I1357" i="3"/>
  <c r="I1358" i="3"/>
  <c r="I1359" i="3"/>
  <c r="I1360" i="3"/>
  <c r="I1361" i="3"/>
  <c r="I1362" i="3"/>
  <c r="I1363" i="3"/>
  <c r="I1364" i="3"/>
  <c r="I1365" i="3"/>
  <c r="I1366" i="3"/>
  <c r="I1367" i="3"/>
  <c r="I1368" i="3"/>
  <c r="I1369" i="3"/>
  <c r="I1370" i="3"/>
  <c r="I1371" i="3"/>
  <c r="I1372" i="3"/>
  <c r="I1373" i="3"/>
  <c r="I1374" i="3"/>
  <c r="I1375" i="3"/>
  <c r="I1376" i="3"/>
  <c r="I1377" i="3"/>
  <c r="I1378" i="3"/>
  <c r="I1379" i="3"/>
  <c r="I1380" i="3"/>
  <c r="I1381" i="3"/>
  <c r="I1382" i="3"/>
  <c r="I1383" i="3"/>
  <c r="I1384" i="3"/>
  <c r="I1385" i="3"/>
  <c r="I1386" i="3"/>
  <c r="I1387" i="3"/>
  <c r="I1388" i="3"/>
  <c r="I1389" i="3"/>
  <c r="I1390" i="3"/>
  <c r="I1391" i="3"/>
  <c r="I1392" i="3"/>
  <c r="I1393" i="3"/>
  <c r="I1394" i="3"/>
  <c r="I1395" i="3"/>
  <c r="I1396" i="3"/>
  <c r="I1397" i="3"/>
  <c r="I1398" i="3"/>
  <c r="I1399" i="3"/>
  <c r="I1400" i="3"/>
  <c r="I1401" i="3"/>
  <c r="I1402" i="3"/>
  <c r="I1403" i="3"/>
  <c r="I1404" i="3"/>
  <c r="I1405" i="3"/>
  <c r="I1406" i="3"/>
  <c r="I1407" i="3"/>
  <c r="I1408" i="3"/>
  <c r="I1409" i="3"/>
  <c r="I1410" i="3"/>
  <c r="I1411" i="3"/>
  <c r="I1412" i="3"/>
  <c r="I1413" i="3"/>
  <c r="I1414" i="3"/>
  <c r="I1415" i="3"/>
  <c r="I1416" i="3"/>
  <c r="I1417" i="3"/>
  <c r="I1418" i="3"/>
  <c r="I1419" i="3"/>
  <c r="I1420" i="3"/>
  <c r="I1421" i="3"/>
  <c r="I1422" i="3"/>
  <c r="I1423" i="3"/>
  <c r="I1424" i="3"/>
  <c r="I1425" i="3"/>
  <c r="I1426" i="3"/>
  <c r="I1427" i="3"/>
  <c r="I1428" i="3"/>
  <c r="I1429" i="3"/>
  <c r="I1430" i="3"/>
  <c r="I1431" i="3"/>
  <c r="I1432" i="3"/>
  <c r="I1433" i="3"/>
  <c r="I1434" i="3"/>
  <c r="I1435" i="3"/>
  <c r="I1436" i="3"/>
  <c r="I1437" i="3"/>
  <c r="I1438" i="3"/>
  <c r="I1439" i="3"/>
  <c r="I1440" i="3"/>
  <c r="I1441" i="3"/>
  <c r="I1442" i="3"/>
  <c r="I1443" i="3"/>
  <c r="I1444" i="3"/>
  <c r="I1445" i="3"/>
  <c r="I1446" i="3"/>
  <c r="I1447" i="3"/>
  <c r="I1448" i="3"/>
  <c r="I1449" i="3"/>
  <c r="I1450" i="3"/>
  <c r="I1451" i="3"/>
  <c r="I1452" i="3"/>
  <c r="I1453" i="3"/>
  <c r="I1454" i="3"/>
  <c r="I1455" i="3"/>
  <c r="I1456" i="3"/>
  <c r="I1457" i="3"/>
  <c r="I1458" i="3"/>
  <c r="I1459" i="3"/>
  <c r="I1460" i="3"/>
  <c r="I1461" i="3"/>
  <c r="I1462" i="3"/>
  <c r="I1463" i="3"/>
  <c r="I1464" i="3"/>
  <c r="I1465" i="3"/>
  <c r="I1466" i="3"/>
  <c r="I1467" i="3"/>
  <c r="I1468" i="3"/>
  <c r="I1469" i="3"/>
  <c r="I1470" i="3"/>
  <c r="I1471" i="3"/>
  <c r="I1472" i="3"/>
  <c r="I1473" i="3"/>
  <c r="I1474" i="3"/>
  <c r="I1475" i="3"/>
  <c r="I1476" i="3"/>
  <c r="I1477" i="3"/>
  <c r="I1478" i="3"/>
  <c r="I1479" i="3"/>
  <c r="I1480" i="3"/>
  <c r="I1481" i="3"/>
  <c r="I1482" i="3"/>
  <c r="I1483" i="3"/>
  <c r="I1484" i="3"/>
  <c r="I1485" i="3"/>
  <c r="I1486" i="3"/>
  <c r="I1487" i="3"/>
  <c r="I1488" i="3"/>
  <c r="I1489" i="3"/>
  <c r="I1490" i="3"/>
  <c r="I1491" i="3"/>
  <c r="I1492" i="3"/>
  <c r="I1493" i="3"/>
  <c r="I1494" i="3"/>
  <c r="I1495" i="3"/>
  <c r="I1496" i="3"/>
  <c r="I1497" i="3"/>
  <c r="I1498" i="3"/>
  <c r="I1499" i="3"/>
  <c r="I1500" i="3"/>
  <c r="I1501" i="3"/>
  <c r="I1502" i="3"/>
  <c r="I1503" i="3"/>
  <c r="I1504" i="3"/>
  <c r="I1505" i="3"/>
  <c r="I1506" i="3"/>
  <c r="I1507" i="3"/>
  <c r="I1508" i="3"/>
  <c r="I1509" i="3"/>
  <c r="I1510" i="3"/>
  <c r="I1511" i="3"/>
  <c r="I1512" i="3"/>
  <c r="I1513" i="3"/>
  <c r="I1514" i="3"/>
  <c r="I1515" i="3"/>
  <c r="I1516" i="3"/>
  <c r="I1517" i="3"/>
  <c r="I1518" i="3"/>
  <c r="I1519" i="3"/>
  <c r="I1520" i="3"/>
  <c r="I1521" i="3"/>
  <c r="I1522" i="3"/>
  <c r="I1523" i="3"/>
  <c r="I1524" i="3"/>
  <c r="I1525" i="3"/>
  <c r="I1526" i="3"/>
  <c r="I1527" i="3"/>
  <c r="I1528" i="3"/>
  <c r="I1529" i="3"/>
  <c r="I1530" i="3"/>
  <c r="I1531" i="3"/>
  <c r="I1532" i="3"/>
  <c r="I1533" i="3"/>
  <c r="I1534" i="3"/>
  <c r="I1535" i="3"/>
  <c r="I1536" i="3"/>
  <c r="I1537" i="3"/>
  <c r="I1538" i="3"/>
  <c r="I1539" i="3"/>
  <c r="I1540" i="3"/>
  <c r="I1541" i="3"/>
  <c r="I1542" i="3"/>
  <c r="I1543" i="3"/>
  <c r="I1544" i="3"/>
  <c r="I1545" i="3"/>
  <c r="I1546" i="3"/>
  <c r="I1547" i="3"/>
  <c r="I1548" i="3"/>
  <c r="I1549" i="3"/>
  <c r="I1550" i="3"/>
  <c r="I1551" i="3"/>
  <c r="I1552" i="3"/>
  <c r="I1553" i="3"/>
  <c r="I1554" i="3"/>
  <c r="I1555" i="3"/>
  <c r="I1556" i="3"/>
  <c r="I1557" i="3"/>
  <c r="I1558" i="3"/>
  <c r="I1559" i="3"/>
  <c r="I1560" i="3"/>
  <c r="I1561" i="3"/>
  <c r="I1562" i="3"/>
  <c r="I1563" i="3"/>
  <c r="I1564" i="3"/>
  <c r="I1565" i="3"/>
  <c r="I1566" i="3"/>
  <c r="I1567" i="3"/>
  <c r="I1568" i="3"/>
  <c r="I1569" i="3"/>
  <c r="I1570" i="3"/>
  <c r="I1571" i="3"/>
  <c r="I1572" i="3"/>
  <c r="I1573" i="3"/>
  <c r="I1574" i="3"/>
  <c r="I1575" i="3"/>
  <c r="I1576" i="3"/>
  <c r="I1577" i="3"/>
  <c r="I1578" i="3"/>
  <c r="I1579" i="3"/>
  <c r="I1580" i="3"/>
  <c r="I1581" i="3"/>
  <c r="I1582" i="3"/>
  <c r="I1583" i="3"/>
  <c r="I1584" i="3"/>
  <c r="I1585" i="3"/>
  <c r="I1586" i="3"/>
  <c r="I1587" i="3"/>
  <c r="I1588" i="3"/>
  <c r="I1589" i="3"/>
  <c r="I1590" i="3"/>
  <c r="I1591" i="3"/>
  <c r="I1592" i="3"/>
  <c r="I1593" i="3"/>
  <c r="I1594" i="3"/>
  <c r="I1595" i="3"/>
  <c r="I1596" i="3"/>
  <c r="I1597" i="3"/>
  <c r="I1598" i="3"/>
  <c r="I1599" i="3"/>
  <c r="I1600" i="3"/>
  <c r="I1601" i="3"/>
  <c r="I1602" i="3"/>
  <c r="I1603" i="3"/>
  <c r="I1604" i="3"/>
  <c r="I1605" i="3"/>
  <c r="I1606" i="3"/>
  <c r="I1607" i="3"/>
  <c r="I1608" i="3"/>
  <c r="I1609" i="3"/>
  <c r="I1610" i="3"/>
  <c r="I1611" i="3"/>
  <c r="I1612" i="3"/>
  <c r="I1613" i="3"/>
  <c r="I1614" i="3"/>
  <c r="I1615" i="3"/>
  <c r="I1616" i="3"/>
  <c r="I1617" i="3"/>
  <c r="I1618" i="3"/>
  <c r="I1619" i="3"/>
  <c r="I1620" i="3"/>
  <c r="I1621" i="3"/>
  <c r="I1622" i="3"/>
  <c r="I1623" i="3"/>
  <c r="I1624" i="3"/>
  <c r="I1625" i="3"/>
  <c r="I1626" i="3"/>
  <c r="I1627" i="3"/>
  <c r="I1628" i="3"/>
  <c r="I1629" i="3"/>
  <c r="I1630" i="3"/>
  <c r="I1631" i="3"/>
  <c r="I1632" i="3"/>
  <c r="I1633" i="3"/>
  <c r="I1634" i="3"/>
  <c r="I1635" i="3"/>
  <c r="I1636" i="3"/>
  <c r="I1637" i="3"/>
  <c r="I1638" i="3"/>
  <c r="I1639" i="3"/>
  <c r="I1640" i="3"/>
  <c r="I1641" i="3"/>
  <c r="I1642" i="3"/>
  <c r="I1643" i="3"/>
  <c r="I1644" i="3"/>
  <c r="I1645" i="3"/>
  <c r="I1646" i="3"/>
  <c r="I1647" i="3"/>
  <c r="I1648" i="3"/>
  <c r="I1649" i="3"/>
  <c r="I1650" i="3"/>
  <c r="I1651" i="3"/>
  <c r="I1652" i="3"/>
  <c r="I1653" i="3"/>
  <c r="I1654" i="3"/>
  <c r="I1655" i="3"/>
  <c r="I1656" i="3"/>
  <c r="I1657" i="3"/>
  <c r="I1658" i="3"/>
  <c r="I1659" i="3"/>
  <c r="I1660" i="3"/>
  <c r="I1661" i="3"/>
  <c r="I1662" i="3"/>
  <c r="I1663" i="3"/>
  <c r="I1664" i="3"/>
  <c r="I1665" i="3"/>
  <c r="I1666" i="3"/>
  <c r="I1667" i="3"/>
  <c r="I1668" i="3"/>
  <c r="I1669" i="3"/>
  <c r="I1670" i="3"/>
  <c r="I1671" i="3"/>
  <c r="I1672" i="3"/>
  <c r="I1673" i="3"/>
  <c r="I1674" i="3"/>
  <c r="I1675" i="3"/>
  <c r="I1676" i="3"/>
  <c r="I1677" i="3"/>
  <c r="I1678" i="3"/>
  <c r="I1679" i="3"/>
  <c r="I1680" i="3"/>
  <c r="I1681" i="3"/>
  <c r="I1682" i="3"/>
  <c r="I1683" i="3"/>
  <c r="I1684" i="3"/>
  <c r="I1685" i="3"/>
  <c r="I1686" i="3"/>
  <c r="I1687" i="3"/>
  <c r="I1688" i="3"/>
  <c r="I1689" i="3"/>
  <c r="I1690" i="3"/>
  <c r="I1691" i="3"/>
  <c r="I1692" i="3"/>
  <c r="I1693" i="3"/>
  <c r="I1694" i="3"/>
  <c r="I1695" i="3"/>
  <c r="I1696" i="3"/>
  <c r="I1697" i="3"/>
  <c r="I1698" i="3"/>
  <c r="I1699" i="3"/>
  <c r="I1700" i="3"/>
  <c r="I1701" i="3"/>
  <c r="I1702" i="3"/>
  <c r="I1703" i="3"/>
  <c r="I1704" i="3"/>
  <c r="I1705" i="3"/>
  <c r="I1706" i="3"/>
  <c r="I1707" i="3"/>
  <c r="I1708" i="3"/>
  <c r="I1709" i="3"/>
  <c r="I1710" i="3"/>
  <c r="I1711" i="3"/>
  <c r="I1712" i="3"/>
  <c r="I1713" i="3"/>
  <c r="I1714" i="3"/>
  <c r="I1715" i="3"/>
  <c r="I1716" i="3"/>
  <c r="I1717" i="3"/>
  <c r="I1718" i="3"/>
  <c r="I1719" i="3"/>
  <c r="I1720" i="3"/>
  <c r="I1721" i="3"/>
  <c r="I1722" i="3"/>
  <c r="I1723" i="3"/>
  <c r="I1724" i="3"/>
  <c r="I1725" i="3"/>
  <c r="I1726" i="3"/>
  <c r="I1727" i="3"/>
  <c r="I1728" i="3"/>
  <c r="I1729" i="3"/>
  <c r="I1730" i="3"/>
  <c r="I1731" i="3"/>
  <c r="I1732" i="3"/>
  <c r="I1733" i="3"/>
  <c r="I1734" i="3"/>
  <c r="I1735" i="3"/>
  <c r="I1736" i="3"/>
  <c r="I1737" i="3"/>
  <c r="I1738" i="3"/>
  <c r="I1739" i="3"/>
  <c r="I1740" i="3"/>
  <c r="I1741" i="3"/>
  <c r="I1742" i="3"/>
  <c r="I1743" i="3"/>
  <c r="I1744" i="3"/>
  <c r="I1745" i="3"/>
  <c r="I1746" i="3"/>
  <c r="I1747" i="3"/>
  <c r="I1748" i="3"/>
  <c r="I1749" i="3"/>
  <c r="I1750" i="3"/>
  <c r="I1751" i="3"/>
  <c r="I1752" i="3"/>
  <c r="I1753" i="3"/>
  <c r="I1754" i="3"/>
  <c r="I1755" i="3"/>
  <c r="I1756" i="3"/>
  <c r="I1757" i="3"/>
  <c r="I1758" i="3"/>
  <c r="I1759" i="3"/>
  <c r="I1760" i="3"/>
  <c r="I1761" i="3"/>
  <c r="I1762" i="3"/>
  <c r="I1763" i="3"/>
  <c r="I1764" i="3"/>
  <c r="I1765" i="3"/>
  <c r="I1766" i="3"/>
  <c r="I1767" i="3"/>
  <c r="I1768" i="3"/>
  <c r="I1769" i="3"/>
  <c r="I1770" i="3"/>
  <c r="I1771" i="3"/>
  <c r="I1772" i="3"/>
  <c r="I1773" i="3"/>
  <c r="I1774" i="3"/>
  <c r="I1775" i="3"/>
  <c r="I1776" i="3"/>
  <c r="I1777" i="3"/>
  <c r="I1778" i="3"/>
  <c r="I1779" i="3"/>
  <c r="I1780" i="3"/>
  <c r="I1781" i="3"/>
  <c r="I1782" i="3"/>
  <c r="I1783" i="3"/>
  <c r="I1784" i="3"/>
  <c r="I1785" i="3"/>
  <c r="I1786" i="3"/>
  <c r="I1787" i="3"/>
  <c r="I1788" i="3"/>
  <c r="I1789" i="3"/>
  <c r="I1790" i="3"/>
  <c r="I1791" i="3"/>
  <c r="I1792" i="3"/>
  <c r="I1793" i="3"/>
  <c r="I1794" i="3"/>
  <c r="I1795" i="3"/>
  <c r="I1796" i="3"/>
  <c r="I1797" i="3"/>
  <c r="I1798" i="3"/>
  <c r="I1799" i="3"/>
  <c r="I1800" i="3"/>
  <c r="I1801" i="3"/>
  <c r="I1802" i="3"/>
  <c r="I1803" i="3"/>
  <c r="I1804" i="3"/>
  <c r="I1805" i="3"/>
  <c r="I1806" i="3"/>
  <c r="I1807" i="3"/>
  <c r="I1808" i="3"/>
  <c r="I1809" i="3"/>
  <c r="I1810" i="3"/>
  <c r="I1811" i="3"/>
  <c r="I1812" i="3"/>
  <c r="I1813" i="3"/>
  <c r="I1814" i="3"/>
  <c r="I1815" i="3"/>
  <c r="I1816" i="3"/>
  <c r="I1817" i="3"/>
  <c r="I1818" i="3"/>
  <c r="I1819" i="3"/>
  <c r="I1820" i="3"/>
  <c r="I1821" i="3"/>
  <c r="I1822" i="3"/>
  <c r="I1823" i="3"/>
  <c r="I1824" i="3"/>
  <c r="I1825" i="3"/>
  <c r="I1826" i="3"/>
  <c r="I1827" i="3"/>
  <c r="I1828" i="3"/>
  <c r="I1829" i="3"/>
  <c r="I1830" i="3"/>
  <c r="I1831" i="3"/>
  <c r="I1832" i="3"/>
  <c r="I1833" i="3"/>
  <c r="I1834" i="3"/>
  <c r="I1835" i="3"/>
  <c r="I1836" i="3"/>
  <c r="I1837" i="3"/>
  <c r="I1838" i="3"/>
  <c r="I1839" i="3"/>
  <c r="I1840" i="3"/>
  <c r="I1841" i="3"/>
  <c r="I1842" i="3"/>
  <c r="I1843" i="3"/>
  <c r="I1844" i="3"/>
  <c r="I1845" i="3"/>
  <c r="I1846" i="3"/>
  <c r="I1847" i="3"/>
  <c r="I1848" i="3"/>
  <c r="I1849" i="3"/>
  <c r="I1850" i="3"/>
  <c r="I1851" i="3"/>
  <c r="I1852" i="3"/>
  <c r="I1853" i="3"/>
  <c r="I1854" i="3"/>
  <c r="I1855" i="3"/>
  <c r="I1856" i="3"/>
  <c r="I1857" i="3"/>
  <c r="I1858" i="3"/>
  <c r="I1859" i="3"/>
  <c r="I1860" i="3"/>
  <c r="I1861" i="3"/>
  <c r="I1862" i="3"/>
  <c r="I1863" i="3"/>
  <c r="I1864" i="3"/>
  <c r="I1865" i="3"/>
  <c r="I1866" i="3"/>
  <c r="I1867" i="3"/>
  <c r="I1868" i="3"/>
  <c r="I1869" i="3"/>
  <c r="I1870" i="3"/>
  <c r="I1871" i="3"/>
  <c r="I1872" i="3"/>
  <c r="I1873" i="3"/>
  <c r="I1874" i="3"/>
  <c r="I1875" i="3"/>
  <c r="I1876" i="3"/>
  <c r="I1877" i="3"/>
  <c r="I1878" i="3"/>
  <c r="I1879" i="3"/>
  <c r="I1880" i="3"/>
  <c r="I1881" i="3"/>
  <c r="I1882" i="3"/>
  <c r="I1883" i="3"/>
  <c r="I1884" i="3"/>
  <c r="I1885" i="3"/>
  <c r="I1886" i="3"/>
  <c r="I1887" i="3"/>
  <c r="I1888" i="3"/>
  <c r="I1889" i="3"/>
  <c r="I1890" i="3"/>
  <c r="I1891" i="3"/>
  <c r="I1892" i="3"/>
  <c r="I1893" i="3"/>
  <c r="I1894" i="3"/>
  <c r="I1895" i="3"/>
  <c r="I1896" i="3"/>
  <c r="I1897" i="3"/>
  <c r="I1898" i="3"/>
  <c r="I1899" i="3"/>
  <c r="I1900" i="3"/>
  <c r="I1901" i="3"/>
  <c r="I1902" i="3"/>
  <c r="I1903" i="3"/>
  <c r="I1904" i="3"/>
  <c r="I1905" i="3"/>
  <c r="I1906" i="3"/>
  <c r="I1907" i="3"/>
  <c r="I1908" i="3"/>
  <c r="I1909" i="3"/>
  <c r="I1910" i="3"/>
  <c r="I1911" i="3"/>
  <c r="I1912" i="3"/>
  <c r="I1913" i="3"/>
  <c r="I1914" i="3"/>
  <c r="I1915" i="3"/>
  <c r="I1916" i="3"/>
  <c r="I1917" i="3"/>
  <c r="I1918" i="3"/>
  <c r="I1919" i="3"/>
  <c r="I1920" i="3"/>
  <c r="I1921" i="3"/>
  <c r="I1922" i="3"/>
  <c r="I1923" i="3"/>
  <c r="I1924" i="3"/>
  <c r="I1925" i="3"/>
  <c r="I1926" i="3"/>
  <c r="I1927" i="3"/>
  <c r="I1928" i="3"/>
  <c r="I1929" i="3"/>
  <c r="I1930" i="3"/>
  <c r="I1931" i="3"/>
  <c r="I1932" i="3"/>
  <c r="I1933" i="3"/>
  <c r="I1934" i="3"/>
  <c r="I1935" i="3"/>
  <c r="I1936" i="3"/>
  <c r="I1937" i="3"/>
  <c r="I1938" i="3"/>
  <c r="I1939" i="3"/>
  <c r="I1940" i="3"/>
  <c r="I1941" i="3"/>
  <c r="I1942" i="3"/>
  <c r="I1943" i="3"/>
  <c r="I1944" i="3"/>
  <c r="I1945" i="3"/>
  <c r="I1946" i="3"/>
  <c r="I1947" i="3"/>
  <c r="I1948" i="3"/>
  <c r="I1949" i="3"/>
  <c r="I1950" i="3"/>
  <c r="I1951" i="3"/>
  <c r="I1952" i="3"/>
  <c r="I1953" i="3"/>
  <c r="I1954" i="3"/>
  <c r="I1955" i="3"/>
  <c r="I1956" i="3"/>
  <c r="I1957" i="3"/>
  <c r="I1958" i="3"/>
  <c r="I1959" i="3"/>
  <c r="I1960" i="3"/>
  <c r="I1961" i="3"/>
  <c r="I1962" i="3"/>
  <c r="I1963" i="3"/>
  <c r="I1964" i="3"/>
  <c r="I1965" i="3"/>
  <c r="I1966" i="3"/>
  <c r="I1967" i="3"/>
  <c r="I1968" i="3"/>
  <c r="I1969" i="3"/>
  <c r="I1970" i="3"/>
  <c r="I1971" i="3"/>
  <c r="I1972" i="3"/>
  <c r="I1973" i="3"/>
  <c r="I1974" i="3"/>
  <c r="I1975" i="3"/>
  <c r="I1976" i="3"/>
  <c r="I1977" i="3"/>
  <c r="I1978" i="3"/>
  <c r="I1979" i="3"/>
  <c r="I1980" i="3"/>
  <c r="I1981" i="3"/>
  <c r="I1982" i="3"/>
  <c r="I1983" i="3"/>
  <c r="I1984" i="3"/>
  <c r="I1985" i="3"/>
  <c r="I1986" i="3"/>
  <c r="I1987" i="3"/>
  <c r="I1988" i="3"/>
  <c r="I1989" i="3"/>
  <c r="I1990" i="3"/>
  <c r="I1991" i="3"/>
  <c r="I1992" i="3"/>
  <c r="I1993" i="3"/>
  <c r="I1994" i="3"/>
  <c r="I1995" i="3"/>
  <c r="I1996" i="3"/>
  <c r="I1997" i="3"/>
  <c r="I1998" i="3"/>
  <c r="I1999" i="3"/>
  <c r="I2000" i="3"/>
  <c r="I2001" i="3"/>
  <c r="I2002" i="3"/>
  <c r="I2003" i="3"/>
  <c r="I2004" i="3"/>
  <c r="I2005" i="3"/>
  <c r="I2006" i="3"/>
  <c r="I2007" i="3"/>
  <c r="I2008" i="3"/>
  <c r="I2009" i="3"/>
  <c r="I2010" i="3"/>
  <c r="I2011" i="3"/>
  <c r="I2012" i="3"/>
  <c r="I2013" i="3"/>
  <c r="I2014" i="3"/>
  <c r="I2015" i="3"/>
  <c r="I2016" i="3"/>
  <c r="I2017" i="3"/>
  <c r="I2018" i="3"/>
  <c r="I2019" i="3"/>
  <c r="I2020" i="3"/>
  <c r="I2021" i="3"/>
  <c r="I2022" i="3"/>
  <c r="I2023" i="3"/>
  <c r="I2024" i="3"/>
  <c r="I2025" i="3"/>
  <c r="I2026" i="3"/>
  <c r="I2027" i="3"/>
  <c r="I2028" i="3"/>
  <c r="I2029" i="3"/>
  <c r="I2030" i="3"/>
  <c r="I2031" i="3"/>
  <c r="I2032" i="3"/>
  <c r="I2033" i="3"/>
  <c r="I2034" i="3"/>
  <c r="I2035" i="3"/>
  <c r="I2036" i="3"/>
  <c r="I2037" i="3"/>
  <c r="I2038" i="3"/>
  <c r="I2039" i="3"/>
  <c r="I2040" i="3"/>
  <c r="I2041" i="3"/>
  <c r="I2042" i="3"/>
  <c r="I2043" i="3"/>
  <c r="I2044" i="3"/>
  <c r="I2045" i="3"/>
  <c r="I2046" i="3"/>
  <c r="I2047" i="3"/>
  <c r="I2048" i="3"/>
  <c r="I2049" i="3"/>
  <c r="I2050" i="3"/>
  <c r="I2051" i="3"/>
  <c r="I2052" i="3"/>
  <c r="I2053" i="3"/>
  <c r="I2054" i="3"/>
  <c r="I2055" i="3"/>
  <c r="I2056" i="3"/>
  <c r="I2057" i="3"/>
  <c r="I2058" i="3"/>
  <c r="I2059" i="3"/>
  <c r="I2060" i="3"/>
  <c r="I2061" i="3"/>
  <c r="I2062" i="3"/>
  <c r="I2063" i="3"/>
  <c r="I2064" i="3"/>
  <c r="I2065" i="3"/>
  <c r="I2066" i="3"/>
  <c r="I2067" i="3"/>
  <c r="I2068" i="3"/>
  <c r="I2069" i="3"/>
  <c r="I2070" i="3"/>
  <c r="I2071" i="3"/>
  <c r="I2072" i="3"/>
  <c r="I2073" i="3"/>
  <c r="I2074" i="3"/>
  <c r="I2075" i="3"/>
  <c r="I2076" i="3"/>
  <c r="I2077" i="3"/>
  <c r="I2078" i="3"/>
  <c r="I2079" i="3"/>
  <c r="I2080" i="3"/>
  <c r="I2081" i="3"/>
  <c r="I2082" i="3"/>
  <c r="I2083" i="3"/>
  <c r="I2084" i="3"/>
  <c r="I2085" i="3"/>
  <c r="I2086" i="3"/>
  <c r="I2087" i="3"/>
  <c r="I2088" i="3"/>
  <c r="I2089" i="3"/>
  <c r="I2090" i="3"/>
  <c r="I2091" i="3"/>
  <c r="I2092" i="3"/>
  <c r="I2093" i="3"/>
  <c r="I2094" i="3"/>
  <c r="I2095" i="3"/>
  <c r="I2096" i="3"/>
  <c r="I2097" i="3"/>
  <c r="I2098" i="3"/>
  <c r="I2099" i="3"/>
  <c r="I2100" i="3"/>
  <c r="I2101" i="3"/>
  <c r="I2102" i="3"/>
  <c r="I2103" i="3"/>
  <c r="I2104" i="3"/>
  <c r="I2105" i="3"/>
  <c r="I2106" i="3"/>
  <c r="I2107" i="3"/>
  <c r="I2108" i="3"/>
  <c r="I2109" i="3"/>
  <c r="I2110" i="3"/>
  <c r="I2111" i="3"/>
  <c r="I2112" i="3"/>
  <c r="I2113" i="3"/>
  <c r="I2114" i="3"/>
  <c r="I2115" i="3"/>
  <c r="I2116" i="3"/>
  <c r="I2117" i="3"/>
  <c r="I2118" i="3"/>
  <c r="I2119" i="3"/>
  <c r="I2120" i="3"/>
  <c r="I2121" i="3"/>
  <c r="I2122" i="3"/>
  <c r="I2123" i="3"/>
  <c r="I2124" i="3"/>
  <c r="I2125" i="3"/>
  <c r="I2126" i="3"/>
  <c r="I2127" i="3"/>
  <c r="I2128" i="3"/>
  <c r="I2129" i="3"/>
  <c r="I2130" i="3"/>
  <c r="I2131" i="3"/>
  <c r="I2132" i="3"/>
  <c r="I2133" i="3"/>
  <c r="I2134" i="3"/>
  <c r="I2135" i="3"/>
  <c r="I2136" i="3"/>
  <c r="I2137" i="3"/>
  <c r="I2138" i="3"/>
  <c r="I2139" i="3"/>
  <c r="I2140" i="3"/>
  <c r="I2141" i="3"/>
  <c r="I2142" i="3"/>
  <c r="I2143" i="3"/>
  <c r="I2144" i="3"/>
  <c r="I2145" i="3"/>
  <c r="I2146" i="3"/>
  <c r="I2147" i="3"/>
  <c r="I2148" i="3"/>
  <c r="I2149" i="3"/>
  <c r="I2150" i="3"/>
  <c r="I2151" i="3"/>
  <c r="I2152" i="3"/>
  <c r="I2153" i="3"/>
  <c r="I2154" i="3"/>
  <c r="I2155" i="3"/>
  <c r="I2156" i="3"/>
  <c r="I2157" i="3"/>
  <c r="I2158" i="3"/>
  <c r="I2159" i="3"/>
  <c r="I2160" i="3"/>
  <c r="I2161" i="3"/>
  <c r="I2162" i="3"/>
  <c r="I2163" i="3"/>
  <c r="I2164" i="3"/>
  <c r="I2165" i="3"/>
  <c r="I2166" i="3"/>
  <c r="I2167" i="3"/>
  <c r="I2168" i="3"/>
  <c r="I2169" i="3"/>
  <c r="I2170" i="3"/>
  <c r="I2171" i="3"/>
  <c r="I2172" i="3"/>
  <c r="I2173" i="3"/>
  <c r="I2174" i="3"/>
  <c r="I2175" i="3"/>
  <c r="I2176" i="3"/>
  <c r="I2177" i="3"/>
  <c r="I2178" i="3"/>
  <c r="I2179" i="3"/>
  <c r="I2180" i="3"/>
  <c r="I2181" i="3"/>
  <c r="I2182" i="3"/>
  <c r="I2183" i="3"/>
  <c r="I2184" i="3"/>
  <c r="I2185" i="3"/>
  <c r="I2186" i="3"/>
  <c r="I2187" i="3"/>
  <c r="I2188" i="3"/>
  <c r="I2189" i="3"/>
  <c r="I2190" i="3"/>
  <c r="I2191" i="3"/>
  <c r="I2192" i="3"/>
  <c r="I2193" i="3"/>
  <c r="I2194" i="3"/>
  <c r="I2195" i="3"/>
  <c r="I2196" i="3"/>
  <c r="I2197" i="3"/>
  <c r="I2198" i="3"/>
  <c r="I2199" i="3"/>
  <c r="I2200" i="3"/>
  <c r="I2201" i="3"/>
  <c r="I2202" i="3"/>
  <c r="I2203" i="3"/>
  <c r="I2204" i="3"/>
  <c r="I2205" i="3"/>
  <c r="I2206" i="3"/>
  <c r="I2207" i="3"/>
  <c r="I2208" i="3"/>
  <c r="I2209" i="3"/>
  <c r="I2210" i="3"/>
  <c r="I2211" i="3"/>
  <c r="I2212" i="3"/>
  <c r="I2213" i="3"/>
  <c r="I2214" i="3"/>
  <c r="I2215" i="3"/>
  <c r="I2216" i="3"/>
  <c r="I2217" i="3"/>
  <c r="I2218" i="3"/>
  <c r="I2219" i="3"/>
  <c r="I2220" i="3"/>
  <c r="I2221" i="3"/>
  <c r="I2222" i="3"/>
  <c r="I2223" i="3"/>
  <c r="I2224" i="3"/>
  <c r="I2225" i="3"/>
  <c r="I2226" i="3"/>
  <c r="I2227" i="3"/>
  <c r="I2228" i="3"/>
  <c r="I2229" i="3"/>
  <c r="I2230" i="3"/>
  <c r="I2231" i="3"/>
  <c r="I2232" i="3"/>
  <c r="I2233" i="3"/>
  <c r="I2234" i="3"/>
  <c r="I2235" i="3"/>
  <c r="I2236" i="3"/>
  <c r="I2237" i="3"/>
  <c r="I2238" i="3"/>
  <c r="I2239" i="3"/>
  <c r="I2240" i="3"/>
  <c r="I2241" i="3"/>
  <c r="I2242" i="3"/>
  <c r="I2243" i="3"/>
  <c r="I2244" i="3"/>
  <c r="I2245" i="3"/>
  <c r="I2246" i="3"/>
  <c r="I2247" i="3"/>
  <c r="I2248" i="3"/>
  <c r="I2249" i="3"/>
  <c r="I2250" i="3"/>
  <c r="I2251" i="3"/>
  <c r="I2252" i="3"/>
  <c r="I2253" i="3"/>
  <c r="I2254" i="3"/>
  <c r="I2255" i="3"/>
  <c r="I2256" i="3"/>
  <c r="I2257" i="3"/>
  <c r="I2258" i="3"/>
  <c r="I2259" i="3"/>
  <c r="I2260" i="3"/>
  <c r="I2261" i="3"/>
  <c r="I2262" i="3"/>
  <c r="I2263" i="3"/>
  <c r="I2264" i="3"/>
  <c r="I2265" i="3"/>
  <c r="I2266" i="3"/>
  <c r="I2267" i="3"/>
  <c r="I2268" i="3"/>
  <c r="I2269" i="3"/>
  <c r="I2270" i="3"/>
  <c r="I2271" i="3"/>
  <c r="I2272" i="3"/>
  <c r="I2273" i="3"/>
  <c r="I2274" i="3"/>
  <c r="I2275" i="3"/>
  <c r="I2276" i="3"/>
  <c r="I2277" i="3"/>
  <c r="I2278" i="3"/>
  <c r="I2279" i="3"/>
  <c r="I2280" i="3"/>
  <c r="I2281" i="3"/>
  <c r="I2282" i="3"/>
  <c r="I2283" i="3"/>
  <c r="I2284" i="3"/>
  <c r="I2285" i="3"/>
  <c r="I2286" i="3"/>
  <c r="I2287" i="3"/>
  <c r="I2288" i="3"/>
  <c r="I2289" i="3"/>
  <c r="I2290" i="3"/>
  <c r="I2291" i="3"/>
  <c r="I2292" i="3"/>
  <c r="I2293" i="3"/>
  <c r="I2294" i="3"/>
  <c r="I2295" i="3"/>
  <c r="I2296" i="3"/>
  <c r="I2297" i="3"/>
  <c r="I2298" i="3"/>
  <c r="I2299" i="3"/>
  <c r="I2300" i="3"/>
  <c r="I2301" i="3"/>
  <c r="I2302" i="3"/>
  <c r="I2303" i="3"/>
  <c r="I2304" i="3"/>
  <c r="I2305" i="3"/>
  <c r="I2306" i="3"/>
  <c r="I2307" i="3"/>
  <c r="I2308" i="3"/>
  <c r="I2309" i="3"/>
  <c r="I2310" i="3"/>
  <c r="I2311" i="3"/>
  <c r="I2312" i="3"/>
  <c r="I2313" i="3"/>
  <c r="I2314" i="3"/>
  <c r="I2315" i="3"/>
  <c r="I2316" i="3"/>
  <c r="I2317" i="3"/>
  <c r="I2318" i="3"/>
  <c r="I2319" i="3"/>
  <c r="I2320" i="3"/>
  <c r="I2321" i="3"/>
  <c r="I2322" i="3"/>
  <c r="I2323" i="3"/>
  <c r="I2324" i="3"/>
  <c r="I2325" i="3"/>
  <c r="I2326" i="3"/>
  <c r="I2327" i="3"/>
  <c r="I2328" i="3"/>
  <c r="I2329" i="3"/>
  <c r="I2330" i="3"/>
  <c r="I2331" i="3"/>
  <c r="I2332" i="3"/>
  <c r="I2333" i="3"/>
  <c r="I2334" i="3"/>
  <c r="I2335" i="3"/>
  <c r="I2336" i="3"/>
  <c r="I2337" i="3"/>
  <c r="I2338" i="3"/>
  <c r="I2339" i="3"/>
  <c r="I2340" i="3"/>
  <c r="I2341" i="3"/>
  <c r="I2342" i="3"/>
  <c r="I2343" i="3"/>
  <c r="I2344" i="3"/>
  <c r="I2345" i="3"/>
  <c r="I2346" i="3"/>
  <c r="I2347" i="3"/>
  <c r="I2348" i="3"/>
  <c r="I2349" i="3"/>
  <c r="I2350" i="3"/>
  <c r="I2351" i="3"/>
  <c r="I2352" i="3"/>
  <c r="I2353" i="3"/>
  <c r="I2354" i="3"/>
  <c r="I2355" i="3"/>
  <c r="I2356" i="3"/>
  <c r="I2357" i="3"/>
  <c r="I2358" i="3"/>
  <c r="I2359" i="3"/>
  <c r="I2360" i="3"/>
  <c r="I2361" i="3"/>
  <c r="I2362" i="3"/>
  <c r="I2363" i="3"/>
  <c r="I2364" i="3"/>
  <c r="I2365" i="3"/>
  <c r="I2366" i="3"/>
  <c r="I2367" i="3"/>
  <c r="I2368" i="3"/>
  <c r="I2369" i="3"/>
  <c r="I2370" i="3"/>
  <c r="I2371" i="3"/>
  <c r="I2372" i="3"/>
  <c r="I2373" i="3"/>
  <c r="I2374" i="3"/>
  <c r="I2375" i="3"/>
  <c r="I2376" i="3"/>
  <c r="I2377" i="3"/>
  <c r="I2378" i="3"/>
  <c r="I2379" i="3"/>
  <c r="I2380" i="3"/>
  <c r="I2381" i="3"/>
  <c r="I2382" i="3"/>
  <c r="I2383" i="3"/>
  <c r="I2384" i="3"/>
  <c r="I2385" i="3"/>
  <c r="I2386" i="3"/>
  <c r="I2387" i="3"/>
  <c r="I2388" i="3"/>
  <c r="I2389" i="3"/>
  <c r="I2390" i="3"/>
  <c r="I2391" i="3"/>
  <c r="I2392" i="3"/>
  <c r="I2393" i="3"/>
  <c r="I2394" i="3"/>
  <c r="I2395" i="3"/>
  <c r="I2396" i="3"/>
  <c r="I2397" i="3"/>
  <c r="I2398" i="3"/>
  <c r="I2399" i="3"/>
  <c r="I2400" i="3"/>
  <c r="I2401" i="3"/>
  <c r="I2402" i="3"/>
  <c r="I2403" i="3"/>
  <c r="I2404" i="3"/>
  <c r="I2405" i="3"/>
  <c r="I2406" i="3"/>
  <c r="I2407" i="3"/>
  <c r="I2408" i="3"/>
  <c r="I2409" i="3"/>
  <c r="I2410" i="3"/>
  <c r="I2411" i="3"/>
  <c r="I2412" i="3"/>
  <c r="I2413" i="3"/>
  <c r="I2414" i="3"/>
  <c r="I2415" i="3"/>
  <c r="I2416" i="3"/>
  <c r="I2417" i="3"/>
  <c r="I2418" i="3"/>
  <c r="I2419" i="3"/>
  <c r="I2420" i="3"/>
  <c r="I2421" i="3"/>
  <c r="I2422" i="3"/>
  <c r="I2423" i="3"/>
  <c r="I2424" i="3"/>
  <c r="I2425" i="3"/>
  <c r="I2426" i="3"/>
  <c r="I2427" i="3"/>
  <c r="I2428" i="3"/>
  <c r="I2429" i="3"/>
  <c r="I2430" i="3"/>
  <c r="I2431" i="3"/>
  <c r="I2432" i="3"/>
  <c r="I2433" i="3"/>
  <c r="I2434" i="3"/>
  <c r="I2435" i="3"/>
  <c r="I2436" i="3"/>
  <c r="I2437" i="3"/>
  <c r="I2438" i="3"/>
  <c r="I2439" i="3"/>
  <c r="I2440" i="3"/>
  <c r="I2441" i="3"/>
  <c r="I2442" i="3"/>
  <c r="I2443" i="3"/>
  <c r="I2444" i="3"/>
  <c r="I2445" i="3"/>
  <c r="I2446" i="3"/>
  <c r="I2447" i="3"/>
  <c r="I2448" i="3"/>
  <c r="I2449" i="3"/>
  <c r="I2450" i="3"/>
  <c r="I2451" i="3"/>
  <c r="I2452" i="3"/>
  <c r="I2453" i="3"/>
  <c r="I2454" i="3"/>
  <c r="I2455" i="3"/>
  <c r="I2456" i="3"/>
  <c r="I2457" i="3"/>
  <c r="I2458" i="3"/>
  <c r="I2459" i="3"/>
  <c r="I2460" i="3"/>
  <c r="I2461" i="3"/>
  <c r="I2462" i="3"/>
  <c r="I2463" i="3"/>
  <c r="I2464" i="3"/>
  <c r="I2465" i="3"/>
  <c r="I2466" i="3"/>
  <c r="I2467" i="3"/>
  <c r="I2468" i="3"/>
  <c r="I2469" i="3"/>
  <c r="I2470" i="3"/>
  <c r="I2471" i="3"/>
  <c r="I2472" i="3"/>
  <c r="I2473" i="3"/>
  <c r="I2474" i="3"/>
  <c r="I2475" i="3"/>
  <c r="I2476" i="3"/>
  <c r="I2477" i="3"/>
  <c r="I2478" i="3"/>
  <c r="I2479" i="3"/>
  <c r="I2480" i="3"/>
  <c r="I2481" i="3"/>
  <c r="I2482" i="3"/>
  <c r="I2483" i="3"/>
  <c r="I2484" i="3"/>
  <c r="I2485" i="3"/>
  <c r="I2486" i="3"/>
  <c r="I2487" i="3"/>
  <c r="I2488" i="3"/>
  <c r="I2489" i="3"/>
  <c r="I2490" i="3"/>
  <c r="I2491" i="3"/>
  <c r="I2492" i="3"/>
  <c r="I2493" i="3"/>
  <c r="I2494" i="3"/>
  <c r="I2495" i="3"/>
  <c r="I2496" i="3"/>
  <c r="I2497" i="3"/>
  <c r="I2498" i="3"/>
  <c r="I2499" i="3"/>
  <c r="I2500" i="3"/>
  <c r="I2501" i="3"/>
  <c r="I2502" i="3"/>
  <c r="I4" i="3"/>
  <c r="E36" i="40"/>
  <c r="B36" i="40" s="1"/>
  <c r="E37" i="40"/>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39" i="2"/>
  <c r="G340" i="2"/>
  <c r="G341" i="2"/>
  <c r="G342" i="2"/>
  <c r="G343" i="2"/>
  <c r="G344" i="2"/>
  <c r="G345" i="2"/>
  <c r="G346" i="2"/>
  <c r="G347" i="2"/>
  <c r="G348" i="2"/>
  <c r="G349" i="2"/>
  <c r="G350" i="2"/>
  <c r="G351" i="2"/>
  <c r="G352" i="2"/>
  <c r="G353" i="2"/>
  <c r="G354" i="2"/>
  <c r="G355" i="2"/>
  <c r="G356" i="2"/>
  <c r="G357" i="2"/>
  <c r="G358" i="2"/>
  <c r="G359" i="2"/>
  <c r="G360" i="2"/>
  <c r="G361" i="2"/>
  <c r="G362" i="2"/>
  <c r="G363" i="2"/>
  <c r="G364" i="2"/>
  <c r="G365" i="2"/>
  <c r="G366" i="2"/>
  <c r="G367" i="2"/>
  <c r="G368" i="2"/>
  <c r="G369" i="2"/>
  <c r="G370" i="2"/>
  <c r="G371" i="2"/>
  <c r="G372" i="2"/>
  <c r="G373" i="2"/>
  <c r="G374" i="2"/>
  <c r="G375" i="2"/>
  <c r="G376" i="2"/>
  <c r="G377" i="2"/>
  <c r="G378" i="2"/>
  <c r="G379" i="2"/>
  <c r="G380" i="2"/>
  <c r="G381" i="2"/>
  <c r="G382"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09" i="2"/>
  <c r="G410" i="2"/>
  <c r="G411" i="2"/>
  <c r="G412" i="2"/>
  <c r="G413" i="2"/>
  <c r="G414" i="2"/>
  <c r="G415" i="2"/>
  <c r="G416" i="2"/>
  <c r="G417" i="2"/>
  <c r="G418" i="2"/>
  <c r="G419" i="2"/>
  <c r="G420" i="2"/>
  <c r="G421" i="2"/>
  <c r="G422" i="2"/>
  <c r="G423" i="2"/>
  <c r="G424" i="2"/>
  <c r="G425" i="2"/>
  <c r="G426" i="2"/>
  <c r="G427" i="2"/>
  <c r="G428" i="2"/>
  <c r="G429" i="2"/>
  <c r="G430" i="2"/>
  <c r="G431" i="2"/>
  <c r="G432" i="2"/>
  <c r="G433" i="2"/>
  <c r="G434" i="2"/>
  <c r="G435" i="2"/>
  <c r="G436" i="2"/>
  <c r="G437" i="2"/>
  <c r="G438" i="2"/>
  <c r="G439" i="2"/>
  <c r="G440" i="2"/>
  <c r="G441" i="2"/>
  <c r="G442" i="2"/>
  <c r="G443" i="2"/>
  <c r="G444" i="2"/>
  <c r="G445" i="2"/>
  <c r="G446" i="2"/>
  <c r="G447" i="2"/>
  <c r="G448" i="2"/>
  <c r="G449" i="2"/>
  <c r="G450" i="2"/>
  <c r="G451" i="2"/>
  <c r="G452" i="2"/>
  <c r="G453" i="2"/>
  <c r="G454" i="2"/>
  <c r="G455" i="2"/>
  <c r="G456" i="2"/>
  <c r="G457" i="2"/>
  <c r="G458" i="2"/>
  <c r="G459" i="2"/>
  <c r="G460" i="2"/>
  <c r="G461" i="2"/>
  <c r="G462" i="2"/>
  <c r="G463" i="2"/>
  <c r="G464" i="2"/>
  <c r="G465" i="2"/>
  <c r="G466" i="2"/>
  <c r="G467" i="2"/>
  <c r="G468" i="2"/>
  <c r="G469" i="2"/>
  <c r="G470" i="2"/>
  <c r="G471" i="2"/>
  <c r="G472" i="2"/>
  <c r="G473" i="2"/>
  <c r="G474" i="2"/>
  <c r="G475" i="2"/>
  <c r="G476" i="2"/>
  <c r="G477" i="2"/>
  <c r="G478" i="2"/>
  <c r="G479" i="2"/>
  <c r="G480" i="2"/>
  <c r="G481" i="2"/>
  <c r="G482" i="2"/>
  <c r="G483" i="2"/>
  <c r="G484" i="2"/>
  <c r="G485" i="2"/>
  <c r="G486" i="2"/>
  <c r="G487" i="2"/>
  <c r="G488" i="2"/>
  <c r="G489" i="2"/>
  <c r="G490" i="2"/>
  <c r="G491" i="2"/>
  <c r="G492" i="2"/>
  <c r="G493" i="2"/>
  <c r="G494" i="2"/>
  <c r="G495" i="2"/>
  <c r="G496" i="2"/>
  <c r="G497" i="2"/>
  <c r="G498" i="2"/>
  <c r="G499" i="2"/>
  <c r="G500" i="2"/>
  <c r="G501" i="2"/>
  <c r="G502" i="2"/>
  <c r="O5" i="3"/>
  <c r="O6" i="3"/>
  <c r="O7" i="3"/>
  <c r="O8" i="3"/>
  <c r="O9" i="3"/>
  <c r="O10" i="3"/>
  <c r="O11" i="3"/>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98" i="3"/>
  <c r="O99" i="3"/>
  <c r="O100" i="3"/>
  <c r="O101" i="3"/>
  <c r="O102" i="3"/>
  <c r="O103" i="3"/>
  <c r="O104" i="3"/>
  <c r="O105" i="3"/>
  <c r="O106" i="3"/>
  <c r="O107" i="3"/>
  <c r="O108" i="3"/>
  <c r="O109" i="3"/>
  <c r="O110" i="3"/>
  <c r="O111" i="3"/>
  <c r="O112" i="3"/>
  <c r="O113" i="3"/>
  <c r="O114" i="3"/>
  <c r="O115" i="3"/>
  <c r="O116" i="3"/>
  <c r="O117" i="3"/>
  <c r="O118" i="3"/>
  <c r="O119" i="3"/>
  <c r="O120" i="3"/>
  <c r="O121" i="3"/>
  <c r="O122" i="3"/>
  <c r="O123" i="3"/>
  <c r="O124" i="3"/>
  <c r="O125" i="3"/>
  <c r="O126" i="3"/>
  <c r="O127" i="3"/>
  <c r="O128" i="3"/>
  <c r="O129" i="3"/>
  <c r="O130" i="3"/>
  <c r="O131" i="3"/>
  <c r="O132" i="3"/>
  <c r="O133" i="3"/>
  <c r="O134" i="3"/>
  <c r="O135" i="3"/>
  <c r="O136" i="3"/>
  <c r="O137" i="3"/>
  <c r="O138" i="3"/>
  <c r="O139" i="3"/>
  <c r="O140" i="3"/>
  <c r="O141" i="3"/>
  <c r="O142" i="3"/>
  <c r="O143" i="3"/>
  <c r="O144" i="3"/>
  <c r="O145" i="3"/>
  <c r="O146" i="3"/>
  <c r="O147" i="3"/>
  <c r="O148" i="3"/>
  <c r="O149" i="3"/>
  <c r="O150" i="3"/>
  <c r="O151" i="3"/>
  <c r="O152" i="3"/>
  <c r="O153" i="3"/>
  <c r="O154" i="3"/>
  <c r="O155" i="3"/>
  <c r="O156" i="3"/>
  <c r="O157" i="3"/>
  <c r="O158" i="3"/>
  <c r="O159" i="3"/>
  <c r="O160" i="3"/>
  <c r="O161" i="3"/>
  <c r="O162" i="3"/>
  <c r="O163" i="3"/>
  <c r="O164" i="3"/>
  <c r="O165" i="3"/>
  <c r="O166" i="3"/>
  <c r="O167" i="3"/>
  <c r="O168" i="3"/>
  <c r="O169" i="3"/>
  <c r="O170" i="3"/>
  <c r="O171" i="3"/>
  <c r="O172" i="3"/>
  <c r="O173" i="3"/>
  <c r="O174" i="3"/>
  <c r="O175" i="3"/>
  <c r="O176" i="3"/>
  <c r="O177" i="3"/>
  <c r="O178" i="3"/>
  <c r="O179" i="3"/>
  <c r="O180" i="3"/>
  <c r="O181" i="3"/>
  <c r="O182" i="3"/>
  <c r="O183" i="3"/>
  <c r="O184" i="3"/>
  <c r="O185" i="3"/>
  <c r="O186" i="3"/>
  <c r="O187" i="3"/>
  <c r="O188" i="3"/>
  <c r="O189" i="3"/>
  <c r="O190" i="3"/>
  <c r="O191" i="3"/>
  <c r="O192" i="3"/>
  <c r="O193" i="3"/>
  <c r="O194" i="3"/>
  <c r="O195" i="3"/>
  <c r="O196" i="3"/>
  <c r="O197" i="3"/>
  <c r="O198" i="3"/>
  <c r="O199" i="3"/>
  <c r="O200" i="3"/>
  <c r="O201" i="3"/>
  <c r="O202" i="3"/>
  <c r="O203" i="3"/>
  <c r="O204" i="3"/>
  <c r="O205" i="3"/>
  <c r="O206" i="3"/>
  <c r="O207" i="3"/>
  <c r="O208" i="3"/>
  <c r="O209" i="3"/>
  <c r="O210" i="3"/>
  <c r="O211" i="3"/>
  <c r="O212" i="3"/>
  <c r="O213" i="3"/>
  <c r="O214" i="3"/>
  <c r="O215" i="3"/>
  <c r="O216" i="3"/>
  <c r="O217" i="3"/>
  <c r="O218" i="3"/>
  <c r="O219" i="3"/>
  <c r="O220" i="3"/>
  <c r="O221" i="3"/>
  <c r="O222" i="3"/>
  <c r="O223" i="3"/>
  <c r="O224" i="3"/>
  <c r="O225" i="3"/>
  <c r="O226" i="3"/>
  <c r="O227" i="3"/>
  <c r="O228" i="3"/>
  <c r="O229" i="3"/>
  <c r="O230" i="3"/>
  <c r="O231" i="3"/>
  <c r="O232" i="3"/>
  <c r="O233" i="3"/>
  <c r="O234" i="3"/>
  <c r="O235" i="3"/>
  <c r="O236" i="3"/>
  <c r="O237" i="3"/>
  <c r="O238" i="3"/>
  <c r="O239" i="3"/>
  <c r="O240" i="3"/>
  <c r="O241" i="3"/>
  <c r="O242" i="3"/>
  <c r="O243" i="3"/>
  <c r="O244" i="3"/>
  <c r="O245" i="3"/>
  <c r="O246" i="3"/>
  <c r="O247" i="3"/>
  <c r="O248" i="3"/>
  <c r="O249" i="3"/>
  <c r="O250" i="3"/>
  <c r="O251" i="3"/>
  <c r="O252" i="3"/>
  <c r="O253" i="3"/>
  <c r="O254" i="3"/>
  <c r="O255" i="3"/>
  <c r="O256" i="3"/>
  <c r="O257" i="3"/>
  <c r="O258" i="3"/>
  <c r="O259" i="3"/>
  <c r="O260" i="3"/>
  <c r="O261" i="3"/>
  <c r="O262" i="3"/>
  <c r="O263" i="3"/>
  <c r="O264" i="3"/>
  <c r="O265" i="3"/>
  <c r="O266" i="3"/>
  <c r="O267" i="3"/>
  <c r="O268" i="3"/>
  <c r="O269" i="3"/>
  <c r="O270" i="3"/>
  <c r="O271" i="3"/>
  <c r="O272" i="3"/>
  <c r="O273" i="3"/>
  <c r="O274" i="3"/>
  <c r="O275" i="3"/>
  <c r="O276" i="3"/>
  <c r="O277" i="3"/>
  <c r="O278" i="3"/>
  <c r="O279" i="3"/>
  <c r="O280" i="3"/>
  <c r="O281" i="3"/>
  <c r="O282" i="3"/>
  <c r="O283" i="3"/>
  <c r="O284" i="3"/>
  <c r="O285" i="3"/>
  <c r="O286" i="3"/>
  <c r="O287" i="3"/>
  <c r="O288" i="3"/>
  <c r="O289" i="3"/>
  <c r="O290" i="3"/>
  <c r="O291" i="3"/>
  <c r="O292" i="3"/>
  <c r="O293" i="3"/>
  <c r="O294" i="3"/>
  <c r="O295" i="3"/>
  <c r="O296" i="3"/>
  <c r="O297" i="3"/>
  <c r="O298" i="3"/>
  <c r="O299" i="3"/>
  <c r="O300" i="3"/>
  <c r="O301" i="3"/>
  <c r="O302" i="3"/>
  <c r="O303" i="3"/>
  <c r="O304" i="3"/>
  <c r="O305" i="3"/>
  <c r="O306" i="3"/>
  <c r="O307" i="3"/>
  <c r="O308" i="3"/>
  <c r="O309" i="3"/>
  <c r="O310" i="3"/>
  <c r="O311" i="3"/>
  <c r="O312" i="3"/>
  <c r="O313" i="3"/>
  <c r="O314" i="3"/>
  <c r="O315" i="3"/>
  <c r="O316" i="3"/>
  <c r="O317" i="3"/>
  <c r="O318" i="3"/>
  <c r="O319" i="3"/>
  <c r="O320" i="3"/>
  <c r="O321" i="3"/>
  <c r="O322" i="3"/>
  <c r="O323" i="3"/>
  <c r="O324" i="3"/>
  <c r="O325" i="3"/>
  <c r="O326" i="3"/>
  <c r="O327" i="3"/>
  <c r="O328" i="3"/>
  <c r="O329" i="3"/>
  <c r="O330" i="3"/>
  <c r="O331" i="3"/>
  <c r="O332" i="3"/>
  <c r="O333" i="3"/>
  <c r="O334" i="3"/>
  <c r="O335" i="3"/>
  <c r="O336" i="3"/>
  <c r="O337" i="3"/>
  <c r="O338" i="3"/>
  <c r="O339" i="3"/>
  <c r="O340" i="3"/>
  <c r="O341" i="3"/>
  <c r="O342" i="3"/>
  <c r="O343" i="3"/>
  <c r="O344" i="3"/>
  <c r="O345" i="3"/>
  <c r="O346" i="3"/>
  <c r="O347" i="3"/>
  <c r="O348" i="3"/>
  <c r="O349" i="3"/>
  <c r="O350" i="3"/>
  <c r="O351" i="3"/>
  <c r="O352" i="3"/>
  <c r="O353" i="3"/>
  <c r="O354" i="3"/>
  <c r="O355" i="3"/>
  <c r="O356" i="3"/>
  <c r="O357" i="3"/>
  <c r="O358" i="3"/>
  <c r="O359" i="3"/>
  <c r="O360" i="3"/>
  <c r="O361" i="3"/>
  <c r="O362" i="3"/>
  <c r="O363" i="3"/>
  <c r="O364" i="3"/>
  <c r="O365" i="3"/>
  <c r="O366" i="3"/>
  <c r="O367" i="3"/>
  <c r="O368" i="3"/>
  <c r="O369" i="3"/>
  <c r="O370" i="3"/>
  <c r="O371" i="3"/>
  <c r="O372" i="3"/>
  <c r="O373" i="3"/>
  <c r="O374" i="3"/>
  <c r="O375" i="3"/>
  <c r="O376" i="3"/>
  <c r="O377" i="3"/>
  <c r="O378" i="3"/>
  <c r="O379" i="3"/>
  <c r="O380" i="3"/>
  <c r="O381" i="3"/>
  <c r="O382" i="3"/>
  <c r="O383" i="3"/>
  <c r="O384" i="3"/>
  <c r="O385" i="3"/>
  <c r="O386" i="3"/>
  <c r="O387" i="3"/>
  <c r="O388" i="3"/>
  <c r="O389" i="3"/>
  <c r="O390" i="3"/>
  <c r="O391" i="3"/>
  <c r="O392" i="3"/>
  <c r="O393" i="3"/>
  <c r="O394" i="3"/>
  <c r="O395" i="3"/>
  <c r="O396" i="3"/>
  <c r="O397" i="3"/>
  <c r="O398" i="3"/>
  <c r="O399" i="3"/>
  <c r="O400" i="3"/>
  <c r="O401" i="3"/>
  <c r="O402" i="3"/>
  <c r="O403" i="3"/>
  <c r="O404" i="3"/>
  <c r="O405" i="3"/>
  <c r="O406" i="3"/>
  <c r="O407" i="3"/>
  <c r="O408" i="3"/>
  <c r="O409" i="3"/>
  <c r="O410" i="3"/>
  <c r="O411" i="3"/>
  <c r="O412" i="3"/>
  <c r="O413" i="3"/>
  <c r="O414" i="3"/>
  <c r="O415" i="3"/>
  <c r="O416" i="3"/>
  <c r="O417" i="3"/>
  <c r="O418" i="3"/>
  <c r="O419" i="3"/>
  <c r="O420" i="3"/>
  <c r="O421" i="3"/>
  <c r="O422" i="3"/>
  <c r="O423" i="3"/>
  <c r="O424" i="3"/>
  <c r="O425" i="3"/>
  <c r="O426" i="3"/>
  <c r="O427" i="3"/>
  <c r="O428" i="3"/>
  <c r="O429" i="3"/>
  <c r="O430" i="3"/>
  <c r="O431" i="3"/>
  <c r="O432" i="3"/>
  <c r="O433" i="3"/>
  <c r="O434" i="3"/>
  <c r="O435" i="3"/>
  <c r="O436" i="3"/>
  <c r="O437" i="3"/>
  <c r="O438" i="3"/>
  <c r="O439" i="3"/>
  <c r="O440" i="3"/>
  <c r="O441" i="3"/>
  <c r="O442" i="3"/>
  <c r="O443" i="3"/>
  <c r="O444" i="3"/>
  <c r="O445" i="3"/>
  <c r="O446" i="3"/>
  <c r="O447" i="3"/>
  <c r="O448" i="3"/>
  <c r="O449" i="3"/>
  <c r="O450" i="3"/>
  <c r="O451" i="3"/>
  <c r="O452" i="3"/>
  <c r="O453" i="3"/>
  <c r="O454" i="3"/>
  <c r="O455" i="3"/>
  <c r="O456" i="3"/>
  <c r="O457" i="3"/>
  <c r="O458" i="3"/>
  <c r="O459" i="3"/>
  <c r="O460" i="3"/>
  <c r="O461" i="3"/>
  <c r="O462" i="3"/>
  <c r="O463" i="3"/>
  <c r="O464" i="3"/>
  <c r="O465" i="3"/>
  <c r="O466" i="3"/>
  <c r="O467" i="3"/>
  <c r="O468" i="3"/>
  <c r="O469" i="3"/>
  <c r="O470" i="3"/>
  <c r="O471" i="3"/>
  <c r="O472" i="3"/>
  <c r="O473" i="3"/>
  <c r="O474" i="3"/>
  <c r="O475" i="3"/>
  <c r="O476" i="3"/>
  <c r="O477" i="3"/>
  <c r="O478" i="3"/>
  <c r="O479" i="3"/>
  <c r="O480" i="3"/>
  <c r="O481" i="3"/>
  <c r="O482" i="3"/>
  <c r="O483" i="3"/>
  <c r="O484" i="3"/>
  <c r="O485" i="3"/>
  <c r="O486" i="3"/>
  <c r="O487" i="3"/>
  <c r="O488" i="3"/>
  <c r="O489" i="3"/>
  <c r="O490" i="3"/>
  <c r="O491" i="3"/>
  <c r="O492" i="3"/>
  <c r="O493" i="3"/>
  <c r="O494" i="3"/>
  <c r="O495" i="3"/>
  <c r="O496" i="3"/>
  <c r="O497" i="3"/>
  <c r="O498" i="3"/>
  <c r="O499" i="3"/>
  <c r="O500" i="3"/>
  <c r="O501" i="3"/>
  <c r="O502" i="3"/>
  <c r="O503" i="3"/>
  <c r="O504" i="3"/>
  <c r="O505" i="3"/>
  <c r="O506" i="3"/>
  <c r="O507" i="3"/>
  <c r="O508" i="3"/>
  <c r="O509" i="3"/>
  <c r="O510" i="3"/>
  <c r="O511" i="3"/>
  <c r="O512" i="3"/>
  <c r="O513" i="3"/>
  <c r="O514" i="3"/>
  <c r="O515" i="3"/>
  <c r="O516" i="3"/>
  <c r="O517" i="3"/>
  <c r="O518" i="3"/>
  <c r="O519" i="3"/>
  <c r="O520" i="3"/>
  <c r="O521" i="3"/>
  <c r="O522" i="3"/>
  <c r="O523" i="3"/>
  <c r="O524" i="3"/>
  <c r="O525" i="3"/>
  <c r="O526" i="3"/>
  <c r="O527" i="3"/>
  <c r="O528" i="3"/>
  <c r="O529" i="3"/>
  <c r="O530" i="3"/>
  <c r="O531" i="3"/>
  <c r="O532" i="3"/>
  <c r="O533" i="3"/>
  <c r="O534" i="3"/>
  <c r="O535" i="3"/>
  <c r="O536" i="3"/>
  <c r="O537" i="3"/>
  <c r="O538" i="3"/>
  <c r="O539" i="3"/>
  <c r="O540" i="3"/>
  <c r="O541" i="3"/>
  <c r="O542" i="3"/>
  <c r="O543" i="3"/>
  <c r="O544" i="3"/>
  <c r="O545" i="3"/>
  <c r="O546" i="3"/>
  <c r="O547" i="3"/>
  <c r="O548" i="3"/>
  <c r="O549" i="3"/>
  <c r="O550" i="3"/>
  <c r="O551" i="3"/>
  <c r="O552" i="3"/>
  <c r="O553" i="3"/>
  <c r="O554" i="3"/>
  <c r="O555" i="3"/>
  <c r="O556" i="3"/>
  <c r="O557" i="3"/>
  <c r="O558" i="3"/>
  <c r="O559" i="3"/>
  <c r="O560" i="3"/>
  <c r="O561" i="3"/>
  <c r="O562" i="3"/>
  <c r="O563" i="3"/>
  <c r="O564" i="3"/>
  <c r="O565" i="3"/>
  <c r="O566" i="3"/>
  <c r="O567" i="3"/>
  <c r="O568" i="3"/>
  <c r="O569" i="3"/>
  <c r="O570" i="3"/>
  <c r="O571" i="3"/>
  <c r="O572" i="3"/>
  <c r="O573" i="3"/>
  <c r="O574" i="3"/>
  <c r="O575" i="3"/>
  <c r="O576" i="3"/>
  <c r="O577" i="3"/>
  <c r="O578" i="3"/>
  <c r="O579" i="3"/>
  <c r="O580" i="3"/>
  <c r="O581" i="3"/>
  <c r="O582" i="3"/>
  <c r="O583" i="3"/>
  <c r="O584" i="3"/>
  <c r="O585" i="3"/>
  <c r="O586" i="3"/>
  <c r="O587" i="3"/>
  <c r="O588" i="3"/>
  <c r="O589" i="3"/>
  <c r="O590" i="3"/>
  <c r="O591" i="3"/>
  <c r="O592" i="3"/>
  <c r="O593" i="3"/>
  <c r="O594" i="3"/>
  <c r="O595" i="3"/>
  <c r="O596" i="3"/>
  <c r="O597" i="3"/>
  <c r="O598" i="3"/>
  <c r="O599" i="3"/>
  <c r="O600" i="3"/>
  <c r="O601" i="3"/>
  <c r="O602" i="3"/>
  <c r="O603" i="3"/>
  <c r="O604" i="3"/>
  <c r="O605" i="3"/>
  <c r="O606" i="3"/>
  <c r="O607" i="3"/>
  <c r="O608" i="3"/>
  <c r="O609" i="3"/>
  <c r="O610" i="3"/>
  <c r="O611" i="3"/>
  <c r="O612" i="3"/>
  <c r="O613" i="3"/>
  <c r="O614" i="3"/>
  <c r="O615" i="3"/>
  <c r="O616" i="3"/>
  <c r="O617" i="3"/>
  <c r="O618" i="3"/>
  <c r="O619" i="3"/>
  <c r="O620" i="3"/>
  <c r="O621" i="3"/>
  <c r="O622" i="3"/>
  <c r="O623" i="3"/>
  <c r="O624" i="3"/>
  <c r="O625" i="3"/>
  <c r="O626" i="3"/>
  <c r="O627" i="3"/>
  <c r="O628" i="3"/>
  <c r="O629" i="3"/>
  <c r="O630" i="3"/>
  <c r="O631" i="3"/>
  <c r="O632" i="3"/>
  <c r="O633" i="3"/>
  <c r="O634" i="3"/>
  <c r="O635" i="3"/>
  <c r="O636" i="3"/>
  <c r="O637" i="3"/>
  <c r="O638" i="3"/>
  <c r="O639" i="3"/>
  <c r="O640" i="3"/>
  <c r="O641" i="3"/>
  <c r="O642" i="3"/>
  <c r="O643" i="3"/>
  <c r="O644" i="3"/>
  <c r="O645" i="3"/>
  <c r="O646" i="3"/>
  <c r="O647" i="3"/>
  <c r="O648" i="3"/>
  <c r="O649" i="3"/>
  <c r="O650" i="3"/>
  <c r="O651" i="3"/>
  <c r="O652" i="3"/>
  <c r="O653" i="3"/>
  <c r="O654" i="3"/>
  <c r="O655" i="3"/>
  <c r="O656" i="3"/>
  <c r="O657" i="3"/>
  <c r="O658" i="3"/>
  <c r="O659" i="3"/>
  <c r="O660" i="3"/>
  <c r="O661" i="3"/>
  <c r="O662" i="3"/>
  <c r="O663" i="3"/>
  <c r="O664" i="3"/>
  <c r="O665" i="3"/>
  <c r="O666" i="3"/>
  <c r="O667" i="3"/>
  <c r="O668" i="3"/>
  <c r="O669" i="3"/>
  <c r="O670" i="3"/>
  <c r="O671" i="3"/>
  <c r="O672" i="3"/>
  <c r="O673" i="3"/>
  <c r="O674" i="3"/>
  <c r="O675" i="3"/>
  <c r="O676" i="3"/>
  <c r="O677" i="3"/>
  <c r="O678" i="3"/>
  <c r="O679" i="3"/>
  <c r="O680" i="3"/>
  <c r="O681" i="3"/>
  <c r="O682" i="3"/>
  <c r="O683" i="3"/>
  <c r="O684" i="3"/>
  <c r="O685" i="3"/>
  <c r="O686" i="3"/>
  <c r="O687" i="3"/>
  <c r="O688" i="3"/>
  <c r="O689" i="3"/>
  <c r="O690" i="3"/>
  <c r="O691" i="3"/>
  <c r="O692" i="3"/>
  <c r="O693" i="3"/>
  <c r="O694" i="3"/>
  <c r="O695" i="3"/>
  <c r="O696" i="3"/>
  <c r="O697" i="3"/>
  <c r="O698" i="3"/>
  <c r="O699" i="3"/>
  <c r="O700" i="3"/>
  <c r="O701" i="3"/>
  <c r="O702" i="3"/>
  <c r="O703" i="3"/>
  <c r="O704" i="3"/>
  <c r="O705" i="3"/>
  <c r="O706" i="3"/>
  <c r="O707" i="3"/>
  <c r="O708" i="3"/>
  <c r="O709" i="3"/>
  <c r="O710" i="3"/>
  <c r="O711" i="3"/>
  <c r="O712" i="3"/>
  <c r="O713" i="3"/>
  <c r="O714" i="3"/>
  <c r="O715" i="3"/>
  <c r="O716" i="3"/>
  <c r="O717" i="3"/>
  <c r="O718" i="3"/>
  <c r="O719" i="3"/>
  <c r="O720" i="3"/>
  <c r="O721" i="3"/>
  <c r="O722" i="3"/>
  <c r="O723" i="3"/>
  <c r="O724" i="3"/>
  <c r="O725" i="3"/>
  <c r="O726" i="3"/>
  <c r="O727" i="3"/>
  <c r="O728" i="3"/>
  <c r="O729" i="3"/>
  <c r="O730" i="3"/>
  <c r="O731" i="3"/>
  <c r="O732" i="3"/>
  <c r="O733" i="3"/>
  <c r="O734" i="3"/>
  <c r="O735" i="3"/>
  <c r="O736" i="3"/>
  <c r="O737" i="3"/>
  <c r="O738" i="3"/>
  <c r="O739" i="3"/>
  <c r="O740" i="3"/>
  <c r="O741" i="3"/>
  <c r="O742" i="3"/>
  <c r="O743" i="3"/>
  <c r="O744" i="3"/>
  <c r="O745" i="3"/>
  <c r="O746" i="3"/>
  <c r="O747" i="3"/>
  <c r="O748" i="3"/>
  <c r="O749" i="3"/>
  <c r="O750" i="3"/>
  <c r="O751" i="3"/>
  <c r="O752" i="3"/>
  <c r="O753" i="3"/>
  <c r="O754" i="3"/>
  <c r="O755" i="3"/>
  <c r="O756" i="3"/>
  <c r="O757" i="3"/>
  <c r="O758" i="3"/>
  <c r="O759" i="3"/>
  <c r="O760" i="3"/>
  <c r="O761" i="3"/>
  <c r="O762" i="3"/>
  <c r="O763" i="3"/>
  <c r="O764" i="3"/>
  <c r="O765" i="3"/>
  <c r="O766" i="3"/>
  <c r="O767" i="3"/>
  <c r="O768" i="3"/>
  <c r="O769" i="3"/>
  <c r="O770" i="3"/>
  <c r="O771" i="3"/>
  <c r="O772" i="3"/>
  <c r="O773" i="3"/>
  <c r="O774" i="3"/>
  <c r="O775" i="3"/>
  <c r="O776" i="3"/>
  <c r="O777" i="3"/>
  <c r="O778" i="3"/>
  <c r="O779" i="3"/>
  <c r="O780" i="3"/>
  <c r="O781" i="3"/>
  <c r="O782" i="3"/>
  <c r="O783" i="3"/>
  <c r="O784" i="3"/>
  <c r="O785" i="3"/>
  <c r="O786" i="3"/>
  <c r="O787" i="3"/>
  <c r="O788" i="3"/>
  <c r="O789" i="3"/>
  <c r="O790" i="3"/>
  <c r="O791" i="3"/>
  <c r="O792" i="3"/>
  <c r="O793" i="3"/>
  <c r="O794" i="3"/>
  <c r="O795" i="3"/>
  <c r="O796" i="3"/>
  <c r="O797" i="3"/>
  <c r="O798" i="3"/>
  <c r="O799" i="3"/>
  <c r="O800" i="3"/>
  <c r="O801" i="3"/>
  <c r="O802" i="3"/>
  <c r="O803" i="3"/>
  <c r="O804" i="3"/>
  <c r="O805" i="3"/>
  <c r="O806" i="3"/>
  <c r="O807" i="3"/>
  <c r="O808" i="3"/>
  <c r="O809" i="3"/>
  <c r="O810" i="3"/>
  <c r="O811" i="3"/>
  <c r="O812" i="3"/>
  <c r="O813" i="3"/>
  <c r="O814" i="3"/>
  <c r="O815" i="3"/>
  <c r="O816" i="3"/>
  <c r="O817" i="3"/>
  <c r="O818" i="3"/>
  <c r="O819" i="3"/>
  <c r="O820" i="3"/>
  <c r="O821" i="3"/>
  <c r="O822" i="3"/>
  <c r="O823" i="3"/>
  <c r="O824" i="3"/>
  <c r="O825" i="3"/>
  <c r="O826" i="3"/>
  <c r="O827" i="3"/>
  <c r="O828" i="3"/>
  <c r="O829" i="3"/>
  <c r="O830" i="3"/>
  <c r="O831" i="3"/>
  <c r="O832" i="3"/>
  <c r="O833" i="3"/>
  <c r="O834" i="3"/>
  <c r="O835" i="3"/>
  <c r="O836" i="3"/>
  <c r="O837" i="3"/>
  <c r="O838" i="3"/>
  <c r="O839" i="3"/>
  <c r="O840" i="3"/>
  <c r="O841" i="3"/>
  <c r="O842" i="3"/>
  <c r="O843" i="3"/>
  <c r="O844" i="3"/>
  <c r="O845" i="3"/>
  <c r="O846" i="3"/>
  <c r="O847" i="3"/>
  <c r="O848" i="3"/>
  <c r="O849" i="3"/>
  <c r="O850" i="3"/>
  <c r="O851" i="3"/>
  <c r="O852" i="3"/>
  <c r="O853" i="3"/>
  <c r="O854" i="3"/>
  <c r="O855" i="3"/>
  <c r="O856" i="3"/>
  <c r="O857" i="3"/>
  <c r="O858" i="3"/>
  <c r="O859" i="3"/>
  <c r="O860" i="3"/>
  <c r="O861" i="3"/>
  <c r="O862" i="3"/>
  <c r="O863" i="3"/>
  <c r="O864" i="3"/>
  <c r="O865" i="3"/>
  <c r="O866" i="3"/>
  <c r="O867" i="3"/>
  <c r="O868" i="3"/>
  <c r="O869" i="3"/>
  <c r="O870" i="3"/>
  <c r="O871" i="3"/>
  <c r="O872" i="3"/>
  <c r="O873" i="3"/>
  <c r="O874" i="3"/>
  <c r="O875" i="3"/>
  <c r="O876" i="3"/>
  <c r="O877" i="3"/>
  <c r="O878" i="3"/>
  <c r="O879" i="3"/>
  <c r="O880" i="3"/>
  <c r="O881" i="3"/>
  <c r="O882" i="3"/>
  <c r="O883" i="3"/>
  <c r="O884" i="3"/>
  <c r="O885" i="3"/>
  <c r="O886" i="3"/>
  <c r="O887" i="3"/>
  <c r="O888" i="3"/>
  <c r="O889" i="3"/>
  <c r="O890" i="3"/>
  <c r="O891" i="3"/>
  <c r="O892" i="3"/>
  <c r="O893" i="3"/>
  <c r="O894" i="3"/>
  <c r="O895" i="3"/>
  <c r="O896" i="3"/>
  <c r="O897" i="3"/>
  <c r="O898" i="3"/>
  <c r="O899" i="3"/>
  <c r="O900" i="3"/>
  <c r="O901" i="3"/>
  <c r="O902" i="3"/>
  <c r="O903" i="3"/>
  <c r="O904" i="3"/>
  <c r="O905" i="3"/>
  <c r="O906" i="3"/>
  <c r="O907" i="3"/>
  <c r="O908" i="3"/>
  <c r="O909" i="3"/>
  <c r="O910" i="3"/>
  <c r="O911" i="3"/>
  <c r="O912" i="3"/>
  <c r="O913" i="3"/>
  <c r="O914" i="3"/>
  <c r="O915" i="3"/>
  <c r="O916" i="3"/>
  <c r="O917" i="3"/>
  <c r="O918" i="3"/>
  <c r="O919" i="3"/>
  <c r="O920" i="3"/>
  <c r="O921" i="3"/>
  <c r="O922" i="3"/>
  <c r="O923" i="3"/>
  <c r="O924" i="3"/>
  <c r="O925" i="3"/>
  <c r="O926" i="3"/>
  <c r="O927" i="3"/>
  <c r="O928" i="3"/>
  <c r="O929" i="3"/>
  <c r="O930" i="3"/>
  <c r="O931" i="3"/>
  <c r="O932" i="3"/>
  <c r="O933" i="3"/>
  <c r="O934" i="3"/>
  <c r="O935" i="3"/>
  <c r="O936" i="3"/>
  <c r="O937" i="3"/>
  <c r="O938" i="3"/>
  <c r="O939" i="3"/>
  <c r="O940" i="3"/>
  <c r="O941" i="3"/>
  <c r="O942" i="3"/>
  <c r="O943" i="3"/>
  <c r="O944" i="3"/>
  <c r="O945" i="3"/>
  <c r="O946" i="3"/>
  <c r="O947" i="3"/>
  <c r="O948" i="3"/>
  <c r="O949" i="3"/>
  <c r="O950" i="3"/>
  <c r="O951" i="3"/>
  <c r="O952" i="3"/>
  <c r="O953" i="3"/>
  <c r="O954" i="3"/>
  <c r="O955" i="3"/>
  <c r="O956" i="3"/>
  <c r="O957" i="3"/>
  <c r="O958" i="3"/>
  <c r="O959" i="3"/>
  <c r="O960" i="3"/>
  <c r="O961" i="3"/>
  <c r="O962" i="3"/>
  <c r="O963" i="3"/>
  <c r="O964" i="3"/>
  <c r="O965" i="3"/>
  <c r="O966" i="3"/>
  <c r="O967" i="3"/>
  <c r="O968" i="3"/>
  <c r="O969" i="3"/>
  <c r="O970" i="3"/>
  <c r="O971" i="3"/>
  <c r="O972" i="3"/>
  <c r="O973" i="3"/>
  <c r="O974" i="3"/>
  <c r="O975" i="3"/>
  <c r="O976" i="3"/>
  <c r="O977" i="3"/>
  <c r="O978" i="3"/>
  <c r="O979" i="3"/>
  <c r="O980" i="3"/>
  <c r="O981" i="3"/>
  <c r="O982" i="3"/>
  <c r="O983" i="3"/>
  <c r="O984" i="3"/>
  <c r="O985" i="3"/>
  <c r="O986" i="3"/>
  <c r="O987" i="3"/>
  <c r="O988" i="3"/>
  <c r="O989" i="3"/>
  <c r="O990" i="3"/>
  <c r="O991" i="3"/>
  <c r="O992" i="3"/>
  <c r="O993" i="3"/>
  <c r="O994" i="3"/>
  <c r="O995" i="3"/>
  <c r="O996" i="3"/>
  <c r="O997" i="3"/>
  <c r="O998" i="3"/>
  <c r="O999" i="3"/>
  <c r="O1000" i="3"/>
  <c r="O1001" i="3"/>
  <c r="O1002" i="3"/>
  <c r="O1003" i="3"/>
  <c r="O1004" i="3"/>
  <c r="O1005" i="3"/>
  <c r="O1006" i="3"/>
  <c r="O1007" i="3"/>
  <c r="O1008" i="3"/>
  <c r="O1009" i="3"/>
  <c r="O1010" i="3"/>
  <c r="O1011" i="3"/>
  <c r="O1012" i="3"/>
  <c r="O1013" i="3"/>
  <c r="O1014" i="3"/>
  <c r="O1015" i="3"/>
  <c r="O1016" i="3"/>
  <c r="O1017" i="3"/>
  <c r="O1018" i="3"/>
  <c r="O1019" i="3"/>
  <c r="O1020" i="3"/>
  <c r="O1021" i="3"/>
  <c r="O1022" i="3"/>
  <c r="O1023" i="3"/>
  <c r="O1024" i="3"/>
  <c r="O1025" i="3"/>
  <c r="O1026" i="3"/>
  <c r="O1027" i="3"/>
  <c r="O1028" i="3"/>
  <c r="O1029" i="3"/>
  <c r="O1030" i="3"/>
  <c r="O1031" i="3"/>
  <c r="O1032" i="3"/>
  <c r="O1033" i="3"/>
  <c r="O1034" i="3"/>
  <c r="O1035" i="3"/>
  <c r="O1036" i="3"/>
  <c r="O1037" i="3"/>
  <c r="O1038" i="3"/>
  <c r="O1039" i="3"/>
  <c r="O1040" i="3"/>
  <c r="O1041" i="3"/>
  <c r="O1042" i="3"/>
  <c r="O1043" i="3"/>
  <c r="O1044" i="3"/>
  <c r="O1045" i="3"/>
  <c r="O1046" i="3"/>
  <c r="O1047" i="3"/>
  <c r="O1048" i="3"/>
  <c r="O1049" i="3"/>
  <c r="O1050" i="3"/>
  <c r="O1051" i="3"/>
  <c r="O1052" i="3"/>
  <c r="O1053" i="3"/>
  <c r="O1054" i="3"/>
  <c r="O1055" i="3"/>
  <c r="O1056" i="3"/>
  <c r="O1057" i="3"/>
  <c r="O1058" i="3"/>
  <c r="O1059" i="3"/>
  <c r="O1060" i="3"/>
  <c r="O1061" i="3"/>
  <c r="O1062" i="3"/>
  <c r="O1063" i="3"/>
  <c r="O1064" i="3"/>
  <c r="O1065" i="3"/>
  <c r="O1066" i="3"/>
  <c r="O1067" i="3"/>
  <c r="O1068" i="3"/>
  <c r="O1069" i="3"/>
  <c r="O1070" i="3"/>
  <c r="O1071" i="3"/>
  <c r="O1072" i="3"/>
  <c r="O1073" i="3"/>
  <c r="O1074" i="3"/>
  <c r="O1075" i="3"/>
  <c r="O1076" i="3"/>
  <c r="O1077" i="3"/>
  <c r="O1078" i="3"/>
  <c r="O1079" i="3"/>
  <c r="O1080" i="3"/>
  <c r="O1081" i="3"/>
  <c r="O1082" i="3"/>
  <c r="O1083" i="3"/>
  <c r="O1084" i="3"/>
  <c r="O1085" i="3"/>
  <c r="O1086" i="3"/>
  <c r="O1087" i="3"/>
  <c r="O1088" i="3"/>
  <c r="O1089" i="3"/>
  <c r="O1090" i="3"/>
  <c r="O1091" i="3"/>
  <c r="O1092" i="3"/>
  <c r="O1093" i="3"/>
  <c r="O1094" i="3"/>
  <c r="O1095" i="3"/>
  <c r="O1096" i="3"/>
  <c r="O1097" i="3"/>
  <c r="O1098" i="3"/>
  <c r="O1099" i="3"/>
  <c r="O1100" i="3"/>
  <c r="O1101" i="3"/>
  <c r="O1102" i="3"/>
  <c r="O1103" i="3"/>
  <c r="O1104" i="3"/>
  <c r="O1105" i="3"/>
  <c r="O1106" i="3"/>
  <c r="O1107" i="3"/>
  <c r="O1108" i="3"/>
  <c r="O1109" i="3"/>
  <c r="O1110" i="3"/>
  <c r="O1111" i="3"/>
  <c r="O1112" i="3"/>
  <c r="O1113" i="3"/>
  <c r="O1114" i="3"/>
  <c r="O1115" i="3"/>
  <c r="O1116" i="3"/>
  <c r="O1117" i="3"/>
  <c r="O1118" i="3"/>
  <c r="O1119" i="3"/>
  <c r="O1120" i="3"/>
  <c r="O1121" i="3"/>
  <c r="O1122" i="3"/>
  <c r="O1123" i="3"/>
  <c r="O1124" i="3"/>
  <c r="O1125" i="3"/>
  <c r="O1126" i="3"/>
  <c r="O1127" i="3"/>
  <c r="O1128" i="3"/>
  <c r="O1129" i="3"/>
  <c r="O1130" i="3"/>
  <c r="O1131" i="3"/>
  <c r="O1132" i="3"/>
  <c r="O1133" i="3"/>
  <c r="O1134" i="3"/>
  <c r="O1135" i="3"/>
  <c r="O1136" i="3"/>
  <c r="O1137" i="3"/>
  <c r="O1138" i="3"/>
  <c r="O1139" i="3"/>
  <c r="O1140" i="3"/>
  <c r="O1141" i="3"/>
  <c r="O1142" i="3"/>
  <c r="O1143" i="3"/>
  <c r="O1144" i="3"/>
  <c r="O1145" i="3"/>
  <c r="O1146" i="3"/>
  <c r="O1147" i="3"/>
  <c r="O1148" i="3"/>
  <c r="O1149" i="3"/>
  <c r="O1150" i="3"/>
  <c r="O1151" i="3"/>
  <c r="O1152" i="3"/>
  <c r="O1153" i="3"/>
  <c r="O1154" i="3"/>
  <c r="O1155" i="3"/>
  <c r="O1156" i="3"/>
  <c r="O1157" i="3"/>
  <c r="O1158" i="3"/>
  <c r="O1159" i="3"/>
  <c r="O1160" i="3"/>
  <c r="O1161" i="3"/>
  <c r="O1162" i="3"/>
  <c r="O1163" i="3"/>
  <c r="O1164" i="3"/>
  <c r="O1165" i="3"/>
  <c r="O1166" i="3"/>
  <c r="O1167" i="3"/>
  <c r="O1168" i="3"/>
  <c r="O1169" i="3"/>
  <c r="O1170" i="3"/>
  <c r="O1171" i="3"/>
  <c r="O1172" i="3"/>
  <c r="O1173" i="3"/>
  <c r="O1174" i="3"/>
  <c r="O1175" i="3"/>
  <c r="O1176" i="3"/>
  <c r="O1177" i="3"/>
  <c r="O1178" i="3"/>
  <c r="O1179" i="3"/>
  <c r="O1180" i="3"/>
  <c r="O1181" i="3"/>
  <c r="O1182" i="3"/>
  <c r="O1183" i="3"/>
  <c r="O1184" i="3"/>
  <c r="O1185" i="3"/>
  <c r="O1186" i="3"/>
  <c r="O1187" i="3"/>
  <c r="O1188" i="3"/>
  <c r="O1189" i="3"/>
  <c r="O1190" i="3"/>
  <c r="O1191" i="3"/>
  <c r="O1192" i="3"/>
  <c r="O1193" i="3"/>
  <c r="O1194" i="3"/>
  <c r="O1195" i="3"/>
  <c r="O1196" i="3"/>
  <c r="O1197" i="3"/>
  <c r="O1198" i="3"/>
  <c r="O1199" i="3"/>
  <c r="O1200" i="3"/>
  <c r="O1201" i="3"/>
  <c r="O1202" i="3"/>
  <c r="O1203" i="3"/>
  <c r="O1204" i="3"/>
  <c r="O1205" i="3"/>
  <c r="O1206" i="3"/>
  <c r="O1207" i="3"/>
  <c r="O1208" i="3"/>
  <c r="O1209" i="3"/>
  <c r="O1210" i="3"/>
  <c r="O1211" i="3"/>
  <c r="O1212" i="3"/>
  <c r="O1213" i="3"/>
  <c r="O1214" i="3"/>
  <c r="O1215" i="3"/>
  <c r="O1216" i="3"/>
  <c r="O1217" i="3"/>
  <c r="O1218" i="3"/>
  <c r="O1219" i="3"/>
  <c r="O1220" i="3"/>
  <c r="O1221" i="3"/>
  <c r="O1222" i="3"/>
  <c r="O1223" i="3"/>
  <c r="O1224" i="3"/>
  <c r="O1225" i="3"/>
  <c r="O1226" i="3"/>
  <c r="O1227" i="3"/>
  <c r="O1228" i="3"/>
  <c r="O1229" i="3"/>
  <c r="O1230" i="3"/>
  <c r="O1231" i="3"/>
  <c r="O1232" i="3"/>
  <c r="O1233" i="3"/>
  <c r="O1234" i="3"/>
  <c r="O1235" i="3"/>
  <c r="O1236" i="3"/>
  <c r="O1237" i="3"/>
  <c r="O1238" i="3"/>
  <c r="O1239" i="3"/>
  <c r="O1240" i="3"/>
  <c r="O1241" i="3"/>
  <c r="O1242" i="3"/>
  <c r="O1243" i="3"/>
  <c r="O1244" i="3"/>
  <c r="O1245" i="3"/>
  <c r="O1246" i="3"/>
  <c r="O1247" i="3"/>
  <c r="O1248" i="3"/>
  <c r="O1249" i="3"/>
  <c r="O1250" i="3"/>
  <c r="O1251" i="3"/>
  <c r="O1252" i="3"/>
  <c r="O1253" i="3"/>
  <c r="O1254" i="3"/>
  <c r="O1255" i="3"/>
  <c r="O1256" i="3"/>
  <c r="O1257" i="3"/>
  <c r="O1258" i="3"/>
  <c r="O1259" i="3"/>
  <c r="O1260" i="3"/>
  <c r="O1261" i="3"/>
  <c r="O1262" i="3"/>
  <c r="O1263" i="3"/>
  <c r="O1264" i="3"/>
  <c r="O1265" i="3"/>
  <c r="O1266" i="3"/>
  <c r="O1267" i="3"/>
  <c r="O1268" i="3"/>
  <c r="O1269" i="3"/>
  <c r="O1270" i="3"/>
  <c r="O1271" i="3"/>
  <c r="O1272" i="3"/>
  <c r="O1273" i="3"/>
  <c r="O1274" i="3"/>
  <c r="O1275" i="3"/>
  <c r="O1276" i="3"/>
  <c r="O1277" i="3"/>
  <c r="O1278" i="3"/>
  <c r="O1279" i="3"/>
  <c r="O1280" i="3"/>
  <c r="O1281" i="3"/>
  <c r="O1282" i="3"/>
  <c r="O1283" i="3"/>
  <c r="O1284" i="3"/>
  <c r="O1285" i="3"/>
  <c r="O1286" i="3"/>
  <c r="O1287" i="3"/>
  <c r="O1288" i="3"/>
  <c r="O1289" i="3"/>
  <c r="O1290" i="3"/>
  <c r="O1291" i="3"/>
  <c r="O1292" i="3"/>
  <c r="O1293" i="3"/>
  <c r="O1294" i="3"/>
  <c r="O1295" i="3"/>
  <c r="O1296" i="3"/>
  <c r="O1297" i="3"/>
  <c r="O1298" i="3"/>
  <c r="O1299" i="3"/>
  <c r="O1300" i="3"/>
  <c r="O1301" i="3"/>
  <c r="O1302" i="3"/>
  <c r="O1303" i="3"/>
  <c r="O1304" i="3"/>
  <c r="O1305" i="3"/>
  <c r="O1306" i="3"/>
  <c r="O1307" i="3"/>
  <c r="O1308" i="3"/>
  <c r="O1309" i="3"/>
  <c r="O1310" i="3"/>
  <c r="O1311" i="3"/>
  <c r="O1312" i="3"/>
  <c r="O1313" i="3"/>
  <c r="O1314" i="3"/>
  <c r="O1315" i="3"/>
  <c r="O1316" i="3"/>
  <c r="O1317" i="3"/>
  <c r="O1318" i="3"/>
  <c r="O1319" i="3"/>
  <c r="O1320" i="3"/>
  <c r="O1321" i="3"/>
  <c r="O1322" i="3"/>
  <c r="O1323" i="3"/>
  <c r="O1324" i="3"/>
  <c r="O1325" i="3"/>
  <c r="O1326" i="3"/>
  <c r="O1327" i="3"/>
  <c r="O1328" i="3"/>
  <c r="O1329" i="3"/>
  <c r="O1330" i="3"/>
  <c r="O1331" i="3"/>
  <c r="O1332" i="3"/>
  <c r="O1333" i="3"/>
  <c r="O1334" i="3"/>
  <c r="O1335" i="3"/>
  <c r="O1336" i="3"/>
  <c r="O1337" i="3"/>
  <c r="O1338" i="3"/>
  <c r="O1339" i="3"/>
  <c r="O1340" i="3"/>
  <c r="O1341" i="3"/>
  <c r="O1342" i="3"/>
  <c r="O1343" i="3"/>
  <c r="O1344" i="3"/>
  <c r="O1345" i="3"/>
  <c r="O1346" i="3"/>
  <c r="O1347" i="3"/>
  <c r="O1348" i="3"/>
  <c r="O1349" i="3"/>
  <c r="O1350" i="3"/>
  <c r="O1351" i="3"/>
  <c r="O1352" i="3"/>
  <c r="O1353" i="3"/>
  <c r="O1354" i="3"/>
  <c r="O1355" i="3"/>
  <c r="O1356" i="3"/>
  <c r="O1357" i="3"/>
  <c r="O1358" i="3"/>
  <c r="O1359" i="3"/>
  <c r="O1360" i="3"/>
  <c r="O1361" i="3"/>
  <c r="O1362" i="3"/>
  <c r="O1363" i="3"/>
  <c r="O1364" i="3"/>
  <c r="O1365" i="3"/>
  <c r="O1366" i="3"/>
  <c r="O1367" i="3"/>
  <c r="O1368" i="3"/>
  <c r="O1369" i="3"/>
  <c r="O1370" i="3"/>
  <c r="O1371" i="3"/>
  <c r="O1372" i="3"/>
  <c r="O1373" i="3"/>
  <c r="O1374" i="3"/>
  <c r="O1375" i="3"/>
  <c r="O1376" i="3"/>
  <c r="O1377" i="3"/>
  <c r="O1378" i="3"/>
  <c r="O1379" i="3"/>
  <c r="O1380" i="3"/>
  <c r="O1381" i="3"/>
  <c r="O1382" i="3"/>
  <c r="O1383" i="3"/>
  <c r="O1384" i="3"/>
  <c r="O1385" i="3"/>
  <c r="O1386" i="3"/>
  <c r="O1387" i="3"/>
  <c r="O1388" i="3"/>
  <c r="O1389" i="3"/>
  <c r="O1390" i="3"/>
  <c r="O1391" i="3"/>
  <c r="O1392" i="3"/>
  <c r="O1393" i="3"/>
  <c r="O1394" i="3"/>
  <c r="O1395" i="3"/>
  <c r="O1396" i="3"/>
  <c r="O1397" i="3"/>
  <c r="O1398" i="3"/>
  <c r="O1399" i="3"/>
  <c r="O1400" i="3"/>
  <c r="O1401" i="3"/>
  <c r="O1402" i="3"/>
  <c r="O1403" i="3"/>
  <c r="O1404" i="3"/>
  <c r="O1405" i="3"/>
  <c r="O1406" i="3"/>
  <c r="O1407" i="3"/>
  <c r="O1408" i="3"/>
  <c r="O1409" i="3"/>
  <c r="O1410" i="3"/>
  <c r="O1411" i="3"/>
  <c r="O1412" i="3"/>
  <c r="O1413" i="3"/>
  <c r="O1414" i="3"/>
  <c r="O1415" i="3"/>
  <c r="O1416" i="3"/>
  <c r="O1417" i="3"/>
  <c r="O1418" i="3"/>
  <c r="O1419" i="3"/>
  <c r="O1420" i="3"/>
  <c r="O1421" i="3"/>
  <c r="O1422" i="3"/>
  <c r="O1423" i="3"/>
  <c r="O1424" i="3"/>
  <c r="O1425" i="3"/>
  <c r="O1426" i="3"/>
  <c r="O1427" i="3"/>
  <c r="O1428" i="3"/>
  <c r="O1429" i="3"/>
  <c r="O1430" i="3"/>
  <c r="O1431" i="3"/>
  <c r="O1432" i="3"/>
  <c r="O1433" i="3"/>
  <c r="O1434" i="3"/>
  <c r="O1435" i="3"/>
  <c r="O1436" i="3"/>
  <c r="O1437" i="3"/>
  <c r="O1438" i="3"/>
  <c r="O1439" i="3"/>
  <c r="O1440" i="3"/>
  <c r="O1441" i="3"/>
  <c r="O1442" i="3"/>
  <c r="O1443" i="3"/>
  <c r="O1444" i="3"/>
  <c r="O1445" i="3"/>
  <c r="O1446" i="3"/>
  <c r="O1447" i="3"/>
  <c r="O1448" i="3"/>
  <c r="O1449" i="3"/>
  <c r="O1450" i="3"/>
  <c r="O1451" i="3"/>
  <c r="O1452" i="3"/>
  <c r="O1453" i="3"/>
  <c r="O1454" i="3"/>
  <c r="O1455" i="3"/>
  <c r="O1456" i="3"/>
  <c r="O1457" i="3"/>
  <c r="O1458" i="3"/>
  <c r="O1459" i="3"/>
  <c r="O1460" i="3"/>
  <c r="O1461" i="3"/>
  <c r="O1462" i="3"/>
  <c r="O1463" i="3"/>
  <c r="O1464" i="3"/>
  <c r="O1465" i="3"/>
  <c r="O1466" i="3"/>
  <c r="O1467" i="3"/>
  <c r="O1468" i="3"/>
  <c r="O1469" i="3"/>
  <c r="O1470" i="3"/>
  <c r="O1471" i="3"/>
  <c r="O1472" i="3"/>
  <c r="O1473" i="3"/>
  <c r="O1474" i="3"/>
  <c r="O1475" i="3"/>
  <c r="O1476" i="3"/>
  <c r="O1477" i="3"/>
  <c r="O1478" i="3"/>
  <c r="O1479" i="3"/>
  <c r="O1480" i="3"/>
  <c r="O1481" i="3"/>
  <c r="O1482" i="3"/>
  <c r="O1483" i="3"/>
  <c r="O1484" i="3"/>
  <c r="O1485" i="3"/>
  <c r="O1486" i="3"/>
  <c r="O1487" i="3"/>
  <c r="O1488" i="3"/>
  <c r="O1489" i="3"/>
  <c r="O1490" i="3"/>
  <c r="O1491" i="3"/>
  <c r="O1492" i="3"/>
  <c r="O1493" i="3"/>
  <c r="O1494" i="3"/>
  <c r="O1495" i="3"/>
  <c r="O1496" i="3"/>
  <c r="O1497" i="3"/>
  <c r="O1498" i="3"/>
  <c r="O1499" i="3"/>
  <c r="O1500" i="3"/>
  <c r="O1501" i="3"/>
  <c r="O1502" i="3"/>
  <c r="O1503" i="3"/>
  <c r="O1504" i="3"/>
  <c r="O1505" i="3"/>
  <c r="O1506" i="3"/>
  <c r="O1507" i="3"/>
  <c r="O1508" i="3"/>
  <c r="O1509" i="3"/>
  <c r="O1510" i="3"/>
  <c r="O1511" i="3"/>
  <c r="O1512" i="3"/>
  <c r="O1513" i="3"/>
  <c r="O1514" i="3"/>
  <c r="O1515" i="3"/>
  <c r="O1516" i="3"/>
  <c r="O1517" i="3"/>
  <c r="O1518" i="3"/>
  <c r="O1519" i="3"/>
  <c r="O1520" i="3"/>
  <c r="O1521" i="3"/>
  <c r="O1522" i="3"/>
  <c r="O1523" i="3"/>
  <c r="O1524" i="3"/>
  <c r="O1525" i="3"/>
  <c r="O1526" i="3"/>
  <c r="O1527" i="3"/>
  <c r="O1528" i="3"/>
  <c r="O1529" i="3"/>
  <c r="O1530" i="3"/>
  <c r="O1531" i="3"/>
  <c r="O1532" i="3"/>
  <c r="O1533" i="3"/>
  <c r="O1534" i="3"/>
  <c r="O1535" i="3"/>
  <c r="O1536" i="3"/>
  <c r="O1537" i="3"/>
  <c r="O1538" i="3"/>
  <c r="O1539" i="3"/>
  <c r="O1540" i="3"/>
  <c r="O1541" i="3"/>
  <c r="O1542" i="3"/>
  <c r="O1543" i="3"/>
  <c r="O1544" i="3"/>
  <c r="O1545" i="3"/>
  <c r="O1546" i="3"/>
  <c r="O1547" i="3"/>
  <c r="O1548" i="3"/>
  <c r="O1549" i="3"/>
  <c r="O1550" i="3"/>
  <c r="O1551" i="3"/>
  <c r="O1552" i="3"/>
  <c r="O1553" i="3"/>
  <c r="O1554" i="3"/>
  <c r="O1555" i="3"/>
  <c r="O1556" i="3"/>
  <c r="O1557" i="3"/>
  <c r="O1558" i="3"/>
  <c r="O1559" i="3"/>
  <c r="O1560" i="3"/>
  <c r="O1561" i="3"/>
  <c r="O1562" i="3"/>
  <c r="O1563" i="3"/>
  <c r="O1564" i="3"/>
  <c r="O1565" i="3"/>
  <c r="O1566" i="3"/>
  <c r="O1567" i="3"/>
  <c r="O1568" i="3"/>
  <c r="O1569" i="3"/>
  <c r="O1570" i="3"/>
  <c r="O1571" i="3"/>
  <c r="O1572" i="3"/>
  <c r="O1573" i="3"/>
  <c r="O1574" i="3"/>
  <c r="O1575" i="3"/>
  <c r="O1576" i="3"/>
  <c r="O1577" i="3"/>
  <c r="O1578" i="3"/>
  <c r="O1579" i="3"/>
  <c r="O1580" i="3"/>
  <c r="O1581" i="3"/>
  <c r="O1582" i="3"/>
  <c r="O1583" i="3"/>
  <c r="O1584" i="3"/>
  <c r="O1585" i="3"/>
  <c r="O1586" i="3"/>
  <c r="O1587" i="3"/>
  <c r="O1588" i="3"/>
  <c r="O1589" i="3"/>
  <c r="O1590" i="3"/>
  <c r="O1591" i="3"/>
  <c r="O1592" i="3"/>
  <c r="O1593" i="3"/>
  <c r="O1594" i="3"/>
  <c r="O1595" i="3"/>
  <c r="O1596" i="3"/>
  <c r="O1597" i="3"/>
  <c r="O1598" i="3"/>
  <c r="O1599" i="3"/>
  <c r="O1600" i="3"/>
  <c r="O1601" i="3"/>
  <c r="O1602" i="3"/>
  <c r="O1603" i="3"/>
  <c r="O1604" i="3"/>
  <c r="O1605" i="3"/>
  <c r="O1606" i="3"/>
  <c r="O1607" i="3"/>
  <c r="O1608" i="3"/>
  <c r="O1609" i="3"/>
  <c r="O1610" i="3"/>
  <c r="O1611" i="3"/>
  <c r="O1612" i="3"/>
  <c r="O1613" i="3"/>
  <c r="O1614" i="3"/>
  <c r="O1615" i="3"/>
  <c r="O1616" i="3"/>
  <c r="O1617" i="3"/>
  <c r="O1618" i="3"/>
  <c r="O1619" i="3"/>
  <c r="O1620" i="3"/>
  <c r="O1621" i="3"/>
  <c r="O1622" i="3"/>
  <c r="O1623" i="3"/>
  <c r="O1624" i="3"/>
  <c r="O1625" i="3"/>
  <c r="O1626" i="3"/>
  <c r="O1627" i="3"/>
  <c r="O1628" i="3"/>
  <c r="O1629" i="3"/>
  <c r="O1630" i="3"/>
  <c r="O1631" i="3"/>
  <c r="O1632" i="3"/>
  <c r="O1633" i="3"/>
  <c r="O1634" i="3"/>
  <c r="O1635" i="3"/>
  <c r="O1636" i="3"/>
  <c r="O1637" i="3"/>
  <c r="O1638" i="3"/>
  <c r="O1639" i="3"/>
  <c r="O1640" i="3"/>
  <c r="O1641" i="3"/>
  <c r="O1642" i="3"/>
  <c r="O1643" i="3"/>
  <c r="O1644" i="3"/>
  <c r="O1645" i="3"/>
  <c r="O1646" i="3"/>
  <c r="O1647" i="3"/>
  <c r="O1648" i="3"/>
  <c r="O1649" i="3"/>
  <c r="O1650" i="3"/>
  <c r="O1651" i="3"/>
  <c r="O1652" i="3"/>
  <c r="O1653" i="3"/>
  <c r="O1654" i="3"/>
  <c r="O1655" i="3"/>
  <c r="O1656" i="3"/>
  <c r="O1657" i="3"/>
  <c r="O1658" i="3"/>
  <c r="O1659" i="3"/>
  <c r="O1660" i="3"/>
  <c r="O1661" i="3"/>
  <c r="O1662" i="3"/>
  <c r="O1663" i="3"/>
  <c r="O1664" i="3"/>
  <c r="O1665" i="3"/>
  <c r="O1666" i="3"/>
  <c r="O1667" i="3"/>
  <c r="O1668" i="3"/>
  <c r="O1669" i="3"/>
  <c r="O1670" i="3"/>
  <c r="O1671" i="3"/>
  <c r="O1672" i="3"/>
  <c r="O1673" i="3"/>
  <c r="O1674" i="3"/>
  <c r="O1675" i="3"/>
  <c r="O1676" i="3"/>
  <c r="O1677" i="3"/>
  <c r="O1678" i="3"/>
  <c r="O1679" i="3"/>
  <c r="O1680" i="3"/>
  <c r="O1681" i="3"/>
  <c r="O1682" i="3"/>
  <c r="O1683" i="3"/>
  <c r="O1684" i="3"/>
  <c r="O1685" i="3"/>
  <c r="O1686" i="3"/>
  <c r="O1687" i="3"/>
  <c r="O1688" i="3"/>
  <c r="O1689" i="3"/>
  <c r="O1690" i="3"/>
  <c r="O1691" i="3"/>
  <c r="O1692" i="3"/>
  <c r="O1693" i="3"/>
  <c r="O1694" i="3"/>
  <c r="O1695" i="3"/>
  <c r="O1696" i="3"/>
  <c r="O1697" i="3"/>
  <c r="O1698" i="3"/>
  <c r="O1699" i="3"/>
  <c r="O1700" i="3"/>
  <c r="O1701" i="3"/>
  <c r="O1702" i="3"/>
  <c r="O1703" i="3"/>
  <c r="O1704" i="3"/>
  <c r="O1705" i="3"/>
  <c r="O1706" i="3"/>
  <c r="O1707" i="3"/>
  <c r="O1708" i="3"/>
  <c r="O1709" i="3"/>
  <c r="O1710" i="3"/>
  <c r="O1711" i="3"/>
  <c r="O1712" i="3"/>
  <c r="O1713" i="3"/>
  <c r="O1714" i="3"/>
  <c r="O1715" i="3"/>
  <c r="O1716" i="3"/>
  <c r="O1717" i="3"/>
  <c r="O1718" i="3"/>
  <c r="O1719" i="3"/>
  <c r="O1720" i="3"/>
  <c r="O1721" i="3"/>
  <c r="O1722" i="3"/>
  <c r="O1723" i="3"/>
  <c r="O1724" i="3"/>
  <c r="O1725" i="3"/>
  <c r="O1726" i="3"/>
  <c r="O1727" i="3"/>
  <c r="O1728" i="3"/>
  <c r="O1729" i="3"/>
  <c r="O1730" i="3"/>
  <c r="O1731" i="3"/>
  <c r="O1732" i="3"/>
  <c r="O1733" i="3"/>
  <c r="O1734" i="3"/>
  <c r="O1735" i="3"/>
  <c r="O1736" i="3"/>
  <c r="O1737" i="3"/>
  <c r="O1738" i="3"/>
  <c r="O1739" i="3"/>
  <c r="O1740" i="3"/>
  <c r="O1741" i="3"/>
  <c r="O1742" i="3"/>
  <c r="O1743" i="3"/>
  <c r="O1744" i="3"/>
  <c r="O1745" i="3"/>
  <c r="O1746" i="3"/>
  <c r="O1747" i="3"/>
  <c r="O1748" i="3"/>
  <c r="O1749" i="3"/>
  <c r="O1750" i="3"/>
  <c r="O1751" i="3"/>
  <c r="O1752" i="3"/>
  <c r="O1753" i="3"/>
  <c r="O1754" i="3"/>
  <c r="O1755" i="3"/>
  <c r="O1756" i="3"/>
  <c r="O1757" i="3"/>
  <c r="O1758" i="3"/>
  <c r="O1759" i="3"/>
  <c r="O1760" i="3"/>
  <c r="O1761" i="3"/>
  <c r="O1762" i="3"/>
  <c r="O1763" i="3"/>
  <c r="O1764" i="3"/>
  <c r="O1765" i="3"/>
  <c r="O1766" i="3"/>
  <c r="O1767" i="3"/>
  <c r="O1768" i="3"/>
  <c r="O1769" i="3"/>
  <c r="O1770" i="3"/>
  <c r="O1771" i="3"/>
  <c r="O1772" i="3"/>
  <c r="O1773" i="3"/>
  <c r="O1774" i="3"/>
  <c r="O1775" i="3"/>
  <c r="O1776" i="3"/>
  <c r="O1777" i="3"/>
  <c r="O1778" i="3"/>
  <c r="O1779" i="3"/>
  <c r="O1780" i="3"/>
  <c r="O1781" i="3"/>
  <c r="O1782" i="3"/>
  <c r="O1783" i="3"/>
  <c r="O1784" i="3"/>
  <c r="O1785" i="3"/>
  <c r="O1786" i="3"/>
  <c r="O1787" i="3"/>
  <c r="O1788" i="3"/>
  <c r="O1789" i="3"/>
  <c r="O1790" i="3"/>
  <c r="O1791" i="3"/>
  <c r="O1792" i="3"/>
  <c r="O1793" i="3"/>
  <c r="O1794" i="3"/>
  <c r="O1795" i="3"/>
  <c r="O1796" i="3"/>
  <c r="O1797" i="3"/>
  <c r="O1798" i="3"/>
  <c r="O1799" i="3"/>
  <c r="O1800" i="3"/>
  <c r="O1801" i="3"/>
  <c r="O1802" i="3"/>
  <c r="O1803" i="3"/>
  <c r="O1804" i="3"/>
  <c r="O1805" i="3"/>
  <c r="O1806" i="3"/>
  <c r="O1807" i="3"/>
  <c r="O1808" i="3"/>
  <c r="O1809" i="3"/>
  <c r="O1810" i="3"/>
  <c r="O1811" i="3"/>
  <c r="O1812" i="3"/>
  <c r="O1813" i="3"/>
  <c r="O1814" i="3"/>
  <c r="O1815" i="3"/>
  <c r="O1816" i="3"/>
  <c r="O1817" i="3"/>
  <c r="O1818" i="3"/>
  <c r="O1819" i="3"/>
  <c r="O1820" i="3"/>
  <c r="O1821" i="3"/>
  <c r="O1822" i="3"/>
  <c r="O1823" i="3"/>
  <c r="O1824" i="3"/>
  <c r="O1825" i="3"/>
  <c r="O1826" i="3"/>
  <c r="O1827" i="3"/>
  <c r="O1828" i="3"/>
  <c r="O1829" i="3"/>
  <c r="O1830" i="3"/>
  <c r="O1831" i="3"/>
  <c r="O1832" i="3"/>
  <c r="O1833" i="3"/>
  <c r="O1834" i="3"/>
  <c r="O1835" i="3"/>
  <c r="O1836" i="3"/>
  <c r="O1837" i="3"/>
  <c r="O1838" i="3"/>
  <c r="O1839" i="3"/>
  <c r="O1840" i="3"/>
  <c r="O1841" i="3"/>
  <c r="O1842" i="3"/>
  <c r="O1843" i="3"/>
  <c r="O1844" i="3"/>
  <c r="O1845" i="3"/>
  <c r="O1846" i="3"/>
  <c r="O1847" i="3"/>
  <c r="O1848" i="3"/>
  <c r="O1849" i="3"/>
  <c r="O1850" i="3"/>
  <c r="O1851" i="3"/>
  <c r="O1852" i="3"/>
  <c r="O1853" i="3"/>
  <c r="O1854" i="3"/>
  <c r="O1855" i="3"/>
  <c r="O1856" i="3"/>
  <c r="O1857" i="3"/>
  <c r="O1858" i="3"/>
  <c r="O1859" i="3"/>
  <c r="O1860" i="3"/>
  <c r="O1861" i="3"/>
  <c r="O1862" i="3"/>
  <c r="O1863" i="3"/>
  <c r="O1864" i="3"/>
  <c r="O1865" i="3"/>
  <c r="O1866" i="3"/>
  <c r="O1867" i="3"/>
  <c r="O1868" i="3"/>
  <c r="O1869" i="3"/>
  <c r="O1870" i="3"/>
  <c r="O1871" i="3"/>
  <c r="O1872" i="3"/>
  <c r="O1873" i="3"/>
  <c r="O1874" i="3"/>
  <c r="O1875" i="3"/>
  <c r="O1876" i="3"/>
  <c r="O1877" i="3"/>
  <c r="O1878" i="3"/>
  <c r="O1879" i="3"/>
  <c r="O1880" i="3"/>
  <c r="O1881" i="3"/>
  <c r="O1882" i="3"/>
  <c r="O1883" i="3"/>
  <c r="O1884" i="3"/>
  <c r="O1885" i="3"/>
  <c r="O1886" i="3"/>
  <c r="O1887" i="3"/>
  <c r="O1888" i="3"/>
  <c r="O1889" i="3"/>
  <c r="O1890" i="3"/>
  <c r="O1891" i="3"/>
  <c r="O1892" i="3"/>
  <c r="O1893" i="3"/>
  <c r="O1894" i="3"/>
  <c r="O1895" i="3"/>
  <c r="O1896" i="3"/>
  <c r="O1897" i="3"/>
  <c r="O1898" i="3"/>
  <c r="O1899" i="3"/>
  <c r="O1900" i="3"/>
  <c r="O1901" i="3"/>
  <c r="O1902" i="3"/>
  <c r="O1903" i="3"/>
  <c r="O1904" i="3"/>
  <c r="O1905" i="3"/>
  <c r="O1906" i="3"/>
  <c r="O1907" i="3"/>
  <c r="O1908" i="3"/>
  <c r="O1909" i="3"/>
  <c r="O1910" i="3"/>
  <c r="O1911" i="3"/>
  <c r="O1912" i="3"/>
  <c r="O1913" i="3"/>
  <c r="O1914" i="3"/>
  <c r="O1915" i="3"/>
  <c r="O1916" i="3"/>
  <c r="O1917" i="3"/>
  <c r="O1918" i="3"/>
  <c r="O1919" i="3"/>
  <c r="O1920" i="3"/>
  <c r="O1921" i="3"/>
  <c r="O1922" i="3"/>
  <c r="O1923" i="3"/>
  <c r="O1924" i="3"/>
  <c r="O1925" i="3"/>
  <c r="O1926" i="3"/>
  <c r="O1927" i="3"/>
  <c r="O1928" i="3"/>
  <c r="O1929" i="3"/>
  <c r="O1930" i="3"/>
  <c r="O1931" i="3"/>
  <c r="O1932" i="3"/>
  <c r="O1933" i="3"/>
  <c r="O1934" i="3"/>
  <c r="O1935" i="3"/>
  <c r="O1936" i="3"/>
  <c r="O1937" i="3"/>
  <c r="O1938" i="3"/>
  <c r="O1939" i="3"/>
  <c r="O1940" i="3"/>
  <c r="O1941" i="3"/>
  <c r="O1942" i="3"/>
  <c r="O1943" i="3"/>
  <c r="O1944" i="3"/>
  <c r="O1945" i="3"/>
  <c r="O1946" i="3"/>
  <c r="O1947" i="3"/>
  <c r="O1948" i="3"/>
  <c r="O1949" i="3"/>
  <c r="O1950" i="3"/>
  <c r="O1951" i="3"/>
  <c r="O1952" i="3"/>
  <c r="O1953" i="3"/>
  <c r="O1954" i="3"/>
  <c r="O1955" i="3"/>
  <c r="O1956" i="3"/>
  <c r="O1957" i="3"/>
  <c r="O1958" i="3"/>
  <c r="O1959" i="3"/>
  <c r="O1960" i="3"/>
  <c r="O1961" i="3"/>
  <c r="O1962" i="3"/>
  <c r="O1963" i="3"/>
  <c r="O1964" i="3"/>
  <c r="O1965" i="3"/>
  <c r="O1966" i="3"/>
  <c r="O1967" i="3"/>
  <c r="O1968" i="3"/>
  <c r="O1969" i="3"/>
  <c r="O1970" i="3"/>
  <c r="O1971" i="3"/>
  <c r="O1972" i="3"/>
  <c r="O1973" i="3"/>
  <c r="O1974" i="3"/>
  <c r="O1975" i="3"/>
  <c r="O1976" i="3"/>
  <c r="O1977" i="3"/>
  <c r="O1978" i="3"/>
  <c r="O1979" i="3"/>
  <c r="O1980" i="3"/>
  <c r="O1981" i="3"/>
  <c r="O1982" i="3"/>
  <c r="O1983" i="3"/>
  <c r="O1984" i="3"/>
  <c r="O1985" i="3"/>
  <c r="O1986" i="3"/>
  <c r="O1987" i="3"/>
  <c r="O1988" i="3"/>
  <c r="O1989" i="3"/>
  <c r="O1990" i="3"/>
  <c r="O1991" i="3"/>
  <c r="O1992" i="3"/>
  <c r="O1993" i="3"/>
  <c r="O1994" i="3"/>
  <c r="O1995" i="3"/>
  <c r="O1996" i="3"/>
  <c r="O1997" i="3"/>
  <c r="O1998" i="3"/>
  <c r="O1999" i="3"/>
  <c r="O2000" i="3"/>
  <c r="O2001" i="3"/>
  <c r="O2002" i="3"/>
  <c r="O2003" i="3"/>
  <c r="O2004" i="3"/>
  <c r="O2005" i="3"/>
  <c r="O2006" i="3"/>
  <c r="O2007" i="3"/>
  <c r="O2008" i="3"/>
  <c r="O2009" i="3"/>
  <c r="O2010" i="3"/>
  <c r="O2011" i="3"/>
  <c r="O2012" i="3"/>
  <c r="O2013" i="3"/>
  <c r="O2014" i="3"/>
  <c r="O2015" i="3"/>
  <c r="O2016" i="3"/>
  <c r="O2017" i="3"/>
  <c r="O2018" i="3"/>
  <c r="O2019" i="3"/>
  <c r="O2020" i="3"/>
  <c r="O2021" i="3"/>
  <c r="O2022" i="3"/>
  <c r="O2023" i="3"/>
  <c r="O2024" i="3"/>
  <c r="O2025" i="3"/>
  <c r="O2026" i="3"/>
  <c r="O2027" i="3"/>
  <c r="O2028" i="3"/>
  <c r="O2029" i="3"/>
  <c r="O2030" i="3"/>
  <c r="O2031" i="3"/>
  <c r="O2032" i="3"/>
  <c r="O2033" i="3"/>
  <c r="O2034" i="3"/>
  <c r="O2035" i="3"/>
  <c r="O2036" i="3"/>
  <c r="O2037" i="3"/>
  <c r="O2038" i="3"/>
  <c r="O2039" i="3"/>
  <c r="O2040" i="3"/>
  <c r="O2041" i="3"/>
  <c r="O2042" i="3"/>
  <c r="O2043" i="3"/>
  <c r="O2044" i="3"/>
  <c r="O2045" i="3"/>
  <c r="O2046" i="3"/>
  <c r="O2047" i="3"/>
  <c r="O2048" i="3"/>
  <c r="O2049" i="3"/>
  <c r="O2050" i="3"/>
  <c r="O2051" i="3"/>
  <c r="O2052" i="3"/>
  <c r="O2053" i="3"/>
  <c r="O2054" i="3"/>
  <c r="O2055" i="3"/>
  <c r="O2056" i="3"/>
  <c r="O2057" i="3"/>
  <c r="O2058" i="3"/>
  <c r="O2059" i="3"/>
  <c r="O2060" i="3"/>
  <c r="O2061" i="3"/>
  <c r="O2062" i="3"/>
  <c r="O2063" i="3"/>
  <c r="O2064" i="3"/>
  <c r="O2065" i="3"/>
  <c r="O2066" i="3"/>
  <c r="O2067" i="3"/>
  <c r="O2068" i="3"/>
  <c r="O2069" i="3"/>
  <c r="O2070" i="3"/>
  <c r="O2071" i="3"/>
  <c r="O2072" i="3"/>
  <c r="O2073" i="3"/>
  <c r="O2074" i="3"/>
  <c r="O2075" i="3"/>
  <c r="O2076" i="3"/>
  <c r="O2077" i="3"/>
  <c r="O2078" i="3"/>
  <c r="O2079" i="3"/>
  <c r="O2080" i="3"/>
  <c r="O2081" i="3"/>
  <c r="O2082" i="3"/>
  <c r="O2083" i="3"/>
  <c r="O2084" i="3"/>
  <c r="O2085" i="3"/>
  <c r="O2086" i="3"/>
  <c r="O2087" i="3"/>
  <c r="O2088" i="3"/>
  <c r="O2089" i="3"/>
  <c r="O2090" i="3"/>
  <c r="O2091" i="3"/>
  <c r="O2092" i="3"/>
  <c r="O2093" i="3"/>
  <c r="O2094" i="3"/>
  <c r="O2095" i="3"/>
  <c r="O2096" i="3"/>
  <c r="O2097" i="3"/>
  <c r="O2098" i="3"/>
  <c r="O2099" i="3"/>
  <c r="O2100" i="3"/>
  <c r="O2101" i="3"/>
  <c r="O2102" i="3"/>
  <c r="O2103" i="3"/>
  <c r="O2104" i="3"/>
  <c r="O2105" i="3"/>
  <c r="O2106" i="3"/>
  <c r="O2107" i="3"/>
  <c r="O2108" i="3"/>
  <c r="O2109" i="3"/>
  <c r="O2110" i="3"/>
  <c r="O2111" i="3"/>
  <c r="O2112" i="3"/>
  <c r="O2113" i="3"/>
  <c r="O2114" i="3"/>
  <c r="O2115" i="3"/>
  <c r="O2116" i="3"/>
  <c r="O2117" i="3"/>
  <c r="O2118" i="3"/>
  <c r="O2119" i="3"/>
  <c r="O2120" i="3"/>
  <c r="O2121" i="3"/>
  <c r="O2122" i="3"/>
  <c r="O2123" i="3"/>
  <c r="O2124" i="3"/>
  <c r="O2125" i="3"/>
  <c r="O2126" i="3"/>
  <c r="O2127" i="3"/>
  <c r="O2128" i="3"/>
  <c r="O2129" i="3"/>
  <c r="O2130" i="3"/>
  <c r="O2131" i="3"/>
  <c r="O2132" i="3"/>
  <c r="O2133" i="3"/>
  <c r="O2134" i="3"/>
  <c r="O2135" i="3"/>
  <c r="O2136" i="3"/>
  <c r="O2137" i="3"/>
  <c r="O2138" i="3"/>
  <c r="O2139" i="3"/>
  <c r="O2140" i="3"/>
  <c r="O2141" i="3"/>
  <c r="O2142" i="3"/>
  <c r="O2143" i="3"/>
  <c r="O2144" i="3"/>
  <c r="O2145" i="3"/>
  <c r="O2146" i="3"/>
  <c r="O2147" i="3"/>
  <c r="O2148" i="3"/>
  <c r="O2149" i="3"/>
  <c r="O2150" i="3"/>
  <c r="O2151" i="3"/>
  <c r="O2152" i="3"/>
  <c r="O2153" i="3"/>
  <c r="O2154" i="3"/>
  <c r="O2155" i="3"/>
  <c r="O2156" i="3"/>
  <c r="O2157" i="3"/>
  <c r="O2158" i="3"/>
  <c r="O2159" i="3"/>
  <c r="O2160" i="3"/>
  <c r="O2161" i="3"/>
  <c r="O2162" i="3"/>
  <c r="O2163" i="3"/>
  <c r="O2164" i="3"/>
  <c r="O2165" i="3"/>
  <c r="O2166" i="3"/>
  <c r="O2167" i="3"/>
  <c r="O2168" i="3"/>
  <c r="O2169" i="3"/>
  <c r="O2170" i="3"/>
  <c r="O2171" i="3"/>
  <c r="O2172" i="3"/>
  <c r="O2173" i="3"/>
  <c r="O2174" i="3"/>
  <c r="O2175" i="3"/>
  <c r="O2176" i="3"/>
  <c r="O2177" i="3"/>
  <c r="O2178" i="3"/>
  <c r="O2179" i="3"/>
  <c r="O2180" i="3"/>
  <c r="O2181" i="3"/>
  <c r="O2182" i="3"/>
  <c r="O2183" i="3"/>
  <c r="O2184" i="3"/>
  <c r="O2185" i="3"/>
  <c r="O2186" i="3"/>
  <c r="O2187" i="3"/>
  <c r="O2188" i="3"/>
  <c r="O2189" i="3"/>
  <c r="O2190" i="3"/>
  <c r="O2191" i="3"/>
  <c r="O2192" i="3"/>
  <c r="O2193" i="3"/>
  <c r="O2194" i="3"/>
  <c r="O2195" i="3"/>
  <c r="O2196" i="3"/>
  <c r="O2197" i="3"/>
  <c r="O2198" i="3"/>
  <c r="O2199" i="3"/>
  <c r="O2200" i="3"/>
  <c r="O2201" i="3"/>
  <c r="O2202" i="3"/>
  <c r="O2203" i="3"/>
  <c r="O2204" i="3"/>
  <c r="O2205" i="3"/>
  <c r="O2206" i="3"/>
  <c r="O2207" i="3"/>
  <c r="O2208" i="3"/>
  <c r="O2209" i="3"/>
  <c r="O2210" i="3"/>
  <c r="O2211" i="3"/>
  <c r="O2212" i="3"/>
  <c r="O2213" i="3"/>
  <c r="O2214" i="3"/>
  <c r="O2215" i="3"/>
  <c r="O2216" i="3"/>
  <c r="O2217" i="3"/>
  <c r="O2218" i="3"/>
  <c r="O2219" i="3"/>
  <c r="O2220" i="3"/>
  <c r="O2221" i="3"/>
  <c r="O2222" i="3"/>
  <c r="O2223" i="3"/>
  <c r="O2224" i="3"/>
  <c r="O2225" i="3"/>
  <c r="O2226" i="3"/>
  <c r="O2227" i="3"/>
  <c r="O2228" i="3"/>
  <c r="O2229" i="3"/>
  <c r="O2230" i="3"/>
  <c r="O2231" i="3"/>
  <c r="O2232" i="3"/>
  <c r="O2233" i="3"/>
  <c r="O2234" i="3"/>
  <c r="O2235" i="3"/>
  <c r="O2236" i="3"/>
  <c r="O2237" i="3"/>
  <c r="O2238" i="3"/>
  <c r="O2239" i="3"/>
  <c r="O2240" i="3"/>
  <c r="O2241" i="3"/>
  <c r="O2242" i="3"/>
  <c r="O2243" i="3"/>
  <c r="O2244" i="3"/>
  <c r="O2245" i="3"/>
  <c r="O2246" i="3"/>
  <c r="O2247" i="3"/>
  <c r="O2248" i="3"/>
  <c r="O2249" i="3"/>
  <c r="O2250" i="3"/>
  <c r="O2251" i="3"/>
  <c r="O2252" i="3"/>
  <c r="O2253" i="3"/>
  <c r="O2254" i="3"/>
  <c r="O2255" i="3"/>
  <c r="O2256" i="3"/>
  <c r="O2257" i="3"/>
  <c r="O2258" i="3"/>
  <c r="O2259" i="3"/>
  <c r="O2260" i="3"/>
  <c r="O2261" i="3"/>
  <c r="O2262" i="3"/>
  <c r="O2263" i="3"/>
  <c r="O2264" i="3"/>
  <c r="O2265" i="3"/>
  <c r="O2266" i="3"/>
  <c r="O2267" i="3"/>
  <c r="O2268" i="3"/>
  <c r="O2269" i="3"/>
  <c r="O2270" i="3"/>
  <c r="O2271" i="3"/>
  <c r="O2272" i="3"/>
  <c r="O2273" i="3"/>
  <c r="O2274" i="3"/>
  <c r="O2275" i="3"/>
  <c r="O2276" i="3"/>
  <c r="O2277" i="3"/>
  <c r="O2278" i="3"/>
  <c r="O2279" i="3"/>
  <c r="O2280" i="3"/>
  <c r="O2281" i="3"/>
  <c r="O2282" i="3"/>
  <c r="O2283" i="3"/>
  <c r="O2284" i="3"/>
  <c r="O2285" i="3"/>
  <c r="O2286" i="3"/>
  <c r="O2287" i="3"/>
  <c r="O2288" i="3"/>
  <c r="O2289" i="3"/>
  <c r="O2290" i="3"/>
  <c r="O2291" i="3"/>
  <c r="O2292" i="3"/>
  <c r="O2293" i="3"/>
  <c r="O2294" i="3"/>
  <c r="O2295" i="3"/>
  <c r="O2296" i="3"/>
  <c r="O2297" i="3"/>
  <c r="O2298" i="3"/>
  <c r="O2299" i="3"/>
  <c r="O2300" i="3"/>
  <c r="O2301" i="3"/>
  <c r="O2302" i="3"/>
  <c r="O2303" i="3"/>
  <c r="O2304" i="3"/>
  <c r="O2305" i="3"/>
  <c r="O2306" i="3"/>
  <c r="O2307" i="3"/>
  <c r="O2308" i="3"/>
  <c r="O2309" i="3"/>
  <c r="O2310" i="3"/>
  <c r="O2311" i="3"/>
  <c r="O2312" i="3"/>
  <c r="O2313" i="3"/>
  <c r="O2314" i="3"/>
  <c r="O2315" i="3"/>
  <c r="O2316" i="3"/>
  <c r="O2317" i="3"/>
  <c r="O2318" i="3"/>
  <c r="O2319" i="3"/>
  <c r="O2320" i="3"/>
  <c r="O2321" i="3"/>
  <c r="O2322" i="3"/>
  <c r="O2323" i="3"/>
  <c r="O2324" i="3"/>
  <c r="O2325" i="3"/>
  <c r="O2326" i="3"/>
  <c r="O2327" i="3"/>
  <c r="O2328" i="3"/>
  <c r="O2329" i="3"/>
  <c r="O2330" i="3"/>
  <c r="O2331" i="3"/>
  <c r="O2332" i="3"/>
  <c r="O2333" i="3"/>
  <c r="O2334" i="3"/>
  <c r="O2335" i="3"/>
  <c r="O2336" i="3"/>
  <c r="O2337" i="3"/>
  <c r="O2338" i="3"/>
  <c r="O2339" i="3"/>
  <c r="O2340" i="3"/>
  <c r="O2341" i="3"/>
  <c r="O2342" i="3"/>
  <c r="O2343" i="3"/>
  <c r="O2344" i="3"/>
  <c r="O2345" i="3"/>
  <c r="O2346" i="3"/>
  <c r="O2347" i="3"/>
  <c r="O2348" i="3"/>
  <c r="O2349" i="3"/>
  <c r="O2350" i="3"/>
  <c r="O2351" i="3"/>
  <c r="O2352" i="3"/>
  <c r="O2353" i="3"/>
  <c r="O2354" i="3"/>
  <c r="O2355" i="3"/>
  <c r="O2356" i="3"/>
  <c r="O2357" i="3"/>
  <c r="O2358" i="3"/>
  <c r="O2359" i="3"/>
  <c r="O2360" i="3"/>
  <c r="O2361" i="3"/>
  <c r="O2362" i="3"/>
  <c r="O2363" i="3"/>
  <c r="O2364" i="3"/>
  <c r="O2365" i="3"/>
  <c r="O2366" i="3"/>
  <c r="O2367" i="3"/>
  <c r="O2368" i="3"/>
  <c r="O2369" i="3"/>
  <c r="O2370" i="3"/>
  <c r="O2371" i="3"/>
  <c r="O2372" i="3"/>
  <c r="O2373" i="3"/>
  <c r="O2374" i="3"/>
  <c r="O2375" i="3"/>
  <c r="O2376" i="3"/>
  <c r="O2377" i="3"/>
  <c r="O2378" i="3"/>
  <c r="O2379" i="3"/>
  <c r="O2380" i="3"/>
  <c r="O2381" i="3"/>
  <c r="O2382" i="3"/>
  <c r="O2383" i="3"/>
  <c r="O2384" i="3"/>
  <c r="O2385" i="3"/>
  <c r="O2386" i="3"/>
  <c r="O2387" i="3"/>
  <c r="O2388" i="3"/>
  <c r="O2389" i="3"/>
  <c r="O2390" i="3"/>
  <c r="O2391" i="3"/>
  <c r="O2392" i="3"/>
  <c r="O2393" i="3"/>
  <c r="O2394" i="3"/>
  <c r="O2395" i="3"/>
  <c r="O2396" i="3"/>
  <c r="O2397" i="3"/>
  <c r="O2398" i="3"/>
  <c r="O2399" i="3"/>
  <c r="O2400" i="3"/>
  <c r="O2401" i="3"/>
  <c r="O2402" i="3"/>
  <c r="O2403" i="3"/>
  <c r="O2404" i="3"/>
  <c r="O2405" i="3"/>
  <c r="O2406" i="3"/>
  <c r="O2407" i="3"/>
  <c r="O2408" i="3"/>
  <c r="O2409" i="3"/>
  <c r="O2410" i="3"/>
  <c r="O2411" i="3"/>
  <c r="O2412" i="3"/>
  <c r="O2413" i="3"/>
  <c r="O2414" i="3"/>
  <c r="O2415" i="3"/>
  <c r="O2416" i="3"/>
  <c r="O2417" i="3"/>
  <c r="O2418" i="3"/>
  <c r="O2419" i="3"/>
  <c r="O2420" i="3"/>
  <c r="O2421" i="3"/>
  <c r="O2422" i="3"/>
  <c r="O2423" i="3"/>
  <c r="O2424" i="3"/>
  <c r="O2425" i="3"/>
  <c r="O2426" i="3"/>
  <c r="O2427" i="3"/>
  <c r="O2428" i="3"/>
  <c r="O2429" i="3"/>
  <c r="O2430" i="3"/>
  <c r="O2431" i="3"/>
  <c r="O2432" i="3"/>
  <c r="O2433" i="3"/>
  <c r="O2434" i="3"/>
  <c r="O2435" i="3"/>
  <c r="O2436" i="3"/>
  <c r="O2437" i="3"/>
  <c r="O2438" i="3"/>
  <c r="O2439" i="3"/>
  <c r="O2440" i="3"/>
  <c r="O2441" i="3"/>
  <c r="O2442" i="3"/>
  <c r="O2443" i="3"/>
  <c r="O2444" i="3"/>
  <c r="O2445" i="3"/>
  <c r="O2446" i="3"/>
  <c r="O2447" i="3"/>
  <c r="O2448" i="3"/>
  <c r="O2449" i="3"/>
  <c r="O2450" i="3"/>
  <c r="O2451" i="3"/>
  <c r="O2452" i="3"/>
  <c r="O2453" i="3"/>
  <c r="O2454" i="3"/>
  <c r="O2455" i="3"/>
  <c r="O2456" i="3"/>
  <c r="O2457" i="3"/>
  <c r="O2458" i="3"/>
  <c r="O2459" i="3"/>
  <c r="O2460" i="3"/>
  <c r="O2461" i="3"/>
  <c r="O2462" i="3"/>
  <c r="O2463" i="3"/>
  <c r="O2464" i="3"/>
  <c r="O2465" i="3"/>
  <c r="O2466" i="3"/>
  <c r="O2467" i="3"/>
  <c r="O2468" i="3"/>
  <c r="O2469" i="3"/>
  <c r="O2470" i="3"/>
  <c r="O2471" i="3"/>
  <c r="O2472" i="3"/>
  <c r="O2473" i="3"/>
  <c r="O2474" i="3"/>
  <c r="O2475" i="3"/>
  <c r="O2476" i="3"/>
  <c r="O2477" i="3"/>
  <c r="O2478" i="3"/>
  <c r="O2479" i="3"/>
  <c r="O2480" i="3"/>
  <c r="O2481" i="3"/>
  <c r="O2482" i="3"/>
  <c r="O2483" i="3"/>
  <c r="O2484" i="3"/>
  <c r="O2485" i="3"/>
  <c r="O2486" i="3"/>
  <c r="O2487" i="3"/>
  <c r="O2488" i="3"/>
  <c r="O2489" i="3"/>
  <c r="O2490" i="3"/>
  <c r="O2491" i="3"/>
  <c r="O2492" i="3"/>
  <c r="O2493" i="3"/>
  <c r="O2494" i="3"/>
  <c r="O2495" i="3"/>
  <c r="O2496" i="3"/>
  <c r="O2497" i="3"/>
  <c r="O2498" i="3"/>
  <c r="O2499" i="3"/>
  <c r="O2500" i="3"/>
  <c r="O2501" i="3"/>
  <c r="O2502" i="3"/>
  <c r="O4" i="3"/>
  <c r="N2" i="3"/>
  <c r="N1" i="3"/>
  <c r="L3" i="2"/>
  <c r="L1" i="2"/>
  <c r="L798" i="2" s="1"/>
  <c r="K1" i="2"/>
  <c r="K748" i="2" s="1"/>
  <c r="J1" i="2"/>
  <c r="I1" i="2"/>
  <c r="I509" i="2" s="1"/>
  <c r="H1" i="2"/>
  <c r="H712" i="2" s="1"/>
  <c r="G1" i="2"/>
  <c r="C4" i="12"/>
  <c r="G50" i="12" s="1"/>
  <c r="B50" i="12"/>
  <c r="B49" i="12"/>
  <c r="B47" i="12"/>
  <c r="B46" i="12"/>
  <c r="B45" i="12"/>
  <c r="AH83" i="7"/>
  <c r="AH84" i="7"/>
  <c r="AH85" i="7"/>
  <c r="AH86" i="7"/>
  <c r="AH87" i="7"/>
  <c r="AH113" i="7"/>
  <c r="AH114" i="7"/>
  <c r="AH115" i="7"/>
  <c r="AH116" i="7"/>
  <c r="AH117" i="7"/>
  <c r="F29" i="40"/>
  <c r="F30" i="40" s="1"/>
  <c r="F31" i="40" s="1"/>
  <c r="F32" i="40" s="1"/>
  <c r="F28" i="40"/>
  <c r="B28" i="40" s="1"/>
  <c r="T5" i="10"/>
  <c r="S5" i="10"/>
  <c r="T3" i="10"/>
  <c r="S3" i="10"/>
  <c r="R5" i="10"/>
  <c r="R4" i="10"/>
  <c r="R3" i="10"/>
  <c r="Q5" i="10"/>
  <c r="Q4" i="10"/>
  <c r="Q3" i="10"/>
  <c r="P5" i="10"/>
  <c r="P4" i="10"/>
  <c r="O10" i="10"/>
  <c r="O9" i="10"/>
  <c r="O8" i="10"/>
  <c r="O7" i="10"/>
  <c r="O6" i="10"/>
  <c r="O5" i="10"/>
  <c r="O4" i="10"/>
  <c r="O3" i="10"/>
  <c r="I106" i="12"/>
  <c r="I28" i="40"/>
  <c r="G36" i="40"/>
  <c r="T24" i="7"/>
  <c r="T25" i="7" s="1"/>
  <c r="T2" i="10"/>
  <c r="Q2" i="10"/>
  <c r="P3" i="10"/>
  <c r="N3" i="10"/>
  <c r="S2" i="10"/>
  <c r="R2" i="10"/>
  <c r="P2" i="10"/>
  <c r="O2" i="10"/>
  <c r="N4" i="10"/>
  <c r="N2" i="10"/>
  <c r="D42" i="11"/>
  <c r="J509" i="2" l="1"/>
  <c r="I828" i="2"/>
  <c r="J828" i="2" s="1"/>
  <c r="I799" i="2"/>
  <c r="J799" i="2" s="1"/>
  <c r="I754" i="2"/>
  <c r="J754" i="2" s="1"/>
  <c r="I602" i="2"/>
  <c r="J602" i="2" s="1"/>
  <c r="I791" i="2"/>
  <c r="J791" i="2" s="1"/>
  <c r="I746" i="2"/>
  <c r="J746" i="2" s="1"/>
  <c r="I682" i="2"/>
  <c r="J682" i="2" s="1"/>
  <c r="I625" i="2"/>
  <c r="J625" i="2" s="1"/>
  <c r="I594" i="2"/>
  <c r="J594" i="2" s="1"/>
  <c r="I814" i="2"/>
  <c r="J814" i="2" s="1"/>
  <c r="I788" i="2"/>
  <c r="J788" i="2" s="1"/>
  <c r="I762" i="2"/>
  <c r="J762" i="2" s="1"/>
  <c r="I802" i="2"/>
  <c r="J802" i="2" s="1"/>
  <c r="I783" i="2"/>
  <c r="I738" i="2"/>
  <c r="J738" i="2" s="1"/>
  <c r="I715" i="2"/>
  <c r="J715" i="2" s="1"/>
  <c r="I674" i="2"/>
  <c r="J674" i="2" s="1"/>
  <c r="I586" i="2"/>
  <c r="J586" i="2" s="1"/>
  <c r="I859" i="2"/>
  <c r="I634" i="2"/>
  <c r="J634" i="2" s="1"/>
  <c r="I618" i="2"/>
  <c r="J618" i="2" s="1"/>
  <c r="I610" i="2"/>
  <c r="J610" i="2" s="1"/>
  <c r="I730" i="2"/>
  <c r="J730" i="2" s="1"/>
  <c r="I666" i="2"/>
  <c r="J666" i="2" s="1"/>
  <c r="I628" i="2"/>
  <c r="J628" i="2" s="1"/>
  <c r="I578" i="2"/>
  <c r="I868" i="2"/>
  <c r="J868" i="2" s="1"/>
  <c r="I658" i="2"/>
  <c r="J658" i="2" s="1"/>
  <c r="I570" i="2"/>
  <c r="J570" i="2" s="1"/>
  <c r="I867" i="2"/>
  <c r="J867" i="2" s="1"/>
  <c r="I700" i="2"/>
  <c r="J700" i="2" s="1"/>
  <c r="I860" i="2"/>
  <c r="J860" i="2" s="1"/>
  <c r="I820" i="2"/>
  <c r="I805" i="2"/>
  <c r="J805" i="2" s="1"/>
  <c r="I778" i="2"/>
  <c r="J778" i="2" s="1"/>
  <c r="I705" i="2"/>
  <c r="J705" i="2" s="1"/>
  <c r="I650" i="2"/>
  <c r="J650" i="2" s="1"/>
  <c r="I631" i="2"/>
  <c r="J631" i="2" s="1"/>
  <c r="I845" i="2"/>
  <c r="J845" i="2" s="1"/>
  <c r="I796" i="2"/>
  <c r="J796" i="2" s="1"/>
  <c r="I770" i="2"/>
  <c r="J770" i="2" s="1"/>
  <c r="I692" i="2"/>
  <c r="J692" i="2" s="1"/>
  <c r="I642" i="2"/>
  <c r="J642" i="2" s="1"/>
  <c r="I522" i="2"/>
  <c r="J522" i="2" s="1"/>
  <c r="I839" i="2"/>
  <c r="J839" i="2" s="1"/>
  <c r="I833" i="2"/>
  <c r="J833" i="2" s="1"/>
  <c r="I825" i="2"/>
  <c r="J825" i="2" s="1"/>
  <c r="I822" i="2"/>
  <c r="J822" i="2" s="1"/>
  <c r="I810" i="2"/>
  <c r="J810" i="2" s="1"/>
  <c r="I793" i="2"/>
  <c r="J793" i="2" s="1"/>
  <c r="I785" i="2"/>
  <c r="J785" i="2" s="1"/>
  <c r="I780" i="2"/>
  <c r="J780" i="2" s="1"/>
  <c r="I775" i="2"/>
  <c r="J775" i="2" s="1"/>
  <c r="I767" i="2"/>
  <c r="J767" i="2" s="1"/>
  <c r="I759" i="2"/>
  <c r="J759" i="2" s="1"/>
  <c r="I751" i="2"/>
  <c r="J751" i="2" s="1"/>
  <c r="I743" i="2"/>
  <c r="J743" i="2" s="1"/>
  <c r="I735" i="2"/>
  <c r="J735" i="2" s="1"/>
  <c r="I727" i="2"/>
  <c r="J727" i="2" s="1"/>
  <c r="I722" i="2"/>
  <c r="J722" i="2" s="1"/>
  <c r="I717" i="2"/>
  <c r="J717" i="2" s="1"/>
  <c r="I710" i="2"/>
  <c r="J710" i="2" s="1"/>
  <c r="I689" i="2"/>
  <c r="J689" i="2" s="1"/>
  <c r="I679" i="2"/>
  <c r="J679" i="2" s="1"/>
  <c r="I671" i="2"/>
  <c r="J671" i="2" s="1"/>
  <c r="I663" i="2"/>
  <c r="J663" i="2" s="1"/>
  <c r="I655" i="2"/>
  <c r="J655" i="2" s="1"/>
  <c r="I647" i="2"/>
  <c r="J647" i="2" s="1"/>
  <c r="I639" i="2"/>
  <c r="J639" i="2" s="1"/>
  <c r="I620" i="2"/>
  <c r="J620" i="2" s="1"/>
  <c r="I615" i="2"/>
  <c r="J615" i="2" s="1"/>
  <c r="I607" i="2"/>
  <c r="J607" i="2" s="1"/>
  <c r="I599" i="2"/>
  <c r="J599" i="2" s="1"/>
  <c r="I591" i="2"/>
  <c r="J591" i="2" s="1"/>
  <c r="I583" i="2"/>
  <c r="J583" i="2" s="1"/>
  <c r="I575" i="2"/>
  <c r="J575" i="2" s="1"/>
  <c r="I567" i="2"/>
  <c r="J567" i="2" s="1"/>
  <c r="I559" i="2"/>
  <c r="J559" i="2" s="1"/>
  <c r="I551" i="2"/>
  <c r="J551" i="2" s="1"/>
  <c r="I543" i="2"/>
  <c r="J543" i="2" s="1"/>
  <c r="I535" i="2"/>
  <c r="J535" i="2" s="1"/>
  <c r="I527" i="2"/>
  <c r="J527" i="2" s="1"/>
  <c r="I519" i="2"/>
  <c r="J519" i="2" s="1"/>
  <c r="I511" i="2"/>
  <c r="J511" i="2" s="1"/>
  <c r="I505" i="2"/>
  <c r="J505" i="2" s="1"/>
  <c r="I546" i="2"/>
  <c r="J546" i="2" s="1"/>
  <c r="I538" i="2"/>
  <c r="J538" i="2" s="1"/>
  <c r="I864" i="2"/>
  <c r="J864" i="2" s="1"/>
  <c r="I856" i="2"/>
  <c r="J856" i="2" s="1"/>
  <c r="I869" i="2"/>
  <c r="J869" i="2" s="1"/>
  <c r="I844" i="2"/>
  <c r="J844" i="2" s="1"/>
  <c r="I813" i="2"/>
  <c r="J813" i="2" s="1"/>
  <c r="I804" i="2"/>
  <c r="J804" i="2" s="1"/>
  <c r="I772" i="2"/>
  <c r="J772" i="2" s="1"/>
  <c r="I764" i="2"/>
  <c r="J764" i="2" s="1"/>
  <c r="I756" i="2"/>
  <c r="J756" i="2" s="1"/>
  <c r="I748" i="2"/>
  <c r="J748" i="2" s="1"/>
  <c r="I740" i="2"/>
  <c r="J740" i="2" s="1"/>
  <c r="I732" i="2"/>
  <c r="J732" i="2" s="1"/>
  <c r="I724" i="2"/>
  <c r="J724" i="2" s="1"/>
  <c r="I712" i="2"/>
  <c r="J712" i="2" s="1"/>
  <c r="I707" i="2"/>
  <c r="J707" i="2" s="1"/>
  <c r="I702" i="2"/>
  <c r="J702" i="2" s="1"/>
  <c r="I699" i="2"/>
  <c r="J699" i="2" s="1"/>
  <c r="I694" i="2"/>
  <c r="J694" i="2" s="1"/>
  <c r="I684" i="2"/>
  <c r="J684" i="2" s="1"/>
  <c r="I676" i="2"/>
  <c r="J676" i="2" s="1"/>
  <c r="I668" i="2"/>
  <c r="J668" i="2" s="1"/>
  <c r="I660" i="2"/>
  <c r="J660" i="2" s="1"/>
  <c r="I652" i="2"/>
  <c r="J652" i="2" s="1"/>
  <c r="I644" i="2"/>
  <c r="J644" i="2" s="1"/>
  <c r="I636" i="2"/>
  <c r="J636" i="2" s="1"/>
  <c r="I633" i="2"/>
  <c r="J633" i="2" s="1"/>
  <c r="I617" i="2"/>
  <c r="J617" i="2" s="1"/>
  <c r="I612" i="2"/>
  <c r="J612" i="2" s="1"/>
  <c r="I604" i="2"/>
  <c r="J604" i="2" s="1"/>
  <c r="I596" i="2"/>
  <c r="J596" i="2" s="1"/>
  <c r="I588" i="2"/>
  <c r="J588" i="2" s="1"/>
  <c r="I580" i="2"/>
  <c r="J580" i="2" s="1"/>
  <c r="I572" i="2"/>
  <c r="J572" i="2" s="1"/>
  <c r="I564" i="2"/>
  <c r="J564" i="2" s="1"/>
  <c r="I556" i="2"/>
  <c r="J556" i="2" s="1"/>
  <c r="I548" i="2"/>
  <c r="J548" i="2" s="1"/>
  <c r="I540" i="2"/>
  <c r="J540" i="2" s="1"/>
  <c r="I532" i="2"/>
  <c r="J532" i="2" s="1"/>
  <c r="I524" i="2"/>
  <c r="J524" i="2" s="1"/>
  <c r="I516" i="2"/>
  <c r="J516" i="2" s="1"/>
  <c r="I508" i="2"/>
  <c r="J508" i="2" s="1"/>
  <c r="J578" i="2"/>
  <c r="I554" i="2"/>
  <c r="J554" i="2" s="1"/>
  <c r="I530" i="2"/>
  <c r="J530" i="2" s="1"/>
  <c r="I514" i="2"/>
  <c r="J514" i="2" s="1"/>
  <c r="I841" i="2"/>
  <c r="J841" i="2" s="1"/>
  <c r="I858" i="2"/>
  <c r="J858" i="2" s="1"/>
  <c r="I838" i="2"/>
  <c r="J838" i="2" s="1"/>
  <c r="I832" i="2"/>
  <c r="J832" i="2" s="1"/>
  <c r="I819" i="2"/>
  <c r="J819" i="2" s="1"/>
  <c r="I801" i="2"/>
  <c r="J801" i="2" s="1"/>
  <c r="I795" i="2"/>
  <c r="J795" i="2" s="1"/>
  <c r="I787" i="2"/>
  <c r="J787" i="2" s="1"/>
  <c r="I777" i="2"/>
  <c r="J777" i="2" s="1"/>
  <c r="I769" i="2"/>
  <c r="J769" i="2" s="1"/>
  <c r="I761" i="2"/>
  <c r="J761" i="2" s="1"/>
  <c r="I753" i="2"/>
  <c r="J753" i="2" s="1"/>
  <c r="I745" i="2"/>
  <c r="J745" i="2" s="1"/>
  <c r="I737" i="2"/>
  <c r="J737" i="2" s="1"/>
  <c r="I729" i="2"/>
  <c r="J729" i="2" s="1"/>
  <c r="I719" i="2"/>
  <c r="J719" i="2" s="1"/>
  <c r="I714" i="2"/>
  <c r="J714" i="2" s="1"/>
  <c r="I696" i="2"/>
  <c r="J696" i="2" s="1"/>
  <c r="I691" i="2"/>
  <c r="J691" i="2" s="1"/>
  <c r="I686" i="2"/>
  <c r="J686" i="2" s="1"/>
  <c r="I681" i="2"/>
  <c r="J681" i="2" s="1"/>
  <c r="I673" i="2"/>
  <c r="J673" i="2" s="1"/>
  <c r="I665" i="2"/>
  <c r="J665" i="2" s="1"/>
  <c r="I657" i="2"/>
  <c r="J657" i="2" s="1"/>
  <c r="I649" i="2"/>
  <c r="J649" i="2" s="1"/>
  <c r="I641" i="2"/>
  <c r="J641" i="2" s="1"/>
  <c r="I630" i="2"/>
  <c r="J630" i="2" s="1"/>
  <c r="I627" i="2"/>
  <c r="J627" i="2" s="1"/>
  <c r="I622" i="2"/>
  <c r="J622" i="2" s="1"/>
  <c r="I609" i="2"/>
  <c r="J609" i="2" s="1"/>
  <c r="I601" i="2"/>
  <c r="J601" i="2" s="1"/>
  <c r="I593" i="2"/>
  <c r="J593" i="2" s="1"/>
  <c r="I585" i="2"/>
  <c r="J585" i="2" s="1"/>
  <c r="I577" i="2"/>
  <c r="J577" i="2" s="1"/>
  <c r="I569" i="2"/>
  <c r="J569" i="2" s="1"/>
  <c r="I561" i="2"/>
  <c r="J561" i="2" s="1"/>
  <c r="I553" i="2"/>
  <c r="J553" i="2" s="1"/>
  <c r="I545" i="2"/>
  <c r="J545" i="2" s="1"/>
  <c r="I537" i="2"/>
  <c r="J537" i="2" s="1"/>
  <c r="I529" i="2"/>
  <c r="J529" i="2" s="1"/>
  <c r="I521" i="2"/>
  <c r="J521" i="2" s="1"/>
  <c r="I513" i="2"/>
  <c r="J513" i="2" s="1"/>
  <c r="I562" i="2"/>
  <c r="J562" i="2" s="1"/>
  <c r="I853" i="2"/>
  <c r="J853" i="2" s="1"/>
  <c r="I848" i="2"/>
  <c r="J848" i="2" s="1"/>
  <c r="I861" i="2"/>
  <c r="J861" i="2" s="1"/>
  <c r="I850" i="2"/>
  <c r="J850" i="2" s="1"/>
  <c r="I830" i="2"/>
  <c r="J830" i="2" s="1"/>
  <c r="I866" i="2"/>
  <c r="J866" i="2" s="1"/>
  <c r="I835" i="2"/>
  <c r="J835" i="2" s="1"/>
  <c r="I824" i="2"/>
  <c r="J824" i="2" s="1"/>
  <c r="I816" i="2"/>
  <c r="J816" i="2" s="1"/>
  <c r="I807" i="2"/>
  <c r="J807" i="2" s="1"/>
  <c r="I798" i="2"/>
  <c r="J798" i="2" s="1"/>
  <c r="I790" i="2"/>
  <c r="J790" i="2" s="1"/>
  <c r="I782" i="2"/>
  <c r="J782" i="2" s="1"/>
  <c r="I863" i="2"/>
  <c r="J863" i="2" s="1"/>
  <c r="I855" i="2"/>
  <c r="J855" i="2" s="1"/>
  <c r="I852" i="2"/>
  <c r="J852" i="2" s="1"/>
  <c r="I847" i="2"/>
  <c r="J847" i="2" s="1"/>
  <c r="I827" i="2"/>
  <c r="J827" i="2" s="1"/>
  <c r="I812" i="2"/>
  <c r="J812" i="2" s="1"/>
  <c r="I809" i="2"/>
  <c r="J809" i="2" s="1"/>
  <c r="I792" i="2"/>
  <c r="J792" i="2" s="1"/>
  <c r="I784" i="2"/>
  <c r="J784" i="2" s="1"/>
  <c r="I774" i="2"/>
  <c r="J774" i="2" s="1"/>
  <c r="I766" i="2"/>
  <c r="J766" i="2" s="1"/>
  <c r="I758" i="2"/>
  <c r="J758" i="2" s="1"/>
  <c r="I750" i="2"/>
  <c r="J750" i="2" s="1"/>
  <c r="I742" i="2"/>
  <c r="J742" i="2" s="1"/>
  <c r="I734" i="2"/>
  <c r="J734" i="2" s="1"/>
  <c r="I726" i="2"/>
  <c r="J726" i="2" s="1"/>
  <c r="I721" i="2"/>
  <c r="J721" i="2" s="1"/>
  <c r="I716" i="2"/>
  <c r="J716" i="2" s="1"/>
  <c r="I709" i="2"/>
  <c r="J709" i="2" s="1"/>
  <c r="I704" i="2"/>
  <c r="J704" i="2" s="1"/>
  <c r="I678" i="2"/>
  <c r="J678" i="2" s="1"/>
  <c r="I670" i="2"/>
  <c r="J670" i="2" s="1"/>
  <c r="I662" i="2"/>
  <c r="J662" i="2" s="1"/>
  <c r="I654" i="2"/>
  <c r="J654" i="2" s="1"/>
  <c r="I646" i="2"/>
  <c r="J646" i="2" s="1"/>
  <c r="I638" i="2"/>
  <c r="J638" i="2" s="1"/>
  <c r="I624" i="2"/>
  <c r="J624" i="2" s="1"/>
  <c r="I619" i="2"/>
  <c r="J619" i="2" s="1"/>
  <c r="I614" i="2"/>
  <c r="J614" i="2" s="1"/>
  <c r="I606" i="2"/>
  <c r="J606" i="2" s="1"/>
  <c r="I598" i="2"/>
  <c r="J598" i="2" s="1"/>
  <c r="I590" i="2"/>
  <c r="J590" i="2" s="1"/>
  <c r="I582" i="2"/>
  <c r="J582" i="2" s="1"/>
  <c r="I574" i="2"/>
  <c r="J574" i="2" s="1"/>
  <c r="I566" i="2"/>
  <c r="J566" i="2" s="1"/>
  <c r="I558" i="2"/>
  <c r="J558" i="2" s="1"/>
  <c r="I550" i="2"/>
  <c r="J550" i="2" s="1"/>
  <c r="I542" i="2"/>
  <c r="J542" i="2" s="1"/>
  <c r="I534" i="2"/>
  <c r="J534" i="2" s="1"/>
  <c r="I526" i="2"/>
  <c r="J526" i="2" s="1"/>
  <c r="I518" i="2"/>
  <c r="J518" i="2" s="1"/>
  <c r="I510" i="2"/>
  <c r="J510" i="2" s="1"/>
  <c r="I507" i="2"/>
  <c r="J507" i="2" s="1"/>
  <c r="I504" i="2"/>
  <c r="J504" i="2" s="1"/>
  <c r="I849" i="2"/>
  <c r="J849" i="2" s="1"/>
  <c r="I843" i="2"/>
  <c r="J843" i="2" s="1"/>
  <c r="I840" i="2"/>
  <c r="J840" i="2" s="1"/>
  <c r="I837" i="2"/>
  <c r="J837" i="2" s="1"/>
  <c r="I829" i="2"/>
  <c r="J829" i="2" s="1"/>
  <c r="I821" i="2"/>
  <c r="J821" i="2" s="1"/>
  <c r="I818" i="2"/>
  <c r="J818" i="2" s="1"/>
  <c r="I806" i="2"/>
  <c r="J806" i="2" s="1"/>
  <c r="I800" i="2"/>
  <c r="J800" i="2" s="1"/>
  <c r="I779" i="2"/>
  <c r="J779" i="2" s="1"/>
  <c r="I771" i="2"/>
  <c r="J771" i="2" s="1"/>
  <c r="I763" i="2"/>
  <c r="J763" i="2" s="1"/>
  <c r="I755" i="2"/>
  <c r="J755" i="2" s="1"/>
  <c r="I747" i="2"/>
  <c r="J747" i="2" s="1"/>
  <c r="I739" i="2"/>
  <c r="J739" i="2" s="1"/>
  <c r="I731" i="2"/>
  <c r="J731" i="2" s="1"/>
  <c r="I701" i="2"/>
  <c r="J701" i="2" s="1"/>
  <c r="I698" i="2"/>
  <c r="J698" i="2" s="1"/>
  <c r="I693" i="2"/>
  <c r="J693" i="2" s="1"/>
  <c r="I688" i="2"/>
  <c r="J688" i="2" s="1"/>
  <c r="I683" i="2"/>
  <c r="J683" i="2" s="1"/>
  <c r="I675" i="2"/>
  <c r="J675" i="2" s="1"/>
  <c r="I667" i="2"/>
  <c r="J667" i="2" s="1"/>
  <c r="I659" i="2"/>
  <c r="J659" i="2" s="1"/>
  <c r="I651" i="2"/>
  <c r="J651" i="2" s="1"/>
  <c r="I643" i="2"/>
  <c r="J643" i="2" s="1"/>
  <c r="I635" i="2"/>
  <c r="J635" i="2" s="1"/>
  <c r="I632" i="2"/>
  <c r="J632" i="2" s="1"/>
  <c r="I629" i="2"/>
  <c r="J629" i="2" s="1"/>
  <c r="I621" i="2"/>
  <c r="J621" i="2" s="1"/>
  <c r="I611" i="2"/>
  <c r="J611" i="2" s="1"/>
  <c r="I603" i="2"/>
  <c r="J603" i="2" s="1"/>
  <c r="I595" i="2"/>
  <c r="J595" i="2" s="1"/>
  <c r="I587" i="2"/>
  <c r="J587" i="2" s="1"/>
  <c r="I579" i="2"/>
  <c r="J579" i="2" s="1"/>
  <c r="I571" i="2"/>
  <c r="J571" i="2" s="1"/>
  <c r="I563" i="2"/>
  <c r="J563" i="2" s="1"/>
  <c r="I555" i="2"/>
  <c r="J555" i="2" s="1"/>
  <c r="I547" i="2"/>
  <c r="J547" i="2" s="1"/>
  <c r="I539" i="2"/>
  <c r="J539" i="2" s="1"/>
  <c r="I531" i="2"/>
  <c r="J531" i="2" s="1"/>
  <c r="I523" i="2"/>
  <c r="J523" i="2" s="1"/>
  <c r="I515" i="2"/>
  <c r="J515" i="2" s="1"/>
  <c r="I865" i="2"/>
  <c r="J865" i="2" s="1"/>
  <c r="I857" i="2"/>
  <c r="J857" i="2" s="1"/>
  <c r="I854" i="2"/>
  <c r="J854" i="2" s="1"/>
  <c r="I846" i="2"/>
  <c r="J846" i="2" s="1"/>
  <c r="I834" i="2"/>
  <c r="J834" i="2" s="1"/>
  <c r="I826" i="2"/>
  <c r="J826" i="2" s="1"/>
  <c r="I823" i="2"/>
  <c r="J823" i="2" s="1"/>
  <c r="I815" i="2"/>
  <c r="J815" i="2" s="1"/>
  <c r="I803" i="2"/>
  <c r="J803" i="2" s="1"/>
  <c r="I797" i="2"/>
  <c r="J797" i="2" s="1"/>
  <c r="I794" i="2"/>
  <c r="J794" i="2" s="1"/>
  <c r="I789" i="2"/>
  <c r="J789" i="2" s="1"/>
  <c r="I786" i="2"/>
  <c r="J786" i="2" s="1"/>
  <c r="I781" i="2"/>
  <c r="J781" i="2" s="1"/>
  <c r="I776" i="2"/>
  <c r="J776" i="2" s="1"/>
  <c r="I768" i="2"/>
  <c r="J768" i="2" s="1"/>
  <c r="I760" i="2"/>
  <c r="J760" i="2" s="1"/>
  <c r="I752" i="2"/>
  <c r="J752" i="2" s="1"/>
  <c r="I744" i="2"/>
  <c r="J744" i="2" s="1"/>
  <c r="I736" i="2"/>
  <c r="J736" i="2" s="1"/>
  <c r="I728" i="2"/>
  <c r="J728" i="2" s="1"/>
  <c r="I723" i="2"/>
  <c r="J723" i="2" s="1"/>
  <c r="I718" i="2"/>
  <c r="J718" i="2" s="1"/>
  <c r="I711" i="2"/>
  <c r="J711" i="2" s="1"/>
  <c r="I706" i="2"/>
  <c r="J706" i="2" s="1"/>
  <c r="I703" i="2"/>
  <c r="J703" i="2" s="1"/>
  <c r="I695" i="2"/>
  <c r="J695" i="2" s="1"/>
  <c r="I685" i="2"/>
  <c r="J685" i="2" s="1"/>
  <c r="I680" i="2"/>
  <c r="J680" i="2" s="1"/>
  <c r="I672" i="2"/>
  <c r="J672" i="2" s="1"/>
  <c r="I664" i="2"/>
  <c r="J664" i="2" s="1"/>
  <c r="I656" i="2"/>
  <c r="J656" i="2" s="1"/>
  <c r="I648" i="2"/>
  <c r="J648" i="2" s="1"/>
  <c r="I640" i="2"/>
  <c r="J640" i="2" s="1"/>
  <c r="I626" i="2"/>
  <c r="J626" i="2" s="1"/>
  <c r="I616" i="2"/>
  <c r="J616" i="2" s="1"/>
  <c r="I608" i="2"/>
  <c r="J608" i="2" s="1"/>
  <c r="I600" i="2"/>
  <c r="J600" i="2" s="1"/>
  <c r="I592" i="2"/>
  <c r="J592" i="2" s="1"/>
  <c r="I584" i="2"/>
  <c r="J584" i="2" s="1"/>
  <c r="I576" i="2"/>
  <c r="J576" i="2" s="1"/>
  <c r="I568" i="2"/>
  <c r="J568" i="2" s="1"/>
  <c r="I560" i="2"/>
  <c r="J560" i="2" s="1"/>
  <c r="I552" i="2"/>
  <c r="J552" i="2" s="1"/>
  <c r="I544" i="2"/>
  <c r="J544" i="2" s="1"/>
  <c r="I536" i="2"/>
  <c r="J536" i="2" s="1"/>
  <c r="I528" i="2"/>
  <c r="J528" i="2" s="1"/>
  <c r="I520" i="2"/>
  <c r="J520" i="2" s="1"/>
  <c r="I512" i="2"/>
  <c r="J512" i="2" s="1"/>
  <c r="I506" i="2"/>
  <c r="J506" i="2" s="1"/>
  <c r="I503" i="2"/>
  <c r="J503" i="2" s="1"/>
  <c r="I870" i="2"/>
  <c r="J870" i="2" s="1"/>
  <c r="I862" i="2"/>
  <c r="J862" i="2" s="1"/>
  <c r="J859" i="2"/>
  <c r="I851" i="2"/>
  <c r="J851" i="2" s="1"/>
  <c r="I842" i="2"/>
  <c r="J842" i="2" s="1"/>
  <c r="I836" i="2"/>
  <c r="J836" i="2" s="1"/>
  <c r="I831" i="2"/>
  <c r="J831" i="2" s="1"/>
  <c r="J820" i="2"/>
  <c r="I817" i="2"/>
  <c r="J817" i="2" s="1"/>
  <c r="I811" i="2"/>
  <c r="J811" i="2" s="1"/>
  <c r="I808" i="2"/>
  <c r="J808" i="2" s="1"/>
  <c r="J783" i="2"/>
  <c r="I773" i="2"/>
  <c r="J773" i="2" s="1"/>
  <c r="I765" i="2"/>
  <c r="J765" i="2" s="1"/>
  <c r="I757" i="2"/>
  <c r="J757" i="2" s="1"/>
  <c r="I749" i="2"/>
  <c r="J749" i="2" s="1"/>
  <c r="I741" i="2"/>
  <c r="J741" i="2" s="1"/>
  <c r="I733" i="2"/>
  <c r="J733" i="2" s="1"/>
  <c r="I725" i="2"/>
  <c r="J725" i="2" s="1"/>
  <c r="I720" i="2"/>
  <c r="J720" i="2" s="1"/>
  <c r="I713" i="2"/>
  <c r="J713" i="2" s="1"/>
  <c r="I708" i="2"/>
  <c r="J708" i="2" s="1"/>
  <c r="I697" i="2"/>
  <c r="J697" i="2" s="1"/>
  <c r="I690" i="2"/>
  <c r="J690" i="2" s="1"/>
  <c r="I687" i="2"/>
  <c r="J687" i="2" s="1"/>
  <c r="I677" i="2"/>
  <c r="J677" i="2" s="1"/>
  <c r="I669" i="2"/>
  <c r="J669" i="2" s="1"/>
  <c r="I661" i="2"/>
  <c r="J661" i="2" s="1"/>
  <c r="I653" i="2"/>
  <c r="J653" i="2" s="1"/>
  <c r="I645" i="2"/>
  <c r="J645" i="2" s="1"/>
  <c r="I637" i="2"/>
  <c r="J637" i="2" s="1"/>
  <c r="I623" i="2"/>
  <c r="J623" i="2" s="1"/>
  <c r="I613" i="2"/>
  <c r="J613" i="2" s="1"/>
  <c r="I605" i="2"/>
  <c r="J605" i="2" s="1"/>
  <c r="I597" i="2"/>
  <c r="J597" i="2" s="1"/>
  <c r="I589" i="2"/>
  <c r="J589" i="2" s="1"/>
  <c r="I581" i="2"/>
  <c r="J581" i="2" s="1"/>
  <c r="I573" i="2"/>
  <c r="J573" i="2" s="1"/>
  <c r="I565" i="2"/>
  <c r="J565" i="2" s="1"/>
  <c r="I557" i="2"/>
  <c r="J557" i="2" s="1"/>
  <c r="I549" i="2"/>
  <c r="J549" i="2" s="1"/>
  <c r="I541" i="2"/>
  <c r="J541" i="2" s="1"/>
  <c r="I533" i="2"/>
  <c r="J533" i="2" s="1"/>
  <c r="I525" i="2"/>
  <c r="J525" i="2" s="1"/>
  <c r="I517" i="2"/>
  <c r="J517" i="2" s="1"/>
  <c r="L870" i="2"/>
  <c r="H869" i="2"/>
  <c r="K858" i="2"/>
  <c r="L851" i="2"/>
  <c r="L844" i="2"/>
  <c r="L832" i="2"/>
  <c r="K823" i="2"/>
  <c r="H811" i="2"/>
  <c r="K801" i="2"/>
  <c r="L789" i="2"/>
  <c r="K764" i="2"/>
  <c r="L736" i="2"/>
  <c r="L719" i="2"/>
  <c r="K511" i="2"/>
  <c r="K515" i="2"/>
  <c r="K519" i="2"/>
  <c r="K523" i="2"/>
  <c r="K540" i="2"/>
  <c r="K544" i="2"/>
  <c r="K548" i="2"/>
  <c r="K552" i="2"/>
  <c r="K617" i="2"/>
  <c r="K633" i="2"/>
  <c r="K649" i="2"/>
  <c r="K653" i="2"/>
  <c r="K657" i="2"/>
  <c r="K661" i="2"/>
  <c r="K665" i="2"/>
  <c r="K669" i="2"/>
  <c r="K673" i="2"/>
  <c r="K677" i="2"/>
  <c r="K681" i="2"/>
  <c r="K686" i="2"/>
  <c r="K690" i="2"/>
  <c r="K504" i="2"/>
  <c r="K507" i="2"/>
  <c r="K527" i="2"/>
  <c r="K531" i="2"/>
  <c r="K535" i="2"/>
  <c r="K539" i="2"/>
  <c r="K556" i="2"/>
  <c r="K560" i="2"/>
  <c r="K564" i="2"/>
  <c r="K568" i="2"/>
  <c r="K572" i="2"/>
  <c r="K576" i="2"/>
  <c r="K580" i="2"/>
  <c r="K584" i="2"/>
  <c r="K588" i="2"/>
  <c r="K592" i="2"/>
  <c r="K596" i="2"/>
  <c r="K600" i="2"/>
  <c r="K604" i="2"/>
  <c r="K608" i="2"/>
  <c r="K612" i="2"/>
  <c r="K621" i="2"/>
  <c r="K629" i="2"/>
  <c r="K636" i="2"/>
  <c r="K640" i="2"/>
  <c r="K644" i="2"/>
  <c r="K685" i="2"/>
  <c r="K694" i="2"/>
  <c r="K698" i="2"/>
  <c r="K510" i="2"/>
  <c r="K514" i="2"/>
  <c r="K518" i="2"/>
  <c r="K522" i="2"/>
  <c r="K543" i="2"/>
  <c r="K547" i="2"/>
  <c r="K551" i="2"/>
  <c r="K555" i="2"/>
  <c r="K616" i="2"/>
  <c r="K625" i="2"/>
  <c r="K632" i="2"/>
  <c r="K648" i="2"/>
  <c r="K652" i="2"/>
  <c r="K656" i="2"/>
  <c r="K660" i="2"/>
  <c r="K664" i="2"/>
  <c r="K668" i="2"/>
  <c r="K672" i="2"/>
  <c r="K676" i="2"/>
  <c r="K680" i="2"/>
  <c r="K689" i="2"/>
  <c r="K693" i="2"/>
  <c r="K503" i="2"/>
  <c r="K526" i="2"/>
  <c r="K530" i="2"/>
  <c r="K534" i="2"/>
  <c r="K538" i="2"/>
  <c r="K559" i="2"/>
  <c r="K563" i="2"/>
  <c r="K567" i="2"/>
  <c r="K571" i="2"/>
  <c r="K575" i="2"/>
  <c r="K579" i="2"/>
  <c r="K583" i="2"/>
  <c r="K587" i="2"/>
  <c r="K591" i="2"/>
  <c r="K595" i="2"/>
  <c r="K599" i="2"/>
  <c r="K603" i="2"/>
  <c r="K607" i="2"/>
  <c r="K611" i="2"/>
  <c r="K615" i="2"/>
  <c r="K620" i="2"/>
  <c r="K628" i="2"/>
  <c r="K635" i="2"/>
  <c r="K639" i="2"/>
  <c r="K643" i="2"/>
  <c r="K684" i="2"/>
  <c r="K705" i="2"/>
  <c r="K506" i="2"/>
  <c r="K509" i="2"/>
  <c r="K513" i="2"/>
  <c r="K517" i="2"/>
  <c r="K521" i="2"/>
  <c r="K542" i="2"/>
  <c r="K546" i="2"/>
  <c r="K550" i="2"/>
  <c r="K554" i="2"/>
  <c r="K619" i="2"/>
  <c r="K624" i="2"/>
  <c r="K631" i="2"/>
  <c r="K647" i="2"/>
  <c r="K651" i="2"/>
  <c r="K655" i="2"/>
  <c r="K659" i="2"/>
  <c r="K663" i="2"/>
  <c r="K667" i="2"/>
  <c r="K671" i="2"/>
  <c r="K675" i="2"/>
  <c r="K679" i="2"/>
  <c r="K683" i="2"/>
  <c r="K688" i="2"/>
  <c r="K692" i="2"/>
  <c r="K697" i="2"/>
  <c r="K700" i="2"/>
  <c r="K525" i="2"/>
  <c r="K529" i="2"/>
  <c r="K533" i="2"/>
  <c r="K537" i="2"/>
  <c r="K558" i="2"/>
  <c r="K562" i="2"/>
  <c r="K566" i="2"/>
  <c r="K570" i="2"/>
  <c r="K574" i="2"/>
  <c r="K578" i="2"/>
  <c r="K582" i="2"/>
  <c r="K586" i="2"/>
  <c r="K590" i="2"/>
  <c r="K594" i="2"/>
  <c r="K598" i="2"/>
  <c r="K602" i="2"/>
  <c r="K606" i="2"/>
  <c r="K610" i="2"/>
  <c r="K614" i="2"/>
  <c r="K623" i="2"/>
  <c r="K627" i="2"/>
  <c r="K634" i="2"/>
  <c r="K638" i="2"/>
  <c r="K642" i="2"/>
  <c r="K505" i="2"/>
  <c r="K512" i="2"/>
  <c r="K516" i="2"/>
  <c r="K520" i="2"/>
  <c r="K541" i="2"/>
  <c r="K545" i="2"/>
  <c r="K549" i="2"/>
  <c r="K553" i="2"/>
  <c r="K618" i="2"/>
  <c r="K630" i="2"/>
  <c r="K646" i="2"/>
  <c r="K650" i="2"/>
  <c r="K654" i="2"/>
  <c r="K658" i="2"/>
  <c r="K662" i="2"/>
  <c r="K666" i="2"/>
  <c r="K670" i="2"/>
  <c r="K674" i="2"/>
  <c r="K678" i="2"/>
  <c r="K682" i="2"/>
  <c r="K687" i="2"/>
  <c r="K691" i="2"/>
  <c r="K696" i="2"/>
  <c r="K508" i="2"/>
  <c r="K524" i="2"/>
  <c r="K528" i="2"/>
  <c r="K532" i="2"/>
  <c r="K536" i="2"/>
  <c r="K557" i="2"/>
  <c r="K561" i="2"/>
  <c r="K565" i="2"/>
  <c r="K569" i="2"/>
  <c r="K573" i="2"/>
  <c r="K577" i="2"/>
  <c r="K581" i="2"/>
  <c r="K585" i="2"/>
  <c r="K589" i="2"/>
  <c r="K593" i="2"/>
  <c r="K597" i="2"/>
  <c r="K601" i="2"/>
  <c r="K605" i="2"/>
  <c r="K609" i="2"/>
  <c r="K613" i="2"/>
  <c r="K622" i="2"/>
  <c r="K626" i="2"/>
  <c r="K637" i="2"/>
  <c r="K641" i="2"/>
  <c r="K645" i="2"/>
  <c r="K695" i="2"/>
  <c r="K699" i="2"/>
  <c r="K703" i="2"/>
  <c r="K707" i="2"/>
  <c r="K713" i="2"/>
  <c r="K722" i="2"/>
  <c r="K723" i="2"/>
  <c r="K727" i="2"/>
  <c r="K731" i="2"/>
  <c r="K735" i="2"/>
  <c r="K739" i="2"/>
  <c r="K743" i="2"/>
  <c r="K780" i="2"/>
  <c r="K797" i="2"/>
  <c r="K818" i="2"/>
  <c r="K826" i="2"/>
  <c r="K701" i="2"/>
  <c r="K704" i="2"/>
  <c r="K712" i="2"/>
  <c r="K717" i="2"/>
  <c r="K747" i="2"/>
  <c r="K751" i="2"/>
  <c r="K755" i="2"/>
  <c r="K759" i="2"/>
  <c r="K763" i="2"/>
  <c r="K767" i="2"/>
  <c r="K771" i="2"/>
  <c r="K775" i="2"/>
  <c r="K784" i="2"/>
  <c r="K788" i="2"/>
  <c r="K792" i="2"/>
  <c r="K804" i="2"/>
  <c r="K808" i="2"/>
  <c r="K811" i="2"/>
  <c r="K814" i="2"/>
  <c r="K822" i="2"/>
  <c r="K830" i="2"/>
  <c r="K834" i="2"/>
  <c r="K838" i="2"/>
  <c r="K839" i="2"/>
  <c r="K850" i="2"/>
  <c r="K857" i="2"/>
  <c r="K861" i="2"/>
  <c r="K865" i="2"/>
  <c r="K869" i="2"/>
  <c r="K721" i="2"/>
  <c r="K726" i="2"/>
  <c r="K730" i="2"/>
  <c r="K734" i="2"/>
  <c r="K738" i="2"/>
  <c r="K742" i="2"/>
  <c r="K746" i="2"/>
  <c r="K779" i="2"/>
  <c r="K796" i="2"/>
  <c r="K800" i="2"/>
  <c r="K807" i="2"/>
  <c r="K849" i="2"/>
  <c r="K853" i="2"/>
  <c r="K706" i="2"/>
  <c r="K710" i="2"/>
  <c r="K711" i="2"/>
  <c r="K716" i="2"/>
  <c r="K750" i="2"/>
  <c r="K754" i="2"/>
  <c r="K758" i="2"/>
  <c r="K762" i="2"/>
  <c r="K766" i="2"/>
  <c r="K770" i="2"/>
  <c r="K774" i="2"/>
  <c r="K778" i="2"/>
  <c r="K783" i="2"/>
  <c r="K787" i="2"/>
  <c r="K791" i="2"/>
  <c r="K803" i="2"/>
  <c r="K817" i="2"/>
  <c r="K821" i="2"/>
  <c r="K825" i="2"/>
  <c r="K829" i="2"/>
  <c r="K837" i="2"/>
  <c r="K842" i="2"/>
  <c r="K845" i="2"/>
  <c r="K856" i="2"/>
  <c r="K860" i="2"/>
  <c r="K864" i="2"/>
  <c r="K709" i="2"/>
  <c r="K720" i="2"/>
  <c r="K725" i="2"/>
  <c r="K729" i="2"/>
  <c r="K733" i="2"/>
  <c r="K737" i="2"/>
  <c r="K741" i="2"/>
  <c r="K745" i="2"/>
  <c r="K782" i="2"/>
  <c r="K790" i="2"/>
  <c r="K795" i="2"/>
  <c r="K799" i="2"/>
  <c r="K806" i="2"/>
  <c r="K810" i="2"/>
  <c r="K813" i="2"/>
  <c r="K828" i="2"/>
  <c r="K833" i="2"/>
  <c r="K848" i="2"/>
  <c r="K852" i="2"/>
  <c r="K715" i="2"/>
  <c r="K749" i="2"/>
  <c r="K753" i="2"/>
  <c r="K757" i="2"/>
  <c r="K761" i="2"/>
  <c r="K765" i="2"/>
  <c r="K769" i="2"/>
  <c r="K773" i="2"/>
  <c r="K777" i="2"/>
  <c r="K786" i="2"/>
  <c r="K802" i="2"/>
  <c r="K816" i="2"/>
  <c r="K820" i="2"/>
  <c r="K824" i="2"/>
  <c r="K841" i="2"/>
  <c r="K847" i="2"/>
  <c r="K702" i="2"/>
  <c r="K714" i="2"/>
  <c r="K719" i="2"/>
  <c r="K724" i="2"/>
  <c r="K728" i="2"/>
  <c r="K732" i="2"/>
  <c r="K736" i="2"/>
  <c r="K740" i="2"/>
  <c r="K744" i="2"/>
  <c r="K781" i="2"/>
  <c r="K789" i="2"/>
  <c r="K794" i="2"/>
  <c r="K798" i="2"/>
  <c r="K805" i="2"/>
  <c r="K809" i="2"/>
  <c r="K815" i="2"/>
  <c r="K819" i="2"/>
  <c r="K827" i="2"/>
  <c r="K832" i="2"/>
  <c r="K836" i="2"/>
  <c r="K844" i="2"/>
  <c r="K855" i="2"/>
  <c r="K859" i="2"/>
  <c r="K863" i="2"/>
  <c r="K870" i="2"/>
  <c r="H867" i="2"/>
  <c r="L863" i="2"/>
  <c r="K851" i="2"/>
  <c r="L836" i="2"/>
  <c r="K793" i="2"/>
  <c r="H771" i="2"/>
  <c r="H755" i="2"/>
  <c r="K708" i="2"/>
  <c r="L508" i="2"/>
  <c r="L524" i="2"/>
  <c r="L528" i="2"/>
  <c r="L532" i="2"/>
  <c r="L536" i="2"/>
  <c r="L557" i="2"/>
  <c r="L561" i="2"/>
  <c r="L565" i="2"/>
  <c r="L569" i="2"/>
  <c r="L573" i="2"/>
  <c r="L577" i="2"/>
  <c r="L581" i="2"/>
  <c r="L585" i="2"/>
  <c r="L589" i="2"/>
  <c r="L593" i="2"/>
  <c r="L597" i="2"/>
  <c r="L601" i="2"/>
  <c r="L605" i="2"/>
  <c r="L609" i="2"/>
  <c r="L613" i="2"/>
  <c r="L622" i="2"/>
  <c r="L626" i="2"/>
  <c r="L637" i="2"/>
  <c r="L641" i="2"/>
  <c r="L645" i="2"/>
  <c r="L695" i="2"/>
  <c r="L699" i="2"/>
  <c r="L511" i="2"/>
  <c r="L515" i="2"/>
  <c r="L519" i="2"/>
  <c r="L523" i="2"/>
  <c r="L540" i="2"/>
  <c r="L544" i="2"/>
  <c r="L548" i="2"/>
  <c r="L552" i="2"/>
  <c r="L617" i="2"/>
  <c r="L633" i="2"/>
  <c r="L649" i="2"/>
  <c r="L653" i="2"/>
  <c r="L657" i="2"/>
  <c r="L661" i="2"/>
  <c r="L665" i="2"/>
  <c r="L669" i="2"/>
  <c r="L673" i="2"/>
  <c r="L677" i="2"/>
  <c r="L681" i="2"/>
  <c r="L686" i="2"/>
  <c r="L690" i="2"/>
  <c r="L504" i="2"/>
  <c r="L507" i="2"/>
  <c r="L527" i="2"/>
  <c r="L531" i="2"/>
  <c r="L535" i="2"/>
  <c r="L539" i="2"/>
  <c r="L556" i="2"/>
  <c r="L560" i="2"/>
  <c r="L564" i="2"/>
  <c r="L568" i="2"/>
  <c r="L572" i="2"/>
  <c r="L576" i="2"/>
  <c r="L580" i="2"/>
  <c r="L584" i="2"/>
  <c r="L588" i="2"/>
  <c r="L592" i="2"/>
  <c r="L596" i="2"/>
  <c r="L600" i="2"/>
  <c r="L604" i="2"/>
  <c r="L608" i="2"/>
  <c r="L612" i="2"/>
  <c r="L621" i="2"/>
  <c r="L629" i="2"/>
  <c r="L636" i="2"/>
  <c r="L640" i="2"/>
  <c r="L644" i="2"/>
  <c r="L685" i="2"/>
  <c r="L694" i="2"/>
  <c r="L510" i="2"/>
  <c r="L514" i="2"/>
  <c r="L518" i="2"/>
  <c r="L522" i="2"/>
  <c r="L543" i="2"/>
  <c r="L547" i="2"/>
  <c r="L551" i="2"/>
  <c r="L555" i="2"/>
  <c r="L616" i="2"/>
  <c r="L625" i="2"/>
  <c r="L632" i="2"/>
  <c r="L648" i="2"/>
  <c r="L652" i="2"/>
  <c r="L656" i="2"/>
  <c r="L660" i="2"/>
  <c r="L664" i="2"/>
  <c r="L668" i="2"/>
  <c r="L672" i="2"/>
  <c r="L676" i="2"/>
  <c r="L680" i="2"/>
  <c r="L689" i="2"/>
  <c r="L693" i="2"/>
  <c r="L701" i="2"/>
  <c r="L503" i="2"/>
  <c r="L526" i="2"/>
  <c r="L530" i="2"/>
  <c r="L534" i="2"/>
  <c r="L538" i="2"/>
  <c r="L559" i="2"/>
  <c r="L563" i="2"/>
  <c r="L567" i="2"/>
  <c r="L571" i="2"/>
  <c r="L575" i="2"/>
  <c r="L579" i="2"/>
  <c r="L583" i="2"/>
  <c r="L587" i="2"/>
  <c r="L591" i="2"/>
  <c r="L595" i="2"/>
  <c r="L599" i="2"/>
  <c r="L603" i="2"/>
  <c r="L607" i="2"/>
  <c r="L611" i="2"/>
  <c r="L615" i="2"/>
  <c r="L620" i="2"/>
  <c r="L628" i="2"/>
  <c r="L635" i="2"/>
  <c r="L639" i="2"/>
  <c r="L643" i="2"/>
  <c r="L684" i="2"/>
  <c r="L506" i="2"/>
  <c r="L509" i="2"/>
  <c r="L513" i="2"/>
  <c r="L517" i="2"/>
  <c r="L521" i="2"/>
  <c r="L542" i="2"/>
  <c r="L546" i="2"/>
  <c r="L550" i="2"/>
  <c r="L554" i="2"/>
  <c r="L619" i="2"/>
  <c r="L624" i="2"/>
  <c r="L631" i="2"/>
  <c r="L647" i="2"/>
  <c r="L651" i="2"/>
  <c r="L655" i="2"/>
  <c r="L659" i="2"/>
  <c r="L663" i="2"/>
  <c r="L667" i="2"/>
  <c r="L671" i="2"/>
  <c r="L675" i="2"/>
  <c r="L679" i="2"/>
  <c r="L683" i="2"/>
  <c r="L688" i="2"/>
  <c r="L692" i="2"/>
  <c r="L525" i="2"/>
  <c r="L529" i="2"/>
  <c r="L533" i="2"/>
  <c r="L537" i="2"/>
  <c r="L558" i="2"/>
  <c r="L562" i="2"/>
  <c r="L566" i="2"/>
  <c r="L570" i="2"/>
  <c r="L574" i="2"/>
  <c r="L578" i="2"/>
  <c r="L582" i="2"/>
  <c r="L586" i="2"/>
  <c r="L590" i="2"/>
  <c r="L594" i="2"/>
  <c r="L598" i="2"/>
  <c r="L602" i="2"/>
  <c r="L606" i="2"/>
  <c r="L610" i="2"/>
  <c r="L614" i="2"/>
  <c r="L623" i="2"/>
  <c r="L627" i="2"/>
  <c r="L634" i="2"/>
  <c r="L638" i="2"/>
  <c r="L642" i="2"/>
  <c r="L704" i="2"/>
  <c r="L505" i="2"/>
  <c r="L512" i="2"/>
  <c r="L516" i="2"/>
  <c r="L520" i="2"/>
  <c r="L541" i="2"/>
  <c r="L545" i="2"/>
  <c r="L549" i="2"/>
  <c r="L553" i="2"/>
  <c r="L618" i="2"/>
  <c r="L630" i="2"/>
  <c r="L646" i="2"/>
  <c r="L650" i="2"/>
  <c r="L654" i="2"/>
  <c r="L658" i="2"/>
  <c r="L662" i="2"/>
  <c r="L666" i="2"/>
  <c r="L670" i="2"/>
  <c r="L674" i="2"/>
  <c r="L678" i="2"/>
  <c r="L682" i="2"/>
  <c r="L687" i="2"/>
  <c r="L691" i="2"/>
  <c r="L696" i="2"/>
  <c r="L708" i="2"/>
  <c r="L718" i="2"/>
  <c r="L748" i="2"/>
  <c r="L752" i="2"/>
  <c r="L756" i="2"/>
  <c r="L760" i="2"/>
  <c r="L764" i="2"/>
  <c r="L768" i="2"/>
  <c r="L772" i="2"/>
  <c r="L776" i="2"/>
  <c r="L785" i="2"/>
  <c r="L793" i="2"/>
  <c r="L801" i="2"/>
  <c r="L812" i="2"/>
  <c r="L823" i="2"/>
  <c r="L697" i="2"/>
  <c r="L707" i="2"/>
  <c r="L713" i="2"/>
  <c r="L722" i="2"/>
  <c r="L723" i="2"/>
  <c r="L727" i="2"/>
  <c r="L731" i="2"/>
  <c r="L735" i="2"/>
  <c r="L739" i="2"/>
  <c r="L743" i="2"/>
  <c r="L780" i="2"/>
  <c r="L797" i="2"/>
  <c r="L818" i="2"/>
  <c r="L826" i="2"/>
  <c r="L831" i="2"/>
  <c r="L835" i="2"/>
  <c r="L840" i="2"/>
  <c r="L843" i="2"/>
  <c r="L846" i="2"/>
  <c r="L854" i="2"/>
  <c r="L712" i="2"/>
  <c r="L717" i="2"/>
  <c r="L747" i="2"/>
  <c r="L751" i="2"/>
  <c r="L755" i="2"/>
  <c r="L759" i="2"/>
  <c r="L763" i="2"/>
  <c r="L767" i="2"/>
  <c r="L771" i="2"/>
  <c r="L775" i="2"/>
  <c r="L784" i="2"/>
  <c r="L788" i="2"/>
  <c r="L792" i="2"/>
  <c r="L804" i="2"/>
  <c r="L808" i="2"/>
  <c r="L811" i="2"/>
  <c r="L814" i="2"/>
  <c r="L822" i="2"/>
  <c r="L830" i="2"/>
  <c r="L834" i="2"/>
  <c r="L838" i="2"/>
  <c r="L839" i="2"/>
  <c r="L850" i="2"/>
  <c r="L857" i="2"/>
  <c r="L721" i="2"/>
  <c r="L726" i="2"/>
  <c r="L730" i="2"/>
  <c r="L734" i="2"/>
  <c r="L738" i="2"/>
  <c r="L742" i="2"/>
  <c r="L746" i="2"/>
  <c r="L779" i="2"/>
  <c r="L796" i="2"/>
  <c r="L800" i="2"/>
  <c r="L807" i="2"/>
  <c r="L849" i="2"/>
  <c r="L853" i="2"/>
  <c r="L698" i="2"/>
  <c r="L700" i="2"/>
  <c r="L703" i="2"/>
  <c r="L706" i="2"/>
  <c r="L710" i="2"/>
  <c r="L711" i="2"/>
  <c r="L716" i="2"/>
  <c r="L750" i="2"/>
  <c r="L754" i="2"/>
  <c r="L758" i="2"/>
  <c r="L762" i="2"/>
  <c r="L766" i="2"/>
  <c r="L770" i="2"/>
  <c r="L774" i="2"/>
  <c r="L778" i="2"/>
  <c r="L783" i="2"/>
  <c r="L787" i="2"/>
  <c r="L791" i="2"/>
  <c r="L803" i="2"/>
  <c r="L817" i="2"/>
  <c r="L821" i="2"/>
  <c r="L825" i="2"/>
  <c r="L829" i="2"/>
  <c r="L837" i="2"/>
  <c r="L842" i="2"/>
  <c r="L845" i="2"/>
  <c r="L856" i="2"/>
  <c r="L860" i="2"/>
  <c r="L864" i="2"/>
  <c r="L868" i="2"/>
  <c r="L709" i="2"/>
  <c r="L720" i="2"/>
  <c r="L725" i="2"/>
  <c r="L729" i="2"/>
  <c r="L733" i="2"/>
  <c r="L737" i="2"/>
  <c r="L741" i="2"/>
  <c r="L745" i="2"/>
  <c r="L782" i="2"/>
  <c r="L790" i="2"/>
  <c r="L795" i="2"/>
  <c r="L799" i="2"/>
  <c r="L806" i="2"/>
  <c r="L810" i="2"/>
  <c r="L813" i="2"/>
  <c r="L828" i="2"/>
  <c r="L833" i="2"/>
  <c r="L848" i="2"/>
  <c r="L852" i="2"/>
  <c r="L705" i="2"/>
  <c r="L715" i="2"/>
  <c r="L749" i="2"/>
  <c r="L753" i="2"/>
  <c r="L757" i="2"/>
  <c r="L761" i="2"/>
  <c r="L765" i="2"/>
  <c r="L769" i="2"/>
  <c r="L773" i="2"/>
  <c r="L777" i="2"/>
  <c r="L786" i="2"/>
  <c r="L802" i="2"/>
  <c r="L816" i="2"/>
  <c r="L820" i="2"/>
  <c r="L824" i="2"/>
  <c r="L841" i="2"/>
  <c r="L847" i="2"/>
  <c r="L867" i="2"/>
  <c r="L865" i="2"/>
  <c r="L859" i="2"/>
  <c r="L855" i="2"/>
  <c r="H849" i="2"/>
  <c r="H830" i="2"/>
  <c r="H784" i="2"/>
  <c r="K768" i="2"/>
  <c r="K752" i="2"/>
  <c r="L728" i="2"/>
  <c r="H717" i="2"/>
  <c r="H699" i="2"/>
  <c r="H870" i="2"/>
  <c r="K868" i="2"/>
  <c r="L861" i="2"/>
  <c r="H853" i="2"/>
  <c r="K846" i="2"/>
  <c r="H834" i="2"/>
  <c r="L815" i="2"/>
  <c r="K812" i="2"/>
  <c r="L805" i="2"/>
  <c r="H775" i="2"/>
  <c r="H759" i="2"/>
  <c r="L740" i="2"/>
  <c r="L866" i="2"/>
  <c r="H865" i="2"/>
  <c r="K843" i="2"/>
  <c r="K840" i="2"/>
  <c r="K831" i="2"/>
  <c r="L827" i="2"/>
  <c r="H788" i="2"/>
  <c r="L781" i="2"/>
  <c r="K772" i="2"/>
  <c r="K756" i="2"/>
  <c r="L714" i="2"/>
  <c r="H701" i="2"/>
  <c r="K866" i="2"/>
  <c r="H861" i="2"/>
  <c r="H857" i="2"/>
  <c r="H838" i="2"/>
  <c r="K835" i="2"/>
  <c r="H822" i="2"/>
  <c r="L809" i="2"/>
  <c r="L794" i="2"/>
  <c r="K785" i="2"/>
  <c r="H779" i="2"/>
  <c r="H763" i="2"/>
  <c r="H747" i="2"/>
  <c r="L732" i="2"/>
  <c r="K718" i="2"/>
  <c r="H510" i="2"/>
  <c r="H514" i="2"/>
  <c r="H518" i="2"/>
  <c r="H522" i="2"/>
  <c r="H543" i="2"/>
  <c r="H547" i="2"/>
  <c r="H551" i="2"/>
  <c r="H555" i="2"/>
  <c r="H620" i="2"/>
  <c r="H625" i="2"/>
  <c r="H632" i="2"/>
  <c r="H648" i="2"/>
  <c r="H652" i="2"/>
  <c r="H656" i="2"/>
  <c r="H660" i="2"/>
  <c r="H664" i="2"/>
  <c r="H668" i="2"/>
  <c r="H672" i="2"/>
  <c r="H676" i="2"/>
  <c r="H680" i="2"/>
  <c r="H684" i="2"/>
  <c r="H689" i="2"/>
  <c r="H693" i="2"/>
  <c r="H503" i="2"/>
  <c r="H526" i="2"/>
  <c r="H530" i="2"/>
  <c r="H534" i="2"/>
  <c r="H538" i="2"/>
  <c r="H559" i="2"/>
  <c r="H563" i="2"/>
  <c r="H567" i="2"/>
  <c r="H571" i="2"/>
  <c r="H575" i="2"/>
  <c r="H579" i="2"/>
  <c r="H583" i="2"/>
  <c r="H587" i="2"/>
  <c r="H591" i="2"/>
  <c r="H595" i="2"/>
  <c r="H599" i="2"/>
  <c r="H603" i="2"/>
  <c r="N603" i="2" s="1"/>
  <c r="H607" i="2"/>
  <c r="H611" i="2"/>
  <c r="H615" i="2"/>
  <c r="H624" i="2"/>
  <c r="H628" i="2"/>
  <c r="H635" i="2"/>
  <c r="H639" i="2"/>
  <c r="H643" i="2"/>
  <c r="H688" i="2"/>
  <c r="H506" i="2"/>
  <c r="H509" i="2"/>
  <c r="H513" i="2"/>
  <c r="H517" i="2"/>
  <c r="H521" i="2"/>
  <c r="H542" i="2"/>
  <c r="H546" i="2"/>
  <c r="H550" i="2"/>
  <c r="H554" i="2"/>
  <c r="H619" i="2"/>
  <c r="H631" i="2"/>
  <c r="H647" i="2"/>
  <c r="H651" i="2"/>
  <c r="H655" i="2"/>
  <c r="H659" i="2"/>
  <c r="H663" i="2"/>
  <c r="H667" i="2"/>
  <c r="H671" i="2"/>
  <c r="H675" i="2"/>
  <c r="H679" i="2"/>
  <c r="H683" i="2"/>
  <c r="H692" i="2"/>
  <c r="H697" i="2"/>
  <c r="H525" i="2"/>
  <c r="H529" i="2"/>
  <c r="H533" i="2"/>
  <c r="H537" i="2"/>
  <c r="H558" i="2"/>
  <c r="H562" i="2"/>
  <c r="H566" i="2"/>
  <c r="H570" i="2"/>
  <c r="H574" i="2"/>
  <c r="H578" i="2"/>
  <c r="H582" i="2"/>
  <c r="H586" i="2"/>
  <c r="H590" i="2"/>
  <c r="H594" i="2"/>
  <c r="H598" i="2"/>
  <c r="H602" i="2"/>
  <c r="H606" i="2"/>
  <c r="H610" i="2"/>
  <c r="H614" i="2"/>
  <c r="H618" i="2"/>
  <c r="H623" i="2"/>
  <c r="H627" i="2"/>
  <c r="H634" i="2"/>
  <c r="H638" i="2"/>
  <c r="H642" i="2"/>
  <c r="H696" i="2"/>
  <c r="H505" i="2"/>
  <c r="H508" i="2"/>
  <c r="H512" i="2"/>
  <c r="H516" i="2"/>
  <c r="H520" i="2"/>
  <c r="H541" i="2"/>
  <c r="H545" i="2"/>
  <c r="H549" i="2"/>
  <c r="H553" i="2"/>
  <c r="H622" i="2"/>
  <c r="H630" i="2"/>
  <c r="H646" i="2"/>
  <c r="H650" i="2"/>
  <c r="H654" i="2"/>
  <c r="H658" i="2"/>
  <c r="H662" i="2"/>
  <c r="H666" i="2"/>
  <c r="H670" i="2"/>
  <c r="H674" i="2"/>
  <c r="H678" i="2"/>
  <c r="H682" i="2"/>
  <c r="H687" i="2"/>
  <c r="H691" i="2"/>
  <c r="H524" i="2"/>
  <c r="H528" i="2"/>
  <c r="H532" i="2"/>
  <c r="H536" i="2"/>
  <c r="H557" i="2"/>
  <c r="H561" i="2"/>
  <c r="H565" i="2"/>
  <c r="H569" i="2"/>
  <c r="H573" i="2"/>
  <c r="H577" i="2"/>
  <c r="H581" i="2"/>
  <c r="H585" i="2"/>
  <c r="H589" i="2"/>
  <c r="H593" i="2"/>
  <c r="H597" i="2"/>
  <c r="H601" i="2"/>
  <c r="H605" i="2"/>
  <c r="H609" i="2"/>
  <c r="H613" i="2"/>
  <c r="H626" i="2"/>
  <c r="H637" i="2"/>
  <c r="H641" i="2"/>
  <c r="H645" i="2"/>
  <c r="H686" i="2"/>
  <c r="H690" i="2"/>
  <c r="H695" i="2"/>
  <c r="H504" i="2"/>
  <c r="H511" i="2"/>
  <c r="N511" i="2" s="1"/>
  <c r="H515" i="2"/>
  <c r="H519" i="2"/>
  <c r="H523" i="2"/>
  <c r="H540" i="2"/>
  <c r="H544" i="2"/>
  <c r="H548" i="2"/>
  <c r="H552" i="2"/>
  <c r="H617" i="2"/>
  <c r="N617" i="2" s="1"/>
  <c r="H633" i="2"/>
  <c r="H649" i="2"/>
  <c r="H653" i="2"/>
  <c r="H657" i="2"/>
  <c r="H661" i="2"/>
  <c r="H665" i="2"/>
  <c r="H669" i="2"/>
  <c r="H673" i="2"/>
  <c r="H677" i="2"/>
  <c r="H681" i="2"/>
  <c r="H694" i="2"/>
  <c r="H702" i="2"/>
  <c r="H507" i="2"/>
  <c r="H527" i="2"/>
  <c r="H531" i="2"/>
  <c r="H535" i="2"/>
  <c r="H539" i="2"/>
  <c r="H556" i="2"/>
  <c r="H560" i="2"/>
  <c r="H564" i="2"/>
  <c r="H568" i="2"/>
  <c r="H572" i="2"/>
  <c r="H576" i="2"/>
  <c r="H580" i="2"/>
  <c r="H584" i="2"/>
  <c r="H588" i="2"/>
  <c r="H592" i="2"/>
  <c r="H596" i="2"/>
  <c r="H600" i="2"/>
  <c r="H604" i="2"/>
  <c r="H608" i="2"/>
  <c r="N608" i="2" s="1"/>
  <c r="H612" i="2"/>
  <c r="H616" i="2"/>
  <c r="H621" i="2"/>
  <c r="H629" i="2"/>
  <c r="H636" i="2"/>
  <c r="H640" i="2"/>
  <c r="H644" i="2"/>
  <c r="H685" i="2"/>
  <c r="H698" i="2"/>
  <c r="H706" i="2"/>
  <c r="H711" i="2"/>
  <c r="H721" i="2"/>
  <c r="H726" i="2"/>
  <c r="H730" i="2"/>
  <c r="H734" i="2"/>
  <c r="H738" i="2"/>
  <c r="H742" i="2"/>
  <c r="H746" i="2"/>
  <c r="H783" i="2"/>
  <c r="H791" i="2"/>
  <c r="H796" i="2"/>
  <c r="H800" i="2"/>
  <c r="H803" i="2"/>
  <c r="H821" i="2"/>
  <c r="H825" i="2"/>
  <c r="H710" i="2"/>
  <c r="H716" i="2"/>
  <c r="H750" i="2"/>
  <c r="H754" i="2"/>
  <c r="H758" i="2"/>
  <c r="H762" i="2"/>
  <c r="H766" i="2"/>
  <c r="H770" i="2"/>
  <c r="H774" i="2"/>
  <c r="H778" i="2"/>
  <c r="H787" i="2"/>
  <c r="H817" i="2"/>
  <c r="H833" i="2"/>
  <c r="H837" i="2"/>
  <c r="H842" i="2"/>
  <c r="H845" i="2"/>
  <c r="H848" i="2"/>
  <c r="H856" i="2"/>
  <c r="H860" i="2"/>
  <c r="H864" i="2"/>
  <c r="H868" i="2"/>
  <c r="H700" i="2"/>
  <c r="H703" i="2"/>
  <c r="H709" i="2"/>
  <c r="H715" i="2"/>
  <c r="H720" i="2"/>
  <c r="H725" i="2"/>
  <c r="H729" i="2"/>
  <c r="H733" i="2"/>
  <c r="H737" i="2"/>
  <c r="H741" i="2"/>
  <c r="H745" i="2"/>
  <c r="H782" i="2"/>
  <c r="H790" i="2"/>
  <c r="H795" i="2"/>
  <c r="H799" i="2"/>
  <c r="H806" i="2"/>
  <c r="H810" i="2"/>
  <c r="H813" i="2"/>
  <c r="H816" i="2"/>
  <c r="H820" i="2"/>
  <c r="H828" i="2"/>
  <c r="H852" i="2"/>
  <c r="H719" i="2"/>
  <c r="H749" i="2"/>
  <c r="H753" i="2"/>
  <c r="H757" i="2"/>
  <c r="H761" i="2"/>
  <c r="H765" i="2"/>
  <c r="H769" i="2"/>
  <c r="H773" i="2"/>
  <c r="H777" i="2"/>
  <c r="H786" i="2"/>
  <c r="H802" i="2"/>
  <c r="H824" i="2"/>
  <c r="H827" i="2"/>
  <c r="H841" i="2"/>
  <c r="H847" i="2"/>
  <c r="H855" i="2"/>
  <c r="H859" i="2"/>
  <c r="H863" i="2"/>
  <c r="H705" i="2"/>
  <c r="H708" i="2"/>
  <c r="H714" i="2"/>
  <c r="H724" i="2"/>
  <c r="H728" i="2"/>
  <c r="H732" i="2"/>
  <c r="H736" i="2"/>
  <c r="H740" i="2"/>
  <c r="H744" i="2"/>
  <c r="H781" i="2"/>
  <c r="H789" i="2"/>
  <c r="H794" i="2"/>
  <c r="H798" i="2"/>
  <c r="H805" i="2"/>
  <c r="H809" i="2"/>
  <c r="H815" i="2"/>
  <c r="H819" i="2"/>
  <c r="H832" i="2"/>
  <c r="H836" i="2"/>
  <c r="H844" i="2"/>
  <c r="H851" i="2"/>
  <c r="H713" i="2"/>
  <c r="H718" i="2"/>
  <c r="H723" i="2"/>
  <c r="H748" i="2"/>
  <c r="H752" i="2"/>
  <c r="H756" i="2"/>
  <c r="H760" i="2"/>
  <c r="H764" i="2"/>
  <c r="H768" i="2"/>
  <c r="H772" i="2"/>
  <c r="H776" i="2"/>
  <c r="H785" i="2"/>
  <c r="H793" i="2"/>
  <c r="H801" i="2"/>
  <c r="H812" i="2"/>
  <c r="H823" i="2"/>
  <c r="H831" i="2"/>
  <c r="H835" i="2"/>
  <c r="H840" i="2"/>
  <c r="H858" i="2"/>
  <c r="H862" i="2"/>
  <c r="H704" i="2"/>
  <c r="H722" i="2"/>
  <c r="H727" i="2"/>
  <c r="H731" i="2"/>
  <c r="H735" i="2"/>
  <c r="H739" i="2"/>
  <c r="H743" i="2"/>
  <c r="H780" i="2"/>
  <c r="H797" i="2"/>
  <c r="H808" i="2"/>
  <c r="H818" i="2"/>
  <c r="H826" i="2"/>
  <c r="H839" i="2"/>
  <c r="H843" i="2"/>
  <c r="H846" i="2"/>
  <c r="H850" i="2"/>
  <c r="H854" i="2"/>
  <c r="L869" i="2"/>
  <c r="L862" i="2"/>
  <c r="K854" i="2"/>
  <c r="H829" i="2"/>
  <c r="H807" i="2"/>
  <c r="H792" i="2"/>
  <c r="K776" i="2"/>
  <c r="K760" i="2"/>
  <c r="L744" i="2"/>
  <c r="L702" i="2"/>
  <c r="K867" i="2"/>
  <c r="H866" i="2"/>
  <c r="K862" i="2"/>
  <c r="L858" i="2"/>
  <c r="L819" i="2"/>
  <c r="H814" i="2"/>
  <c r="H804" i="2"/>
  <c r="H767" i="2"/>
  <c r="H751" i="2"/>
  <c r="L724" i="2"/>
  <c r="H707" i="2"/>
  <c r="I6" i="2"/>
  <c r="J6" i="2" s="1"/>
  <c r="I7" i="2"/>
  <c r="I8" i="2"/>
  <c r="J8" i="2" s="1"/>
  <c r="I9" i="2"/>
  <c r="J9" i="2" s="1"/>
  <c r="I10" i="2"/>
  <c r="J10" i="2" s="1"/>
  <c r="I11" i="2"/>
  <c r="J11" i="2" s="1"/>
  <c r="I12" i="2"/>
  <c r="J12" i="2" s="1"/>
  <c r="I13" i="2"/>
  <c r="J13" i="2" s="1"/>
  <c r="I14" i="2"/>
  <c r="J14" i="2" s="1"/>
  <c r="I15" i="2"/>
  <c r="J15" i="2" s="1"/>
  <c r="I16" i="2"/>
  <c r="J16" i="2" s="1"/>
  <c r="I17" i="2"/>
  <c r="J17" i="2" s="1"/>
  <c r="I18" i="2"/>
  <c r="J18" i="2" s="1"/>
  <c r="I19" i="2"/>
  <c r="J19" i="2" s="1"/>
  <c r="I20" i="2"/>
  <c r="J20" i="2" s="1"/>
  <c r="I21" i="2"/>
  <c r="J21" i="2" s="1"/>
  <c r="I22" i="2"/>
  <c r="J22" i="2" s="1"/>
  <c r="I23" i="2"/>
  <c r="J23" i="2" s="1"/>
  <c r="I24" i="2"/>
  <c r="J24" i="2" s="1"/>
  <c r="I25" i="2"/>
  <c r="J25" i="2" s="1"/>
  <c r="I26" i="2"/>
  <c r="J26" i="2" s="1"/>
  <c r="I27" i="2"/>
  <c r="J27" i="2" s="1"/>
  <c r="I28" i="2"/>
  <c r="J28" i="2" s="1"/>
  <c r="I29" i="2"/>
  <c r="J29" i="2" s="1"/>
  <c r="I30" i="2"/>
  <c r="J30" i="2" s="1"/>
  <c r="I31" i="2"/>
  <c r="J31" i="2" s="1"/>
  <c r="I32" i="2"/>
  <c r="J32" i="2" s="1"/>
  <c r="I33" i="2"/>
  <c r="J33" i="2" s="1"/>
  <c r="I34" i="2"/>
  <c r="J34" i="2" s="1"/>
  <c r="I35" i="2"/>
  <c r="J35" i="2" s="1"/>
  <c r="I36" i="2"/>
  <c r="J36" i="2" s="1"/>
  <c r="I37" i="2"/>
  <c r="J37" i="2" s="1"/>
  <c r="I38" i="2"/>
  <c r="I39" i="2"/>
  <c r="J39" i="2" s="1"/>
  <c r="I40" i="2"/>
  <c r="J40" i="2" s="1"/>
  <c r="I41" i="2"/>
  <c r="J41" i="2" s="1"/>
  <c r="I42" i="2"/>
  <c r="J42" i="2" s="1"/>
  <c r="I43" i="2"/>
  <c r="J43" i="2" s="1"/>
  <c r="I44" i="2"/>
  <c r="J44" i="2" s="1"/>
  <c r="I45" i="2"/>
  <c r="J45" i="2" s="1"/>
  <c r="I46" i="2"/>
  <c r="J46" i="2" s="1"/>
  <c r="I47" i="2"/>
  <c r="J47" i="2" s="1"/>
  <c r="I48" i="2"/>
  <c r="J48" i="2" s="1"/>
  <c r="I49" i="2"/>
  <c r="J49" i="2" s="1"/>
  <c r="I50" i="2"/>
  <c r="J50" i="2" s="1"/>
  <c r="I51" i="2"/>
  <c r="J51" i="2" s="1"/>
  <c r="I52" i="2"/>
  <c r="J52" i="2" s="1"/>
  <c r="I53" i="2"/>
  <c r="J53" i="2" s="1"/>
  <c r="I54" i="2"/>
  <c r="J54" i="2" s="1"/>
  <c r="I55" i="2"/>
  <c r="J55" i="2" s="1"/>
  <c r="I56" i="2"/>
  <c r="J56" i="2" s="1"/>
  <c r="I57" i="2"/>
  <c r="J57" i="2" s="1"/>
  <c r="I58" i="2"/>
  <c r="J58" i="2" s="1"/>
  <c r="I59" i="2"/>
  <c r="J59" i="2" s="1"/>
  <c r="I60" i="2"/>
  <c r="J60" i="2" s="1"/>
  <c r="I61" i="2"/>
  <c r="J61" i="2" s="1"/>
  <c r="I62" i="2"/>
  <c r="J62" i="2" s="1"/>
  <c r="I63" i="2"/>
  <c r="J63" i="2" s="1"/>
  <c r="I64" i="2"/>
  <c r="J64" i="2" s="1"/>
  <c r="I65" i="2"/>
  <c r="J65" i="2" s="1"/>
  <c r="I66" i="2"/>
  <c r="J66" i="2" s="1"/>
  <c r="I67" i="2"/>
  <c r="J67" i="2" s="1"/>
  <c r="I68" i="2"/>
  <c r="J68" i="2" s="1"/>
  <c r="I69" i="2"/>
  <c r="J69" i="2" s="1"/>
  <c r="I70" i="2"/>
  <c r="J70" i="2" s="1"/>
  <c r="I71" i="2"/>
  <c r="J71" i="2" s="1"/>
  <c r="I72" i="2"/>
  <c r="J72" i="2" s="1"/>
  <c r="I73" i="2"/>
  <c r="J73" i="2" s="1"/>
  <c r="I74" i="2"/>
  <c r="J74" i="2" s="1"/>
  <c r="I75" i="2"/>
  <c r="J75" i="2" s="1"/>
  <c r="I76" i="2"/>
  <c r="J76" i="2" s="1"/>
  <c r="I77" i="2"/>
  <c r="J77" i="2" s="1"/>
  <c r="I78" i="2"/>
  <c r="J78" i="2" s="1"/>
  <c r="I79" i="2"/>
  <c r="J79" i="2" s="1"/>
  <c r="I80" i="2"/>
  <c r="J80" i="2" s="1"/>
  <c r="I81" i="2"/>
  <c r="J81" i="2" s="1"/>
  <c r="I82" i="2"/>
  <c r="J82" i="2" s="1"/>
  <c r="I83" i="2"/>
  <c r="J83" i="2" s="1"/>
  <c r="I84" i="2"/>
  <c r="J84" i="2" s="1"/>
  <c r="I85" i="2"/>
  <c r="J85" i="2" s="1"/>
  <c r="I86" i="2"/>
  <c r="J86" i="2" s="1"/>
  <c r="I87" i="2"/>
  <c r="I88" i="2"/>
  <c r="J88" i="2" s="1"/>
  <c r="I89" i="2"/>
  <c r="J89" i="2" s="1"/>
  <c r="I90" i="2"/>
  <c r="J90" i="2" s="1"/>
  <c r="I91" i="2"/>
  <c r="J91" i="2" s="1"/>
  <c r="I92" i="2"/>
  <c r="J92" i="2" s="1"/>
  <c r="I93" i="2"/>
  <c r="J93" i="2" s="1"/>
  <c r="I94" i="2"/>
  <c r="J94" i="2" s="1"/>
  <c r="I95" i="2"/>
  <c r="J95" i="2" s="1"/>
  <c r="I96" i="2"/>
  <c r="J96" i="2" s="1"/>
  <c r="I97" i="2"/>
  <c r="J97" i="2" s="1"/>
  <c r="I98" i="2"/>
  <c r="J98" i="2" s="1"/>
  <c r="I99" i="2"/>
  <c r="J99" i="2" s="1"/>
  <c r="I100" i="2"/>
  <c r="J100" i="2" s="1"/>
  <c r="I101" i="2"/>
  <c r="J101" i="2" s="1"/>
  <c r="I102" i="2"/>
  <c r="J102" i="2" s="1"/>
  <c r="I103" i="2"/>
  <c r="J103" i="2" s="1"/>
  <c r="I104" i="2"/>
  <c r="J104" i="2" s="1"/>
  <c r="I105" i="2"/>
  <c r="J105" i="2" s="1"/>
  <c r="I106" i="2"/>
  <c r="J106" i="2" s="1"/>
  <c r="I107" i="2"/>
  <c r="J107" i="2" s="1"/>
  <c r="I108" i="2"/>
  <c r="J108" i="2" s="1"/>
  <c r="I109" i="2"/>
  <c r="J109" i="2" s="1"/>
  <c r="I110" i="2"/>
  <c r="J110" i="2" s="1"/>
  <c r="I111" i="2"/>
  <c r="J111" i="2" s="1"/>
  <c r="I112" i="2"/>
  <c r="J112" i="2" s="1"/>
  <c r="I113" i="2"/>
  <c r="J113" i="2" s="1"/>
  <c r="I114" i="2"/>
  <c r="J114" i="2" s="1"/>
  <c r="I115" i="2"/>
  <c r="J115" i="2" s="1"/>
  <c r="I116" i="2"/>
  <c r="J116" i="2" s="1"/>
  <c r="I117" i="2"/>
  <c r="J117" i="2" s="1"/>
  <c r="I118" i="2"/>
  <c r="I119" i="2"/>
  <c r="J119" i="2" s="1"/>
  <c r="I120" i="2"/>
  <c r="J120" i="2" s="1"/>
  <c r="I121" i="2"/>
  <c r="J121" i="2" s="1"/>
  <c r="I122" i="2"/>
  <c r="J122" i="2" s="1"/>
  <c r="I123" i="2"/>
  <c r="J123" i="2" s="1"/>
  <c r="I124" i="2"/>
  <c r="J124" i="2" s="1"/>
  <c r="I125" i="2"/>
  <c r="J125" i="2" s="1"/>
  <c r="I126" i="2"/>
  <c r="J126" i="2" s="1"/>
  <c r="I127" i="2"/>
  <c r="J127" i="2" s="1"/>
  <c r="I128" i="2"/>
  <c r="J128" i="2" s="1"/>
  <c r="I129" i="2"/>
  <c r="J129" i="2" s="1"/>
  <c r="I130" i="2"/>
  <c r="J130" i="2" s="1"/>
  <c r="I131" i="2"/>
  <c r="J131" i="2" s="1"/>
  <c r="I132" i="2"/>
  <c r="J132" i="2" s="1"/>
  <c r="I133" i="2"/>
  <c r="J133" i="2" s="1"/>
  <c r="I134" i="2"/>
  <c r="J134" i="2" s="1"/>
  <c r="I135" i="2"/>
  <c r="J135" i="2" s="1"/>
  <c r="I136" i="2"/>
  <c r="J136" i="2" s="1"/>
  <c r="I137" i="2"/>
  <c r="J137" i="2" s="1"/>
  <c r="I138" i="2"/>
  <c r="J138" i="2" s="1"/>
  <c r="I139" i="2"/>
  <c r="J139" i="2" s="1"/>
  <c r="I140" i="2"/>
  <c r="J140" i="2" s="1"/>
  <c r="I141" i="2"/>
  <c r="J141" i="2" s="1"/>
  <c r="I142" i="2"/>
  <c r="J142" i="2" s="1"/>
  <c r="I143" i="2"/>
  <c r="J143" i="2" s="1"/>
  <c r="I144" i="2"/>
  <c r="J144" i="2" s="1"/>
  <c r="I145" i="2"/>
  <c r="J145" i="2" s="1"/>
  <c r="I146" i="2"/>
  <c r="J146" i="2" s="1"/>
  <c r="I147" i="2"/>
  <c r="J147" i="2" s="1"/>
  <c r="I148" i="2"/>
  <c r="J148" i="2" s="1"/>
  <c r="I149" i="2"/>
  <c r="J149" i="2" s="1"/>
  <c r="I150" i="2"/>
  <c r="J150" i="2" s="1"/>
  <c r="I151" i="2"/>
  <c r="J151" i="2" s="1"/>
  <c r="I152" i="2"/>
  <c r="J152" i="2" s="1"/>
  <c r="I153" i="2"/>
  <c r="J153" i="2" s="1"/>
  <c r="I154" i="2"/>
  <c r="J154" i="2" s="1"/>
  <c r="I155" i="2"/>
  <c r="J155" i="2" s="1"/>
  <c r="I156" i="2"/>
  <c r="J156" i="2" s="1"/>
  <c r="I157" i="2"/>
  <c r="J157" i="2" s="1"/>
  <c r="I158" i="2"/>
  <c r="J158" i="2" s="1"/>
  <c r="I159" i="2"/>
  <c r="J159" i="2" s="1"/>
  <c r="I160" i="2"/>
  <c r="J160" i="2" s="1"/>
  <c r="I161" i="2"/>
  <c r="J161" i="2" s="1"/>
  <c r="I162" i="2"/>
  <c r="J162" i="2" s="1"/>
  <c r="I163" i="2"/>
  <c r="J163" i="2" s="1"/>
  <c r="I164" i="2"/>
  <c r="J164" i="2" s="1"/>
  <c r="I165" i="2"/>
  <c r="J165" i="2" s="1"/>
  <c r="I166" i="2"/>
  <c r="J166" i="2" s="1"/>
  <c r="I167" i="2"/>
  <c r="J167" i="2" s="1"/>
  <c r="I168" i="2"/>
  <c r="J168" i="2" s="1"/>
  <c r="I169" i="2"/>
  <c r="J169" i="2" s="1"/>
  <c r="I170" i="2"/>
  <c r="J170" i="2" s="1"/>
  <c r="I171" i="2"/>
  <c r="J171" i="2" s="1"/>
  <c r="I172" i="2"/>
  <c r="J172" i="2" s="1"/>
  <c r="I173" i="2"/>
  <c r="J173" i="2" s="1"/>
  <c r="I174" i="2"/>
  <c r="J174" i="2" s="1"/>
  <c r="I175" i="2"/>
  <c r="J175" i="2" s="1"/>
  <c r="I176" i="2"/>
  <c r="J176" i="2" s="1"/>
  <c r="I177" i="2"/>
  <c r="J177" i="2" s="1"/>
  <c r="I178" i="2"/>
  <c r="J178" i="2" s="1"/>
  <c r="I179" i="2"/>
  <c r="J179" i="2" s="1"/>
  <c r="I180" i="2"/>
  <c r="J180" i="2" s="1"/>
  <c r="I181" i="2"/>
  <c r="J181" i="2" s="1"/>
  <c r="I182" i="2"/>
  <c r="J182" i="2" s="1"/>
  <c r="I183" i="2"/>
  <c r="J183" i="2" s="1"/>
  <c r="I184" i="2"/>
  <c r="J184" i="2" s="1"/>
  <c r="I185" i="2"/>
  <c r="J185" i="2" s="1"/>
  <c r="I186" i="2"/>
  <c r="J186" i="2" s="1"/>
  <c r="I187" i="2"/>
  <c r="J187" i="2" s="1"/>
  <c r="I188" i="2"/>
  <c r="J188" i="2" s="1"/>
  <c r="I189" i="2"/>
  <c r="J189" i="2" s="1"/>
  <c r="I190" i="2"/>
  <c r="J190" i="2" s="1"/>
  <c r="I191" i="2"/>
  <c r="J191" i="2" s="1"/>
  <c r="I192" i="2"/>
  <c r="J192" i="2" s="1"/>
  <c r="I193" i="2"/>
  <c r="J193" i="2" s="1"/>
  <c r="I194" i="2"/>
  <c r="J194" i="2" s="1"/>
  <c r="I195" i="2"/>
  <c r="J195" i="2" s="1"/>
  <c r="I196" i="2"/>
  <c r="J196" i="2" s="1"/>
  <c r="I197" i="2"/>
  <c r="J197" i="2" s="1"/>
  <c r="I198" i="2"/>
  <c r="J198" i="2" s="1"/>
  <c r="I199" i="2"/>
  <c r="J199" i="2" s="1"/>
  <c r="I200" i="2"/>
  <c r="J200" i="2" s="1"/>
  <c r="I201" i="2"/>
  <c r="J201" i="2" s="1"/>
  <c r="I202" i="2"/>
  <c r="J202" i="2" s="1"/>
  <c r="I203" i="2"/>
  <c r="J203" i="2" s="1"/>
  <c r="I204" i="2"/>
  <c r="J204" i="2" s="1"/>
  <c r="I205" i="2"/>
  <c r="J205" i="2" s="1"/>
  <c r="I206" i="2"/>
  <c r="J206" i="2" s="1"/>
  <c r="I207" i="2"/>
  <c r="J207" i="2" s="1"/>
  <c r="I208" i="2"/>
  <c r="J208" i="2" s="1"/>
  <c r="I209" i="2"/>
  <c r="J209" i="2" s="1"/>
  <c r="I210" i="2"/>
  <c r="J210" i="2" s="1"/>
  <c r="I211" i="2"/>
  <c r="J211" i="2" s="1"/>
  <c r="I212" i="2"/>
  <c r="J212" i="2" s="1"/>
  <c r="I213" i="2"/>
  <c r="J213" i="2" s="1"/>
  <c r="I214" i="2"/>
  <c r="J214" i="2" s="1"/>
  <c r="I215" i="2"/>
  <c r="J215" i="2" s="1"/>
  <c r="I216" i="2"/>
  <c r="J216" i="2" s="1"/>
  <c r="I217" i="2"/>
  <c r="J217" i="2" s="1"/>
  <c r="I218" i="2"/>
  <c r="J218" i="2" s="1"/>
  <c r="I219" i="2"/>
  <c r="J219" i="2" s="1"/>
  <c r="I220" i="2"/>
  <c r="J220" i="2" s="1"/>
  <c r="I221" i="2"/>
  <c r="J221" i="2" s="1"/>
  <c r="I222" i="2"/>
  <c r="J222" i="2" s="1"/>
  <c r="I223" i="2"/>
  <c r="J223" i="2" s="1"/>
  <c r="I224" i="2"/>
  <c r="J224" i="2" s="1"/>
  <c r="I225" i="2"/>
  <c r="J225" i="2" s="1"/>
  <c r="I226" i="2"/>
  <c r="J226" i="2" s="1"/>
  <c r="I227" i="2"/>
  <c r="J227" i="2" s="1"/>
  <c r="I228" i="2"/>
  <c r="J228" i="2" s="1"/>
  <c r="I229" i="2"/>
  <c r="J229" i="2" s="1"/>
  <c r="I230" i="2"/>
  <c r="J230" i="2" s="1"/>
  <c r="I231" i="2"/>
  <c r="J231" i="2" s="1"/>
  <c r="I232" i="2"/>
  <c r="J232" i="2" s="1"/>
  <c r="I233" i="2"/>
  <c r="J233" i="2" s="1"/>
  <c r="I234" i="2"/>
  <c r="J234" i="2" s="1"/>
  <c r="I235" i="2"/>
  <c r="J235" i="2" s="1"/>
  <c r="I236" i="2"/>
  <c r="J236" i="2" s="1"/>
  <c r="I237" i="2"/>
  <c r="J237" i="2" s="1"/>
  <c r="I238" i="2"/>
  <c r="J238" i="2" s="1"/>
  <c r="I239" i="2"/>
  <c r="J239" i="2" s="1"/>
  <c r="I240" i="2"/>
  <c r="J240" i="2" s="1"/>
  <c r="I241" i="2"/>
  <c r="J241" i="2" s="1"/>
  <c r="I242" i="2"/>
  <c r="J242" i="2" s="1"/>
  <c r="I243" i="2"/>
  <c r="J243" i="2" s="1"/>
  <c r="I244" i="2"/>
  <c r="J244" i="2" s="1"/>
  <c r="I245" i="2"/>
  <c r="J245" i="2" s="1"/>
  <c r="I246" i="2"/>
  <c r="J246" i="2" s="1"/>
  <c r="I247" i="2"/>
  <c r="J247" i="2" s="1"/>
  <c r="I248" i="2"/>
  <c r="J248" i="2" s="1"/>
  <c r="I249" i="2"/>
  <c r="J249" i="2" s="1"/>
  <c r="I250" i="2"/>
  <c r="J250" i="2" s="1"/>
  <c r="I251" i="2"/>
  <c r="J251" i="2" s="1"/>
  <c r="I252" i="2"/>
  <c r="J252" i="2" s="1"/>
  <c r="I253" i="2"/>
  <c r="J253" i="2" s="1"/>
  <c r="I254" i="2"/>
  <c r="J254" i="2" s="1"/>
  <c r="I255" i="2"/>
  <c r="J255" i="2" s="1"/>
  <c r="I256" i="2"/>
  <c r="J256" i="2" s="1"/>
  <c r="I257" i="2"/>
  <c r="J257" i="2" s="1"/>
  <c r="I258" i="2"/>
  <c r="J258" i="2" s="1"/>
  <c r="I259" i="2"/>
  <c r="J259" i="2" s="1"/>
  <c r="I260" i="2"/>
  <c r="J260" i="2" s="1"/>
  <c r="I261" i="2"/>
  <c r="J261" i="2" s="1"/>
  <c r="I262" i="2"/>
  <c r="J262" i="2" s="1"/>
  <c r="I263" i="2"/>
  <c r="J263" i="2" s="1"/>
  <c r="I264" i="2"/>
  <c r="J264" i="2" s="1"/>
  <c r="I265" i="2"/>
  <c r="J265" i="2" s="1"/>
  <c r="I266" i="2"/>
  <c r="J266" i="2" s="1"/>
  <c r="I267" i="2"/>
  <c r="J267" i="2" s="1"/>
  <c r="I268" i="2"/>
  <c r="J268" i="2" s="1"/>
  <c r="I269" i="2"/>
  <c r="J269" i="2" s="1"/>
  <c r="I270" i="2"/>
  <c r="J270" i="2" s="1"/>
  <c r="I271" i="2"/>
  <c r="J271" i="2" s="1"/>
  <c r="I272" i="2"/>
  <c r="J272" i="2" s="1"/>
  <c r="I273" i="2"/>
  <c r="J273" i="2" s="1"/>
  <c r="I274" i="2"/>
  <c r="J274" i="2" s="1"/>
  <c r="I275" i="2"/>
  <c r="J275" i="2" s="1"/>
  <c r="I276" i="2"/>
  <c r="J276" i="2" s="1"/>
  <c r="I277" i="2"/>
  <c r="J277" i="2" s="1"/>
  <c r="I278" i="2"/>
  <c r="I279" i="2"/>
  <c r="J279" i="2" s="1"/>
  <c r="I280" i="2"/>
  <c r="J280" i="2" s="1"/>
  <c r="I281" i="2"/>
  <c r="J281" i="2" s="1"/>
  <c r="I282" i="2"/>
  <c r="J282" i="2" s="1"/>
  <c r="I283" i="2"/>
  <c r="J283" i="2" s="1"/>
  <c r="I284" i="2"/>
  <c r="J284" i="2" s="1"/>
  <c r="I285" i="2"/>
  <c r="J285" i="2" s="1"/>
  <c r="I286" i="2"/>
  <c r="J286" i="2" s="1"/>
  <c r="I287" i="2"/>
  <c r="J287" i="2" s="1"/>
  <c r="I288" i="2"/>
  <c r="J288" i="2" s="1"/>
  <c r="I289" i="2"/>
  <c r="J289" i="2" s="1"/>
  <c r="I290" i="2"/>
  <c r="J290" i="2" s="1"/>
  <c r="I291" i="2"/>
  <c r="J291" i="2" s="1"/>
  <c r="I292" i="2"/>
  <c r="J292" i="2" s="1"/>
  <c r="I293" i="2"/>
  <c r="J293" i="2" s="1"/>
  <c r="I294" i="2"/>
  <c r="J294" i="2" s="1"/>
  <c r="I295" i="2"/>
  <c r="J295" i="2" s="1"/>
  <c r="I296" i="2"/>
  <c r="J296" i="2" s="1"/>
  <c r="I297" i="2"/>
  <c r="J297" i="2" s="1"/>
  <c r="I298" i="2"/>
  <c r="J298" i="2" s="1"/>
  <c r="I299" i="2"/>
  <c r="J299" i="2" s="1"/>
  <c r="I300" i="2"/>
  <c r="J300" i="2" s="1"/>
  <c r="I301" i="2"/>
  <c r="J301" i="2" s="1"/>
  <c r="I302" i="2"/>
  <c r="J302" i="2" s="1"/>
  <c r="I303" i="2"/>
  <c r="I304" i="2"/>
  <c r="J304" i="2" s="1"/>
  <c r="I305" i="2"/>
  <c r="J305" i="2" s="1"/>
  <c r="I306" i="2"/>
  <c r="J306" i="2" s="1"/>
  <c r="I307" i="2"/>
  <c r="J307" i="2" s="1"/>
  <c r="I308" i="2"/>
  <c r="J308" i="2" s="1"/>
  <c r="I309" i="2"/>
  <c r="J309" i="2" s="1"/>
  <c r="I310" i="2"/>
  <c r="J310" i="2" s="1"/>
  <c r="I311" i="2"/>
  <c r="J311" i="2" s="1"/>
  <c r="I312" i="2"/>
  <c r="J312" i="2" s="1"/>
  <c r="I313" i="2"/>
  <c r="J313" i="2" s="1"/>
  <c r="I314" i="2"/>
  <c r="J314" i="2" s="1"/>
  <c r="I315" i="2"/>
  <c r="J315" i="2" s="1"/>
  <c r="I316" i="2"/>
  <c r="J316" i="2" s="1"/>
  <c r="I317" i="2"/>
  <c r="J317" i="2" s="1"/>
  <c r="I318" i="2"/>
  <c r="I319" i="2"/>
  <c r="J319" i="2" s="1"/>
  <c r="I320" i="2"/>
  <c r="J320" i="2" s="1"/>
  <c r="I321" i="2"/>
  <c r="J321" i="2" s="1"/>
  <c r="I322" i="2"/>
  <c r="J322" i="2" s="1"/>
  <c r="I323" i="2"/>
  <c r="J323" i="2" s="1"/>
  <c r="I324" i="2"/>
  <c r="J324" i="2" s="1"/>
  <c r="I325" i="2"/>
  <c r="J325" i="2" s="1"/>
  <c r="I326" i="2"/>
  <c r="J326" i="2" s="1"/>
  <c r="I327" i="2"/>
  <c r="J327" i="2" s="1"/>
  <c r="I328" i="2"/>
  <c r="J328" i="2" s="1"/>
  <c r="I329" i="2"/>
  <c r="J329" i="2" s="1"/>
  <c r="I330" i="2"/>
  <c r="J330" i="2" s="1"/>
  <c r="I331" i="2"/>
  <c r="J331" i="2" s="1"/>
  <c r="I332" i="2"/>
  <c r="J332" i="2" s="1"/>
  <c r="I333" i="2"/>
  <c r="J333" i="2" s="1"/>
  <c r="I334" i="2"/>
  <c r="J334" i="2" s="1"/>
  <c r="I335" i="2"/>
  <c r="J335" i="2" s="1"/>
  <c r="I336" i="2"/>
  <c r="J336" i="2" s="1"/>
  <c r="I337" i="2"/>
  <c r="J337" i="2" s="1"/>
  <c r="I338" i="2"/>
  <c r="J338" i="2" s="1"/>
  <c r="I339" i="2"/>
  <c r="J339" i="2" s="1"/>
  <c r="I340" i="2"/>
  <c r="J340" i="2" s="1"/>
  <c r="I341" i="2"/>
  <c r="J341" i="2" s="1"/>
  <c r="I342" i="2"/>
  <c r="J342" i="2" s="1"/>
  <c r="I343" i="2"/>
  <c r="J343" i="2" s="1"/>
  <c r="I344" i="2"/>
  <c r="J344" i="2" s="1"/>
  <c r="I345" i="2"/>
  <c r="J345" i="2" s="1"/>
  <c r="I346" i="2"/>
  <c r="J346" i="2" s="1"/>
  <c r="I347" i="2"/>
  <c r="J347" i="2" s="1"/>
  <c r="I348" i="2"/>
  <c r="J348" i="2" s="1"/>
  <c r="I349" i="2"/>
  <c r="J349" i="2" s="1"/>
  <c r="I350" i="2"/>
  <c r="J350" i="2" s="1"/>
  <c r="I351" i="2"/>
  <c r="J351" i="2" s="1"/>
  <c r="I352" i="2"/>
  <c r="J352" i="2" s="1"/>
  <c r="I353" i="2"/>
  <c r="J353" i="2" s="1"/>
  <c r="I354" i="2"/>
  <c r="J354" i="2" s="1"/>
  <c r="I355" i="2"/>
  <c r="J355" i="2" s="1"/>
  <c r="I356" i="2"/>
  <c r="J356" i="2" s="1"/>
  <c r="I357" i="2"/>
  <c r="J357" i="2" s="1"/>
  <c r="I358" i="2"/>
  <c r="J358" i="2" s="1"/>
  <c r="I359" i="2"/>
  <c r="J359" i="2" s="1"/>
  <c r="I360" i="2"/>
  <c r="J360" i="2" s="1"/>
  <c r="I361" i="2"/>
  <c r="J361" i="2" s="1"/>
  <c r="I362" i="2"/>
  <c r="J362" i="2" s="1"/>
  <c r="I363" i="2"/>
  <c r="J363" i="2" s="1"/>
  <c r="I364" i="2"/>
  <c r="J364" i="2" s="1"/>
  <c r="I365" i="2"/>
  <c r="J365" i="2" s="1"/>
  <c r="I366" i="2"/>
  <c r="J366" i="2" s="1"/>
  <c r="I367" i="2"/>
  <c r="J367" i="2" s="1"/>
  <c r="I368" i="2"/>
  <c r="J368" i="2" s="1"/>
  <c r="I369" i="2"/>
  <c r="J369" i="2" s="1"/>
  <c r="I370" i="2"/>
  <c r="J370" i="2" s="1"/>
  <c r="I371" i="2"/>
  <c r="J371" i="2" s="1"/>
  <c r="I372" i="2"/>
  <c r="J372" i="2" s="1"/>
  <c r="I373" i="2"/>
  <c r="J373" i="2" s="1"/>
  <c r="I374" i="2"/>
  <c r="J374" i="2" s="1"/>
  <c r="I375" i="2"/>
  <c r="J375" i="2" s="1"/>
  <c r="I376" i="2"/>
  <c r="J376" i="2" s="1"/>
  <c r="I377" i="2"/>
  <c r="J377" i="2" s="1"/>
  <c r="I378" i="2"/>
  <c r="J378" i="2" s="1"/>
  <c r="I379" i="2"/>
  <c r="J379" i="2" s="1"/>
  <c r="I380" i="2"/>
  <c r="J380" i="2" s="1"/>
  <c r="I381" i="2"/>
  <c r="J381" i="2" s="1"/>
  <c r="I382" i="2"/>
  <c r="J382" i="2" s="1"/>
  <c r="I383" i="2"/>
  <c r="J383" i="2" s="1"/>
  <c r="I384" i="2"/>
  <c r="J384" i="2" s="1"/>
  <c r="I385" i="2"/>
  <c r="J385" i="2" s="1"/>
  <c r="I386" i="2"/>
  <c r="J386" i="2" s="1"/>
  <c r="I387" i="2"/>
  <c r="J387" i="2" s="1"/>
  <c r="I388" i="2"/>
  <c r="J388" i="2" s="1"/>
  <c r="I389" i="2"/>
  <c r="J389" i="2" s="1"/>
  <c r="I390" i="2"/>
  <c r="J390" i="2" s="1"/>
  <c r="I391" i="2"/>
  <c r="J391" i="2" s="1"/>
  <c r="I392" i="2"/>
  <c r="J392" i="2" s="1"/>
  <c r="I393" i="2"/>
  <c r="J393" i="2" s="1"/>
  <c r="I394" i="2"/>
  <c r="J394" i="2" s="1"/>
  <c r="I395" i="2"/>
  <c r="J395" i="2" s="1"/>
  <c r="I396" i="2"/>
  <c r="J396" i="2" s="1"/>
  <c r="I397" i="2"/>
  <c r="J397" i="2" s="1"/>
  <c r="I398" i="2"/>
  <c r="J398" i="2" s="1"/>
  <c r="I399" i="2"/>
  <c r="J399" i="2" s="1"/>
  <c r="I400" i="2"/>
  <c r="J400" i="2" s="1"/>
  <c r="I401" i="2"/>
  <c r="J401" i="2" s="1"/>
  <c r="I402" i="2"/>
  <c r="J402" i="2" s="1"/>
  <c r="I403" i="2"/>
  <c r="J403" i="2" s="1"/>
  <c r="I404" i="2"/>
  <c r="J404" i="2" s="1"/>
  <c r="I405" i="2"/>
  <c r="J405" i="2" s="1"/>
  <c r="I406" i="2"/>
  <c r="J406" i="2" s="1"/>
  <c r="I407" i="2"/>
  <c r="J407" i="2" s="1"/>
  <c r="I408" i="2"/>
  <c r="J408" i="2" s="1"/>
  <c r="I409" i="2"/>
  <c r="J409" i="2" s="1"/>
  <c r="I410" i="2"/>
  <c r="J410" i="2" s="1"/>
  <c r="I411" i="2"/>
  <c r="J411" i="2" s="1"/>
  <c r="I412" i="2"/>
  <c r="J412" i="2" s="1"/>
  <c r="I413" i="2"/>
  <c r="J413" i="2" s="1"/>
  <c r="I414" i="2"/>
  <c r="J414" i="2" s="1"/>
  <c r="I415" i="2"/>
  <c r="J415" i="2" s="1"/>
  <c r="I416" i="2"/>
  <c r="J416" i="2" s="1"/>
  <c r="I417" i="2"/>
  <c r="J417" i="2" s="1"/>
  <c r="I418" i="2"/>
  <c r="J418" i="2" s="1"/>
  <c r="I419" i="2"/>
  <c r="J419" i="2" s="1"/>
  <c r="I420" i="2"/>
  <c r="J420" i="2" s="1"/>
  <c r="I421" i="2"/>
  <c r="J421" i="2" s="1"/>
  <c r="I422" i="2"/>
  <c r="J422" i="2" s="1"/>
  <c r="I423" i="2"/>
  <c r="J423" i="2" s="1"/>
  <c r="I424" i="2"/>
  <c r="J424" i="2" s="1"/>
  <c r="I425" i="2"/>
  <c r="J425" i="2" s="1"/>
  <c r="I426" i="2"/>
  <c r="J426" i="2" s="1"/>
  <c r="I427" i="2"/>
  <c r="J427" i="2" s="1"/>
  <c r="I428" i="2"/>
  <c r="J428" i="2" s="1"/>
  <c r="I429" i="2"/>
  <c r="J429" i="2" s="1"/>
  <c r="I430" i="2"/>
  <c r="J430" i="2" s="1"/>
  <c r="I431" i="2"/>
  <c r="J431" i="2" s="1"/>
  <c r="I432" i="2"/>
  <c r="J432" i="2" s="1"/>
  <c r="I433" i="2"/>
  <c r="J433" i="2" s="1"/>
  <c r="I434" i="2"/>
  <c r="J434" i="2" s="1"/>
  <c r="I435" i="2"/>
  <c r="J435" i="2" s="1"/>
  <c r="I436" i="2"/>
  <c r="J436" i="2" s="1"/>
  <c r="I437" i="2"/>
  <c r="J437" i="2" s="1"/>
  <c r="I438" i="2"/>
  <c r="J438" i="2" s="1"/>
  <c r="I439" i="2"/>
  <c r="J439" i="2" s="1"/>
  <c r="I440" i="2"/>
  <c r="J440" i="2" s="1"/>
  <c r="I441" i="2"/>
  <c r="J441" i="2" s="1"/>
  <c r="I442" i="2"/>
  <c r="J442" i="2" s="1"/>
  <c r="I443" i="2"/>
  <c r="J443" i="2" s="1"/>
  <c r="I444" i="2"/>
  <c r="J444" i="2" s="1"/>
  <c r="I445" i="2"/>
  <c r="J445" i="2" s="1"/>
  <c r="I446" i="2"/>
  <c r="J446" i="2" s="1"/>
  <c r="I447" i="2"/>
  <c r="J447" i="2" s="1"/>
  <c r="I448" i="2"/>
  <c r="J448" i="2" s="1"/>
  <c r="I449" i="2"/>
  <c r="J449" i="2" s="1"/>
  <c r="I450" i="2"/>
  <c r="J450" i="2" s="1"/>
  <c r="I451" i="2"/>
  <c r="J451" i="2" s="1"/>
  <c r="I452" i="2"/>
  <c r="J452" i="2" s="1"/>
  <c r="I453" i="2"/>
  <c r="J453" i="2" s="1"/>
  <c r="I454" i="2"/>
  <c r="J454" i="2" s="1"/>
  <c r="I455" i="2"/>
  <c r="J455" i="2" s="1"/>
  <c r="I456" i="2"/>
  <c r="J456" i="2" s="1"/>
  <c r="I457" i="2"/>
  <c r="J457" i="2" s="1"/>
  <c r="I458" i="2"/>
  <c r="J458" i="2" s="1"/>
  <c r="I459" i="2"/>
  <c r="J459" i="2" s="1"/>
  <c r="I460" i="2"/>
  <c r="J460" i="2" s="1"/>
  <c r="I461" i="2"/>
  <c r="J461" i="2" s="1"/>
  <c r="I462" i="2"/>
  <c r="J462" i="2" s="1"/>
  <c r="I463" i="2"/>
  <c r="J463" i="2" s="1"/>
  <c r="I464" i="2"/>
  <c r="J464" i="2" s="1"/>
  <c r="I465" i="2"/>
  <c r="J465" i="2" s="1"/>
  <c r="I466" i="2"/>
  <c r="J466" i="2" s="1"/>
  <c r="I467" i="2"/>
  <c r="J467" i="2" s="1"/>
  <c r="I468" i="2"/>
  <c r="J468" i="2" s="1"/>
  <c r="I469" i="2"/>
  <c r="J469" i="2" s="1"/>
  <c r="I470" i="2"/>
  <c r="J470" i="2" s="1"/>
  <c r="I471" i="2"/>
  <c r="J471" i="2" s="1"/>
  <c r="I472" i="2"/>
  <c r="J472" i="2" s="1"/>
  <c r="I473" i="2"/>
  <c r="J473" i="2" s="1"/>
  <c r="I474" i="2"/>
  <c r="J474" i="2" s="1"/>
  <c r="I475" i="2"/>
  <c r="J475" i="2" s="1"/>
  <c r="I476" i="2"/>
  <c r="J476" i="2" s="1"/>
  <c r="I477" i="2"/>
  <c r="J477" i="2" s="1"/>
  <c r="I478" i="2"/>
  <c r="J478" i="2" s="1"/>
  <c r="I479" i="2"/>
  <c r="J479" i="2" s="1"/>
  <c r="I480" i="2"/>
  <c r="J480" i="2" s="1"/>
  <c r="I481" i="2"/>
  <c r="J481" i="2" s="1"/>
  <c r="I482" i="2"/>
  <c r="J482" i="2" s="1"/>
  <c r="I483" i="2"/>
  <c r="J483" i="2" s="1"/>
  <c r="I484" i="2"/>
  <c r="J484" i="2" s="1"/>
  <c r="I485" i="2"/>
  <c r="J485" i="2" s="1"/>
  <c r="I486" i="2"/>
  <c r="J486" i="2" s="1"/>
  <c r="I487" i="2"/>
  <c r="J487" i="2" s="1"/>
  <c r="I488" i="2"/>
  <c r="J488" i="2" s="1"/>
  <c r="I489" i="2"/>
  <c r="J489" i="2" s="1"/>
  <c r="I490" i="2"/>
  <c r="J490" i="2" s="1"/>
  <c r="I491" i="2"/>
  <c r="J491" i="2" s="1"/>
  <c r="I492" i="2"/>
  <c r="J492" i="2" s="1"/>
  <c r="I493" i="2"/>
  <c r="J493" i="2" s="1"/>
  <c r="I494" i="2"/>
  <c r="J494" i="2" s="1"/>
  <c r="I495" i="2"/>
  <c r="J495" i="2" s="1"/>
  <c r="I496" i="2"/>
  <c r="J496" i="2" s="1"/>
  <c r="I497" i="2"/>
  <c r="J497" i="2" s="1"/>
  <c r="I498" i="2"/>
  <c r="J498" i="2" s="1"/>
  <c r="I499" i="2"/>
  <c r="J499" i="2" s="1"/>
  <c r="I500" i="2"/>
  <c r="J500" i="2" s="1"/>
  <c r="I501" i="2"/>
  <c r="J501" i="2" s="1"/>
  <c r="I502" i="2"/>
  <c r="J502" i="2" s="1"/>
  <c r="J7" i="2"/>
  <c r="J38" i="2"/>
  <c r="J87" i="2"/>
  <c r="J118" i="2"/>
  <c r="J278" i="2"/>
  <c r="J303" i="2"/>
  <c r="J318" i="2"/>
  <c r="H6" i="2"/>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7"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L167" i="2"/>
  <c r="L168" i="2"/>
  <c r="L169" i="2"/>
  <c r="L170" i="2"/>
  <c r="L171" i="2"/>
  <c r="L172" i="2"/>
  <c r="L173" i="2"/>
  <c r="L174" i="2"/>
  <c r="L175" i="2"/>
  <c r="L176" i="2"/>
  <c r="L177" i="2"/>
  <c r="L178" i="2"/>
  <c r="L179" i="2"/>
  <c r="L180" i="2"/>
  <c r="L181" i="2"/>
  <c r="L182" i="2"/>
  <c r="L183" i="2"/>
  <c r="L184" i="2"/>
  <c r="L185" i="2"/>
  <c r="L186" i="2"/>
  <c r="L187" i="2"/>
  <c r="L188" i="2"/>
  <c r="L189" i="2"/>
  <c r="L190" i="2"/>
  <c r="L191" i="2"/>
  <c r="L192" i="2"/>
  <c r="L193" i="2"/>
  <c r="L194" i="2"/>
  <c r="L195" i="2"/>
  <c r="L196" i="2"/>
  <c r="L197" i="2"/>
  <c r="L198" i="2"/>
  <c r="L199" i="2"/>
  <c r="L200" i="2"/>
  <c r="L201" i="2"/>
  <c r="L202" i="2"/>
  <c r="L203" i="2"/>
  <c r="L204" i="2"/>
  <c r="L205" i="2"/>
  <c r="L206" i="2"/>
  <c r="L207" i="2"/>
  <c r="L208" i="2"/>
  <c r="L209" i="2"/>
  <c r="L210" i="2"/>
  <c r="L211" i="2"/>
  <c r="L212" i="2"/>
  <c r="L213" i="2"/>
  <c r="L214" i="2"/>
  <c r="L215" i="2"/>
  <c r="L216" i="2"/>
  <c r="L217" i="2"/>
  <c r="L218" i="2"/>
  <c r="L219" i="2"/>
  <c r="L220" i="2"/>
  <c r="L221" i="2"/>
  <c r="L222" i="2"/>
  <c r="L223" i="2"/>
  <c r="L224" i="2"/>
  <c r="L225" i="2"/>
  <c r="L226" i="2"/>
  <c r="L227" i="2"/>
  <c r="L228" i="2"/>
  <c r="L229" i="2"/>
  <c r="L230" i="2"/>
  <c r="L231" i="2"/>
  <c r="L232" i="2"/>
  <c r="L233" i="2"/>
  <c r="L234" i="2"/>
  <c r="L235" i="2"/>
  <c r="L236" i="2"/>
  <c r="L237" i="2"/>
  <c r="L238" i="2"/>
  <c r="L239" i="2"/>
  <c r="L240" i="2"/>
  <c r="L241" i="2"/>
  <c r="L242" i="2"/>
  <c r="L243" i="2"/>
  <c r="L244" i="2"/>
  <c r="L245" i="2"/>
  <c r="L246" i="2"/>
  <c r="L247" i="2"/>
  <c r="L248" i="2"/>
  <c r="L249" i="2"/>
  <c r="L250" i="2"/>
  <c r="L251" i="2"/>
  <c r="L252" i="2"/>
  <c r="L253" i="2"/>
  <c r="L254" i="2"/>
  <c r="L255" i="2"/>
  <c r="L256" i="2"/>
  <c r="L257" i="2"/>
  <c r="L258" i="2"/>
  <c r="L259" i="2"/>
  <c r="L260" i="2"/>
  <c r="L261" i="2"/>
  <c r="L262" i="2"/>
  <c r="L263" i="2"/>
  <c r="L264" i="2"/>
  <c r="L265" i="2"/>
  <c r="L266" i="2"/>
  <c r="L267" i="2"/>
  <c r="L268" i="2"/>
  <c r="L269" i="2"/>
  <c r="L270" i="2"/>
  <c r="L271" i="2"/>
  <c r="L272" i="2"/>
  <c r="L273" i="2"/>
  <c r="L274" i="2"/>
  <c r="L275" i="2"/>
  <c r="L276" i="2"/>
  <c r="L277" i="2"/>
  <c r="L278" i="2"/>
  <c r="L279" i="2"/>
  <c r="L280" i="2"/>
  <c r="L281" i="2"/>
  <c r="L282" i="2"/>
  <c r="L283" i="2"/>
  <c r="L284" i="2"/>
  <c r="L285" i="2"/>
  <c r="L286" i="2"/>
  <c r="L287" i="2"/>
  <c r="L288" i="2"/>
  <c r="L289" i="2"/>
  <c r="L290" i="2"/>
  <c r="L291" i="2"/>
  <c r="L292" i="2"/>
  <c r="L293" i="2"/>
  <c r="L294" i="2"/>
  <c r="L295" i="2"/>
  <c r="L296" i="2"/>
  <c r="L297" i="2"/>
  <c r="L298" i="2"/>
  <c r="L299" i="2"/>
  <c r="L300" i="2"/>
  <c r="L301" i="2"/>
  <c r="L302" i="2"/>
  <c r="L303" i="2"/>
  <c r="L304" i="2"/>
  <c r="L305" i="2"/>
  <c r="L306" i="2"/>
  <c r="L307" i="2"/>
  <c r="L308" i="2"/>
  <c r="L309" i="2"/>
  <c r="L310" i="2"/>
  <c r="L311" i="2"/>
  <c r="L312" i="2"/>
  <c r="L313" i="2"/>
  <c r="L314" i="2"/>
  <c r="L315" i="2"/>
  <c r="L316" i="2"/>
  <c r="L317" i="2"/>
  <c r="L318" i="2"/>
  <c r="L319" i="2"/>
  <c r="L320" i="2"/>
  <c r="L321" i="2"/>
  <c r="L322" i="2"/>
  <c r="L323" i="2"/>
  <c r="L324" i="2"/>
  <c r="L325" i="2"/>
  <c r="L326" i="2"/>
  <c r="L327" i="2"/>
  <c r="L328" i="2"/>
  <c r="L329" i="2"/>
  <c r="L330" i="2"/>
  <c r="L331" i="2"/>
  <c r="L332" i="2"/>
  <c r="L333" i="2"/>
  <c r="L334" i="2"/>
  <c r="L335" i="2"/>
  <c r="L336" i="2"/>
  <c r="L337" i="2"/>
  <c r="L338" i="2"/>
  <c r="L339" i="2"/>
  <c r="L340" i="2"/>
  <c r="L341" i="2"/>
  <c r="L342" i="2"/>
  <c r="L343" i="2"/>
  <c r="L344" i="2"/>
  <c r="L345" i="2"/>
  <c r="L346" i="2"/>
  <c r="L347" i="2"/>
  <c r="L348" i="2"/>
  <c r="L349" i="2"/>
  <c r="L350" i="2"/>
  <c r="L351" i="2"/>
  <c r="L352" i="2"/>
  <c r="L353" i="2"/>
  <c r="L354" i="2"/>
  <c r="L355" i="2"/>
  <c r="L356" i="2"/>
  <c r="L357" i="2"/>
  <c r="L358" i="2"/>
  <c r="L359" i="2"/>
  <c r="L360" i="2"/>
  <c r="L361" i="2"/>
  <c r="L362" i="2"/>
  <c r="L363" i="2"/>
  <c r="L364" i="2"/>
  <c r="L365" i="2"/>
  <c r="L366" i="2"/>
  <c r="L367" i="2"/>
  <c r="L368" i="2"/>
  <c r="L369" i="2"/>
  <c r="L370" i="2"/>
  <c r="L371" i="2"/>
  <c r="L372" i="2"/>
  <c r="L373" i="2"/>
  <c r="L374" i="2"/>
  <c r="L375" i="2"/>
  <c r="L376" i="2"/>
  <c r="L377" i="2"/>
  <c r="L378" i="2"/>
  <c r="L379" i="2"/>
  <c r="L380" i="2"/>
  <c r="L381" i="2"/>
  <c r="L382" i="2"/>
  <c r="L383" i="2"/>
  <c r="L384" i="2"/>
  <c r="L385" i="2"/>
  <c r="L386" i="2"/>
  <c r="L387" i="2"/>
  <c r="L388" i="2"/>
  <c r="L389" i="2"/>
  <c r="L390" i="2"/>
  <c r="L391" i="2"/>
  <c r="L392" i="2"/>
  <c r="L393" i="2"/>
  <c r="L394" i="2"/>
  <c r="L395" i="2"/>
  <c r="L396" i="2"/>
  <c r="L397" i="2"/>
  <c r="L398" i="2"/>
  <c r="L399" i="2"/>
  <c r="L400" i="2"/>
  <c r="L401" i="2"/>
  <c r="L402" i="2"/>
  <c r="L403" i="2"/>
  <c r="L404" i="2"/>
  <c r="L405" i="2"/>
  <c r="L406" i="2"/>
  <c r="L407" i="2"/>
  <c r="L408" i="2"/>
  <c r="L409" i="2"/>
  <c r="L410" i="2"/>
  <c r="L411" i="2"/>
  <c r="L412" i="2"/>
  <c r="L413" i="2"/>
  <c r="L414" i="2"/>
  <c r="L415" i="2"/>
  <c r="L416" i="2"/>
  <c r="L417" i="2"/>
  <c r="L418" i="2"/>
  <c r="L419" i="2"/>
  <c r="L420" i="2"/>
  <c r="L421" i="2"/>
  <c r="L422" i="2"/>
  <c r="L423" i="2"/>
  <c r="L424" i="2"/>
  <c r="L425" i="2"/>
  <c r="L426" i="2"/>
  <c r="L427" i="2"/>
  <c r="L428" i="2"/>
  <c r="L429" i="2"/>
  <c r="L430" i="2"/>
  <c r="L431" i="2"/>
  <c r="L432" i="2"/>
  <c r="L433" i="2"/>
  <c r="L434" i="2"/>
  <c r="L435" i="2"/>
  <c r="L436" i="2"/>
  <c r="L437" i="2"/>
  <c r="L438" i="2"/>
  <c r="L439" i="2"/>
  <c r="L440" i="2"/>
  <c r="L441" i="2"/>
  <c r="L442" i="2"/>
  <c r="L443" i="2"/>
  <c r="L444" i="2"/>
  <c r="L445" i="2"/>
  <c r="L446" i="2"/>
  <c r="L447" i="2"/>
  <c r="L448" i="2"/>
  <c r="L449" i="2"/>
  <c r="L450" i="2"/>
  <c r="L451" i="2"/>
  <c r="L452" i="2"/>
  <c r="L453" i="2"/>
  <c r="L454" i="2"/>
  <c r="L455" i="2"/>
  <c r="L456" i="2"/>
  <c r="L457" i="2"/>
  <c r="L458" i="2"/>
  <c r="L459" i="2"/>
  <c r="L460" i="2"/>
  <c r="L461" i="2"/>
  <c r="L462" i="2"/>
  <c r="L463" i="2"/>
  <c r="L464" i="2"/>
  <c r="L465" i="2"/>
  <c r="L466" i="2"/>
  <c r="L467" i="2"/>
  <c r="L468" i="2"/>
  <c r="L469" i="2"/>
  <c r="L470" i="2"/>
  <c r="L471" i="2"/>
  <c r="L472" i="2"/>
  <c r="L473" i="2"/>
  <c r="L474" i="2"/>
  <c r="L475" i="2"/>
  <c r="L476" i="2"/>
  <c r="L477" i="2"/>
  <c r="L478" i="2"/>
  <c r="L479" i="2"/>
  <c r="L480" i="2"/>
  <c r="L481" i="2"/>
  <c r="L482" i="2"/>
  <c r="L483" i="2"/>
  <c r="L484" i="2"/>
  <c r="L485" i="2"/>
  <c r="L486" i="2"/>
  <c r="L487" i="2"/>
  <c r="L488" i="2"/>
  <c r="L489" i="2"/>
  <c r="L490" i="2"/>
  <c r="L491" i="2"/>
  <c r="L492" i="2"/>
  <c r="L493" i="2"/>
  <c r="L494" i="2"/>
  <c r="L495" i="2"/>
  <c r="L496" i="2"/>
  <c r="L497" i="2"/>
  <c r="L498" i="2"/>
  <c r="L499" i="2"/>
  <c r="L500" i="2"/>
  <c r="L501" i="2"/>
  <c r="L502" i="2"/>
  <c r="I5" i="2"/>
  <c r="J5" i="2" s="1"/>
  <c r="I4" i="2"/>
  <c r="J4" i="2" s="1"/>
  <c r="L5" i="2"/>
  <c r="L4" i="2"/>
  <c r="H5" i="2"/>
  <c r="H4" i="2"/>
  <c r="K5" i="2"/>
  <c r="K4" i="2"/>
  <c r="N5" i="3"/>
  <c r="N6" i="3"/>
  <c r="N7" i="3"/>
  <c r="N8" i="3"/>
  <c r="N9" i="3"/>
  <c r="N10" i="3"/>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46" i="3"/>
  <c r="N47" i="3"/>
  <c r="N48" i="3"/>
  <c r="N49" i="3"/>
  <c r="N50" i="3"/>
  <c r="N51" i="3"/>
  <c r="N52" i="3"/>
  <c r="N53" i="3"/>
  <c r="N54" i="3"/>
  <c r="N55" i="3"/>
  <c r="N56" i="3"/>
  <c r="N57" i="3"/>
  <c r="N58" i="3"/>
  <c r="N59" i="3"/>
  <c r="N60" i="3"/>
  <c r="N61" i="3"/>
  <c r="N62" i="3"/>
  <c r="N63" i="3"/>
  <c r="N64" i="3"/>
  <c r="N65" i="3"/>
  <c r="N66" i="3"/>
  <c r="N67" i="3"/>
  <c r="N68" i="3"/>
  <c r="N69" i="3"/>
  <c r="N70" i="3"/>
  <c r="N71" i="3"/>
  <c r="N72" i="3"/>
  <c r="N73" i="3"/>
  <c r="N74" i="3"/>
  <c r="N75" i="3"/>
  <c r="N76" i="3"/>
  <c r="N77" i="3"/>
  <c r="N78" i="3"/>
  <c r="N79" i="3"/>
  <c r="N80" i="3"/>
  <c r="N81" i="3"/>
  <c r="N82" i="3"/>
  <c r="N83" i="3"/>
  <c r="N84" i="3"/>
  <c r="N85" i="3"/>
  <c r="N86" i="3"/>
  <c r="N87" i="3"/>
  <c r="N88" i="3"/>
  <c r="N89" i="3"/>
  <c r="N90" i="3"/>
  <c r="N91" i="3"/>
  <c r="N92" i="3"/>
  <c r="N93" i="3"/>
  <c r="N94" i="3"/>
  <c r="N95" i="3"/>
  <c r="N96" i="3"/>
  <c r="N97" i="3"/>
  <c r="N98" i="3"/>
  <c r="N99" i="3"/>
  <c r="N100" i="3"/>
  <c r="N101" i="3"/>
  <c r="N102" i="3"/>
  <c r="N103" i="3"/>
  <c r="N104" i="3"/>
  <c r="N105" i="3"/>
  <c r="N106" i="3"/>
  <c r="N107" i="3"/>
  <c r="N108" i="3"/>
  <c r="N109" i="3"/>
  <c r="N110" i="3"/>
  <c r="N111" i="3"/>
  <c r="N112" i="3"/>
  <c r="N113" i="3"/>
  <c r="N114" i="3"/>
  <c r="N115" i="3"/>
  <c r="N116" i="3"/>
  <c r="N117" i="3"/>
  <c r="N118" i="3"/>
  <c r="N119" i="3"/>
  <c r="N120" i="3"/>
  <c r="N121" i="3"/>
  <c r="N122" i="3"/>
  <c r="N123" i="3"/>
  <c r="N124" i="3"/>
  <c r="N125" i="3"/>
  <c r="N126" i="3"/>
  <c r="N127" i="3"/>
  <c r="N128" i="3"/>
  <c r="N129" i="3"/>
  <c r="N130" i="3"/>
  <c r="N131" i="3"/>
  <c r="N132" i="3"/>
  <c r="N133" i="3"/>
  <c r="N134" i="3"/>
  <c r="N135" i="3"/>
  <c r="N136" i="3"/>
  <c r="N137" i="3"/>
  <c r="N138" i="3"/>
  <c r="N139" i="3"/>
  <c r="N140" i="3"/>
  <c r="N141" i="3"/>
  <c r="N142" i="3"/>
  <c r="N143" i="3"/>
  <c r="N144" i="3"/>
  <c r="N145" i="3"/>
  <c r="N146" i="3"/>
  <c r="N147" i="3"/>
  <c r="N148" i="3"/>
  <c r="N149" i="3"/>
  <c r="N150" i="3"/>
  <c r="N151" i="3"/>
  <c r="N152" i="3"/>
  <c r="N153" i="3"/>
  <c r="N154" i="3"/>
  <c r="N155" i="3"/>
  <c r="N156" i="3"/>
  <c r="N157" i="3"/>
  <c r="N158" i="3"/>
  <c r="N159" i="3"/>
  <c r="N160" i="3"/>
  <c r="N161" i="3"/>
  <c r="N162" i="3"/>
  <c r="N163" i="3"/>
  <c r="N164" i="3"/>
  <c r="N165" i="3"/>
  <c r="N166" i="3"/>
  <c r="N167" i="3"/>
  <c r="N168" i="3"/>
  <c r="N169" i="3"/>
  <c r="N170" i="3"/>
  <c r="N171" i="3"/>
  <c r="N172" i="3"/>
  <c r="N173" i="3"/>
  <c r="N174" i="3"/>
  <c r="N175" i="3"/>
  <c r="N176" i="3"/>
  <c r="N177" i="3"/>
  <c r="N178" i="3"/>
  <c r="N179" i="3"/>
  <c r="N180" i="3"/>
  <c r="N181" i="3"/>
  <c r="N182" i="3"/>
  <c r="N183" i="3"/>
  <c r="N184" i="3"/>
  <c r="N185" i="3"/>
  <c r="N186" i="3"/>
  <c r="N187" i="3"/>
  <c r="N188" i="3"/>
  <c r="N189" i="3"/>
  <c r="N190" i="3"/>
  <c r="N191" i="3"/>
  <c r="N192" i="3"/>
  <c r="N193" i="3"/>
  <c r="N194" i="3"/>
  <c r="N195" i="3"/>
  <c r="N196" i="3"/>
  <c r="N197" i="3"/>
  <c r="N198" i="3"/>
  <c r="N199" i="3"/>
  <c r="N200" i="3"/>
  <c r="N201" i="3"/>
  <c r="N202" i="3"/>
  <c r="N203" i="3"/>
  <c r="N204" i="3"/>
  <c r="N205" i="3"/>
  <c r="N206" i="3"/>
  <c r="N207" i="3"/>
  <c r="N208" i="3"/>
  <c r="N209" i="3"/>
  <c r="N210" i="3"/>
  <c r="N211" i="3"/>
  <c r="N212" i="3"/>
  <c r="N213" i="3"/>
  <c r="N214" i="3"/>
  <c r="N215" i="3"/>
  <c r="N216" i="3"/>
  <c r="N217" i="3"/>
  <c r="N218" i="3"/>
  <c r="N219" i="3"/>
  <c r="N220" i="3"/>
  <c r="N221" i="3"/>
  <c r="N222" i="3"/>
  <c r="N223" i="3"/>
  <c r="N224" i="3"/>
  <c r="N225" i="3"/>
  <c r="N226" i="3"/>
  <c r="N227" i="3"/>
  <c r="N228" i="3"/>
  <c r="N229" i="3"/>
  <c r="N230" i="3"/>
  <c r="N231" i="3"/>
  <c r="N232" i="3"/>
  <c r="N233" i="3"/>
  <c r="N234" i="3"/>
  <c r="N235" i="3"/>
  <c r="N236" i="3"/>
  <c r="N237" i="3"/>
  <c r="N238" i="3"/>
  <c r="N239" i="3"/>
  <c r="N240" i="3"/>
  <c r="N241" i="3"/>
  <c r="N242" i="3"/>
  <c r="N243" i="3"/>
  <c r="N244" i="3"/>
  <c r="N245" i="3"/>
  <c r="N246" i="3"/>
  <c r="N247" i="3"/>
  <c r="N248" i="3"/>
  <c r="N249" i="3"/>
  <c r="N250" i="3"/>
  <c r="N251" i="3"/>
  <c r="N252" i="3"/>
  <c r="N253" i="3"/>
  <c r="N254" i="3"/>
  <c r="N255" i="3"/>
  <c r="N256" i="3"/>
  <c r="N257" i="3"/>
  <c r="N258" i="3"/>
  <c r="N259" i="3"/>
  <c r="N260" i="3"/>
  <c r="N261" i="3"/>
  <c r="N262" i="3"/>
  <c r="N263" i="3"/>
  <c r="N264" i="3"/>
  <c r="N265" i="3"/>
  <c r="N266" i="3"/>
  <c r="N267" i="3"/>
  <c r="N268" i="3"/>
  <c r="N269" i="3"/>
  <c r="N270" i="3"/>
  <c r="N271" i="3"/>
  <c r="N272" i="3"/>
  <c r="N273" i="3"/>
  <c r="N274" i="3"/>
  <c r="N275" i="3"/>
  <c r="N276" i="3"/>
  <c r="N277" i="3"/>
  <c r="N278" i="3"/>
  <c r="N279" i="3"/>
  <c r="N280" i="3"/>
  <c r="N281" i="3"/>
  <c r="N282" i="3"/>
  <c r="N283" i="3"/>
  <c r="N284" i="3"/>
  <c r="N285" i="3"/>
  <c r="N286" i="3"/>
  <c r="N287" i="3"/>
  <c r="N288" i="3"/>
  <c r="N289" i="3"/>
  <c r="N290" i="3"/>
  <c r="N291" i="3"/>
  <c r="N292" i="3"/>
  <c r="N293" i="3"/>
  <c r="N294" i="3"/>
  <c r="N295" i="3"/>
  <c r="N296" i="3"/>
  <c r="N297" i="3"/>
  <c r="N298" i="3"/>
  <c r="N299" i="3"/>
  <c r="N300" i="3"/>
  <c r="N301" i="3"/>
  <c r="N302" i="3"/>
  <c r="N303" i="3"/>
  <c r="N304" i="3"/>
  <c r="N305" i="3"/>
  <c r="N306" i="3"/>
  <c r="N307" i="3"/>
  <c r="N308" i="3"/>
  <c r="N309" i="3"/>
  <c r="N310" i="3"/>
  <c r="N311" i="3"/>
  <c r="N312" i="3"/>
  <c r="N313" i="3"/>
  <c r="N314" i="3"/>
  <c r="N315" i="3"/>
  <c r="N316" i="3"/>
  <c r="N317" i="3"/>
  <c r="N318" i="3"/>
  <c r="N319" i="3"/>
  <c r="N320" i="3"/>
  <c r="N321" i="3"/>
  <c r="N322" i="3"/>
  <c r="N323" i="3"/>
  <c r="N324" i="3"/>
  <c r="N325" i="3"/>
  <c r="N326" i="3"/>
  <c r="N327" i="3"/>
  <c r="N328" i="3"/>
  <c r="N329" i="3"/>
  <c r="N330" i="3"/>
  <c r="N331" i="3"/>
  <c r="N332" i="3"/>
  <c r="N333" i="3"/>
  <c r="N334" i="3"/>
  <c r="N335" i="3"/>
  <c r="N336" i="3"/>
  <c r="N337" i="3"/>
  <c r="N338" i="3"/>
  <c r="N339" i="3"/>
  <c r="N340" i="3"/>
  <c r="N341" i="3"/>
  <c r="N342" i="3"/>
  <c r="N343" i="3"/>
  <c r="N344" i="3"/>
  <c r="N345" i="3"/>
  <c r="N346" i="3"/>
  <c r="N347" i="3"/>
  <c r="N348" i="3"/>
  <c r="N349" i="3"/>
  <c r="N350" i="3"/>
  <c r="N351" i="3"/>
  <c r="N352" i="3"/>
  <c r="N353" i="3"/>
  <c r="N354" i="3"/>
  <c r="N355" i="3"/>
  <c r="N356" i="3"/>
  <c r="N357" i="3"/>
  <c r="N358" i="3"/>
  <c r="N359" i="3"/>
  <c r="N360" i="3"/>
  <c r="N361" i="3"/>
  <c r="N362" i="3"/>
  <c r="N363" i="3"/>
  <c r="N364" i="3"/>
  <c r="N365" i="3"/>
  <c r="N366" i="3"/>
  <c r="N367" i="3"/>
  <c r="N368" i="3"/>
  <c r="N369" i="3"/>
  <c r="N370" i="3"/>
  <c r="N371" i="3"/>
  <c r="N372" i="3"/>
  <c r="N373" i="3"/>
  <c r="N374" i="3"/>
  <c r="N375" i="3"/>
  <c r="N376" i="3"/>
  <c r="N377" i="3"/>
  <c r="N378" i="3"/>
  <c r="N379" i="3"/>
  <c r="N380" i="3"/>
  <c r="N381" i="3"/>
  <c r="N382" i="3"/>
  <c r="N383" i="3"/>
  <c r="N384" i="3"/>
  <c r="N385" i="3"/>
  <c r="N386" i="3"/>
  <c r="N387" i="3"/>
  <c r="N388" i="3"/>
  <c r="N389" i="3"/>
  <c r="N390" i="3"/>
  <c r="N391" i="3"/>
  <c r="N392" i="3"/>
  <c r="N393" i="3"/>
  <c r="N394" i="3"/>
  <c r="N395" i="3"/>
  <c r="N396" i="3"/>
  <c r="N397" i="3"/>
  <c r="N398" i="3"/>
  <c r="N399" i="3"/>
  <c r="N400" i="3"/>
  <c r="N401" i="3"/>
  <c r="N402" i="3"/>
  <c r="N403" i="3"/>
  <c r="N404" i="3"/>
  <c r="N405" i="3"/>
  <c r="N406" i="3"/>
  <c r="N407" i="3"/>
  <c r="N408" i="3"/>
  <c r="N409" i="3"/>
  <c r="N410" i="3"/>
  <c r="N411" i="3"/>
  <c r="N412" i="3"/>
  <c r="N413" i="3"/>
  <c r="N414" i="3"/>
  <c r="N415" i="3"/>
  <c r="N416" i="3"/>
  <c r="N417" i="3"/>
  <c r="N418" i="3"/>
  <c r="N419" i="3"/>
  <c r="N420" i="3"/>
  <c r="N421" i="3"/>
  <c r="N422" i="3"/>
  <c r="N423" i="3"/>
  <c r="N424" i="3"/>
  <c r="N425" i="3"/>
  <c r="N426" i="3"/>
  <c r="N427" i="3"/>
  <c r="N428" i="3"/>
  <c r="N429" i="3"/>
  <c r="N430" i="3"/>
  <c r="N431" i="3"/>
  <c r="N432" i="3"/>
  <c r="N433" i="3"/>
  <c r="N434" i="3"/>
  <c r="N435" i="3"/>
  <c r="N436" i="3"/>
  <c r="N437" i="3"/>
  <c r="N438" i="3"/>
  <c r="N439" i="3"/>
  <c r="N440" i="3"/>
  <c r="N441" i="3"/>
  <c r="N442" i="3"/>
  <c r="N443" i="3"/>
  <c r="N444" i="3"/>
  <c r="N445" i="3"/>
  <c r="N446" i="3"/>
  <c r="N447" i="3"/>
  <c r="N448" i="3"/>
  <c r="N449" i="3"/>
  <c r="N450" i="3"/>
  <c r="N451" i="3"/>
  <c r="N452" i="3"/>
  <c r="N453" i="3"/>
  <c r="N454" i="3"/>
  <c r="N455" i="3"/>
  <c r="N456" i="3"/>
  <c r="N457" i="3"/>
  <c r="N458" i="3"/>
  <c r="N459" i="3"/>
  <c r="N460" i="3"/>
  <c r="N461" i="3"/>
  <c r="N462" i="3"/>
  <c r="N463" i="3"/>
  <c r="N464" i="3"/>
  <c r="N465" i="3"/>
  <c r="N466" i="3"/>
  <c r="N467" i="3"/>
  <c r="N468" i="3"/>
  <c r="N469" i="3"/>
  <c r="N470" i="3"/>
  <c r="N471" i="3"/>
  <c r="N472" i="3"/>
  <c r="N473" i="3"/>
  <c r="N474" i="3"/>
  <c r="N475" i="3"/>
  <c r="N476" i="3"/>
  <c r="N477" i="3"/>
  <c r="N478" i="3"/>
  <c r="N479" i="3"/>
  <c r="N480" i="3"/>
  <c r="N481" i="3"/>
  <c r="N482" i="3"/>
  <c r="N483" i="3"/>
  <c r="N484" i="3"/>
  <c r="N485" i="3"/>
  <c r="N486" i="3"/>
  <c r="N487" i="3"/>
  <c r="N488" i="3"/>
  <c r="N489" i="3"/>
  <c r="N490" i="3"/>
  <c r="N491" i="3"/>
  <c r="N492" i="3"/>
  <c r="N493" i="3"/>
  <c r="N494" i="3"/>
  <c r="N495" i="3"/>
  <c r="N496" i="3"/>
  <c r="N497" i="3"/>
  <c r="N498" i="3"/>
  <c r="N499" i="3"/>
  <c r="N500" i="3"/>
  <c r="N501" i="3"/>
  <c r="N502" i="3"/>
  <c r="N503" i="3"/>
  <c r="N504" i="3"/>
  <c r="N505" i="3"/>
  <c r="N506" i="3"/>
  <c r="N507" i="3"/>
  <c r="N508" i="3"/>
  <c r="N509" i="3"/>
  <c r="N510" i="3"/>
  <c r="N511" i="3"/>
  <c r="N512" i="3"/>
  <c r="N513" i="3"/>
  <c r="N514" i="3"/>
  <c r="N515" i="3"/>
  <c r="N516" i="3"/>
  <c r="N517" i="3"/>
  <c r="N518" i="3"/>
  <c r="N519" i="3"/>
  <c r="N520" i="3"/>
  <c r="N521" i="3"/>
  <c r="N522" i="3"/>
  <c r="N523" i="3"/>
  <c r="N524" i="3"/>
  <c r="N525" i="3"/>
  <c r="N526" i="3"/>
  <c r="N527" i="3"/>
  <c r="N528" i="3"/>
  <c r="N529" i="3"/>
  <c r="N530" i="3"/>
  <c r="N531" i="3"/>
  <c r="N532" i="3"/>
  <c r="N533" i="3"/>
  <c r="N534" i="3"/>
  <c r="N535" i="3"/>
  <c r="N536" i="3"/>
  <c r="N537" i="3"/>
  <c r="N538" i="3"/>
  <c r="N539" i="3"/>
  <c r="N540" i="3"/>
  <c r="N541" i="3"/>
  <c r="N542" i="3"/>
  <c r="N543" i="3"/>
  <c r="N544" i="3"/>
  <c r="N545" i="3"/>
  <c r="N546" i="3"/>
  <c r="N547" i="3"/>
  <c r="N548" i="3"/>
  <c r="N549" i="3"/>
  <c r="N550" i="3"/>
  <c r="N551" i="3"/>
  <c r="N552" i="3"/>
  <c r="N553" i="3"/>
  <c r="N554" i="3"/>
  <c r="N555" i="3"/>
  <c r="N556" i="3"/>
  <c r="N557" i="3"/>
  <c r="N558" i="3"/>
  <c r="N559" i="3"/>
  <c r="N560" i="3"/>
  <c r="N561" i="3"/>
  <c r="N562" i="3"/>
  <c r="N563" i="3"/>
  <c r="N564" i="3"/>
  <c r="N565" i="3"/>
  <c r="N566" i="3"/>
  <c r="N567" i="3"/>
  <c r="N568" i="3"/>
  <c r="N569" i="3"/>
  <c r="N570" i="3"/>
  <c r="N571" i="3"/>
  <c r="N572" i="3"/>
  <c r="N573" i="3"/>
  <c r="N574" i="3"/>
  <c r="N575" i="3"/>
  <c r="N576" i="3"/>
  <c r="N577" i="3"/>
  <c r="N578" i="3"/>
  <c r="N579" i="3"/>
  <c r="N580" i="3"/>
  <c r="N581" i="3"/>
  <c r="N582" i="3"/>
  <c r="N583" i="3"/>
  <c r="N584" i="3"/>
  <c r="N585" i="3"/>
  <c r="N586" i="3"/>
  <c r="N587" i="3"/>
  <c r="N588" i="3"/>
  <c r="N589" i="3"/>
  <c r="N590" i="3"/>
  <c r="N591" i="3"/>
  <c r="N592" i="3"/>
  <c r="N593" i="3"/>
  <c r="N594" i="3"/>
  <c r="N595" i="3"/>
  <c r="N596" i="3"/>
  <c r="N597" i="3"/>
  <c r="N598" i="3"/>
  <c r="N599" i="3"/>
  <c r="N600" i="3"/>
  <c r="N601" i="3"/>
  <c r="N602" i="3"/>
  <c r="N603" i="3"/>
  <c r="N604" i="3"/>
  <c r="N605" i="3"/>
  <c r="N606" i="3"/>
  <c r="N607" i="3"/>
  <c r="N608" i="3"/>
  <c r="N609" i="3"/>
  <c r="N610" i="3"/>
  <c r="N611" i="3"/>
  <c r="N612" i="3"/>
  <c r="N613" i="3"/>
  <c r="N614" i="3"/>
  <c r="N615" i="3"/>
  <c r="N616" i="3"/>
  <c r="N617" i="3"/>
  <c r="N618" i="3"/>
  <c r="N619" i="3"/>
  <c r="N620" i="3"/>
  <c r="N621" i="3"/>
  <c r="N622" i="3"/>
  <c r="N623" i="3"/>
  <c r="N624" i="3"/>
  <c r="N625" i="3"/>
  <c r="N626" i="3"/>
  <c r="N627" i="3"/>
  <c r="N628" i="3"/>
  <c r="N629" i="3"/>
  <c r="N630" i="3"/>
  <c r="N631" i="3"/>
  <c r="N632" i="3"/>
  <c r="N633" i="3"/>
  <c r="N634" i="3"/>
  <c r="N635" i="3"/>
  <c r="N636" i="3"/>
  <c r="N637" i="3"/>
  <c r="N638" i="3"/>
  <c r="N639" i="3"/>
  <c r="N640" i="3"/>
  <c r="N641" i="3"/>
  <c r="N642" i="3"/>
  <c r="N643" i="3"/>
  <c r="N644" i="3"/>
  <c r="N645" i="3"/>
  <c r="N646" i="3"/>
  <c r="N647" i="3"/>
  <c r="N648" i="3"/>
  <c r="N649" i="3"/>
  <c r="N650" i="3"/>
  <c r="N651" i="3"/>
  <c r="N652" i="3"/>
  <c r="N653" i="3"/>
  <c r="N654" i="3"/>
  <c r="N655" i="3"/>
  <c r="N656" i="3"/>
  <c r="N657" i="3"/>
  <c r="N658" i="3"/>
  <c r="N659" i="3"/>
  <c r="N660" i="3"/>
  <c r="N661" i="3"/>
  <c r="N662" i="3"/>
  <c r="N663" i="3"/>
  <c r="N664" i="3"/>
  <c r="N665" i="3"/>
  <c r="N666" i="3"/>
  <c r="N667" i="3"/>
  <c r="N668" i="3"/>
  <c r="N669" i="3"/>
  <c r="N670" i="3"/>
  <c r="N671" i="3"/>
  <c r="N672" i="3"/>
  <c r="N673" i="3"/>
  <c r="N674" i="3"/>
  <c r="N675" i="3"/>
  <c r="N676" i="3"/>
  <c r="N677" i="3"/>
  <c r="N678" i="3"/>
  <c r="N679" i="3"/>
  <c r="N680" i="3"/>
  <c r="N681" i="3"/>
  <c r="N682" i="3"/>
  <c r="N683" i="3"/>
  <c r="N684" i="3"/>
  <c r="N685" i="3"/>
  <c r="N686" i="3"/>
  <c r="N687" i="3"/>
  <c r="N688" i="3"/>
  <c r="N689" i="3"/>
  <c r="N690" i="3"/>
  <c r="N691" i="3"/>
  <c r="N692" i="3"/>
  <c r="N693" i="3"/>
  <c r="N694" i="3"/>
  <c r="N695" i="3"/>
  <c r="N696" i="3"/>
  <c r="N697" i="3"/>
  <c r="N698" i="3"/>
  <c r="N699" i="3"/>
  <c r="N700" i="3"/>
  <c r="N701" i="3"/>
  <c r="N702" i="3"/>
  <c r="N703" i="3"/>
  <c r="N704" i="3"/>
  <c r="N705" i="3"/>
  <c r="N706" i="3"/>
  <c r="N707" i="3"/>
  <c r="N708" i="3"/>
  <c r="N709" i="3"/>
  <c r="N710" i="3"/>
  <c r="N711" i="3"/>
  <c r="N712" i="3"/>
  <c r="N713" i="3"/>
  <c r="N714" i="3"/>
  <c r="N715" i="3"/>
  <c r="N716" i="3"/>
  <c r="N717" i="3"/>
  <c r="N718" i="3"/>
  <c r="N719" i="3"/>
  <c r="N720" i="3"/>
  <c r="N721" i="3"/>
  <c r="N722" i="3"/>
  <c r="N723" i="3"/>
  <c r="N724" i="3"/>
  <c r="N725" i="3"/>
  <c r="N726" i="3"/>
  <c r="N727" i="3"/>
  <c r="N728" i="3"/>
  <c r="N729" i="3"/>
  <c r="N730" i="3"/>
  <c r="N731" i="3"/>
  <c r="N732" i="3"/>
  <c r="N733" i="3"/>
  <c r="N734" i="3"/>
  <c r="N735" i="3"/>
  <c r="N736" i="3"/>
  <c r="N737" i="3"/>
  <c r="N738" i="3"/>
  <c r="N739" i="3"/>
  <c r="N740" i="3"/>
  <c r="N741" i="3"/>
  <c r="N742" i="3"/>
  <c r="N743" i="3"/>
  <c r="N744" i="3"/>
  <c r="N745" i="3"/>
  <c r="N746" i="3"/>
  <c r="N747" i="3"/>
  <c r="N748" i="3"/>
  <c r="N749" i="3"/>
  <c r="N750" i="3"/>
  <c r="N751" i="3"/>
  <c r="N752" i="3"/>
  <c r="N753" i="3"/>
  <c r="N754" i="3"/>
  <c r="N755" i="3"/>
  <c r="N756" i="3"/>
  <c r="N757" i="3"/>
  <c r="N758" i="3"/>
  <c r="N759" i="3"/>
  <c r="N760" i="3"/>
  <c r="N761" i="3"/>
  <c r="N762" i="3"/>
  <c r="N763" i="3"/>
  <c r="N764" i="3"/>
  <c r="N765" i="3"/>
  <c r="N766" i="3"/>
  <c r="N767" i="3"/>
  <c r="N768" i="3"/>
  <c r="N769" i="3"/>
  <c r="N770" i="3"/>
  <c r="N771" i="3"/>
  <c r="N772" i="3"/>
  <c r="N773" i="3"/>
  <c r="N774" i="3"/>
  <c r="N775" i="3"/>
  <c r="N776" i="3"/>
  <c r="N777" i="3"/>
  <c r="N778" i="3"/>
  <c r="N779" i="3"/>
  <c r="N780" i="3"/>
  <c r="N781" i="3"/>
  <c r="N782" i="3"/>
  <c r="N783" i="3"/>
  <c r="N784" i="3"/>
  <c r="N785" i="3"/>
  <c r="N786" i="3"/>
  <c r="N787" i="3"/>
  <c r="N788" i="3"/>
  <c r="N789" i="3"/>
  <c r="N790" i="3"/>
  <c r="N791" i="3"/>
  <c r="N792" i="3"/>
  <c r="N793" i="3"/>
  <c r="N794" i="3"/>
  <c r="N795" i="3"/>
  <c r="N796" i="3"/>
  <c r="N797" i="3"/>
  <c r="N798" i="3"/>
  <c r="N799" i="3"/>
  <c r="N800" i="3"/>
  <c r="N801" i="3"/>
  <c r="N802" i="3"/>
  <c r="N803" i="3"/>
  <c r="N804" i="3"/>
  <c r="N805" i="3"/>
  <c r="N806" i="3"/>
  <c r="N807" i="3"/>
  <c r="N808" i="3"/>
  <c r="N809" i="3"/>
  <c r="N810" i="3"/>
  <c r="N811" i="3"/>
  <c r="N812" i="3"/>
  <c r="N813" i="3"/>
  <c r="N814" i="3"/>
  <c r="N815" i="3"/>
  <c r="N816" i="3"/>
  <c r="N817" i="3"/>
  <c r="N818" i="3"/>
  <c r="N819" i="3"/>
  <c r="N820" i="3"/>
  <c r="N821" i="3"/>
  <c r="N822" i="3"/>
  <c r="N823" i="3"/>
  <c r="N824" i="3"/>
  <c r="N825" i="3"/>
  <c r="N826" i="3"/>
  <c r="N827" i="3"/>
  <c r="N828" i="3"/>
  <c r="N829" i="3"/>
  <c r="N830" i="3"/>
  <c r="N831" i="3"/>
  <c r="N832" i="3"/>
  <c r="N833" i="3"/>
  <c r="N834" i="3"/>
  <c r="N835" i="3"/>
  <c r="N836" i="3"/>
  <c r="N837" i="3"/>
  <c r="N838" i="3"/>
  <c r="N839" i="3"/>
  <c r="N840" i="3"/>
  <c r="N841" i="3"/>
  <c r="N842" i="3"/>
  <c r="N843" i="3"/>
  <c r="N844" i="3"/>
  <c r="N845" i="3"/>
  <c r="N846" i="3"/>
  <c r="N847" i="3"/>
  <c r="N848" i="3"/>
  <c r="N849" i="3"/>
  <c r="N850" i="3"/>
  <c r="N851" i="3"/>
  <c r="N852" i="3"/>
  <c r="N853" i="3"/>
  <c r="N854" i="3"/>
  <c r="N855" i="3"/>
  <c r="N856" i="3"/>
  <c r="N857" i="3"/>
  <c r="N858" i="3"/>
  <c r="N859" i="3"/>
  <c r="N860" i="3"/>
  <c r="N861" i="3"/>
  <c r="N862" i="3"/>
  <c r="N863" i="3"/>
  <c r="N864" i="3"/>
  <c r="N865" i="3"/>
  <c r="N866" i="3"/>
  <c r="N867" i="3"/>
  <c r="N868" i="3"/>
  <c r="N869" i="3"/>
  <c r="N870" i="3"/>
  <c r="N871" i="3"/>
  <c r="N872" i="3"/>
  <c r="N873" i="3"/>
  <c r="N874" i="3"/>
  <c r="N875" i="3"/>
  <c r="N876" i="3"/>
  <c r="N877" i="3"/>
  <c r="N878" i="3"/>
  <c r="N879" i="3"/>
  <c r="N880" i="3"/>
  <c r="N881" i="3"/>
  <c r="N882" i="3"/>
  <c r="N883" i="3"/>
  <c r="N884" i="3"/>
  <c r="N885" i="3"/>
  <c r="N886" i="3"/>
  <c r="N887" i="3"/>
  <c r="N888" i="3"/>
  <c r="N889" i="3"/>
  <c r="N890" i="3"/>
  <c r="N891" i="3"/>
  <c r="N892" i="3"/>
  <c r="N893" i="3"/>
  <c r="N894" i="3"/>
  <c r="N895" i="3"/>
  <c r="N896" i="3"/>
  <c r="N897" i="3"/>
  <c r="N898" i="3"/>
  <c r="N899" i="3"/>
  <c r="N900" i="3"/>
  <c r="N901" i="3"/>
  <c r="N902" i="3"/>
  <c r="N903" i="3"/>
  <c r="N904" i="3"/>
  <c r="N905" i="3"/>
  <c r="N906" i="3"/>
  <c r="N907" i="3"/>
  <c r="N908" i="3"/>
  <c r="N909" i="3"/>
  <c r="N910" i="3"/>
  <c r="N911" i="3"/>
  <c r="N912" i="3"/>
  <c r="N913" i="3"/>
  <c r="N914" i="3"/>
  <c r="N915" i="3"/>
  <c r="N916" i="3"/>
  <c r="N917" i="3"/>
  <c r="N918" i="3"/>
  <c r="N919" i="3"/>
  <c r="N920" i="3"/>
  <c r="N921" i="3"/>
  <c r="N922" i="3"/>
  <c r="N923" i="3"/>
  <c r="N924" i="3"/>
  <c r="N925" i="3"/>
  <c r="N926" i="3"/>
  <c r="N927" i="3"/>
  <c r="N928" i="3"/>
  <c r="N929" i="3"/>
  <c r="N930" i="3"/>
  <c r="N931" i="3"/>
  <c r="N932" i="3"/>
  <c r="N933" i="3"/>
  <c r="N934" i="3"/>
  <c r="N935" i="3"/>
  <c r="N936" i="3"/>
  <c r="N937" i="3"/>
  <c r="N938" i="3"/>
  <c r="N939" i="3"/>
  <c r="N940" i="3"/>
  <c r="N941" i="3"/>
  <c r="N942" i="3"/>
  <c r="N943" i="3"/>
  <c r="N944" i="3"/>
  <c r="N945" i="3"/>
  <c r="N946" i="3"/>
  <c r="N947" i="3"/>
  <c r="N948" i="3"/>
  <c r="N949" i="3"/>
  <c r="N950" i="3"/>
  <c r="N951" i="3"/>
  <c r="N952" i="3"/>
  <c r="N953" i="3"/>
  <c r="N954" i="3"/>
  <c r="N955" i="3"/>
  <c r="N956" i="3"/>
  <c r="N957" i="3"/>
  <c r="N958" i="3"/>
  <c r="N959" i="3"/>
  <c r="N960" i="3"/>
  <c r="N961" i="3"/>
  <c r="N962" i="3"/>
  <c r="N963" i="3"/>
  <c r="N964" i="3"/>
  <c r="N965" i="3"/>
  <c r="N966" i="3"/>
  <c r="N967" i="3"/>
  <c r="N968" i="3"/>
  <c r="N969" i="3"/>
  <c r="N970" i="3"/>
  <c r="N971" i="3"/>
  <c r="N972" i="3"/>
  <c r="N973" i="3"/>
  <c r="N974" i="3"/>
  <c r="N975" i="3"/>
  <c r="N976" i="3"/>
  <c r="N977" i="3"/>
  <c r="N978" i="3"/>
  <c r="N979" i="3"/>
  <c r="N980" i="3"/>
  <c r="N981" i="3"/>
  <c r="N982" i="3"/>
  <c r="N983" i="3"/>
  <c r="N984" i="3"/>
  <c r="N985" i="3"/>
  <c r="N986" i="3"/>
  <c r="N987" i="3"/>
  <c r="N988" i="3"/>
  <c r="N989" i="3"/>
  <c r="N990" i="3"/>
  <c r="N991" i="3"/>
  <c r="N992" i="3"/>
  <c r="N993" i="3"/>
  <c r="N994" i="3"/>
  <c r="N995" i="3"/>
  <c r="N996" i="3"/>
  <c r="N997" i="3"/>
  <c r="N998" i="3"/>
  <c r="N999" i="3"/>
  <c r="N1000" i="3"/>
  <c r="N1001" i="3"/>
  <c r="N1002" i="3"/>
  <c r="N1003" i="3"/>
  <c r="N1004" i="3"/>
  <c r="N1005" i="3"/>
  <c r="N1006" i="3"/>
  <c r="N1007" i="3"/>
  <c r="N1008" i="3"/>
  <c r="N1009" i="3"/>
  <c r="N1010" i="3"/>
  <c r="N1011" i="3"/>
  <c r="N1012" i="3"/>
  <c r="N1013" i="3"/>
  <c r="N1014" i="3"/>
  <c r="N1015" i="3"/>
  <c r="N1016" i="3"/>
  <c r="N1017" i="3"/>
  <c r="N1018" i="3"/>
  <c r="N1019" i="3"/>
  <c r="N1020" i="3"/>
  <c r="N1021" i="3"/>
  <c r="N1022" i="3"/>
  <c r="N1023" i="3"/>
  <c r="N1024" i="3"/>
  <c r="N1025" i="3"/>
  <c r="N1026" i="3"/>
  <c r="N1027" i="3"/>
  <c r="N1028" i="3"/>
  <c r="N1029" i="3"/>
  <c r="N1030" i="3"/>
  <c r="N1031" i="3"/>
  <c r="N1032" i="3"/>
  <c r="N1033" i="3"/>
  <c r="N1034" i="3"/>
  <c r="N1035" i="3"/>
  <c r="N1036" i="3"/>
  <c r="N1037" i="3"/>
  <c r="N1038" i="3"/>
  <c r="N1039" i="3"/>
  <c r="N1040" i="3"/>
  <c r="N1041" i="3"/>
  <c r="N1042" i="3"/>
  <c r="N1043" i="3"/>
  <c r="N1044" i="3"/>
  <c r="N1045" i="3"/>
  <c r="N1046" i="3"/>
  <c r="N1047" i="3"/>
  <c r="N1048" i="3"/>
  <c r="N1049" i="3"/>
  <c r="N1050" i="3"/>
  <c r="N1051" i="3"/>
  <c r="N1052" i="3"/>
  <c r="N1053" i="3"/>
  <c r="N1054" i="3"/>
  <c r="N1055" i="3"/>
  <c r="N1056" i="3"/>
  <c r="N1057" i="3"/>
  <c r="N1058" i="3"/>
  <c r="N1059" i="3"/>
  <c r="N1060" i="3"/>
  <c r="N1061" i="3"/>
  <c r="N1062" i="3"/>
  <c r="N1063" i="3"/>
  <c r="N1064" i="3"/>
  <c r="N1065" i="3"/>
  <c r="N1066" i="3"/>
  <c r="N1067" i="3"/>
  <c r="N1068" i="3"/>
  <c r="N1069" i="3"/>
  <c r="N1070" i="3"/>
  <c r="N1071" i="3"/>
  <c r="N1072" i="3"/>
  <c r="N1073" i="3"/>
  <c r="N1074" i="3"/>
  <c r="N1075" i="3"/>
  <c r="N1076" i="3"/>
  <c r="N1077" i="3"/>
  <c r="N1078" i="3"/>
  <c r="N1079" i="3"/>
  <c r="N1080" i="3"/>
  <c r="N1081" i="3"/>
  <c r="N1082" i="3"/>
  <c r="N1083" i="3"/>
  <c r="N1084" i="3"/>
  <c r="N1085" i="3"/>
  <c r="N1086" i="3"/>
  <c r="N1087" i="3"/>
  <c r="N1088" i="3"/>
  <c r="N1089" i="3"/>
  <c r="N1090" i="3"/>
  <c r="N1091" i="3"/>
  <c r="N1092" i="3"/>
  <c r="N1093" i="3"/>
  <c r="N1094" i="3"/>
  <c r="N1095" i="3"/>
  <c r="N1096" i="3"/>
  <c r="N1097" i="3"/>
  <c r="N1098" i="3"/>
  <c r="N1099" i="3"/>
  <c r="N1100" i="3"/>
  <c r="N1101" i="3"/>
  <c r="N1102" i="3"/>
  <c r="N1103" i="3"/>
  <c r="N1104" i="3"/>
  <c r="N1105" i="3"/>
  <c r="N1106" i="3"/>
  <c r="N1107" i="3"/>
  <c r="N1108" i="3"/>
  <c r="N1109" i="3"/>
  <c r="N1110" i="3"/>
  <c r="N1111" i="3"/>
  <c r="N1112" i="3"/>
  <c r="N1113" i="3"/>
  <c r="N1114" i="3"/>
  <c r="N1115" i="3"/>
  <c r="N1116" i="3"/>
  <c r="N1117" i="3"/>
  <c r="N1118" i="3"/>
  <c r="N1119" i="3"/>
  <c r="N1120" i="3"/>
  <c r="N1121" i="3"/>
  <c r="N1122" i="3"/>
  <c r="N1123" i="3"/>
  <c r="N1124" i="3"/>
  <c r="N1125" i="3"/>
  <c r="N1126" i="3"/>
  <c r="N1127" i="3"/>
  <c r="N1128" i="3"/>
  <c r="N1129" i="3"/>
  <c r="N1130" i="3"/>
  <c r="N1131" i="3"/>
  <c r="N1132" i="3"/>
  <c r="N1133" i="3"/>
  <c r="N1134" i="3"/>
  <c r="N1135" i="3"/>
  <c r="N1136" i="3"/>
  <c r="N1137" i="3"/>
  <c r="N1138" i="3"/>
  <c r="N1139" i="3"/>
  <c r="N1140" i="3"/>
  <c r="N1141" i="3"/>
  <c r="N1142" i="3"/>
  <c r="N1143" i="3"/>
  <c r="N1144" i="3"/>
  <c r="N1145" i="3"/>
  <c r="N1146" i="3"/>
  <c r="N1147" i="3"/>
  <c r="N1148" i="3"/>
  <c r="N1149" i="3"/>
  <c r="N1150" i="3"/>
  <c r="N1151" i="3"/>
  <c r="N1152" i="3"/>
  <c r="N1153" i="3"/>
  <c r="N1154" i="3"/>
  <c r="N1155" i="3"/>
  <c r="N1156" i="3"/>
  <c r="N1157" i="3"/>
  <c r="N1158" i="3"/>
  <c r="N1159" i="3"/>
  <c r="N1160" i="3"/>
  <c r="N1161" i="3"/>
  <c r="N1162" i="3"/>
  <c r="N1163" i="3"/>
  <c r="N1164" i="3"/>
  <c r="N1165" i="3"/>
  <c r="N1166" i="3"/>
  <c r="N1167" i="3"/>
  <c r="N1168" i="3"/>
  <c r="N1169" i="3"/>
  <c r="N1170" i="3"/>
  <c r="N1171" i="3"/>
  <c r="N1172" i="3"/>
  <c r="N1173" i="3"/>
  <c r="N1174" i="3"/>
  <c r="N1175" i="3"/>
  <c r="N1176" i="3"/>
  <c r="N1177" i="3"/>
  <c r="N1178" i="3"/>
  <c r="N1179" i="3"/>
  <c r="N1180" i="3"/>
  <c r="N1181" i="3"/>
  <c r="N1182" i="3"/>
  <c r="N1183" i="3"/>
  <c r="N1184" i="3"/>
  <c r="N1185" i="3"/>
  <c r="N1186" i="3"/>
  <c r="N1187" i="3"/>
  <c r="N1188" i="3"/>
  <c r="N1189" i="3"/>
  <c r="N1190" i="3"/>
  <c r="N1191" i="3"/>
  <c r="N1192" i="3"/>
  <c r="N1193" i="3"/>
  <c r="N1194" i="3"/>
  <c r="N1195" i="3"/>
  <c r="N1196" i="3"/>
  <c r="N1197" i="3"/>
  <c r="N1198" i="3"/>
  <c r="N1199" i="3"/>
  <c r="N1200" i="3"/>
  <c r="N1201" i="3"/>
  <c r="N1202" i="3"/>
  <c r="N1203" i="3"/>
  <c r="N1204" i="3"/>
  <c r="N1205" i="3"/>
  <c r="N1206" i="3"/>
  <c r="N1207" i="3"/>
  <c r="N1208" i="3"/>
  <c r="N1209" i="3"/>
  <c r="N1210" i="3"/>
  <c r="N1211" i="3"/>
  <c r="N1212" i="3"/>
  <c r="N1213" i="3"/>
  <c r="N1214" i="3"/>
  <c r="N1215" i="3"/>
  <c r="N1216" i="3"/>
  <c r="N1217" i="3"/>
  <c r="N1218" i="3"/>
  <c r="N1219" i="3"/>
  <c r="N1220" i="3"/>
  <c r="N1221" i="3"/>
  <c r="N1222" i="3"/>
  <c r="N1223" i="3"/>
  <c r="N1224" i="3"/>
  <c r="N1225" i="3"/>
  <c r="N1226" i="3"/>
  <c r="N1227" i="3"/>
  <c r="N1228" i="3"/>
  <c r="N1229" i="3"/>
  <c r="N1230" i="3"/>
  <c r="N1231" i="3"/>
  <c r="N1232" i="3"/>
  <c r="N1233" i="3"/>
  <c r="N1234" i="3"/>
  <c r="N1235" i="3"/>
  <c r="N1236" i="3"/>
  <c r="N1237" i="3"/>
  <c r="N1238" i="3"/>
  <c r="N1239" i="3"/>
  <c r="N1240" i="3"/>
  <c r="N1241" i="3"/>
  <c r="N1242" i="3"/>
  <c r="N1243" i="3"/>
  <c r="N1244" i="3"/>
  <c r="N1245" i="3"/>
  <c r="N1246" i="3"/>
  <c r="N1247" i="3"/>
  <c r="N1248" i="3"/>
  <c r="N1249" i="3"/>
  <c r="N1250" i="3"/>
  <c r="N1251" i="3"/>
  <c r="N1252" i="3"/>
  <c r="N1253" i="3"/>
  <c r="N1254" i="3"/>
  <c r="N1255" i="3"/>
  <c r="N1256" i="3"/>
  <c r="N1257" i="3"/>
  <c r="N1258" i="3"/>
  <c r="N1259" i="3"/>
  <c r="N1260" i="3"/>
  <c r="N1261" i="3"/>
  <c r="N1262" i="3"/>
  <c r="N1263" i="3"/>
  <c r="N1264" i="3"/>
  <c r="N1265" i="3"/>
  <c r="N1266" i="3"/>
  <c r="N1267" i="3"/>
  <c r="N1268" i="3"/>
  <c r="N1269" i="3"/>
  <c r="N1270" i="3"/>
  <c r="N1271" i="3"/>
  <c r="N1272" i="3"/>
  <c r="N1273" i="3"/>
  <c r="N1274" i="3"/>
  <c r="N1275" i="3"/>
  <c r="N1276" i="3"/>
  <c r="N1277" i="3"/>
  <c r="N1278" i="3"/>
  <c r="N1279" i="3"/>
  <c r="N1280" i="3"/>
  <c r="N1281" i="3"/>
  <c r="N1282" i="3"/>
  <c r="N1283" i="3"/>
  <c r="N1284" i="3"/>
  <c r="N1285" i="3"/>
  <c r="N1286" i="3"/>
  <c r="N1287" i="3"/>
  <c r="N1288" i="3"/>
  <c r="N1289" i="3"/>
  <c r="N1290" i="3"/>
  <c r="N1291" i="3"/>
  <c r="N1292" i="3"/>
  <c r="N1293" i="3"/>
  <c r="N1294" i="3"/>
  <c r="N1295" i="3"/>
  <c r="N1296" i="3"/>
  <c r="N1297" i="3"/>
  <c r="N1298" i="3"/>
  <c r="N1299" i="3"/>
  <c r="N1300" i="3"/>
  <c r="N1301" i="3"/>
  <c r="N1302" i="3"/>
  <c r="N1303" i="3"/>
  <c r="N1304" i="3"/>
  <c r="N1305" i="3"/>
  <c r="N1306" i="3"/>
  <c r="N1307" i="3"/>
  <c r="N1308" i="3"/>
  <c r="N1309" i="3"/>
  <c r="N1310" i="3"/>
  <c r="N1311" i="3"/>
  <c r="N1312" i="3"/>
  <c r="N1313" i="3"/>
  <c r="N1314" i="3"/>
  <c r="N1315" i="3"/>
  <c r="N1316" i="3"/>
  <c r="N1317" i="3"/>
  <c r="N1318" i="3"/>
  <c r="N1319" i="3"/>
  <c r="N1320" i="3"/>
  <c r="N1321" i="3"/>
  <c r="N1322" i="3"/>
  <c r="N1323" i="3"/>
  <c r="N1324" i="3"/>
  <c r="N1325" i="3"/>
  <c r="N1326" i="3"/>
  <c r="N1327" i="3"/>
  <c r="N1328" i="3"/>
  <c r="N1329" i="3"/>
  <c r="N1330" i="3"/>
  <c r="N1331" i="3"/>
  <c r="N1332" i="3"/>
  <c r="N1333" i="3"/>
  <c r="N1334" i="3"/>
  <c r="N1335" i="3"/>
  <c r="N1336" i="3"/>
  <c r="N1337" i="3"/>
  <c r="N1338" i="3"/>
  <c r="N1339" i="3"/>
  <c r="N1340" i="3"/>
  <c r="N1341" i="3"/>
  <c r="N1342" i="3"/>
  <c r="N1343" i="3"/>
  <c r="N1344" i="3"/>
  <c r="N1345" i="3"/>
  <c r="N1346" i="3"/>
  <c r="N1347" i="3"/>
  <c r="N1348" i="3"/>
  <c r="N1349" i="3"/>
  <c r="N1350" i="3"/>
  <c r="N1351" i="3"/>
  <c r="N1352" i="3"/>
  <c r="N1353" i="3"/>
  <c r="N1354" i="3"/>
  <c r="N1355" i="3"/>
  <c r="N1356" i="3"/>
  <c r="N1357" i="3"/>
  <c r="N1358" i="3"/>
  <c r="N1359" i="3"/>
  <c r="N1360" i="3"/>
  <c r="N1361" i="3"/>
  <c r="N1362" i="3"/>
  <c r="N1363" i="3"/>
  <c r="N1364" i="3"/>
  <c r="N1365" i="3"/>
  <c r="N1366" i="3"/>
  <c r="N1367" i="3"/>
  <c r="N1368" i="3"/>
  <c r="N1369" i="3"/>
  <c r="N1370" i="3"/>
  <c r="N1371" i="3"/>
  <c r="N1372" i="3"/>
  <c r="N1373" i="3"/>
  <c r="N1374" i="3"/>
  <c r="N1375" i="3"/>
  <c r="N1376" i="3"/>
  <c r="N1377" i="3"/>
  <c r="N1378" i="3"/>
  <c r="N1379" i="3"/>
  <c r="N1380" i="3"/>
  <c r="N1381" i="3"/>
  <c r="N1382" i="3"/>
  <c r="N1383" i="3"/>
  <c r="N1384" i="3"/>
  <c r="N1385" i="3"/>
  <c r="N1386" i="3"/>
  <c r="N1387" i="3"/>
  <c r="N1388" i="3"/>
  <c r="N1389" i="3"/>
  <c r="N1390" i="3"/>
  <c r="N1391" i="3"/>
  <c r="N1392" i="3"/>
  <c r="N1393" i="3"/>
  <c r="N1394" i="3"/>
  <c r="N1395" i="3"/>
  <c r="N1396" i="3"/>
  <c r="N1397" i="3"/>
  <c r="N1398" i="3"/>
  <c r="N1399" i="3"/>
  <c r="N1400" i="3"/>
  <c r="N1401" i="3"/>
  <c r="N1402" i="3"/>
  <c r="N1403" i="3"/>
  <c r="N1404" i="3"/>
  <c r="N1405" i="3"/>
  <c r="N1406" i="3"/>
  <c r="N1407" i="3"/>
  <c r="N1408" i="3"/>
  <c r="N1409" i="3"/>
  <c r="N1410" i="3"/>
  <c r="N1411" i="3"/>
  <c r="N1412" i="3"/>
  <c r="N1413" i="3"/>
  <c r="N1414" i="3"/>
  <c r="N1415" i="3"/>
  <c r="N1416" i="3"/>
  <c r="N1417" i="3"/>
  <c r="N1418" i="3"/>
  <c r="N1419" i="3"/>
  <c r="N1420" i="3"/>
  <c r="N1421" i="3"/>
  <c r="N1422" i="3"/>
  <c r="N1423" i="3"/>
  <c r="N1424" i="3"/>
  <c r="N1425" i="3"/>
  <c r="N1426" i="3"/>
  <c r="N1427" i="3"/>
  <c r="N1428" i="3"/>
  <c r="N1429" i="3"/>
  <c r="N1430" i="3"/>
  <c r="N1431" i="3"/>
  <c r="N1432" i="3"/>
  <c r="N1433" i="3"/>
  <c r="N1434" i="3"/>
  <c r="N1435" i="3"/>
  <c r="N1436" i="3"/>
  <c r="N1437" i="3"/>
  <c r="N1438" i="3"/>
  <c r="N1439" i="3"/>
  <c r="N1440" i="3"/>
  <c r="N1441" i="3"/>
  <c r="N1442" i="3"/>
  <c r="N1443" i="3"/>
  <c r="N1444" i="3"/>
  <c r="N1445" i="3"/>
  <c r="N1446" i="3"/>
  <c r="N1447" i="3"/>
  <c r="N1448" i="3"/>
  <c r="N1449" i="3"/>
  <c r="N1450" i="3"/>
  <c r="N1451" i="3"/>
  <c r="N1452" i="3"/>
  <c r="N1453" i="3"/>
  <c r="N1454" i="3"/>
  <c r="N1455" i="3"/>
  <c r="N1456" i="3"/>
  <c r="N1457" i="3"/>
  <c r="N1458" i="3"/>
  <c r="N1459" i="3"/>
  <c r="N1460" i="3"/>
  <c r="N1461" i="3"/>
  <c r="N1462" i="3"/>
  <c r="N1463" i="3"/>
  <c r="N1464" i="3"/>
  <c r="N1465" i="3"/>
  <c r="N1466" i="3"/>
  <c r="N1467" i="3"/>
  <c r="N1468" i="3"/>
  <c r="N1469" i="3"/>
  <c r="N1470" i="3"/>
  <c r="N1471" i="3"/>
  <c r="N1472" i="3"/>
  <c r="N1473" i="3"/>
  <c r="N1474" i="3"/>
  <c r="N1475" i="3"/>
  <c r="N1476" i="3"/>
  <c r="N1477" i="3"/>
  <c r="N1478" i="3"/>
  <c r="N1479" i="3"/>
  <c r="N1480" i="3"/>
  <c r="N1481" i="3"/>
  <c r="N1482" i="3"/>
  <c r="N1483" i="3"/>
  <c r="N1484" i="3"/>
  <c r="N1485" i="3"/>
  <c r="N1486" i="3"/>
  <c r="N1487" i="3"/>
  <c r="N1488" i="3"/>
  <c r="N1489" i="3"/>
  <c r="N1490" i="3"/>
  <c r="N1491" i="3"/>
  <c r="N1492" i="3"/>
  <c r="N1493" i="3"/>
  <c r="N1494" i="3"/>
  <c r="N1495" i="3"/>
  <c r="N1496" i="3"/>
  <c r="N1497" i="3"/>
  <c r="N1498" i="3"/>
  <c r="N1499" i="3"/>
  <c r="N1500" i="3"/>
  <c r="N1501" i="3"/>
  <c r="N1502" i="3"/>
  <c r="N1503" i="3"/>
  <c r="N1504" i="3"/>
  <c r="N1505" i="3"/>
  <c r="N1506" i="3"/>
  <c r="N1507" i="3"/>
  <c r="N1508" i="3"/>
  <c r="N1509" i="3"/>
  <c r="N1510" i="3"/>
  <c r="N1511" i="3"/>
  <c r="N1512" i="3"/>
  <c r="N1513" i="3"/>
  <c r="N1514" i="3"/>
  <c r="N1515" i="3"/>
  <c r="N1516" i="3"/>
  <c r="N1517" i="3"/>
  <c r="N1518" i="3"/>
  <c r="N1519" i="3"/>
  <c r="N1520" i="3"/>
  <c r="N1521" i="3"/>
  <c r="N1522" i="3"/>
  <c r="N1523" i="3"/>
  <c r="N1524" i="3"/>
  <c r="N1525" i="3"/>
  <c r="N1526" i="3"/>
  <c r="N1527" i="3"/>
  <c r="N1528" i="3"/>
  <c r="N1529" i="3"/>
  <c r="N1530" i="3"/>
  <c r="N1531" i="3"/>
  <c r="N1532" i="3"/>
  <c r="N1533" i="3"/>
  <c r="N1534" i="3"/>
  <c r="N1535" i="3"/>
  <c r="N1536" i="3"/>
  <c r="N1537" i="3"/>
  <c r="N1538" i="3"/>
  <c r="N1539" i="3"/>
  <c r="N1540" i="3"/>
  <c r="N1541" i="3"/>
  <c r="N1542" i="3"/>
  <c r="N1543" i="3"/>
  <c r="N1544" i="3"/>
  <c r="N1545" i="3"/>
  <c r="N1546" i="3"/>
  <c r="N1547" i="3"/>
  <c r="N1548" i="3"/>
  <c r="N1549" i="3"/>
  <c r="N1550" i="3"/>
  <c r="N1551" i="3"/>
  <c r="N1552" i="3"/>
  <c r="N1553" i="3"/>
  <c r="N1554" i="3"/>
  <c r="N1555" i="3"/>
  <c r="N1556" i="3"/>
  <c r="N1557" i="3"/>
  <c r="N1558" i="3"/>
  <c r="N1559" i="3"/>
  <c r="N1560" i="3"/>
  <c r="N1561" i="3"/>
  <c r="N1562" i="3"/>
  <c r="N1563" i="3"/>
  <c r="N1564" i="3"/>
  <c r="N1565" i="3"/>
  <c r="N1566" i="3"/>
  <c r="N1567" i="3"/>
  <c r="N1568" i="3"/>
  <c r="N1569" i="3"/>
  <c r="N1570" i="3"/>
  <c r="N1571" i="3"/>
  <c r="N1572" i="3"/>
  <c r="N1573" i="3"/>
  <c r="N1574" i="3"/>
  <c r="N1575" i="3"/>
  <c r="N1576" i="3"/>
  <c r="N1577" i="3"/>
  <c r="N1578" i="3"/>
  <c r="N1579" i="3"/>
  <c r="N1580" i="3"/>
  <c r="N1581" i="3"/>
  <c r="N1582" i="3"/>
  <c r="N1583" i="3"/>
  <c r="N1584" i="3"/>
  <c r="N1585" i="3"/>
  <c r="N1586" i="3"/>
  <c r="N1587" i="3"/>
  <c r="N1588" i="3"/>
  <c r="N1589" i="3"/>
  <c r="N1590" i="3"/>
  <c r="N1591" i="3"/>
  <c r="N1592" i="3"/>
  <c r="N1593" i="3"/>
  <c r="N1594" i="3"/>
  <c r="N1595" i="3"/>
  <c r="N1596" i="3"/>
  <c r="N1597" i="3"/>
  <c r="N1598" i="3"/>
  <c r="N1599" i="3"/>
  <c r="N1600" i="3"/>
  <c r="N1601" i="3"/>
  <c r="N1602" i="3"/>
  <c r="N1603" i="3"/>
  <c r="N1604" i="3"/>
  <c r="N1605" i="3"/>
  <c r="N1606" i="3"/>
  <c r="N1607" i="3"/>
  <c r="N1608" i="3"/>
  <c r="N1609" i="3"/>
  <c r="N1610" i="3"/>
  <c r="N1611" i="3"/>
  <c r="N1612" i="3"/>
  <c r="N1613" i="3"/>
  <c r="N1614" i="3"/>
  <c r="N1615" i="3"/>
  <c r="N1616" i="3"/>
  <c r="N1617" i="3"/>
  <c r="N1618" i="3"/>
  <c r="N1619" i="3"/>
  <c r="N1620" i="3"/>
  <c r="N1621" i="3"/>
  <c r="N1622" i="3"/>
  <c r="N1623" i="3"/>
  <c r="N1624" i="3"/>
  <c r="N1625" i="3"/>
  <c r="N1626" i="3"/>
  <c r="N1627" i="3"/>
  <c r="N1628" i="3"/>
  <c r="N1629" i="3"/>
  <c r="N1630" i="3"/>
  <c r="N1631" i="3"/>
  <c r="N1632" i="3"/>
  <c r="N1633" i="3"/>
  <c r="N1634" i="3"/>
  <c r="N1635" i="3"/>
  <c r="N1636" i="3"/>
  <c r="N1637" i="3"/>
  <c r="N1638" i="3"/>
  <c r="N1639" i="3"/>
  <c r="N1640" i="3"/>
  <c r="N1641" i="3"/>
  <c r="N1642" i="3"/>
  <c r="N1643" i="3"/>
  <c r="N1644" i="3"/>
  <c r="N1645" i="3"/>
  <c r="N1646" i="3"/>
  <c r="N1647" i="3"/>
  <c r="N1648" i="3"/>
  <c r="N1649" i="3"/>
  <c r="N1650" i="3"/>
  <c r="N1651" i="3"/>
  <c r="N1652" i="3"/>
  <c r="N1653" i="3"/>
  <c r="N1654" i="3"/>
  <c r="N1655" i="3"/>
  <c r="N1656" i="3"/>
  <c r="N1657" i="3"/>
  <c r="N1658" i="3"/>
  <c r="N1659" i="3"/>
  <c r="N1660" i="3"/>
  <c r="N1661" i="3"/>
  <c r="N1662" i="3"/>
  <c r="N1663" i="3"/>
  <c r="N1664" i="3"/>
  <c r="N1665" i="3"/>
  <c r="N1666" i="3"/>
  <c r="N1667" i="3"/>
  <c r="N1668" i="3"/>
  <c r="N1669" i="3"/>
  <c r="N1670" i="3"/>
  <c r="N1671" i="3"/>
  <c r="N1672" i="3"/>
  <c r="N1673" i="3"/>
  <c r="N1674" i="3"/>
  <c r="N1675" i="3"/>
  <c r="N1676" i="3"/>
  <c r="N1677" i="3"/>
  <c r="N1678" i="3"/>
  <c r="N1679" i="3"/>
  <c r="N1680" i="3"/>
  <c r="N1681" i="3"/>
  <c r="N1682" i="3"/>
  <c r="N1683" i="3"/>
  <c r="N1684" i="3"/>
  <c r="N1685" i="3"/>
  <c r="N1686" i="3"/>
  <c r="N1687" i="3"/>
  <c r="N1688" i="3"/>
  <c r="N1689" i="3"/>
  <c r="N1690" i="3"/>
  <c r="N1691" i="3"/>
  <c r="N1692" i="3"/>
  <c r="N1693" i="3"/>
  <c r="N1694" i="3"/>
  <c r="N1695" i="3"/>
  <c r="N1696" i="3"/>
  <c r="N1697" i="3"/>
  <c r="N1698" i="3"/>
  <c r="N1699" i="3"/>
  <c r="N1700" i="3"/>
  <c r="N1701" i="3"/>
  <c r="N1702" i="3"/>
  <c r="N1703" i="3"/>
  <c r="N1704" i="3"/>
  <c r="N1705" i="3"/>
  <c r="N1706" i="3"/>
  <c r="N1707" i="3"/>
  <c r="N1708" i="3"/>
  <c r="N1709" i="3"/>
  <c r="N1710" i="3"/>
  <c r="N1711" i="3"/>
  <c r="N1712" i="3"/>
  <c r="N1713" i="3"/>
  <c r="N1714" i="3"/>
  <c r="N1715" i="3"/>
  <c r="N1716" i="3"/>
  <c r="N1717" i="3"/>
  <c r="N1718" i="3"/>
  <c r="N1719" i="3"/>
  <c r="N1720" i="3"/>
  <c r="N1721" i="3"/>
  <c r="N1722" i="3"/>
  <c r="N1723" i="3"/>
  <c r="N1724" i="3"/>
  <c r="N1725" i="3"/>
  <c r="N1726" i="3"/>
  <c r="N1727" i="3"/>
  <c r="N1728" i="3"/>
  <c r="N1729" i="3"/>
  <c r="N1730" i="3"/>
  <c r="N1731" i="3"/>
  <c r="N1732" i="3"/>
  <c r="N1733" i="3"/>
  <c r="N1734" i="3"/>
  <c r="N1735" i="3"/>
  <c r="N1736" i="3"/>
  <c r="N1737" i="3"/>
  <c r="N1738" i="3"/>
  <c r="N1739" i="3"/>
  <c r="N1740" i="3"/>
  <c r="N1741" i="3"/>
  <c r="N1742" i="3"/>
  <c r="N1743" i="3"/>
  <c r="N1744" i="3"/>
  <c r="N1745" i="3"/>
  <c r="N1746" i="3"/>
  <c r="N1747" i="3"/>
  <c r="N1748" i="3"/>
  <c r="N1749" i="3"/>
  <c r="N1750" i="3"/>
  <c r="N1751" i="3"/>
  <c r="N1752" i="3"/>
  <c r="N1753" i="3"/>
  <c r="N1754" i="3"/>
  <c r="N1755" i="3"/>
  <c r="N1756" i="3"/>
  <c r="N1757" i="3"/>
  <c r="N1758" i="3"/>
  <c r="N1759" i="3"/>
  <c r="N1760" i="3"/>
  <c r="N1761" i="3"/>
  <c r="N1762" i="3"/>
  <c r="N1763" i="3"/>
  <c r="N1764" i="3"/>
  <c r="N1765" i="3"/>
  <c r="N1766" i="3"/>
  <c r="N1767" i="3"/>
  <c r="N1768" i="3"/>
  <c r="N1769" i="3"/>
  <c r="N1770" i="3"/>
  <c r="N1771" i="3"/>
  <c r="N1772" i="3"/>
  <c r="N1773" i="3"/>
  <c r="N1774" i="3"/>
  <c r="N1775" i="3"/>
  <c r="N1776" i="3"/>
  <c r="N1777" i="3"/>
  <c r="N1778" i="3"/>
  <c r="N1779" i="3"/>
  <c r="N1780" i="3"/>
  <c r="N1781" i="3"/>
  <c r="N1782" i="3"/>
  <c r="N1783" i="3"/>
  <c r="N1784" i="3"/>
  <c r="N1785" i="3"/>
  <c r="N1786" i="3"/>
  <c r="N1787" i="3"/>
  <c r="N1788" i="3"/>
  <c r="N1789" i="3"/>
  <c r="N1790" i="3"/>
  <c r="N1791" i="3"/>
  <c r="N1792" i="3"/>
  <c r="N1793" i="3"/>
  <c r="N1794" i="3"/>
  <c r="N1795" i="3"/>
  <c r="N1796" i="3"/>
  <c r="N1797" i="3"/>
  <c r="N1798" i="3"/>
  <c r="N1799" i="3"/>
  <c r="N1800" i="3"/>
  <c r="N1801" i="3"/>
  <c r="N1802" i="3"/>
  <c r="N1803" i="3"/>
  <c r="N1804" i="3"/>
  <c r="N1805" i="3"/>
  <c r="N1806" i="3"/>
  <c r="N1807" i="3"/>
  <c r="N1808" i="3"/>
  <c r="N1809" i="3"/>
  <c r="N1810" i="3"/>
  <c r="N1811" i="3"/>
  <c r="N1812" i="3"/>
  <c r="N1813" i="3"/>
  <c r="N1814" i="3"/>
  <c r="N1815" i="3"/>
  <c r="N1816" i="3"/>
  <c r="N1817" i="3"/>
  <c r="N1818" i="3"/>
  <c r="N1819" i="3"/>
  <c r="N1820" i="3"/>
  <c r="N1821" i="3"/>
  <c r="N1822" i="3"/>
  <c r="N1823" i="3"/>
  <c r="N1824" i="3"/>
  <c r="N1825" i="3"/>
  <c r="N1826" i="3"/>
  <c r="N1827" i="3"/>
  <c r="N1828" i="3"/>
  <c r="N1829" i="3"/>
  <c r="N1830" i="3"/>
  <c r="N1831" i="3"/>
  <c r="N1832" i="3"/>
  <c r="N1833" i="3"/>
  <c r="N1834" i="3"/>
  <c r="N1835" i="3"/>
  <c r="N1836" i="3"/>
  <c r="N1837" i="3"/>
  <c r="N1838" i="3"/>
  <c r="N1839" i="3"/>
  <c r="N1840" i="3"/>
  <c r="N1841" i="3"/>
  <c r="N1842" i="3"/>
  <c r="N1843" i="3"/>
  <c r="N1844" i="3"/>
  <c r="N1845" i="3"/>
  <c r="N1846" i="3"/>
  <c r="N1847" i="3"/>
  <c r="N1848" i="3"/>
  <c r="N1849" i="3"/>
  <c r="N1850" i="3"/>
  <c r="N1851" i="3"/>
  <c r="N1852" i="3"/>
  <c r="N1853" i="3"/>
  <c r="N1854" i="3"/>
  <c r="N1855" i="3"/>
  <c r="N1856" i="3"/>
  <c r="N1857" i="3"/>
  <c r="N1858" i="3"/>
  <c r="N1859" i="3"/>
  <c r="N1860" i="3"/>
  <c r="N1861" i="3"/>
  <c r="N1862" i="3"/>
  <c r="N1863" i="3"/>
  <c r="N1864" i="3"/>
  <c r="N1865" i="3"/>
  <c r="N1866" i="3"/>
  <c r="N1867" i="3"/>
  <c r="N1868" i="3"/>
  <c r="N1869" i="3"/>
  <c r="N1870" i="3"/>
  <c r="N1871" i="3"/>
  <c r="N1872" i="3"/>
  <c r="N1873" i="3"/>
  <c r="N1874" i="3"/>
  <c r="N1875" i="3"/>
  <c r="N1876" i="3"/>
  <c r="N1877" i="3"/>
  <c r="N1878" i="3"/>
  <c r="N1879" i="3"/>
  <c r="N1880" i="3"/>
  <c r="N1881" i="3"/>
  <c r="N1882" i="3"/>
  <c r="N1883" i="3"/>
  <c r="N1884" i="3"/>
  <c r="N1885" i="3"/>
  <c r="N1886" i="3"/>
  <c r="N1887" i="3"/>
  <c r="N1888" i="3"/>
  <c r="N1889" i="3"/>
  <c r="N1890" i="3"/>
  <c r="N1891" i="3"/>
  <c r="N1892" i="3"/>
  <c r="N1893" i="3"/>
  <c r="N1894" i="3"/>
  <c r="N1895" i="3"/>
  <c r="N1896" i="3"/>
  <c r="N1897" i="3"/>
  <c r="N1898" i="3"/>
  <c r="N1899" i="3"/>
  <c r="N1900" i="3"/>
  <c r="N1901" i="3"/>
  <c r="N1902" i="3"/>
  <c r="N1903" i="3"/>
  <c r="N1904" i="3"/>
  <c r="N1905" i="3"/>
  <c r="N1906" i="3"/>
  <c r="N1907" i="3"/>
  <c r="N1908" i="3"/>
  <c r="N1909" i="3"/>
  <c r="N1910" i="3"/>
  <c r="N1911" i="3"/>
  <c r="N1912" i="3"/>
  <c r="N1913" i="3"/>
  <c r="N1914" i="3"/>
  <c r="N1915" i="3"/>
  <c r="N1916" i="3"/>
  <c r="N1917" i="3"/>
  <c r="N1918" i="3"/>
  <c r="N1919" i="3"/>
  <c r="N1920" i="3"/>
  <c r="N1921" i="3"/>
  <c r="N1922" i="3"/>
  <c r="N1923" i="3"/>
  <c r="N1924" i="3"/>
  <c r="N1925" i="3"/>
  <c r="N1926" i="3"/>
  <c r="N1927" i="3"/>
  <c r="N1928" i="3"/>
  <c r="N1929" i="3"/>
  <c r="N1930" i="3"/>
  <c r="N1931" i="3"/>
  <c r="N1932" i="3"/>
  <c r="N1933" i="3"/>
  <c r="N1934" i="3"/>
  <c r="N1935" i="3"/>
  <c r="N1936" i="3"/>
  <c r="N1937" i="3"/>
  <c r="N1938" i="3"/>
  <c r="N1939" i="3"/>
  <c r="N1940" i="3"/>
  <c r="N1941" i="3"/>
  <c r="N1942" i="3"/>
  <c r="N1943" i="3"/>
  <c r="N1944" i="3"/>
  <c r="N1945" i="3"/>
  <c r="N1946" i="3"/>
  <c r="N1947" i="3"/>
  <c r="N1948" i="3"/>
  <c r="N1949" i="3"/>
  <c r="N1950" i="3"/>
  <c r="N1951" i="3"/>
  <c r="N1952" i="3"/>
  <c r="N1953" i="3"/>
  <c r="N1954" i="3"/>
  <c r="N1955" i="3"/>
  <c r="N1956" i="3"/>
  <c r="N1957" i="3"/>
  <c r="N1958" i="3"/>
  <c r="N1959" i="3"/>
  <c r="N1960" i="3"/>
  <c r="N1961" i="3"/>
  <c r="N1962" i="3"/>
  <c r="N1963" i="3"/>
  <c r="N1964" i="3"/>
  <c r="N1965" i="3"/>
  <c r="N1966" i="3"/>
  <c r="N1967" i="3"/>
  <c r="N1968" i="3"/>
  <c r="N1969" i="3"/>
  <c r="N1970" i="3"/>
  <c r="N1971" i="3"/>
  <c r="N1972" i="3"/>
  <c r="N1973" i="3"/>
  <c r="N1974" i="3"/>
  <c r="N1975" i="3"/>
  <c r="N1976" i="3"/>
  <c r="N1977" i="3"/>
  <c r="N1978" i="3"/>
  <c r="N1979" i="3"/>
  <c r="N1980" i="3"/>
  <c r="N1981" i="3"/>
  <c r="N1982" i="3"/>
  <c r="N1983" i="3"/>
  <c r="N1984" i="3"/>
  <c r="N1985" i="3"/>
  <c r="N1986" i="3"/>
  <c r="N1987" i="3"/>
  <c r="N1988" i="3"/>
  <c r="N1989" i="3"/>
  <c r="N1990" i="3"/>
  <c r="N1991" i="3"/>
  <c r="N1992" i="3"/>
  <c r="N1993" i="3"/>
  <c r="N1994" i="3"/>
  <c r="N1995" i="3"/>
  <c r="N1996" i="3"/>
  <c r="N1997" i="3"/>
  <c r="N1998" i="3"/>
  <c r="N1999" i="3"/>
  <c r="N2000" i="3"/>
  <c r="N2001" i="3"/>
  <c r="N2002" i="3"/>
  <c r="N2003" i="3"/>
  <c r="N2004" i="3"/>
  <c r="N2005" i="3"/>
  <c r="N2006" i="3"/>
  <c r="N2007" i="3"/>
  <c r="N2008" i="3"/>
  <c r="N2009" i="3"/>
  <c r="N2010" i="3"/>
  <c r="N2011" i="3"/>
  <c r="N2012" i="3"/>
  <c r="N2013" i="3"/>
  <c r="N2014" i="3"/>
  <c r="N2015" i="3"/>
  <c r="N2016" i="3"/>
  <c r="N2017" i="3"/>
  <c r="N2018" i="3"/>
  <c r="N2019" i="3"/>
  <c r="N2020" i="3"/>
  <c r="N2021" i="3"/>
  <c r="N2022" i="3"/>
  <c r="N2023" i="3"/>
  <c r="N2024" i="3"/>
  <c r="N2025" i="3"/>
  <c r="N2026" i="3"/>
  <c r="N2027" i="3"/>
  <c r="N2028" i="3"/>
  <c r="N2029" i="3"/>
  <c r="N2030" i="3"/>
  <c r="N2031" i="3"/>
  <c r="N2032" i="3"/>
  <c r="N2033" i="3"/>
  <c r="N2034" i="3"/>
  <c r="N2035" i="3"/>
  <c r="N2036" i="3"/>
  <c r="N2037" i="3"/>
  <c r="N2038" i="3"/>
  <c r="N2039" i="3"/>
  <c r="N2040" i="3"/>
  <c r="N2041" i="3"/>
  <c r="N2042" i="3"/>
  <c r="N2043" i="3"/>
  <c r="N2044" i="3"/>
  <c r="N2045" i="3"/>
  <c r="N2046" i="3"/>
  <c r="N2047" i="3"/>
  <c r="N2048" i="3"/>
  <c r="N2049" i="3"/>
  <c r="N2050" i="3"/>
  <c r="N2051" i="3"/>
  <c r="N2052" i="3"/>
  <c r="N2053" i="3"/>
  <c r="N2054" i="3"/>
  <c r="N2055" i="3"/>
  <c r="N2056" i="3"/>
  <c r="N2057" i="3"/>
  <c r="N2058" i="3"/>
  <c r="N2059" i="3"/>
  <c r="N2060" i="3"/>
  <c r="N2061" i="3"/>
  <c r="N2062" i="3"/>
  <c r="N2063" i="3"/>
  <c r="N2064" i="3"/>
  <c r="N2065" i="3"/>
  <c r="N2066" i="3"/>
  <c r="N2067" i="3"/>
  <c r="N2068" i="3"/>
  <c r="N2069" i="3"/>
  <c r="N2070" i="3"/>
  <c r="N2071" i="3"/>
  <c r="N2072" i="3"/>
  <c r="N2073" i="3"/>
  <c r="N2074" i="3"/>
  <c r="N2075" i="3"/>
  <c r="N2076" i="3"/>
  <c r="N2077" i="3"/>
  <c r="N2078" i="3"/>
  <c r="N2079" i="3"/>
  <c r="N2080" i="3"/>
  <c r="N2081" i="3"/>
  <c r="N2082" i="3"/>
  <c r="N2083" i="3"/>
  <c r="N2084" i="3"/>
  <c r="N2085" i="3"/>
  <c r="N2086" i="3"/>
  <c r="N2087" i="3"/>
  <c r="N2088" i="3"/>
  <c r="N2089" i="3"/>
  <c r="N2090" i="3"/>
  <c r="N2091" i="3"/>
  <c r="N2092" i="3"/>
  <c r="N2093" i="3"/>
  <c r="N2094" i="3"/>
  <c r="N2095" i="3"/>
  <c r="N2096" i="3"/>
  <c r="N2097" i="3"/>
  <c r="N2098" i="3"/>
  <c r="N2099" i="3"/>
  <c r="N2100" i="3"/>
  <c r="N2101" i="3"/>
  <c r="N2102" i="3"/>
  <c r="N2103" i="3"/>
  <c r="N2104" i="3"/>
  <c r="N2105" i="3"/>
  <c r="N2106" i="3"/>
  <c r="N2107" i="3"/>
  <c r="N2108" i="3"/>
  <c r="N2109" i="3"/>
  <c r="N2110" i="3"/>
  <c r="N2111" i="3"/>
  <c r="N2112" i="3"/>
  <c r="N2113" i="3"/>
  <c r="N2114" i="3"/>
  <c r="N2115" i="3"/>
  <c r="N2116" i="3"/>
  <c r="N2117" i="3"/>
  <c r="N2118" i="3"/>
  <c r="N2119" i="3"/>
  <c r="N2120" i="3"/>
  <c r="N2121" i="3"/>
  <c r="N2122" i="3"/>
  <c r="N2123" i="3"/>
  <c r="N2124" i="3"/>
  <c r="N2125" i="3"/>
  <c r="N2126" i="3"/>
  <c r="N2127" i="3"/>
  <c r="N2128" i="3"/>
  <c r="N2129" i="3"/>
  <c r="N2130" i="3"/>
  <c r="N2131" i="3"/>
  <c r="N2132" i="3"/>
  <c r="N2133" i="3"/>
  <c r="N2134" i="3"/>
  <c r="N2135" i="3"/>
  <c r="N2136" i="3"/>
  <c r="N2137" i="3"/>
  <c r="N2138" i="3"/>
  <c r="N2139" i="3"/>
  <c r="N2140" i="3"/>
  <c r="N2141" i="3"/>
  <c r="N2142" i="3"/>
  <c r="N2143" i="3"/>
  <c r="N2144" i="3"/>
  <c r="N2145" i="3"/>
  <c r="N2146" i="3"/>
  <c r="N2147" i="3"/>
  <c r="N2148" i="3"/>
  <c r="N2149" i="3"/>
  <c r="N2150" i="3"/>
  <c r="N2151" i="3"/>
  <c r="N2152" i="3"/>
  <c r="N2153" i="3"/>
  <c r="N2154" i="3"/>
  <c r="N2155" i="3"/>
  <c r="N2156" i="3"/>
  <c r="N2157" i="3"/>
  <c r="N2158" i="3"/>
  <c r="N2159" i="3"/>
  <c r="N2160" i="3"/>
  <c r="N2161" i="3"/>
  <c r="N2162" i="3"/>
  <c r="N2163" i="3"/>
  <c r="N2164" i="3"/>
  <c r="N2165" i="3"/>
  <c r="N2166" i="3"/>
  <c r="N2167" i="3"/>
  <c r="N2168" i="3"/>
  <c r="N2169" i="3"/>
  <c r="N2170" i="3"/>
  <c r="N2171" i="3"/>
  <c r="N2172" i="3"/>
  <c r="N2173" i="3"/>
  <c r="N2174" i="3"/>
  <c r="N2175" i="3"/>
  <c r="N2176" i="3"/>
  <c r="N2177" i="3"/>
  <c r="N2178" i="3"/>
  <c r="N2179" i="3"/>
  <c r="N2180" i="3"/>
  <c r="N2181" i="3"/>
  <c r="N2182" i="3"/>
  <c r="N2183" i="3"/>
  <c r="N2184" i="3"/>
  <c r="N2185" i="3"/>
  <c r="N2186" i="3"/>
  <c r="N2187" i="3"/>
  <c r="N2188" i="3"/>
  <c r="N2189" i="3"/>
  <c r="N2190" i="3"/>
  <c r="N2191" i="3"/>
  <c r="N2192" i="3"/>
  <c r="N2193" i="3"/>
  <c r="N2194" i="3"/>
  <c r="N2195" i="3"/>
  <c r="N2196" i="3"/>
  <c r="N2197" i="3"/>
  <c r="N2198" i="3"/>
  <c r="N2199" i="3"/>
  <c r="N2200" i="3"/>
  <c r="N2201" i="3"/>
  <c r="N2202" i="3"/>
  <c r="N2203" i="3"/>
  <c r="N2204" i="3"/>
  <c r="N2205" i="3"/>
  <c r="N2206" i="3"/>
  <c r="N2207" i="3"/>
  <c r="N2208" i="3"/>
  <c r="N2209" i="3"/>
  <c r="N2210" i="3"/>
  <c r="N2211" i="3"/>
  <c r="N2212" i="3"/>
  <c r="N2213" i="3"/>
  <c r="N2214" i="3"/>
  <c r="N2215" i="3"/>
  <c r="N2216" i="3"/>
  <c r="N2217" i="3"/>
  <c r="N2218" i="3"/>
  <c r="N2219" i="3"/>
  <c r="N2220" i="3"/>
  <c r="N2221" i="3"/>
  <c r="N2222" i="3"/>
  <c r="N2223" i="3"/>
  <c r="N2224" i="3"/>
  <c r="N2225" i="3"/>
  <c r="N2226" i="3"/>
  <c r="N2227" i="3"/>
  <c r="N2228" i="3"/>
  <c r="N2229" i="3"/>
  <c r="N2230" i="3"/>
  <c r="N2231" i="3"/>
  <c r="N2232" i="3"/>
  <c r="N2233" i="3"/>
  <c r="N2234" i="3"/>
  <c r="N2235" i="3"/>
  <c r="N2236" i="3"/>
  <c r="N2237" i="3"/>
  <c r="N2238" i="3"/>
  <c r="N2239" i="3"/>
  <c r="N2240" i="3"/>
  <c r="N2241" i="3"/>
  <c r="N2242" i="3"/>
  <c r="N2243" i="3"/>
  <c r="N2244" i="3"/>
  <c r="N2245" i="3"/>
  <c r="N2246" i="3"/>
  <c r="N2247" i="3"/>
  <c r="N2248" i="3"/>
  <c r="N2249" i="3"/>
  <c r="N2250" i="3"/>
  <c r="N2251" i="3"/>
  <c r="N2252" i="3"/>
  <c r="N2253" i="3"/>
  <c r="N2254" i="3"/>
  <c r="N2255" i="3"/>
  <c r="N2256" i="3"/>
  <c r="N2257" i="3"/>
  <c r="N2258" i="3"/>
  <c r="N2259" i="3"/>
  <c r="N2260" i="3"/>
  <c r="N2261" i="3"/>
  <c r="N2262" i="3"/>
  <c r="N2263" i="3"/>
  <c r="N2264" i="3"/>
  <c r="N2265" i="3"/>
  <c r="N2266" i="3"/>
  <c r="N2267" i="3"/>
  <c r="N2268" i="3"/>
  <c r="N2269" i="3"/>
  <c r="N2270" i="3"/>
  <c r="N2271" i="3"/>
  <c r="N2272" i="3"/>
  <c r="N2273" i="3"/>
  <c r="N2274" i="3"/>
  <c r="N2275" i="3"/>
  <c r="N2276" i="3"/>
  <c r="N2277" i="3"/>
  <c r="N2278" i="3"/>
  <c r="N2279" i="3"/>
  <c r="N2280" i="3"/>
  <c r="N2281" i="3"/>
  <c r="N2282" i="3"/>
  <c r="N2283" i="3"/>
  <c r="N2284" i="3"/>
  <c r="N2285" i="3"/>
  <c r="N2286" i="3"/>
  <c r="N2287" i="3"/>
  <c r="N2288" i="3"/>
  <c r="N2289" i="3"/>
  <c r="N2290" i="3"/>
  <c r="N2291" i="3"/>
  <c r="N2292" i="3"/>
  <c r="N2293" i="3"/>
  <c r="N2294" i="3"/>
  <c r="N2295" i="3"/>
  <c r="N2296" i="3"/>
  <c r="N2297" i="3"/>
  <c r="N2298" i="3"/>
  <c r="N2299" i="3"/>
  <c r="N2300" i="3"/>
  <c r="N2301" i="3"/>
  <c r="N2302" i="3"/>
  <c r="N2303" i="3"/>
  <c r="N2304" i="3"/>
  <c r="N2305" i="3"/>
  <c r="N2306" i="3"/>
  <c r="N2307" i="3"/>
  <c r="N2308" i="3"/>
  <c r="N2309" i="3"/>
  <c r="N2310" i="3"/>
  <c r="N2311" i="3"/>
  <c r="N2312" i="3"/>
  <c r="N2313" i="3"/>
  <c r="N2314" i="3"/>
  <c r="N2315" i="3"/>
  <c r="N2316" i="3"/>
  <c r="N2317" i="3"/>
  <c r="N2318" i="3"/>
  <c r="N2319" i="3"/>
  <c r="N2320" i="3"/>
  <c r="N2321" i="3"/>
  <c r="N2322" i="3"/>
  <c r="N2323" i="3"/>
  <c r="N2324" i="3"/>
  <c r="N2325" i="3"/>
  <c r="N2326" i="3"/>
  <c r="N2327" i="3"/>
  <c r="N2328" i="3"/>
  <c r="N2329" i="3"/>
  <c r="N2330" i="3"/>
  <c r="N2331" i="3"/>
  <c r="N2332" i="3"/>
  <c r="N2333" i="3"/>
  <c r="N2334" i="3"/>
  <c r="N2335" i="3"/>
  <c r="N2336" i="3"/>
  <c r="N2337" i="3"/>
  <c r="N2338" i="3"/>
  <c r="N2339" i="3"/>
  <c r="N2340" i="3"/>
  <c r="N2341" i="3"/>
  <c r="N2342" i="3"/>
  <c r="N2343" i="3"/>
  <c r="N2344" i="3"/>
  <c r="N2345" i="3"/>
  <c r="N2346" i="3"/>
  <c r="N2347" i="3"/>
  <c r="N2348" i="3"/>
  <c r="N2349" i="3"/>
  <c r="N2350" i="3"/>
  <c r="N2351" i="3"/>
  <c r="N2352" i="3"/>
  <c r="N2353" i="3"/>
  <c r="N2354" i="3"/>
  <c r="N2355" i="3"/>
  <c r="N2356" i="3"/>
  <c r="N2357" i="3"/>
  <c r="N2358" i="3"/>
  <c r="N2359" i="3"/>
  <c r="N2360" i="3"/>
  <c r="N2361" i="3"/>
  <c r="N2362" i="3"/>
  <c r="N2363" i="3"/>
  <c r="N2364" i="3"/>
  <c r="N2365" i="3"/>
  <c r="N2366" i="3"/>
  <c r="N2367" i="3"/>
  <c r="N2368" i="3"/>
  <c r="N2369" i="3"/>
  <c r="N2370" i="3"/>
  <c r="N2371" i="3"/>
  <c r="N2372" i="3"/>
  <c r="N2373" i="3"/>
  <c r="N2374" i="3"/>
  <c r="N2375" i="3"/>
  <c r="N2376" i="3"/>
  <c r="N2377" i="3"/>
  <c r="N2378" i="3"/>
  <c r="N2379" i="3"/>
  <c r="N2380" i="3"/>
  <c r="N2381" i="3"/>
  <c r="N2382" i="3"/>
  <c r="N2383" i="3"/>
  <c r="N2384" i="3"/>
  <c r="N2385" i="3"/>
  <c r="N2386" i="3"/>
  <c r="N2387" i="3"/>
  <c r="N2388" i="3"/>
  <c r="N2389" i="3"/>
  <c r="N2390" i="3"/>
  <c r="N2391" i="3"/>
  <c r="N2392" i="3"/>
  <c r="N2393" i="3"/>
  <c r="N2394" i="3"/>
  <c r="N2395" i="3"/>
  <c r="N2396" i="3"/>
  <c r="N2397" i="3"/>
  <c r="N2398" i="3"/>
  <c r="N2399" i="3"/>
  <c r="N2400" i="3"/>
  <c r="N2401" i="3"/>
  <c r="N2402" i="3"/>
  <c r="N2403" i="3"/>
  <c r="N2404" i="3"/>
  <c r="N2405" i="3"/>
  <c r="N2406" i="3"/>
  <c r="N2407" i="3"/>
  <c r="N2408" i="3"/>
  <c r="N2409" i="3"/>
  <c r="N2410" i="3"/>
  <c r="N2411" i="3"/>
  <c r="N2412" i="3"/>
  <c r="N2413" i="3"/>
  <c r="N2414" i="3"/>
  <c r="N2415" i="3"/>
  <c r="N2416" i="3"/>
  <c r="N2417" i="3"/>
  <c r="N2418" i="3"/>
  <c r="N2419" i="3"/>
  <c r="N2420" i="3"/>
  <c r="N2421" i="3"/>
  <c r="N2422" i="3"/>
  <c r="N2423" i="3"/>
  <c r="N2424" i="3"/>
  <c r="N2425" i="3"/>
  <c r="N2426" i="3"/>
  <c r="N2427" i="3"/>
  <c r="N2428" i="3"/>
  <c r="N2429" i="3"/>
  <c r="N2430" i="3"/>
  <c r="N2431" i="3"/>
  <c r="N2432" i="3"/>
  <c r="N2433" i="3"/>
  <c r="N2434" i="3"/>
  <c r="N2435" i="3"/>
  <c r="N2436" i="3"/>
  <c r="N2437" i="3"/>
  <c r="N2438" i="3"/>
  <c r="N2439" i="3"/>
  <c r="N2440" i="3"/>
  <c r="N2441" i="3"/>
  <c r="N2442" i="3"/>
  <c r="N2443" i="3"/>
  <c r="N2444" i="3"/>
  <c r="N2445" i="3"/>
  <c r="N2446" i="3"/>
  <c r="N2447" i="3"/>
  <c r="N2448" i="3"/>
  <c r="N2449" i="3"/>
  <c r="N2450" i="3"/>
  <c r="N2451" i="3"/>
  <c r="N2452" i="3"/>
  <c r="N2453" i="3"/>
  <c r="N2454" i="3"/>
  <c r="N2455" i="3"/>
  <c r="N2456" i="3"/>
  <c r="N2457" i="3"/>
  <c r="N2458" i="3"/>
  <c r="N2459" i="3"/>
  <c r="N2460" i="3"/>
  <c r="N2461" i="3"/>
  <c r="N2462" i="3"/>
  <c r="N2463" i="3"/>
  <c r="N2464" i="3"/>
  <c r="N2465" i="3"/>
  <c r="N2466" i="3"/>
  <c r="N2467" i="3"/>
  <c r="N2468" i="3"/>
  <c r="N2469" i="3"/>
  <c r="N2470" i="3"/>
  <c r="N2471" i="3"/>
  <c r="N2472" i="3"/>
  <c r="N2473" i="3"/>
  <c r="N2474" i="3"/>
  <c r="N2475" i="3"/>
  <c r="N2476" i="3"/>
  <c r="N2477" i="3"/>
  <c r="N2478" i="3"/>
  <c r="N2479" i="3"/>
  <c r="N2480" i="3"/>
  <c r="N2481" i="3"/>
  <c r="N2482" i="3"/>
  <c r="N2483" i="3"/>
  <c r="N2484" i="3"/>
  <c r="N2485" i="3"/>
  <c r="N2486" i="3"/>
  <c r="N2487" i="3"/>
  <c r="N2488" i="3"/>
  <c r="N2489" i="3"/>
  <c r="N2490" i="3"/>
  <c r="N2491" i="3"/>
  <c r="N2492" i="3"/>
  <c r="N2493" i="3"/>
  <c r="N2494" i="3"/>
  <c r="N2495" i="3"/>
  <c r="N2496" i="3"/>
  <c r="N2497" i="3"/>
  <c r="N2498" i="3"/>
  <c r="N2499" i="3"/>
  <c r="N2500" i="3"/>
  <c r="N2501" i="3"/>
  <c r="N2502" i="3"/>
  <c r="N4" i="3"/>
  <c r="G20" i="12"/>
  <c r="O20" i="12" s="1"/>
  <c r="G23" i="12"/>
  <c r="O23" i="12" s="1"/>
  <c r="E38" i="40"/>
  <c r="J17" i="40"/>
  <c r="J18" i="40" s="1"/>
  <c r="J19" i="40" s="1"/>
  <c r="J20" i="40" s="1"/>
  <c r="J21" i="40" s="1"/>
  <c r="J22" i="40" s="1"/>
  <c r="J23" i="40" s="1"/>
  <c r="J24" i="40" s="1"/>
  <c r="J8" i="40"/>
  <c r="J9" i="40" s="1"/>
  <c r="J10" i="40" s="1"/>
  <c r="J11" i="40" s="1"/>
  <c r="J12" i="40" s="1"/>
  <c r="J13" i="40" s="1"/>
  <c r="J14" i="40" s="1"/>
  <c r="J15" i="40" s="1"/>
  <c r="J16" i="40"/>
  <c r="J7" i="40"/>
  <c r="L21" i="40"/>
  <c r="L22" i="40" s="1"/>
  <c r="L23" i="40" s="1"/>
  <c r="L24" i="40" s="1"/>
  <c r="L12" i="40"/>
  <c r="L13" i="40" s="1"/>
  <c r="L14" i="40" s="1"/>
  <c r="L15" i="40" s="1"/>
  <c r="H20" i="10"/>
  <c r="H18" i="10"/>
  <c r="O502" i="2"/>
  <c r="P502" i="2"/>
  <c r="Q502" i="2" s="1"/>
  <c r="R502" i="2"/>
  <c r="S502" i="2"/>
  <c r="T502" i="2"/>
  <c r="U502" i="2"/>
  <c r="V502" i="2"/>
  <c r="W502" i="2"/>
  <c r="N780" i="2" l="1"/>
  <c r="N534" i="2"/>
  <c r="N596" i="2"/>
  <c r="N546" i="2"/>
  <c r="N612" i="2"/>
  <c r="N535" i="2"/>
  <c r="N673" i="2"/>
  <c r="N585" i="2"/>
  <c r="N788" i="2"/>
  <c r="N580" i="2"/>
  <c r="N623" i="2"/>
  <c r="N628" i="2"/>
  <c r="N591" i="2"/>
  <c r="N559" i="2"/>
  <c r="N793" i="2"/>
  <c r="N743" i="2"/>
  <c r="N544" i="2"/>
  <c r="N701" i="2"/>
  <c r="N652" i="2"/>
  <c r="N753" i="2"/>
  <c r="N548" i="2"/>
  <c r="N767" i="2"/>
  <c r="N856" i="2"/>
  <c r="N811" i="2"/>
  <c r="N671" i="2"/>
  <c r="N635" i="2"/>
  <c r="N689" i="2"/>
  <c r="N709" i="2"/>
  <c r="N770" i="2"/>
  <c r="N517" i="2"/>
  <c r="N832" i="2"/>
  <c r="N738" i="2"/>
  <c r="N675" i="2"/>
  <c r="N631" i="2"/>
  <c r="N810" i="2"/>
  <c r="N737" i="2"/>
  <c r="N665" i="2"/>
  <c r="N695" i="2"/>
  <c r="N600" i="2"/>
  <c r="N507" i="2"/>
  <c r="N605" i="2"/>
  <c r="N563" i="2"/>
  <c r="N756" i="2"/>
  <c r="N761" i="2"/>
  <c r="N759" i="2"/>
  <c r="N524" i="2"/>
  <c r="N755" i="2"/>
  <c r="N698" i="2"/>
  <c r="N536" i="2"/>
  <c r="N781" i="2"/>
  <c r="N640" i="2"/>
  <c r="N568" i="2"/>
  <c r="N699" i="2"/>
  <c r="N687" i="2"/>
  <c r="N609" i="2"/>
  <c r="N741" i="2"/>
  <c r="N712" i="2"/>
  <c r="N613" i="2"/>
  <c r="N527" i="2"/>
  <c r="N757" i="2"/>
  <c r="N590" i="2"/>
  <c r="N644" i="2"/>
  <c r="N634" i="2"/>
  <c r="N599" i="2"/>
  <c r="N693" i="2"/>
  <c r="N551" i="2"/>
  <c r="N555" i="2"/>
  <c r="N717" i="2"/>
  <c r="N775" i="2"/>
  <c r="N802" i="2"/>
  <c r="N794" i="2"/>
  <c r="N678" i="2"/>
  <c r="N516" i="2"/>
  <c r="N656" i="2"/>
  <c r="N547" i="2"/>
  <c r="N836" i="2"/>
  <c r="N825" i="2"/>
  <c r="N742" i="2"/>
  <c r="N647" i="2"/>
  <c r="N852" i="2"/>
  <c r="N554" i="2"/>
  <c r="N576" i="2"/>
  <c r="N813" i="2"/>
  <c r="N766" i="2"/>
  <c r="N685" i="2"/>
  <c r="N669" i="2"/>
  <c r="N581" i="2"/>
  <c r="N532" i="2"/>
  <c r="N868" i="2"/>
  <c r="N830" i="2"/>
  <c r="N750" i="2"/>
  <c r="N805" i="2"/>
  <c r="N654" i="2"/>
  <c r="N541" i="2"/>
  <c r="N575" i="2"/>
  <c r="N664" i="2"/>
  <c r="N661" i="2"/>
  <c r="N604" i="2"/>
  <c r="N572" i="2"/>
  <c r="N577" i="2"/>
  <c r="N528" i="2"/>
  <c r="N571" i="2"/>
  <c r="N704" i="2"/>
  <c r="N812" i="2"/>
  <c r="N844" i="2"/>
  <c r="N765" i="2"/>
  <c r="N782" i="2"/>
  <c r="N774" i="2"/>
  <c r="N710" i="2"/>
  <c r="N746" i="2"/>
  <c r="N706" i="2"/>
  <c r="N677" i="2"/>
  <c r="N633" i="2"/>
  <c r="N515" i="2"/>
  <c r="N651" i="2"/>
  <c r="N521" i="2"/>
  <c r="N747" i="2"/>
  <c r="N838" i="2"/>
  <c r="N558" i="2"/>
  <c r="N861" i="2"/>
  <c r="N659" i="2"/>
  <c r="N611" i="2"/>
  <c r="N579" i="2"/>
  <c r="N668" i="2"/>
  <c r="N510" i="2"/>
  <c r="N539" i="2"/>
  <c r="N827" i="2"/>
  <c r="N739" i="2"/>
  <c r="N833" i="2"/>
  <c r="N735" i="2"/>
  <c r="N526" i="2"/>
  <c r="N851" i="2"/>
  <c r="N798" i="2"/>
  <c r="N769" i="2"/>
  <c r="N828" i="2"/>
  <c r="N790" i="2"/>
  <c r="N720" i="2"/>
  <c r="N778" i="2"/>
  <c r="N716" i="2"/>
  <c r="N621" i="2"/>
  <c r="N681" i="2"/>
  <c r="N649" i="2"/>
  <c r="N519" i="2"/>
  <c r="N682" i="2"/>
  <c r="N650" i="2"/>
  <c r="N520" i="2"/>
  <c r="N692" i="2"/>
  <c r="N655" i="2"/>
  <c r="N639" i="2"/>
  <c r="N567" i="2"/>
  <c r="N732" i="2"/>
  <c r="N752" i="2"/>
  <c r="N762" i="2"/>
  <c r="N703" i="2"/>
  <c r="N857" i="2"/>
  <c r="N748" i="2"/>
  <c r="N674" i="2"/>
  <c r="N630" i="2"/>
  <c r="N512" i="2"/>
  <c r="N614" i="2"/>
  <c r="N533" i="2"/>
  <c r="N513" i="2"/>
  <c r="N680" i="2"/>
  <c r="N648" i="2"/>
  <c r="N522" i="2"/>
  <c r="N565" i="2"/>
  <c r="N787" i="2"/>
  <c r="N807" i="2"/>
  <c r="N730" i="2"/>
  <c r="N826" i="2"/>
  <c r="N553" i="2"/>
  <c r="N602" i="2"/>
  <c r="N570" i="2"/>
  <c r="N552" i="2"/>
  <c r="N531" i="2"/>
  <c r="N643" i="2"/>
  <c r="N721" i="2"/>
  <c r="N627" i="2"/>
  <c r="N822" i="2"/>
  <c r="N860" i="2"/>
  <c r="N620" i="2"/>
  <c r="N587" i="2"/>
  <c r="N592" i="2"/>
  <c r="N789" i="2"/>
  <c r="N870" i="2"/>
  <c r="N728" i="2"/>
  <c r="N771" i="2"/>
  <c r="N582" i="2"/>
  <c r="N784" i="2"/>
  <c r="N745" i="2"/>
  <c r="N530" i="2"/>
  <c r="N660" i="2"/>
  <c r="N707" i="2"/>
  <c r="N764" i="2"/>
  <c r="N666" i="2"/>
  <c r="N760" i="2"/>
  <c r="N841" i="2"/>
  <c r="N848" i="2"/>
  <c r="N584" i="2"/>
  <c r="N589" i="2"/>
  <c r="N557" i="2"/>
  <c r="N594" i="2"/>
  <c r="N853" i="2"/>
  <c r="N763" i="2"/>
  <c r="N843" i="2"/>
  <c r="N829" i="2"/>
  <c r="N809" i="2"/>
  <c r="N736" i="2"/>
  <c r="N859" i="2"/>
  <c r="N691" i="2"/>
  <c r="N658" i="2"/>
  <c r="N545" i="2"/>
  <c r="N574" i="2"/>
  <c r="N525" i="2"/>
  <c r="N550" i="2"/>
  <c r="N869" i="2"/>
  <c r="N722" i="2"/>
  <c r="N715" i="2"/>
  <c r="N616" i="2"/>
  <c r="N637" i="2"/>
  <c r="N646" i="2"/>
  <c r="N562" i="2"/>
  <c r="N595" i="2"/>
  <c r="N667" i="2"/>
  <c r="N619" i="2"/>
  <c r="N509" i="2"/>
  <c r="N676" i="2"/>
  <c r="N632" i="2"/>
  <c r="N518" i="2"/>
  <c r="N854" i="2"/>
  <c r="N797" i="2"/>
  <c r="N845" i="2"/>
  <c r="N842" i="2"/>
  <c r="N786" i="2"/>
  <c r="N749" i="2"/>
  <c r="N806" i="2"/>
  <c r="N733" i="2"/>
  <c r="N866" i="2"/>
  <c r="N839" i="2"/>
  <c r="N772" i="2"/>
  <c r="N864" i="2"/>
  <c r="N817" i="2"/>
  <c r="N754" i="2"/>
  <c r="N796" i="2"/>
  <c r="N636" i="2"/>
  <c r="N540" i="2"/>
  <c r="N569" i="2"/>
  <c r="N642" i="2"/>
  <c r="N751" i="2"/>
  <c r="N867" i="2"/>
  <c r="N834" i="2"/>
  <c r="N711" i="2"/>
  <c r="N865" i="2"/>
  <c r="N629" i="2"/>
  <c r="N683" i="2"/>
  <c r="N504" i="2"/>
  <c r="N537" i="2"/>
  <c r="N694" i="2"/>
  <c r="N727" i="2"/>
  <c r="N785" i="2"/>
  <c r="N808" i="2"/>
  <c r="N823" i="2"/>
  <c r="N821" i="2"/>
  <c r="N624" i="2"/>
  <c r="N816" i="2"/>
  <c r="N850" i="2"/>
  <c r="N824" i="2"/>
  <c r="N855" i="2"/>
  <c r="N543" i="2"/>
  <c r="N607" i="2"/>
  <c r="N679" i="2"/>
  <c r="N768" i="2"/>
  <c r="N705" i="2"/>
  <c r="N729" i="2"/>
  <c r="N791" i="2"/>
  <c r="N700" i="2"/>
  <c r="N618" i="2"/>
  <c r="N505" i="2"/>
  <c r="N610" i="2"/>
  <c r="N578" i="2"/>
  <c r="N529" i="2"/>
  <c r="N593" i="2"/>
  <c r="N561" i="2"/>
  <c r="N863" i="2"/>
  <c r="N815" i="2"/>
  <c r="N847" i="2"/>
  <c r="N773" i="2"/>
  <c r="N795" i="2"/>
  <c r="N725" i="2"/>
  <c r="N783" i="2"/>
  <c r="N800" i="2"/>
  <c r="N641" i="2"/>
  <c r="N597" i="2"/>
  <c r="N662" i="2"/>
  <c r="N549" i="2"/>
  <c r="N638" i="2"/>
  <c r="N598" i="2"/>
  <c r="N566" i="2"/>
  <c r="N697" i="2"/>
  <c r="N506" i="2"/>
  <c r="N615" i="2"/>
  <c r="N583" i="2"/>
  <c r="N672" i="2"/>
  <c r="N625" i="2"/>
  <c r="N514" i="2"/>
  <c r="N588" i="2"/>
  <c r="N556" i="2"/>
  <c r="N653" i="2"/>
  <c r="N523" i="2"/>
  <c r="N801" i="2"/>
  <c r="N573" i="2"/>
  <c r="N645" i="2"/>
  <c r="N708" i="2"/>
  <c r="N820" i="2"/>
  <c r="N503" i="2"/>
  <c r="N560" i="2"/>
  <c r="N626" i="2"/>
  <c r="N690" i="2"/>
  <c r="N779" i="2"/>
  <c r="N538" i="2"/>
  <c r="N713" i="2"/>
  <c r="N831" i="2"/>
  <c r="N734" i="2"/>
  <c r="N804" i="2"/>
  <c r="N731" i="2"/>
  <c r="N803" i="2"/>
  <c r="N849" i="2"/>
  <c r="N542" i="2"/>
  <c r="N670" i="2"/>
  <c r="N586" i="2"/>
  <c r="N622" i="2"/>
  <c r="N684" i="2"/>
  <c r="N744" i="2"/>
  <c r="N714" i="2"/>
  <c r="N508" i="2"/>
  <c r="N792" i="2"/>
  <c r="N858" i="2"/>
  <c r="N819" i="2"/>
  <c r="N837" i="2"/>
  <c r="N862" i="2"/>
  <c r="N840" i="2"/>
  <c r="N776" i="2"/>
  <c r="N723" i="2"/>
  <c r="N740" i="2"/>
  <c r="N758" i="2"/>
  <c r="N696" i="2"/>
  <c r="N724" i="2"/>
  <c r="N835" i="2"/>
  <c r="N718" i="2"/>
  <c r="N777" i="2"/>
  <c r="N719" i="2"/>
  <c r="N799" i="2"/>
  <c r="N726" i="2"/>
  <c r="N564" i="2"/>
  <c r="N702" i="2"/>
  <c r="N657" i="2"/>
  <c r="N686" i="2"/>
  <c r="N601" i="2"/>
  <c r="N606" i="2"/>
  <c r="N663" i="2"/>
  <c r="N688" i="2"/>
  <c r="N818" i="2"/>
  <c r="N846" i="2"/>
  <c r="N502" i="2"/>
  <c r="N814" i="2"/>
  <c r="T26" i="7"/>
  <c r="AY67" i="7"/>
  <c r="AY66" i="7"/>
  <c r="AX67" i="7"/>
  <c r="AX97" i="7" s="1"/>
  <c r="AX66" i="7"/>
  <c r="AX96" i="7" s="1"/>
  <c r="AL67" i="7"/>
  <c r="AL68" i="7"/>
  <c r="AL69" i="7"/>
  <c r="AL70" i="7"/>
  <c r="AL71" i="7"/>
  <c r="AL72" i="7"/>
  <c r="AL73" i="7"/>
  <c r="AL74" i="7"/>
  <c r="AL75" i="7"/>
  <c r="AL76" i="7"/>
  <c r="AL77" i="7"/>
  <c r="AL78" i="7"/>
  <c r="AL79" i="7"/>
  <c r="AL80" i="7"/>
  <c r="AL81" i="7"/>
  <c r="AL82" i="7"/>
  <c r="AL83" i="7"/>
  <c r="AL84" i="7"/>
  <c r="AL85" i="7"/>
  <c r="AL86" i="7"/>
  <c r="AL87" i="7"/>
  <c r="AL88" i="7"/>
  <c r="AL89" i="7"/>
  <c r="AL90" i="7"/>
  <c r="AL91" i="7"/>
  <c r="AL66" i="7"/>
  <c r="W67" i="7"/>
  <c r="W68" i="7"/>
  <c r="W69" i="7"/>
  <c r="W70" i="7"/>
  <c r="W71" i="7"/>
  <c r="W72" i="7"/>
  <c r="W73" i="7"/>
  <c r="W74" i="7"/>
  <c r="W75" i="7"/>
  <c r="W76" i="7"/>
  <c r="W77" i="7"/>
  <c r="W78" i="7"/>
  <c r="W79" i="7"/>
  <c r="W80" i="7"/>
  <c r="W81" i="7"/>
  <c r="W82" i="7"/>
  <c r="W83" i="7"/>
  <c r="W84" i="7"/>
  <c r="W85" i="7"/>
  <c r="W86" i="7"/>
  <c r="W87" i="7"/>
  <c r="W88" i="7"/>
  <c r="W89" i="7"/>
  <c r="W90" i="7"/>
  <c r="W91" i="7"/>
  <c r="W66" i="7"/>
  <c r="AH67" i="7"/>
  <c r="AH97" i="7" s="1"/>
  <c r="AH68" i="7"/>
  <c r="AH98" i="7" s="1"/>
  <c r="AH69" i="7"/>
  <c r="AH99" i="7" s="1"/>
  <c r="AH70" i="7"/>
  <c r="AH100" i="7" s="1"/>
  <c r="AH71" i="7"/>
  <c r="AH101" i="7" s="1"/>
  <c r="AH72" i="7"/>
  <c r="AH102" i="7" s="1"/>
  <c r="AH73" i="7"/>
  <c r="AH103" i="7" s="1"/>
  <c r="AH74" i="7"/>
  <c r="AH104" i="7" s="1"/>
  <c r="AH75" i="7"/>
  <c r="AH105" i="7" s="1"/>
  <c r="AH76" i="7"/>
  <c r="AH106" i="7" s="1"/>
  <c r="AH77" i="7"/>
  <c r="AH107" i="7" s="1"/>
  <c r="AH78" i="7"/>
  <c r="AH108" i="7" s="1"/>
  <c r="AH79" i="7"/>
  <c r="AH109" i="7" s="1"/>
  <c r="AH80" i="7"/>
  <c r="AH110" i="7" s="1"/>
  <c r="AH81" i="7"/>
  <c r="AH111" i="7" s="1"/>
  <c r="AH82" i="7"/>
  <c r="AH112" i="7" s="1"/>
  <c r="AH88" i="7"/>
  <c r="AH118" i="7" s="1"/>
  <c r="AH89" i="7"/>
  <c r="AH119" i="7" s="1"/>
  <c r="AH90" i="7"/>
  <c r="AH120" i="7" s="1"/>
  <c r="AH91" i="7"/>
  <c r="AH121" i="7" s="1"/>
  <c r="AH66" i="7"/>
  <c r="AH96" i="7" s="1"/>
  <c r="T67" i="7"/>
  <c r="T97" i="7" s="1"/>
  <c r="T68" i="7"/>
  <c r="T98" i="7" s="1"/>
  <c r="T69" i="7"/>
  <c r="T99" i="7" s="1"/>
  <c r="T70" i="7"/>
  <c r="T100" i="7" s="1"/>
  <c r="T71" i="7"/>
  <c r="T101" i="7" s="1"/>
  <c r="T72" i="7"/>
  <c r="T102" i="7" s="1"/>
  <c r="T73" i="7"/>
  <c r="T103" i="7" s="1"/>
  <c r="T74" i="7"/>
  <c r="T104" i="7" s="1"/>
  <c r="T75" i="7"/>
  <c r="T105" i="7" s="1"/>
  <c r="T76" i="7"/>
  <c r="T106" i="7" s="1"/>
  <c r="T77" i="7"/>
  <c r="T107" i="7" s="1"/>
  <c r="T78" i="7"/>
  <c r="T108" i="7" s="1"/>
  <c r="T79" i="7"/>
  <c r="T109" i="7" s="1"/>
  <c r="T80" i="7"/>
  <c r="T110" i="7" s="1"/>
  <c r="T81" i="7"/>
  <c r="T111" i="7" s="1"/>
  <c r="T82" i="7"/>
  <c r="T112" i="7" s="1"/>
  <c r="T83" i="7"/>
  <c r="T113" i="7" s="1"/>
  <c r="T84" i="7"/>
  <c r="T114" i="7" s="1"/>
  <c r="T85" i="7"/>
  <c r="T115" i="7" s="1"/>
  <c r="T86" i="7"/>
  <c r="T116" i="7" s="1"/>
  <c r="T87" i="7"/>
  <c r="T117" i="7" s="1"/>
  <c r="T88" i="7"/>
  <c r="T118" i="7" s="1"/>
  <c r="T89" i="7"/>
  <c r="T119" i="7" s="1"/>
  <c r="T90" i="7"/>
  <c r="T120" i="7" s="1"/>
  <c r="T91" i="7"/>
  <c r="T121" i="7" s="1"/>
  <c r="T66" i="7"/>
  <c r="T96" i="7" s="1"/>
  <c r="AX93" i="7" l="1"/>
  <c r="AH93" i="7"/>
  <c r="T93" i="7"/>
  <c r="AX92" i="7"/>
  <c r="T92" i="7"/>
  <c r="AH92" i="7"/>
  <c r="R302" i="2"/>
  <c r="R303" i="2"/>
  <c r="R304" i="2"/>
  <c r="R305" i="2"/>
  <c r="L11" i="40" l="1"/>
  <c r="L20" i="40"/>
  <c r="O302" i="2"/>
  <c r="T4" i="2" l="1"/>
  <c r="C30" i="7"/>
  <c r="BL37" i="7"/>
  <c r="F48" i="12" l="1"/>
  <c r="G48" i="12"/>
  <c r="G44" i="12"/>
  <c r="F44" i="12"/>
  <c r="F19" i="12"/>
  <c r="G46" i="12"/>
  <c r="F46" i="12"/>
  <c r="F36" i="12"/>
  <c r="G10" i="12"/>
  <c r="O10" i="12" s="1"/>
  <c r="G19" i="12"/>
  <c r="O19" i="12" s="1"/>
  <c r="G34" i="12"/>
  <c r="O34" i="12" s="1"/>
  <c r="G35" i="12"/>
  <c r="O35" i="12" s="1"/>
  <c r="F34" i="12"/>
  <c r="BK30" i="7"/>
  <c r="O46" i="12" l="1"/>
  <c r="O44" i="12"/>
  <c r="O48" i="12"/>
  <c r="N34" i="12"/>
  <c r="I34" i="12"/>
  <c r="N46" i="12"/>
  <c r="I46" i="12"/>
  <c r="AY39" i="11" s="1"/>
  <c r="N19" i="12"/>
  <c r="I19" i="12"/>
  <c r="N44" i="12"/>
  <c r="I44" i="12"/>
  <c r="N48" i="12"/>
  <c r="I48" i="12"/>
  <c r="I16" i="40"/>
  <c r="I17" i="40" s="1"/>
  <c r="I18" i="40" s="1"/>
  <c r="I19" i="40" s="1"/>
  <c r="I20" i="40" s="1"/>
  <c r="I21" i="40" s="1"/>
  <c r="I22" i="40" s="1"/>
  <c r="I23" i="40" s="1"/>
  <c r="I24" i="40" s="1"/>
  <c r="AY36" i="11" l="1"/>
  <c r="AY35" i="11"/>
  <c r="S5" i="2"/>
  <c r="S6" i="2"/>
  <c r="S7" i="2"/>
  <c r="S8" i="2"/>
  <c r="S9"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8" i="2"/>
  <c r="S159" i="2"/>
  <c r="S160" i="2"/>
  <c r="S161" i="2"/>
  <c r="S162" i="2"/>
  <c r="S163" i="2"/>
  <c r="S164" i="2"/>
  <c r="S165" i="2"/>
  <c r="S166" i="2"/>
  <c r="S167" i="2"/>
  <c r="S168" i="2"/>
  <c r="S169" i="2"/>
  <c r="S170" i="2"/>
  <c r="S171" i="2"/>
  <c r="S172" i="2"/>
  <c r="S173" i="2"/>
  <c r="S174" i="2"/>
  <c r="S175" i="2"/>
  <c r="S176" i="2"/>
  <c r="S177" i="2"/>
  <c r="S178" i="2"/>
  <c r="S179" i="2"/>
  <c r="S180" i="2"/>
  <c r="S181" i="2"/>
  <c r="S182" i="2"/>
  <c r="S183" i="2"/>
  <c r="S184" i="2"/>
  <c r="S185" i="2"/>
  <c r="S186" i="2"/>
  <c r="S187" i="2"/>
  <c r="S188" i="2"/>
  <c r="S189" i="2"/>
  <c r="S190" i="2"/>
  <c r="S191" i="2"/>
  <c r="S192" i="2"/>
  <c r="S193" i="2"/>
  <c r="S194" i="2"/>
  <c r="S195" i="2"/>
  <c r="S196" i="2"/>
  <c r="S197" i="2"/>
  <c r="S198" i="2"/>
  <c r="S199" i="2"/>
  <c r="S200" i="2"/>
  <c r="S201" i="2"/>
  <c r="S202" i="2"/>
  <c r="S203" i="2"/>
  <c r="S204" i="2"/>
  <c r="S205" i="2"/>
  <c r="S206" i="2"/>
  <c r="S207" i="2"/>
  <c r="S208" i="2"/>
  <c r="S209" i="2"/>
  <c r="S210" i="2"/>
  <c r="S211" i="2"/>
  <c r="S212" i="2"/>
  <c r="S213" i="2"/>
  <c r="S214" i="2"/>
  <c r="S215" i="2"/>
  <c r="S216" i="2"/>
  <c r="S217" i="2"/>
  <c r="S218" i="2"/>
  <c r="S219" i="2"/>
  <c r="S220" i="2"/>
  <c r="S221" i="2"/>
  <c r="S222" i="2"/>
  <c r="S223" i="2"/>
  <c r="S224" i="2"/>
  <c r="S225" i="2"/>
  <c r="S226" i="2"/>
  <c r="S227" i="2"/>
  <c r="S228" i="2"/>
  <c r="S229" i="2"/>
  <c r="S230" i="2"/>
  <c r="S231" i="2"/>
  <c r="S232" i="2"/>
  <c r="S233" i="2"/>
  <c r="S234" i="2"/>
  <c r="S235" i="2"/>
  <c r="S236" i="2"/>
  <c r="S237" i="2"/>
  <c r="S238" i="2"/>
  <c r="S239" i="2"/>
  <c r="S240" i="2"/>
  <c r="S241" i="2"/>
  <c r="S242" i="2"/>
  <c r="S243" i="2"/>
  <c r="S244" i="2"/>
  <c r="S245" i="2"/>
  <c r="S246" i="2"/>
  <c r="S247" i="2"/>
  <c r="S248" i="2"/>
  <c r="S249" i="2"/>
  <c r="S250" i="2"/>
  <c r="S251" i="2"/>
  <c r="S252" i="2"/>
  <c r="S253" i="2"/>
  <c r="S254" i="2"/>
  <c r="S255" i="2"/>
  <c r="S256" i="2"/>
  <c r="S257" i="2"/>
  <c r="S258" i="2"/>
  <c r="S259" i="2"/>
  <c r="S260" i="2"/>
  <c r="S261" i="2"/>
  <c r="S262" i="2"/>
  <c r="S263" i="2"/>
  <c r="S264" i="2"/>
  <c r="S265" i="2"/>
  <c r="S266" i="2"/>
  <c r="S267" i="2"/>
  <c r="S268" i="2"/>
  <c r="S269" i="2"/>
  <c r="S270" i="2"/>
  <c r="S271" i="2"/>
  <c r="S272" i="2"/>
  <c r="S273" i="2"/>
  <c r="S274" i="2"/>
  <c r="S275" i="2"/>
  <c r="S276" i="2"/>
  <c r="S277" i="2"/>
  <c r="S278" i="2"/>
  <c r="S279" i="2"/>
  <c r="S280" i="2"/>
  <c r="S281" i="2"/>
  <c r="S282" i="2"/>
  <c r="S283" i="2"/>
  <c r="S284" i="2"/>
  <c r="S285" i="2"/>
  <c r="S286" i="2"/>
  <c r="S287" i="2"/>
  <c r="S288" i="2"/>
  <c r="S289" i="2"/>
  <c r="S290" i="2"/>
  <c r="S291" i="2"/>
  <c r="S292" i="2"/>
  <c r="S293" i="2"/>
  <c r="S294" i="2"/>
  <c r="S295" i="2"/>
  <c r="S296" i="2"/>
  <c r="S297" i="2"/>
  <c r="S298" i="2"/>
  <c r="S299" i="2"/>
  <c r="S300" i="2"/>
  <c r="S301" i="2"/>
  <c r="S302" i="2"/>
  <c r="S303" i="2"/>
  <c r="S304" i="2"/>
  <c r="S305" i="2"/>
  <c r="S306" i="2"/>
  <c r="S307" i="2"/>
  <c r="S308" i="2"/>
  <c r="S309" i="2"/>
  <c r="S310" i="2"/>
  <c r="S311" i="2"/>
  <c r="S312" i="2"/>
  <c r="S313" i="2"/>
  <c r="S314" i="2"/>
  <c r="S315" i="2"/>
  <c r="S316" i="2"/>
  <c r="S317" i="2"/>
  <c r="S318" i="2"/>
  <c r="S319" i="2"/>
  <c r="S320" i="2"/>
  <c r="S321" i="2"/>
  <c r="S322" i="2"/>
  <c r="S323" i="2"/>
  <c r="S324" i="2"/>
  <c r="S325" i="2"/>
  <c r="S326" i="2"/>
  <c r="S327" i="2"/>
  <c r="S328" i="2"/>
  <c r="S329" i="2"/>
  <c r="S330" i="2"/>
  <c r="S331" i="2"/>
  <c r="S332" i="2"/>
  <c r="S333" i="2"/>
  <c r="S334" i="2"/>
  <c r="S335" i="2"/>
  <c r="S336" i="2"/>
  <c r="S337" i="2"/>
  <c r="S338" i="2"/>
  <c r="S339" i="2"/>
  <c r="S340" i="2"/>
  <c r="S341" i="2"/>
  <c r="S342" i="2"/>
  <c r="S343" i="2"/>
  <c r="S344" i="2"/>
  <c r="S345" i="2"/>
  <c r="S346" i="2"/>
  <c r="S347" i="2"/>
  <c r="S348" i="2"/>
  <c r="S349" i="2"/>
  <c r="S350" i="2"/>
  <c r="S351" i="2"/>
  <c r="S352" i="2"/>
  <c r="S353" i="2"/>
  <c r="S354" i="2"/>
  <c r="S355" i="2"/>
  <c r="S356" i="2"/>
  <c r="S357" i="2"/>
  <c r="S358" i="2"/>
  <c r="S359" i="2"/>
  <c r="S360" i="2"/>
  <c r="S361" i="2"/>
  <c r="S362" i="2"/>
  <c r="S363" i="2"/>
  <c r="S364" i="2"/>
  <c r="S365" i="2"/>
  <c r="S366" i="2"/>
  <c r="S367" i="2"/>
  <c r="S368" i="2"/>
  <c r="S369" i="2"/>
  <c r="S370" i="2"/>
  <c r="S371" i="2"/>
  <c r="S372" i="2"/>
  <c r="S373" i="2"/>
  <c r="S374" i="2"/>
  <c r="S375" i="2"/>
  <c r="S376" i="2"/>
  <c r="S377" i="2"/>
  <c r="S378" i="2"/>
  <c r="S379" i="2"/>
  <c r="S380" i="2"/>
  <c r="S381" i="2"/>
  <c r="S382" i="2"/>
  <c r="S383" i="2"/>
  <c r="S384" i="2"/>
  <c r="S385" i="2"/>
  <c r="S386" i="2"/>
  <c r="S387" i="2"/>
  <c r="S388" i="2"/>
  <c r="S389" i="2"/>
  <c r="S390" i="2"/>
  <c r="S391" i="2"/>
  <c r="S392" i="2"/>
  <c r="S393" i="2"/>
  <c r="S394" i="2"/>
  <c r="S395" i="2"/>
  <c r="S396" i="2"/>
  <c r="S397" i="2"/>
  <c r="S398" i="2"/>
  <c r="S399" i="2"/>
  <c r="S400" i="2"/>
  <c r="S401" i="2"/>
  <c r="S402" i="2"/>
  <c r="S403" i="2"/>
  <c r="S404" i="2"/>
  <c r="S405" i="2"/>
  <c r="S406" i="2"/>
  <c r="S407" i="2"/>
  <c r="S408" i="2"/>
  <c r="S409" i="2"/>
  <c r="S410" i="2"/>
  <c r="S411" i="2"/>
  <c r="S412" i="2"/>
  <c r="S413" i="2"/>
  <c r="S414" i="2"/>
  <c r="S415" i="2"/>
  <c r="S416" i="2"/>
  <c r="S417" i="2"/>
  <c r="S418" i="2"/>
  <c r="S419" i="2"/>
  <c r="S420" i="2"/>
  <c r="S421" i="2"/>
  <c r="S422" i="2"/>
  <c r="S423" i="2"/>
  <c r="S424" i="2"/>
  <c r="S425" i="2"/>
  <c r="S426" i="2"/>
  <c r="S427" i="2"/>
  <c r="S428" i="2"/>
  <c r="S429" i="2"/>
  <c r="S430" i="2"/>
  <c r="S431" i="2"/>
  <c r="S432" i="2"/>
  <c r="S433" i="2"/>
  <c r="S434" i="2"/>
  <c r="S435" i="2"/>
  <c r="S436" i="2"/>
  <c r="S437" i="2"/>
  <c r="S438" i="2"/>
  <c r="S439" i="2"/>
  <c r="S440" i="2"/>
  <c r="S441" i="2"/>
  <c r="S442" i="2"/>
  <c r="S443" i="2"/>
  <c r="S444" i="2"/>
  <c r="S445" i="2"/>
  <c r="S446" i="2"/>
  <c r="S447" i="2"/>
  <c r="S448" i="2"/>
  <c r="S449" i="2"/>
  <c r="S450" i="2"/>
  <c r="S451" i="2"/>
  <c r="S452" i="2"/>
  <c r="S453" i="2"/>
  <c r="S454" i="2"/>
  <c r="S455" i="2"/>
  <c r="S456" i="2"/>
  <c r="S457" i="2"/>
  <c r="S458" i="2"/>
  <c r="S459" i="2"/>
  <c r="S460" i="2"/>
  <c r="S461" i="2"/>
  <c r="S462" i="2"/>
  <c r="S463" i="2"/>
  <c r="S464" i="2"/>
  <c r="S465" i="2"/>
  <c r="S466" i="2"/>
  <c r="S467" i="2"/>
  <c r="S468" i="2"/>
  <c r="S469" i="2"/>
  <c r="S470" i="2"/>
  <c r="S471" i="2"/>
  <c r="S472" i="2"/>
  <c r="S473" i="2"/>
  <c r="S474" i="2"/>
  <c r="S475" i="2"/>
  <c r="S476" i="2"/>
  <c r="S477" i="2"/>
  <c r="S478" i="2"/>
  <c r="S479" i="2"/>
  <c r="S480" i="2"/>
  <c r="S481" i="2"/>
  <c r="S482" i="2"/>
  <c r="S483" i="2"/>
  <c r="S484" i="2"/>
  <c r="S485" i="2"/>
  <c r="S486" i="2"/>
  <c r="S487" i="2"/>
  <c r="S488" i="2"/>
  <c r="S489" i="2"/>
  <c r="S490" i="2"/>
  <c r="S491" i="2"/>
  <c r="S492" i="2"/>
  <c r="S493" i="2"/>
  <c r="S494" i="2"/>
  <c r="S495" i="2"/>
  <c r="S496" i="2"/>
  <c r="S497" i="2"/>
  <c r="S498" i="2"/>
  <c r="S499" i="2"/>
  <c r="S500" i="2"/>
  <c r="S501" i="2"/>
  <c r="S4" i="2"/>
  <c r="E3" i="3" l="1"/>
  <c r="BM40" i="7" l="1"/>
  <c r="BL38" i="7"/>
  <c r="I5" i="40"/>
  <c r="G5" i="2" l="1"/>
  <c r="K20" i="40"/>
  <c r="K21" i="40" s="1"/>
  <c r="K22" i="40" s="1"/>
  <c r="K23" i="40" s="1"/>
  <c r="K24" i="40" s="1"/>
  <c r="K11" i="40"/>
  <c r="K12" i="40" s="1"/>
  <c r="K13" i="40" s="1"/>
  <c r="K14" i="40" s="1"/>
  <c r="K15" i="40" s="1"/>
  <c r="W8" i="2"/>
  <c r="V4" i="2"/>
  <c r="T5" i="2"/>
  <c r="T6" i="2"/>
  <c r="T7" i="2"/>
  <c r="T8" i="2"/>
  <c r="T9" i="2"/>
  <c r="T10" i="2"/>
  <c r="T11"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75" i="2"/>
  <c r="T176" i="2"/>
  <c r="T177" i="2"/>
  <c r="T178" i="2"/>
  <c r="T179" i="2"/>
  <c r="T180" i="2"/>
  <c r="T181" i="2"/>
  <c r="T182" i="2"/>
  <c r="T183" i="2"/>
  <c r="T184" i="2"/>
  <c r="T185" i="2"/>
  <c r="T186" i="2"/>
  <c r="T187" i="2"/>
  <c r="T188" i="2"/>
  <c r="T189" i="2"/>
  <c r="T190" i="2"/>
  <c r="T191" i="2"/>
  <c r="T192" i="2"/>
  <c r="T193" i="2"/>
  <c r="T194" i="2"/>
  <c r="T195" i="2"/>
  <c r="T196" i="2"/>
  <c r="T197" i="2"/>
  <c r="T198" i="2"/>
  <c r="T199" i="2"/>
  <c r="T200" i="2"/>
  <c r="T201" i="2"/>
  <c r="T202" i="2"/>
  <c r="T203" i="2"/>
  <c r="T204" i="2"/>
  <c r="T205" i="2"/>
  <c r="T206" i="2"/>
  <c r="T207" i="2"/>
  <c r="T208" i="2"/>
  <c r="T209" i="2"/>
  <c r="T210" i="2"/>
  <c r="T211" i="2"/>
  <c r="T212" i="2"/>
  <c r="T213" i="2"/>
  <c r="T214" i="2"/>
  <c r="T215" i="2"/>
  <c r="T216" i="2"/>
  <c r="T217" i="2"/>
  <c r="T218" i="2"/>
  <c r="T219" i="2"/>
  <c r="T220" i="2"/>
  <c r="T221" i="2"/>
  <c r="T222" i="2"/>
  <c r="T223" i="2"/>
  <c r="T224" i="2"/>
  <c r="T225" i="2"/>
  <c r="T226" i="2"/>
  <c r="T227" i="2"/>
  <c r="T228" i="2"/>
  <c r="T229" i="2"/>
  <c r="T230" i="2"/>
  <c r="T231" i="2"/>
  <c r="T232" i="2"/>
  <c r="T233" i="2"/>
  <c r="T234" i="2"/>
  <c r="T235" i="2"/>
  <c r="T236" i="2"/>
  <c r="T237" i="2"/>
  <c r="T238" i="2"/>
  <c r="T239" i="2"/>
  <c r="T240" i="2"/>
  <c r="T241" i="2"/>
  <c r="T242" i="2"/>
  <c r="T243" i="2"/>
  <c r="T244" i="2"/>
  <c r="T245" i="2"/>
  <c r="T246" i="2"/>
  <c r="T247" i="2"/>
  <c r="T248" i="2"/>
  <c r="T249" i="2"/>
  <c r="T250" i="2"/>
  <c r="T251" i="2"/>
  <c r="T252" i="2"/>
  <c r="T253" i="2"/>
  <c r="T254" i="2"/>
  <c r="T255" i="2"/>
  <c r="T256" i="2"/>
  <c r="T257" i="2"/>
  <c r="T258" i="2"/>
  <c r="T259" i="2"/>
  <c r="T260" i="2"/>
  <c r="T261" i="2"/>
  <c r="T262" i="2"/>
  <c r="T263" i="2"/>
  <c r="T264" i="2"/>
  <c r="T265" i="2"/>
  <c r="T266" i="2"/>
  <c r="T267" i="2"/>
  <c r="T268" i="2"/>
  <c r="T269" i="2"/>
  <c r="T270" i="2"/>
  <c r="T271" i="2"/>
  <c r="T272" i="2"/>
  <c r="T273" i="2"/>
  <c r="T274" i="2"/>
  <c r="T275" i="2"/>
  <c r="T276" i="2"/>
  <c r="T277" i="2"/>
  <c r="T278" i="2"/>
  <c r="T279" i="2"/>
  <c r="T280" i="2"/>
  <c r="T281" i="2"/>
  <c r="T282" i="2"/>
  <c r="T283" i="2"/>
  <c r="T284" i="2"/>
  <c r="T285" i="2"/>
  <c r="T286" i="2"/>
  <c r="T287" i="2"/>
  <c r="T288" i="2"/>
  <c r="T289" i="2"/>
  <c r="T290" i="2"/>
  <c r="T291" i="2"/>
  <c r="T292" i="2"/>
  <c r="T293" i="2"/>
  <c r="T294" i="2"/>
  <c r="T295" i="2"/>
  <c r="T296" i="2"/>
  <c r="T297" i="2"/>
  <c r="T298" i="2"/>
  <c r="T299" i="2"/>
  <c r="T300" i="2"/>
  <c r="T301" i="2"/>
  <c r="T302" i="2"/>
  <c r="T303" i="2"/>
  <c r="T304" i="2"/>
  <c r="T305" i="2"/>
  <c r="T306" i="2"/>
  <c r="T307" i="2"/>
  <c r="T308" i="2"/>
  <c r="T309" i="2"/>
  <c r="T310" i="2"/>
  <c r="T311" i="2"/>
  <c r="T312" i="2"/>
  <c r="T313" i="2"/>
  <c r="T314" i="2"/>
  <c r="T315" i="2"/>
  <c r="T316" i="2"/>
  <c r="T317" i="2"/>
  <c r="T318" i="2"/>
  <c r="T319" i="2"/>
  <c r="T320" i="2"/>
  <c r="T321" i="2"/>
  <c r="T322" i="2"/>
  <c r="T323" i="2"/>
  <c r="T324" i="2"/>
  <c r="T325" i="2"/>
  <c r="T326" i="2"/>
  <c r="T327" i="2"/>
  <c r="T328" i="2"/>
  <c r="T329" i="2"/>
  <c r="T330" i="2"/>
  <c r="T331" i="2"/>
  <c r="T332" i="2"/>
  <c r="T333" i="2"/>
  <c r="T334" i="2"/>
  <c r="T335" i="2"/>
  <c r="T336" i="2"/>
  <c r="T337" i="2"/>
  <c r="T338" i="2"/>
  <c r="T339" i="2"/>
  <c r="T340" i="2"/>
  <c r="T341" i="2"/>
  <c r="T342" i="2"/>
  <c r="T343" i="2"/>
  <c r="T344" i="2"/>
  <c r="T345" i="2"/>
  <c r="T346" i="2"/>
  <c r="T347" i="2"/>
  <c r="T348" i="2"/>
  <c r="T349" i="2"/>
  <c r="T350" i="2"/>
  <c r="T351" i="2"/>
  <c r="T352" i="2"/>
  <c r="T353" i="2"/>
  <c r="T354" i="2"/>
  <c r="T355" i="2"/>
  <c r="T356" i="2"/>
  <c r="T357" i="2"/>
  <c r="T358" i="2"/>
  <c r="T359" i="2"/>
  <c r="T360" i="2"/>
  <c r="T361" i="2"/>
  <c r="T362" i="2"/>
  <c r="T363" i="2"/>
  <c r="T364" i="2"/>
  <c r="T365" i="2"/>
  <c r="T366" i="2"/>
  <c r="T367" i="2"/>
  <c r="T368" i="2"/>
  <c r="T369" i="2"/>
  <c r="T370" i="2"/>
  <c r="T371" i="2"/>
  <c r="T372" i="2"/>
  <c r="T373" i="2"/>
  <c r="T374" i="2"/>
  <c r="T375" i="2"/>
  <c r="T376" i="2"/>
  <c r="T377" i="2"/>
  <c r="T378" i="2"/>
  <c r="T379" i="2"/>
  <c r="T380" i="2"/>
  <c r="T381" i="2"/>
  <c r="T382" i="2"/>
  <c r="T383" i="2"/>
  <c r="T384" i="2"/>
  <c r="T385" i="2"/>
  <c r="T386" i="2"/>
  <c r="T387" i="2"/>
  <c r="T388" i="2"/>
  <c r="T389" i="2"/>
  <c r="T390" i="2"/>
  <c r="T391" i="2"/>
  <c r="T392" i="2"/>
  <c r="T393" i="2"/>
  <c r="T394" i="2"/>
  <c r="T395" i="2"/>
  <c r="T396" i="2"/>
  <c r="T397" i="2"/>
  <c r="T398" i="2"/>
  <c r="T399" i="2"/>
  <c r="T400" i="2"/>
  <c r="T401" i="2"/>
  <c r="T402" i="2"/>
  <c r="T403" i="2"/>
  <c r="T404" i="2"/>
  <c r="T405" i="2"/>
  <c r="T406" i="2"/>
  <c r="T407" i="2"/>
  <c r="T408" i="2"/>
  <c r="T409" i="2"/>
  <c r="T410" i="2"/>
  <c r="T411" i="2"/>
  <c r="T412" i="2"/>
  <c r="T413" i="2"/>
  <c r="T414" i="2"/>
  <c r="T415" i="2"/>
  <c r="T416" i="2"/>
  <c r="T417" i="2"/>
  <c r="T418" i="2"/>
  <c r="T419" i="2"/>
  <c r="T420" i="2"/>
  <c r="T421" i="2"/>
  <c r="T422" i="2"/>
  <c r="T423" i="2"/>
  <c r="T424" i="2"/>
  <c r="T425" i="2"/>
  <c r="T426" i="2"/>
  <c r="T427" i="2"/>
  <c r="T428" i="2"/>
  <c r="T429" i="2"/>
  <c r="T430" i="2"/>
  <c r="T431" i="2"/>
  <c r="T432" i="2"/>
  <c r="T433" i="2"/>
  <c r="T434" i="2"/>
  <c r="T435" i="2"/>
  <c r="T436" i="2"/>
  <c r="T437" i="2"/>
  <c r="T438" i="2"/>
  <c r="T439" i="2"/>
  <c r="T440" i="2"/>
  <c r="T441" i="2"/>
  <c r="T442" i="2"/>
  <c r="T443" i="2"/>
  <c r="T444" i="2"/>
  <c r="T445" i="2"/>
  <c r="T446" i="2"/>
  <c r="T447" i="2"/>
  <c r="T448" i="2"/>
  <c r="T449" i="2"/>
  <c r="T450" i="2"/>
  <c r="T451" i="2"/>
  <c r="T452" i="2"/>
  <c r="T453" i="2"/>
  <c r="T454" i="2"/>
  <c r="T455" i="2"/>
  <c r="T456" i="2"/>
  <c r="T457" i="2"/>
  <c r="T458" i="2"/>
  <c r="T459" i="2"/>
  <c r="T460" i="2"/>
  <c r="T461" i="2"/>
  <c r="T462" i="2"/>
  <c r="T463" i="2"/>
  <c r="T464" i="2"/>
  <c r="T465" i="2"/>
  <c r="T466" i="2"/>
  <c r="T467" i="2"/>
  <c r="T468" i="2"/>
  <c r="T469" i="2"/>
  <c r="T470" i="2"/>
  <c r="T471" i="2"/>
  <c r="T472" i="2"/>
  <c r="T473" i="2"/>
  <c r="T474" i="2"/>
  <c r="T475" i="2"/>
  <c r="T476" i="2"/>
  <c r="T477" i="2"/>
  <c r="T478" i="2"/>
  <c r="T479" i="2"/>
  <c r="T480" i="2"/>
  <c r="T481" i="2"/>
  <c r="T482" i="2"/>
  <c r="T483" i="2"/>
  <c r="T484" i="2"/>
  <c r="T485" i="2"/>
  <c r="T486" i="2"/>
  <c r="T487" i="2"/>
  <c r="T488" i="2"/>
  <c r="T489" i="2"/>
  <c r="T490" i="2"/>
  <c r="T491" i="2"/>
  <c r="T492" i="2"/>
  <c r="T493" i="2"/>
  <c r="T494" i="2"/>
  <c r="T495" i="2"/>
  <c r="T496" i="2"/>
  <c r="T497" i="2"/>
  <c r="T498" i="2"/>
  <c r="T499" i="2"/>
  <c r="T500" i="2"/>
  <c r="T501" i="2"/>
  <c r="U5" i="2"/>
  <c r="U6" i="2"/>
  <c r="U7" i="2"/>
  <c r="U8"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U165" i="2"/>
  <c r="U166" i="2"/>
  <c r="U167" i="2"/>
  <c r="U168" i="2"/>
  <c r="U169" i="2"/>
  <c r="U170" i="2"/>
  <c r="U171" i="2"/>
  <c r="U172" i="2"/>
  <c r="U173" i="2"/>
  <c r="U174" i="2"/>
  <c r="U175" i="2"/>
  <c r="U176" i="2"/>
  <c r="U177" i="2"/>
  <c r="U178" i="2"/>
  <c r="U179" i="2"/>
  <c r="U180" i="2"/>
  <c r="U181" i="2"/>
  <c r="U182" i="2"/>
  <c r="U183" i="2"/>
  <c r="U184" i="2"/>
  <c r="U185" i="2"/>
  <c r="U186" i="2"/>
  <c r="U187" i="2"/>
  <c r="U188" i="2"/>
  <c r="U189" i="2"/>
  <c r="U190" i="2"/>
  <c r="U191" i="2"/>
  <c r="U192" i="2"/>
  <c r="U193" i="2"/>
  <c r="U194" i="2"/>
  <c r="U195" i="2"/>
  <c r="U196" i="2"/>
  <c r="U197" i="2"/>
  <c r="U198" i="2"/>
  <c r="U199" i="2"/>
  <c r="U200" i="2"/>
  <c r="U201" i="2"/>
  <c r="U202" i="2"/>
  <c r="U203" i="2"/>
  <c r="U204" i="2"/>
  <c r="U205" i="2"/>
  <c r="U206" i="2"/>
  <c r="U207" i="2"/>
  <c r="U208" i="2"/>
  <c r="U209" i="2"/>
  <c r="U210" i="2"/>
  <c r="U211" i="2"/>
  <c r="U212" i="2"/>
  <c r="U213" i="2"/>
  <c r="U214" i="2"/>
  <c r="U215" i="2"/>
  <c r="U216" i="2"/>
  <c r="U217" i="2"/>
  <c r="U218" i="2"/>
  <c r="U219" i="2"/>
  <c r="U220" i="2"/>
  <c r="U221" i="2"/>
  <c r="U222" i="2"/>
  <c r="U223" i="2"/>
  <c r="U224" i="2"/>
  <c r="U225" i="2"/>
  <c r="U226" i="2"/>
  <c r="U227" i="2"/>
  <c r="U228" i="2"/>
  <c r="U229" i="2"/>
  <c r="U230" i="2"/>
  <c r="U231" i="2"/>
  <c r="U232" i="2"/>
  <c r="U233" i="2"/>
  <c r="U234" i="2"/>
  <c r="U235" i="2"/>
  <c r="U236" i="2"/>
  <c r="U237" i="2"/>
  <c r="U238" i="2"/>
  <c r="U239" i="2"/>
  <c r="U240" i="2"/>
  <c r="U241" i="2"/>
  <c r="U242" i="2"/>
  <c r="U243" i="2"/>
  <c r="U244" i="2"/>
  <c r="U245" i="2"/>
  <c r="U246" i="2"/>
  <c r="U247" i="2"/>
  <c r="U248" i="2"/>
  <c r="U249" i="2"/>
  <c r="U250" i="2"/>
  <c r="U251" i="2"/>
  <c r="U252" i="2"/>
  <c r="U253" i="2"/>
  <c r="U254" i="2"/>
  <c r="U255" i="2"/>
  <c r="U256" i="2"/>
  <c r="U257" i="2"/>
  <c r="U258" i="2"/>
  <c r="U259" i="2"/>
  <c r="U260" i="2"/>
  <c r="U261" i="2"/>
  <c r="U262" i="2"/>
  <c r="U263" i="2"/>
  <c r="U264" i="2"/>
  <c r="U265" i="2"/>
  <c r="U266" i="2"/>
  <c r="U267" i="2"/>
  <c r="U268" i="2"/>
  <c r="U269" i="2"/>
  <c r="U270" i="2"/>
  <c r="U271" i="2"/>
  <c r="U272" i="2"/>
  <c r="U273" i="2"/>
  <c r="U274" i="2"/>
  <c r="U275" i="2"/>
  <c r="U276" i="2"/>
  <c r="U277" i="2"/>
  <c r="U278" i="2"/>
  <c r="U279" i="2"/>
  <c r="U280" i="2"/>
  <c r="U281" i="2"/>
  <c r="U282" i="2"/>
  <c r="U283" i="2"/>
  <c r="U284" i="2"/>
  <c r="U285" i="2"/>
  <c r="U286" i="2"/>
  <c r="U287" i="2"/>
  <c r="U288" i="2"/>
  <c r="U289" i="2"/>
  <c r="U290" i="2"/>
  <c r="U291" i="2"/>
  <c r="U292" i="2"/>
  <c r="U293" i="2"/>
  <c r="U294" i="2"/>
  <c r="U295" i="2"/>
  <c r="U296" i="2"/>
  <c r="U297" i="2"/>
  <c r="U298" i="2"/>
  <c r="U299" i="2"/>
  <c r="U300" i="2"/>
  <c r="U301" i="2"/>
  <c r="U302" i="2"/>
  <c r="U303" i="2"/>
  <c r="U304" i="2"/>
  <c r="U305" i="2"/>
  <c r="U306" i="2"/>
  <c r="U307" i="2"/>
  <c r="U308" i="2"/>
  <c r="U309" i="2"/>
  <c r="U310" i="2"/>
  <c r="U311" i="2"/>
  <c r="U312" i="2"/>
  <c r="U313" i="2"/>
  <c r="U314" i="2"/>
  <c r="U315" i="2"/>
  <c r="U316" i="2"/>
  <c r="U317" i="2"/>
  <c r="U318" i="2"/>
  <c r="U319" i="2"/>
  <c r="U320" i="2"/>
  <c r="U321" i="2"/>
  <c r="U322" i="2"/>
  <c r="U323" i="2"/>
  <c r="U324" i="2"/>
  <c r="U325" i="2"/>
  <c r="U326" i="2"/>
  <c r="U327" i="2"/>
  <c r="U328" i="2"/>
  <c r="U329" i="2"/>
  <c r="U330" i="2"/>
  <c r="U331" i="2"/>
  <c r="U332" i="2"/>
  <c r="U333" i="2"/>
  <c r="U334" i="2"/>
  <c r="U335" i="2"/>
  <c r="U336" i="2"/>
  <c r="U337" i="2"/>
  <c r="U338" i="2"/>
  <c r="U339" i="2"/>
  <c r="U340" i="2"/>
  <c r="U341" i="2"/>
  <c r="U342" i="2"/>
  <c r="U343" i="2"/>
  <c r="U344" i="2"/>
  <c r="U345" i="2"/>
  <c r="U346" i="2"/>
  <c r="U347" i="2"/>
  <c r="U348" i="2"/>
  <c r="U349" i="2"/>
  <c r="U350" i="2"/>
  <c r="U351" i="2"/>
  <c r="U352" i="2"/>
  <c r="U353" i="2"/>
  <c r="U354" i="2"/>
  <c r="U355" i="2"/>
  <c r="U356" i="2"/>
  <c r="U357" i="2"/>
  <c r="U358" i="2"/>
  <c r="U359" i="2"/>
  <c r="U360" i="2"/>
  <c r="U361" i="2"/>
  <c r="U362" i="2"/>
  <c r="U363" i="2"/>
  <c r="U364" i="2"/>
  <c r="U365" i="2"/>
  <c r="U366" i="2"/>
  <c r="U367" i="2"/>
  <c r="U368" i="2"/>
  <c r="U369" i="2"/>
  <c r="U370" i="2"/>
  <c r="U371" i="2"/>
  <c r="U372" i="2"/>
  <c r="U373" i="2"/>
  <c r="U374" i="2"/>
  <c r="U375" i="2"/>
  <c r="U376" i="2"/>
  <c r="U377" i="2"/>
  <c r="U378" i="2"/>
  <c r="U379" i="2"/>
  <c r="U380" i="2"/>
  <c r="U381" i="2"/>
  <c r="U382" i="2"/>
  <c r="U383" i="2"/>
  <c r="U384" i="2"/>
  <c r="U385" i="2"/>
  <c r="U386" i="2"/>
  <c r="U387" i="2"/>
  <c r="U388" i="2"/>
  <c r="U389" i="2"/>
  <c r="U390" i="2"/>
  <c r="U391" i="2"/>
  <c r="U392" i="2"/>
  <c r="U393" i="2"/>
  <c r="U394" i="2"/>
  <c r="U395" i="2"/>
  <c r="U396" i="2"/>
  <c r="U397" i="2"/>
  <c r="U398" i="2"/>
  <c r="U399" i="2"/>
  <c r="U400" i="2"/>
  <c r="U401" i="2"/>
  <c r="U402" i="2"/>
  <c r="U403" i="2"/>
  <c r="U404" i="2"/>
  <c r="U405" i="2"/>
  <c r="U406" i="2"/>
  <c r="U407" i="2"/>
  <c r="U408" i="2"/>
  <c r="U409" i="2"/>
  <c r="U410" i="2"/>
  <c r="U411" i="2"/>
  <c r="U412" i="2"/>
  <c r="U413" i="2"/>
  <c r="U414" i="2"/>
  <c r="U415" i="2"/>
  <c r="U416" i="2"/>
  <c r="U417" i="2"/>
  <c r="U418" i="2"/>
  <c r="U419" i="2"/>
  <c r="U420" i="2"/>
  <c r="U421" i="2"/>
  <c r="U422" i="2"/>
  <c r="U423" i="2"/>
  <c r="U424" i="2"/>
  <c r="U425" i="2"/>
  <c r="U426" i="2"/>
  <c r="U427" i="2"/>
  <c r="U428" i="2"/>
  <c r="U429" i="2"/>
  <c r="U430" i="2"/>
  <c r="U431" i="2"/>
  <c r="U432" i="2"/>
  <c r="U433" i="2"/>
  <c r="U434" i="2"/>
  <c r="U435" i="2"/>
  <c r="U436" i="2"/>
  <c r="U437" i="2"/>
  <c r="U438" i="2"/>
  <c r="U439" i="2"/>
  <c r="U440" i="2"/>
  <c r="U441" i="2"/>
  <c r="U442" i="2"/>
  <c r="U443" i="2"/>
  <c r="U444" i="2"/>
  <c r="U445" i="2"/>
  <c r="U446" i="2"/>
  <c r="U447" i="2"/>
  <c r="U448" i="2"/>
  <c r="U449" i="2"/>
  <c r="U450" i="2"/>
  <c r="U451" i="2"/>
  <c r="U452" i="2"/>
  <c r="U453" i="2"/>
  <c r="U454" i="2"/>
  <c r="U455" i="2"/>
  <c r="U456" i="2"/>
  <c r="U457" i="2"/>
  <c r="U458" i="2"/>
  <c r="U459" i="2"/>
  <c r="U460" i="2"/>
  <c r="U461" i="2"/>
  <c r="U462" i="2"/>
  <c r="U463" i="2"/>
  <c r="U464" i="2"/>
  <c r="U465" i="2"/>
  <c r="U466" i="2"/>
  <c r="U467" i="2"/>
  <c r="U468" i="2"/>
  <c r="U469" i="2"/>
  <c r="U470" i="2"/>
  <c r="U471" i="2"/>
  <c r="U472" i="2"/>
  <c r="U473" i="2"/>
  <c r="U474" i="2"/>
  <c r="U475" i="2"/>
  <c r="U476" i="2"/>
  <c r="U477" i="2"/>
  <c r="U478" i="2"/>
  <c r="U479" i="2"/>
  <c r="U480" i="2"/>
  <c r="U481" i="2"/>
  <c r="U482" i="2"/>
  <c r="U483" i="2"/>
  <c r="U484" i="2"/>
  <c r="U485" i="2"/>
  <c r="U486" i="2"/>
  <c r="U487" i="2"/>
  <c r="U488" i="2"/>
  <c r="U489" i="2"/>
  <c r="U490" i="2"/>
  <c r="U491" i="2"/>
  <c r="U492" i="2"/>
  <c r="U493" i="2"/>
  <c r="U494" i="2"/>
  <c r="U495" i="2"/>
  <c r="U496" i="2"/>
  <c r="U497" i="2"/>
  <c r="U498" i="2"/>
  <c r="U499" i="2"/>
  <c r="U500" i="2"/>
  <c r="U501" i="2"/>
  <c r="U4" i="2"/>
  <c r="V5" i="2"/>
  <c r="V6" i="2"/>
  <c r="V7" i="2"/>
  <c r="V8" i="2"/>
  <c r="V9" i="2"/>
  <c r="V10" i="2"/>
  <c r="V11" i="2"/>
  <c r="V12" i="2"/>
  <c r="V13" i="2"/>
  <c r="V14" i="2"/>
  <c r="V15" i="2"/>
  <c r="V16" i="2"/>
  <c r="V17" i="2"/>
  <c r="V18" i="2"/>
  <c r="V19" i="2"/>
  <c r="V20" i="2"/>
  <c r="V21" i="2"/>
  <c r="V22" i="2"/>
  <c r="V23" i="2"/>
  <c r="V24" i="2"/>
  <c r="V25" i="2"/>
  <c r="V26" i="2"/>
  <c r="V27" i="2"/>
  <c r="V28" i="2"/>
  <c r="V29" i="2"/>
  <c r="V30" i="2"/>
  <c r="V31" i="2"/>
  <c r="V32" i="2"/>
  <c r="V33" i="2"/>
  <c r="V34" i="2"/>
  <c r="V35" i="2"/>
  <c r="V36" i="2"/>
  <c r="V37" i="2"/>
  <c r="V38" i="2"/>
  <c r="V39" i="2"/>
  <c r="V40" i="2"/>
  <c r="V41" i="2"/>
  <c r="V42" i="2"/>
  <c r="V43" i="2"/>
  <c r="V44" i="2"/>
  <c r="V45" i="2"/>
  <c r="V46" i="2"/>
  <c r="V47" i="2"/>
  <c r="V48" i="2"/>
  <c r="V49" i="2"/>
  <c r="V50" i="2"/>
  <c r="V51" i="2"/>
  <c r="V52" i="2"/>
  <c r="V53" i="2"/>
  <c r="V54" i="2"/>
  <c r="V55" i="2"/>
  <c r="V56" i="2"/>
  <c r="V57" i="2"/>
  <c r="V58" i="2"/>
  <c r="V59" i="2"/>
  <c r="V60" i="2"/>
  <c r="V61" i="2"/>
  <c r="V62" i="2"/>
  <c r="V63" i="2"/>
  <c r="V64" i="2"/>
  <c r="V65" i="2"/>
  <c r="V66" i="2"/>
  <c r="V67" i="2"/>
  <c r="V68" i="2"/>
  <c r="V69" i="2"/>
  <c r="V70" i="2"/>
  <c r="V71" i="2"/>
  <c r="V72" i="2"/>
  <c r="V73" i="2"/>
  <c r="V74" i="2"/>
  <c r="V75" i="2"/>
  <c r="V76" i="2"/>
  <c r="V77" i="2"/>
  <c r="V78" i="2"/>
  <c r="V79" i="2"/>
  <c r="V80" i="2"/>
  <c r="V81" i="2"/>
  <c r="V82" i="2"/>
  <c r="V83" i="2"/>
  <c r="V84" i="2"/>
  <c r="V85" i="2"/>
  <c r="V86" i="2"/>
  <c r="V87" i="2"/>
  <c r="V88" i="2"/>
  <c r="V89" i="2"/>
  <c r="V90" i="2"/>
  <c r="V91" i="2"/>
  <c r="V92" i="2"/>
  <c r="V93" i="2"/>
  <c r="V94" i="2"/>
  <c r="V95" i="2"/>
  <c r="V96" i="2"/>
  <c r="V97" i="2"/>
  <c r="V98" i="2"/>
  <c r="V99" i="2"/>
  <c r="V100" i="2"/>
  <c r="V101" i="2"/>
  <c r="V102" i="2"/>
  <c r="V103" i="2"/>
  <c r="V104" i="2"/>
  <c r="V105" i="2"/>
  <c r="V106" i="2"/>
  <c r="V107" i="2"/>
  <c r="V108" i="2"/>
  <c r="V109" i="2"/>
  <c r="V110" i="2"/>
  <c r="V111" i="2"/>
  <c r="V112" i="2"/>
  <c r="V113" i="2"/>
  <c r="V114" i="2"/>
  <c r="V115" i="2"/>
  <c r="V116" i="2"/>
  <c r="V117" i="2"/>
  <c r="V118" i="2"/>
  <c r="V119" i="2"/>
  <c r="V120" i="2"/>
  <c r="V121" i="2"/>
  <c r="V122" i="2"/>
  <c r="V123" i="2"/>
  <c r="V124" i="2"/>
  <c r="V125" i="2"/>
  <c r="V126" i="2"/>
  <c r="V127" i="2"/>
  <c r="V128" i="2"/>
  <c r="V129" i="2"/>
  <c r="V130" i="2"/>
  <c r="V131" i="2"/>
  <c r="V132" i="2"/>
  <c r="V133" i="2"/>
  <c r="V134" i="2"/>
  <c r="V135" i="2"/>
  <c r="V136" i="2"/>
  <c r="V137" i="2"/>
  <c r="V138" i="2"/>
  <c r="V139" i="2"/>
  <c r="V140" i="2"/>
  <c r="V141" i="2"/>
  <c r="V142" i="2"/>
  <c r="V143" i="2"/>
  <c r="V144" i="2"/>
  <c r="V145" i="2"/>
  <c r="V146" i="2"/>
  <c r="V147" i="2"/>
  <c r="V148" i="2"/>
  <c r="V149" i="2"/>
  <c r="V150" i="2"/>
  <c r="V151" i="2"/>
  <c r="V152" i="2"/>
  <c r="V153" i="2"/>
  <c r="V154" i="2"/>
  <c r="V155" i="2"/>
  <c r="V156" i="2"/>
  <c r="V157" i="2"/>
  <c r="V158" i="2"/>
  <c r="V159" i="2"/>
  <c r="V160" i="2"/>
  <c r="V161" i="2"/>
  <c r="V162" i="2"/>
  <c r="V163" i="2"/>
  <c r="V164" i="2"/>
  <c r="V165" i="2"/>
  <c r="V166" i="2"/>
  <c r="V167" i="2"/>
  <c r="V168" i="2"/>
  <c r="V169" i="2"/>
  <c r="V170" i="2"/>
  <c r="V171" i="2"/>
  <c r="V172" i="2"/>
  <c r="V173" i="2"/>
  <c r="V174" i="2"/>
  <c r="V175" i="2"/>
  <c r="V176" i="2"/>
  <c r="V177" i="2"/>
  <c r="V178" i="2"/>
  <c r="V179" i="2"/>
  <c r="V180" i="2"/>
  <c r="V181" i="2"/>
  <c r="V182" i="2"/>
  <c r="V183" i="2"/>
  <c r="V184" i="2"/>
  <c r="V185" i="2"/>
  <c r="V186" i="2"/>
  <c r="V187" i="2"/>
  <c r="V188" i="2"/>
  <c r="V189" i="2"/>
  <c r="V190" i="2"/>
  <c r="V191" i="2"/>
  <c r="V192" i="2"/>
  <c r="V193" i="2"/>
  <c r="V194" i="2"/>
  <c r="V195" i="2"/>
  <c r="V196" i="2"/>
  <c r="V197" i="2"/>
  <c r="V198" i="2"/>
  <c r="V199" i="2"/>
  <c r="V200" i="2"/>
  <c r="V201" i="2"/>
  <c r="V202" i="2"/>
  <c r="V203" i="2"/>
  <c r="V204" i="2"/>
  <c r="V205" i="2"/>
  <c r="V206" i="2"/>
  <c r="V207" i="2"/>
  <c r="V208" i="2"/>
  <c r="V209" i="2"/>
  <c r="V210" i="2"/>
  <c r="V211" i="2"/>
  <c r="V212" i="2"/>
  <c r="V213" i="2"/>
  <c r="V214" i="2"/>
  <c r="V215" i="2"/>
  <c r="V216" i="2"/>
  <c r="V217" i="2"/>
  <c r="V218" i="2"/>
  <c r="V219" i="2"/>
  <c r="V220" i="2"/>
  <c r="V221" i="2"/>
  <c r="V222" i="2"/>
  <c r="V223" i="2"/>
  <c r="V224" i="2"/>
  <c r="V225" i="2"/>
  <c r="V226" i="2"/>
  <c r="V227" i="2"/>
  <c r="V228" i="2"/>
  <c r="V229" i="2"/>
  <c r="V230" i="2"/>
  <c r="V231" i="2"/>
  <c r="V232" i="2"/>
  <c r="V233" i="2"/>
  <c r="V234" i="2"/>
  <c r="V235" i="2"/>
  <c r="V236" i="2"/>
  <c r="V237" i="2"/>
  <c r="V238" i="2"/>
  <c r="V239" i="2"/>
  <c r="V240" i="2"/>
  <c r="V241" i="2"/>
  <c r="V242" i="2"/>
  <c r="V243" i="2"/>
  <c r="V244" i="2"/>
  <c r="V245" i="2"/>
  <c r="V246" i="2"/>
  <c r="V247" i="2"/>
  <c r="V248" i="2"/>
  <c r="V249" i="2"/>
  <c r="V250" i="2"/>
  <c r="V251" i="2"/>
  <c r="V252" i="2"/>
  <c r="V253" i="2"/>
  <c r="V254" i="2"/>
  <c r="V255" i="2"/>
  <c r="V256" i="2"/>
  <c r="V257" i="2"/>
  <c r="V258" i="2"/>
  <c r="V259" i="2"/>
  <c r="V260" i="2"/>
  <c r="V261" i="2"/>
  <c r="V262" i="2"/>
  <c r="V263" i="2"/>
  <c r="V264" i="2"/>
  <c r="V265" i="2"/>
  <c r="V266" i="2"/>
  <c r="V267" i="2"/>
  <c r="V268" i="2"/>
  <c r="V269" i="2"/>
  <c r="V270" i="2"/>
  <c r="V271" i="2"/>
  <c r="V272" i="2"/>
  <c r="V273" i="2"/>
  <c r="V274" i="2"/>
  <c r="V275" i="2"/>
  <c r="V276" i="2"/>
  <c r="V277" i="2"/>
  <c r="V278" i="2"/>
  <c r="V279" i="2"/>
  <c r="V280" i="2"/>
  <c r="V281" i="2"/>
  <c r="V282" i="2"/>
  <c r="V283" i="2"/>
  <c r="V284" i="2"/>
  <c r="V285" i="2"/>
  <c r="V286" i="2"/>
  <c r="V287" i="2"/>
  <c r="V288" i="2"/>
  <c r="V289" i="2"/>
  <c r="V290" i="2"/>
  <c r="V291" i="2"/>
  <c r="V292" i="2"/>
  <c r="V293" i="2"/>
  <c r="V294" i="2"/>
  <c r="V295" i="2"/>
  <c r="V296" i="2"/>
  <c r="V297" i="2"/>
  <c r="V298" i="2"/>
  <c r="V299" i="2"/>
  <c r="V300" i="2"/>
  <c r="V301" i="2"/>
  <c r="V302" i="2"/>
  <c r="V303" i="2"/>
  <c r="V304" i="2"/>
  <c r="V305" i="2"/>
  <c r="V306" i="2"/>
  <c r="V307" i="2"/>
  <c r="V308" i="2"/>
  <c r="V309" i="2"/>
  <c r="V310" i="2"/>
  <c r="V311" i="2"/>
  <c r="V312" i="2"/>
  <c r="V313" i="2"/>
  <c r="V314" i="2"/>
  <c r="V315" i="2"/>
  <c r="V316" i="2"/>
  <c r="V317" i="2"/>
  <c r="V318" i="2"/>
  <c r="V319" i="2"/>
  <c r="V320" i="2"/>
  <c r="V321" i="2"/>
  <c r="V322" i="2"/>
  <c r="V323" i="2"/>
  <c r="V324" i="2"/>
  <c r="V325" i="2"/>
  <c r="V326" i="2"/>
  <c r="V327" i="2"/>
  <c r="V328" i="2"/>
  <c r="V329" i="2"/>
  <c r="V330" i="2"/>
  <c r="V331" i="2"/>
  <c r="V332" i="2"/>
  <c r="V333" i="2"/>
  <c r="V334" i="2"/>
  <c r="V335" i="2"/>
  <c r="V336" i="2"/>
  <c r="V337" i="2"/>
  <c r="V338" i="2"/>
  <c r="V339" i="2"/>
  <c r="V340" i="2"/>
  <c r="V341" i="2"/>
  <c r="V342" i="2"/>
  <c r="V343" i="2"/>
  <c r="V344" i="2"/>
  <c r="V345" i="2"/>
  <c r="V346" i="2"/>
  <c r="V347" i="2"/>
  <c r="V348" i="2"/>
  <c r="V349" i="2"/>
  <c r="V350" i="2"/>
  <c r="V351" i="2"/>
  <c r="V352" i="2"/>
  <c r="V353" i="2"/>
  <c r="V354" i="2"/>
  <c r="V355" i="2"/>
  <c r="V356" i="2"/>
  <c r="V357" i="2"/>
  <c r="V358" i="2"/>
  <c r="V359" i="2"/>
  <c r="V360" i="2"/>
  <c r="V361" i="2"/>
  <c r="V362" i="2"/>
  <c r="V363" i="2"/>
  <c r="V364" i="2"/>
  <c r="V365" i="2"/>
  <c r="V366" i="2"/>
  <c r="V367" i="2"/>
  <c r="V368" i="2"/>
  <c r="V369" i="2"/>
  <c r="V370" i="2"/>
  <c r="V371" i="2"/>
  <c r="V372" i="2"/>
  <c r="V373" i="2"/>
  <c r="V374" i="2"/>
  <c r="V375" i="2"/>
  <c r="V376" i="2"/>
  <c r="V377" i="2"/>
  <c r="V378" i="2"/>
  <c r="V379" i="2"/>
  <c r="V380" i="2"/>
  <c r="V381" i="2"/>
  <c r="V382" i="2"/>
  <c r="V383" i="2"/>
  <c r="V384" i="2"/>
  <c r="V385" i="2"/>
  <c r="V386" i="2"/>
  <c r="V387" i="2"/>
  <c r="V388" i="2"/>
  <c r="V389" i="2"/>
  <c r="V390" i="2"/>
  <c r="V391" i="2"/>
  <c r="V392" i="2"/>
  <c r="V393" i="2"/>
  <c r="V394" i="2"/>
  <c r="V395" i="2"/>
  <c r="V396" i="2"/>
  <c r="V397" i="2"/>
  <c r="V398" i="2"/>
  <c r="V399" i="2"/>
  <c r="V400" i="2"/>
  <c r="V401" i="2"/>
  <c r="V402" i="2"/>
  <c r="V403" i="2"/>
  <c r="V404" i="2"/>
  <c r="V405" i="2"/>
  <c r="V406" i="2"/>
  <c r="V407" i="2"/>
  <c r="V408" i="2"/>
  <c r="V409" i="2"/>
  <c r="V410" i="2"/>
  <c r="V411" i="2"/>
  <c r="V412" i="2"/>
  <c r="V413" i="2"/>
  <c r="V414" i="2"/>
  <c r="V415" i="2"/>
  <c r="V416" i="2"/>
  <c r="V417" i="2"/>
  <c r="V418" i="2"/>
  <c r="V419" i="2"/>
  <c r="V420" i="2"/>
  <c r="V421" i="2"/>
  <c r="V422" i="2"/>
  <c r="V423" i="2"/>
  <c r="V424" i="2"/>
  <c r="V425" i="2"/>
  <c r="V426" i="2"/>
  <c r="V427" i="2"/>
  <c r="V428" i="2"/>
  <c r="V429" i="2"/>
  <c r="V430" i="2"/>
  <c r="V431" i="2"/>
  <c r="V432" i="2"/>
  <c r="V433" i="2"/>
  <c r="V434" i="2"/>
  <c r="V435" i="2"/>
  <c r="V436" i="2"/>
  <c r="V437" i="2"/>
  <c r="V438" i="2"/>
  <c r="V439" i="2"/>
  <c r="V440" i="2"/>
  <c r="V441" i="2"/>
  <c r="V442" i="2"/>
  <c r="V443" i="2"/>
  <c r="V444" i="2"/>
  <c r="V445" i="2"/>
  <c r="V446" i="2"/>
  <c r="V447" i="2"/>
  <c r="V448" i="2"/>
  <c r="V449" i="2"/>
  <c r="V450" i="2"/>
  <c r="V451" i="2"/>
  <c r="V452" i="2"/>
  <c r="V453" i="2"/>
  <c r="V454" i="2"/>
  <c r="V455" i="2"/>
  <c r="V456" i="2"/>
  <c r="V457" i="2"/>
  <c r="V458" i="2"/>
  <c r="V459" i="2"/>
  <c r="V460" i="2"/>
  <c r="V461" i="2"/>
  <c r="V462" i="2"/>
  <c r="V463" i="2"/>
  <c r="V464" i="2"/>
  <c r="V465" i="2"/>
  <c r="V466" i="2"/>
  <c r="V467" i="2"/>
  <c r="V468" i="2"/>
  <c r="V469" i="2"/>
  <c r="V470" i="2"/>
  <c r="V471" i="2"/>
  <c r="V472" i="2"/>
  <c r="V473" i="2"/>
  <c r="V474" i="2"/>
  <c r="V475" i="2"/>
  <c r="V476" i="2"/>
  <c r="V477" i="2"/>
  <c r="V478" i="2"/>
  <c r="V479" i="2"/>
  <c r="V480" i="2"/>
  <c r="V481" i="2"/>
  <c r="V482" i="2"/>
  <c r="V483" i="2"/>
  <c r="V484" i="2"/>
  <c r="V485" i="2"/>
  <c r="V486" i="2"/>
  <c r="V487" i="2"/>
  <c r="V488" i="2"/>
  <c r="V489" i="2"/>
  <c r="V490" i="2"/>
  <c r="V491" i="2"/>
  <c r="V492" i="2"/>
  <c r="V493" i="2"/>
  <c r="V494" i="2"/>
  <c r="V495" i="2"/>
  <c r="V496" i="2"/>
  <c r="V497" i="2"/>
  <c r="V498" i="2"/>
  <c r="V499" i="2"/>
  <c r="V500" i="2"/>
  <c r="V501" i="2"/>
  <c r="W5" i="2"/>
  <c r="W6" i="2"/>
  <c r="W7" i="2"/>
  <c r="W9" i="2"/>
  <c r="W10" i="2"/>
  <c r="W11" i="2"/>
  <c r="W12" i="2"/>
  <c r="W13" i="2"/>
  <c r="W14" i="2"/>
  <c r="W15" i="2"/>
  <c r="W16" i="2"/>
  <c r="W17" i="2"/>
  <c r="W18" i="2"/>
  <c r="W19" i="2"/>
  <c r="W20" i="2"/>
  <c r="W21" i="2"/>
  <c r="W22" i="2"/>
  <c r="W23" i="2"/>
  <c r="W24" i="2"/>
  <c r="W25" i="2"/>
  <c r="W26" i="2"/>
  <c r="W27" i="2"/>
  <c r="W28" i="2"/>
  <c r="W29" i="2"/>
  <c r="W30" i="2"/>
  <c r="W31" i="2"/>
  <c r="W32" i="2"/>
  <c r="W33" i="2"/>
  <c r="W34" i="2"/>
  <c r="W35" i="2"/>
  <c r="W36" i="2"/>
  <c r="W37" i="2"/>
  <c r="W38" i="2"/>
  <c r="W39" i="2"/>
  <c r="W40" i="2"/>
  <c r="W41" i="2"/>
  <c r="W42" i="2"/>
  <c r="W43" i="2"/>
  <c r="W44" i="2"/>
  <c r="W45" i="2"/>
  <c r="W46" i="2"/>
  <c r="W47" i="2"/>
  <c r="W48" i="2"/>
  <c r="W49" i="2"/>
  <c r="W50" i="2"/>
  <c r="W51" i="2"/>
  <c r="W52" i="2"/>
  <c r="W53" i="2"/>
  <c r="W54" i="2"/>
  <c r="W55" i="2"/>
  <c r="W56" i="2"/>
  <c r="W57" i="2"/>
  <c r="W58" i="2"/>
  <c r="W59" i="2"/>
  <c r="W60" i="2"/>
  <c r="W61" i="2"/>
  <c r="W62" i="2"/>
  <c r="W63" i="2"/>
  <c r="W64" i="2"/>
  <c r="W65" i="2"/>
  <c r="W66" i="2"/>
  <c r="W67" i="2"/>
  <c r="W68" i="2"/>
  <c r="W69" i="2"/>
  <c r="W70" i="2"/>
  <c r="W71" i="2"/>
  <c r="W72" i="2"/>
  <c r="W73" i="2"/>
  <c r="W74" i="2"/>
  <c r="W75" i="2"/>
  <c r="W76" i="2"/>
  <c r="W77" i="2"/>
  <c r="W78" i="2"/>
  <c r="W79" i="2"/>
  <c r="W80" i="2"/>
  <c r="W81" i="2"/>
  <c r="W82" i="2"/>
  <c r="W83" i="2"/>
  <c r="W84" i="2"/>
  <c r="W85" i="2"/>
  <c r="W86" i="2"/>
  <c r="W87" i="2"/>
  <c r="W88" i="2"/>
  <c r="W89" i="2"/>
  <c r="W90" i="2"/>
  <c r="W91" i="2"/>
  <c r="W92" i="2"/>
  <c r="W93" i="2"/>
  <c r="W94" i="2"/>
  <c r="W95" i="2"/>
  <c r="W96" i="2"/>
  <c r="W97" i="2"/>
  <c r="W98" i="2"/>
  <c r="W99" i="2"/>
  <c r="W100" i="2"/>
  <c r="W101" i="2"/>
  <c r="W102" i="2"/>
  <c r="W103" i="2"/>
  <c r="W104" i="2"/>
  <c r="W105" i="2"/>
  <c r="W106" i="2"/>
  <c r="W107" i="2"/>
  <c r="W108" i="2"/>
  <c r="W109" i="2"/>
  <c r="W110" i="2"/>
  <c r="W111" i="2"/>
  <c r="W112" i="2"/>
  <c r="W113" i="2"/>
  <c r="W114" i="2"/>
  <c r="W115" i="2"/>
  <c r="W116" i="2"/>
  <c r="W117" i="2"/>
  <c r="W118" i="2"/>
  <c r="W119" i="2"/>
  <c r="W120" i="2"/>
  <c r="W121" i="2"/>
  <c r="W122" i="2"/>
  <c r="W123" i="2"/>
  <c r="W124" i="2"/>
  <c r="W125" i="2"/>
  <c r="W126" i="2"/>
  <c r="W127" i="2"/>
  <c r="W128" i="2"/>
  <c r="W129" i="2"/>
  <c r="W130" i="2"/>
  <c r="W131" i="2"/>
  <c r="W132" i="2"/>
  <c r="W133" i="2"/>
  <c r="W134" i="2"/>
  <c r="W135" i="2"/>
  <c r="W136" i="2"/>
  <c r="W137" i="2"/>
  <c r="W138" i="2"/>
  <c r="W139" i="2"/>
  <c r="W140" i="2"/>
  <c r="W141" i="2"/>
  <c r="W142" i="2"/>
  <c r="W143" i="2"/>
  <c r="W144" i="2"/>
  <c r="W145" i="2"/>
  <c r="W146" i="2"/>
  <c r="W147" i="2"/>
  <c r="W148" i="2"/>
  <c r="W149" i="2"/>
  <c r="W150" i="2"/>
  <c r="W151" i="2"/>
  <c r="W152" i="2"/>
  <c r="W153" i="2"/>
  <c r="W154" i="2"/>
  <c r="W155" i="2"/>
  <c r="W156" i="2"/>
  <c r="W157" i="2"/>
  <c r="W158" i="2"/>
  <c r="W159" i="2"/>
  <c r="W160" i="2"/>
  <c r="W161" i="2"/>
  <c r="W162" i="2"/>
  <c r="W163" i="2"/>
  <c r="W164" i="2"/>
  <c r="W165" i="2"/>
  <c r="W166" i="2"/>
  <c r="W167" i="2"/>
  <c r="W168" i="2"/>
  <c r="W169" i="2"/>
  <c r="W170" i="2"/>
  <c r="W171" i="2"/>
  <c r="W172" i="2"/>
  <c r="W173" i="2"/>
  <c r="W174" i="2"/>
  <c r="W175" i="2"/>
  <c r="W176" i="2"/>
  <c r="W177" i="2"/>
  <c r="W178" i="2"/>
  <c r="W179" i="2"/>
  <c r="W180" i="2"/>
  <c r="W181" i="2"/>
  <c r="W182" i="2"/>
  <c r="W183" i="2"/>
  <c r="W184" i="2"/>
  <c r="W185" i="2"/>
  <c r="W186" i="2"/>
  <c r="W187" i="2"/>
  <c r="W188" i="2"/>
  <c r="W189" i="2"/>
  <c r="W190" i="2"/>
  <c r="W191" i="2"/>
  <c r="W192" i="2"/>
  <c r="W193" i="2"/>
  <c r="W194" i="2"/>
  <c r="W195" i="2"/>
  <c r="W196" i="2"/>
  <c r="W197" i="2"/>
  <c r="W198" i="2"/>
  <c r="W199" i="2"/>
  <c r="W200" i="2"/>
  <c r="W201" i="2"/>
  <c r="W202" i="2"/>
  <c r="W203" i="2"/>
  <c r="W204" i="2"/>
  <c r="W205" i="2"/>
  <c r="W206" i="2"/>
  <c r="W207" i="2"/>
  <c r="W208" i="2"/>
  <c r="W209" i="2"/>
  <c r="W210" i="2"/>
  <c r="W211" i="2"/>
  <c r="W212" i="2"/>
  <c r="W213" i="2"/>
  <c r="W214" i="2"/>
  <c r="W215" i="2"/>
  <c r="W216" i="2"/>
  <c r="W217" i="2"/>
  <c r="W218" i="2"/>
  <c r="W219" i="2"/>
  <c r="W220" i="2"/>
  <c r="W221" i="2"/>
  <c r="W222" i="2"/>
  <c r="W223" i="2"/>
  <c r="W224" i="2"/>
  <c r="W225" i="2"/>
  <c r="W226" i="2"/>
  <c r="W227" i="2"/>
  <c r="W228" i="2"/>
  <c r="W229" i="2"/>
  <c r="W230" i="2"/>
  <c r="W231" i="2"/>
  <c r="W232" i="2"/>
  <c r="W233" i="2"/>
  <c r="W234" i="2"/>
  <c r="W235" i="2"/>
  <c r="W236" i="2"/>
  <c r="W237" i="2"/>
  <c r="W238" i="2"/>
  <c r="W239" i="2"/>
  <c r="W240" i="2"/>
  <c r="W241" i="2"/>
  <c r="W242" i="2"/>
  <c r="W243" i="2"/>
  <c r="W244" i="2"/>
  <c r="W245" i="2"/>
  <c r="W246" i="2"/>
  <c r="W247" i="2"/>
  <c r="W248" i="2"/>
  <c r="W249" i="2"/>
  <c r="W250" i="2"/>
  <c r="W251" i="2"/>
  <c r="W252" i="2"/>
  <c r="W253" i="2"/>
  <c r="W254" i="2"/>
  <c r="W255" i="2"/>
  <c r="W256" i="2"/>
  <c r="W257" i="2"/>
  <c r="W258" i="2"/>
  <c r="W259" i="2"/>
  <c r="W260" i="2"/>
  <c r="W261" i="2"/>
  <c r="W262" i="2"/>
  <c r="W263" i="2"/>
  <c r="W264" i="2"/>
  <c r="W265" i="2"/>
  <c r="W266" i="2"/>
  <c r="W267" i="2"/>
  <c r="W268" i="2"/>
  <c r="W269" i="2"/>
  <c r="W270" i="2"/>
  <c r="W271" i="2"/>
  <c r="W272" i="2"/>
  <c r="W273" i="2"/>
  <c r="W274" i="2"/>
  <c r="W275" i="2"/>
  <c r="W276" i="2"/>
  <c r="W277" i="2"/>
  <c r="W278" i="2"/>
  <c r="W279" i="2"/>
  <c r="W280" i="2"/>
  <c r="W281" i="2"/>
  <c r="W282" i="2"/>
  <c r="W283" i="2"/>
  <c r="W284" i="2"/>
  <c r="W285" i="2"/>
  <c r="W286" i="2"/>
  <c r="W287" i="2"/>
  <c r="W288" i="2"/>
  <c r="W289" i="2"/>
  <c r="W290" i="2"/>
  <c r="W291" i="2"/>
  <c r="W292" i="2"/>
  <c r="W293" i="2"/>
  <c r="W294" i="2"/>
  <c r="W295" i="2"/>
  <c r="W296" i="2"/>
  <c r="W297" i="2"/>
  <c r="W298" i="2"/>
  <c r="W299" i="2"/>
  <c r="W300" i="2"/>
  <c r="W301" i="2"/>
  <c r="W302" i="2"/>
  <c r="W303" i="2"/>
  <c r="W304" i="2"/>
  <c r="W305" i="2"/>
  <c r="W306" i="2"/>
  <c r="W307" i="2"/>
  <c r="W308" i="2"/>
  <c r="W309" i="2"/>
  <c r="W310" i="2"/>
  <c r="W311" i="2"/>
  <c r="W312" i="2"/>
  <c r="W313" i="2"/>
  <c r="W314" i="2"/>
  <c r="W315" i="2"/>
  <c r="W316" i="2"/>
  <c r="W317" i="2"/>
  <c r="W318" i="2"/>
  <c r="W319" i="2"/>
  <c r="W320" i="2"/>
  <c r="W321" i="2"/>
  <c r="W322" i="2"/>
  <c r="W323" i="2"/>
  <c r="W324" i="2"/>
  <c r="W325" i="2"/>
  <c r="W326" i="2"/>
  <c r="W327" i="2"/>
  <c r="W328" i="2"/>
  <c r="W329" i="2"/>
  <c r="W330" i="2"/>
  <c r="W331" i="2"/>
  <c r="W332" i="2"/>
  <c r="W333" i="2"/>
  <c r="W334" i="2"/>
  <c r="W335" i="2"/>
  <c r="W336" i="2"/>
  <c r="W337" i="2"/>
  <c r="W338" i="2"/>
  <c r="W339" i="2"/>
  <c r="W340" i="2"/>
  <c r="W341" i="2"/>
  <c r="W342" i="2"/>
  <c r="W343" i="2"/>
  <c r="W344" i="2"/>
  <c r="W345" i="2"/>
  <c r="W346" i="2"/>
  <c r="W347" i="2"/>
  <c r="W348" i="2"/>
  <c r="W349" i="2"/>
  <c r="W350" i="2"/>
  <c r="W351" i="2"/>
  <c r="W352" i="2"/>
  <c r="W353" i="2"/>
  <c r="W354" i="2"/>
  <c r="W355" i="2"/>
  <c r="W356" i="2"/>
  <c r="W357" i="2"/>
  <c r="W358" i="2"/>
  <c r="W359" i="2"/>
  <c r="W360" i="2"/>
  <c r="W361" i="2"/>
  <c r="W362" i="2"/>
  <c r="W363" i="2"/>
  <c r="W364" i="2"/>
  <c r="W365" i="2"/>
  <c r="W366" i="2"/>
  <c r="W367" i="2"/>
  <c r="W368" i="2"/>
  <c r="W369" i="2"/>
  <c r="W370" i="2"/>
  <c r="W371" i="2"/>
  <c r="W372" i="2"/>
  <c r="W373" i="2"/>
  <c r="W374" i="2"/>
  <c r="W375" i="2"/>
  <c r="W376" i="2"/>
  <c r="W377" i="2"/>
  <c r="W378" i="2"/>
  <c r="W379" i="2"/>
  <c r="W380" i="2"/>
  <c r="W381" i="2"/>
  <c r="W382" i="2"/>
  <c r="W383" i="2"/>
  <c r="W384" i="2"/>
  <c r="W385" i="2"/>
  <c r="W386" i="2"/>
  <c r="W387" i="2"/>
  <c r="W388" i="2"/>
  <c r="W389" i="2"/>
  <c r="W390" i="2"/>
  <c r="W391" i="2"/>
  <c r="W392" i="2"/>
  <c r="W393" i="2"/>
  <c r="W394" i="2"/>
  <c r="W395" i="2"/>
  <c r="W396" i="2"/>
  <c r="W397" i="2"/>
  <c r="W398" i="2"/>
  <c r="W399" i="2"/>
  <c r="W400" i="2"/>
  <c r="W401" i="2"/>
  <c r="W402" i="2"/>
  <c r="W403" i="2"/>
  <c r="W404" i="2"/>
  <c r="W405" i="2"/>
  <c r="W406" i="2"/>
  <c r="W407" i="2"/>
  <c r="W408" i="2"/>
  <c r="W409" i="2"/>
  <c r="W410" i="2"/>
  <c r="W411" i="2"/>
  <c r="W412" i="2"/>
  <c r="W413" i="2"/>
  <c r="W414" i="2"/>
  <c r="W415" i="2"/>
  <c r="W416" i="2"/>
  <c r="W417" i="2"/>
  <c r="W418" i="2"/>
  <c r="W419" i="2"/>
  <c r="W420" i="2"/>
  <c r="W421" i="2"/>
  <c r="W422" i="2"/>
  <c r="W423" i="2"/>
  <c r="W424" i="2"/>
  <c r="W425" i="2"/>
  <c r="W426" i="2"/>
  <c r="W427" i="2"/>
  <c r="W428" i="2"/>
  <c r="W429" i="2"/>
  <c r="W430" i="2"/>
  <c r="W431" i="2"/>
  <c r="W432" i="2"/>
  <c r="W433" i="2"/>
  <c r="W434" i="2"/>
  <c r="W435" i="2"/>
  <c r="W436" i="2"/>
  <c r="W437" i="2"/>
  <c r="W438" i="2"/>
  <c r="W439" i="2"/>
  <c r="W440" i="2"/>
  <c r="W441" i="2"/>
  <c r="W442" i="2"/>
  <c r="W443" i="2"/>
  <c r="W444" i="2"/>
  <c r="W445" i="2"/>
  <c r="W446" i="2"/>
  <c r="W447" i="2"/>
  <c r="W448" i="2"/>
  <c r="W449" i="2"/>
  <c r="W450" i="2"/>
  <c r="W451" i="2"/>
  <c r="W452" i="2"/>
  <c r="W453" i="2"/>
  <c r="W454" i="2"/>
  <c r="W455" i="2"/>
  <c r="W456" i="2"/>
  <c r="W457" i="2"/>
  <c r="W458" i="2"/>
  <c r="W459" i="2"/>
  <c r="W460" i="2"/>
  <c r="W461" i="2"/>
  <c r="W462" i="2"/>
  <c r="W463" i="2"/>
  <c r="W464" i="2"/>
  <c r="W465" i="2"/>
  <c r="W466" i="2"/>
  <c r="W467" i="2"/>
  <c r="W468" i="2"/>
  <c r="W469" i="2"/>
  <c r="W470" i="2"/>
  <c r="W471" i="2"/>
  <c r="W472" i="2"/>
  <c r="W473" i="2"/>
  <c r="W474" i="2"/>
  <c r="W475" i="2"/>
  <c r="W476" i="2"/>
  <c r="W477" i="2"/>
  <c r="W478" i="2"/>
  <c r="W479" i="2"/>
  <c r="W480" i="2"/>
  <c r="W481" i="2"/>
  <c r="W482" i="2"/>
  <c r="W483" i="2"/>
  <c r="W484" i="2"/>
  <c r="W485" i="2"/>
  <c r="W486" i="2"/>
  <c r="W487" i="2"/>
  <c r="W488" i="2"/>
  <c r="W489" i="2"/>
  <c r="W490" i="2"/>
  <c r="W491" i="2"/>
  <c r="W492" i="2"/>
  <c r="W493" i="2"/>
  <c r="W494" i="2"/>
  <c r="W495" i="2"/>
  <c r="W496" i="2"/>
  <c r="W497" i="2"/>
  <c r="W498" i="2"/>
  <c r="W499" i="2"/>
  <c r="W500" i="2"/>
  <c r="W501" i="2"/>
  <c r="W4" i="2"/>
  <c r="CC1" i="11" l="1"/>
  <c r="I8" i="40"/>
  <c r="I9" i="40" s="1"/>
  <c r="I10" i="40" s="1"/>
  <c r="I11" i="40" s="1"/>
  <c r="I12" i="40" s="1"/>
  <c r="I13" i="40" s="1"/>
  <c r="I14" i="40" s="1"/>
  <c r="I15" i="40" s="1"/>
  <c r="I7" i="40"/>
  <c r="P18" i="2"/>
  <c r="Q18" i="2" s="1"/>
  <c r="P19" i="2"/>
  <c r="Q19" i="2" s="1"/>
  <c r="P20" i="2"/>
  <c r="Q20" i="2" s="1"/>
  <c r="P21" i="2"/>
  <c r="Q21" i="2" s="1"/>
  <c r="P22" i="2"/>
  <c r="Q22" i="2" s="1"/>
  <c r="P23" i="2"/>
  <c r="Q23" i="2" s="1"/>
  <c r="P24" i="2"/>
  <c r="Q24" i="2" s="1"/>
  <c r="P25" i="2"/>
  <c r="Q25" i="2" s="1"/>
  <c r="P26" i="2"/>
  <c r="Q26" i="2" s="1"/>
  <c r="P27" i="2"/>
  <c r="Q27" i="2" s="1"/>
  <c r="P28" i="2"/>
  <c r="Q28" i="2" s="1"/>
  <c r="P29" i="2"/>
  <c r="Q29" i="2" s="1"/>
  <c r="P30" i="2"/>
  <c r="Q30" i="2" s="1"/>
  <c r="P31" i="2"/>
  <c r="Q31" i="2" s="1"/>
  <c r="P32" i="2"/>
  <c r="Q32" i="2" s="1"/>
  <c r="P33" i="2"/>
  <c r="Q33" i="2" s="1"/>
  <c r="P34" i="2"/>
  <c r="Q34" i="2" s="1"/>
  <c r="P35" i="2"/>
  <c r="Q35" i="2" s="1"/>
  <c r="P36" i="2"/>
  <c r="Q36" i="2" s="1"/>
  <c r="P37" i="2"/>
  <c r="Q37" i="2" s="1"/>
  <c r="P38" i="2"/>
  <c r="Q38" i="2" s="1"/>
  <c r="P39" i="2"/>
  <c r="Q39" i="2" s="1"/>
  <c r="P40" i="2"/>
  <c r="Q40" i="2" s="1"/>
  <c r="P41" i="2"/>
  <c r="Q41" i="2" s="1"/>
  <c r="P42" i="2"/>
  <c r="Q42" i="2" s="1"/>
  <c r="P43" i="2"/>
  <c r="Q43" i="2" s="1"/>
  <c r="P44" i="2"/>
  <c r="Q44" i="2" s="1"/>
  <c r="P45" i="2"/>
  <c r="Q45" i="2" s="1"/>
  <c r="P46" i="2"/>
  <c r="Q46" i="2" s="1"/>
  <c r="P47" i="2"/>
  <c r="Q47" i="2" s="1"/>
  <c r="P48" i="2"/>
  <c r="Q48" i="2" s="1"/>
  <c r="P49" i="2"/>
  <c r="Q49" i="2" s="1"/>
  <c r="P50" i="2"/>
  <c r="Q50" i="2" s="1"/>
  <c r="P51" i="2"/>
  <c r="Q51" i="2" s="1"/>
  <c r="P52" i="2"/>
  <c r="Q52" i="2" s="1"/>
  <c r="P53" i="2"/>
  <c r="Q53" i="2" s="1"/>
  <c r="P54" i="2"/>
  <c r="Q54" i="2" s="1"/>
  <c r="P55" i="2"/>
  <c r="Q55" i="2" s="1"/>
  <c r="P56" i="2"/>
  <c r="Q56" i="2" s="1"/>
  <c r="P57" i="2"/>
  <c r="Q57" i="2" s="1"/>
  <c r="P58" i="2"/>
  <c r="Q58" i="2" s="1"/>
  <c r="P59" i="2"/>
  <c r="Q59" i="2" s="1"/>
  <c r="P60" i="2"/>
  <c r="Q60" i="2" s="1"/>
  <c r="P61" i="2"/>
  <c r="Q61" i="2" s="1"/>
  <c r="P62" i="2"/>
  <c r="Q62" i="2" s="1"/>
  <c r="P63" i="2"/>
  <c r="Q63" i="2" s="1"/>
  <c r="P64" i="2"/>
  <c r="Q64" i="2" s="1"/>
  <c r="P65" i="2"/>
  <c r="Q65" i="2" s="1"/>
  <c r="P66" i="2"/>
  <c r="Q66" i="2" s="1"/>
  <c r="P67" i="2"/>
  <c r="Q67" i="2" s="1"/>
  <c r="P68" i="2"/>
  <c r="Q68" i="2" s="1"/>
  <c r="P69" i="2"/>
  <c r="Q69" i="2" s="1"/>
  <c r="P70" i="2"/>
  <c r="Q70" i="2" s="1"/>
  <c r="P71" i="2"/>
  <c r="Q71" i="2" s="1"/>
  <c r="P72" i="2"/>
  <c r="Q72" i="2" s="1"/>
  <c r="P73" i="2"/>
  <c r="Q73" i="2" s="1"/>
  <c r="P74" i="2"/>
  <c r="Q74" i="2" s="1"/>
  <c r="P75" i="2"/>
  <c r="Q75" i="2" s="1"/>
  <c r="P76" i="2"/>
  <c r="Q76" i="2" s="1"/>
  <c r="P77" i="2"/>
  <c r="Q77" i="2" s="1"/>
  <c r="P78" i="2"/>
  <c r="Q78" i="2" s="1"/>
  <c r="P79" i="2"/>
  <c r="Q79" i="2" s="1"/>
  <c r="P80" i="2"/>
  <c r="Q80" i="2" s="1"/>
  <c r="P81" i="2"/>
  <c r="Q81" i="2" s="1"/>
  <c r="P82" i="2"/>
  <c r="Q82" i="2" s="1"/>
  <c r="P83" i="2"/>
  <c r="Q83" i="2" s="1"/>
  <c r="P84" i="2"/>
  <c r="Q84" i="2" s="1"/>
  <c r="P85" i="2"/>
  <c r="Q85" i="2" s="1"/>
  <c r="P86" i="2"/>
  <c r="Q86" i="2" s="1"/>
  <c r="P87" i="2"/>
  <c r="Q87" i="2" s="1"/>
  <c r="P88" i="2"/>
  <c r="Q88" i="2" s="1"/>
  <c r="P89" i="2"/>
  <c r="Q89" i="2" s="1"/>
  <c r="P90" i="2"/>
  <c r="Q90" i="2" s="1"/>
  <c r="P91" i="2"/>
  <c r="Q91" i="2" s="1"/>
  <c r="P92" i="2"/>
  <c r="Q92" i="2" s="1"/>
  <c r="P93" i="2"/>
  <c r="Q93" i="2" s="1"/>
  <c r="P94" i="2"/>
  <c r="Q94" i="2" s="1"/>
  <c r="P95" i="2"/>
  <c r="Q95" i="2" s="1"/>
  <c r="P96" i="2"/>
  <c r="Q96" i="2" s="1"/>
  <c r="P97" i="2"/>
  <c r="Q97" i="2" s="1"/>
  <c r="P98" i="2"/>
  <c r="Q98" i="2" s="1"/>
  <c r="P99" i="2"/>
  <c r="Q99" i="2" s="1"/>
  <c r="P100" i="2"/>
  <c r="Q100" i="2" s="1"/>
  <c r="P101" i="2"/>
  <c r="Q101" i="2" s="1"/>
  <c r="P102" i="2"/>
  <c r="Q102" i="2" s="1"/>
  <c r="P103" i="2"/>
  <c r="Q103" i="2" s="1"/>
  <c r="P104" i="2"/>
  <c r="Q104" i="2" s="1"/>
  <c r="P105" i="2"/>
  <c r="Q105" i="2" s="1"/>
  <c r="P106" i="2"/>
  <c r="Q106" i="2" s="1"/>
  <c r="P107" i="2"/>
  <c r="Q107" i="2" s="1"/>
  <c r="P108" i="2"/>
  <c r="Q108" i="2" s="1"/>
  <c r="P109" i="2"/>
  <c r="Q109" i="2" s="1"/>
  <c r="P110" i="2"/>
  <c r="Q110" i="2" s="1"/>
  <c r="P111" i="2"/>
  <c r="Q111" i="2" s="1"/>
  <c r="P112" i="2"/>
  <c r="Q112" i="2" s="1"/>
  <c r="P113" i="2"/>
  <c r="Q113" i="2" s="1"/>
  <c r="P114" i="2"/>
  <c r="Q114" i="2" s="1"/>
  <c r="P115" i="2"/>
  <c r="Q115" i="2" s="1"/>
  <c r="P116" i="2"/>
  <c r="Q116" i="2" s="1"/>
  <c r="P117" i="2"/>
  <c r="Q117" i="2" s="1"/>
  <c r="P118" i="2"/>
  <c r="Q118" i="2" s="1"/>
  <c r="P119" i="2"/>
  <c r="Q119" i="2" s="1"/>
  <c r="P120" i="2"/>
  <c r="Q120" i="2" s="1"/>
  <c r="P121" i="2"/>
  <c r="Q121" i="2" s="1"/>
  <c r="P122" i="2"/>
  <c r="Q122" i="2" s="1"/>
  <c r="P123" i="2"/>
  <c r="Q123" i="2" s="1"/>
  <c r="P124" i="2"/>
  <c r="Q124" i="2" s="1"/>
  <c r="P125" i="2"/>
  <c r="Q125" i="2" s="1"/>
  <c r="P126" i="2"/>
  <c r="Q126" i="2" s="1"/>
  <c r="P127" i="2"/>
  <c r="Q127" i="2" s="1"/>
  <c r="P128" i="2"/>
  <c r="Q128" i="2" s="1"/>
  <c r="P129" i="2"/>
  <c r="Q129" i="2" s="1"/>
  <c r="P130" i="2"/>
  <c r="Q130" i="2" s="1"/>
  <c r="P131" i="2"/>
  <c r="Q131" i="2" s="1"/>
  <c r="P132" i="2"/>
  <c r="Q132" i="2" s="1"/>
  <c r="P133" i="2"/>
  <c r="Q133" i="2" s="1"/>
  <c r="P134" i="2"/>
  <c r="Q134" i="2" s="1"/>
  <c r="P135" i="2"/>
  <c r="Q135" i="2" s="1"/>
  <c r="P136" i="2"/>
  <c r="Q136" i="2" s="1"/>
  <c r="P137" i="2"/>
  <c r="Q137" i="2" s="1"/>
  <c r="P138" i="2"/>
  <c r="Q138" i="2" s="1"/>
  <c r="P139" i="2"/>
  <c r="Q139" i="2" s="1"/>
  <c r="P140" i="2"/>
  <c r="Q140" i="2" s="1"/>
  <c r="P141" i="2"/>
  <c r="Q141" i="2" s="1"/>
  <c r="P142" i="2"/>
  <c r="Q142" i="2" s="1"/>
  <c r="P143" i="2"/>
  <c r="Q143" i="2" s="1"/>
  <c r="P144" i="2"/>
  <c r="Q144" i="2" s="1"/>
  <c r="P145" i="2"/>
  <c r="Q145" i="2" s="1"/>
  <c r="P146" i="2"/>
  <c r="Q146" i="2" s="1"/>
  <c r="P147" i="2"/>
  <c r="Q147" i="2" s="1"/>
  <c r="P148" i="2"/>
  <c r="Q148" i="2" s="1"/>
  <c r="P149" i="2"/>
  <c r="Q149" i="2" s="1"/>
  <c r="P150" i="2"/>
  <c r="Q150" i="2" s="1"/>
  <c r="P151" i="2"/>
  <c r="Q151" i="2" s="1"/>
  <c r="P152" i="2"/>
  <c r="Q152" i="2" s="1"/>
  <c r="P153" i="2"/>
  <c r="Q153" i="2" s="1"/>
  <c r="P154" i="2"/>
  <c r="Q154" i="2" s="1"/>
  <c r="P155" i="2"/>
  <c r="Q155" i="2" s="1"/>
  <c r="P156" i="2"/>
  <c r="Q156" i="2" s="1"/>
  <c r="P157" i="2"/>
  <c r="Q157" i="2" s="1"/>
  <c r="P158" i="2"/>
  <c r="Q158" i="2" s="1"/>
  <c r="P159" i="2"/>
  <c r="Q159" i="2" s="1"/>
  <c r="P160" i="2"/>
  <c r="Q160" i="2" s="1"/>
  <c r="P161" i="2"/>
  <c r="Q161" i="2" s="1"/>
  <c r="P162" i="2"/>
  <c r="Q162" i="2" s="1"/>
  <c r="P163" i="2"/>
  <c r="Q163" i="2" s="1"/>
  <c r="P164" i="2"/>
  <c r="Q164" i="2" s="1"/>
  <c r="P165" i="2"/>
  <c r="Q165" i="2" s="1"/>
  <c r="P166" i="2"/>
  <c r="Q166" i="2" s="1"/>
  <c r="P167" i="2"/>
  <c r="Q167" i="2" s="1"/>
  <c r="P168" i="2"/>
  <c r="Q168" i="2" s="1"/>
  <c r="P169" i="2"/>
  <c r="Q169" i="2" s="1"/>
  <c r="P170" i="2"/>
  <c r="Q170" i="2" s="1"/>
  <c r="P171" i="2"/>
  <c r="Q171" i="2" s="1"/>
  <c r="P172" i="2"/>
  <c r="Q172" i="2" s="1"/>
  <c r="P173" i="2"/>
  <c r="Q173" i="2" s="1"/>
  <c r="P174" i="2"/>
  <c r="Q174" i="2" s="1"/>
  <c r="P175" i="2"/>
  <c r="Q175" i="2" s="1"/>
  <c r="P176" i="2"/>
  <c r="Q176" i="2" s="1"/>
  <c r="P177" i="2"/>
  <c r="Q177" i="2" s="1"/>
  <c r="P178" i="2"/>
  <c r="Q178" i="2" s="1"/>
  <c r="P179" i="2"/>
  <c r="Q179" i="2" s="1"/>
  <c r="P180" i="2"/>
  <c r="Q180" i="2" s="1"/>
  <c r="P181" i="2"/>
  <c r="Q181" i="2" s="1"/>
  <c r="P182" i="2"/>
  <c r="Q182" i="2" s="1"/>
  <c r="P183" i="2"/>
  <c r="Q183" i="2" s="1"/>
  <c r="P184" i="2"/>
  <c r="Q184" i="2" s="1"/>
  <c r="P185" i="2"/>
  <c r="Q185" i="2" s="1"/>
  <c r="P186" i="2"/>
  <c r="Q186" i="2" s="1"/>
  <c r="P187" i="2"/>
  <c r="Q187" i="2" s="1"/>
  <c r="P188" i="2"/>
  <c r="Q188" i="2" s="1"/>
  <c r="P189" i="2"/>
  <c r="Q189" i="2" s="1"/>
  <c r="P190" i="2"/>
  <c r="Q190" i="2" s="1"/>
  <c r="P191" i="2"/>
  <c r="Q191" i="2" s="1"/>
  <c r="P192" i="2"/>
  <c r="Q192" i="2" s="1"/>
  <c r="P193" i="2"/>
  <c r="Q193" i="2" s="1"/>
  <c r="P194" i="2"/>
  <c r="Q194" i="2" s="1"/>
  <c r="P195" i="2"/>
  <c r="Q195" i="2" s="1"/>
  <c r="P196" i="2"/>
  <c r="Q196" i="2" s="1"/>
  <c r="P197" i="2"/>
  <c r="Q197" i="2" s="1"/>
  <c r="P198" i="2"/>
  <c r="Q198" i="2" s="1"/>
  <c r="P199" i="2"/>
  <c r="Q199" i="2" s="1"/>
  <c r="P200" i="2"/>
  <c r="Q200" i="2" s="1"/>
  <c r="P201" i="2"/>
  <c r="Q201" i="2" s="1"/>
  <c r="P202" i="2"/>
  <c r="Q202" i="2" s="1"/>
  <c r="P203" i="2"/>
  <c r="Q203" i="2" s="1"/>
  <c r="P204" i="2"/>
  <c r="Q204" i="2" s="1"/>
  <c r="P205" i="2"/>
  <c r="Q205" i="2" s="1"/>
  <c r="P206" i="2"/>
  <c r="Q206" i="2" s="1"/>
  <c r="P207" i="2"/>
  <c r="Q207" i="2" s="1"/>
  <c r="P208" i="2"/>
  <c r="Q208" i="2" s="1"/>
  <c r="P209" i="2"/>
  <c r="Q209" i="2" s="1"/>
  <c r="P210" i="2"/>
  <c r="Q210" i="2" s="1"/>
  <c r="P211" i="2"/>
  <c r="Q211" i="2" s="1"/>
  <c r="P212" i="2"/>
  <c r="Q212" i="2" s="1"/>
  <c r="P213" i="2"/>
  <c r="Q213" i="2" s="1"/>
  <c r="P214" i="2"/>
  <c r="Q214" i="2" s="1"/>
  <c r="P215" i="2"/>
  <c r="Q215" i="2" s="1"/>
  <c r="P216" i="2"/>
  <c r="Q216" i="2" s="1"/>
  <c r="P217" i="2"/>
  <c r="Q217" i="2" s="1"/>
  <c r="P218" i="2"/>
  <c r="Q218" i="2" s="1"/>
  <c r="P219" i="2"/>
  <c r="Q219" i="2" s="1"/>
  <c r="P220" i="2"/>
  <c r="Q220" i="2" s="1"/>
  <c r="P221" i="2"/>
  <c r="Q221" i="2" s="1"/>
  <c r="P222" i="2"/>
  <c r="Q222" i="2" s="1"/>
  <c r="P223" i="2"/>
  <c r="Q223" i="2" s="1"/>
  <c r="P224" i="2"/>
  <c r="Q224" i="2" s="1"/>
  <c r="P225" i="2"/>
  <c r="Q225" i="2" s="1"/>
  <c r="P226" i="2"/>
  <c r="Q226" i="2" s="1"/>
  <c r="P227" i="2"/>
  <c r="Q227" i="2" s="1"/>
  <c r="P228" i="2"/>
  <c r="Q228" i="2" s="1"/>
  <c r="P229" i="2"/>
  <c r="Q229" i="2" s="1"/>
  <c r="P230" i="2"/>
  <c r="Q230" i="2" s="1"/>
  <c r="P231" i="2"/>
  <c r="Q231" i="2" s="1"/>
  <c r="P232" i="2"/>
  <c r="Q232" i="2" s="1"/>
  <c r="P233" i="2"/>
  <c r="Q233" i="2" s="1"/>
  <c r="P234" i="2"/>
  <c r="Q234" i="2" s="1"/>
  <c r="P235" i="2"/>
  <c r="Q235" i="2" s="1"/>
  <c r="P236" i="2"/>
  <c r="Q236" i="2" s="1"/>
  <c r="P237" i="2"/>
  <c r="Q237" i="2" s="1"/>
  <c r="P238" i="2"/>
  <c r="Q238" i="2" s="1"/>
  <c r="P239" i="2"/>
  <c r="Q239" i="2" s="1"/>
  <c r="P240" i="2"/>
  <c r="Q240" i="2" s="1"/>
  <c r="P241" i="2"/>
  <c r="Q241" i="2" s="1"/>
  <c r="P242" i="2"/>
  <c r="Q242" i="2" s="1"/>
  <c r="P243" i="2"/>
  <c r="Q243" i="2" s="1"/>
  <c r="P244" i="2"/>
  <c r="Q244" i="2" s="1"/>
  <c r="P245" i="2"/>
  <c r="Q245" i="2" s="1"/>
  <c r="P246" i="2"/>
  <c r="Q246" i="2" s="1"/>
  <c r="P247" i="2"/>
  <c r="Q247" i="2" s="1"/>
  <c r="P248" i="2"/>
  <c r="Q248" i="2" s="1"/>
  <c r="P249" i="2"/>
  <c r="Q249" i="2" s="1"/>
  <c r="P250" i="2"/>
  <c r="Q250" i="2" s="1"/>
  <c r="P251" i="2"/>
  <c r="Q251" i="2" s="1"/>
  <c r="P252" i="2"/>
  <c r="Q252" i="2" s="1"/>
  <c r="P253" i="2"/>
  <c r="Q253" i="2" s="1"/>
  <c r="P254" i="2"/>
  <c r="Q254" i="2" s="1"/>
  <c r="P255" i="2"/>
  <c r="Q255" i="2" s="1"/>
  <c r="P256" i="2"/>
  <c r="Q256" i="2" s="1"/>
  <c r="P257" i="2"/>
  <c r="Q257" i="2" s="1"/>
  <c r="P258" i="2"/>
  <c r="Q258" i="2" s="1"/>
  <c r="P259" i="2"/>
  <c r="Q259" i="2" s="1"/>
  <c r="P260" i="2"/>
  <c r="Q260" i="2" s="1"/>
  <c r="P261" i="2"/>
  <c r="Q261" i="2" s="1"/>
  <c r="P262" i="2"/>
  <c r="Q262" i="2" s="1"/>
  <c r="P263" i="2"/>
  <c r="Q263" i="2" s="1"/>
  <c r="P264" i="2"/>
  <c r="Q264" i="2" s="1"/>
  <c r="P265" i="2"/>
  <c r="Q265" i="2" s="1"/>
  <c r="P266" i="2"/>
  <c r="Q266" i="2" s="1"/>
  <c r="P267" i="2"/>
  <c r="Q267" i="2" s="1"/>
  <c r="P268" i="2"/>
  <c r="Q268" i="2" s="1"/>
  <c r="P269" i="2"/>
  <c r="Q269" i="2" s="1"/>
  <c r="P270" i="2"/>
  <c r="Q270" i="2" s="1"/>
  <c r="P271" i="2"/>
  <c r="Q271" i="2" s="1"/>
  <c r="P272" i="2"/>
  <c r="Q272" i="2" s="1"/>
  <c r="P273" i="2"/>
  <c r="Q273" i="2" s="1"/>
  <c r="P274" i="2"/>
  <c r="Q274" i="2" s="1"/>
  <c r="P275" i="2"/>
  <c r="Q275" i="2" s="1"/>
  <c r="P276" i="2"/>
  <c r="Q276" i="2" s="1"/>
  <c r="P277" i="2"/>
  <c r="Q277" i="2" s="1"/>
  <c r="P278" i="2"/>
  <c r="Q278" i="2" s="1"/>
  <c r="P279" i="2"/>
  <c r="Q279" i="2" s="1"/>
  <c r="P280" i="2"/>
  <c r="Q280" i="2" s="1"/>
  <c r="P281" i="2"/>
  <c r="Q281" i="2" s="1"/>
  <c r="P282" i="2"/>
  <c r="Q282" i="2" s="1"/>
  <c r="P283" i="2"/>
  <c r="Q283" i="2" s="1"/>
  <c r="P284" i="2"/>
  <c r="Q284" i="2" s="1"/>
  <c r="P285" i="2"/>
  <c r="Q285" i="2" s="1"/>
  <c r="P286" i="2"/>
  <c r="Q286" i="2" s="1"/>
  <c r="P287" i="2"/>
  <c r="Q287" i="2" s="1"/>
  <c r="P288" i="2"/>
  <c r="Q288" i="2" s="1"/>
  <c r="P289" i="2"/>
  <c r="Q289" i="2" s="1"/>
  <c r="P290" i="2"/>
  <c r="Q290" i="2" s="1"/>
  <c r="P291" i="2"/>
  <c r="Q291" i="2" s="1"/>
  <c r="P292" i="2"/>
  <c r="Q292" i="2" s="1"/>
  <c r="P293" i="2"/>
  <c r="Q293" i="2" s="1"/>
  <c r="P294" i="2"/>
  <c r="Q294" i="2" s="1"/>
  <c r="P295" i="2"/>
  <c r="Q295" i="2" s="1"/>
  <c r="P296" i="2"/>
  <c r="Q296" i="2" s="1"/>
  <c r="P297" i="2"/>
  <c r="Q297" i="2" s="1"/>
  <c r="P298" i="2"/>
  <c r="Q298" i="2" s="1"/>
  <c r="P299" i="2"/>
  <c r="Q299" i="2" s="1"/>
  <c r="P300" i="2"/>
  <c r="Q300" i="2" s="1"/>
  <c r="P301" i="2"/>
  <c r="Q301" i="2" s="1"/>
  <c r="P302" i="2"/>
  <c r="Q302" i="2" s="1"/>
  <c r="P303" i="2"/>
  <c r="Q303" i="2" s="1"/>
  <c r="P304" i="2"/>
  <c r="Q304" i="2" s="1"/>
  <c r="P305" i="2"/>
  <c r="Q305" i="2" s="1"/>
  <c r="P306" i="2"/>
  <c r="Q306" i="2" s="1"/>
  <c r="P307" i="2"/>
  <c r="Q307" i="2" s="1"/>
  <c r="P308" i="2"/>
  <c r="Q308" i="2" s="1"/>
  <c r="P309" i="2"/>
  <c r="Q309" i="2" s="1"/>
  <c r="P310" i="2"/>
  <c r="Q310" i="2" s="1"/>
  <c r="P311" i="2"/>
  <c r="Q311" i="2" s="1"/>
  <c r="P312" i="2"/>
  <c r="Q312" i="2" s="1"/>
  <c r="P313" i="2"/>
  <c r="Q313" i="2" s="1"/>
  <c r="P314" i="2"/>
  <c r="Q314" i="2" s="1"/>
  <c r="P315" i="2"/>
  <c r="Q315" i="2" s="1"/>
  <c r="P316" i="2"/>
  <c r="Q316" i="2" s="1"/>
  <c r="P317" i="2"/>
  <c r="Q317" i="2" s="1"/>
  <c r="P318" i="2"/>
  <c r="Q318" i="2" s="1"/>
  <c r="P319" i="2"/>
  <c r="Q319" i="2" s="1"/>
  <c r="P320" i="2"/>
  <c r="Q320" i="2" s="1"/>
  <c r="P321" i="2"/>
  <c r="Q321" i="2" s="1"/>
  <c r="P322" i="2"/>
  <c r="Q322" i="2" s="1"/>
  <c r="P323" i="2"/>
  <c r="Q323" i="2" s="1"/>
  <c r="P324" i="2"/>
  <c r="Q324" i="2" s="1"/>
  <c r="P325" i="2"/>
  <c r="Q325" i="2" s="1"/>
  <c r="P326" i="2"/>
  <c r="Q326" i="2" s="1"/>
  <c r="P327" i="2"/>
  <c r="Q327" i="2" s="1"/>
  <c r="P328" i="2"/>
  <c r="Q328" i="2" s="1"/>
  <c r="P329" i="2"/>
  <c r="Q329" i="2" s="1"/>
  <c r="P330" i="2"/>
  <c r="Q330" i="2" s="1"/>
  <c r="P331" i="2"/>
  <c r="Q331" i="2" s="1"/>
  <c r="P332" i="2"/>
  <c r="Q332" i="2" s="1"/>
  <c r="P333" i="2"/>
  <c r="Q333" i="2" s="1"/>
  <c r="P334" i="2"/>
  <c r="Q334" i="2" s="1"/>
  <c r="P335" i="2"/>
  <c r="Q335" i="2" s="1"/>
  <c r="P336" i="2"/>
  <c r="Q336" i="2" s="1"/>
  <c r="P337" i="2"/>
  <c r="Q337" i="2" s="1"/>
  <c r="P338" i="2"/>
  <c r="Q338" i="2" s="1"/>
  <c r="P339" i="2"/>
  <c r="Q339" i="2" s="1"/>
  <c r="P340" i="2"/>
  <c r="Q340" i="2" s="1"/>
  <c r="P341" i="2"/>
  <c r="Q341" i="2" s="1"/>
  <c r="P342" i="2"/>
  <c r="Q342" i="2" s="1"/>
  <c r="P343" i="2"/>
  <c r="Q343" i="2" s="1"/>
  <c r="P344" i="2"/>
  <c r="Q344" i="2" s="1"/>
  <c r="P345" i="2"/>
  <c r="Q345" i="2" s="1"/>
  <c r="P346" i="2"/>
  <c r="Q346" i="2" s="1"/>
  <c r="P347" i="2"/>
  <c r="Q347" i="2" s="1"/>
  <c r="P348" i="2"/>
  <c r="Q348" i="2" s="1"/>
  <c r="P349" i="2"/>
  <c r="Q349" i="2" s="1"/>
  <c r="P350" i="2"/>
  <c r="Q350" i="2" s="1"/>
  <c r="P351" i="2"/>
  <c r="Q351" i="2" s="1"/>
  <c r="P352" i="2"/>
  <c r="Q352" i="2" s="1"/>
  <c r="P353" i="2"/>
  <c r="Q353" i="2" s="1"/>
  <c r="P354" i="2"/>
  <c r="Q354" i="2" s="1"/>
  <c r="P355" i="2"/>
  <c r="Q355" i="2" s="1"/>
  <c r="P356" i="2"/>
  <c r="Q356" i="2" s="1"/>
  <c r="P357" i="2"/>
  <c r="Q357" i="2" s="1"/>
  <c r="P358" i="2"/>
  <c r="Q358" i="2" s="1"/>
  <c r="P359" i="2"/>
  <c r="Q359" i="2" s="1"/>
  <c r="P360" i="2"/>
  <c r="Q360" i="2" s="1"/>
  <c r="P361" i="2"/>
  <c r="Q361" i="2" s="1"/>
  <c r="P362" i="2"/>
  <c r="Q362" i="2" s="1"/>
  <c r="P363" i="2"/>
  <c r="Q363" i="2" s="1"/>
  <c r="P364" i="2"/>
  <c r="Q364" i="2" s="1"/>
  <c r="P365" i="2"/>
  <c r="Q365" i="2" s="1"/>
  <c r="P366" i="2"/>
  <c r="Q366" i="2" s="1"/>
  <c r="P367" i="2"/>
  <c r="Q367" i="2" s="1"/>
  <c r="P368" i="2"/>
  <c r="Q368" i="2" s="1"/>
  <c r="P369" i="2"/>
  <c r="Q369" i="2" s="1"/>
  <c r="P370" i="2"/>
  <c r="Q370" i="2" s="1"/>
  <c r="P371" i="2"/>
  <c r="Q371" i="2" s="1"/>
  <c r="P372" i="2"/>
  <c r="Q372" i="2" s="1"/>
  <c r="P373" i="2"/>
  <c r="Q373" i="2" s="1"/>
  <c r="P374" i="2"/>
  <c r="Q374" i="2" s="1"/>
  <c r="P375" i="2"/>
  <c r="Q375" i="2" s="1"/>
  <c r="P376" i="2"/>
  <c r="Q376" i="2" s="1"/>
  <c r="P377" i="2"/>
  <c r="Q377" i="2" s="1"/>
  <c r="P378" i="2"/>
  <c r="Q378" i="2" s="1"/>
  <c r="P379" i="2"/>
  <c r="Q379" i="2" s="1"/>
  <c r="P380" i="2"/>
  <c r="Q380" i="2" s="1"/>
  <c r="P381" i="2"/>
  <c r="Q381" i="2" s="1"/>
  <c r="P382" i="2"/>
  <c r="Q382" i="2" s="1"/>
  <c r="P383" i="2"/>
  <c r="Q383" i="2" s="1"/>
  <c r="P384" i="2"/>
  <c r="Q384" i="2" s="1"/>
  <c r="P385" i="2"/>
  <c r="Q385" i="2" s="1"/>
  <c r="P386" i="2"/>
  <c r="Q386" i="2" s="1"/>
  <c r="P387" i="2"/>
  <c r="Q387" i="2" s="1"/>
  <c r="P388" i="2"/>
  <c r="Q388" i="2" s="1"/>
  <c r="P389" i="2"/>
  <c r="Q389" i="2" s="1"/>
  <c r="P390" i="2"/>
  <c r="Q390" i="2" s="1"/>
  <c r="P391" i="2"/>
  <c r="Q391" i="2" s="1"/>
  <c r="P392" i="2"/>
  <c r="Q392" i="2" s="1"/>
  <c r="P393" i="2"/>
  <c r="Q393" i="2" s="1"/>
  <c r="P394" i="2"/>
  <c r="Q394" i="2" s="1"/>
  <c r="P395" i="2"/>
  <c r="Q395" i="2" s="1"/>
  <c r="P396" i="2"/>
  <c r="Q396" i="2" s="1"/>
  <c r="P397" i="2"/>
  <c r="Q397" i="2" s="1"/>
  <c r="P398" i="2"/>
  <c r="Q398" i="2" s="1"/>
  <c r="P399" i="2"/>
  <c r="Q399" i="2" s="1"/>
  <c r="P400" i="2"/>
  <c r="Q400" i="2" s="1"/>
  <c r="P401" i="2"/>
  <c r="Q401" i="2" s="1"/>
  <c r="P402" i="2"/>
  <c r="Q402" i="2" s="1"/>
  <c r="P403" i="2"/>
  <c r="Q403" i="2" s="1"/>
  <c r="P404" i="2"/>
  <c r="Q404" i="2" s="1"/>
  <c r="P405" i="2"/>
  <c r="Q405" i="2" s="1"/>
  <c r="P406" i="2"/>
  <c r="Q406" i="2" s="1"/>
  <c r="P407" i="2"/>
  <c r="Q407" i="2" s="1"/>
  <c r="P408" i="2"/>
  <c r="Q408" i="2" s="1"/>
  <c r="P409" i="2"/>
  <c r="Q409" i="2" s="1"/>
  <c r="P410" i="2"/>
  <c r="Q410" i="2" s="1"/>
  <c r="P411" i="2"/>
  <c r="Q411" i="2" s="1"/>
  <c r="P412" i="2"/>
  <c r="Q412" i="2" s="1"/>
  <c r="P413" i="2"/>
  <c r="Q413" i="2" s="1"/>
  <c r="P414" i="2"/>
  <c r="Q414" i="2" s="1"/>
  <c r="P415" i="2"/>
  <c r="Q415" i="2" s="1"/>
  <c r="P416" i="2"/>
  <c r="Q416" i="2" s="1"/>
  <c r="P417" i="2"/>
  <c r="Q417" i="2" s="1"/>
  <c r="P418" i="2"/>
  <c r="Q418" i="2" s="1"/>
  <c r="P419" i="2"/>
  <c r="Q419" i="2" s="1"/>
  <c r="P420" i="2"/>
  <c r="Q420" i="2" s="1"/>
  <c r="P421" i="2"/>
  <c r="Q421" i="2" s="1"/>
  <c r="P422" i="2"/>
  <c r="Q422" i="2" s="1"/>
  <c r="P423" i="2"/>
  <c r="Q423" i="2" s="1"/>
  <c r="P424" i="2"/>
  <c r="Q424" i="2" s="1"/>
  <c r="P425" i="2"/>
  <c r="Q425" i="2" s="1"/>
  <c r="P426" i="2"/>
  <c r="Q426" i="2" s="1"/>
  <c r="P427" i="2"/>
  <c r="Q427" i="2" s="1"/>
  <c r="P428" i="2"/>
  <c r="Q428" i="2" s="1"/>
  <c r="P429" i="2"/>
  <c r="Q429" i="2" s="1"/>
  <c r="P430" i="2"/>
  <c r="Q430" i="2" s="1"/>
  <c r="P431" i="2"/>
  <c r="Q431" i="2" s="1"/>
  <c r="P432" i="2"/>
  <c r="Q432" i="2" s="1"/>
  <c r="P433" i="2"/>
  <c r="Q433" i="2" s="1"/>
  <c r="P434" i="2"/>
  <c r="Q434" i="2" s="1"/>
  <c r="P435" i="2"/>
  <c r="Q435" i="2" s="1"/>
  <c r="P436" i="2"/>
  <c r="Q436" i="2" s="1"/>
  <c r="P437" i="2"/>
  <c r="Q437" i="2" s="1"/>
  <c r="P438" i="2"/>
  <c r="Q438" i="2" s="1"/>
  <c r="P439" i="2"/>
  <c r="Q439" i="2" s="1"/>
  <c r="P440" i="2"/>
  <c r="Q440" i="2" s="1"/>
  <c r="P441" i="2"/>
  <c r="Q441" i="2" s="1"/>
  <c r="P442" i="2"/>
  <c r="Q442" i="2" s="1"/>
  <c r="P443" i="2"/>
  <c r="Q443" i="2" s="1"/>
  <c r="P444" i="2"/>
  <c r="Q444" i="2" s="1"/>
  <c r="P445" i="2"/>
  <c r="Q445" i="2" s="1"/>
  <c r="P446" i="2"/>
  <c r="Q446" i="2" s="1"/>
  <c r="P447" i="2"/>
  <c r="Q447" i="2" s="1"/>
  <c r="P448" i="2"/>
  <c r="Q448" i="2" s="1"/>
  <c r="P449" i="2"/>
  <c r="Q449" i="2" s="1"/>
  <c r="P450" i="2"/>
  <c r="Q450" i="2" s="1"/>
  <c r="P451" i="2"/>
  <c r="Q451" i="2" s="1"/>
  <c r="P452" i="2"/>
  <c r="Q452" i="2" s="1"/>
  <c r="P453" i="2"/>
  <c r="Q453" i="2" s="1"/>
  <c r="P454" i="2"/>
  <c r="Q454" i="2" s="1"/>
  <c r="P455" i="2"/>
  <c r="Q455" i="2" s="1"/>
  <c r="P456" i="2"/>
  <c r="Q456" i="2" s="1"/>
  <c r="P457" i="2"/>
  <c r="Q457" i="2" s="1"/>
  <c r="P458" i="2"/>
  <c r="Q458" i="2" s="1"/>
  <c r="P459" i="2"/>
  <c r="Q459" i="2" s="1"/>
  <c r="P460" i="2"/>
  <c r="Q460" i="2" s="1"/>
  <c r="P461" i="2"/>
  <c r="Q461" i="2" s="1"/>
  <c r="P462" i="2"/>
  <c r="Q462" i="2" s="1"/>
  <c r="P463" i="2"/>
  <c r="Q463" i="2" s="1"/>
  <c r="P464" i="2"/>
  <c r="Q464" i="2" s="1"/>
  <c r="P465" i="2"/>
  <c r="Q465" i="2" s="1"/>
  <c r="P466" i="2"/>
  <c r="Q466" i="2" s="1"/>
  <c r="P467" i="2"/>
  <c r="Q467" i="2" s="1"/>
  <c r="P468" i="2"/>
  <c r="Q468" i="2" s="1"/>
  <c r="P469" i="2"/>
  <c r="Q469" i="2" s="1"/>
  <c r="P470" i="2"/>
  <c r="Q470" i="2" s="1"/>
  <c r="P471" i="2"/>
  <c r="Q471" i="2" s="1"/>
  <c r="P472" i="2"/>
  <c r="Q472" i="2" s="1"/>
  <c r="P473" i="2"/>
  <c r="Q473" i="2" s="1"/>
  <c r="P474" i="2"/>
  <c r="Q474" i="2" s="1"/>
  <c r="P475" i="2"/>
  <c r="Q475" i="2" s="1"/>
  <c r="P476" i="2"/>
  <c r="Q476" i="2" s="1"/>
  <c r="P477" i="2"/>
  <c r="Q477" i="2" s="1"/>
  <c r="P478" i="2"/>
  <c r="Q478" i="2" s="1"/>
  <c r="P479" i="2"/>
  <c r="Q479" i="2" s="1"/>
  <c r="P480" i="2"/>
  <c r="Q480" i="2" s="1"/>
  <c r="P481" i="2"/>
  <c r="Q481" i="2" s="1"/>
  <c r="P482" i="2"/>
  <c r="Q482" i="2" s="1"/>
  <c r="P483" i="2"/>
  <c r="Q483" i="2" s="1"/>
  <c r="P484" i="2"/>
  <c r="Q484" i="2" s="1"/>
  <c r="P485" i="2"/>
  <c r="Q485" i="2" s="1"/>
  <c r="P486" i="2"/>
  <c r="Q486" i="2" s="1"/>
  <c r="P487" i="2"/>
  <c r="Q487" i="2" s="1"/>
  <c r="P488" i="2"/>
  <c r="Q488" i="2" s="1"/>
  <c r="P489" i="2"/>
  <c r="Q489" i="2" s="1"/>
  <c r="P490" i="2"/>
  <c r="Q490" i="2" s="1"/>
  <c r="P491" i="2"/>
  <c r="Q491" i="2" s="1"/>
  <c r="P492" i="2"/>
  <c r="Q492" i="2" s="1"/>
  <c r="P493" i="2"/>
  <c r="Q493" i="2" s="1"/>
  <c r="P494" i="2"/>
  <c r="Q494" i="2" s="1"/>
  <c r="P495" i="2"/>
  <c r="Q495" i="2" s="1"/>
  <c r="P496" i="2"/>
  <c r="Q496" i="2" s="1"/>
  <c r="P497" i="2"/>
  <c r="Q497" i="2" s="1"/>
  <c r="P498" i="2"/>
  <c r="Q498" i="2" s="1"/>
  <c r="P499" i="2"/>
  <c r="Q499" i="2" s="1"/>
  <c r="P500" i="2"/>
  <c r="Q500" i="2" s="1"/>
  <c r="P501" i="2"/>
  <c r="Q501" i="2" s="1"/>
  <c r="P5" i="2"/>
  <c r="Q5" i="2" s="1"/>
  <c r="P6" i="2"/>
  <c r="Q6" i="2" s="1"/>
  <c r="P7" i="2"/>
  <c r="Q7" i="2" s="1"/>
  <c r="P8" i="2"/>
  <c r="Q8" i="2" s="1"/>
  <c r="P9" i="2"/>
  <c r="Q9" i="2" s="1"/>
  <c r="P10" i="2"/>
  <c r="Q10" i="2" s="1"/>
  <c r="P11" i="2"/>
  <c r="Q11" i="2" s="1"/>
  <c r="P12" i="2"/>
  <c r="Q12" i="2" s="1"/>
  <c r="P13" i="2"/>
  <c r="Q13" i="2" s="1"/>
  <c r="P14" i="2"/>
  <c r="Q14" i="2" s="1"/>
  <c r="P15" i="2"/>
  <c r="Q15" i="2" s="1"/>
  <c r="P16" i="2"/>
  <c r="Q16" i="2" s="1"/>
  <c r="P17" i="2"/>
  <c r="Q17" i="2" s="1"/>
  <c r="K17" i="40" l="1"/>
  <c r="K18" i="40" s="1"/>
  <c r="K19" i="40" s="1"/>
  <c r="K8" i="40"/>
  <c r="K9" i="40" s="1"/>
  <c r="K10" i="40" s="1"/>
  <c r="H7" i="40" l="1"/>
  <c r="H8" i="40" s="1"/>
  <c r="H9" i="40" s="1"/>
  <c r="H10" i="40" s="1"/>
  <c r="H11" i="40" s="1"/>
  <c r="H12" i="40" s="1"/>
  <c r="H13" i="40" s="1"/>
  <c r="H14" i="40" s="1"/>
  <c r="H15" i="40" s="1"/>
  <c r="H16" i="40" s="1"/>
  <c r="H17" i="40" s="1"/>
  <c r="H18" i="40" s="1"/>
  <c r="H19" i="40" s="1"/>
  <c r="H20" i="40" s="1"/>
  <c r="H21" i="40" s="1"/>
  <c r="H22" i="40" s="1"/>
  <c r="H23" i="40" s="1"/>
  <c r="H24" i="40" s="1"/>
  <c r="T10" i="7"/>
  <c r="I6" i="40"/>
  <c r="H6" i="40"/>
  <c r="H5" i="40"/>
  <c r="H4" i="40"/>
  <c r="N4" i="40" l="1"/>
  <c r="N5" i="40"/>
  <c r="N6" i="40"/>
  <c r="N7" i="40"/>
  <c r="N20" i="40"/>
  <c r="N16" i="40"/>
  <c r="N11" i="40"/>
  <c r="BL31" i="7"/>
  <c r="F10" i="12" l="1"/>
  <c r="T11" i="7"/>
  <c r="T9" i="7"/>
  <c r="C54" i="7"/>
  <c r="D35" i="11" l="1"/>
  <c r="B48" i="12"/>
  <c r="B44" i="12"/>
  <c r="N10" i="12"/>
  <c r="I10" i="12"/>
  <c r="G47" i="12"/>
  <c r="F11" i="12"/>
  <c r="F49" i="12"/>
  <c r="F45" i="12"/>
  <c r="O50" i="12"/>
  <c r="F24" i="12"/>
  <c r="F50" i="12"/>
  <c r="G24" i="12"/>
  <c r="O24" i="12" s="1"/>
  <c r="F27" i="12"/>
  <c r="G27" i="12"/>
  <c r="O27" i="12" s="1"/>
  <c r="F20" i="12"/>
  <c r="G45" i="12"/>
  <c r="F23" i="12"/>
  <c r="G22" i="12"/>
  <c r="O22" i="12" s="1"/>
  <c r="G26" i="12"/>
  <c r="O26" i="12" s="1"/>
  <c r="G49" i="12"/>
  <c r="F21" i="12"/>
  <c r="F25" i="12"/>
  <c r="F47" i="12"/>
  <c r="G21" i="12"/>
  <c r="O21" i="12" s="1"/>
  <c r="G25" i="12"/>
  <c r="O25" i="12" s="1"/>
  <c r="F22" i="12"/>
  <c r="F26" i="12"/>
  <c r="F35" i="12"/>
  <c r="G36" i="12"/>
  <c r="F37" i="12"/>
  <c r="G37" i="12"/>
  <c r="O37" i="12" s="1"/>
  <c r="F12" i="12"/>
  <c r="G11" i="12"/>
  <c r="G12" i="12"/>
  <c r="O12" i="12" s="1"/>
  <c r="D37" i="11"/>
  <c r="O11" i="12" l="1"/>
  <c r="O49" i="12"/>
  <c r="O45" i="12"/>
  <c r="O47" i="12"/>
  <c r="N12" i="12"/>
  <c r="I12" i="12"/>
  <c r="N37" i="12"/>
  <c r="I37" i="12"/>
  <c r="O36" i="12"/>
  <c r="N36" i="12" s="1"/>
  <c r="I36" i="12"/>
  <c r="N35" i="12"/>
  <c r="I35" i="12"/>
  <c r="N26" i="12"/>
  <c r="I26" i="12"/>
  <c r="N22" i="12"/>
  <c r="I22" i="12"/>
  <c r="N47" i="12"/>
  <c r="I47" i="12"/>
  <c r="AY40" i="11" s="1"/>
  <c r="N25" i="12"/>
  <c r="I25" i="12"/>
  <c r="N21" i="12"/>
  <c r="I21" i="12"/>
  <c r="N23" i="12"/>
  <c r="I23" i="12"/>
  <c r="N20" i="12"/>
  <c r="I20" i="12"/>
  <c r="N27" i="12"/>
  <c r="I27" i="12"/>
  <c r="N50" i="12"/>
  <c r="I50" i="12"/>
  <c r="AY41" i="11" s="1"/>
  <c r="N24" i="12"/>
  <c r="I24" i="12"/>
  <c r="N45" i="12"/>
  <c r="I45" i="12"/>
  <c r="E52" i="12" s="1"/>
  <c r="N49" i="12"/>
  <c r="I49" i="12"/>
  <c r="N11" i="12"/>
  <c r="I11" i="12"/>
  <c r="N38" i="12"/>
  <c r="N39" i="12" s="1"/>
  <c r="E39" i="12" l="1"/>
  <c r="E14" i="12"/>
  <c r="AS8" i="11"/>
  <c r="AY38" i="11"/>
  <c r="H52" i="12"/>
  <c r="AY37" i="11"/>
  <c r="E29" i="12"/>
  <c r="N28" i="12"/>
  <c r="N29" i="12" s="1"/>
  <c r="O38" i="12"/>
  <c r="O39" i="12" s="1"/>
  <c r="O28" i="12"/>
  <c r="O29" i="12" s="1"/>
  <c r="AS10" i="11"/>
  <c r="AF8" i="11"/>
  <c r="C50" i="7"/>
  <c r="C49" i="7"/>
  <c r="C48" i="7"/>
  <c r="C47" i="7"/>
  <c r="CP1" i="11" l="1"/>
  <c r="BQ1" i="11"/>
  <c r="R501" i="2"/>
  <c r="R500" i="2"/>
  <c r="R499" i="2"/>
  <c r="R498" i="2"/>
  <c r="R497" i="2"/>
  <c r="R496" i="2"/>
  <c r="R495" i="2"/>
  <c r="R494" i="2"/>
  <c r="R493" i="2"/>
  <c r="R492" i="2"/>
  <c r="R491" i="2"/>
  <c r="R490" i="2"/>
  <c r="R489" i="2"/>
  <c r="R488" i="2"/>
  <c r="R487" i="2"/>
  <c r="R486" i="2"/>
  <c r="R485" i="2"/>
  <c r="R484" i="2"/>
  <c r="R483" i="2"/>
  <c r="R482" i="2"/>
  <c r="R481" i="2"/>
  <c r="R480" i="2"/>
  <c r="R479" i="2"/>
  <c r="R478" i="2"/>
  <c r="R477" i="2"/>
  <c r="R476" i="2"/>
  <c r="R475" i="2"/>
  <c r="R474" i="2"/>
  <c r="R473" i="2"/>
  <c r="R472" i="2"/>
  <c r="R471" i="2"/>
  <c r="R470" i="2"/>
  <c r="R469" i="2"/>
  <c r="R468" i="2"/>
  <c r="R467" i="2"/>
  <c r="R466" i="2"/>
  <c r="R465" i="2"/>
  <c r="R464" i="2"/>
  <c r="R463" i="2"/>
  <c r="R462" i="2"/>
  <c r="R461" i="2"/>
  <c r="R460" i="2"/>
  <c r="R459" i="2"/>
  <c r="R458" i="2"/>
  <c r="R457" i="2"/>
  <c r="R456" i="2"/>
  <c r="R455" i="2"/>
  <c r="R454" i="2"/>
  <c r="R453" i="2"/>
  <c r="R452" i="2"/>
  <c r="R451" i="2"/>
  <c r="R450" i="2"/>
  <c r="R449" i="2"/>
  <c r="R448" i="2"/>
  <c r="R447" i="2"/>
  <c r="R446" i="2"/>
  <c r="R445" i="2"/>
  <c r="R444" i="2"/>
  <c r="R443" i="2"/>
  <c r="R442" i="2"/>
  <c r="R441" i="2"/>
  <c r="R440" i="2"/>
  <c r="R439" i="2"/>
  <c r="R438" i="2"/>
  <c r="R437" i="2"/>
  <c r="R436" i="2"/>
  <c r="R435" i="2"/>
  <c r="R434" i="2"/>
  <c r="R433" i="2"/>
  <c r="R432" i="2"/>
  <c r="R431" i="2"/>
  <c r="R430" i="2"/>
  <c r="R429" i="2"/>
  <c r="R428" i="2"/>
  <c r="R427" i="2"/>
  <c r="R426" i="2"/>
  <c r="R425" i="2"/>
  <c r="R424" i="2"/>
  <c r="R423" i="2"/>
  <c r="R422" i="2"/>
  <c r="R421" i="2"/>
  <c r="R420" i="2"/>
  <c r="R419" i="2"/>
  <c r="R418" i="2"/>
  <c r="R417" i="2"/>
  <c r="R416" i="2"/>
  <c r="R415" i="2"/>
  <c r="R414" i="2"/>
  <c r="R413" i="2"/>
  <c r="R412" i="2"/>
  <c r="R411" i="2"/>
  <c r="R410" i="2"/>
  <c r="R409" i="2"/>
  <c r="R408" i="2"/>
  <c r="R407" i="2"/>
  <c r="R406" i="2"/>
  <c r="R405" i="2"/>
  <c r="R404" i="2"/>
  <c r="R403" i="2"/>
  <c r="R402" i="2"/>
  <c r="R401" i="2"/>
  <c r="R400" i="2"/>
  <c r="R399" i="2"/>
  <c r="R398" i="2"/>
  <c r="R397" i="2"/>
  <c r="R396" i="2"/>
  <c r="R395" i="2"/>
  <c r="R394" i="2"/>
  <c r="R393" i="2"/>
  <c r="R392" i="2"/>
  <c r="R391" i="2"/>
  <c r="R390" i="2"/>
  <c r="R389" i="2"/>
  <c r="R388" i="2"/>
  <c r="R387" i="2"/>
  <c r="R386" i="2"/>
  <c r="R385" i="2"/>
  <c r="R384" i="2"/>
  <c r="R383" i="2"/>
  <c r="R382" i="2"/>
  <c r="R381" i="2"/>
  <c r="R380" i="2"/>
  <c r="R379" i="2"/>
  <c r="R378" i="2"/>
  <c r="R377" i="2"/>
  <c r="R376" i="2"/>
  <c r="R375" i="2"/>
  <c r="R374" i="2"/>
  <c r="R373" i="2"/>
  <c r="R372" i="2"/>
  <c r="R371" i="2"/>
  <c r="R370" i="2"/>
  <c r="R369" i="2"/>
  <c r="R368" i="2"/>
  <c r="R367" i="2"/>
  <c r="R366" i="2"/>
  <c r="R365" i="2"/>
  <c r="R364" i="2"/>
  <c r="R363" i="2"/>
  <c r="R362" i="2"/>
  <c r="R361" i="2"/>
  <c r="R360" i="2"/>
  <c r="R359" i="2"/>
  <c r="R358" i="2"/>
  <c r="R357" i="2"/>
  <c r="R356" i="2"/>
  <c r="R355" i="2"/>
  <c r="R354" i="2"/>
  <c r="R353" i="2"/>
  <c r="R352" i="2"/>
  <c r="R351" i="2"/>
  <c r="R350" i="2"/>
  <c r="R349" i="2"/>
  <c r="R348" i="2"/>
  <c r="R347" i="2"/>
  <c r="R346" i="2"/>
  <c r="R345" i="2"/>
  <c r="R344" i="2"/>
  <c r="R343" i="2"/>
  <c r="R342" i="2"/>
  <c r="R341" i="2"/>
  <c r="R340" i="2"/>
  <c r="R339" i="2"/>
  <c r="R338" i="2"/>
  <c r="R337" i="2"/>
  <c r="R336" i="2"/>
  <c r="R335" i="2"/>
  <c r="R334" i="2"/>
  <c r="R333" i="2"/>
  <c r="R332" i="2"/>
  <c r="R331" i="2"/>
  <c r="R330" i="2"/>
  <c r="R329" i="2"/>
  <c r="R328" i="2"/>
  <c r="R327" i="2"/>
  <c r="R326" i="2"/>
  <c r="R325" i="2"/>
  <c r="R324" i="2"/>
  <c r="R323" i="2"/>
  <c r="R322" i="2"/>
  <c r="R321" i="2"/>
  <c r="R320" i="2"/>
  <c r="R319" i="2"/>
  <c r="R318" i="2"/>
  <c r="R317" i="2"/>
  <c r="R316" i="2"/>
  <c r="R315" i="2"/>
  <c r="R314" i="2"/>
  <c r="R313" i="2"/>
  <c r="R312" i="2"/>
  <c r="R311" i="2"/>
  <c r="R310" i="2"/>
  <c r="R309" i="2"/>
  <c r="R308" i="2"/>
  <c r="R307" i="2"/>
  <c r="R306" i="2"/>
  <c r="R301" i="2"/>
  <c r="R300" i="2"/>
  <c r="R299" i="2"/>
  <c r="R298" i="2"/>
  <c r="R297" i="2"/>
  <c r="R296" i="2"/>
  <c r="R295" i="2"/>
  <c r="R294" i="2"/>
  <c r="R293" i="2"/>
  <c r="R292" i="2"/>
  <c r="R291" i="2"/>
  <c r="R290" i="2"/>
  <c r="R289" i="2"/>
  <c r="R288" i="2"/>
  <c r="R287" i="2"/>
  <c r="R286" i="2"/>
  <c r="R285" i="2"/>
  <c r="R284" i="2"/>
  <c r="R283" i="2"/>
  <c r="R282" i="2"/>
  <c r="R281" i="2"/>
  <c r="R280" i="2"/>
  <c r="R279" i="2"/>
  <c r="R278" i="2"/>
  <c r="R277" i="2"/>
  <c r="R276" i="2"/>
  <c r="R275" i="2"/>
  <c r="R274" i="2"/>
  <c r="R273" i="2"/>
  <c r="R272" i="2"/>
  <c r="R271" i="2"/>
  <c r="R270" i="2"/>
  <c r="R269" i="2"/>
  <c r="R268" i="2"/>
  <c r="R267" i="2"/>
  <c r="R266" i="2"/>
  <c r="R265" i="2"/>
  <c r="R264" i="2"/>
  <c r="R263" i="2"/>
  <c r="R262" i="2"/>
  <c r="R261" i="2"/>
  <c r="R260" i="2"/>
  <c r="R259" i="2"/>
  <c r="R258" i="2"/>
  <c r="R257" i="2"/>
  <c r="R256" i="2"/>
  <c r="R255" i="2"/>
  <c r="R254" i="2"/>
  <c r="R253" i="2"/>
  <c r="R252" i="2"/>
  <c r="R251" i="2"/>
  <c r="R250" i="2"/>
  <c r="R249" i="2"/>
  <c r="R248" i="2"/>
  <c r="R247" i="2"/>
  <c r="R246" i="2"/>
  <c r="R245" i="2"/>
  <c r="R244" i="2"/>
  <c r="R243" i="2"/>
  <c r="R242" i="2"/>
  <c r="R241" i="2"/>
  <c r="R240" i="2"/>
  <c r="R239" i="2"/>
  <c r="R238" i="2"/>
  <c r="R237" i="2"/>
  <c r="R236" i="2"/>
  <c r="R235" i="2"/>
  <c r="R234" i="2"/>
  <c r="R233" i="2"/>
  <c r="R232" i="2"/>
  <c r="R231" i="2"/>
  <c r="R230" i="2"/>
  <c r="R229" i="2"/>
  <c r="R228" i="2"/>
  <c r="R227" i="2"/>
  <c r="R226" i="2"/>
  <c r="R225" i="2"/>
  <c r="R224" i="2"/>
  <c r="R223" i="2"/>
  <c r="R222" i="2"/>
  <c r="R221" i="2"/>
  <c r="R220" i="2"/>
  <c r="R219" i="2"/>
  <c r="R218" i="2"/>
  <c r="R217" i="2"/>
  <c r="R216" i="2"/>
  <c r="R215" i="2"/>
  <c r="R214" i="2"/>
  <c r="R213" i="2"/>
  <c r="R212" i="2"/>
  <c r="R211" i="2"/>
  <c r="R210" i="2"/>
  <c r="R209" i="2"/>
  <c r="R208" i="2"/>
  <c r="R207" i="2"/>
  <c r="R206" i="2"/>
  <c r="R205" i="2"/>
  <c r="R204" i="2"/>
  <c r="R203" i="2"/>
  <c r="R202" i="2"/>
  <c r="R201" i="2"/>
  <c r="R200" i="2"/>
  <c r="R199" i="2"/>
  <c r="R198" i="2"/>
  <c r="R197" i="2"/>
  <c r="R196" i="2"/>
  <c r="R195" i="2"/>
  <c r="R194" i="2"/>
  <c r="R193" i="2"/>
  <c r="R192" i="2"/>
  <c r="R191" i="2"/>
  <c r="R190" i="2"/>
  <c r="R189" i="2"/>
  <c r="R188" i="2"/>
  <c r="R187" i="2"/>
  <c r="R186" i="2"/>
  <c r="R185" i="2"/>
  <c r="R184" i="2"/>
  <c r="R183" i="2"/>
  <c r="R182" i="2"/>
  <c r="R181" i="2"/>
  <c r="R180" i="2"/>
  <c r="R179" i="2"/>
  <c r="R178" i="2"/>
  <c r="R177" i="2"/>
  <c r="R176" i="2"/>
  <c r="R175" i="2"/>
  <c r="R174" i="2"/>
  <c r="R173" i="2"/>
  <c r="R172" i="2"/>
  <c r="R171" i="2"/>
  <c r="R170" i="2"/>
  <c r="R169" i="2"/>
  <c r="R168" i="2"/>
  <c r="R167" i="2"/>
  <c r="R166" i="2"/>
  <c r="R165" i="2"/>
  <c r="R164" i="2"/>
  <c r="R163" i="2"/>
  <c r="R162" i="2"/>
  <c r="R161" i="2"/>
  <c r="R160" i="2"/>
  <c r="R159" i="2"/>
  <c r="R158" i="2"/>
  <c r="R157" i="2"/>
  <c r="R156" i="2"/>
  <c r="R155" i="2"/>
  <c r="R154" i="2"/>
  <c r="R153" i="2"/>
  <c r="R152" i="2"/>
  <c r="R151" i="2"/>
  <c r="R150" i="2"/>
  <c r="R149" i="2"/>
  <c r="R148" i="2"/>
  <c r="R147" i="2"/>
  <c r="R146" i="2"/>
  <c r="R145" i="2"/>
  <c r="R144" i="2"/>
  <c r="R143" i="2"/>
  <c r="R142" i="2"/>
  <c r="R141" i="2"/>
  <c r="R140" i="2"/>
  <c r="R139" i="2"/>
  <c r="R138" i="2"/>
  <c r="R137" i="2"/>
  <c r="R136" i="2"/>
  <c r="R135" i="2"/>
  <c r="R134" i="2"/>
  <c r="R133" i="2"/>
  <c r="R132" i="2"/>
  <c r="R131" i="2"/>
  <c r="R130" i="2"/>
  <c r="R129" i="2"/>
  <c r="R128" i="2"/>
  <c r="R127" i="2"/>
  <c r="R126" i="2"/>
  <c r="R125" i="2"/>
  <c r="R124" i="2"/>
  <c r="R123" i="2"/>
  <c r="R122" i="2"/>
  <c r="R121" i="2"/>
  <c r="R120" i="2"/>
  <c r="R119" i="2"/>
  <c r="R118" i="2"/>
  <c r="R117" i="2"/>
  <c r="R116" i="2"/>
  <c r="R115" i="2"/>
  <c r="R114" i="2"/>
  <c r="R113" i="2"/>
  <c r="R112" i="2"/>
  <c r="R111" i="2"/>
  <c r="R110" i="2"/>
  <c r="R109" i="2"/>
  <c r="R108" i="2"/>
  <c r="R107" i="2"/>
  <c r="R106" i="2"/>
  <c r="R105" i="2"/>
  <c r="R104" i="2"/>
  <c r="R103" i="2"/>
  <c r="R102" i="2"/>
  <c r="R101" i="2"/>
  <c r="R100" i="2"/>
  <c r="R99" i="2"/>
  <c r="R98" i="2"/>
  <c r="R97" i="2"/>
  <c r="R96" i="2"/>
  <c r="R95" i="2"/>
  <c r="R94" i="2"/>
  <c r="R93" i="2"/>
  <c r="R92" i="2"/>
  <c r="R91" i="2"/>
  <c r="R90" i="2"/>
  <c r="R89" i="2"/>
  <c r="R88" i="2"/>
  <c r="R87" i="2"/>
  <c r="R86" i="2"/>
  <c r="R85" i="2"/>
  <c r="R84" i="2"/>
  <c r="R83" i="2"/>
  <c r="R82" i="2"/>
  <c r="R81" i="2"/>
  <c r="R80" i="2"/>
  <c r="R79" i="2"/>
  <c r="R78" i="2"/>
  <c r="R77" i="2"/>
  <c r="R76" i="2"/>
  <c r="R75" i="2"/>
  <c r="R74" i="2"/>
  <c r="R73" i="2"/>
  <c r="R72" i="2"/>
  <c r="R71" i="2"/>
  <c r="R70" i="2"/>
  <c r="R69" i="2"/>
  <c r="R68" i="2"/>
  <c r="R67" i="2"/>
  <c r="R66" i="2"/>
  <c r="R65" i="2"/>
  <c r="R64" i="2"/>
  <c r="R63" i="2"/>
  <c r="R62" i="2"/>
  <c r="R61" i="2"/>
  <c r="R60" i="2"/>
  <c r="R59" i="2"/>
  <c r="R58" i="2"/>
  <c r="R57" i="2"/>
  <c r="R56" i="2"/>
  <c r="R55" i="2"/>
  <c r="R54" i="2"/>
  <c r="R53" i="2"/>
  <c r="R52" i="2"/>
  <c r="R51" i="2"/>
  <c r="R50" i="2"/>
  <c r="R49" i="2"/>
  <c r="R48" i="2"/>
  <c r="R47" i="2"/>
  <c r="R46" i="2"/>
  <c r="R45" i="2"/>
  <c r="R44" i="2"/>
  <c r="R43" i="2"/>
  <c r="R42" i="2"/>
  <c r="R41" i="2"/>
  <c r="R40" i="2"/>
  <c r="R39" i="2"/>
  <c r="R38" i="2"/>
  <c r="R37" i="2"/>
  <c r="R36" i="2"/>
  <c r="R35" i="2"/>
  <c r="R34" i="2"/>
  <c r="R33" i="2"/>
  <c r="R32" i="2"/>
  <c r="R31" i="2"/>
  <c r="R30" i="2"/>
  <c r="R29" i="2"/>
  <c r="R28" i="2"/>
  <c r="R27" i="2"/>
  <c r="R26" i="2"/>
  <c r="R25" i="2"/>
  <c r="R24" i="2"/>
  <c r="R23" i="2"/>
  <c r="R22" i="2"/>
  <c r="R21" i="2"/>
  <c r="R20" i="2"/>
  <c r="R19" i="2"/>
  <c r="R18" i="2"/>
  <c r="R17" i="2"/>
  <c r="R16" i="2"/>
  <c r="R15" i="2"/>
  <c r="R14" i="2"/>
  <c r="R13" i="2"/>
  <c r="R12" i="2"/>
  <c r="R11" i="2"/>
  <c r="R10" i="2"/>
  <c r="R9" i="2"/>
  <c r="R8" i="2"/>
  <c r="R7" i="2"/>
  <c r="R6" i="2"/>
  <c r="R5" i="2"/>
  <c r="R4" i="2"/>
  <c r="P4" i="2"/>
  <c r="Q4" i="2" s="1"/>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8" i="2"/>
  <c r="O149" i="2"/>
  <c r="O150" i="2"/>
  <c r="O151" i="2"/>
  <c r="O152" i="2"/>
  <c r="O153" i="2"/>
  <c r="O154" i="2"/>
  <c r="O155" i="2"/>
  <c r="O156" i="2"/>
  <c r="O157" i="2"/>
  <c r="O158" i="2"/>
  <c r="O159" i="2"/>
  <c r="O160" i="2"/>
  <c r="O161" i="2"/>
  <c r="O162" i="2"/>
  <c r="O163" i="2"/>
  <c r="O164" i="2"/>
  <c r="O165" i="2"/>
  <c r="O166" i="2"/>
  <c r="O167" i="2"/>
  <c r="O168" i="2"/>
  <c r="O169" i="2"/>
  <c r="O170" i="2"/>
  <c r="O171" i="2"/>
  <c r="O172" i="2"/>
  <c r="O173" i="2"/>
  <c r="O174" i="2"/>
  <c r="O175" i="2"/>
  <c r="O176" i="2"/>
  <c r="O177" i="2"/>
  <c r="O178" i="2"/>
  <c r="O179" i="2"/>
  <c r="O180" i="2"/>
  <c r="O181" i="2"/>
  <c r="O182" i="2"/>
  <c r="O183" i="2"/>
  <c r="O184" i="2"/>
  <c r="O185" i="2"/>
  <c r="O186" i="2"/>
  <c r="O187" i="2"/>
  <c r="O188" i="2"/>
  <c r="O189" i="2"/>
  <c r="O190" i="2"/>
  <c r="O191" i="2"/>
  <c r="O192" i="2"/>
  <c r="O193" i="2"/>
  <c r="O194" i="2"/>
  <c r="O195" i="2"/>
  <c r="O196" i="2"/>
  <c r="O197" i="2"/>
  <c r="O198" i="2"/>
  <c r="O199" i="2"/>
  <c r="O200" i="2"/>
  <c r="O201" i="2"/>
  <c r="O202" i="2"/>
  <c r="O203" i="2"/>
  <c r="O204" i="2"/>
  <c r="O205" i="2"/>
  <c r="O206" i="2"/>
  <c r="O207" i="2"/>
  <c r="O208" i="2"/>
  <c r="O209" i="2"/>
  <c r="O210" i="2"/>
  <c r="O211" i="2"/>
  <c r="O212" i="2"/>
  <c r="O213" i="2"/>
  <c r="O214" i="2"/>
  <c r="O215" i="2"/>
  <c r="O216" i="2"/>
  <c r="O217" i="2"/>
  <c r="O218" i="2"/>
  <c r="O219" i="2"/>
  <c r="O220" i="2"/>
  <c r="O221" i="2"/>
  <c r="O222" i="2"/>
  <c r="O223" i="2"/>
  <c r="O224" i="2"/>
  <c r="O225" i="2"/>
  <c r="O226" i="2"/>
  <c r="O227" i="2"/>
  <c r="O228" i="2"/>
  <c r="O229" i="2"/>
  <c r="O230" i="2"/>
  <c r="O231" i="2"/>
  <c r="O232" i="2"/>
  <c r="O233" i="2"/>
  <c r="O234" i="2"/>
  <c r="O235" i="2"/>
  <c r="O236" i="2"/>
  <c r="O237" i="2"/>
  <c r="O238" i="2"/>
  <c r="O239" i="2"/>
  <c r="O240" i="2"/>
  <c r="O241" i="2"/>
  <c r="O242" i="2"/>
  <c r="O243" i="2"/>
  <c r="O244" i="2"/>
  <c r="O245" i="2"/>
  <c r="O246" i="2"/>
  <c r="O247" i="2"/>
  <c r="O248" i="2"/>
  <c r="O249" i="2"/>
  <c r="O250" i="2"/>
  <c r="O251" i="2"/>
  <c r="O252" i="2"/>
  <c r="O253" i="2"/>
  <c r="O254" i="2"/>
  <c r="O255" i="2"/>
  <c r="O256" i="2"/>
  <c r="O257" i="2"/>
  <c r="O258" i="2"/>
  <c r="O259" i="2"/>
  <c r="O260" i="2"/>
  <c r="O261" i="2"/>
  <c r="O262" i="2"/>
  <c r="O263" i="2"/>
  <c r="O264" i="2"/>
  <c r="O265" i="2"/>
  <c r="O266" i="2"/>
  <c r="O267" i="2"/>
  <c r="O268" i="2"/>
  <c r="O269" i="2"/>
  <c r="O270" i="2"/>
  <c r="O271" i="2"/>
  <c r="O272" i="2"/>
  <c r="O273" i="2"/>
  <c r="O274" i="2"/>
  <c r="O275" i="2"/>
  <c r="O276" i="2"/>
  <c r="O277" i="2"/>
  <c r="O278" i="2"/>
  <c r="O279" i="2"/>
  <c r="O280" i="2"/>
  <c r="O281" i="2"/>
  <c r="O282" i="2"/>
  <c r="O283" i="2"/>
  <c r="O284" i="2"/>
  <c r="O285" i="2"/>
  <c r="O286" i="2"/>
  <c r="O287" i="2"/>
  <c r="O288" i="2"/>
  <c r="O289" i="2"/>
  <c r="O290" i="2"/>
  <c r="O291" i="2"/>
  <c r="O292" i="2"/>
  <c r="O293" i="2"/>
  <c r="O294" i="2"/>
  <c r="O295" i="2"/>
  <c r="O296" i="2"/>
  <c r="O297" i="2"/>
  <c r="O298" i="2"/>
  <c r="O299" i="2"/>
  <c r="O300" i="2"/>
  <c r="O301" i="2"/>
  <c r="O303" i="2"/>
  <c r="O304" i="2"/>
  <c r="O305" i="2"/>
  <c r="O306" i="2"/>
  <c r="O307" i="2"/>
  <c r="O308" i="2"/>
  <c r="O309" i="2"/>
  <c r="O310" i="2"/>
  <c r="O311" i="2"/>
  <c r="O312" i="2"/>
  <c r="O313" i="2"/>
  <c r="O314" i="2"/>
  <c r="O315" i="2"/>
  <c r="O316" i="2"/>
  <c r="O317" i="2"/>
  <c r="O318" i="2"/>
  <c r="O319" i="2"/>
  <c r="O320" i="2"/>
  <c r="O321" i="2"/>
  <c r="O322" i="2"/>
  <c r="O323" i="2"/>
  <c r="O324" i="2"/>
  <c r="O325" i="2"/>
  <c r="O326" i="2"/>
  <c r="O327" i="2"/>
  <c r="O328" i="2"/>
  <c r="O329" i="2"/>
  <c r="O330" i="2"/>
  <c r="O331" i="2"/>
  <c r="O332" i="2"/>
  <c r="O333" i="2"/>
  <c r="O334" i="2"/>
  <c r="O335" i="2"/>
  <c r="O336" i="2"/>
  <c r="O337" i="2"/>
  <c r="O338" i="2"/>
  <c r="O339" i="2"/>
  <c r="O340" i="2"/>
  <c r="O341" i="2"/>
  <c r="O342" i="2"/>
  <c r="O343" i="2"/>
  <c r="O344" i="2"/>
  <c r="O345" i="2"/>
  <c r="O346" i="2"/>
  <c r="O347" i="2"/>
  <c r="O348" i="2"/>
  <c r="O349" i="2"/>
  <c r="O350" i="2"/>
  <c r="O351" i="2"/>
  <c r="O352" i="2"/>
  <c r="O353" i="2"/>
  <c r="O354" i="2"/>
  <c r="O355" i="2"/>
  <c r="O356" i="2"/>
  <c r="O357" i="2"/>
  <c r="O358" i="2"/>
  <c r="O359" i="2"/>
  <c r="O360" i="2"/>
  <c r="O361" i="2"/>
  <c r="O362" i="2"/>
  <c r="O363" i="2"/>
  <c r="O364" i="2"/>
  <c r="O365" i="2"/>
  <c r="O366" i="2"/>
  <c r="O367" i="2"/>
  <c r="O368" i="2"/>
  <c r="O369" i="2"/>
  <c r="O370" i="2"/>
  <c r="O371" i="2"/>
  <c r="O372" i="2"/>
  <c r="O373" i="2"/>
  <c r="O374" i="2"/>
  <c r="O375" i="2"/>
  <c r="O376" i="2"/>
  <c r="O377" i="2"/>
  <c r="O378" i="2"/>
  <c r="O379" i="2"/>
  <c r="O380" i="2"/>
  <c r="O381" i="2"/>
  <c r="O382" i="2"/>
  <c r="O383" i="2"/>
  <c r="O384" i="2"/>
  <c r="O385" i="2"/>
  <c r="O386" i="2"/>
  <c r="O387" i="2"/>
  <c r="O388" i="2"/>
  <c r="O389" i="2"/>
  <c r="O390" i="2"/>
  <c r="O391" i="2"/>
  <c r="O392" i="2"/>
  <c r="O393" i="2"/>
  <c r="O394" i="2"/>
  <c r="O395" i="2"/>
  <c r="O396" i="2"/>
  <c r="O397" i="2"/>
  <c r="O398" i="2"/>
  <c r="O399" i="2"/>
  <c r="O400" i="2"/>
  <c r="O401" i="2"/>
  <c r="O402" i="2"/>
  <c r="O403" i="2"/>
  <c r="O404" i="2"/>
  <c r="O405" i="2"/>
  <c r="O406" i="2"/>
  <c r="O407" i="2"/>
  <c r="O408" i="2"/>
  <c r="O409" i="2"/>
  <c r="O410" i="2"/>
  <c r="O411" i="2"/>
  <c r="O412" i="2"/>
  <c r="O413" i="2"/>
  <c r="O414" i="2"/>
  <c r="O415" i="2"/>
  <c r="O416" i="2"/>
  <c r="O417" i="2"/>
  <c r="O418" i="2"/>
  <c r="O419" i="2"/>
  <c r="O420" i="2"/>
  <c r="O421" i="2"/>
  <c r="O422" i="2"/>
  <c r="O423" i="2"/>
  <c r="O424" i="2"/>
  <c r="O425" i="2"/>
  <c r="O426" i="2"/>
  <c r="O427" i="2"/>
  <c r="O428" i="2"/>
  <c r="O429" i="2"/>
  <c r="O430" i="2"/>
  <c r="O431" i="2"/>
  <c r="O432" i="2"/>
  <c r="O433" i="2"/>
  <c r="O434" i="2"/>
  <c r="O435" i="2"/>
  <c r="O436" i="2"/>
  <c r="O437" i="2"/>
  <c r="O438" i="2"/>
  <c r="O439" i="2"/>
  <c r="O440" i="2"/>
  <c r="O441" i="2"/>
  <c r="O442" i="2"/>
  <c r="O443" i="2"/>
  <c r="O444" i="2"/>
  <c r="O445" i="2"/>
  <c r="O446" i="2"/>
  <c r="O447" i="2"/>
  <c r="O448" i="2"/>
  <c r="O449" i="2"/>
  <c r="O450" i="2"/>
  <c r="O451" i="2"/>
  <c r="O452" i="2"/>
  <c r="O453" i="2"/>
  <c r="O454" i="2"/>
  <c r="O455" i="2"/>
  <c r="O456" i="2"/>
  <c r="O457" i="2"/>
  <c r="O458" i="2"/>
  <c r="O459" i="2"/>
  <c r="O460" i="2"/>
  <c r="O461" i="2"/>
  <c r="O462" i="2"/>
  <c r="O463" i="2"/>
  <c r="O464" i="2"/>
  <c r="O465" i="2"/>
  <c r="O466" i="2"/>
  <c r="O467" i="2"/>
  <c r="O468" i="2"/>
  <c r="O469" i="2"/>
  <c r="O470" i="2"/>
  <c r="O471" i="2"/>
  <c r="O472" i="2"/>
  <c r="O473" i="2"/>
  <c r="O474" i="2"/>
  <c r="O475" i="2"/>
  <c r="O476" i="2"/>
  <c r="O477" i="2"/>
  <c r="O478" i="2"/>
  <c r="O479" i="2"/>
  <c r="O480" i="2"/>
  <c r="O481" i="2"/>
  <c r="O482" i="2"/>
  <c r="O483" i="2"/>
  <c r="O484" i="2"/>
  <c r="O485" i="2"/>
  <c r="O486" i="2"/>
  <c r="O487" i="2"/>
  <c r="O488" i="2"/>
  <c r="O489" i="2"/>
  <c r="O490" i="2"/>
  <c r="O491" i="2"/>
  <c r="O492" i="2"/>
  <c r="O493" i="2"/>
  <c r="O494" i="2"/>
  <c r="O495" i="2"/>
  <c r="O496" i="2"/>
  <c r="O497" i="2"/>
  <c r="O498" i="2"/>
  <c r="O499" i="2"/>
  <c r="O500" i="2"/>
  <c r="O501" i="2"/>
  <c r="O4" i="2"/>
  <c r="E46" i="12" l="1"/>
  <c r="L46" i="12" s="1"/>
  <c r="D46" i="12"/>
  <c r="D47" i="12"/>
  <c r="D45" i="12"/>
  <c r="D44" i="12"/>
  <c r="E44" i="12"/>
  <c r="E48" i="12"/>
  <c r="E45" i="12"/>
  <c r="E50" i="12"/>
  <c r="E49" i="12"/>
  <c r="L49" i="12" s="1"/>
  <c r="E47" i="12"/>
  <c r="D50" i="12"/>
  <c r="D49" i="12"/>
  <c r="K49" i="12" s="1"/>
  <c r="D48" i="12"/>
  <c r="D10" i="12"/>
  <c r="D11" i="12"/>
  <c r="D12" i="12"/>
  <c r="E10" i="12"/>
  <c r="E11" i="12"/>
  <c r="E12" i="12"/>
  <c r="D26" i="12"/>
  <c r="D25" i="12"/>
  <c r="D24" i="12"/>
  <c r="D23" i="12"/>
  <c r="D22" i="12"/>
  <c r="D21" i="12"/>
  <c r="D20" i="12"/>
  <c r="D19" i="12"/>
  <c r="E37" i="12"/>
  <c r="L37" i="12" s="1"/>
  <c r="E36" i="12"/>
  <c r="L36" i="12" s="1"/>
  <c r="E35" i="12"/>
  <c r="L35" i="12" s="1"/>
  <c r="D37" i="12"/>
  <c r="D36" i="12"/>
  <c r="D35" i="12"/>
  <c r="E25" i="12"/>
  <c r="L25" i="12" s="1"/>
  <c r="E26" i="12"/>
  <c r="L26" i="12" s="1"/>
  <c r="E27" i="12"/>
  <c r="L27" i="12" s="1"/>
  <c r="E24" i="12"/>
  <c r="L24" i="12" s="1"/>
  <c r="E23" i="12"/>
  <c r="L23" i="12" s="1"/>
  <c r="E22" i="12"/>
  <c r="L22" i="12" s="1"/>
  <c r="E21" i="12"/>
  <c r="L21" i="12" s="1"/>
  <c r="E20" i="12"/>
  <c r="L20" i="12" s="1"/>
  <c r="E19" i="12"/>
  <c r="L19" i="12" s="1"/>
  <c r="K19" i="12" s="1"/>
  <c r="D27" i="12"/>
  <c r="E34" i="12"/>
  <c r="L34" i="12" s="1"/>
  <c r="D34" i="12"/>
  <c r="K22" i="12" l="1"/>
  <c r="K25" i="12"/>
  <c r="K24" i="12"/>
  <c r="K26" i="12"/>
  <c r="K20" i="12"/>
  <c r="K21" i="12"/>
  <c r="K23" i="12"/>
  <c r="K35" i="12"/>
  <c r="K37" i="12"/>
  <c r="H12" i="12"/>
  <c r="H11" i="12"/>
  <c r="H10" i="12"/>
  <c r="K46" i="12"/>
  <c r="K36" i="12"/>
  <c r="F101" i="12"/>
  <c r="F102" i="12" s="1"/>
  <c r="J93" i="12"/>
  <c r="H93" i="12"/>
  <c r="E93" i="12"/>
  <c r="J101" i="12"/>
  <c r="H101" i="12"/>
  <c r="E101" i="12"/>
  <c r="F93" i="12"/>
  <c r="F94" i="12" s="1"/>
  <c r="J99" i="12"/>
  <c r="H99" i="12"/>
  <c r="E99" i="12"/>
  <c r="F99" i="12"/>
  <c r="F100" i="12" s="1"/>
  <c r="F95" i="12"/>
  <c r="F96" i="12" s="1"/>
  <c r="J95" i="12"/>
  <c r="H95" i="12"/>
  <c r="E95" i="12"/>
  <c r="F103" i="12"/>
  <c r="F104" i="12" s="1"/>
  <c r="F105" i="12"/>
  <c r="F106" i="12" s="1"/>
  <c r="J103" i="12"/>
  <c r="H103" i="12"/>
  <c r="E103" i="12"/>
  <c r="J105" i="12"/>
  <c r="H105" i="12"/>
  <c r="E105" i="12"/>
  <c r="F97" i="12"/>
  <c r="F98" i="12" s="1"/>
  <c r="J97" i="12"/>
  <c r="H97" i="12"/>
  <c r="E97" i="12"/>
  <c r="K27" i="12"/>
  <c r="K34" i="12"/>
  <c r="H19" i="10"/>
  <c r="H17" i="10"/>
  <c r="D14" i="12" l="1"/>
  <c r="E98" i="12"/>
  <c r="H98" i="12"/>
  <c r="I98" i="12" s="1"/>
  <c r="I97" i="12"/>
  <c r="J98" i="12"/>
  <c r="K98" i="12" s="1"/>
  <c r="K97" i="12"/>
  <c r="E106" i="12"/>
  <c r="G106" i="12" s="1"/>
  <c r="G105" i="12"/>
  <c r="H106" i="12"/>
  <c r="I105" i="12"/>
  <c r="J106" i="12"/>
  <c r="K105" i="12"/>
  <c r="E104" i="12"/>
  <c r="H104" i="12"/>
  <c r="I104" i="12" s="1"/>
  <c r="I103" i="12"/>
  <c r="J104" i="12"/>
  <c r="K104" i="12" s="1"/>
  <c r="K103" i="12"/>
  <c r="E96" i="12"/>
  <c r="H96" i="12"/>
  <c r="I96" i="12" s="1"/>
  <c r="I95" i="12"/>
  <c r="J96" i="12"/>
  <c r="K96" i="12" s="1"/>
  <c r="K95" i="12"/>
  <c r="E100" i="12"/>
  <c r="G100" i="12" s="1"/>
  <c r="G99" i="12"/>
  <c r="H100" i="12"/>
  <c r="I100" i="12" s="1"/>
  <c r="I99" i="12"/>
  <c r="J100" i="12"/>
  <c r="K99" i="12"/>
  <c r="E102" i="12"/>
  <c r="H102" i="12"/>
  <c r="I102" i="12" s="1"/>
  <c r="I101" i="12"/>
  <c r="J102" i="12"/>
  <c r="K101" i="12"/>
  <c r="E94" i="12"/>
  <c r="H94" i="12"/>
  <c r="I94" i="12" s="1"/>
  <c r="I93" i="12"/>
  <c r="L101" i="12"/>
  <c r="J94" i="12"/>
  <c r="L93" i="12"/>
  <c r="K93" i="12"/>
  <c r="BL41" i="7"/>
  <c r="K100" i="12" l="1"/>
  <c r="D100" i="12" s="1"/>
  <c r="K106" i="12"/>
  <c r="D106" i="12" s="1"/>
  <c r="D99" i="12"/>
  <c r="D105" i="12"/>
  <c r="L94" i="12"/>
  <c r="K94" i="12"/>
  <c r="L102" i="12"/>
  <c r="K102" i="12"/>
  <c r="B11" i="12"/>
  <c r="B12" i="12"/>
  <c r="B10" i="12"/>
  <c r="D39" i="11"/>
  <c r="L47" i="12" l="1"/>
  <c r="K47" i="12"/>
  <c r="L44" i="12"/>
  <c r="K44" i="12"/>
  <c r="B57" i="12"/>
  <c r="L10" i="12"/>
  <c r="K10" i="12" s="1"/>
  <c r="B59" i="12"/>
  <c r="L12" i="12"/>
  <c r="K12" i="12" s="1"/>
  <c r="B58" i="12"/>
  <c r="L11" i="12"/>
  <c r="K11" i="12" s="1"/>
  <c r="C84" i="12"/>
  <c r="C87" i="12"/>
  <c r="E87" i="12" s="1"/>
  <c r="D87" i="12" s="1"/>
  <c r="C82" i="12"/>
  <c r="U5" i="7"/>
  <c r="J2226" i="3"/>
  <c r="K2226" i="3"/>
  <c r="L2226" i="3"/>
  <c r="M2226" i="3"/>
  <c r="J2227" i="3"/>
  <c r="K2227" i="3"/>
  <c r="L2227" i="3"/>
  <c r="M2227" i="3"/>
  <c r="J2228" i="3"/>
  <c r="K2228" i="3"/>
  <c r="L2228" i="3"/>
  <c r="M2228" i="3"/>
  <c r="J2229" i="3"/>
  <c r="K2229" i="3"/>
  <c r="L2229" i="3"/>
  <c r="M2229" i="3"/>
  <c r="J2230" i="3"/>
  <c r="K2230" i="3"/>
  <c r="L2230" i="3"/>
  <c r="M2230" i="3"/>
  <c r="J2231" i="3"/>
  <c r="K2231" i="3"/>
  <c r="L2231" i="3"/>
  <c r="M2231" i="3"/>
  <c r="J2232" i="3"/>
  <c r="K2232" i="3"/>
  <c r="L2232" i="3"/>
  <c r="M2232" i="3"/>
  <c r="J2233" i="3"/>
  <c r="K2233" i="3"/>
  <c r="L2233" i="3"/>
  <c r="M2233" i="3"/>
  <c r="J2234" i="3"/>
  <c r="K2234" i="3"/>
  <c r="L2234" i="3"/>
  <c r="M2234" i="3"/>
  <c r="J2235" i="3"/>
  <c r="K2235" i="3"/>
  <c r="L2235" i="3"/>
  <c r="M2235" i="3"/>
  <c r="J2236" i="3"/>
  <c r="K2236" i="3"/>
  <c r="L2236" i="3"/>
  <c r="M2236" i="3"/>
  <c r="J2237" i="3"/>
  <c r="K2237" i="3"/>
  <c r="L2237" i="3"/>
  <c r="M2237" i="3"/>
  <c r="J2238" i="3"/>
  <c r="K2238" i="3"/>
  <c r="L2238" i="3"/>
  <c r="M2238" i="3"/>
  <c r="J2239" i="3"/>
  <c r="K2239" i="3"/>
  <c r="L2239" i="3"/>
  <c r="M2239" i="3"/>
  <c r="J2240" i="3"/>
  <c r="K2240" i="3"/>
  <c r="L2240" i="3"/>
  <c r="M2240" i="3"/>
  <c r="J2241" i="3"/>
  <c r="K2241" i="3"/>
  <c r="L2241" i="3"/>
  <c r="M2241" i="3"/>
  <c r="J2242" i="3"/>
  <c r="K2242" i="3"/>
  <c r="L2242" i="3"/>
  <c r="M2242" i="3"/>
  <c r="J2243" i="3"/>
  <c r="K2243" i="3"/>
  <c r="L2243" i="3"/>
  <c r="M2243" i="3"/>
  <c r="J2244" i="3"/>
  <c r="K2244" i="3"/>
  <c r="L2244" i="3"/>
  <c r="M2244" i="3"/>
  <c r="J2245" i="3"/>
  <c r="K2245" i="3"/>
  <c r="L2245" i="3"/>
  <c r="M2245" i="3"/>
  <c r="J2246" i="3"/>
  <c r="K2246" i="3"/>
  <c r="L2246" i="3"/>
  <c r="M2246" i="3"/>
  <c r="J2247" i="3"/>
  <c r="K2247" i="3"/>
  <c r="L2247" i="3"/>
  <c r="M2247" i="3"/>
  <c r="J2248" i="3"/>
  <c r="K2248" i="3"/>
  <c r="L2248" i="3"/>
  <c r="M2248" i="3"/>
  <c r="J2249" i="3"/>
  <c r="K2249" i="3"/>
  <c r="L2249" i="3"/>
  <c r="M2249" i="3"/>
  <c r="J2250" i="3"/>
  <c r="K2250" i="3"/>
  <c r="L2250" i="3"/>
  <c r="M2250" i="3"/>
  <c r="J2251" i="3"/>
  <c r="K2251" i="3"/>
  <c r="L2251" i="3"/>
  <c r="M2251" i="3"/>
  <c r="J2252" i="3"/>
  <c r="K2252" i="3"/>
  <c r="L2252" i="3"/>
  <c r="M2252" i="3"/>
  <c r="J2253" i="3"/>
  <c r="K2253" i="3"/>
  <c r="L2253" i="3"/>
  <c r="M2253" i="3"/>
  <c r="J2254" i="3"/>
  <c r="K2254" i="3"/>
  <c r="L2254" i="3"/>
  <c r="M2254" i="3"/>
  <c r="J2255" i="3"/>
  <c r="K2255" i="3"/>
  <c r="L2255" i="3"/>
  <c r="M2255" i="3"/>
  <c r="J2256" i="3"/>
  <c r="K2256" i="3"/>
  <c r="L2256" i="3"/>
  <c r="M2256" i="3"/>
  <c r="J2257" i="3"/>
  <c r="K2257" i="3"/>
  <c r="L2257" i="3"/>
  <c r="M2257" i="3"/>
  <c r="J2258" i="3"/>
  <c r="K2258" i="3"/>
  <c r="L2258" i="3"/>
  <c r="M2258" i="3"/>
  <c r="J2259" i="3"/>
  <c r="K2259" i="3"/>
  <c r="L2259" i="3"/>
  <c r="M2259" i="3"/>
  <c r="J2260" i="3"/>
  <c r="K2260" i="3"/>
  <c r="L2260" i="3"/>
  <c r="M2260" i="3"/>
  <c r="J2261" i="3"/>
  <c r="K2261" i="3"/>
  <c r="L2261" i="3"/>
  <c r="M2261" i="3"/>
  <c r="J2262" i="3"/>
  <c r="K2262" i="3"/>
  <c r="L2262" i="3"/>
  <c r="M2262" i="3"/>
  <c r="J2263" i="3"/>
  <c r="K2263" i="3"/>
  <c r="L2263" i="3"/>
  <c r="M2263" i="3"/>
  <c r="J2264" i="3"/>
  <c r="K2264" i="3"/>
  <c r="L2264" i="3"/>
  <c r="M2264" i="3"/>
  <c r="J2265" i="3"/>
  <c r="K2265" i="3"/>
  <c r="L2265" i="3"/>
  <c r="M2265" i="3"/>
  <c r="J2266" i="3"/>
  <c r="K2266" i="3"/>
  <c r="L2266" i="3"/>
  <c r="M2266" i="3"/>
  <c r="J2267" i="3"/>
  <c r="K2267" i="3"/>
  <c r="L2267" i="3"/>
  <c r="M2267" i="3"/>
  <c r="J2268" i="3"/>
  <c r="K2268" i="3"/>
  <c r="L2268" i="3"/>
  <c r="M2268" i="3"/>
  <c r="J2269" i="3"/>
  <c r="K2269" i="3"/>
  <c r="L2269" i="3"/>
  <c r="M2269" i="3"/>
  <c r="J2270" i="3"/>
  <c r="K2270" i="3"/>
  <c r="L2270" i="3"/>
  <c r="M2270" i="3"/>
  <c r="J2271" i="3"/>
  <c r="K2271" i="3"/>
  <c r="L2271" i="3"/>
  <c r="M2271" i="3"/>
  <c r="J2272" i="3"/>
  <c r="K2272" i="3"/>
  <c r="L2272" i="3"/>
  <c r="M2272" i="3"/>
  <c r="J2273" i="3"/>
  <c r="K2273" i="3"/>
  <c r="L2273" i="3"/>
  <c r="M2273" i="3"/>
  <c r="J2274" i="3"/>
  <c r="K2274" i="3"/>
  <c r="L2274" i="3"/>
  <c r="M2274" i="3"/>
  <c r="J2275" i="3"/>
  <c r="K2275" i="3"/>
  <c r="L2275" i="3"/>
  <c r="M2275" i="3"/>
  <c r="J2276" i="3"/>
  <c r="K2276" i="3"/>
  <c r="L2276" i="3"/>
  <c r="M2276" i="3"/>
  <c r="J2277" i="3"/>
  <c r="K2277" i="3"/>
  <c r="L2277" i="3"/>
  <c r="M2277" i="3"/>
  <c r="J2278" i="3"/>
  <c r="K2278" i="3"/>
  <c r="L2278" i="3"/>
  <c r="M2278" i="3"/>
  <c r="J2279" i="3"/>
  <c r="K2279" i="3"/>
  <c r="L2279" i="3"/>
  <c r="M2279" i="3"/>
  <c r="J2280" i="3"/>
  <c r="K2280" i="3"/>
  <c r="L2280" i="3"/>
  <c r="M2280" i="3"/>
  <c r="J2281" i="3"/>
  <c r="K2281" i="3"/>
  <c r="L2281" i="3"/>
  <c r="M2281" i="3"/>
  <c r="J2282" i="3"/>
  <c r="K2282" i="3"/>
  <c r="L2282" i="3"/>
  <c r="M2282" i="3"/>
  <c r="J2283" i="3"/>
  <c r="K2283" i="3"/>
  <c r="L2283" i="3"/>
  <c r="M2283" i="3"/>
  <c r="J2284" i="3"/>
  <c r="K2284" i="3"/>
  <c r="L2284" i="3"/>
  <c r="M2284" i="3"/>
  <c r="J2285" i="3"/>
  <c r="K2285" i="3"/>
  <c r="L2285" i="3"/>
  <c r="M2285" i="3"/>
  <c r="J2286" i="3"/>
  <c r="K2286" i="3"/>
  <c r="L2286" i="3"/>
  <c r="M2286" i="3"/>
  <c r="J2287" i="3"/>
  <c r="K2287" i="3"/>
  <c r="L2287" i="3"/>
  <c r="M2287" i="3"/>
  <c r="J2288" i="3"/>
  <c r="K2288" i="3"/>
  <c r="L2288" i="3"/>
  <c r="M2288" i="3"/>
  <c r="J2289" i="3"/>
  <c r="K2289" i="3"/>
  <c r="L2289" i="3"/>
  <c r="M2289" i="3"/>
  <c r="J2290" i="3"/>
  <c r="K2290" i="3"/>
  <c r="L2290" i="3"/>
  <c r="M2290" i="3"/>
  <c r="J2291" i="3"/>
  <c r="K2291" i="3"/>
  <c r="L2291" i="3"/>
  <c r="M2291" i="3"/>
  <c r="J2292" i="3"/>
  <c r="K2292" i="3"/>
  <c r="L2292" i="3"/>
  <c r="M2292" i="3"/>
  <c r="J2293" i="3"/>
  <c r="K2293" i="3"/>
  <c r="L2293" i="3"/>
  <c r="M2293" i="3"/>
  <c r="J2294" i="3"/>
  <c r="K2294" i="3"/>
  <c r="L2294" i="3"/>
  <c r="M2294" i="3"/>
  <c r="J2295" i="3"/>
  <c r="K2295" i="3"/>
  <c r="L2295" i="3"/>
  <c r="M2295" i="3"/>
  <c r="J2296" i="3"/>
  <c r="K2296" i="3"/>
  <c r="L2296" i="3"/>
  <c r="M2296" i="3"/>
  <c r="J2297" i="3"/>
  <c r="K2297" i="3"/>
  <c r="L2297" i="3"/>
  <c r="M2297" i="3"/>
  <c r="J2298" i="3"/>
  <c r="K2298" i="3"/>
  <c r="L2298" i="3"/>
  <c r="M2298" i="3"/>
  <c r="J2299" i="3"/>
  <c r="K2299" i="3"/>
  <c r="L2299" i="3"/>
  <c r="M2299" i="3"/>
  <c r="J2300" i="3"/>
  <c r="K2300" i="3"/>
  <c r="L2300" i="3"/>
  <c r="M2300" i="3"/>
  <c r="J2301" i="3"/>
  <c r="K2301" i="3"/>
  <c r="L2301" i="3"/>
  <c r="M2301" i="3"/>
  <c r="J2302" i="3"/>
  <c r="K2302" i="3"/>
  <c r="L2302" i="3"/>
  <c r="M2302" i="3"/>
  <c r="J2303" i="3"/>
  <c r="K2303" i="3"/>
  <c r="L2303" i="3"/>
  <c r="M2303" i="3"/>
  <c r="J2304" i="3"/>
  <c r="K2304" i="3"/>
  <c r="L2304" i="3"/>
  <c r="M2304" i="3"/>
  <c r="J2305" i="3"/>
  <c r="K2305" i="3"/>
  <c r="L2305" i="3"/>
  <c r="M2305" i="3"/>
  <c r="J2306" i="3"/>
  <c r="K2306" i="3"/>
  <c r="L2306" i="3"/>
  <c r="M2306" i="3"/>
  <c r="J2307" i="3"/>
  <c r="K2307" i="3"/>
  <c r="L2307" i="3"/>
  <c r="M2307" i="3"/>
  <c r="J2308" i="3"/>
  <c r="K2308" i="3"/>
  <c r="L2308" i="3"/>
  <c r="M2308" i="3"/>
  <c r="J2309" i="3"/>
  <c r="K2309" i="3"/>
  <c r="L2309" i="3"/>
  <c r="M2309" i="3"/>
  <c r="J2310" i="3"/>
  <c r="K2310" i="3"/>
  <c r="L2310" i="3"/>
  <c r="M2310" i="3"/>
  <c r="J2311" i="3"/>
  <c r="K2311" i="3"/>
  <c r="L2311" i="3"/>
  <c r="M2311" i="3"/>
  <c r="J2312" i="3"/>
  <c r="K2312" i="3"/>
  <c r="L2312" i="3"/>
  <c r="M2312" i="3"/>
  <c r="J2313" i="3"/>
  <c r="K2313" i="3"/>
  <c r="L2313" i="3"/>
  <c r="M2313" i="3"/>
  <c r="J2314" i="3"/>
  <c r="K2314" i="3"/>
  <c r="L2314" i="3"/>
  <c r="M2314" i="3"/>
  <c r="J2315" i="3"/>
  <c r="K2315" i="3"/>
  <c r="L2315" i="3"/>
  <c r="M2315" i="3"/>
  <c r="J2316" i="3"/>
  <c r="K2316" i="3"/>
  <c r="L2316" i="3"/>
  <c r="M2316" i="3"/>
  <c r="J2317" i="3"/>
  <c r="K2317" i="3"/>
  <c r="L2317" i="3"/>
  <c r="M2317" i="3"/>
  <c r="J2318" i="3"/>
  <c r="K2318" i="3"/>
  <c r="L2318" i="3"/>
  <c r="M2318" i="3"/>
  <c r="J2319" i="3"/>
  <c r="K2319" i="3"/>
  <c r="L2319" i="3"/>
  <c r="M2319" i="3"/>
  <c r="J2320" i="3"/>
  <c r="K2320" i="3"/>
  <c r="L2320" i="3"/>
  <c r="M2320" i="3"/>
  <c r="J2321" i="3"/>
  <c r="K2321" i="3"/>
  <c r="L2321" i="3"/>
  <c r="M2321" i="3"/>
  <c r="J2322" i="3"/>
  <c r="K2322" i="3"/>
  <c r="L2322" i="3"/>
  <c r="M2322" i="3"/>
  <c r="J2323" i="3"/>
  <c r="K2323" i="3"/>
  <c r="L2323" i="3"/>
  <c r="M2323" i="3"/>
  <c r="J2324" i="3"/>
  <c r="K2324" i="3"/>
  <c r="L2324" i="3"/>
  <c r="M2324" i="3"/>
  <c r="J2325" i="3"/>
  <c r="K2325" i="3"/>
  <c r="L2325" i="3"/>
  <c r="M2325" i="3"/>
  <c r="J2326" i="3"/>
  <c r="K2326" i="3"/>
  <c r="L2326" i="3"/>
  <c r="M2326" i="3"/>
  <c r="J2327" i="3"/>
  <c r="K2327" i="3"/>
  <c r="L2327" i="3"/>
  <c r="M2327" i="3"/>
  <c r="J2328" i="3"/>
  <c r="K2328" i="3"/>
  <c r="L2328" i="3"/>
  <c r="M2328" i="3"/>
  <c r="J2329" i="3"/>
  <c r="K2329" i="3"/>
  <c r="L2329" i="3"/>
  <c r="M2329" i="3"/>
  <c r="J2330" i="3"/>
  <c r="K2330" i="3"/>
  <c r="L2330" i="3"/>
  <c r="M2330" i="3"/>
  <c r="J2331" i="3"/>
  <c r="K2331" i="3"/>
  <c r="L2331" i="3"/>
  <c r="M2331" i="3"/>
  <c r="J2332" i="3"/>
  <c r="K2332" i="3"/>
  <c r="L2332" i="3"/>
  <c r="M2332" i="3"/>
  <c r="J2333" i="3"/>
  <c r="K2333" i="3"/>
  <c r="L2333" i="3"/>
  <c r="M2333" i="3"/>
  <c r="J2334" i="3"/>
  <c r="K2334" i="3"/>
  <c r="L2334" i="3"/>
  <c r="M2334" i="3"/>
  <c r="J2335" i="3"/>
  <c r="K2335" i="3"/>
  <c r="L2335" i="3"/>
  <c r="M2335" i="3"/>
  <c r="J2336" i="3"/>
  <c r="K2336" i="3"/>
  <c r="L2336" i="3"/>
  <c r="M2336" i="3"/>
  <c r="J2337" i="3"/>
  <c r="K2337" i="3"/>
  <c r="L2337" i="3"/>
  <c r="M2337" i="3"/>
  <c r="J2338" i="3"/>
  <c r="K2338" i="3"/>
  <c r="L2338" i="3"/>
  <c r="M2338" i="3"/>
  <c r="J2339" i="3"/>
  <c r="K2339" i="3"/>
  <c r="L2339" i="3"/>
  <c r="M2339" i="3"/>
  <c r="J2340" i="3"/>
  <c r="K2340" i="3"/>
  <c r="L2340" i="3"/>
  <c r="M2340" i="3"/>
  <c r="J2341" i="3"/>
  <c r="K2341" i="3"/>
  <c r="L2341" i="3"/>
  <c r="M2341" i="3"/>
  <c r="J2342" i="3"/>
  <c r="K2342" i="3"/>
  <c r="L2342" i="3"/>
  <c r="M2342" i="3"/>
  <c r="J2343" i="3"/>
  <c r="K2343" i="3"/>
  <c r="L2343" i="3"/>
  <c r="M2343" i="3"/>
  <c r="J2344" i="3"/>
  <c r="K2344" i="3"/>
  <c r="L2344" i="3"/>
  <c r="M2344" i="3"/>
  <c r="J2345" i="3"/>
  <c r="K2345" i="3"/>
  <c r="L2345" i="3"/>
  <c r="M2345" i="3"/>
  <c r="J2346" i="3"/>
  <c r="K2346" i="3"/>
  <c r="L2346" i="3"/>
  <c r="M2346" i="3"/>
  <c r="J2347" i="3"/>
  <c r="K2347" i="3"/>
  <c r="L2347" i="3"/>
  <c r="M2347" i="3"/>
  <c r="J2348" i="3"/>
  <c r="K2348" i="3"/>
  <c r="L2348" i="3"/>
  <c r="M2348" i="3"/>
  <c r="J2349" i="3"/>
  <c r="K2349" i="3"/>
  <c r="L2349" i="3"/>
  <c r="M2349" i="3"/>
  <c r="J2350" i="3"/>
  <c r="K2350" i="3"/>
  <c r="L2350" i="3"/>
  <c r="M2350" i="3"/>
  <c r="J2351" i="3"/>
  <c r="K2351" i="3"/>
  <c r="L2351" i="3"/>
  <c r="M2351" i="3"/>
  <c r="J2352" i="3"/>
  <c r="K2352" i="3"/>
  <c r="L2352" i="3"/>
  <c r="M2352" i="3"/>
  <c r="J2353" i="3"/>
  <c r="K2353" i="3"/>
  <c r="L2353" i="3"/>
  <c r="M2353" i="3"/>
  <c r="J2354" i="3"/>
  <c r="K2354" i="3"/>
  <c r="L2354" i="3"/>
  <c r="M2354" i="3"/>
  <c r="J2355" i="3"/>
  <c r="K2355" i="3"/>
  <c r="L2355" i="3"/>
  <c r="M2355" i="3"/>
  <c r="J2356" i="3"/>
  <c r="K2356" i="3"/>
  <c r="L2356" i="3"/>
  <c r="M2356" i="3"/>
  <c r="J2357" i="3"/>
  <c r="K2357" i="3"/>
  <c r="L2357" i="3"/>
  <c r="M2357" i="3"/>
  <c r="J2358" i="3"/>
  <c r="K2358" i="3"/>
  <c r="L2358" i="3"/>
  <c r="M2358" i="3"/>
  <c r="J2359" i="3"/>
  <c r="K2359" i="3"/>
  <c r="L2359" i="3"/>
  <c r="M2359" i="3"/>
  <c r="J2360" i="3"/>
  <c r="K2360" i="3"/>
  <c r="L2360" i="3"/>
  <c r="M2360" i="3"/>
  <c r="J2361" i="3"/>
  <c r="K2361" i="3"/>
  <c r="L2361" i="3"/>
  <c r="M2361" i="3"/>
  <c r="J2362" i="3"/>
  <c r="K2362" i="3"/>
  <c r="L2362" i="3"/>
  <c r="M2362" i="3"/>
  <c r="J2363" i="3"/>
  <c r="K2363" i="3"/>
  <c r="L2363" i="3"/>
  <c r="M2363" i="3"/>
  <c r="J2364" i="3"/>
  <c r="K2364" i="3"/>
  <c r="L2364" i="3"/>
  <c r="M2364" i="3"/>
  <c r="J2365" i="3"/>
  <c r="K2365" i="3"/>
  <c r="L2365" i="3"/>
  <c r="M2365" i="3"/>
  <c r="J2366" i="3"/>
  <c r="K2366" i="3"/>
  <c r="L2366" i="3"/>
  <c r="M2366" i="3"/>
  <c r="J2367" i="3"/>
  <c r="K2367" i="3"/>
  <c r="L2367" i="3"/>
  <c r="M2367" i="3"/>
  <c r="J2368" i="3"/>
  <c r="K2368" i="3"/>
  <c r="L2368" i="3"/>
  <c r="M2368" i="3"/>
  <c r="J2369" i="3"/>
  <c r="K2369" i="3"/>
  <c r="L2369" i="3"/>
  <c r="M2369" i="3"/>
  <c r="J2370" i="3"/>
  <c r="K2370" i="3"/>
  <c r="L2370" i="3"/>
  <c r="M2370" i="3"/>
  <c r="J2371" i="3"/>
  <c r="K2371" i="3"/>
  <c r="L2371" i="3"/>
  <c r="M2371" i="3"/>
  <c r="J2372" i="3"/>
  <c r="K2372" i="3"/>
  <c r="L2372" i="3"/>
  <c r="M2372" i="3"/>
  <c r="J2373" i="3"/>
  <c r="K2373" i="3"/>
  <c r="L2373" i="3"/>
  <c r="M2373" i="3"/>
  <c r="J2374" i="3"/>
  <c r="K2374" i="3"/>
  <c r="L2374" i="3"/>
  <c r="M2374" i="3"/>
  <c r="J2375" i="3"/>
  <c r="K2375" i="3"/>
  <c r="L2375" i="3"/>
  <c r="M2375" i="3"/>
  <c r="J2376" i="3"/>
  <c r="K2376" i="3"/>
  <c r="L2376" i="3"/>
  <c r="M2376" i="3"/>
  <c r="J2377" i="3"/>
  <c r="K2377" i="3"/>
  <c r="L2377" i="3"/>
  <c r="M2377" i="3"/>
  <c r="J2378" i="3"/>
  <c r="K2378" i="3"/>
  <c r="L2378" i="3"/>
  <c r="M2378" i="3"/>
  <c r="J2379" i="3"/>
  <c r="K2379" i="3"/>
  <c r="L2379" i="3"/>
  <c r="M2379" i="3"/>
  <c r="J2380" i="3"/>
  <c r="K2380" i="3"/>
  <c r="L2380" i="3"/>
  <c r="M2380" i="3"/>
  <c r="J2381" i="3"/>
  <c r="K2381" i="3"/>
  <c r="L2381" i="3"/>
  <c r="M2381" i="3"/>
  <c r="J2382" i="3"/>
  <c r="K2382" i="3"/>
  <c r="L2382" i="3"/>
  <c r="M2382" i="3"/>
  <c r="J2383" i="3"/>
  <c r="K2383" i="3"/>
  <c r="L2383" i="3"/>
  <c r="M2383" i="3"/>
  <c r="J2384" i="3"/>
  <c r="K2384" i="3"/>
  <c r="L2384" i="3"/>
  <c r="M2384" i="3"/>
  <c r="J2385" i="3"/>
  <c r="K2385" i="3"/>
  <c r="L2385" i="3"/>
  <c r="M2385" i="3"/>
  <c r="J2386" i="3"/>
  <c r="K2386" i="3"/>
  <c r="L2386" i="3"/>
  <c r="M2386" i="3"/>
  <c r="J2387" i="3"/>
  <c r="K2387" i="3"/>
  <c r="L2387" i="3"/>
  <c r="M2387" i="3"/>
  <c r="J2388" i="3"/>
  <c r="K2388" i="3"/>
  <c r="L2388" i="3"/>
  <c r="M2388" i="3"/>
  <c r="J2389" i="3"/>
  <c r="K2389" i="3"/>
  <c r="L2389" i="3"/>
  <c r="M2389" i="3"/>
  <c r="J2390" i="3"/>
  <c r="K2390" i="3"/>
  <c r="L2390" i="3"/>
  <c r="M2390" i="3"/>
  <c r="J2391" i="3"/>
  <c r="K2391" i="3"/>
  <c r="L2391" i="3"/>
  <c r="M2391" i="3"/>
  <c r="J2392" i="3"/>
  <c r="K2392" i="3"/>
  <c r="L2392" i="3"/>
  <c r="M2392" i="3"/>
  <c r="J2393" i="3"/>
  <c r="K2393" i="3"/>
  <c r="L2393" i="3"/>
  <c r="M2393" i="3"/>
  <c r="J2394" i="3"/>
  <c r="K2394" i="3"/>
  <c r="L2394" i="3"/>
  <c r="M2394" i="3"/>
  <c r="J2395" i="3"/>
  <c r="K2395" i="3"/>
  <c r="L2395" i="3"/>
  <c r="M2395" i="3"/>
  <c r="J2396" i="3"/>
  <c r="K2396" i="3"/>
  <c r="L2396" i="3"/>
  <c r="M2396" i="3"/>
  <c r="J2397" i="3"/>
  <c r="K2397" i="3"/>
  <c r="L2397" i="3"/>
  <c r="M2397" i="3"/>
  <c r="J2398" i="3"/>
  <c r="K2398" i="3"/>
  <c r="L2398" i="3"/>
  <c r="M2398" i="3"/>
  <c r="J2399" i="3"/>
  <c r="K2399" i="3"/>
  <c r="L2399" i="3"/>
  <c r="M2399" i="3"/>
  <c r="J2400" i="3"/>
  <c r="K2400" i="3"/>
  <c r="L2400" i="3"/>
  <c r="M2400" i="3"/>
  <c r="J2401" i="3"/>
  <c r="K2401" i="3"/>
  <c r="L2401" i="3"/>
  <c r="M2401" i="3"/>
  <c r="J2402" i="3"/>
  <c r="K2402" i="3"/>
  <c r="L2402" i="3"/>
  <c r="M2402" i="3"/>
  <c r="J2403" i="3"/>
  <c r="K2403" i="3"/>
  <c r="L2403" i="3"/>
  <c r="M2403" i="3"/>
  <c r="J2404" i="3"/>
  <c r="K2404" i="3"/>
  <c r="L2404" i="3"/>
  <c r="M2404" i="3"/>
  <c r="J2405" i="3"/>
  <c r="K2405" i="3"/>
  <c r="L2405" i="3"/>
  <c r="M2405" i="3"/>
  <c r="J2406" i="3"/>
  <c r="K2406" i="3"/>
  <c r="L2406" i="3"/>
  <c r="M2406" i="3"/>
  <c r="J2407" i="3"/>
  <c r="K2407" i="3"/>
  <c r="L2407" i="3"/>
  <c r="M2407" i="3"/>
  <c r="J2408" i="3"/>
  <c r="K2408" i="3"/>
  <c r="L2408" i="3"/>
  <c r="M2408" i="3"/>
  <c r="J2409" i="3"/>
  <c r="K2409" i="3"/>
  <c r="L2409" i="3"/>
  <c r="M2409" i="3"/>
  <c r="J2410" i="3"/>
  <c r="K2410" i="3"/>
  <c r="L2410" i="3"/>
  <c r="M2410" i="3"/>
  <c r="J2411" i="3"/>
  <c r="K2411" i="3"/>
  <c r="L2411" i="3"/>
  <c r="M2411" i="3"/>
  <c r="J2412" i="3"/>
  <c r="K2412" i="3"/>
  <c r="L2412" i="3"/>
  <c r="M2412" i="3"/>
  <c r="J2413" i="3"/>
  <c r="K2413" i="3"/>
  <c r="L2413" i="3"/>
  <c r="M2413" i="3"/>
  <c r="J2414" i="3"/>
  <c r="K2414" i="3"/>
  <c r="L2414" i="3"/>
  <c r="M2414" i="3"/>
  <c r="J2415" i="3"/>
  <c r="K2415" i="3"/>
  <c r="L2415" i="3"/>
  <c r="M2415" i="3"/>
  <c r="J2416" i="3"/>
  <c r="K2416" i="3"/>
  <c r="L2416" i="3"/>
  <c r="M2416" i="3"/>
  <c r="J2417" i="3"/>
  <c r="K2417" i="3"/>
  <c r="L2417" i="3"/>
  <c r="M2417" i="3"/>
  <c r="J2418" i="3"/>
  <c r="K2418" i="3"/>
  <c r="L2418" i="3"/>
  <c r="M2418" i="3"/>
  <c r="J2419" i="3"/>
  <c r="K2419" i="3"/>
  <c r="L2419" i="3"/>
  <c r="M2419" i="3"/>
  <c r="J2420" i="3"/>
  <c r="K2420" i="3"/>
  <c r="L2420" i="3"/>
  <c r="M2420" i="3"/>
  <c r="J2421" i="3"/>
  <c r="K2421" i="3"/>
  <c r="L2421" i="3"/>
  <c r="M2421" i="3"/>
  <c r="J2422" i="3"/>
  <c r="K2422" i="3"/>
  <c r="L2422" i="3"/>
  <c r="M2422" i="3"/>
  <c r="J2423" i="3"/>
  <c r="K2423" i="3"/>
  <c r="L2423" i="3"/>
  <c r="M2423" i="3"/>
  <c r="J2424" i="3"/>
  <c r="K2424" i="3"/>
  <c r="L2424" i="3"/>
  <c r="M2424" i="3"/>
  <c r="J2425" i="3"/>
  <c r="K2425" i="3"/>
  <c r="L2425" i="3"/>
  <c r="M2425" i="3"/>
  <c r="J2426" i="3"/>
  <c r="K2426" i="3"/>
  <c r="L2426" i="3"/>
  <c r="M2426" i="3"/>
  <c r="J2427" i="3"/>
  <c r="K2427" i="3"/>
  <c r="L2427" i="3"/>
  <c r="M2427" i="3"/>
  <c r="J2428" i="3"/>
  <c r="K2428" i="3"/>
  <c r="L2428" i="3"/>
  <c r="M2428" i="3"/>
  <c r="J2429" i="3"/>
  <c r="K2429" i="3"/>
  <c r="L2429" i="3"/>
  <c r="M2429" i="3"/>
  <c r="J2430" i="3"/>
  <c r="K2430" i="3"/>
  <c r="L2430" i="3"/>
  <c r="M2430" i="3"/>
  <c r="J2431" i="3"/>
  <c r="K2431" i="3"/>
  <c r="L2431" i="3"/>
  <c r="M2431" i="3"/>
  <c r="J2432" i="3"/>
  <c r="K2432" i="3"/>
  <c r="L2432" i="3"/>
  <c r="M2432" i="3"/>
  <c r="J2433" i="3"/>
  <c r="K2433" i="3"/>
  <c r="L2433" i="3"/>
  <c r="M2433" i="3"/>
  <c r="J2434" i="3"/>
  <c r="K2434" i="3"/>
  <c r="L2434" i="3"/>
  <c r="M2434" i="3"/>
  <c r="J2435" i="3"/>
  <c r="K2435" i="3"/>
  <c r="L2435" i="3"/>
  <c r="M2435" i="3"/>
  <c r="J2436" i="3"/>
  <c r="K2436" i="3"/>
  <c r="L2436" i="3"/>
  <c r="M2436" i="3"/>
  <c r="J2437" i="3"/>
  <c r="K2437" i="3"/>
  <c r="L2437" i="3"/>
  <c r="M2437" i="3"/>
  <c r="J2438" i="3"/>
  <c r="K2438" i="3"/>
  <c r="L2438" i="3"/>
  <c r="M2438" i="3"/>
  <c r="J2439" i="3"/>
  <c r="K2439" i="3"/>
  <c r="L2439" i="3"/>
  <c r="M2439" i="3"/>
  <c r="J2440" i="3"/>
  <c r="K2440" i="3"/>
  <c r="L2440" i="3"/>
  <c r="M2440" i="3"/>
  <c r="J2441" i="3"/>
  <c r="K2441" i="3"/>
  <c r="L2441" i="3"/>
  <c r="M2441" i="3"/>
  <c r="J2442" i="3"/>
  <c r="K2442" i="3"/>
  <c r="L2442" i="3"/>
  <c r="M2442" i="3"/>
  <c r="J2443" i="3"/>
  <c r="K2443" i="3"/>
  <c r="L2443" i="3"/>
  <c r="M2443" i="3"/>
  <c r="J2444" i="3"/>
  <c r="K2444" i="3"/>
  <c r="L2444" i="3"/>
  <c r="M2444" i="3"/>
  <c r="J2445" i="3"/>
  <c r="K2445" i="3"/>
  <c r="L2445" i="3"/>
  <c r="M2445" i="3"/>
  <c r="J2446" i="3"/>
  <c r="K2446" i="3"/>
  <c r="L2446" i="3"/>
  <c r="M2446" i="3"/>
  <c r="J2447" i="3"/>
  <c r="K2447" i="3"/>
  <c r="L2447" i="3"/>
  <c r="M2447" i="3"/>
  <c r="J2448" i="3"/>
  <c r="K2448" i="3"/>
  <c r="L2448" i="3"/>
  <c r="M2448" i="3"/>
  <c r="J2449" i="3"/>
  <c r="K2449" i="3"/>
  <c r="L2449" i="3"/>
  <c r="M2449" i="3"/>
  <c r="J2450" i="3"/>
  <c r="K2450" i="3"/>
  <c r="L2450" i="3"/>
  <c r="M2450" i="3"/>
  <c r="J2451" i="3"/>
  <c r="K2451" i="3"/>
  <c r="L2451" i="3"/>
  <c r="M2451" i="3"/>
  <c r="J2452" i="3"/>
  <c r="K2452" i="3"/>
  <c r="L2452" i="3"/>
  <c r="M2452" i="3"/>
  <c r="J2453" i="3"/>
  <c r="K2453" i="3"/>
  <c r="L2453" i="3"/>
  <c r="M2453" i="3"/>
  <c r="J2454" i="3"/>
  <c r="K2454" i="3"/>
  <c r="L2454" i="3"/>
  <c r="M2454" i="3"/>
  <c r="J2455" i="3"/>
  <c r="K2455" i="3"/>
  <c r="L2455" i="3"/>
  <c r="M2455" i="3"/>
  <c r="J2456" i="3"/>
  <c r="K2456" i="3"/>
  <c r="L2456" i="3"/>
  <c r="M2456" i="3"/>
  <c r="J2457" i="3"/>
  <c r="K2457" i="3"/>
  <c r="L2457" i="3"/>
  <c r="M2457" i="3"/>
  <c r="J2458" i="3"/>
  <c r="K2458" i="3"/>
  <c r="L2458" i="3"/>
  <c r="M2458" i="3"/>
  <c r="J2459" i="3"/>
  <c r="K2459" i="3"/>
  <c r="L2459" i="3"/>
  <c r="M2459" i="3"/>
  <c r="J2460" i="3"/>
  <c r="K2460" i="3"/>
  <c r="L2460" i="3"/>
  <c r="M2460" i="3"/>
  <c r="J2461" i="3"/>
  <c r="K2461" i="3"/>
  <c r="L2461" i="3"/>
  <c r="M2461" i="3"/>
  <c r="J2462" i="3"/>
  <c r="K2462" i="3"/>
  <c r="L2462" i="3"/>
  <c r="M2462" i="3"/>
  <c r="J2463" i="3"/>
  <c r="K2463" i="3"/>
  <c r="L2463" i="3"/>
  <c r="M2463" i="3"/>
  <c r="J2464" i="3"/>
  <c r="K2464" i="3"/>
  <c r="L2464" i="3"/>
  <c r="M2464" i="3"/>
  <c r="J2465" i="3"/>
  <c r="K2465" i="3"/>
  <c r="L2465" i="3"/>
  <c r="M2465" i="3"/>
  <c r="J2466" i="3"/>
  <c r="K2466" i="3"/>
  <c r="L2466" i="3"/>
  <c r="M2466" i="3"/>
  <c r="J2467" i="3"/>
  <c r="K2467" i="3"/>
  <c r="L2467" i="3"/>
  <c r="M2467" i="3"/>
  <c r="J2468" i="3"/>
  <c r="K2468" i="3"/>
  <c r="L2468" i="3"/>
  <c r="M2468" i="3"/>
  <c r="J2469" i="3"/>
  <c r="K2469" i="3"/>
  <c r="L2469" i="3"/>
  <c r="M2469" i="3"/>
  <c r="J2470" i="3"/>
  <c r="K2470" i="3"/>
  <c r="L2470" i="3"/>
  <c r="M2470" i="3"/>
  <c r="J2471" i="3"/>
  <c r="K2471" i="3"/>
  <c r="L2471" i="3"/>
  <c r="M2471" i="3"/>
  <c r="J2472" i="3"/>
  <c r="K2472" i="3"/>
  <c r="L2472" i="3"/>
  <c r="M2472" i="3"/>
  <c r="J2473" i="3"/>
  <c r="K2473" i="3"/>
  <c r="L2473" i="3"/>
  <c r="M2473" i="3"/>
  <c r="J2474" i="3"/>
  <c r="K2474" i="3"/>
  <c r="L2474" i="3"/>
  <c r="M2474" i="3"/>
  <c r="J2475" i="3"/>
  <c r="K2475" i="3"/>
  <c r="L2475" i="3"/>
  <c r="M2475" i="3"/>
  <c r="J2476" i="3"/>
  <c r="K2476" i="3"/>
  <c r="L2476" i="3"/>
  <c r="M2476" i="3"/>
  <c r="J2477" i="3"/>
  <c r="K2477" i="3"/>
  <c r="L2477" i="3"/>
  <c r="M2477" i="3"/>
  <c r="J2478" i="3"/>
  <c r="K2478" i="3"/>
  <c r="L2478" i="3"/>
  <c r="M2478" i="3"/>
  <c r="J2479" i="3"/>
  <c r="K2479" i="3"/>
  <c r="L2479" i="3"/>
  <c r="M2479" i="3"/>
  <c r="J2480" i="3"/>
  <c r="K2480" i="3"/>
  <c r="L2480" i="3"/>
  <c r="M2480" i="3"/>
  <c r="J2481" i="3"/>
  <c r="K2481" i="3"/>
  <c r="L2481" i="3"/>
  <c r="M2481" i="3"/>
  <c r="J2482" i="3"/>
  <c r="K2482" i="3"/>
  <c r="L2482" i="3"/>
  <c r="M2482" i="3"/>
  <c r="J2483" i="3"/>
  <c r="K2483" i="3"/>
  <c r="L2483" i="3"/>
  <c r="M2483" i="3"/>
  <c r="J2484" i="3"/>
  <c r="K2484" i="3"/>
  <c r="L2484" i="3"/>
  <c r="M2484" i="3"/>
  <c r="J2485" i="3"/>
  <c r="K2485" i="3"/>
  <c r="L2485" i="3"/>
  <c r="M2485" i="3"/>
  <c r="J2486" i="3"/>
  <c r="K2486" i="3"/>
  <c r="L2486" i="3"/>
  <c r="M2486" i="3"/>
  <c r="J2487" i="3"/>
  <c r="K2487" i="3"/>
  <c r="L2487" i="3"/>
  <c r="M2487" i="3"/>
  <c r="J2488" i="3"/>
  <c r="K2488" i="3"/>
  <c r="L2488" i="3"/>
  <c r="M2488" i="3"/>
  <c r="J2489" i="3"/>
  <c r="K2489" i="3"/>
  <c r="L2489" i="3"/>
  <c r="M2489" i="3"/>
  <c r="J2490" i="3"/>
  <c r="K2490" i="3"/>
  <c r="L2490" i="3"/>
  <c r="M2490" i="3"/>
  <c r="J2491" i="3"/>
  <c r="K2491" i="3"/>
  <c r="L2491" i="3"/>
  <c r="M2491" i="3"/>
  <c r="J2492" i="3"/>
  <c r="K2492" i="3"/>
  <c r="L2492" i="3"/>
  <c r="M2492" i="3"/>
  <c r="J2493" i="3"/>
  <c r="K2493" i="3"/>
  <c r="L2493" i="3"/>
  <c r="M2493" i="3"/>
  <c r="J2494" i="3"/>
  <c r="K2494" i="3"/>
  <c r="L2494" i="3"/>
  <c r="M2494" i="3"/>
  <c r="J2495" i="3"/>
  <c r="K2495" i="3"/>
  <c r="L2495" i="3"/>
  <c r="M2495" i="3"/>
  <c r="J2496" i="3"/>
  <c r="K2496" i="3"/>
  <c r="L2496" i="3"/>
  <c r="M2496" i="3"/>
  <c r="J2497" i="3"/>
  <c r="K2497" i="3"/>
  <c r="L2497" i="3"/>
  <c r="M2497" i="3"/>
  <c r="J2498" i="3"/>
  <c r="K2498" i="3"/>
  <c r="L2498" i="3"/>
  <c r="M2498" i="3"/>
  <c r="J2499" i="3"/>
  <c r="K2499" i="3"/>
  <c r="L2499" i="3"/>
  <c r="M2499" i="3"/>
  <c r="J2500" i="3"/>
  <c r="K2500" i="3"/>
  <c r="L2500" i="3"/>
  <c r="M2500" i="3"/>
  <c r="J2501" i="3"/>
  <c r="K2501" i="3"/>
  <c r="L2501" i="3"/>
  <c r="M2501" i="3"/>
  <c r="J2502" i="3"/>
  <c r="K2502" i="3"/>
  <c r="L2502" i="3"/>
  <c r="M2502" i="3"/>
  <c r="J5" i="3"/>
  <c r="K5" i="3"/>
  <c r="L5" i="3"/>
  <c r="M5" i="3"/>
  <c r="J6" i="3"/>
  <c r="K6" i="3"/>
  <c r="L6" i="3"/>
  <c r="M6" i="3"/>
  <c r="J7" i="3"/>
  <c r="K7" i="3"/>
  <c r="L7" i="3"/>
  <c r="M7" i="3"/>
  <c r="J8" i="3"/>
  <c r="K8" i="3"/>
  <c r="L8" i="3"/>
  <c r="M8" i="3"/>
  <c r="J9" i="3"/>
  <c r="K9" i="3"/>
  <c r="L9" i="3"/>
  <c r="M9" i="3"/>
  <c r="J10" i="3"/>
  <c r="K10" i="3"/>
  <c r="L10" i="3"/>
  <c r="M10" i="3"/>
  <c r="J11" i="3"/>
  <c r="K11" i="3"/>
  <c r="L11" i="3"/>
  <c r="M11" i="3"/>
  <c r="J12" i="3"/>
  <c r="K12" i="3"/>
  <c r="L12" i="3"/>
  <c r="M12" i="3"/>
  <c r="J13" i="3"/>
  <c r="K13" i="3"/>
  <c r="L13" i="3"/>
  <c r="M13" i="3"/>
  <c r="J14" i="3"/>
  <c r="K14" i="3"/>
  <c r="L14" i="3"/>
  <c r="M14" i="3"/>
  <c r="J15" i="3"/>
  <c r="K15" i="3"/>
  <c r="L15" i="3"/>
  <c r="M15" i="3"/>
  <c r="J16" i="3"/>
  <c r="K16" i="3"/>
  <c r="L16" i="3"/>
  <c r="M16" i="3"/>
  <c r="J17" i="3"/>
  <c r="K17" i="3"/>
  <c r="L17" i="3"/>
  <c r="M17" i="3"/>
  <c r="J18" i="3"/>
  <c r="K18" i="3"/>
  <c r="L18" i="3"/>
  <c r="M18" i="3"/>
  <c r="J19" i="3"/>
  <c r="K19" i="3"/>
  <c r="L19" i="3"/>
  <c r="M19" i="3"/>
  <c r="J20" i="3"/>
  <c r="K20" i="3"/>
  <c r="L20" i="3"/>
  <c r="M20" i="3"/>
  <c r="J21" i="3"/>
  <c r="K21" i="3"/>
  <c r="L21" i="3"/>
  <c r="M21" i="3"/>
  <c r="J22" i="3"/>
  <c r="K22" i="3"/>
  <c r="L22" i="3"/>
  <c r="M22" i="3"/>
  <c r="J23" i="3"/>
  <c r="K23" i="3"/>
  <c r="L23" i="3"/>
  <c r="M23" i="3"/>
  <c r="J24" i="3"/>
  <c r="K24" i="3"/>
  <c r="L24" i="3"/>
  <c r="M24" i="3"/>
  <c r="J25" i="3"/>
  <c r="K25" i="3"/>
  <c r="L25" i="3"/>
  <c r="M25" i="3"/>
  <c r="J26" i="3"/>
  <c r="K26" i="3"/>
  <c r="L26" i="3"/>
  <c r="M26" i="3"/>
  <c r="J27" i="3"/>
  <c r="K27" i="3"/>
  <c r="L27" i="3"/>
  <c r="M27" i="3"/>
  <c r="J28" i="3"/>
  <c r="K28" i="3"/>
  <c r="L28" i="3"/>
  <c r="M28" i="3"/>
  <c r="J29" i="3"/>
  <c r="K29" i="3"/>
  <c r="L29" i="3"/>
  <c r="M29" i="3"/>
  <c r="J30" i="3"/>
  <c r="K30" i="3"/>
  <c r="L30" i="3"/>
  <c r="M30" i="3"/>
  <c r="J31" i="3"/>
  <c r="K31" i="3"/>
  <c r="L31" i="3"/>
  <c r="M31" i="3"/>
  <c r="J32" i="3"/>
  <c r="K32" i="3"/>
  <c r="L32" i="3"/>
  <c r="M32" i="3"/>
  <c r="J33" i="3"/>
  <c r="K33" i="3"/>
  <c r="L33" i="3"/>
  <c r="M33" i="3"/>
  <c r="J34" i="3"/>
  <c r="K34" i="3"/>
  <c r="L34" i="3"/>
  <c r="M34" i="3"/>
  <c r="J35" i="3"/>
  <c r="K35" i="3"/>
  <c r="L35" i="3"/>
  <c r="M35" i="3"/>
  <c r="J36" i="3"/>
  <c r="K36" i="3"/>
  <c r="L36" i="3"/>
  <c r="M36" i="3"/>
  <c r="J37" i="3"/>
  <c r="K37" i="3"/>
  <c r="L37" i="3"/>
  <c r="M37" i="3"/>
  <c r="J38" i="3"/>
  <c r="K38" i="3"/>
  <c r="L38" i="3"/>
  <c r="M38" i="3"/>
  <c r="J39" i="3"/>
  <c r="K39" i="3"/>
  <c r="L39" i="3"/>
  <c r="M39" i="3"/>
  <c r="J40" i="3"/>
  <c r="K40" i="3"/>
  <c r="L40" i="3"/>
  <c r="M40" i="3"/>
  <c r="J41" i="3"/>
  <c r="K41" i="3"/>
  <c r="L41" i="3"/>
  <c r="M41" i="3"/>
  <c r="J42" i="3"/>
  <c r="K42" i="3"/>
  <c r="L42" i="3"/>
  <c r="M42" i="3"/>
  <c r="J43" i="3"/>
  <c r="K43" i="3"/>
  <c r="L43" i="3"/>
  <c r="M43" i="3"/>
  <c r="J44" i="3"/>
  <c r="K44" i="3"/>
  <c r="L44" i="3"/>
  <c r="M44" i="3"/>
  <c r="J45" i="3"/>
  <c r="K45" i="3"/>
  <c r="L45" i="3"/>
  <c r="M45" i="3"/>
  <c r="J46" i="3"/>
  <c r="K46" i="3"/>
  <c r="L46" i="3"/>
  <c r="M46" i="3"/>
  <c r="J47" i="3"/>
  <c r="K47" i="3"/>
  <c r="L47" i="3"/>
  <c r="M47" i="3"/>
  <c r="J48" i="3"/>
  <c r="K48" i="3"/>
  <c r="L48" i="3"/>
  <c r="M48" i="3"/>
  <c r="J49" i="3"/>
  <c r="K49" i="3"/>
  <c r="L49" i="3"/>
  <c r="M49" i="3"/>
  <c r="J50" i="3"/>
  <c r="K50" i="3"/>
  <c r="L50" i="3"/>
  <c r="M50" i="3"/>
  <c r="J51" i="3"/>
  <c r="K51" i="3"/>
  <c r="L51" i="3"/>
  <c r="M51" i="3"/>
  <c r="J52" i="3"/>
  <c r="K52" i="3"/>
  <c r="L52" i="3"/>
  <c r="M52" i="3"/>
  <c r="J53" i="3"/>
  <c r="K53" i="3"/>
  <c r="L53" i="3"/>
  <c r="M53" i="3"/>
  <c r="J54" i="3"/>
  <c r="K54" i="3"/>
  <c r="L54" i="3"/>
  <c r="M54" i="3"/>
  <c r="J55" i="3"/>
  <c r="K55" i="3"/>
  <c r="L55" i="3"/>
  <c r="M55" i="3"/>
  <c r="J56" i="3"/>
  <c r="K56" i="3"/>
  <c r="L56" i="3"/>
  <c r="M56" i="3"/>
  <c r="J57" i="3"/>
  <c r="K57" i="3"/>
  <c r="L57" i="3"/>
  <c r="M57" i="3"/>
  <c r="J58" i="3"/>
  <c r="K58" i="3"/>
  <c r="L58" i="3"/>
  <c r="M58" i="3"/>
  <c r="J59" i="3"/>
  <c r="K59" i="3"/>
  <c r="L59" i="3"/>
  <c r="M59" i="3"/>
  <c r="J60" i="3"/>
  <c r="K60" i="3"/>
  <c r="L60" i="3"/>
  <c r="M60" i="3"/>
  <c r="J61" i="3"/>
  <c r="K61" i="3"/>
  <c r="L61" i="3"/>
  <c r="M61" i="3"/>
  <c r="J62" i="3"/>
  <c r="K62" i="3"/>
  <c r="L62" i="3"/>
  <c r="M62" i="3"/>
  <c r="J63" i="3"/>
  <c r="K63" i="3"/>
  <c r="L63" i="3"/>
  <c r="M63" i="3"/>
  <c r="J64" i="3"/>
  <c r="K64" i="3"/>
  <c r="L64" i="3"/>
  <c r="M64" i="3"/>
  <c r="J65" i="3"/>
  <c r="K65" i="3"/>
  <c r="L65" i="3"/>
  <c r="M65" i="3"/>
  <c r="J66" i="3"/>
  <c r="K66" i="3"/>
  <c r="L66" i="3"/>
  <c r="M66" i="3"/>
  <c r="J67" i="3"/>
  <c r="K67" i="3"/>
  <c r="L67" i="3"/>
  <c r="M67" i="3"/>
  <c r="J68" i="3"/>
  <c r="K68" i="3"/>
  <c r="L68" i="3"/>
  <c r="M68" i="3"/>
  <c r="J69" i="3"/>
  <c r="K69" i="3"/>
  <c r="L69" i="3"/>
  <c r="M69" i="3"/>
  <c r="J70" i="3"/>
  <c r="K70" i="3"/>
  <c r="L70" i="3"/>
  <c r="M70" i="3"/>
  <c r="J71" i="3"/>
  <c r="K71" i="3"/>
  <c r="L71" i="3"/>
  <c r="M71" i="3"/>
  <c r="J72" i="3"/>
  <c r="K72" i="3"/>
  <c r="L72" i="3"/>
  <c r="M72" i="3"/>
  <c r="J73" i="3"/>
  <c r="K73" i="3"/>
  <c r="L73" i="3"/>
  <c r="M73" i="3"/>
  <c r="J74" i="3"/>
  <c r="K74" i="3"/>
  <c r="L74" i="3"/>
  <c r="M74" i="3"/>
  <c r="J75" i="3"/>
  <c r="K75" i="3"/>
  <c r="L75" i="3"/>
  <c r="M75" i="3"/>
  <c r="J76" i="3"/>
  <c r="K76" i="3"/>
  <c r="L76" i="3"/>
  <c r="M76" i="3"/>
  <c r="J77" i="3"/>
  <c r="K77" i="3"/>
  <c r="L77" i="3"/>
  <c r="M77" i="3"/>
  <c r="J78" i="3"/>
  <c r="K78" i="3"/>
  <c r="L78" i="3"/>
  <c r="M78" i="3"/>
  <c r="J79" i="3"/>
  <c r="K79" i="3"/>
  <c r="L79" i="3"/>
  <c r="M79" i="3"/>
  <c r="J80" i="3"/>
  <c r="K80" i="3"/>
  <c r="L80" i="3"/>
  <c r="M80" i="3"/>
  <c r="J81" i="3"/>
  <c r="K81" i="3"/>
  <c r="L81" i="3"/>
  <c r="M81" i="3"/>
  <c r="J82" i="3"/>
  <c r="K82" i="3"/>
  <c r="L82" i="3"/>
  <c r="M82" i="3"/>
  <c r="J83" i="3"/>
  <c r="K83" i="3"/>
  <c r="L83" i="3"/>
  <c r="M83" i="3"/>
  <c r="J84" i="3"/>
  <c r="K84" i="3"/>
  <c r="L84" i="3"/>
  <c r="M84" i="3"/>
  <c r="J85" i="3"/>
  <c r="K85" i="3"/>
  <c r="L85" i="3"/>
  <c r="M85" i="3"/>
  <c r="J86" i="3"/>
  <c r="K86" i="3"/>
  <c r="L86" i="3"/>
  <c r="M86" i="3"/>
  <c r="J87" i="3"/>
  <c r="K87" i="3"/>
  <c r="L87" i="3"/>
  <c r="M87" i="3"/>
  <c r="J88" i="3"/>
  <c r="K88" i="3"/>
  <c r="L88" i="3"/>
  <c r="M88" i="3"/>
  <c r="J89" i="3"/>
  <c r="K89" i="3"/>
  <c r="L89" i="3"/>
  <c r="M89" i="3"/>
  <c r="J90" i="3"/>
  <c r="K90" i="3"/>
  <c r="L90" i="3"/>
  <c r="M90" i="3"/>
  <c r="J91" i="3"/>
  <c r="K91" i="3"/>
  <c r="L91" i="3"/>
  <c r="M91" i="3"/>
  <c r="J92" i="3"/>
  <c r="K92" i="3"/>
  <c r="L92" i="3"/>
  <c r="M92" i="3"/>
  <c r="J93" i="3"/>
  <c r="K93" i="3"/>
  <c r="L93" i="3"/>
  <c r="M93" i="3"/>
  <c r="J94" i="3"/>
  <c r="K94" i="3"/>
  <c r="L94" i="3"/>
  <c r="M94" i="3"/>
  <c r="J95" i="3"/>
  <c r="K95" i="3"/>
  <c r="L95" i="3"/>
  <c r="M95" i="3"/>
  <c r="J96" i="3"/>
  <c r="K96" i="3"/>
  <c r="L96" i="3"/>
  <c r="M96" i="3"/>
  <c r="J97" i="3"/>
  <c r="K97" i="3"/>
  <c r="L97" i="3"/>
  <c r="M97" i="3"/>
  <c r="J98" i="3"/>
  <c r="K98" i="3"/>
  <c r="L98" i="3"/>
  <c r="M98" i="3"/>
  <c r="J99" i="3"/>
  <c r="K99" i="3"/>
  <c r="L99" i="3"/>
  <c r="M99" i="3"/>
  <c r="J100" i="3"/>
  <c r="K100" i="3"/>
  <c r="L100" i="3"/>
  <c r="M100" i="3"/>
  <c r="J101" i="3"/>
  <c r="K101" i="3"/>
  <c r="L101" i="3"/>
  <c r="M101" i="3"/>
  <c r="J102" i="3"/>
  <c r="K102" i="3"/>
  <c r="L102" i="3"/>
  <c r="M102" i="3"/>
  <c r="J103" i="3"/>
  <c r="K103" i="3"/>
  <c r="L103" i="3"/>
  <c r="M103" i="3"/>
  <c r="J104" i="3"/>
  <c r="K104" i="3"/>
  <c r="L104" i="3"/>
  <c r="M104" i="3"/>
  <c r="J105" i="3"/>
  <c r="K105" i="3"/>
  <c r="L105" i="3"/>
  <c r="M105" i="3"/>
  <c r="J106" i="3"/>
  <c r="K106" i="3"/>
  <c r="L106" i="3"/>
  <c r="M106" i="3"/>
  <c r="J107" i="3"/>
  <c r="K107" i="3"/>
  <c r="L107" i="3"/>
  <c r="M107" i="3"/>
  <c r="J108" i="3"/>
  <c r="K108" i="3"/>
  <c r="L108" i="3"/>
  <c r="M108" i="3"/>
  <c r="J109" i="3"/>
  <c r="K109" i="3"/>
  <c r="L109" i="3"/>
  <c r="M109" i="3"/>
  <c r="J110" i="3"/>
  <c r="K110" i="3"/>
  <c r="L110" i="3"/>
  <c r="M110" i="3"/>
  <c r="J111" i="3"/>
  <c r="K111" i="3"/>
  <c r="L111" i="3"/>
  <c r="M111" i="3"/>
  <c r="J112" i="3"/>
  <c r="K112" i="3"/>
  <c r="L112" i="3"/>
  <c r="M112" i="3"/>
  <c r="J113" i="3"/>
  <c r="K113" i="3"/>
  <c r="L113" i="3"/>
  <c r="M113" i="3"/>
  <c r="J114" i="3"/>
  <c r="K114" i="3"/>
  <c r="L114" i="3"/>
  <c r="M114" i="3"/>
  <c r="J115" i="3"/>
  <c r="K115" i="3"/>
  <c r="L115" i="3"/>
  <c r="M115" i="3"/>
  <c r="J116" i="3"/>
  <c r="K116" i="3"/>
  <c r="L116" i="3"/>
  <c r="M116" i="3"/>
  <c r="J117" i="3"/>
  <c r="K117" i="3"/>
  <c r="L117" i="3"/>
  <c r="M117" i="3"/>
  <c r="J118" i="3"/>
  <c r="K118" i="3"/>
  <c r="L118" i="3"/>
  <c r="M118" i="3"/>
  <c r="J119" i="3"/>
  <c r="K119" i="3"/>
  <c r="L119" i="3"/>
  <c r="M119" i="3"/>
  <c r="J120" i="3"/>
  <c r="K120" i="3"/>
  <c r="L120" i="3"/>
  <c r="M120" i="3"/>
  <c r="J121" i="3"/>
  <c r="K121" i="3"/>
  <c r="L121" i="3"/>
  <c r="M121" i="3"/>
  <c r="J122" i="3"/>
  <c r="K122" i="3"/>
  <c r="L122" i="3"/>
  <c r="M122" i="3"/>
  <c r="J123" i="3"/>
  <c r="K123" i="3"/>
  <c r="L123" i="3"/>
  <c r="M123" i="3"/>
  <c r="J124" i="3"/>
  <c r="K124" i="3"/>
  <c r="L124" i="3"/>
  <c r="M124" i="3"/>
  <c r="J125" i="3"/>
  <c r="K125" i="3"/>
  <c r="L125" i="3"/>
  <c r="M125" i="3"/>
  <c r="J126" i="3"/>
  <c r="K126" i="3"/>
  <c r="L126" i="3"/>
  <c r="M126" i="3"/>
  <c r="J127" i="3"/>
  <c r="K127" i="3"/>
  <c r="L127" i="3"/>
  <c r="M127" i="3"/>
  <c r="J128" i="3"/>
  <c r="K128" i="3"/>
  <c r="L128" i="3"/>
  <c r="M128" i="3"/>
  <c r="J129" i="3"/>
  <c r="K129" i="3"/>
  <c r="L129" i="3"/>
  <c r="M129" i="3"/>
  <c r="J130" i="3"/>
  <c r="K130" i="3"/>
  <c r="L130" i="3"/>
  <c r="M130" i="3"/>
  <c r="J131" i="3"/>
  <c r="K131" i="3"/>
  <c r="L131" i="3"/>
  <c r="M131" i="3"/>
  <c r="J132" i="3"/>
  <c r="K132" i="3"/>
  <c r="L132" i="3"/>
  <c r="M132" i="3"/>
  <c r="J133" i="3"/>
  <c r="K133" i="3"/>
  <c r="L133" i="3"/>
  <c r="M133" i="3"/>
  <c r="J134" i="3"/>
  <c r="K134" i="3"/>
  <c r="L134" i="3"/>
  <c r="M134" i="3"/>
  <c r="J135" i="3"/>
  <c r="K135" i="3"/>
  <c r="L135" i="3"/>
  <c r="M135" i="3"/>
  <c r="J136" i="3"/>
  <c r="K136" i="3"/>
  <c r="L136" i="3"/>
  <c r="M136" i="3"/>
  <c r="J137" i="3"/>
  <c r="K137" i="3"/>
  <c r="L137" i="3"/>
  <c r="M137" i="3"/>
  <c r="J138" i="3"/>
  <c r="K138" i="3"/>
  <c r="L138" i="3"/>
  <c r="M138" i="3"/>
  <c r="J139" i="3"/>
  <c r="K139" i="3"/>
  <c r="L139" i="3"/>
  <c r="M139" i="3"/>
  <c r="J140" i="3"/>
  <c r="K140" i="3"/>
  <c r="L140" i="3"/>
  <c r="M140" i="3"/>
  <c r="J141" i="3"/>
  <c r="K141" i="3"/>
  <c r="L141" i="3"/>
  <c r="M141" i="3"/>
  <c r="J142" i="3"/>
  <c r="K142" i="3"/>
  <c r="L142" i="3"/>
  <c r="M142" i="3"/>
  <c r="J143" i="3"/>
  <c r="K143" i="3"/>
  <c r="L143" i="3"/>
  <c r="M143" i="3"/>
  <c r="J144" i="3"/>
  <c r="K144" i="3"/>
  <c r="L144" i="3"/>
  <c r="M144" i="3"/>
  <c r="J145" i="3"/>
  <c r="K145" i="3"/>
  <c r="L145" i="3"/>
  <c r="M145" i="3"/>
  <c r="J146" i="3"/>
  <c r="K146" i="3"/>
  <c r="L146" i="3"/>
  <c r="M146" i="3"/>
  <c r="J147" i="3"/>
  <c r="K147" i="3"/>
  <c r="L147" i="3"/>
  <c r="M147" i="3"/>
  <c r="J148" i="3"/>
  <c r="K148" i="3"/>
  <c r="L148" i="3"/>
  <c r="M148" i="3"/>
  <c r="J149" i="3"/>
  <c r="K149" i="3"/>
  <c r="L149" i="3"/>
  <c r="M149" i="3"/>
  <c r="J150" i="3"/>
  <c r="K150" i="3"/>
  <c r="L150" i="3"/>
  <c r="M150" i="3"/>
  <c r="J151" i="3"/>
  <c r="K151" i="3"/>
  <c r="L151" i="3"/>
  <c r="M151" i="3"/>
  <c r="J152" i="3"/>
  <c r="K152" i="3"/>
  <c r="L152" i="3"/>
  <c r="M152" i="3"/>
  <c r="J153" i="3"/>
  <c r="K153" i="3"/>
  <c r="L153" i="3"/>
  <c r="M153" i="3"/>
  <c r="J154" i="3"/>
  <c r="K154" i="3"/>
  <c r="L154" i="3"/>
  <c r="M154" i="3"/>
  <c r="J155" i="3"/>
  <c r="K155" i="3"/>
  <c r="L155" i="3"/>
  <c r="M155" i="3"/>
  <c r="J156" i="3"/>
  <c r="K156" i="3"/>
  <c r="L156" i="3"/>
  <c r="M156" i="3"/>
  <c r="J157" i="3"/>
  <c r="K157" i="3"/>
  <c r="L157" i="3"/>
  <c r="M157" i="3"/>
  <c r="J158" i="3"/>
  <c r="K158" i="3"/>
  <c r="L158" i="3"/>
  <c r="M158" i="3"/>
  <c r="J159" i="3"/>
  <c r="K159" i="3"/>
  <c r="L159" i="3"/>
  <c r="M159" i="3"/>
  <c r="J160" i="3"/>
  <c r="K160" i="3"/>
  <c r="L160" i="3"/>
  <c r="M160" i="3"/>
  <c r="J161" i="3"/>
  <c r="K161" i="3"/>
  <c r="L161" i="3"/>
  <c r="M161" i="3"/>
  <c r="J162" i="3"/>
  <c r="K162" i="3"/>
  <c r="L162" i="3"/>
  <c r="M162" i="3"/>
  <c r="J163" i="3"/>
  <c r="K163" i="3"/>
  <c r="L163" i="3"/>
  <c r="M163" i="3"/>
  <c r="J164" i="3"/>
  <c r="K164" i="3"/>
  <c r="L164" i="3"/>
  <c r="M164" i="3"/>
  <c r="J165" i="3"/>
  <c r="K165" i="3"/>
  <c r="L165" i="3"/>
  <c r="M165" i="3"/>
  <c r="J166" i="3"/>
  <c r="K166" i="3"/>
  <c r="L166" i="3"/>
  <c r="M166" i="3"/>
  <c r="J167" i="3"/>
  <c r="K167" i="3"/>
  <c r="L167" i="3"/>
  <c r="M167" i="3"/>
  <c r="J168" i="3"/>
  <c r="K168" i="3"/>
  <c r="L168" i="3"/>
  <c r="M168" i="3"/>
  <c r="J169" i="3"/>
  <c r="K169" i="3"/>
  <c r="L169" i="3"/>
  <c r="M169" i="3"/>
  <c r="J170" i="3"/>
  <c r="K170" i="3"/>
  <c r="L170" i="3"/>
  <c r="M170" i="3"/>
  <c r="J171" i="3"/>
  <c r="K171" i="3"/>
  <c r="L171" i="3"/>
  <c r="M171" i="3"/>
  <c r="J172" i="3"/>
  <c r="K172" i="3"/>
  <c r="L172" i="3"/>
  <c r="M172" i="3"/>
  <c r="J173" i="3"/>
  <c r="K173" i="3"/>
  <c r="L173" i="3"/>
  <c r="M173" i="3"/>
  <c r="J174" i="3"/>
  <c r="K174" i="3"/>
  <c r="L174" i="3"/>
  <c r="M174" i="3"/>
  <c r="J175" i="3"/>
  <c r="K175" i="3"/>
  <c r="L175" i="3"/>
  <c r="M175" i="3"/>
  <c r="J176" i="3"/>
  <c r="K176" i="3"/>
  <c r="L176" i="3"/>
  <c r="M176" i="3"/>
  <c r="J177" i="3"/>
  <c r="K177" i="3"/>
  <c r="L177" i="3"/>
  <c r="M177" i="3"/>
  <c r="J178" i="3"/>
  <c r="K178" i="3"/>
  <c r="L178" i="3"/>
  <c r="M178" i="3"/>
  <c r="J179" i="3"/>
  <c r="K179" i="3"/>
  <c r="L179" i="3"/>
  <c r="M179" i="3"/>
  <c r="J180" i="3"/>
  <c r="K180" i="3"/>
  <c r="L180" i="3"/>
  <c r="M180" i="3"/>
  <c r="J181" i="3"/>
  <c r="K181" i="3"/>
  <c r="L181" i="3"/>
  <c r="M181" i="3"/>
  <c r="J182" i="3"/>
  <c r="K182" i="3"/>
  <c r="L182" i="3"/>
  <c r="M182" i="3"/>
  <c r="J183" i="3"/>
  <c r="K183" i="3"/>
  <c r="L183" i="3"/>
  <c r="M183" i="3"/>
  <c r="J184" i="3"/>
  <c r="K184" i="3"/>
  <c r="L184" i="3"/>
  <c r="M184" i="3"/>
  <c r="J185" i="3"/>
  <c r="K185" i="3"/>
  <c r="L185" i="3"/>
  <c r="M185" i="3"/>
  <c r="J186" i="3"/>
  <c r="K186" i="3"/>
  <c r="L186" i="3"/>
  <c r="M186" i="3"/>
  <c r="J187" i="3"/>
  <c r="K187" i="3"/>
  <c r="L187" i="3"/>
  <c r="M187" i="3"/>
  <c r="J188" i="3"/>
  <c r="K188" i="3"/>
  <c r="L188" i="3"/>
  <c r="M188" i="3"/>
  <c r="J189" i="3"/>
  <c r="K189" i="3"/>
  <c r="L189" i="3"/>
  <c r="M189" i="3"/>
  <c r="J190" i="3"/>
  <c r="K190" i="3"/>
  <c r="L190" i="3"/>
  <c r="M190" i="3"/>
  <c r="J191" i="3"/>
  <c r="K191" i="3"/>
  <c r="L191" i="3"/>
  <c r="M191" i="3"/>
  <c r="J192" i="3"/>
  <c r="K192" i="3"/>
  <c r="L192" i="3"/>
  <c r="M192" i="3"/>
  <c r="J193" i="3"/>
  <c r="K193" i="3"/>
  <c r="L193" i="3"/>
  <c r="M193" i="3"/>
  <c r="J194" i="3"/>
  <c r="K194" i="3"/>
  <c r="L194" i="3"/>
  <c r="M194" i="3"/>
  <c r="J195" i="3"/>
  <c r="K195" i="3"/>
  <c r="L195" i="3"/>
  <c r="M195" i="3"/>
  <c r="J196" i="3"/>
  <c r="K196" i="3"/>
  <c r="L196" i="3"/>
  <c r="M196" i="3"/>
  <c r="J197" i="3"/>
  <c r="K197" i="3"/>
  <c r="L197" i="3"/>
  <c r="M197" i="3"/>
  <c r="J198" i="3"/>
  <c r="K198" i="3"/>
  <c r="L198" i="3"/>
  <c r="M198" i="3"/>
  <c r="J199" i="3"/>
  <c r="K199" i="3"/>
  <c r="L199" i="3"/>
  <c r="M199" i="3"/>
  <c r="J200" i="3"/>
  <c r="K200" i="3"/>
  <c r="L200" i="3"/>
  <c r="M200" i="3"/>
  <c r="J201" i="3"/>
  <c r="K201" i="3"/>
  <c r="L201" i="3"/>
  <c r="M201" i="3"/>
  <c r="J202" i="3"/>
  <c r="K202" i="3"/>
  <c r="L202" i="3"/>
  <c r="M202" i="3"/>
  <c r="J203" i="3"/>
  <c r="K203" i="3"/>
  <c r="L203" i="3"/>
  <c r="M203" i="3"/>
  <c r="J204" i="3"/>
  <c r="K204" i="3"/>
  <c r="L204" i="3"/>
  <c r="M204" i="3"/>
  <c r="J205" i="3"/>
  <c r="K205" i="3"/>
  <c r="L205" i="3"/>
  <c r="M205" i="3"/>
  <c r="J206" i="3"/>
  <c r="K206" i="3"/>
  <c r="L206" i="3"/>
  <c r="M206" i="3"/>
  <c r="J207" i="3"/>
  <c r="K207" i="3"/>
  <c r="L207" i="3"/>
  <c r="M207" i="3"/>
  <c r="J208" i="3"/>
  <c r="K208" i="3"/>
  <c r="L208" i="3"/>
  <c r="M208" i="3"/>
  <c r="J209" i="3"/>
  <c r="K209" i="3"/>
  <c r="L209" i="3"/>
  <c r="M209" i="3"/>
  <c r="J210" i="3"/>
  <c r="K210" i="3"/>
  <c r="L210" i="3"/>
  <c r="M210" i="3"/>
  <c r="J211" i="3"/>
  <c r="K211" i="3"/>
  <c r="L211" i="3"/>
  <c r="M211" i="3"/>
  <c r="J212" i="3"/>
  <c r="K212" i="3"/>
  <c r="L212" i="3"/>
  <c r="M212" i="3"/>
  <c r="J213" i="3"/>
  <c r="K213" i="3"/>
  <c r="L213" i="3"/>
  <c r="M213" i="3"/>
  <c r="J214" i="3"/>
  <c r="K214" i="3"/>
  <c r="L214" i="3"/>
  <c r="M214" i="3"/>
  <c r="J215" i="3"/>
  <c r="K215" i="3"/>
  <c r="L215" i="3"/>
  <c r="M215" i="3"/>
  <c r="J216" i="3"/>
  <c r="K216" i="3"/>
  <c r="L216" i="3"/>
  <c r="M216" i="3"/>
  <c r="J217" i="3"/>
  <c r="K217" i="3"/>
  <c r="L217" i="3"/>
  <c r="M217" i="3"/>
  <c r="J218" i="3"/>
  <c r="K218" i="3"/>
  <c r="L218" i="3"/>
  <c r="M218" i="3"/>
  <c r="J219" i="3"/>
  <c r="K219" i="3"/>
  <c r="L219" i="3"/>
  <c r="M219" i="3"/>
  <c r="J220" i="3"/>
  <c r="K220" i="3"/>
  <c r="L220" i="3"/>
  <c r="M220" i="3"/>
  <c r="J221" i="3"/>
  <c r="K221" i="3"/>
  <c r="L221" i="3"/>
  <c r="M221" i="3"/>
  <c r="J222" i="3"/>
  <c r="K222" i="3"/>
  <c r="L222" i="3"/>
  <c r="M222" i="3"/>
  <c r="J223" i="3"/>
  <c r="K223" i="3"/>
  <c r="L223" i="3"/>
  <c r="M223" i="3"/>
  <c r="J224" i="3"/>
  <c r="K224" i="3"/>
  <c r="L224" i="3"/>
  <c r="M224" i="3"/>
  <c r="J225" i="3"/>
  <c r="K225" i="3"/>
  <c r="L225" i="3"/>
  <c r="M225" i="3"/>
  <c r="J226" i="3"/>
  <c r="K226" i="3"/>
  <c r="L226" i="3"/>
  <c r="M226" i="3"/>
  <c r="J227" i="3"/>
  <c r="K227" i="3"/>
  <c r="L227" i="3"/>
  <c r="M227" i="3"/>
  <c r="J228" i="3"/>
  <c r="K228" i="3"/>
  <c r="L228" i="3"/>
  <c r="M228" i="3"/>
  <c r="J229" i="3"/>
  <c r="K229" i="3"/>
  <c r="L229" i="3"/>
  <c r="M229" i="3"/>
  <c r="J230" i="3"/>
  <c r="K230" i="3"/>
  <c r="L230" i="3"/>
  <c r="M230" i="3"/>
  <c r="J231" i="3"/>
  <c r="K231" i="3"/>
  <c r="L231" i="3"/>
  <c r="M231" i="3"/>
  <c r="J232" i="3"/>
  <c r="K232" i="3"/>
  <c r="L232" i="3"/>
  <c r="M232" i="3"/>
  <c r="J233" i="3"/>
  <c r="K233" i="3"/>
  <c r="L233" i="3"/>
  <c r="M233" i="3"/>
  <c r="J234" i="3"/>
  <c r="K234" i="3"/>
  <c r="L234" i="3"/>
  <c r="M234" i="3"/>
  <c r="J235" i="3"/>
  <c r="K235" i="3"/>
  <c r="L235" i="3"/>
  <c r="M235" i="3"/>
  <c r="J236" i="3"/>
  <c r="K236" i="3"/>
  <c r="L236" i="3"/>
  <c r="M236" i="3"/>
  <c r="J237" i="3"/>
  <c r="K237" i="3"/>
  <c r="L237" i="3"/>
  <c r="M237" i="3"/>
  <c r="J238" i="3"/>
  <c r="K238" i="3"/>
  <c r="L238" i="3"/>
  <c r="M238" i="3"/>
  <c r="J239" i="3"/>
  <c r="K239" i="3"/>
  <c r="L239" i="3"/>
  <c r="M239" i="3"/>
  <c r="J240" i="3"/>
  <c r="K240" i="3"/>
  <c r="L240" i="3"/>
  <c r="M240" i="3"/>
  <c r="J241" i="3"/>
  <c r="K241" i="3"/>
  <c r="L241" i="3"/>
  <c r="M241" i="3"/>
  <c r="J242" i="3"/>
  <c r="K242" i="3"/>
  <c r="L242" i="3"/>
  <c r="M242" i="3"/>
  <c r="J243" i="3"/>
  <c r="K243" i="3"/>
  <c r="L243" i="3"/>
  <c r="M243" i="3"/>
  <c r="J244" i="3"/>
  <c r="K244" i="3"/>
  <c r="L244" i="3"/>
  <c r="M244" i="3"/>
  <c r="J245" i="3"/>
  <c r="K245" i="3"/>
  <c r="L245" i="3"/>
  <c r="M245" i="3"/>
  <c r="J246" i="3"/>
  <c r="K246" i="3"/>
  <c r="L246" i="3"/>
  <c r="M246" i="3"/>
  <c r="J247" i="3"/>
  <c r="K247" i="3"/>
  <c r="L247" i="3"/>
  <c r="M247" i="3"/>
  <c r="J248" i="3"/>
  <c r="K248" i="3"/>
  <c r="L248" i="3"/>
  <c r="M248" i="3"/>
  <c r="J249" i="3"/>
  <c r="K249" i="3"/>
  <c r="L249" i="3"/>
  <c r="M249" i="3"/>
  <c r="J250" i="3"/>
  <c r="K250" i="3"/>
  <c r="L250" i="3"/>
  <c r="M250" i="3"/>
  <c r="J251" i="3"/>
  <c r="K251" i="3"/>
  <c r="L251" i="3"/>
  <c r="M251" i="3"/>
  <c r="J252" i="3"/>
  <c r="K252" i="3"/>
  <c r="L252" i="3"/>
  <c r="M252" i="3"/>
  <c r="J253" i="3"/>
  <c r="K253" i="3"/>
  <c r="L253" i="3"/>
  <c r="M253" i="3"/>
  <c r="J254" i="3"/>
  <c r="K254" i="3"/>
  <c r="L254" i="3"/>
  <c r="M254" i="3"/>
  <c r="J255" i="3"/>
  <c r="K255" i="3"/>
  <c r="L255" i="3"/>
  <c r="M255" i="3"/>
  <c r="J256" i="3"/>
  <c r="K256" i="3"/>
  <c r="L256" i="3"/>
  <c r="M256" i="3"/>
  <c r="J257" i="3"/>
  <c r="K257" i="3"/>
  <c r="L257" i="3"/>
  <c r="M257" i="3"/>
  <c r="J258" i="3"/>
  <c r="K258" i="3"/>
  <c r="L258" i="3"/>
  <c r="M258" i="3"/>
  <c r="J259" i="3"/>
  <c r="K259" i="3"/>
  <c r="L259" i="3"/>
  <c r="M259" i="3"/>
  <c r="J260" i="3"/>
  <c r="K260" i="3"/>
  <c r="L260" i="3"/>
  <c r="M260" i="3"/>
  <c r="J261" i="3"/>
  <c r="K261" i="3"/>
  <c r="L261" i="3"/>
  <c r="M261" i="3"/>
  <c r="J262" i="3"/>
  <c r="K262" i="3"/>
  <c r="L262" i="3"/>
  <c r="M262" i="3"/>
  <c r="J263" i="3"/>
  <c r="K263" i="3"/>
  <c r="L263" i="3"/>
  <c r="M263" i="3"/>
  <c r="J264" i="3"/>
  <c r="K264" i="3"/>
  <c r="L264" i="3"/>
  <c r="M264" i="3"/>
  <c r="J265" i="3"/>
  <c r="K265" i="3"/>
  <c r="L265" i="3"/>
  <c r="M265" i="3"/>
  <c r="J266" i="3"/>
  <c r="K266" i="3"/>
  <c r="L266" i="3"/>
  <c r="M266" i="3"/>
  <c r="J267" i="3"/>
  <c r="K267" i="3"/>
  <c r="L267" i="3"/>
  <c r="M267" i="3"/>
  <c r="J268" i="3"/>
  <c r="K268" i="3"/>
  <c r="L268" i="3"/>
  <c r="M268" i="3"/>
  <c r="J269" i="3"/>
  <c r="K269" i="3"/>
  <c r="L269" i="3"/>
  <c r="M269" i="3"/>
  <c r="J270" i="3"/>
  <c r="K270" i="3"/>
  <c r="L270" i="3"/>
  <c r="M270" i="3"/>
  <c r="J271" i="3"/>
  <c r="K271" i="3"/>
  <c r="L271" i="3"/>
  <c r="M271" i="3"/>
  <c r="J272" i="3"/>
  <c r="K272" i="3"/>
  <c r="L272" i="3"/>
  <c r="M272" i="3"/>
  <c r="J273" i="3"/>
  <c r="K273" i="3"/>
  <c r="L273" i="3"/>
  <c r="M273" i="3"/>
  <c r="J274" i="3"/>
  <c r="K274" i="3"/>
  <c r="L274" i="3"/>
  <c r="M274" i="3"/>
  <c r="J275" i="3"/>
  <c r="K275" i="3"/>
  <c r="L275" i="3"/>
  <c r="M275" i="3"/>
  <c r="J276" i="3"/>
  <c r="K276" i="3"/>
  <c r="L276" i="3"/>
  <c r="M276" i="3"/>
  <c r="J277" i="3"/>
  <c r="K277" i="3"/>
  <c r="L277" i="3"/>
  <c r="M277" i="3"/>
  <c r="J278" i="3"/>
  <c r="K278" i="3"/>
  <c r="L278" i="3"/>
  <c r="M278" i="3"/>
  <c r="J279" i="3"/>
  <c r="K279" i="3"/>
  <c r="L279" i="3"/>
  <c r="M279" i="3"/>
  <c r="J280" i="3"/>
  <c r="K280" i="3"/>
  <c r="L280" i="3"/>
  <c r="M280" i="3"/>
  <c r="J281" i="3"/>
  <c r="K281" i="3"/>
  <c r="L281" i="3"/>
  <c r="M281" i="3"/>
  <c r="J282" i="3"/>
  <c r="K282" i="3"/>
  <c r="L282" i="3"/>
  <c r="M282" i="3"/>
  <c r="J283" i="3"/>
  <c r="K283" i="3"/>
  <c r="L283" i="3"/>
  <c r="M283" i="3"/>
  <c r="J284" i="3"/>
  <c r="K284" i="3"/>
  <c r="L284" i="3"/>
  <c r="M284" i="3"/>
  <c r="J285" i="3"/>
  <c r="K285" i="3"/>
  <c r="L285" i="3"/>
  <c r="M285" i="3"/>
  <c r="J286" i="3"/>
  <c r="K286" i="3"/>
  <c r="L286" i="3"/>
  <c r="M286" i="3"/>
  <c r="J287" i="3"/>
  <c r="K287" i="3"/>
  <c r="L287" i="3"/>
  <c r="M287" i="3"/>
  <c r="J288" i="3"/>
  <c r="K288" i="3"/>
  <c r="L288" i="3"/>
  <c r="M288" i="3"/>
  <c r="J289" i="3"/>
  <c r="K289" i="3"/>
  <c r="L289" i="3"/>
  <c r="M289" i="3"/>
  <c r="J290" i="3"/>
  <c r="K290" i="3"/>
  <c r="L290" i="3"/>
  <c r="M290" i="3"/>
  <c r="J291" i="3"/>
  <c r="K291" i="3"/>
  <c r="L291" i="3"/>
  <c r="M291" i="3"/>
  <c r="J292" i="3"/>
  <c r="K292" i="3"/>
  <c r="L292" i="3"/>
  <c r="M292" i="3"/>
  <c r="J293" i="3"/>
  <c r="K293" i="3"/>
  <c r="L293" i="3"/>
  <c r="M293" i="3"/>
  <c r="J294" i="3"/>
  <c r="K294" i="3"/>
  <c r="L294" i="3"/>
  <c r="M294" i="3"/>
  <c r="J295" i="3"/>
  <c r="K295" i="3"/>
  <c r="L295" i="3"/>
  <c r="M295" i="3"/>
  <c r="J296" i="3"/>
  <c r="K296" i="3"/>
  <c r="L296" i="3"/>
  <c r="M296" i="3"/>
  <c r="J297" i="3"/>
  <c r="K297" i="3"/>
  <c r="L297" i="3"/>
  <c r="M297" i="3"/>
  <c r="J298" i="3"/>
  <c r="K298" i="3"/>
  <c r="L298" i="3"/>
  <c r="M298" i="3"/>
  <c r="J299" i="3"/>
  <c r="K299" i="3"/>
  <c r="L299" i="3"/>
  <c r="M299" i="3"/>
  <c r="J300" i="3"/>
  <c r="K300" i="3"/>
  <c r="L300" i="3"/>
  <c r="M300" i="3"/>
  <c r="J301" i="3"/>
  <c r="K301" i="3"/>
  <c r="L301" i="3"/>
  <c r="M301" i="3"/>
  <c r="J302" i="3"/>
  <c r="K302" i="3"/>
  <c r="L302" i="3"/>
  <c r="M302" i="3"/>
  <c r="J303" i="3"/>
  <c r="K303" i="3"/>
  <c r="L303" i="3"/>
  <c r="M303" i="3"/>
  <c r="J304" i="3"/>
  <c r="K304" i="3"/>
  <c r="L304" i="3"/>
  <c r="M304" i="3"/>
  <c r="J305" i="3"/>
  <c r="K305" i="3"/>
  <c r="L305" i="3"/>
  <c r="M305" i="3"/>
  <c r="J306" i="3"/>
  <c r="K306" i="3"/>
  <c r="L306" i="3"/>
  <c r="M306" i="3"/>
  <c r="J307" i="3"/>
  <c r="K307" i="3"/>
  <c r="L307" i="3"/>
  <c r="M307" i="3"/>
  <c r="J308" i="3"/>
  <c r="K308" i="3"/>
  <c r="L308" i="3"/>
  <c r="M308" i="3"/>
  <c r="J309" i="3"/>
  <c r="K309" i="3"/>
  <c r="L309" i="3"/>
  <c r="M309" i="3"/>
  <c r="J310" i="3"/>
  <c r="K310" i="3"/>
  <c r="L310" i="3"/>
  <c r="M310" i="3"/>
  <c r="J311" i="3"/>
  <c r="K311" i="3"/>
  <c r="L311" i="3"/>
  <c r="M311" i="3"/>
  <c r="J312" i="3"/>
  <c r="K312" i="3"/>
  <c r="L312" i="3"/>
  <c r="M312" i="3"/>
  <c r="J313" i="3"/>
  <c r="K313" i="3"/>
  <c r="L313" i="3"/>
  <c r="M313" i="3"/>
  <c r="J314" i="3"/>
  <c r="K314" i="3"/>
  <c r="L314" i="3"/>
  <c r="M314" i="3"/>
  <c r="J315" i="3"/>
  <c r="K315" i="3"/>
  <c r="L315" i="3"/>
  <c r="M315" i="3"/>
  <c r="J316" i="3"/>
  <c r="K316" i="3"/>
  <c r="L316" i="3"/>
  <c r="M316" i="3"/>
  <c r="J317" i="3"/>
  <c r="K317" i="3"/>
  <c r="L317" i="3"/>
  <c r="M317" i="3"/>
  <c r="J318" i="3"/>
  <c r="K318" i="3"/>
  <c r="L318" i="3"/>
  <c r="M318" i="3"/>
  <c r="J319" i="3"/>
  <c r="K319" i="3"/>
  <c r="L319" i="3"/>
  <c r="M319" i="3"/>
  <c r="J320" i="3"/>
  <c r="K320" i="3"/>
  <c r="L320" i="3"/>
  <c r="M320" i="3"/>
  <c r="J321" i="3"/>
  <c r="K321" i="3"/>
  <c r="L321" i="3"/>
  <c r="M321" i="3"/>
  <c r="J322" i="3"/>
  <c r="K322" i="3"/>
  <c r="L322" i="3"/>
  <c r="M322" i="3"/>
  <c r="J323" i="3"/>
  <c r="K323" i="3"/>
  <c r="L323" i="3"/>
  <c r="M323" i="3"/>
  <c r="J324" i="3"/>
  <c r="K324" i="3"/>
  <c r="L324" i="3"/>
  <c r="M324" i="3"/>
  <c r="J325" i="3"/>
  <c r="K325" i="3"/>
  <c r="L325" i="3"/>
  <c r="M325" i="3"/>
  <c r="J326" i="3"/>
  <c r="K326" i="3"/>
  <c r="L326" i="3"/>
  <c r="M326" i="3"/>
  <c r="J327" i="3"/>
  <c r="K327" i="3"/>
  <c r="L327" i="3"/>
  <c r="M327" i="3"/>
  <c r="J328" i="3"/>
  <c r="K328" i="3"/>
  <c r="L328" i="3"/>
  <c r="M328" i="3"/>
  <c r="J329" i="3"/>
  <c r="K329" i="3"/>
  <c r="L329" i="3"/>
  <c r="M329" i="3"/>
  <c r="J330" i="3"/>
  <c r="K330" i="3"/>
  <c r="L330" i="3"/>
  <c r="M330" i="3"/>
  <c r="J331" i="3"/>
  <c r="K331" i="3"/>
  <c r="L331" i="3"/>
  <c r="M331" i="3"/>
  <c r="J332" i="3"/>
  <c r="K332" i="3"/>
  <c r="L332" i="3"/>
  <c r="M332" i="3"/>
  <c r="J333" i="3"/>
  <c r="K333" i="3"/>
  <c r="L333" i="3"/>
  <c r="M333" i="3"/>
  <c r="J334" i="3"/>
  <c r="K334" i="3"/>
  <c r="L334" i="3"/>
  <c r="M334" i="3"/>
  <c r="J335" i="3"/>
  <c r="K335" i="3"/>
  <c r="L335" i="3"/>
  <c r="M335" i="3"/>
  <c r="J336" i="3"/>
  <c r="K336" i="3"/>
  <c r="L336" i="3"/>
  <c r="M336" i="3"/>
  <c r="J337" i="3"/>
  <c r="K337" i="3"/>
  <c r="L337" i="3"/>
  <c r="M337" i="3"/>
  <c r="J338" i="3"/>
  <c r="K338" i="3"/>
  <c r="L338" i="3"/>
  <c r="M338" i="3"/>
  <c r="J339" i="3"/>
  <c r="K339" i="3"/>
  <c r="L339" i="3"/>
  <c r="M339" i="3"/>
  <c r="J340" i="3"/>
  <c r="K340" i="3"/>
  <c r="L340" i="3"/>
  <c r="M340" i="3"/>
  <c r="J341" i="3"/>
  <c r="K341" i="3"/>
  <c r="L341" i="3"/>
  <c r="M341" i="3"/>
  <c r="J342" i="3"/>
  <c r="K342" i="3"/>
  <c r="L342" i="3"/>
  <c r="M342" i="3"/>
  <c r="J343" i="3"/>
  <c r="K343" i="3"/>
  <c r="L343" i="3"/>
  <c r="M343" i="3"/>
  <c r="J344" i="3"/>
  <c r="K344" i="3"/>
  <c r="L344" i="3"/>
  <c r="M344" i="3"/>
  <c r="J345" i="3"/>
  <c r="K345" i="3"/>
  <c r="L345" i="3"/>
  <c r="M345" i="3"/>
  <c r="J346" i="3"/>
  <c r="K346" i="3"/>
  <c r="L346" i="3"/>
  <c r="M346" i="3"/>
  <c r="J347" i="3"/>
  <c r="K347" i="3"/>
  <c r="L347" i="3"/>
  <c r="M347" i="3"/>
  <c r="J348" i="3"/>
  <c r="K348" i="3"/>
  <c r="L348" i="3"/>
  <c r="M348" i="3"/>
  <c r="J349" i="3"/>
  <c r="K349" i="3"/>
  <c r="L349" i="3"/>
  <c r="M349" i="3"/>
  <c r="J350" i="3"/>
  <c r="K350" i="3"/>
  <c r="L350" i="3"/>
  <c r="M350" i="3"/>
  <c r="J351" i="3"/>
  <c r="K351" i="3"/>
  <c r="L351" i="3"/>
  <c r="M351" i="3"/>
  <c r="J352" i="3"/>
  <c r="K352" i="3"/>
  <c r="L352" i="3"/>
  <c r="M352" i="3"/>
  <c r="J353" i="3"/>
  <c r="K353" i="3"/>
  <c r="L353" i="3"/>
  <c r="M353" i="3"/>
  <c r="J354" i="3"/>
  <c r="K354" i="3"/>
  <c r="L354" i="3"/>
  <c r="M354" i="3"/>
  <c r="J355" i="3"/>
  <c r="K355" i="3"/>
  <c r="L355" i="3"/>
  <c r="M355" i="3"/>
  <c r="J356" i="3"/>
  <c r="K356" i="3"/>
  <c r="L356" i="3"/>
  <c r="M356" i="3"/>
  <c r="J357" i="3"/>
  <c r="K357" i="3"/>
  <c r="L357" i="3"/>
  <c r="M357" i="3"/>
  <c r="J358" i="3"/>
  <c r="K358" i="3"/>
  <c r="L358" i="3"/>
  <c r="M358" i="3"/>
  <c r="J359" i="3"/>
  <c r="K359" i="3"/>
  <c r="L359" i="3"/>
  <c r="M359" i="3"/>
  <c r="J360" i="3"/>
  <c r="K360" i="3"/>
  <c r="L360" i="3"/>
  <c r="M360" i="3"/>
  <c r="J361" i="3"/>
  <c r="K361" i="3"/>
  <c r="L361" i="3"/>
  <c r="M361" i="3"/>
  <c r="J362" i="3"/>
  <c r="K362" i="3"/>
  <c r="L362" i="3"/>
  <c r="M362" i="3"/>
  <c r="J363" i="3"/>
  <c r="K363" i="3"/>
  <c r="L363" i="3"/>
  <c r="M363" i="3"/>
  <c r="J364" i="3"/>
  <c r="K364" i="3"/>
  <c r="L364" i="3"/>
  <c r="M364" i="3"/>
  <c r="J365" i="3"/>
  <c r="K365" i="3"/>
  <c r="L365" i="3"/>
  <c r="M365" i="3"/>
  <c r="J366" i="3"/>
  <c r="K366" i="3"/>
  <c r="L366" i="3"/>
  <c r="M366" i="3"/>
  <c r="J367" i="3"/>
  <c r="K367" i="3"/>
  <c r="L367" i="3"/>
  <c r="M367" i="3"/>
  <c r="J368" i="3"/>
  <c r="K368" i="3"/>
  <c r="L368" i="3"/>
  <c r="M368" i="3"/>
  <c r="J369" i="3"/>
  <c r="K369" i="3"/>
  <c r="L369" i="3"/>
  <c r="M369" i="3"/>
  <c r="J370" i="3"/>
  <c r="K370" i="3"/>
  <c r="L370" i="3"/>
  <c r="M370" i="3"/>
  <c r="J371" i="3"/>
  <c r="K371" i="3"/>
  <c r="L371" i="3"/>
  <c r="M371" i="3"/>
  <c r="J372" i="3"/>
  <c r="K372" i="3"/>
  <c r="L372" i="3"/>
  <c r="M372" i="3"/>
  <c r="J373" i="3"/>
  <c r="K373" i="3"/>
  <c r="L373" i="3"/>
  <c r="M373" i="3"/>
  <c r="J374" i="3"/>
  <c r="K374" i="3"/>
  <c r="L374" i="3"/>
  <c r="M374" i="3"/>
  <c r="J375" i="3"/>
  <c r="K375" i="3"/>
  <c r="L375" i="3"/>
  <c r="M375" i="3"/>
  <c r="J376" i="3"/>
  <c r="K376" i="3"/>
  <c r="L376" i="3"/>
  <c r="M376" i="3"/>
  <c r="J377" i="3"/>
  <c r="K377" i="3"/>
  <c r="L377" i="3"/>
  <c r="M377" i="3"/>
  <c r="J378" i="3"/>
  <c r="K378" i="3"/>
  <c r="L378" i="3"/>
  <c r="M378" i="3"/>
  <c r="J379" i="3"/>
  <c r="K379" i="3"/>
  <c r="L379" i="3"/>
  <c r="M379" i="3"/>
  <c r="J380" i="3"/>
  <c r="K380" i="3"/>
  <c r="L380" i="3"/>
  <c r="M380" i="3"/>
  <c r="J381" i="3"/>
  <c r="K381" i="3"/>
  <c r="L381" i="3"/>
  <c r="M381" i="3"/>
  <c r="J382" i="3"/>
  <c r="K382" i="3"/>
  <c r="L382" i="3"/>
  <c r="M382" i="3"/>
  <c r="J383" i="3"/>
  <c r="K383" i="3"/>
  <c r="L383" i="3"/>
  <c r="M383" i="3"/>
  <c r="J384" i="3"/>
  <c r="K384" i="3"/>
  <c r="L384" i="3"/>
  <c r="M384" i="3"/>
  <c r="J385" i="3"/>
  <c r="K385" i="3"/>
  <c r="L385" i="3"/>
  <c r="M385" i="3"/>
  <c r="J386" i="3"/>
  <c r="K386" i="3"/>
  <c r="L386" i="3"/>
  <c r="M386" i="3"/>
  <c r="J387" i="3"/>
  <c r="K387" i="3"/>
  <c r="L387" i="3"/>
  <c r="M387" i="3"/>
  <c r="J388" i="3"/>
  <c r="K388" i="3"/>
  <c r="L388" i="3"/>
  <c r="M388" i="3"/>
  <c r="J389" i="3"/>
  <c r="K389" i="3"/>
  <c r="L389" i="3"/>
  <c r="M389" i="3"/>
  <c r="J390" i="3"/>
  <c r="K390" i="3"/>
  <c r="L390" i="3"/>
  <c r="M390" i="3"/>
  <c r="J391" i="3"/>
  <c r="K391" i="3"/>
  <c r="L391" i="3"/>
  <c r="M391" i="3"/>
  <c r="J392" i="3"/>
  <c r="K392" i="3"/>
  <c r="L392" i="3"/>
  <c r="M392" i="3"/>
  <c r="J393" i="3"/>
  <c r="K393" i="3"/>
  <c r="L393" i="3"/>
  <c r="M393" i="3"/>
  <c r="J394" i="3"/>
  <c r="K394" i="3"/>
  <c r="L394" i="3"/>
  <c r="M394" i="3"/>
  <c r="J395" i="3"/>
  <c r="K395" i="3"/>
  <c r="L395" i="3"/>
  <c r="M395" i="3"/>
  <c r="J396" i="3"/>
  <c r="K396" i="3"/>
  <c r="L396" i="3"/>
  <c r="M396" i="3"/>
  <c r="J397" i="3"/>
  <c r="K397" i="3"/>
  <c r="L397" i="3"/>
  <c r="M397" i="3"/>
  <c r="J398" i="3"/>
  <c r="K398" i="3"/>
  <c r="L398" i="3"/>
  <c r="M398" i="3"/>
  <c r="J399" i="3"/>
  <c r="K399" i="3"/>
  <c r="L399" i="3"/>
  <c r="M399" i="3"/>
  <c r="J400" i="3"/>
  <c r="K400" i="3"/>
  <c r="L400" i="3"/>
  <c r="M400" i="3"/>
  <c r="J401" i="3"/>
  <c r="K401" i="3"/>
  <c r="L401" i="3"/>
  <c r="M401" i="3"/>
  <c r="J402" i="3"/>
  <c r="K402" i="3"/>
  <c r="L402" i="3"/>
  <c r="M402" i="3"/>
  <c r="J403" i="3"/>
  <c r="K403" i="3"/>
  <c r="L403" i="3"/>
  <c r="M403" i="3"/>
  <c r="J404" i="3"/>
  <c r="K404" i="3"/>
  <c r="L404" i="3"/>
  <c r="M404" i="3"/>
  <c r="J405" i="3"/>
  <c r="K405" i="3"/>
  <c r="L405" i="3"/>
  <c r="M405" i="3"/>
  <c r="J406" i="3"/>
  <c r="K406" i="3"/>
  <c r="L406" i="3"/>
  <c r="M406" i="3"/>
  <c r="J407" i="3"/>
  <c r="K407" i="3"/>
  <c r="L407" i="3"/>
  <c r="M407" i="3"/>
  <c r="J408" i="3"/>
  <c r="K408" i="3"/>
  <c r="L408" i="3"/>
  <c r="M408" i="3"/>
  <c r="J409" i="3"/>
  <c r="K409" i="3"/>
  <c r="L409" i="3"/>
  <c r="M409" i="3"/>
  <c r="J410" i="3"/>
  <c r="K410" i="3"/>
  <c r="L410" i="3"/>
  <c r="M410" i="3"/>
  <c r="J411" i="3"/>
  <c r="K411" i="3"/>
  <c r="L411" i="3"/>
  <c r="M411" i="3"/>
  <c r="J412" i="3"/>
  <c r="K412" i="3"/>
  <c r="L412" i="3"/>
  <c r="M412" i="3"/>
  <c r="J413" i="3"/>
  <c r="K413" i="3"/>
  <c r="L413" i="3"/>
  <c r="M413" i="3"/>
  <c r="J414" i="3"/>
  <c r="K414" i="3"/>
  <c r="L414" i="3"/>
  <c r="M414" i="3"/>
  <c r="J415" i="3"/>
  <c r="K415" i="3"/>
  <c r="L415" i="3"/>
  <c r="M415" i="3"/>
  <c r="J416" i="3"/>
  <c r="K416" i="3"/>
  <c r="L416" i="3"/>
  <c r="M416" i="3"/>
  <c r="J417" i="3"/>
  <c r="K417" i="3"/>
  <c r="L417" i="3"/>
  <c r="M417" i="3"/>
  <c r="J418" i="3"/>
  <c r="K418" i="3"/>
  <c r="L418" i="3"/>
  <c r="M418" i="3"/>
  <c r="J419" i="3"/>
  <c r="K419" i="3"/>
  <c r="L419" i="3"/>
  <c r="M419" i="3"/>
  <c r="J420" i="3"/>
  <c r="K420" i="3"/>
  <c r="L420" i="3"/>
  <c r="M420" i="3"/>
  <c r="J421" i="3"/>
  <c r="K421" i="3"/>
  <c r="L421" i="3"/>
  <c r="M421" i="3"/>
  <c r="J422" i="3"/>
  <c r="K422" i="3"/>
  <c r="L422" i="3"/>
  <c r="M422" i="3"/>
  <c r="J423" i="3"/>
  <c r="K423" i="3"/>
  <c r="L423" i="3"/>
  <c r="M423" i="3"/>
  <c r="J424" i="3"/>
  <c r="K424" i="3"/>
  <c r="L424" i="3"/>
  <c r="M424" i="3"/>
  <c r="J425" i="3"/>
  <c r="K425" i="3"/>
  <c r="L425" i="3"/>
  <c r="M425" i="3"/>
  <c r="J426" i="3"/>
  <c r="K426" i="3"/>
  <c r="L426" i="3"/>
  <c r="M426" i="3"/>
  <c r="J427" i="3"/>
  <c r="K427" i="3"/>
  <c r="L427" i="3"/>
  <c r="M427" i="3"/>
  <c r="J428" i="3"/>
  <c r="K428" i="3"/>
  <c r="L428" i="3"/>
  <c r="M428" i="3"/>
  <c r="J429" i="3"/>
  <c r="K429" i="3"/>
  <c r="L429" i="3"/>
  <c r="M429" i="3"/>
  <c r="J430" i="3"/>
  <c r="K430" i="3"/>
  <c r="L430" i="3"/>
  <c r="M430" i="3"/>
  <c r="J431" i="3"/>
  <c r="K431" i="3"/>
  <c r="L431" i="3"/>
  <c r="M431" i="3"/>
  <c r="J432" i="3"/>
  <c r="K432" i="3"/>
  <c r="L432" i="3"/>
  <c r="M432" i="3"/>
  <c r="J433" i="3"/>
  <c r="K433" i="3"/>
  <c r="L433" i="3"/>
  <c r="M433" i="3"/>
  <c r="J434" i="3"/>
  <c r="K434" i="3"/>
  <c r="L434" i="3"/>
  <c r="M434" i="3"/>
  <c r="J435" i="3"/>
  <c r="K435" i="3"/>
  <c r="L435" i="3"/>
  <c r="M435" i="3"/>
  <c r="J436" i="3"/>
  <c r="K436" i="3"/>
  <c r="L436" i="3"/>
  <c r="M436" i="3"/>
  <c r="J437" i="3"/>
  <c r="K437" i="3"/>
  <c r="L437" i="3"/>
  <c r="M437" i="3"/>
  <c r="J438" i="3"/>
  <c r="K438" i="3"/>
  <c r="L438" i="3"/>
  <c r="M438" i="3"/>
  <c r="J439" i="3"/>
  <c r="K439" i="3"/>
  <c r="L439" i="3"/>
  <c r="M439" i="3"/>
  <c r="J440" i="3"/>
  <c r="K440" i="3"/>
  <c r="L440" i="3"/>
  <c r="M440" i="3"/>
  <c r="J441" i="3"/>
  <c r="K441" i="3"/>
  <c r="L441" i="3"/>
  <c r="M441" i="3"/>
  <c r="J442" i="3"/>
  <c r="K442" i="3"/>
  <c r="L442" i="3"/>
  <c r="M442" i="3"/>
  <c r="J443" i="3"/>
  <c r="K443" i="3"/>
  <c r="L443" i="3"/>
  <c r="M443" i="3"/>
  <c r="J444" i="3"/>
  <c r="K444" i="3"/>
  <c r="L444" i="3"/>
  <c r="M444" i="3"/>
  <c r="J445" i="3"/>
  <c r="K445" i="3"/>
  <c r="L445" i="3"/>
  <c r="M445" i="3"/>
  <c r="J446" i="3"/>
  <c r="K446" i="3"/>
  <c r="L446" i="3"/>
  <c r="M446" i="3"/>
  <c r="J447" i="3"/>
  <c r="K447" i="3"/>
  <c r="L447" i="3"/>
  <c r="M447" i="3"/>
  <c r="J448" i="3"/>
  <c r="K448" i="3"/>
  <c r="L448" i="3"/>
  <c r="M448" i="3"/>
  <c r="J449" i="3"/>
  <c r="K449" i="3"/>
  <c r="L449" i="3"/>
  <c r="M449" i="3"/>
  <c r="J450" i="3"/>
  <c r="K450" i="3"/>
  <c r="L450" i="3"/>
  <c r="M450" i="3"/>
  <c r="J451" i="3"/>
  <c r="K451" i="3"/>
  <c r="L451" i="3"/>
  <c r="M451" i="3"/>
  <c r="J452" i="3"/>
  <c r="K452" i="3"/>
  <c r="L452" i="3"/>
  <c r="M452" i="3"/>
  <c r="J453" i="3"/>
  <c r="K453" i="3"/>
  <c r="L453" i="3"/>
  <c r="M453" i="3"/>
  <c r="J454" i="3"/>
  <c r="K454" i="3"/>
  <c r="L454" i="3"/>
  <c r="M454" i="3"/>
  <c r="J455" i="3"/>
  <c r="K455" i="3"/>
  <c r="L455" i="3"/>
  <c r="M455" i="3"/>
  <c r="J456" i="3"/>
  <c r="K456" i="3"/>
  <c r="L456" i="3"/>
  <c r="M456" i="3"/>
  <c r="J457" i="3"/>
  <c r="K457" i="3"/>
  <c r="L457" i="3"/>
  <c r="M457" i="3"/>
  <c r="J458" i="3"/>
  <c r="K458" i="3"/>
  <c r="L458" i="3"/>
  <c r="M458" i="3"/>
  <c r="J459" i="3"/>
  <c r="K459" i="3"/>
  <c r="L459" i="3"/>
  <c r="M459" i="3"/>
  <c r="J460" i="3"/>
  <c r="K460" i="3"/>
  <c r="L460" i="3"/>
  <c r="M460" i="3"/>
  <c r="J461" i="3"/>
  <c r="K461" i="3"/>
  <c r="L461" i="3"/>
  <c r="M461" i="3"/>
  <c r="J462" i="3"/>
  <c r="K462" i="3"/>
  <c r="L462" i="3"/>
  <c r="M462" i="3"/>
  <c r="J463" i="3"/>
  <c r="K463" i="3"/>
  <c r="L463" i="3"/>
  <c r="M463" i="3"/>
  <c r="J464" i="3"/>
  <c r="K464" i="3"/>
  <c r="L464" i="3"/>
  <c r="M464" i="3"/>
  <c r="J465" i="3"/>
  <c r="K465" i="3"/>
  <c r="L465" i="3"/>
  <c r="M465" i="3"/>
  <c r="J466" i="3"/>
  <c r="K466" i="3"/>
  <c r="L466" i="3"/>
  <c r="M466" i="3"/>
  <c r="J467" i="3"/>
  <c r="K467" i="3"/>
  <c r="L467" i="3"/>
  <c r="M467" i="3"/>
  <c r="J468" i="3"/>
  <c r="K468" i="3"/>
  <c r="L468" i="3"/>
  <c r="M468" i="3"/>
  <c r="J469" i="3"/>
  <c r="K469" i="3"/>
  <c r="L469" i="3"/>
  <c r="M469" i="3"/>
  <c r="J470" i="3"/>
  <c r="K470" i="3"/>
  <c r="L470" i="3"/>
  <c r="M470" i="3"/>
  <c r="J471" i="3"/>
  <c r="K471" i="3"/>
  <c r="L471" i="3"/>
  <c r="M471" i="3"/>
  <c r="J472" i="3"/>
  <c r="K472" i="3"/>
  <c r="L472" i="3"/>
  <c r="M472" i="3"/>
  <c r="J473" i="3"/>
  <c r="K473" i="3"/>
  <c r="L473" i="3"/>
  <c r="M473" i="3"/>
  <c r="J474" i="3"/>
  <c r="K474" i="3"/>
  <c r="L474" i="3"/>
  <c r="M474" i="3"/>
  <c r="J475" i="3"/>
  <c r="K475" i="3"/>
  <c r="L475" i="3"/>
  <c r="M475" i="3"/>
  <c r="J476" i="3"/>
  <c r="K476" i="3"/>
  <c r="L476" i="3"/>
  <c r="M476" i="3"/>
  <c r="J477" i="3"/>
  <c r="K477" i="3"/>
  <c r="L477" i="3"/>
  <c r="M477" i="3"/>
  <c r="J478" i="3"/>
  <c r="K478" i="3"/>
  <c r="L478" i="3"/>
  <c r="M478" i="3"/>
  <c r="J479" i="3"/>
  <c r="K479" i="3"/>
  <c r="L479" i="3"/>
  <c r="M479" i="3"/>
  <c r="J480" i="3"/>
  <c r="K480" i="3"/>
  <c r="L480" i="3"/>
  <c r="M480" i="3"/>
  <c r="J481" i="3"/>
  <c r="K481" i="3"/>
  <c r="L481" i="3"/>
  <c r="M481" i="3"/>
  <c r="J482" i="3"/>
  <c r="K482" i="3"/>
  <c r="L482" i="3"/>
  <c r="M482" i="3"/>
  <c r="J483" i="3"/>
  <c r="K483" i="3"/>
  <c r="L483" i="3"/>
  <c r="M483" i="3"/>
  <c r="J484" i="3"/>
  <c r="K484" i="3"/>
  <c r="L484" i="3"/>
  <c r="M484" i="3"/>
  <c r="J485" i="3"/>
  <c r="K485" i="3"/>
  <c r="L485" i="3"/>
  <c r="M485" i="3"/>
  <c r="J486" i="3"/>
  <c r="K486" i="3"/>
  <c r="L486" i="3"/>
  <c r="M486" i="3"/>
  <c r="J487" i="3"/>
  <c r="K487" i="3"/>
  <c r="L487" i="3"/>
  <c r="M487" i="3"/>
  <c r="J488" i="3"/>
  <c r="K488" i="3"/>
  <c r="L488" i="3"/>
  <c r="M488" i="3"/>
  <c r="J489" i="3"/>
  <c r="K489" i="3"/>
  <c r="L489" i="3"/>
  <c r="M489" i="3"/>
  <c r="J490" i="3"/>
  <c r="K490" i="3"/>
  <c r="L490" i="3"/>
  <c r="M490" i="3"/>
  <c r="J491" i="3"/>
  <c r="K491" i="3"/>
  <c r="L491" i="3"/>
  <c r="M491" i="3"/>
  <c r="J492" i="3"/>
  <c r="K492" i="3"/>
  <c r="L492" i="3"/>
  <c r="M492" i="3"/>
  <c r="J493" i="3"/>
  <c r="K493" i="3"/>
  <c r="L493" i="3"/>
  <c r="M493" i="3"/>
  <c r="J494" i="3"/>
  <c r="K494" i="3"/>
  <c r="L494" i="3"/>
  <c r="M494" i="3"/>
  <c r="J495" i="3"/>
  <c r="K495" i="3"/>
  <c r="L495" i="3"/>
  <c r="M495" i="3"/>
  <c r="J496" i="3"/>
  <c r="K496" i="3"/>
  <c r="L496" i="3"/>
  <c r="M496" i="3"/>
  <c r="J497" i="3"/>
  <c r="K497" i="3"/>
  <c r="L497" i="3"/>
  <c r="M497" i="3"/>
  <c r="J498" i="3"/>
  <c r="K498" i="3"/>
  <c r="L498" i="3"/>
  <c r="M498" i="3"/>
  <c r="J499" i="3"/>
  <c r="K499" i="3"/>
  <c r="L499" i="3"/>
  <c r="M499" i="3"/>
  <c r="J500" i="3"/>
  <c r="K500" i="3"/>
  <c r="L500" i="3"/>
  <c r="M500" i="3"/>
  <c r="J501" i="3"/>
  <c r="K501" i="3"/>
  <c r="L501" i="3"/>
  <c r="M501" i="3"/>
  <c r="J502" i="3"/>
  <c r="K502" i="3"/>
  <c r="L502" i="3"/>
  <c r="M502" i="3"/>
  <c r="J503" i="3"/>
  <c r="K503" i="3"/>
  <c r="L503" i="3"/>
  <c r="M503" i="3"/>
  <c r="J504" i="3"/>
  <c r="K504" i="3"/>
  <c r="L504" i="3"/>
  <c r="M504" i="3"/>
  <c r="J505" i="3"/>
  <c r="K505" i="3"/>
  <c r="L505" i="3"/>
  <c r="M505" i="3"/>
  <c r="J506" i="3"/>
  <c r="K506" i="3"/>
  <c r="L506" i="3"/>
  <c r="M506" i="3"/>
  <c r="J507" i="3"/>
  <c r="K507" i="3"/>
  <c r="L507" i="3"/>
  <c r="M507" i="3"/>
  <c r="J508" i="3"/>
  <c r="K508" i="3"/>
  <c r="L508" i="3"/>
  <c r="M508" i="3"/>
  <c r="J509" i="3"/>
  <c r="K509" i="3"/>
  <c r="L509" i="3"/>
  <c r="M509" i="3"/>
  <c r="J510" i="3"/>
  <c r="K510" i="3"/>
  <c r="L510" i="3"/>
  <c r="M510" i="3"/>
  <c r="J511" i="3"/>
  <c r="K511" i="3"/>
  <c r="L511" i="3"/>
  <c r="M511" i="3"/>
  <c r="J512" i="3"/>
  <c r="K512" i="3"/>
  <c r="L512" i="3"/>
  <c r="M512" i="3"/>
  <c r="J513" i="3"/>
  <c r="K513" i="3"/>
  <c r="L513" i="3"/>
  <c r="M513" i="3"/>
  <c r="J514" i="3"/>
  <c r="K514" i="3"/>
  <c r="L514" i="3"/>
  <c r="M514" i="3"/>
  <c r="J515" i="3"/>
  <c r="K515" i="3"/>
  <c r="L515" i="3"/>
  <c r="M515" i="3"/>
  <c r="J516" i="3"/>
  <c r="K516" i="3"/>
  <c r="L516" i="3"/>
  <c r="M516" i="3"/>
  <c r="J517" i="3"/>
  <c r="K517" i="3"/>
  <c r="L517" i="3"/>
  <c r="M517" i="3"/>
  <c r="J518" i="3"/>
  <c r="K518" i="3"/>
  <c r="L518" i="3"/>
  <c r="M518" i="3"/>
  <c r="J519" i="3"/>
  <c r="K519" i="3"/>
  <c r="L519" i="3"/>
  <c r="M519" i="3"/>
  <c r="J520" i="3"/>
  <c r="K520" i="3"/>
  <c r="L520" i="3"/>
  <c r="M520" i="3"/>
  <c r="J521" i="3"/>
  <c r="K521" i="3"/>
  <c r="L521" i="3"/>
  <c r="M521" i="3"/>
  <c r="J522" i="3"/>
  <c r="K522" i="3"/>
  <c r="L522" i="3"/>
  <c r="M522" i="3"/>
  <c r="J523" i="3"/>
  <c r="K523" i="3"/>
  <c r="L523" i="3"/>
  <c r="M523" i="3"/>
  <c r="J524" i="3"/>
  <c r="K524" i="3"/>
  <c r="L524" i="3"/>
  <c r="M524" i="3"/>
  <c r="J525" i="3"/>
  <c r="K525" i="3"/>
  <c r="L525" i="3"/>
  <c r="M525" i="3"/>
  <c r="J526" i="3"/>
  <c r="K526" i="3"/>
  <c r="L526" i="3"/>
  <c r="M526" i="3"/>
  <c r="J527" i="3"/>
  <c r="K527" i="3"/>
  <c r="L527" i="3"/>
  <c r="M527" i="3"/>
  <c r="J528" i="3"/>
  <c r="K528" i="3"/>
  <c r="L528" i="3"/>
  <c r="M528" i="3"/>
  <c r="J529" i="3"/>
  <c r="K529" i="3"/>
  <c r="L529" i="3"/>
  <c r="M529" i="3"/>
  <c r="J530" i="3"/>
  <c r="K530" i="3"/>
  <c r="L530" i="3"/>
  <c r="M530" i="3"/>
  <c r="J531" i="3"/>
  <c r="K531" i="3"/>
  <c r="L531" i="3"/>
  <c r="M531" i="3"/>
  <c r="J532" i="3"/>
  <c r="K532" i="3"/>
  <c r="L532" i="3"/>
  <c r="M532" i="3"/>
  <c r="J533" i="3"/>
  <c r="K533" i="3"/>
  <c r="L533" i="3"/>
  <c r="M533" i="3"/>
  <c r="J534" i="3"/>
  <c r="K534" i="3"/>
  <c r="L534" i="3"/>
  <c r="M534" i="3"/>
  <c r="J535" i="3"/>
  <c r="K535" i="3"/>
  <c r="L535" i="3"/>
  <c r="M535" i="3"/>
  <c r="J536" i="3"/>
  <c r="K536" i="3"/>
  <c r="L536" i="3"/>
  <c r="M536" i="3"/>
  <c r="J537" i="3"/>
  <c r="K537" i="3"/>
  <c r="L537" i="3"/>
  <c r="M537" i="3"/>
  <c r="J538" i="3"/>
  <c r="K538" i="3"/>
  <c r="L538" i="3"/>
  <c r="M538" i="3"/>
  <c r="J539" i="3"/>
  <c r="K539" i="3"/>
  <c r="L539" i="3"/>
  <c r="M539" i="3"/>
  <c r="J540" i="3"/>
  <c r="K540" i="3"/>
  <c r="L540" i="3"/>
  <c r="M540" i="3"/>
  <c r="J541" i="3"/>
  <c r="K541" i="3"/>
  <c r="L541" i="3"/>
  <c r="M541" i="3"/>
  <c r="J542" i="3"/>
  <c r="K542" i="3"/>
  <c r="L542" i="3"/>
  <c r="M542" i="3"/>
  <c r="J543" i="3"/>
  <c r="K543" i="3"/>
  <c r="L543" i="3"/>
  <c r="M543" i="3"/>
  <c r="J544" i="3"/>
  <c r="K544" i="3"/>
  <c r="L544" i="3"/>
  <c r="M544" i="3"/>
  <c r="J545" i="3"/>
  <c r="K545" i="3"/>
  <c r="L545" i="3"/>
  <c r="M545" i="3"/>
  <c r="J546" i="3"/>
  <c r="K546" i="3"/>
  <c r="L546" i="3"/>
  <c r="M546" i="3"/>
  <c r="J547" i="3"/>
  <c r="K547" i="3"/>
  <c r="L547" i="3"/>
  <c r="M547" i="3"/>
  <c r="J548" i="3"/>
  <c r="K548" i="3"/>
  <c r="L548" i="3"/>
  <c r="M548" i="3"/>
  <c r="J549" i="3"/>
  <c r="K549" i="3"/>
  <c r="L549" i="3"/>
  <c r="M549" i="3"/>
  <c r="J550" i="3"/>
  <c r="K550" i="3"/>
  <c r="L550" i="3"/>
  <c r="M550" i="3"/>
  <c r="J551" i="3"/>
  <c r="K551" i="3"/>
  <c r="L551" i="3"/>
  <c r="M551" i="3"/>
  <c r="J552" i="3"/>
  <c r="K552" i="3"/>
  <c r="L552" i="3"/>
  <c r="M552" i="3"/>
  <c r="J553" i="3"/>
  <c r="K553" i="3"/>
  <c r="L553" i="3"/>
  <c r="M553" i="3"/>
  <c r="J554" i="3"/>
  <c r="K554" i="3"/>
  <c r="L554" i="3"/>
  <c r="M554" i="3"/>
  <c r="J555" i="3"/>
  <c r="K555" i="3"/>
  <c r="L555" i="3"/>
  <c r="M555" i="3"/>
  <c r="J556" i="3"/>
  <c r="K556" i="3"/>
  <c r="L556" i="3"/>
  <c r="M556" i="3"/>
  <c r="J557" i="3"/>
  <c r="K557" i="3"/>
  <c r="L557" i="3"/>
  <c r="M557" i="3"/>
  <c r="J558" i="3"/>
  <c r="K558" i="3"/>
  <c r="L558" i="3"/>
  <c r="M558" i="3"/>
  <c r="J559" i="3"/>
  <c r="K559" i="3"/>
  <c r="L559" i="3"/>
  <c r="M559" i="3"/>
  <c r="J560" i="3"/>
  <c r="K560" i="3"/>
  <c r="L560" i="3"/>
  <c r="M560" i="3"/>
  <c r="J561" i="3"/>
  <c r="K561" i="3"/>
  <c r="L561" i="3"/>
  <c r="M561" i="3"/>
  <c r="J562" i="3"/>
  <c r="K562" i="3"/>
  <c r="L562" i="3"/>
  <c r="M562" i="3"/>
  <c r="J563" i="3"/>
  <c r="K563" i="3"/>
  <c r="L563" i="3"/>
  <c r="M563" i="3"/>
  <c r="J564" i="3"/>
  <c r="K564" i="3"/>
  <c r="L564" i="3"/>
  <c r="M564" i="3"/>
  <c r="J565" i="3"/>
  <c r="K565" i="3"/>
  <c r="L565" i="3"/>
  <c r="M565" i="3"/>
  <c r="J566" i="3"/>
  <c r="K566" i="3"/>
  <c r="L566" i="3"/>
  <c r="M566" i="3"/>
  <c r="J567" i="3"/>
  <c r="K567" i="3"/>
  <c r="L567" i="3"/>
  <c r="M567" i="3"/>
  <c r="J568" i="3"/>
  <c r="K568" i="3"/>
  <c r="L568" i="3"/>
  <c r="M568" i="3"/>
  <c r="J569" i="3"/>
  <c r="K569" i="3"/>
  <c r="L569" i="3"/>
  <c r="M569" i="3"/>
  <c r="J570" i="3"/>
  <c r="K570" i="3"/>
  <c r="L570" i="3"/>
  <c r="M570" i="3"/>
  <c r="J571" i="3"/>
  <c r="K571" i="3"/>
  <c r="L571" i="3"/>
  <c r="M571" i="3"/>
  <c r="J572" i="3"/>
  <c r="K572" i="3"/>
  <c r="L572" i="3"/>
  <c r="M572" i="3"/>
  <c r="J573" i="3"/>
  <c r="K573" i="3"/>
  <c r="L573" i="3"/>
  <c r="M573" i="3"/>
  <c r="J574" i="3"/>
  <c r="K574" i="3"/>
  <c r="L574" i="3"/>
  <c r="M574" i="3"/>
  <c r="J575" i="3"/>
  <c r="K575" i="3"/>
  <c r="L575" i="3"/>
  <c r="M575" i="3"/>
  <c r="J576" i="3"/>
  <c r="K576" i="3"/>
  <c r="L576" i="3"/>
  <c r="M576" i="3"/>
  <c r="J577" i="3"/>
  <c r="K577" i="3"/>
  <c r="L577" i="3"/>
  <c r="M577" i="3"/>
  <c r="J578" i="3"/>
  <c r="K578" i="3"/>
  <c r="L578" i="3"/>
  <c r="M578" i="3"/>
  <c r="J579" i="3"/>
  <c r="K579" i="3"/>
  <c r="L579" i="3"/>
  <c r="M579" i="3"/>
  <c r="J580" i="3"/>
  <c r="K580" i="3"/>
  <c r="L580" i="3"/>
  <c r="M580" i="3"/>
  <c r="J581" i="3"/>
  <c r="K581" i="3"/>
  <c r="L581" i="3"/>
  <c r="M581" i="3"/>
  <c r="J582" i="3"/>
  <c r="K582" i="3"/>
  <c r="L582" i="3"/>
  <c r="M582" i="3"/>
  <c r="J583" i="3"/>
  <c r="K583" i="3"/>
  <c r="L583" i="3"/>
  <c r="M583" i="3"/>
  <c r="J584" i="3"/>
  <c r="K584" i="3"/>
  <c r="L584" i="3"/>
  <c r="M584" i="3"/>
  <c r="J585" i="3"/>
  <c r="K585" i="3"/>
  <c r="L585" i="3"/>
  <c r="M585" i="3"/>
  <c r="J586" i="3"/>
  <c r="K586" i="3"/>
  <c r="L586" i="3"/>
  <c r="M586" i="3"/>
  <c r="J587" i="3"/>
  <c r="K587" i="3"/>
  <c r="L587" i="3"/>
  <c r="M587" i="3"/>
  <c r="J588" i="3"/>
  <c r="K588" i="3"/>
  <c r="L588" i="3"/>
  <c r="M588" i="3"/>
  <c r="J589" i="3"/>
  <c r="K589" i="3"/>
  <c r="L589" i="3"/>
  <c r="M589" i="3"/>
  <c r="J590" i="3"/>
  <c r="K590" i="3"/>
  <c r="L590" i="3"/>
  <c r="M590" i="3"/>
  <c r="J591" i="3"/>
  <c r="K591" i="3"/>
  <c r="L591" i="3"/>
  <c r="M591" i="3"/>
  <c r="J592" i="3"/>
  <c r="K592" i="3"/>
  <c r="L592" i="3"/>
  <c r="M592" i="3"/>
  <c r="J593" i="3"/>
  <c r="K593" i="3"/>
  <c r="L593" i="3"/>
  <c r="M593" i="3"/>
  <c r="J594" i="3"/>
  <c r="K594" i="3"/>
  <c r="L594" i="3"/>
  <c r="M594" i="3"/>
  <c r="J595" i="3"/>
  <c r="K595" i="3"/>
  <c r="L595" i="3"/>
  <c r="M595" i="3"/>
  <c r="J596" i="3"/>
  <c r="K596" i="3"/>
  <c r="L596" i="3"/>
  <c r="M596" i="3"/>
  <c r="J597" i="3"/>
  <c r="K597" i="3"/>
  <c r="L597" i="3"/>
  <c r="M597" i="3"/>
  <c r="J598" i="3"/>
  <c r="K598" i="3"/>
  <c r="L598" i="3"/>
  <c r="M598" i="3"/>
  <c r="J599" i="3"/>
  <c r="K599" i="3"/>
  <c r="L599" i="3"/>
  <c r="M599" i="3"/>
  <c r="J600" i="3"/>
  <c r="K600" i="3"/>
  <c r="L600" i="3"/>
  <c r="M600" i="3"/>
  <c r="J601" i="3"/>
  <c r="K601" i="3"/>
  <c r="L601" i="3"/>
  <c r="M601" i="3"/>
  <c r="J602" i="3"/>
  <c r="K602" i="3"/>
  <c r="L602" i="3"/>
  <c r="M602" i="3"/>
  <c r="J603" i="3"/>
  <c r="K603" i="3"/>
  <c r="L603" i="3"/>
  <c r="M603" i="3"/>
  <c r="J604" i="3"/>
  <c r="K604" i="3"/>
  <c r="L604" i="3"/>
  <c r="M604" i="3"/>
  <c r="J605" i="3"/>
  <c r="K605" i="3"/>
  <c r="L605" i="3"/>
  <c r="M605" i="3"/>
  <c r="J606" i="3"/>
  <c r="K606" i="3"/>
  <c r="L606" i="3"/>
  <c r="M606" i="3"/>
  <c r="J607" i="3"/>
  <c r="K607" i="3"/>
  <c r="L607" i="3"/>
  <c r="M607" i="3"/>
  <c r="J608" i="3"/>
  <c r="K608" i="3"/>
  <c r="L608" i="3"/>
  <c r="M608" i="3"/>
  <c r="J609" i="3"/>
  <c r="K609" i="3"/>
  <c r="L609" i="3"/>
  <c r="M609" i="3"/>
  <c r="J610" i="3"/>
  <c r="K610" i="3"/>
  <c r="L610" i="3"/>
  <c r="M610" i="3"/>
  <c r="J611" i="3"/>
  <c r="K611" i="3"/>
  <c r="L611" i="3"/>
  <c r="M611" i="3"/>
  <c r="J612" i="3"/>
  <c r="K612" i="3"/>
  <c r="L612" i="3"/>
  <c r="M612" i="3"/>
  <c r="J613" i="3"/>
  <c r="K613" i="3"/>
  <c r="L613" i="3"/>
  <c r="M613" i="3"/>
  <c r="J614" i="3"/>
  <c r="K614" i="3"/>
  <c r="L614" i="3"/>
  <c r="M614" i="3"/>
  <c r="J615" i="3"/>
  <c r="K615" i="3"/>
  <c r="L615" i="3"/>
  <c r="M615" i="3"/>
  <c r="J616" i="3"/>
  <c r="K616" i="3"/>
  <c r="L616" i="3"/>
  <c r="M616" i="3"/>
  <c r="J617" i="3"/>
  <c r="K617" i="3"/>
  <c r="L617" i="3"/>
  <c r="M617" i="3"/>
  <c r="J618" i="3"/>
  <c r="K618" i="3"/>
  <c r="L618" i="3"/>
  <c r="M618" i="3"/>
  <c r="J619" i="3"/>
  <c r="K619" i="3"/>
  <c r="L619" i="3"/>
  <c r="M619" i="3"/>
  <c r="J620" i="3"/>
  <c r="K620" i="3"/>
  <c r="L620" i="3"/>
  <c r="M620" i="3"/>
  <c r="J621" i="3"/>
  <c r="K621" i="3"/>
  <c r="L621" i="3"/>
  <c r="M621" i="3"/>
  <c r="J622" i="3"/>
  <c r="K622" i="3"/>
  <c r="L622" i="3"/>
  <c r="M622" i="3"/>
  <c r="J623" i="3"/>
  <c r="K623" i="3"/>
  <c r="L623" i="3"/>
  <c r="M623" i="3"/>
  <c r="J624" i="3"/>
  <c r="K624" i="3"/>
  <c r="L624" i="3"/>
  <c r="M624" i="3"/>
  <c r="J625" i="3"/>
  <c r="K625" i="3"/>
  <c r="L625" i="3"/>
  <c r="M625" i="3"/>
  <c r="J626" i="3"/>
  <c r="K626" i="3"/>
  <c r="L626" i="3"/>
  <c r="M626" i="3"/>
  <c r="J627" i="3"/>
  <c r="K627" i="3"/>
  <c r="L627" i="3"/>
  <c r="M627" i="3"/>
  <c r="J628" i="3"/>
  <c r="K628" i="3"/>
  <c r="L628" i="3"/>
  <c r="M628" i="3"/>
  <c r="J629" i="3"/>
  <c r="K629" i="3"/>
  <c r="L629" i="3"/>
  <c r="M629" i="3"/>
  <c r="J630" i="3"/>
  <c r="K630" i="3"/>
  <c r="L630" i="3"/>
  <c r="M630" i="3"/>
  <c r="J631" i="3"/>
  <c r="K631" i="3"/>
  <c r="L631" i="3"/>
  <c r="M631" i="3"/>
  <c r="J632" i="3"/>
  <c r="K632" i="3"/>
  <c r="L632" i="3"/>
  <c r="M632" i="3"/>
  <c r="J633" i="3"/>
  <c r="K633" i="3"/>
  <c r="L633" i="3"/>
  <c r="M633" i="3"/>
  <c r="J634" i="3"/>
  <c r="K634" i="3"/>
  <c r="L634" i="3"/>
  <c r="M634" i="3"/>
  <c r="J635" i="3"/>
  <c r="K635" i="3"/>
  <c r="L635" i="3"/>
  <c r="M635" i="3"/>
  <c r="J636" i="3"/>
  <c r="K636" i="3"/>
  <c r="L636" i="3"/>
  <c r="M636" i="3"/>
  <c r="J637" i="3"/>
  <c r="K637" i="3"/>
  <c r="L637" i="3"/>
  <c r="M637" i="3"/>
  <c r="J638" i="3"/>
  <c r="K638" i="3"/>
  <c r="L638" i="3"/>
  <c r="M638" i="3"/>
  <c r="J639" i="3"/>
  <c r="K639" i="3"/>
  <c r="L639" i="3"/>
  <c r="M639" i="3"/>
  <c r="J640" i="3"/>
  <c r="K640" i="3"/>
  <c r="L640" i="3"/>
  <c r="M640" i="3"/>
  <c r="J641" i="3"/>
  <c r="K641" i="3"/>
  <c r="L641" i="3"/>
  <c r="M641" i="3"/>
  <c r="J642" i="3"/>
  <c r="K642" i="3"/>
  <c r="L642" i="3"/>
  <c r="M642" i="3"/>
  <c r="J643" i="3"/>
  <c r="K643" i="3"/>
  <c r="L643" i="3"/>
  <c r="M643" i="3"/>
  <c r="J644" i="3"/>
  <c r="K644" i="3"/>
  <c r="L644" i="3"/>
  <c r="M644" i="3"/>
  <c r="J645" i="3"/>
  <c r="K645" i="3"/>
  <c r="L645" i="3"/>
  <c r="M645" i="3"/>
  <c r="J646" i="3"/>
  <c r="K646" i="3"/>
  <c r="L646" i="3"/>
  <c r="M646" i="3"/>
  <c r="J647" i="3"/>
  <c r="K647" i="3"/>
  <c r="L647" i="3"/>
  <c r="M647" i="3"/>
  <c r="J648" i="3"/>
  <c r="K648" i="3"/>
  <c r="L648" i="3"/>
  <c r="M648" i="3"/>
  <c r="J649" i="3"/>
  <c r="K649" i="3"/>
  <c r="L649" i="3"/>
  <c r="M649" i="3"/>
  <c r="J650" i="3"/>
  <c r="K650" i="3"/>
  <c r="L650" i="3"/>
  <c r="M650" i="3"/>
  <c r="J651" i="3"/>
  <c r="K651" i="3"/>
  <c r="L651" i="3"/>
  <c r="M651" i="3"/>
  <c r="J652" i="3"/>
  <c r="K652" i="3"/>
  <c r="L652" i="3"/>
  <c r="M652" i="3"/>
  <c r="J653" i="3"/>
  <c r="K653" i="3"/>
  <c r="L653" i="3"/>
  <c r="M653" i="3"/>
  <c r="J654" i="3"/>
  <c r="K654" i="3"/>
  <c r="L654" i="3"/>
  <c r="M654" i="3"/>
  <c r="J655" i="3"/>
  <c r="K655" i="3"/>
  <c r="L655" i="3"/>
  <c r="M655" i="3"/>
  <c r="J656" i="3"/>
  <c r="K656" i="3"/>
  <c r="L656" i="3"/>
  <c r="M656" i="3"/>
  <c r="J657" i="3"/>
  <c r="K657" i="3"/>
  <c r="L657" i="3"/>
  <c r="M657" i="3"/>
  <c r="J658" i="3"/>
  <c r="K658" i="3"/>
  <c r="L658" i="3"/>
  <c r="M658" i="3"/>
  <c r="J659" i="3"/>
  <c r="K659" i="3"/>
  <c r="L659" i="3"/>
  <c r="M659" i="3"/>
  <c r="J660" i="3"/>
  <c r="K660" i="3"/>
  <c r="L660" i="3"/>
  <c r="M660" i="3"/>
  <c r="J661" i="3"/>
  <c r="K661" i="3"/>
  <c r="L661" i="3"/>
  <c r="M661" i="3"/>
  <c r="J662" i="3"/>
  <c r="K662" i="3"/>
  <c r="L662" i="3"/>
  <c r="M662" i="3"/>
  <c r="J663" i="3"/>
  <c r="K663" i="3"/>
  <c r="L663" i="3"/>
  <c r="M663" i="3"/>
  <c r="J664" i="3"/>
  <c r="K664" i="3"/>
  <c r="L664" i="3"/>
  <c r="M664" i="3"/>
  <c r="J665" i="3"/>
  <c r="K665" i="3"/>
  <c r="L665" i="3"/>
  <c r="M665" i="3"/>
  <c r="J666" i="3"/>
  <c r="K666" i="3"/>
  <c r="L666" i="3"/>
  <c r="M666" i="3"/>
  <c r="J667" i="3"/>
  <c r="K667" i="3"/>
  <c r="L667" i="3"/>
  <c r="M667" i="3"/>
  <c r="J668" i="3"/>
  <c r="K668" i="3"/>
  <c r="L668" i="3"/>
  <c r="M668" i="3"/>
  <c r="J669" i="3"/>
  <c r="K669" i="3"/>
  <c r="L669" i="3"/>
  <c r="M669" i="3"/>
  <c r="J670" i="3"/>
  <c r="K670" i="3"/>
  <c r="L670" i="3"/>
  <c r="M670" i="3"/>
  <c r="J671" i="3"/>
  <c r="K671" i="3"/>
  <c r="L671" i="3"/>
  <c r="M671" i="3"/>
  <c r="J672" i="3"/>
  <c r="K672" i="3"/>
  <c r="L672" i="3"/>
  <c r="M672" i="3"/>
  <c r="J673" i="3"/>
  <c r="K673" i="3"/>
  <c r="L673" i="3"/>
  <c r="M673" i="3"/>
  <c r="J674" i="3"/>
  <c r="K674" i="3"/>
  <c r="L674" i="3"/>
  <c r="M674" i="3"/>
  <c r="J675" i="3"/>
  <c r="K675" i="3"/>
  <c r="L675" i="3"/>
  <c r="M675" i="3"/>
  <c r="J676" i="3"/>
  <c r="K676" i="3"/>
  <c r="L676" i="3"/>
  <c r="M676" i="3"/>
  <c r="J677" i="3"/>
  <c r="K677" i="3"/>
  <c r="L677" i="3"/>
  <c r="M677" i="3"/>
  <c r="J678" i="3"/>
  <c r="K678" i="3"/>
  <c r="L678" i="3"/>
  <c r="M678" i="3"/>
  <c r="J679" i="3"/>
  <c r="K679" i="3"/>
  <c r="L679" i="3"/>
  <c r="M679" i="3"/>
  <c r="J680" i="3"/>
  <c r="K680" i="3"/>
  <c r="L680" i="3"/>
  <c r="M680" i="3"/>
  <c r="J681" i="3"/>
  <c r="K681" i="3"/>
  <c r="L681" i="3"/>
  <c r="M681" i="3"/>
  <c r="J682" i="3"/>
  <c r="K682" i="3"/>
  <c r="L682" i="3"/>
  <c r="M682" i="3"/>
  <c r="J683" i="3"/>
  <c r="K683" i="3"/>
  <c r="L683" i="3"/>
  <c r="M683" i="3"/>
  <c r="J684" i="3"/>
  <c r="K684" i="3"/>
  <c r="L684" i="3"/>
  <c r="M684" i="3"/>
  <c r="J685" i="3"/>
  <c r="K685" i="3"/>
  <c r="L685" i="3"/>
  <c r="M685" i="3"/>
  <c r="J686" i="3"/>
  <c r="K686" i="3"/>
  <c r="L686" i="3"/>
  <c r="M686" i="3"/>
  <c r="J687" i="3"/>
  <c r="K687" i="3"/>
  <c r="L687" i="3"/>
  <c r="M687" i="3"/>
  <c r="J688" i="3"/>
  <c r="K688" i="3"/>
  <c r="L688" i="3"/>
  <c r="M688" i="3"/>
  <c r="J689" i="3"/>
  <c r="K689" i="3"/>
  <c r="L689" i="3"/>
  <c r="M689" i="3"/>
  <c r="J690" i="3"/>
  <c r="K690" i="3"/>
  <c r="L690" i="3"/>
  <c r="M690" i="3"/>
  <c r="J691" i="3"/>
  <c r="K691" i="3"/>
  <c r="L691" i="3"/>
  <c r="M691" i="3"/>
  <c r="J692" i="3"/>
  <c r="K692" i="3"/>
  <c r="L692" i="3"/>
  <c r="M692" i="3"/>
  <c r="J693" i="3"/>
  <c r="K693" i="3"/>
  <c r="L693" i="3"/>
  <c r="M693" i="3"/>
  <c r="J694" i="3"/>
  <c r="K694" i="3"/>
  <c r="L694" i="3"/>
  <c r="M694" i="3"/>
  <c r="J695" i="3"/>
  <c r="K695" i="3"/>
  <c r="L695" i="3"/>
  <c r="M695" i="3"/>
  <c r="J696" i="3"/>
  <c r="K696" i="3"/>
  <c r="L696" i="3"/>
  <c r="M696" i="3"/>
  <c r="J697" i="3"/>
  <c r="K697" i="3"/>
  <c r="L697" i="3"/>
  <c r="M697" i="3"/>
  <c r="J698" i="3"/>
  <c r="K698" i="3"/>
  <c r="L698" i="3"/>
  <c r="M698" i="3"/>
  <c r="J699" i="3"/>
  <c r="K699" i="3"/>
  <c r="L699" i="3"/>
  <c r="M699" i="3"/>
  <c r="J700" i="3"/>
  <c r="K700" i="3"/>
  <c r="L700" i="3"/>
  <c r="M700" i="3"/>
  <c r="J701" i="3"/>
  <c r="K701" i="3"/>
  <c r="L701" i="3"/>
  <c r="M701" i="3"/>
  <c r="J702" i="3"/>
  <c r="K702" i="3"/>
  <c r="L702" i="3"/>
  <c r="M702" i="3"/>
  <c r="J703" i="3"/>
  <c r="K703" i="3"/>
  <c r="L703" i="3"/>
  <c r="M703" i="3"/>
  <c r="J704" i="3"/>
  <c r="K704" i="3"/>
  <c r="L704" i="3"/>
  <c r="M704" i="3"/>
  <c r="J705" i="3"/>
  <c r="K705" i="3"/>
  <c r="L705" i="3"/>
  <c r="M705" i="3"/>
  <c r="J706" i="3"/>
  <c r="K706" i="3"/>
  <c r="L706" i="3"/>
  <c r="M706" i="3"/>
  <c r="J707" i="3"/>
  <c r="K707" i="3"/>
  <c r="L707" i="3"/>
  <c r="M707" i="3"/>
  <c r="J708" i="3"/>
  <c r="K708" i="3"/>
  <c r="L708" i="3"/>
  <c r="M708" i="3"/>
  <c r="J709" i="3"/>
  <c r="K709" i="3"/>
  <c r="L709" i="3"/>
  <c r="M709" i="3"/>
  <c r="J710" i="3"/>
  <c r="K710" i="3"/>
  <c r="L710" i="3"/>
  <c r="M710" i="3"/>
  <c r="J711" i="3"/>
  <c r="K711" i="3"/>
  <c r="L711" i="3"/>
  <c r="M711" i="3"/>
  <c r="J712" i="3"/>
  <c r="K712" i="3"/>
  <c r="L712" i="3"/>
  <c r="M712" i="3"/>
  <c r="J713" i="3"/>
  <c r="K713" i="3"/>
  <c r="L713" i="3"/>
  <c r="M713" i="3"/>
  <c r="J714" i="3"/>
  <c r="K714" i="3"/>
  <c r="L714" i="3"/>
  <c r="M714" i="3"/>
  <c r="J715" i="3"/>
  <c r="K715" i="3"/>
  <c r="L715" i="3"/>
  <c r="M715" i="3"/>
  <c r="J716" i="3"/>
  <c r="K716" i="3"/>
  <c r="L716" i="3"/>
  <c r="M716" i="3"/>
  <c r="J717" i="3"/>
  <c r="K717" i="3"/>
  <c r="L717" i="3"/>
  <c r="M717" i="3"/>
  <c r="J718" i="3"/>
  <c r="K718" i="3"/>
  <c r="L718" i="3"/>
  <c r="M718" i="3"/>
  <c r="J719" i="3"/>
  <c r="K719" i="3"/>
  <c r="L719" i="3"/>
  <c r="M719" i="3"/>
  <c r="J720" i="3"/>
  <c r="K720" i="3"/>
  <c r="L720" i="3"/>
  <c r="M720" i="3"/>
  <c r="J721" i="3"/>
  <c r="K721" i="3"/>
  <c r="L721" i="3"/>
  <c r="M721" i="3"/>
  <c r="J722" i="3"/>
  <c r="K722" i="3"/>
  <c r="L722" i="3"/>
  <c r="M722" i="3"/>
  <c r="J723" i="3"/>
  <c r="K723" i="3"/>
  <c r="L723" i="3"/>
  <c r="M723" i="3"/>
  <c r="J724" i="3"/>
  <c r="K724" i="3"/>
  <c r="L724" i="3"/>
  <c r="M724" i="3"/>
  <c r="J725" i="3"/>
  <c r="K725" i="3"/>
  <c r="L725" i="3"/>
  <c r="M725" i="3"/>
  <c r="J726" i="3"/>
  <c r="K726" i="3"/>
  <c r="L726" i="3"/>
  <c r="M726" i="3"/>
  <c r="J727" i="3"/>
  <c r="K727" i="3"/>
  <c r="L727" i="3"/>
  <c r="M727" i="3"/>
  <c r="J728" i="3"/>
  <c r="K728" i="3"/>
  <c r="L728" i="3"/>
  <c r="M728" i="3"/>
  <c r="J729" i="3"/>
  <c r="K729" i="3"/>
  <c r="L729" i="3"/>
  <c r="M729" i="3"/>
  <c r="J730" i="3"/>
  <c r="K730" i="3"/>
  <c r="L730" i="3"/>
  <c r="M730" i="3"/>
  <c r="J731" i="3"/>
  <c r="K731" i="3"/>
  <c r="L731" i="3"/>
  <c r="M731" i="3"/>
  <c r="J732" i="3"/>
  <c r="K732" i="3"/>
  <c r="L732" i="3"/>
  <c r="M732" i="3"/>
  <c r="J733" i="3"/>
  <c r="K733" i="3"/>
  <c r="L733" i="3"/>
  <c r="M733" i="3"/>
  <c r="J734" i="3"/>
  <c r="K734" i="3"/>
  <c r="L734" i="3"/>
  <c r="M734" i="3"/>
  <c r="J735" i="3"/>
  <c r="K735" i="3"/>
  <c r="L735" i="3"/>
  <c r="M735" i="3"/>
  <c r="J736" i="3"/>
  <c r="K736" i="3"/>
  <c r="L736" i="3"/>
  <c r="M736" i="3"/>
  <c r="J737" i="3"/>
  <c r="K737" i="3"/>
  <c r="L737" i="3"/>
  <c r="M737" i="3"/>
  <c r="J738" i="3"/>
  <c r="K738" i="3"/>
  <c r="L738" i="3"/>
  <c r="M738" i="3"/>
  <c r="J739" i="3"/>
  <c r="K739" i="3"/>
  <c r="L739" i="3"/>
  <c r="M739" i="3"/>
  <c r="J740" i="3"/>
  <c r="K740" i="3"/>
  <c r="L740" i="3"/>
  <c r="M740" i="3"/>
  <c r="J741" i="3"/>
  <c r="K741" i="3"/>
  <c r="L741" i="3"/>
  <c r="M741" i="3"/>
  <c r="J742" i="3"/>
  <c r="K742" i="3"/>
  <c r="L742" i="3"/>
  <c r="M742" i="3"/>
  <c r="J743" i="3"/>
  <c r="K743" i="3"/>
  <c r="L743" i="3"/>
  <c r="M743" i="3"/>
  <c r="J744" i="3"/>
  <c r="K744" i="3"/>
  <c r="L744" i="3"/>
  <c r="M744" i="3"/>
  <c r="J745" i="3"/>
  <c r="K745" i="3"/>
  <c r="L745" i="3"/>
  <c r="M745" i="3"/>
  <c r="J746" i="3"/>
  <c r="K746" i="3"/>
  <c r="L746" i="3"/>
  <c r="M746" i="3"/>
  <c r="J747" i="3"/>
  <c r="K747" i="3"/>
  <c r="L747" i="3"/>
  <c r="M747" i="3"/>
  <c r="J748" i="3"/>
  <c r="K748" i="3"/>
  <c r="L748" i="3"/>
  <c r="M748" i="3"/>
  <c r="J749" i="3"/>
  <c r="K749" i="3"/>
  <c r="L749" i="3"/>
  <c r="M749" i="3"/>
  <c r="J750" i="3"/>
  <c r="K750" i="3"/>
  <c r="L750" i="3"/>
  <c r="M750" i="3"/>
  <c r="J751" i="3"/>
  <c r="K751" i="3"/>
  <c r="L751" i="3"/>
  <c r="M751" i="3"/>
  <c r="J752" i="3"/>
  <c r="K752" i="3"/>
  <c r="L752" i="3"/>
  <c r="M752" i="3"/>
  <c r="J753" i="3"/>
  <c r="K753" i="3"/>
  <c r="L753" i="3"/>
  <c r="M753" i="3"/>
  <c r="J754" i="3"/>
  <c r="K754" i="3"/>
  <c r="L754" i="3"/>
  <c r="M754" i="3"/>
  <c r="J755" i="3"/>
  <c r="K755" i="3"/>
  <c r="L755" i="3"/>
  <c r="M755" i="3"/>
  <c r="J756" i="3"/>
  <c r="K756" i="3"/>
  <c r="L756" i="3"/>
  <c r="M756" i="3"/>
  <c r="J757" i="3"/>
  <c r="K757" i="3"/>
  <c r="L757" i="3"/>
  <c r="M757" i="3"/>
  <c r="J758" i="3"/>
  <c r="K758" i="3"/>
  <c r="L758" i="3"/>
  <c r="M758" i="3"/>
  <c r="J759" i="3"/>
  <c r="K759" i="3"/>
  <c r="L759" i="3"/>
  <c r="M759" i="3"/>
  <c r="J760" i="3"/>
  <c r="K760" i="3"/>
  <c r="L760" i="3"/>
  <c r="M760" i="3"/>
  <c r="J761" i="3"/>
  <c r="K761" i="3"/>
  <c r="L761" i="3"/>
  <c r="M761" i="3"/>
  <c r="J762" i="3"/>
  <c r="K762" i="3"/>
  <c r="L762" i="3"/>
  <c r="M762" i="3"/>
  <c r="J763" i="3"/>
  <c r="K763" i="3"/>
  <c r="L763" i="3"/>
  <c r="M763" i="3"/>
  <c r="J764" i="3"/>
  <c r="K764" i="3"/>
  <c r="L764" i="3"/>
  <c r="M764" i="3"/>
  <c r="J765" i="3"/>
  <c r="K765" i="3"/>
  <c r="L765" i="3"/>
  <c r="M765" i="3"/>
  <c r="J766" i="3"/>
  <c r="K766" i="3"/>
  <c r="L766" i="3"/>
  <c r="M766" i="3"/>
  <c r="J767" i="3"/>
  <c r="K767" i="3"/>
  <c r="L767" i="3"/>
  <c r="M767" i="3"/>
  <c r="J768" i="3"/>
  <c r="K768" i="3"/>
  <c r="L768" i="3"/>
  <c r="M768" i="3"/>
  <c r="J769" i="3"/>
  <c r="K769" i="3"/>
  <c r="L769" i="3"/>
  <c r="M769" i="3"/>
  <c r="J770" i="3"/>
  <c r="K770" i="3"/>
  <c r="L770" i="3"/>
  <c r="M770" i="3"/>
  <c r="J771" i="3"/>
  <c r="K771" i="3"/>
  <c r="L771" i="3"/>
  <c r="M771" i="3"/>
  <c r="J772" i="3"/>
  <c r="K772" i="3"/>
  <c r="L772" i="3"/>
  <c r="M772" i="3"/>
  <c r="J773" i="3"/>
  <c r="K773" i="3"/>
  <c r="L773" i="3"/>
  <c r="M773" i="3"/>
  <c r="J774" i="3"/>
  <c r="K774" i="3"/>
  <c r="L774" i="3"/>
  <c r="M774" i="3"/>
  <c r="J775" i="3"/>
  <c r="K775" i="3"/>
  <c r="L775" i="3"/>
  <c r="M775" i="3"/>
  <c r="J776" i="3"/>
  <c r="K776" i="3"/>
  <c r="L776" i="3"/>
  <c r="M776" i="3"/>
  <c r="J777" i="3"/>
  <c r="K777" i="3"/>
  <c r="L777" i="3"/>
  <c r="M777" i="3"/>
  <c r="J778" i="3"/>
  <c r="K778" i="3"/>
  <c r="L778" i="3"/>
  <c r="M778" i="3"/>
  <c r="J779" i="3"/>
  <c r="K779" i="3"/>
  <c r="L779" i="3"/>
  <c r="M779" i="3"/>
  <c r="J780" i="3"/>
  <c r="K780" i="3"/>
  <c r="L780" i="3"/>
  <c r="M780" i="3"/>
  <c r="J781" i="3"/>
  <c r="K781" i="3"/>
  <c r="L781" i="3"/>
  <c r="M781" i="3"/>
  <c r="J782" i="3"/>
  <c r="K782" i="3"/>
  <c r="L782" i="3"/>
  <c r="M782" i="3"/>
  <c r="J783" i="3"/>
  <c r="K783" i="3"/>
  <c r="L783" i="3"/>
  <c r="M783" i="3"/>
  <c r="J784" i="3"/>
  <c r="K784" i="3"/>
  <c r="L784" i="3"/>
  <c r="M784" i="3"/>
  <c r="J785" i="3"/>
  <c r="K785" i="3"/>
  <c r="L785" i="3"/>
  <c r="M785" i="3"/>
  <c r="J786" i="3"/>
  <c r="K786" i="3"/>
  <c r="L786" i="3"/>
  <c r="M786" i="3"/>
  <c r="J787" i="3"/>
  <c r="K787" i="3"/>
  <c r="L787" i="3"/>
  <c r="M787" i="3"/>
  <c r="J788" i="3"/>
  <c r="K788" i="3"/>
  <c r="L788" i="3"/>
  <c r="M788" i="3"/>
  <c r="J789" i="3"/>
  <c r="K789" i="3"/>
  <c r="L789" i="3"/>
  <c r="M789" i="3"/>
  <c r="J790" i="3"/>
  <c r="K790" i="3"/>
  <c r="L790" i="3"/>
  <c r="M790" i="3"/>
  <c r="J791" i="3"/>
  <c r="K791" i="3"/>
  <c r="L791" i="3"/>
  <c r="M791" i="3"/>
  <c r="J792" i="3"/>
  <c r="K792" i="3"/>
  <c r="L792" i="3"/>
  <c r="M792" i="3"/>
  <c r="J793" i="3"/>
  <c r="K793" i="3"/>
  <c r="L793" i="3"/>
  <c r="M793" i="3"/>
  <c r="J794" i="3"/>
  <c r="K794" i="3"/>
  <c r="L794" i="3"/>
  <c r="M794" i="3"/>
  <c r="J795" i="3"/>
  <c r="K795" i="3"/>
  <c r="L795" i="3"/>
  <c r="M795" i="3"/>
  <c r="J796" i="3"/>
  <c r="K796" i="3"/>
  <c r="L796" i="3"/>
  <c r="M796" i="3"/>
  <c r="J797" i="3"/>
  <c r="K797" i="3"/>
  <c r="L797" i="3"/>
  <c r="M797" i="3"/>
  <c r="J798" i="3"/>
  <c r="K798" i="3"/>
  <c r="L798" i="3"/>
  <c r="M798" i="3"/>
  <c r="J799" i="3"/>
  <c r="K799" i="3"/>
  <c r="L799" i="3"/>
  <c r="M799" i="3"/>
  <c r="J800" i="3"/>
  <c r="K800" i="3"/>
  <c r="L800" i="3"/>
  <c r="M800" i="3"/>
  <c r="J801" i="3"/>
  <c r="K801" i="3"/>
  <c r="L801" i="3"/>
  <c r="M801" i="3"/>
  <c r="J802" i="3"/>
  <c r="K802" i="3"/>
  <c r="L802" i="3"/>
  <c r="M802" i="3"/>
  <c r="J803" i="3"/>
  <c r="K803" i="3"/>
  <c r="L803" i="3"/>
  <c r="M803" i="3"/>
  <c r="J804" i="3"/>
  <c r="K804" i="3"/>
  <c r="L804" i="3"/>
  <c r="M804" i="3"/>
  <c r="J805" i="3"/>
  <c r="K805" i="3"/>
  <c r="L805" i="3"/>
  <c r="M805" i="3"/>
  <c r="J806" i="3"/>
  <c r="K806" i="3"/>
  <c r="L806" i="3"/>
  <c r="M806" i="3"/>
  <c r="J807" i="3"/>
  <c r="K807" i="3"/>
  <c r="L807" i="3"/>
  <c r="M807" i="3"/>
  <c r="J808" i="3"/>
  <c r="K808" i="3"/>
  <c r="L808" i="3"/>
  <c r="M808" i="3"/>
  <c r="J809" i="3"/>
  <c r="K809" i="3"/>
  <c r="L809" i="3"/>
  <c r="M809" i="3"/>
  <c r="J810" i="3"/>
  <c r="K810" i="3"/>
  <c r="L810" i="3"/>
  <c r="M810" i="3"/>
  <c r="J811" i="3"/>
  <c r="K811" i="3"/>
  <c r="L811" i="3"/>
  <c r="M811" i="3"/>
  <c r="J812" i="3"/>
  <c r="K812" i="3"/>
  <c r="L812" i="3"/>
  <c r="M812" i="3"/>
  <c r="J813" i="3"/>
  <c r="K813" i="3"/>
  <c r="L813" i="3"/>
  <c r="M813" i="3"/>
  <c r="J814" i="3"/>
  <c r="K814" i="3"/>
  <c r="L814" i="3"/>
  <c r="M814" i="3"/>
  <c r="J815" i="3"/>
  <c r="K815" i="3"/>
  <c r="L815" i="3"/>
  <c r="M815" i="3"/>
  <c r="J816" i="3"/>
  <c r="K816" i="3"/>
  <c r="L816" i="3"/>
  <c r="M816" i="3"/>
  <c r="J817" i="3"/>
  <c r="K817" i="3"/>
  <c r="L817" i="3"/>
  <c r="M817" i="3"/>
  <c r="J818" i="3"/>
  <c r="K818" i="3"/>
  <c r="L818" i="3"/>
  <c r="M818" i="3"/>
  <c r="J819" i="3"/>
  <c r="K819" i="3"/>
  <c r="L819" i="3"/>
  <c r="M819" i="3"/>
  <c r="J820" i="3"/>
  <c r="K820" i="3"/>
  <c r="L820" i="3"/>
  <c r="M820" i="3"/>
  <c r="J821" i="3"/>
  <c r="K821" i="3"/>
  <c r="L821" i="3"/>
  <c r="M821" i="3"/>
  <c r="J822" i="3"/>
  <c r="K822" i="3"/>
  <c r="L822" i="3"/>
  <c r="M822" i="3"/>
  <c r="J823" i="3"/>
  <c r="K823" i="3"/>
  <c r="L823" i="3"/>
  <c r="M823" i="3"/>
  <c r="J824" i="3"/>
  <c r="K824" i="3"/>
  <c r="L824" i="3"/>
  <c r="M824" i="3"/>
  <c r="J825" i="3"/>
  <c r="K825" i="3"/>
  <c r="L825" i="3"/>
  <c r="M825" i="3"/>
  <c r="J826" i="3"/>
  <c r="K826" i="3"/>
  <c r="L826" i="3"/>
  <c r="M826" i="3"/>
  <c r="J827" i="3"/>
  <c r="K827" i="3"/>
  <c r="L827" i="3"/>
  <c r="M827" i="3"/>
  <c r="J828" i="3"/>
  <c r="K828" i="3"/>
  <c r="L828" i="3"/>
  <c r="M828" i="3"/>
  <c r="J829" i="3"/>
  <c r="K829" i="3"/>
  <c r="L829" i="3"/>
  <c r="M829" i="3"/>
  <c r="J830" i="3"/>
  <c r="K830" i="3"/>
  <c r="L830" i="3"/>
  <c r="M830" i="3"/>
  <c r="J831" i="3"/>
  <c r="K831" i="3"/>
  <c r="L831" i="3"/>
  <c r="M831" i="3"/>
  <c r="J832" i="3"/>
  <c r="K832" i="3"/>
  <c r="L832" i="3"/>
  <c r="M832" i="3"/>
  <c r="J833" i="3"/>
  <c r="K833" i="3"/>
  <c r="L833" i="3"/>
  <c r="M833" i="3"/>
  <c r="J834" i="3"/>
  <c r="K834" i="3"/>
  <c r="L834" i="3"/>
  <c r="M834" i="3"/>
  <c r="J835" i="3"/>
  <c r="K835" i="3"/>
  <c r="L835" i="3"/>
  <c r="M835" i="3"/>
  <c r="J836" i="3"/>
  <c r="K836" i="3"/>
  <c r="L836" i="3"/>
  <c r="M836" i="3"/>
  <c r="J837" i="3"/>
  <c r="K837" i="3"/>
  <c r="L837" i="3"/>
  <c r="M837" i="3"/>
  <c r="J838" i="3"/>
  <c r="K838" i="3"/>
  <c r="L838" i="3"/>
  <c r="M838" i="3"/>
  <c r="J839" i="3"/>
  <c r="K839" i="3"/>
  <c r="L839" i="3"/>
  <c r="M839" i="3"/>
  <c r="J840" i="3"/>
  <c r="K840" i="3"/>
  <c r="L840" i="3"/>
  <c r="M840" i="3"/>
  <c r="J841" i="3"/>
  <c r="K841" i="3"/>
  <c r="L841" i="3"/>
  <c r="M841" i="3"/>
  <c r="J842" i="3"/>
  <c r="K842" i="3"/>
  <c r="L842" i="3"/>
  <c r="M842" i="3"/>
  <c r="J843" i="3"/>
  <c r="K843" i="3"/>
  <c r="L843" i="3"/>
  <c r="M843" i="3"/>
  <c r="J844" i="3"/>
  <c r="K844" i="3"/>
  <c r="L844" i="3"/>
  <c r="M844" i="3"/>
  <c r="J845" i="3"/>
  <c r="K845" i="3"/>
  <c r="L845" i="3"/>
  <c r="M845" i="3"/>
  <c r="J846" i="3"/>
  <c r="K846" i="3"/>
  <c r="L846" i="3"/>
  <c r="M846" i="3"/>
  <c r="J847" i="3"/>
  <c r="K847" i="3"/>
  <c r="L847" i="3"/>
  <c r="M847" i="3"/>
  <c r="J848" i="3"/>
  <c r="K848" i="3"/>
  <c r="L848" i="3"/>
  <c r="M848" i="3"/>
  <c r="J849" i="3"/>
  <c r="K849" i="3"/>
  <c r="L849" i="3"/>
  <c r="M849" i="3"/>
  <c r="J850" i="3"/>
  <c r="K850" i="3"/>
  <c r="L850" i="3"/>
  <c r="M850" i="3"/>
  <c r="J851" i="3"/>
  <c r="K851" i="3"/>
  <c r="L851" i="3"/>
  <c r="M851" i="3"/>
  <c r="J852" i="3"/>
  <c r="K852" i="3"/>
  <c r="L852" i="3"/>
  <c r="M852" i="3"/>
  <c r="J853" i="3"/>
  <c r="K853" i="3"/>
  <c r="L853" i="3"/>
  <c r="M853" i="3"/>
  <c r="J854" i="3"/>
  <c r="K854" i="3"/>
  <c r="L854" i="3"/>
  <c r="M854" i="3"/>
  <c r="J855" i="3"/>
  <c r="K855" i="3"/>
  <c r="L855" i="3"/>
  <c r="M855" i="3"/>
  <c r="J856" i="3"/>
  <c r="K856" i="3"/>
  <c r="L856" i="3"/>
  <c r="M856" i="3"/>
  <c r="J857" i="3"/>
  <c r="K857" i="3"/>
  <c r="L857" i="3"/>
  <c r="M857" i="3"/>
  <c r="J858" i="3"/>
  <c r="K858" i="3"/>
  <c r="L858" i="3"/>
  <c r="M858" i="3"/>
  <c r="J859" i="3"/>
  <c r="K859" i="3"/>
  <c r="L859" i="3"/>
  <c r="M859" i="3"/>
  <c r="J860" i="3"/>
  <c r="K860" i="3"/>
  <c r="L860" i="3"/>
  <c r="M860" i="3"/>
  <c r="J861" i="3"/>
  <c r="K861" i="3"/>
  <c r="L861" i="3"/>
  <c r="M861" i="3"/>
  <c r="J862" i="3"/>
  <c r="K862" i="3"/>
  <c r="L862" i="3"/>
  <c r="M862" i="3"/>
  <c r="J863" i="3"/>
  <c r="K863" i="3"/>
  <c r="L863" i="3"/>
  <c r="M863" i="3"/>
  <c r="J864" i="3"/>
  <c r="K864" i="3"/>
  <c r="L864" i="3"/>
  <c r="M864" i="3"/>
  <c r="J865" i="3"/>
  <c r="K865" i="3"/>
  <c r="L865" i="3"/>
  <c r="M865" i="3"/>
  <c r="J866" i="3"/>
  <c r="K866" i="3"/>
  <c r="L866" i="3"/>
  <c r="M866" i="3"/>
  <c r="J867" i="3"/>
  <c r="K867" i="3"/>
  <c r="L867" i="3"/>
  <c r="M867" i="3"/>
  <c r="J868" i="3"/>
  <c r="K868" i="3"/>
  <c r="L868" i="3"/>
  <c r="M868" i="3"/>
  <c r="J869" i="3"/>
  <c r="K869" i="3"/>
  <c r="L869" i="3"/>
  <c r="M869" i="3"/>
  <c r="J870" i="3"/>
  <c r="K870" i="3"/>
  <c r="L870" i="3"/>
  <c r="M870" i="3"/>
  <c r="J871" i="3"/>
  <c r="K871" i="3"/>
  <c r="L871" i="3"/>
  <c r="M871" i="3"/>
  <c r="J872" i="3"/>
  <c r="K872" i="3"/>
  <c r="L872" i="3"/>
  <c r="M872" i="3"/>
  <c r="J873" i="3"/>
  <c r="K873" i="3"/>
  <c r="L873" i="3"/>
  <c r="M873" i="3"/>
  <c r="J874" i="3"/>
  <c r="K874" i="3"/>
  <c r="L874" i="3"/>
  <c r="M874" i="3"/>
  <c r="J875" i="3"/>
  <c r="K875" i="3"/>
  <c r="L875" i="3"/>
  <c r="M875" i="3"/>
  <c r="J876" i="3"/>
  <c r="K876" i="3"/>
  <c r="L876" i="3"/>
  <c r="M876" i="3"/>
  <c r="J877" i="3"/>
  <c r="K877" i="3"/>
  <c r="L877" i="3"/>
  <c r="M877" i="3"/>
  <c r="J878" i="3"/>
  <c r="K878" i="3"/>
  <c r="L878" i="3"/>
  <c r="M878" i="3"/>
  <c r="J879" i="3"/>
  <c r="K879" i="3"/>
  <c r="L879" i="3"/>
  <c r="M879" i="3"/>
  <c r="J880" i="3"/>
  <c r="K880" i="3"/>
  <c r="L880" i="3"/>
  <c r="M880" i="3"/>
  <c r="J881" i="3"/>
  <c r="K881" i="3"/>
  <c r="L881" i="3"/>
  <c r="M881" i="3"/>
  <c r="J882" i="3"/>
  <c r="K882" i="3"/>
  <c r="L882" i="3"/>
  <c r="M882" i="3"/>
  <c r="J883" i="3"/>
  <c r="K883" i="3"/>
  <c r="L883" i="3"/>
  <c r="M883" i="3"/>
  <c r="J884" i="3"/>
  <c r="K884" i="3"/>
  <c r="L884" i="3"/>
  <c r="M884" i="3"/>
  <c r="J885" i="3"/>
  <c r="K885" i="3"/>
  <c r="L885" i="3"/>
  <c r="M885" i="3"/>
  <c r="J886" i="3"/>
  <c r="K886" i="3"/>
  <c r="L886" i="3"/>
  <c r="M886" i="3"/>
  <c r="J887" i="3"/>
  <c r="K887" i="3"/>
  <c r="L887" i="3"/>
  <c r="M887" i="3"/>
  <c r="J888" i="3"/>
  <c r="K888" i="3"/>
  <c r="L888" i="3"/>
  <c r="M888" i="3"/>
  <c r="J889" i="3"/>
  <c r="K889" i="3"/>
  <c r="L889" i="3"/>
  <c r="M889" i="3"/>
  <c r="J890" i="3"/>
  <c r="K890" i="3"/>
  <c r="L890" i="3"/>
  <c r="M890" i="3"/>
  <c r="J891" i="3"/>
  <c r="K891" i="3"/>
  <c r="L891" i="3"/>
  <c r="M891" i="3"/>
  <c r="J892" i="3"/>
  <c r="K892" i="3"/>
  <c r="L892" i="3"/>
  <c r="M892" i="3"/>
  <c r="J893" i="3"/>
  <c r="K893" i="3"/>
  <c r="L893" i="3"/>
  <c r="M893" i="3"/>
  <c r="J894" i="3"/>
  <c r="K894" i="3"/>
  <c r="L894" i="3"/>
  <c r="M894" i="3"/>
  <c r="J895" i="3"/>
  <c r="K895" i="3"/>
  <c r="L895" i="3"/>
  <c r="M895" i="3"/>
  <c r="J896" i="3"/>
  <c r="K896" i="3"/>
  <c r="L896" i="3"/>
  <c r="M896" i="3"/>
  <c r="J897" i="3"/>
  <c r="K897" i="3"/>
  <c r="L897" i="3"/>
  <c r="M897" i="3"/>
  <c r="J898" i="3"/>
  <c r="K898" i="3"/>
  <c r="L898" i="3"/>
  <c r="M898" i="3"/>
  <c r="J899" i="3"/>
  <c r="K899" i="3"/>
  <c r="L899" i="3"/>
  <c r="M899" i="3"/>
  <c r="J900" i="3"/>
  <c r="K900" i="3"/>
  <c r="L900" i="3"/>
  <c r="M900" i="3"/>
  <c r="J901" i="3"/>
  <c r="K901" i="3"/>
  <c r="L901" i="3"/>
  <c r="M901" i="3"/>
  <c r="J902" i="3"/>
  <c r="K902" i="3"/>
  <c r="L902" i="3"/>
  <c r="M902" i="3"/>
  <c r="J903" i="3"/>
  <c r="K903" i="3"/>
  <c r="L903" i="3"/>
  <c r="M903" i="3"/>
  <c r="J904" i="3"/>
  <c r="K904" i="3"/>
  <c r="L904" i="3"/>
  <c r="M904" i="3"/>
  <c r="J905" i="3"/>
  <c r="K905" i="3"/>
  <c r="L905" i="3"/>
  <c r="M905" i="3"/>
  <c r="J906" i="3"/>
  <c r="K906" i="3"/>
  <c r="L906" i="3"/>
  <c r="M906" i="3"/>
  <c r="J907" i="3"/>
  <c r="K907" i="3"/>
  <c r="L907" i="3"/>
  <c r="M907" i="3"/>
  <c r="J908" i="3"/>
  <c r="K908" i="3"/>
  <c r="L908" i="3"/>
  <c r="M908" i="3"/>
  <c r="J909" i="3"/>
  <c r="K909" i="3"/>
  <c r="L909" i="3"/>
  <c r="M909" i="3"/>
  <c r="J910" i="3"/>
  <c r="K910" i="3"/>
  <c r="L910" i="3"/>
  <c r="M910" i="3"/>
  <c r="J911" i="3"/>
  <c r="K911" i="3"/>
  <c r="L911" i="3"/>
  <c r="M911" i="3"/>
  <c r="J912" i="3"/>
  <c r="K912" i="3"/>
  <c r="L912" i="3"/>
  <c r="M912" i="3"/>
  <c r="J913" i="3"/>
  <c r="K913" i="3"/>
  <c r="L913" i="3"/>
  <c r="M913" i="3"/>
  <c r="J914" i="3"/>
  <c r="K914" i="3"/>
  <c r="L914" i="3"/>
  <c r="M914" i="3"/>
  <c r="J915" i="3"/>
  <c r="K915" i="3"/>
  <c r="L915" i="3"/>
  <c r="M915" i="3"/>
  <c r="J916" i="3"/>
  <c r="K916" i="3"/>
  <c r="L916" i="3"/>
  <c r="M916" i="3"/>
  <c r="J917" i="3"/>
  <c r="K917" i="3"/>
  <c r="L917" i="3"/>
  <c r="M917" i="3"/>
  <c r="J918" i="3"/>
  <c r="K918" i="3"/>
  <c r="L918" i="3"/>
  <c r="M918" i="3"/>
  <c r="J919" i="3"/>
  <c r="K919" i="3"/>
  <c r="L919" i="3"/>
  <c r="M919" i="3"/>
  <c r="J920" i="3"/>
  <c r="K920" i="3"/>
  <c r="L920" i="3"/>
  <c r="M920" i="3"/>
  <c r="J921" i="3"/>
  <c r="K921" i="3"/>
  <c r="L921" i="3"/>
  <c r="M921" i="3"/>
  <c r="J922" i="3"/>
  <c r="K922" i="3"/>
  <c r="L922" i="3"/>
  <c r="M922" i="3"/>
  <c r="J923" i="3"/>
  <c r="K923" i="3"/>
  <c r="L923" i="3"/>
  <c r="M923" i="3"/>
  <c r="J924" i="3"/>
  <c r="K924" i="3"/>
  <c r="L924" i="3"/>
  <c r="M924" i="3"/>
  <c r="J925" i="3"/>
  <c r="K925" i="3"/>
  <c r="L925" i="3"/>
  <c r="M925" i="3"/>
  <c r="J926" i="3"/>
  <c r="K926" i="3"/>
  <c r="L926" i="3"/>
  <c r="M926" i="3"/>
  <c r="J927" i="3"/>
  <c r="K927" i="3"/>
  <c r="L927" i="3"/>
  <c r="M927" i="3"/>
  <c r="J928" i="3"/>
  <c r="K928" i="3"/>
  <c r="L928" i="3"/>
  <c r="M928" i="3"/>
  <c r="J929" i="3"/>
  <c r="K929" i="3"/>
  <c r="L929" i="3"/>
  <c r="M929" i="3"/>
  <c r="J930" i="3"/>
  <c r="K930" i="3"/>
  <c r="L930" i="3"/>
  <c r="M930" i="3"/>
  <c r="J931" i="3"/>
  <c r="K931" i="3"/>
  <c r="L931" i="3"/>
  <c r="M931" i="3"/>
  <c r="J932" i="3"/>
  <c r="K932" i="3"/>
  <c r="L932" i="3"/>
  <c r="M932" i="3"/>
  <c r="J933" i="3"/>
  <c r="K933" i="3"/>
  <c r="L933" i="3"/>
  <c r="M933" i="3"/>
  <c r="J934" i="3"/>
  <c r="K934" i="3"/>
  <c r="L934" i="3"/>
  <c r="M934" i="3"/>
  <c r="J935" i="3"/>
  <c r="K935" i="3"/>
  <c r="L935" i="3"/>
  <c r="M935" i="3"/>
  <c r="J936" i="3"/>
  <c r="K936" i="3"/>
  <c r="L936" i="3"/>
  <c r="M936" i="3"/>
  <c r="J937" i="3"/>
  <c r="K937" i="3"/>
  <c r="L937" i="3"/>
  <c r="M937" i="3"/>
  <c r="J938" i="3"/>
  <c r="K938" i="3"/>
  <c r="L938" i="3"/>
  <c r="M938" i="3"/>
  <c r="J939" i="3"/>
  <c r="K939" i="3"/>
  <c r="L939" i="3"/>
  <c r="M939" i="3"/>
  <c r="J940" i="3"/>
  <c r="K940" i="3"/>
  <c r="L940" i="3"/>
  <c r="M940" i="3"/>
  <c r="J941" i="3"/>
  <c r="K941" i="3"/>
  <c r="L941" i="3"/>
  <c r="M941" i="3"/>
  <c r="J942" i="3"/>
  <c r="K942" i="3"/>
  <c r="L942" i="3"/>
  <c r="M942" i="3"/>
  <c r="J943" i="3"/>
  <c r="K943" i="3"/>
  <c r="L943" i="3"/>
  <c r="M943" i="3"/>
  <c r="J944" i="3"/>
  <c r="K944" i="3"/>
  <c r="L944" i="3"/>
  <c r="M944" i="3"/>
  <c r="J945" i="3"/>
  <c r="K945" i="3"/>
  <c r="L945" i="3"/>
  <c r="M945" i="3"/>
  <c r="J946" i="3"/>
  <c r="K946" i="3"/>
  <c r="L946" i="3"/>
  <c r="M946" i="3"/>
  <c r="J947" i="3"/>
  <c r="K947" i="3"/>
  <c r="L947" i="3"/>
  <c r="M947" i="3"/>
  <c r="J948" i="3"/>
  <c r="K948" i="3"/>
  <c r="L948" i="3"/>
  <c r="M948" i="3"/>
  <c r="J949" i="3"/>
  <c r="K949" i="3"/>
  <c r="L949" i="3"/>
  <c r="M949" i="3"/>
  <c r="J950" i="3"/>
  <c r="K950" i="3"/>
  <c r="L950" i="3"/>
  <c r="M950" i="3"/>
  <c r="J951" i="3"/>
  <c r="K951" i="3"/>
  <c r="L951" i="3"/>
  <c r="M951" i="3"/>
  <c r="J952" i="3"/>
  <c r="K952" i="3"/>
  <c r="L952" i="3"/>
  <c r="M952" i="3"/>
  <c r="J953" i="3"/>
  <c r="K953" i="3"/>
  <c r="L953" i="3"/>
  <c r="M953" i="3"/>
  <c r="J954" i="3"/>
  <c r="K954" i="3"/>
  <c r="L954" i="3"/>
  <c r="M954" i="3"/>
  <c r="J955" i="3"/>
  <c r="K955" i="3"/>
  <c r="L955" i="3"/>
  <c r="M955" i="3"/>
  <c r="J956" i="3"/>
  <c r="K956" i="3"/>
  <c r="L956" i="3"/>
  <c r="M956" i="3"/>
  <c r="J957" i="3"/>
  <c r="K957" i="3"/>
  <c r="L957" i="3"/>
  <c r="M957" i="3"/>
  <c r="J958" i="3"/>
  <c r="K958" i="3"/>
  <c r="L958" i="3"/>
  <c r="M958" i="3"/>
  <c r="J959" i="3"/>
  <c r="K959" i="3"/>
  <c r="L959" i="3"/>
  <c r="M959" i="3"/>
  <c r="J960" i="3"/>
  <c r="K960" i="3"/>
  <c r="L960" i="3"/>
  <c r="M960" i="3"/>
  <c r="J961" i="3"/>
  <c r="K961" i="3"/>
  <c r="L961" i="3"/>
  <c r="M961" i="3"/>
  <c r="J962" i="3"/>
  <c r="K962" i="3"/>
  <c r="L962" i="3"/>
  <c r="M962" i="3"/>
  <c r="J963" i="3"/>
  <c r="K963" i="3"/>
  <c r="L963" i="3"/>
  <c r="M963" i="3"/>
  <c r="J964" i="3"/>
  <c r="K964" i="3"/>
  <c r="L964" i="3"/>
  <c r="M964" i="3"/>
  <c r="J965" i="3"/>
  <c r="K965" i="3"/>
  <c r="L965" i="3"/>
  <c r="M965" i="3"/>
  <c r="J966" i="3"/>
  <c r="K966" i="3"/>
  <c r="L966" i="3"/>
  <c r="M966" i="3"/>
  <c r="J967" i="3"/>
  <c r="K967" i="3"/>
  <c r="L967" i="3"/>
  <c r="M967" i="3"/>
  <c r="J968" i="3"/>
  <c r="K968" i="3"/>
  <c r="L968" i="3"/>
  <c r="M968" i="3"/>
  <c r="J969" i="3"/>
  <c r="K969" i="3"/>
  <c r="L969" i="3"/>
  <c r="M969" i="3"/>
  <c r="J970" i="3"/>
  <c r="K970" i="3"/>
  <c r="L970" i="3"/>
  <c r="M970" i="3"/>
  <c r="J971" i="3"/>
  <c r="K971" i="3"/>
  <c r="L971" i="3"/>
  <c r="M971" i="3"/>
  <c r="J972" i="3"/>
  <c r="K972" i="3"/>
  <c r="L972" i="3"/>
  <c r="M972" i="3"/>
  <c r="J973" i="3"/>
  <c r="K973" i="3"/>
  <c r="L973" i="3"/>
  <c r="M973" i="3"/>
  <c r="J974" i="3"/>
  <c r="K974" i="3"/>
  <c r="L974" i="3"/>
  <c r="M974" i="3"/>
  <c r="J975" i="3"/>
  <c r="K975" i="3"/>
  <c r="L975" i="3"/>
  <c r="M975" i="3"/>
  <c r="J976" i="3"/>
  <c r="K976" i="3"/>
  <c r="L976" i="3"/>
  <c r="M976" i="3"/>
  <c r="J977" i="3"/>
  <c r="K977" i="3"/>
  <c r="L977" i="3"/>
  <c r="M977" i="3"/>
  <c r="J978" i="3"/>
  <c r="K978" i="3"/>
  <c r="L978" i="3"/>
  <c r="M978" i="3"/>
  <c r="J979" i="3"/>
  <c r="K979" i="3"/>
  <c r="L979" i="3"/>
  <c r="M979" i="3"/>
  <c r="J980" i="3"/>
  <c r="K980" i="3"/>
  <c r="L980" i="3"/>
  <c r="M980" i="3"/>
  <c r="J981" i="3"/>
  <c r="K981" i="3"/>
  <c r="L981" i="3"/>
  <c r="M981" i="3"/>
  <c r="J982" i="3"/>
  <c r="K982" i="3"/>
  <c r="L982" i="3"/>
  <c r="M982" i="3"/>
  <c r="J983" i="3"/>
  <c r="K983" i="3"/>
  <c r="L983" i="3"/>
  <c r="M983" i="3"/>
  <c r="J984" i="3"/>
  <c r="K984" i="3"/>
  <c r="L984" i="3"/>
  <c r="M984" i="3"/>
  <c r="J985" i="3"/>
  <c r="K985" i="3"/>
  <c r="L985" i="3"/>
  <c r="M985" i="3"/>
  <c r="J986" i="3"/>
  <c r="K986" i="3"/>
  <c r="L986" i="3"/>
  <c r="M986" i="3"/>
  <c r="J987" i="3"/>
  <c r="K987" i="3"/>
  <c r="L987" i="3"/>
  <c r="M987" i="3"/>
  <c r="J988" i="3"/>
  <c r="K988" i="3"/>
  <c r="L988" i="3"/>
  <c r="M988" i="3"/>
  <c r="J989" i="3"/>
  <c r="K989" i="3"/>
  <c r="L989" i="3"/>
  <c r="M989" i="3"/>
  <c r="J990" i="3"/>
  <c r="K990" i="3"/>
  <c r="L990" i="3"/>
  <c r="M990" i="3"/>
  <c r="J991" i="3"/>
  <c r="K991" i="3"/>
  <c r="L991" i="3"/>
  <c r="M991" i="3"/>
  <c r="J992" i="3"/>
  <c r="K992" i="3"/>
  <c r="L992" i="3"/>
  <c r="M992" i="3"/>
  <c r="J993" i="3"/>
  <c r="K993" i="3"/>
  <c r="L993" i="3"/>
  <c r="M993" i="3"/>
  <c r="J994" i="3"/>
  <c r="K994" i="3"/>
  <c r="L994" i="3"/>
  <c r="M994" i="3"/>
  <c r="J995" i="3"/>
  <c r="K995" i="3"/>
  <c r="L995" i="3"/>
  <c r="M995" i="3"/>
  <c r="J996" i="3"/>
  <c r="K996" i="3"/>
  <c r="L996" i="3"/>
  <c r="M996" i="3"/>
  <c r="J997" i="3"/>
  <c r="K997" i="3"/>
  <c r="L997" i="3"/>
  <c r="M997" i="3"/>
  <c r="J998" i="3"/>
  <c r="K998" i="3"/>
  <c r="L998" i="3"/>
  <c r="M998" i="3"/>
  <c r="J999" i="3"/>
  <c r="K999" i="3"/>
  <c r="L999" i="3"/>
  <c r="M999" i="3"/>
  <c r="J1000" i="3"/>
  <c r="K1000" i="3"/>
  <c r="L1000" i="3"/>
  <c r="M1000" i="3"/>
  <c r="J1001" i="3"/>
  <c r="K1001" i="3"/>
  <c r="L1001" i="3"/>
  <c r="M1001" i="3"/>
  <c r="J1002" i="3"/>
  <c r="K1002" i="3"/>
  <c r="L1002" i="3"/>
  <c r="M1002" i="3"/>
  <c r="J1003" i="3"/>
  <c r="K1003" i="3"/>
  <c r="L1003" i="3"/>
  <c r="M1003" i="3"/>
  <c r="J1004" i="3"/>
  <c r="K1004" i="3"/>
  <c r="L1004" i="3"/>
  <c r="M1004" i="3"/>
  <c r="J1005" i="3"/>
  <c r="K1005" i="3"/>
  <c r="L1005" i="3"/>
  <c r="M1005" i="3"/>
  <c r="J1006" i="3"/>
  <c r="K1006" i="3"/>
  <c r="L1006" i="3"/>
  <c r="M1006" i="3"/>
  <c r="J1007" i="3"/>
  <c r="K1007" i="3"/>
  <c r="L1007" i="3"/>
  <c r="M1007" i="3"/>
  <c r="J1008" i="3"/>
  <c r="K1008" i="3"/>
  <c r="L1008" i="3"/>
  <c r="M1008" i="3"/>
  <c r="J1009" i="3"/>
  <c r="K1009" i="3"/>
  <c r="L1009" i="3"/>
  <c r="M1009" i="3"/>
  <c r="J1010" i="3"/>
  <c r="K1010" i="3"/>
  <c r="L1010" i="3"/>
  <c r="M1010" i="3"/>
  <c r="J1011" i="3"/>
  <c r="K1011" i="3"/>
  <c r="L1011" i="3"/>
  <c r="M1011" i="3"/>
  <c r="J1012" i="3"/>
  <c r="K1012" i="3"/>
  <c r="L1012" i="3"/>
  <c r="M1012" i="3"/>
  <c r="J1013" i="3"/>
  <c r="K1013" i="3"/>
  <c r="L1013" i="3"/>
  <c r="M1013" i="3"/>
  <c r="J1014" i="3"/>
  <c r="K1014" i="3"/>
  <c r="L1014" i="3"/>
  <c r="M1014" i="3"/>
  <c r="J1015" i="3"/>
  <c r="K1015" i="3"/>
  <c r="L1015" i="3"/>
  <c r="M1015" i="3"/>
  <c r="J1016" i="3"/>
  <c r="K1016" i="3"/>
  <c r="L1016" i="3"/>
  <c r="M1016" i="3"/>
  <c r="J1017" i="3"/>
  <c r="K1017" i="3"/>
  <c r="L1017" i="3"/>
  <c r="M1017" i="3"/>
  <c r="J1018" i="3"/>
  <c r="K1018" i="3"/>
  <c r="L1018" i="3"/>
  <c r="M1018" i="3"/>
  <c r="J1019" i="3"/>
  <c r="K1019" i="3"/>
  <c r="L1019" i="3"/>
  <c r="M1019" i="3"/>
  <c r="J1020" i="3"/>
  <c r="K1020" i="3"/>
  <c r="L1020" i="3"/>
  <c r="M1020" i="3"/>
  <c r="J1021" i="3"/>
  <c r="K1021" i="3"/>
  <c r="L1021" i="3"/>
  <c r="M1021" i="3"/>
  <c r="J1022" i="3"/>
  <c r="K1022" i="3"/>
  <c r="L1022" i="3"/>
  <c r="M1022" i="3"/>
  <c r="J1023" i="3"/>
  <c r="K1023" i="3"/>
  <c r="L1023" i="3"/>
  <c r="M1023" i="3"/>
  <c r="J1024" i="3"/>
  <c r="K1024" i="3"/>
  <c r="L1024" i="3"/>
  <c r="M1024" i="3"/>
  <c r="J1025" i="3"/>
  <c r="K1025" i="3"/>
  <c r="L1025" i="3"/>
  <c r="M1025" i="3"/>
  <c r="J1026" i="3"/>
  <c r="K1026" i="3"/>
  <c r="L1026" i="3"/>
  <c r="M1026" i="3"/>
  <c r="J1027" i="3"/>
  <c r="K1027" i="3"/>
  <c r="L1027" i="3"/>
  <c r="M1027" i="3"/>
  <c r="J1028" i="3"/>
  <c r="K1028" i="3"/>
  <c r="L1028" i="3"/>
  <c r="M1028" i="3"/>
  <c r="J1029" i="3"/>
  <c r="K1029" i="3"/>
  <c r="L1029" i="3"/>
  <c r="M1029" i="3"/>
  <c r="J1030" i="3"/>
  <c r="K1030" i="3"/>
  <c r="L1030" i="3"/>
  <c r="M1030" i="3"/>
  <c r="J1031" i="3"/>
  <c r="K1031" i="3"/>
  <c r="L1031" i="3"/>
  <c r="M1031" i="3"/>
  <c r="J1032" i="3"/>
  <c r="K1032" i="3"/>
  <c r="L1032" i="3"/>
  <c r="M1032" i="3"/>
  <c r="J1033" i="3"/>
  <c r="K1033" i="3"/>
  <c r="L1033" i="3"/>
  <c r="M1033" i="3"/>
  <c r="J1034" i="3"/>
  <c r="K1034" i="3"/>
  <c r="L1034" i="3"/>
  <c r="M1034" i="3"/>
  <c r="J1035" i="3"/>
  <c r="K1035" i="3"/>
  <c r="L1035" i="3"/>
  <c r="M1035" i="3"/>
  <c r="J1036" i="3"/>
  <c r="K1036" i="3"/>
  <c r="L1036" i="3"/>
  <c r="M1036" i="3"/>
  <c r="J1037" i="3"/>
  <c r="K1037" i="3"/>
  <c r="L1037" i="3"/>
  <c r="M1037" i="3"/>
  <c r="J1038" i="3"/>
  <c r="K1038" i="3"/>
  <c r="L1038" i="3"/>
  <c r="M1038" i="3"/>
  <c r="J1039" i="3"/>
  <c r="K1039" i="3"/>
  <c r="L1039" i="3"/>
  <c r="M1039" i="3"/>
  <c r="J1040" i="3"/>
  <c r="K1040" i="3"/>
  <c r="L1040" i="3"/>
  <c r="M1040" i="3"/>
  <c r="J1041" i="3"/>
  <c r="K1041" i="3"/>
  <c r="L1041" i="3"/>
  <c r="M1041" i="3"/>
  <c r="J1042" i="3"/>
  <c r="K1042" i="3"/>
  <c r="L1042" i="3"/>
  <c r="M1042" i="3"/>
  <c r="J1043" i="3"/>
  <c r="K1043" i="3"/>
  <c r="L1043" i="3"/>
  <c r="M1043" i="3"/>
  <c r="J1044" i="3"/>
  <c r="K1044" i="3"/>
  <c r="L1044" i="3"/>
  <c r="M1044" i="3"/>
  <c r="J1045" i="3"/>
  <c r="K1045" i="3"/>
  <c r="L1045" i="3"/>
  <c r="M1045" i="3"/>
  <c r="J1046" i="3"/>
  <c r="K1046" i="3"/>
  <c r="L1046" i="3"/>
  <c r="M1046" i="3"/>
  <c r="J1047" i="3"/>
  <c r="K1047" i="3"/>
  <c r="L1047" i="3"/>
  <c r="M1047" i="3"/>
  <c r="J1048" i="3"/>
  <c r="K1048" i="3"/>
  <c r="L1048" i="3"/>
  <c r="M1048" i="3"/>
  <c r="J1049" i="3"/>
  <c r="K1049" i="3"/>
  <c r="L1049" i="3"/>
  <c r="M1049" i="3"/>
  <c r="J1050" i="3"/>
  <c r="K1050" i="3"/>
  <c r="L1050" i="3"/>
  <c r="M1050" i="3"/>
  <c r="J1051" i="3"/>
  <c r="K1051" i="3"/>
  <c r="L1051" i="3"/>
  <c r="M1051" i="3"/>
  <c r="J1052" i="3"/>
  <c r="K1052" i="3"/>
  <c r="L1052" i="3"/>
  <c r="M1052" i="3"/>
  <c r="J1053" i="3"/>
  <c r="K1053" i="3"/>
  <c r="L1053" i="3"/>
  <c r="M1053" i="3"/>
  <c r="J1054" i="3"/>
  <c r="K1054" i="3"/>
  <c r="L1054" i="3"/>
  <c r="M1054" i="3"/>
  <c r="J1055" i="3"/>
  <c r="K1055" i="3"/>
  <c r="L1055" i="3"/>
  <c r="M1055" i="3"/>
  <c r="J1056" i="3"/>
  <c r="K1056" i="3"/>
  <c r="L1056" i="3"/>
  <c r="M1056" i="3"/>
  <c r="J1057" i="3"/>
  <c r="K1057" i="3"/>
  <c r="L1057" i="3"/>
  <c r="M1057" i="3"/>
  <c r="J1058" i="3"/>
  <c r="K1058" i="3"/>
  <c r="L1058" i="3"/>
  <c r="M1058" i="3"/>
  <c r="J1059" i="3"/>
  <c r="K1059" i="3"/>
  <c r="L1059" i="3"/>
  <c r="M1059" i="3"/>
  <c r="J1060" i="3"/>
  <c r="K1060" i="3"/>
  <c r="L1060" i="3"/>
  <c r="M1060" i="3"/>
  <c r="J1061" i="3"/>
  <c r="K1061" i="3"/>
  <c r="L1061" i="3"/>
  <c r="M1061" i="3"/>
  <c r="J1062" i="3"/>
  <c r="K1062" i="3"/>
  <c r="L1062" i="3"/>
  <c r="M1062" i="3"/>
  <c r="J1063" i="3"/>
  <c r="K1063" i="3"/>
  <c r="L1063" i="3"/>
  <c r="M1063" i="3"/>
  <c r="J1064" i="3"/>
  <c r="K1064" i="3"/>
  <c r="L1064" i="3"/>
  <c r="M1064" i="3"/>
  <c r="J1065" i="3"/>
  <c r="K1065" i="3"/>
  <c r="L1065" i="3"/>
  <c r="M1065" i="3"/>
  <c r="J1066" i="3"/>
  <c r="K1066" i="3"/>
  <c r="L1066" i="3"/>
  <c r="M1066" i="3"/>
  <c r="J1067" i="3"/>
  <c r="K1067" i="3"/>
  <c r="L1067" i="3"/>
  <c r="M1067" i="3"/>
  <c r="J1068" i="3"/>
  <c r="K1068" i="3"/>
  <c r="L1068" i="3"/>
  <c r="M1068" i="3"/>
  <c r="J1069" i="3"/>
  <c r="K1069" i="3"/>
  <c r="L1069" i="3"/>
  <c r="M1069" i="3"/>
  <c r="J1070" i="3"/>
  <c r="K1070" i="3"/>
  <c r="L1070" i="3"/>
  <c r="M1070" i="3"/>
  <c r="J1071" i="3"/>
  <c r="K1071" i="3"/>
  <c r="L1071" i="3"/>
  <c r="M1071" i="3"/>
  <c r="J1072" i="3"/>
  <c r="K1072" i="3"/>
  <c r="L1072" i="3"/>
  <c r="M1072" i="3"/>
  <c r="J1073" i="3"/>
  <c r="K1073" i="3"/>
  <c r="L1073" i="3"/>
  <c r="M1073" i="3"/>
  <c r="J1074" i="3"/>
  <c r="K1074" i="3"/>
  <c r="L1074" i="3"/>
  <c r="M1074" i="3"/>
  <c r="J1075" i="3"/>
  <c r="K1075" i="3"/>
  <c r="L1075" i="3"/>
  <c r="M1075" i="3"/>
  <c r="J1076" i="3"/>
  <c r="K1076" i="3"/>
  <c r="L1076" i="3"/>
  <c r="M1076" i="3"/>
  <c r="J1077" i="3"/>
  <c r="K1077" i="3"/>
  <c r="L1077" i="3"/>
  <c r="M1077" i="3"/>
  <c r="J1078" i="3"/>
  <c r="K1078" i="3"/>
  <c r="L1078" i="3"/>
  <c r="M1078" i="3"/>
  <c r="J1079" i="3"/>
  <c r="K1079" i="3"/>
  <c r="L1079" i="3"/>
  <c r="M1079" i="3"/>
  <c r="J1080" i="3"/>
  <c r="K1080" i="3"/>
  <c r="L1080" i="3"/>
  <c r="M1080" i="3"/>
  <c r="J1081" i="3"/>
  <c r="K1081" i="3"/>
  <c r="L1081" i="3"/>
  <c r="M1081" i="3"/>
  <c r="J1082" i="3"/>
  <c r="K1082" i="3"/>
  <c r="L1082" i="3"/>
  <c r="M1082" i="3"/>
  <c r="J1083" i="3"/>
  <c r="K1083" i="3"/>
  <c r="L1083" i="3"/>
  <c r="M1083" i="3"/>
  <c r="J1084" i="3"/>
  <c r="K1084" i="3"/>
  <c r="L1084" i="3"/>
  <c r="M1084" i="3"/>
  <c r="J1085" i="3"/>
  <c r="K1085" i="3"/>
  <c r="L1085" i="3"/>
  <c r="M1085" i="3"/>
  <c r="J1086" i="3"/>
  <c r="K1086" i="3"/>
  <c r="L1086" i="3"/>
  <c r="M1086" i="3"/>
  <c r="J1087" i="3"/>
  <c r="K1087" i="3"/>
  <c r="L1087" i="3"/>
  <c r="M1087" i="3"/>
  <c r="J1088" i="3"/>
  <c r="K1088" i="3"/>
  <c r="L1088" i="3"/>
  <c r="M1088" i="3"/>
  <c r="J1089" i="3"/>
  <c r="K1089" i="3"/>
  <c r="L1089" i="3"/>
  <c r="M1089" i="3"/>
  <c r="J1090" i="3"/>
  <c r="K1090" i="3"/>
  <c r="L1090" i="3"/>
  <c r="M1090" i="3"/>
  <c r="J1091" i="3"/>
  <c r="K1091" i="3"/>
  <c r="L1091" i="3"/>
  <c r="M1091" i="3"/>
  <c r="J1092" i="3"/>
  <c r="K1092" i="3"/>
  <c r="L1092" i="3"/>
  <c r="M1092" i="3"/>
  <c r="J1093" i="3"/>
  <c r="K1093" i="3"/>
  <c r="L1093" i="3"/>
  <c r="M1093" i="3"/>
  <c r="J1094" i="3"/>
  <c r="K1094" i="3"/>
  <c r="L1094" i="3"/>
  <c r="M1094" i="3"/>
  <c r="J1095" i="3"/>
  <c r="K1095" i="3"/>
  <c r="L1095" i="3"/>
  <c r="M1095" i="3"/>
  <c r="J1096" i="3"/>
  <c r="K1096" i="3"/>
  <c r="L1096" i="3"/>
  <c r="M1096" i="3"/>
  <c r="J1097" i="3"/>
  <c r="K1097" i="3"/>
  <c r="L1097" i="3"/>
  <c r="M1097" i="3"/>
  <c r="J1098" i="3"/>
  <c r="K1098" i="3"/>
  <c r="L1098" i="3"/>
  <c r="M1098" i="3"/>
  <c r="J1099" i="3"/>
  <c r="K1099" i="3"/>
  <c r="L1099" i="3"/>
  <c r="M1099" i="3"/>
  <c r="J1100" i="3"/>
  <c r="K1100" i="3"/>
  <c r="L1100" i="3"/>
  <c r="M1100" i="3"/>
  <c r="J1101" i="3"/>
  <c r="K1101" i="3"/>
  <c r="L1101" i="3"/>
  <c r="M1101" i="3"/>
  <c r="J1102" i="3"/>
  <c r="K1102" i="3"/>
  <c r="L1102" i="3"/>
  <c r="M1102" i="3"/>
  <c r="J1103" i="3"/>
  <c r="K1103" i="3"/>
  <c r="L1103" i="3"/>
  <c r="M1103" i="3"/>
  <c r="J1104" i="3"/>
  <c r="K1104" i="3"/>
  <c r="L1104" i="3"/>
  <c r="M1104" i="3"/>
  <c r="J1105" i="3"/>
  <c r="K1105" i="3"/>
  <c r="L1105" i="3"/>
  <c r="M1105" i="3"/>
  <c r="J1106" i="3"/>
  <c r="K1106" i="3"/>
  <c r="L1106" i="3"/>
  <c r="M1106" i="3"/>
  <c r="J1107" i="3"/>
  <c r="K1107" i="3"/>
  <c r="L1107" i="3"/>
  <c r="M1107" i="3"/>
  <c r="J1108" i="3"/>
  <c r="K1108" i="3"/>
  <c r="L1108" i="3"/>
  <c r="M1108" i="3"/>
  <c r="J1109" i="3"/>
  <c r="K1109" i="3"/>
  <c r="L1109" i="3"/>
  <c r="M1109" i="3"/>
  <c r="J1110" i="3"/>
  <c r="K1110" i="3"/>
  <c r="L1110" i="3"/>
  <c r="M1110" i="3"/>
  <c r="J1111" i="3"/>
  <c r="K1111" i="3"/>
  <c r="L1111" i="3"/>
  <c r="M1111" i="3"/>
  <c r="J1112" i="3"/>
  <c r="K1112" i="3"/>
  <c r="L1112" i="3"/>
  <c r="M1112" i="3"/>
  <c r="J1113" i="3"/>
  <c r="K1113" i="3"/>
  <c r="L1113" i="3"/>
  <c r="M1113" i="3"/>
  <c r="J1114" i="3"/>
  <c r="K1114" i="3"/>
  <c r="L1114" i="3"/>
  <c r="M1114" i="3"/>
  <c r="J1115" i="3"/>
  <c r="K1115" i="3"/>
  <c r="L1115" i="3"/>
  <c r="M1115" i="3"/>
  <c r="J1116" i="3"/>
  <c r="K1116" i="3"/>
  <c r="L1116" i="3"/>
  <c r="M1116" i="3"/>
  <c r="J1117" i="3"/>
  <c r="K1117" i="3"/>
  <c r="L1117" i="3"/>
  <c r="M1117" i="3"/>
  <c r="J1118" i="3"/>
  <c r="K1118" i="3"/>
  <c r="L1118" i="3"/>
  <c r="M1118" i="3"/>
  <c r="J1119" i="3"/>
  <c r="K1119" i="3"/>
  <c r="L1119" i="3"/>
  <c r="M1119" i="3"/>
  <c r="J1120" i="3"/>
  <c r="K1120" i="3"/>
  <c r="L1120" i="3"/>
  <c r="M1120" i="3"/>
  <c r="J1121" i="3"/>
  <c r="K1121" i="3"/>
  <c r="L1121" i="3"/>
  <c r="M1121" i="3"/>
  <c r="J1122" i="3"/>
  <c r="K1122" i="3"/>
  <c r="L1122" i="3"/>
  <c r="M1122" i="3"/>
  <c r="J1123" i="3"/>
  <c r="K1123" i="3"/>
  <c r="L1123" i="3"/>
  <c r="M1123" i="3"/>
  <c r="J1124" i="3"/>
  <c r="K1124" i="3"/>
  <c r="L1124" i="3"/>
  <c r="M1124" i="3"/>
  <c r="J1125" i="3"/>
  <c r="K1125" i="3"/>
  <c r="L1125" i="3"/>
  <c r="M1125" i="3"/>
  <c r="J1126" i="3"/>
  <c r="K1126" i="3"/>
  <c r="L1126" i="3"/>
  <c r="M1126" i="3"/>
  <c r="J1127" i="3"/>
  <c r="K1127" i="3"/>
  <c r="L1127" i="3"/>
  <c r="M1127" i="3"/>
  <c r="J1128" i="3"/>
  <c r="K1128" i="3"/>
  <c r="L1128" i="3"/>
  <c r="M1128" i="3"/>
  <c r="J1129" i="3"/>
  <c r="K1129" i="3"/>
  <c r="L1129" i="3"/>
  <c r="M1129" i="3"/>
  <c r="J1130" i="3"/>
  <c r="K1130" i="3"/>
  <c r="L1130" i="3"/>
  <c r="M1130" i="3"/>
  <c r="J1131" i="3"/>
  <c r="K1131" i="3"/>
  <c r="L1131" i="3"/>
  <c r="M1131" i="3"/>
  <c r="J1132" i="3"/>
  <c r="K1132" i="3"/>
  <c r="L1132" i="3"/>
  <c r="M1132" i="3"/>
  <c r="J1133" i="3"/>
  <c r="K1133" i="3"/>
  <c r="L1133" i="3"/>
  <c r="M1133" i="3"/>
  <c r="J1134" i="3"/>
  <c r="K1134" i="3"/>
  <c r="L1134" i="3"/>
  <c r="M1134" i="3"/>
  <c r="J1135" i="3"/>
  <c r="K1135" i="3"/>
  <c r="L1135" i="3"/>
  <c r="M1135" i="3"/>
  <c r="J1136" i="3"/>
  <c r="K1136" i="3"/>
  <c r="L1136" i="3"/>
  <c r="M1136" i="3"/>
  <c r="J1137" i="3"/>
  <c r="K1137" i="3"/>
  <c r="L1137" i="3"/>
  <c r="M1137" i="3"/>
  <c r="J1138" i="3"/>
  <c r="K1138" i="3"/>
  <c r="L1138" i="3"/>
  <c r="M1138" i="3"/>
  <c r="J1139" i="3"/>
  <c r="K1139" i="3"/>
  <c r="L1139" i="3"/>
  <c r="M1139" i="3"/>
  <c r="J1140" i="3"/>
  <c r="K1140" i="3"/>
  <c r="L1140" i="3"/>
  <c r="M1140" i="3"/>
  <c r="J1141" i="3"/>
  <c r="K1141" i="3"/>
  <c r="L1141" i="3"/>
  <c r="M1141" i="3"/>
  <c r="J1142" i="3"/>
  <c r="K1142" i="3"/>
  <c r="L1142" i="3"/>
  <c r="M1142" i="3"/>
  <c r="J1143" i="3"/>
  <c r="K1143" i="3"/>
  <c r="L1143" i="3"/>
  <c r="M1143" i="3"/>
  <c r="J1144" i="3"/>
  <c r="K1144" i="3"/>
  <c r="L1144" i="3"/>
  <c r="M1144" i="3"/>
  <c r="J1145" i="3"/>
  <c r="K1145" i="3"/>
  <c r="L1145" i="3"/>
  <c r="M1145" i="3"/>
  <c r="J1146" i="3"/>
  <c r="K1146" i="3"/>
  <c r="L1146" i="3"/>
  <c r="M1146" i="3"/>
  <c r="J1147" i="3"/>
  <c r="K1147" i="3"/>
  <c r="L1147" i="3"/>
  <c r="M1147" i="3"/>
  <c r="J1148" i="3"/>
  <c r="K1148" i="3"/>
  <c r="L1148" i="3"/>
  <c r="M1148" i="3"/>
  <c r="J1149" i="3"/>
  <c r="K1149" i="3"/>
  <c r="L1149" i="3"/>
  <c r="M1149" i="3"/>
  <c r="J1150" i="3"/>
  <c r="K1150" i="3"/>
  <c r="L1150" i="3"/>
  <c r="M1150" i="3"/>
  <c r="J1151" i="3"/>
  <c r="K1151" i="3"/>
  <c r="L1151" i="3"/>
  <c r="M1151" i="3"/>
  <c r="J1152" i="3"/>
  <c r="K1152" i="3"/>
  <c r="L1152" i="3"/>
  <c r="M1152" i="3"/>
  <c r="J1153" i="3"/>
  <c r="K1153" i="3"/>
  <c r="L1153" i="3"/>
  <c r="M1153" i="3"/>
  <c r="J1154" i="3"/>
  <c r="K1154" i="3"/>
  <c r="L1154" i="3"/>
  <c r="M1154" i="3"/>
  <c r="J1155" i="3"/>
  <c r="K1155" i="3"/>
  <c r="L1155" i="3"/>
  <c r="M1155" i="3"/>
  <c r="J1156" i="3"/>
  <c r="K1156" i="3"/>
  <c r="L1156" i="3"/>
  <c r="M1156" i="3"/>
  <c r="J1157" i="3"/>
  <c r="K1157" i="3"/>
  <c r="L1157" i="3"/>
  <c r="M1157" i="3"/>
  <c r="J1158" i="3"/>
  <c r="K1158" i="3"/>
  <c r="L1158" i="3"/>
  <c r="M1158" i="3"/>
  <c r="J1159" i="3"/>
  <c r="K1159" i="3"/>
  <c r="L1159" i="3"/>
  <c r="M1159" i="3"/>
  <c r="J1160" i="3"/>
  <c r="K1160" i="3"/>
  <c r="L1160" i="3"/>
  <c r="M1160" i="3"/>
  <c r="J1161" i="3"/>
  <c r="K1161" i="3"/>
  <c r="L1161" i="3"/>
  <c r="M1161" i="3"/>
  <c r="J1162" i="3"/>
  <c r="K1162" i="3"/>
  <c r="L1162" i="3"/>
  <c r="M1162" i="3"/>
  <c r="J1163" i="3"/>
  <c r="K1163" i="3"/>
  <c r="L1163" i="3"/>
  <c r="M1163" i="3"/>
  <c r="J1164" i="3"/>
  <c r="K1164" i="3"/>
  <c r="L1164" i="3"/>
  <c r="M1164" i="3"/>
  <c r="J1165" i="3"/>
  <c r="K1165" i="3"/>
  <c r="L1165" i="3"/>
  <c r="M1165" i="3"/>
  <c r="J1166" i="3"/>
  <c r="K1166" i="3"/>
  <c r="L1166" i="3"/>
  <c r="M1166" i="3"/>
  <c r="J1167" i="3"/>
  <c r="K1167" i="3"/>
  <c r="L1167" i="3"/>
  <c r="M1167" i="3"/>
  <c r="J1168" i="3"/>
  <c r="K1168" i="3"/>
  <c r="L1168" i="3"/>
  <c r="M1168" i="3"/>
  <c r="J1169" i="3"/>
  <c r="K1169" i="3"/>
  <c r="L1169" i="3"/>
  <c r="M1169" i="3"/>
  <c r="J1170" i="3"/>
  <c r="K1170" i="3"/>
  <c r="L1170" i="3"/>
  <c r="M1170" i="3"/>
  <c r="J1171" i="3"/>
  <c r="K1171" i="3"/>
  <c r="L1171" i="3"/>
  <c r="M1171" i="3"/>
  <c r="J1172" i="3"/>
  <c r="K1172" i="3"/>
  <c r="L1172" i="3"/>
  <c r="M1172" i="3"/>
  <c r="J1173" i="3"/>
  <c r="K1173" i="3"/>
  <c r="L1173" i="3"/>
  <c r="M1173" i="3"/>
  <c r="J1174" i="3"/>
  <c r="K1174" i="3"/>
  <c r="L1174" i="3"/>
  <c r="M1174" i="3"/>
  <c r="J1175" i="3"/>
  <c r="K1175" i="3"/>
  <c r="L1175" i="3"/>
  <c r="M1175" i="3"/>
  <c r="J1176" i="3"/>
  <c r="K1176" i="3"/>
  <c r="L1176" i="3"/>
  <c r="M1176" i="3"/>
  <c r="J1177" i="3"/>
  <c r="K1177" i="3"/>
  <c r="L1177" i="3"/>
  <c r="M1177" i="3"/>
  <c r="J1178" i="3"/>
  <c r="K1178" i="3"/>
  <c r="L1178" i="3"/>
  <c r="M1178" i="3"/>
  <c r="J1179" i="3"/>
  <c r="K1179" i="3"/>
  <c r="L1179" i="3"/>
  <c r="M1179" i="3"/>
  <c r="J1180" i="3"/>
  <c r="K1180" i="3"/>
  <c r="L1180" i="3"/>
  <c r="M1180" i="3"/>
  <c r="J1181" i="3"/>
  <c r="K1181" i="3"/>
  <c r="L1181" i="3"/>
  <c r="M1181" i="3"/>
  <c r="J1182" i="3"/>
  <c r="K1182" i="3"/>
  <c r="L1182" i="3"/>
  <c r="M1182" i="3"/>
  <c r="J1183" i="3"/>
  <c r="K1183" i="3"/>
  <c r="L1183" i="3"/>
  <c r="M1183" i="3"/>
  <c r="J1184" i="3"/>
  <c r="K1184" i="3"/>
  <c r="L1184" i="3"/>
  <c r="M1184" i="3"/>
  <c r="J1185" i="3"/>
  <c r="K1185" i="3"/>
  <c r="L1185" i="3"/>
  <c r="M1185" i="3"/>
  <c r="J1186" i="3"/>
  <c r="K1186" i="3"/>
  <c r="L1186" i="3"/>
  <c r="M1186" i="3"/>
  <c r="J1187" i="3"/>
  <c r="K1187" i="3"/>
  <c r="L1187" i="3"/>
  <c r="M1187" i="3"/>
  <c r="J1188" i="3"/>
  <c r="K1188" i="3"/>
  <c r="L1188" i="3"/>
  <c r="M1188" i="3"/>
  <c r="J1189" i="3"/>
  <c r="K1189" i="3"/>
  <c r="L1189" i="3"/>
  <c r="M1189" i="3"/>
  <c r="J1190" i="3"/>
  <c r="K1190" i="3"/>
  <c r="L1190" i="3"/>
  <c r="M1190" i="3"/>
  <c r="J1191" i="3"/>
  <c r="K1191" i="3"/>
  <c r="L1191" i="3"/>
  <c r="M1191" i="3"/>
  <c r="J1192" i="3"/>
  <c r="K1192" i="3"/>
  <c r="L1192" i="3"/>
  <c r="M1192" i="3"/>
  <c r="J1193" i="3"/>
  <c r="K1193" i="3"/>
  <c r="L1193" i="3"/>
  <c r="M1193" i="3"/>
  <c r="J1194" i="3"/>
  <c r="K1194" i="3"/>
  <c r="L1194" i="3"/>
  <c r="M1194" i="3"/>
  <c r="J1195" i="3"/>
  <c r="K1195" i="3"/>
  <c r="L1195" i="3"/>
  <c r="M1195" i="3"/>
  <c r="J1196" i="3"/>
  <c r="K1196" i="3"/>
  <c r="L1196" i="3"/>
  <c r="M1196" i="3"/>
  <c r="J1197" i="3"/>
  <c r="K1197" i="3"/>
  <c r="L1197" i="3"/>
  <c r="M1197" i="3"/>
  <c r="J1198" i="3"/>
  <c r="K1198" i="3"/>
  <c r="L1198" i="3"/>
  <c r="M1198" i="3"/>
  <c r="J1199" i="3"/>
  <c r="K1199" i="3"/>
  <c r="L1199" i="3"/>
  <c r="M1199" i="3"/>
  <c r="J1200" i="3"/>
  <c r="K1200" i="3"/>
  <c r="L1200" i="3"/>
  <c r="M1200" i="3"/>
  <c r="J1201" i="3"/>
  <c r="K1201" i="3"/>
  <c r="L1201" i="3"/>
  <c r="M1201" i="3"/>
  <c r="J1202" i="3"/>
  <c r="K1202" i="3"/>
  <c r="L1202" i="3"/>
  <c r="M1202" i="3"/>
  <c r="J1203" i="3"/>
  <c r="K1203" i="3"/>
  <c r="L1203" i="3"/>
  <c r="M1203" i="3"/>
  <c r="J1204" i="3"/>
  <c r="K1204" i="3"/>
  <c r="L1204" i="3"/>
  <c r="M1204" i="3"/>
  <c r="J1205" i="3"/>
  <c r="K1205" i="3"/>
  <c r="L1205" i="3"/>
  <c r="M1205" i="3"/>
  <c r="J1206" i="3"/>
  <c r="K1206" i="3"/>
  <c r="L1206" i="3"/>
  <c r="M1206" i="3"/>
  <c r="J1207" i="3"/>
  <c r="K1207" i="3"/>
  <c r="L1207" i="3"/>
  <c r="M1207" i="3"/>
  <c r="J1208" i="3"/>
  <c r="K1208" i="3"/>
  <c r="L1208" i="3"/>
  <c r="M1208" i="3"/>
  <c r="J1209" i="3"/>
  <c r="K1209" i="3"/>
  <c r="L1209" i="3"/>
  <c r="M1209" i="3"/>
  <c r="J1210" i="3"/>
  <c r="K1210" i="3"/>
  <c r="L1210" i="3"/>
  <c r="M1210" i="3"/>
  <c r="J1211" i="3"/>
  <c r="K1211" i="3"/>
  <c r="L1211" i="3"/>
  <c r="M1211" i="3"/>
  <c r="J1212" i="3"/>
  <c r="K1212" i="3"/>
  <c r="L1212" i="3"/>
  <c r="M1212" i="3"/>
  <c r="J1213" i="3"/>
  <c r="K1213" i="3"/>
  <c r="L1213" i="3"/>
  <c r="M1213" i="3"/>
  <c r="J1214" i="3"/>
  <c r="K1214" i="3"/>
  <c r="L1214" i="3"/>
  <c r="M1214" i="3"/>
  <c r="J1215" i="3"/>
  <c r="K1215" i="3"/>
  <c r="L1215" i="3"/>
  <c r="M1215" i="3"/>
  <c r="J1216" i="3"/>
  <c r="K1216" i="3"/>
  <c r="L1216" i="3"/>
  <c r="M1216" i="3"/>
  <c r="J1217" i="3"/>
  <c r="K1217" i="3"/>
  <c r="L1217" i="3"/>
  <c r="M1217" i="3"/>
  <c r="J1218" i="3"/>
  <c r="K1218" i="3"/>
  <c r="L1218" i="3"/>
  <c r="M1218" i="3"/>
  <c r="J1219" i="3"/>
  <c r="K1219" i="3"/>
  <c r="L1219" i="3"/>
  <c r="M1219" i="3"/>
  <c r="J1220" i="3"/>
  <c r="K1220" i="3"/>
  <c r="L1220" i="3"/>
  <c r="M1220" i="3"/>
  <c r="J1221" i="3"/>
  <c r="K1221" i="3"/>
  <c r="L1221" i="3"/>
  <c r="M1221" i="3"/>
  <c r="J1222" i="3"/>
  <c r="K1222" i="3"/>
  <c r="L1222" i="3"/>
  <c r="M1222" i="3"/>
  <c r="J1223" i="3"/>
  <c r="K1223" i="3"/>
  <c r="L1223" i="3"/>
  <c r="M1223" i="3"/>
  <c r="J1224" i="3"/>
  <c r="K1224" i="3"/>
  <c r="L1224" i="3"/>
  <c r="M1224" i="3"/>
  <c r="J1225" i="3"/>
  <c r="K1225" i="3"/>
  <c r="L1225" i="3"/>
  <c r="M1225" i="3"/>
  <c r="J1226" i="3"/>
  <c r="K1226" i="3"/>
  <c r="L1226" i="3"/>
  <c r="M1226" i="3"/>
  <c r="J1227" i="3"/>
  <c r="K1227" i="3"/>
  <c r="L1227" i="3"/>
  <c r="M1227" i="3"/>
  <c r="J1228" i="3"/>
  <c r="K1228" i="3"/>
  <c r="L1228" i="3"/>
  <c r="M1228" i="3"/>
  <c r="J1229" i="3"/>
  <c r="K1229" i="3"/>
  <c r="L1229" i="3"/>
  <c r="M1229" i="3"/>
  <c r="J1230" i="3"/>
  <c r="K1230" i="3"/>
  <c r="L1230" i="3"/>
  <c r="M1230" i="3"/>
  <c r="J1231" i="3"/>
  <c r="K1231" i="3"/>
  <c r="L1231" i="3"/>
  <c r="M1231" i="3"/>
  <c r="J1232" i="3"/>
  <c r="K1232" i="3"/>
  <c r="L1232" i="3"/>
  <c r="M1232" i="3"/>
  <c r="J1233" i="3"/>
  <c r="K1233" i="3"/>
  <c r="L1233" i="3"/>
  <c r="M1233" i="3"/>
  <c r="J1234" i="3"/>
  <c r="K1234" i="3"/>
  <c r="L1234" i="3"/>
  <c r="M1234" i="3"/>
  <c r="J1235" i="3"/>
  <c r="K1235" i="3"/>
  <c r="L1235" i="3"/>
  <c r="M1235" i="3"/>
  <c r="J1236" i="3"/>
  <c r="K1236" i="3"/>
  <c r="L1236" i="3"/>
  <c r="M1236" i="3"/>
  <c r="J1237" i="3"/>
  <c r="K1237" i="3"/>
  <c r="L1237" i="3"/>
  <c r="M1237" i="3"/>
  <c r="J1238" i="3"/>
  <c r="K1238" i="3"/>
  <c r="L1238" i="3"/>
  <c r="M1238" i="3"/>
  <c r="J1239" i="3"/>
  <c r="K1239" i="3"/>
  <c r="L1239" i="3"/>
  <c r="M1239" i="3"/>
  <c r="J1240" i="3"/>
  <c r="K1240" i="3"/>
  <c r="L1240" i="3"/>
  <c r="M1240" i="3"/>
  <c r="J1241" i="3"/>
  <c r="K1241" i="3"/>
  <c r="L1241" i="3"/>
  <c r="M1241" i="3"/>
  <c r="J1242" i="3"/>
  <c r="K1242" i="3"/>
  <c r="L1242" i="3"/>
  <c r="M1242" i="3"/>
  <c r="J1243" i="3"/>
  <c r="K1243" i="3"/>
  <c r="L1243" i="3"/>
  <c r="M1243" i="3"/>
  <c r="J1244" i="3"/>
  <c r="K1244" i="3"/>
  <c r="L1244" i="3"/>
  <c r="M1244" i="3"/>
  <c r="J1245" i="3"/>
  <c r="K1245" i="3"/>
  <c r="L1245" i="3"/>
  <c r="M1245" i="3"/>
  <c r="J1246" i="3"/>
  <c r="K1246" i="3"/>
  <c r="L1246" i="3"/>
  <c r="M1246" i="3"/>
  <c r="J1247" i="3"/>
  <c r="K1247" i="3"/>
  <c r="L1247" i="3"/>
  <c r="M1247" i="3"/>
  <c r="J1248" i="3"/>
  <c r="K1248" i="3"/>
  <c r="L1248" i="3"/>
  <c r="M1248" i="3"/>
  <c r="J1249" i="3"/>
  <c r="K1249" i="3"/>
  <c r="L1249" i="3"/>
  <c r="M1249" i="3"/>
  <c r="J1250" i="3"/>
  <c r="K1250" i="3"/>
  <c r="L1250" i="3"/>
  <c r="M1250" i="3"/>
  <c r="J1251" i="3"/>
  <c r="K1251" i="3"/>
  <c r="L1251" i="3"/>
  <c r="M1251" i="3"/>
  <c r="J1252" i="3"/>
  <c r="K1252" i="3"/>
  <c r="L1252" i="3"/>
  <c r="M1252" i="3"/>
  <c r="J1253" i="3"/>
  <c r="K1253" i="3"/>
  <c r="L1253" i="3"/>
  <c r="M1253" i="3"/>
  <c r="J1254" i="3"/>
  <c r="K1254" i="3"/>
  <c r="L1254" i="3"/>
  <c r="M1254" i="3"/>
  <c r="J1255" i="3"/>
  <c r="K1255" i="3"/>
  <c r="L1255" i="3"/>
  <c r="M1255" i="3"/>
  <c r="J1256" i="3"/>
  <c r="K1256" i="3"/>
  <c r="L1256" i="3"/>
  <c r="M1256" i="3"/>
  <c r="J1257" i="3"/>
  <c r="K1257" i="3"/>
  <c r="L1257" i="3"/>
  <c r="M1257" i="3"/>
  <c r="J1258" i="3"/>
  <c r="K1258" i="3"/>
  <c r="L1258" i="3"/>
  <c r="M1258" i="3"/>
  <c r="J1259" i="3"/>
  <c r="K1259" i="3"/>
  <c r="L1259" i="3"/>
  <c r="M1259" i="3"/>
  <c r="J1260" i="3"/>
  <c r="K1260" i="3"/>
  <c r="L1260" i="3"/>
  <c r="M1260" i="3"/>
  <c r="J1261" i="3"/>
  <c r="K1261" i="3"/>
  <c r="L1261" i="3"/>
  <c r="M1261" i="3"/>
  <c r="J1262" i="3"/>
  <c r="K1262" i="3"/>
  <c r="L1262" i="3"/>
  <c r="M1262" i="3"/>
  <c r="J1263" i="3"/>
  <c r="K1263" i="3"/>
  <c r="L1263" i="3"/>
  <c r="M1263" i="3"/>
  <c r="J1264" i="3"/>
  <c r="K1264" i="3"/>
  <c r="L1264" i="3"/>
  <c r="M1264" i="3"/>
  <c r="J1265" i="3"/>
  <c r="K1265" i="3"/>
  <c r="L1265" i="3"/>
  <c r="M1265" i="3"/>
  <c r="J1266" i="3"/>
  <c r="K1266" i="3"/>
  <c r="L1266" i="3"/>
  <c r="M1266" i="3"/>
  <c r="J1267" i="3"/>
  <c r="K1267" i="3"/>
  <c r="L1267" i="3"/>
  <c r="M1267" i="3"/>
  <c r="J1268" i="3"/>
  <c r="K1268" i="3"/>
  <c r="L1268" i="3"/>
  <c r="M1268" i="3"/>
  <c r="J1269" i="3"/>
  <c r="K1269" i="3"/>
  <c r="L1269" i="3"/>
  <c r="M1269" i="3"/>
  <c r="J1270" i="3"/>
  <c r="K1270" i="3"/>
  <c r="L1270" i="3"/>
  <c r="M1270" i="3"/>
  <c r="J1271" i="3"/>
  <c r="K1271" i="3"/>
  <c r="L1271" i="3"/>
  <c r="M1271" i="3"/>
  <c r="J1272" i="3"/>
  <c r="K1272" i="3"/>
  <c r="L1272" i="3"/>
  <c r="M1272" i="3"/>
  <c r="J1273" i="3"/>
  <c r="K1273" i="3"/>
  <c r="L1273" i="3"/>
  <c r="M1273" i="3"/>
  <c r="J1274" i="3"/>
  <c r="K1274" i="3"/>
  <c r="L1274" i="3"/>
  <c r="M1274" i="3"/>
  <c r="J1275" i="3"/>
  <c r="K1275" i="3"/>
  <c r="L1275" i="3"/>
  <c r="M1275" i="3"/>
  <c r="J1276" i="3"/>
  <c r="K1276" i="3"/>
  <c r="L1276" i="3"/>
  <c r="M1276" i="3"/>
  <c r="J1277" i="3"/>
  <c r="K1277" i="3"/>
  <c r="L1277" i="3"/>
  <c r="M1277" i="3"/>
  <c r="J1278" i="3"/>
  <c r="K1278" i="3"/>
  <c r="L1278" i="3"/>
  <c r="M1278" i="3"/>
  <c r="J1279" i="3"/>
  <c r="K1279" i="3"/>
  <c r="L1279" i="3"/>
  <c r="M1279" i="3"/>
  <c r="J1280" i="3"/>
  <c r="K1280" i="3"/>
  <c r="L1280" i="3"/>
  <c r="M1280" i="3"/>
  <c r="J1281" i="3"/>
  <c r="K1281" i="3"/>
  <c r="L1281" i="3"/>
  <c r="M1281" i="3"/>
  <c r="J1282" i="3"/>
  <c r="K1282" i="3"/>
  <c r="L1282" i="3"/>
  <c r="M1282" i="3"/>
  <c r="J1283" i="3"/>
  <c r="K1283" i="3"/>
  <c r="L1283" i="3"/>
  <c r="M1283" i="3"/>
  <c r="J1284" i="3"/>
  <c r="K1284" i="3"/>
  <c r="L1284" i="3"/>
  <c r="M1284" i="3"/>
  <c r="J1285" i="3"/>
  <c r="K1285" i="3"/>
  <c r="L1285" i="3"/>
  <c r="M1285" i="3"/>
  <c r="J1286" i="3"/>
  <c r="K1286" i="3"/>
  <c r="L1286" i="3"/>
  <c r="M1286" i="3"/>
  <c r="J1287" i="3"/>
  <c r="K1287" i="3"/>
  <c r="L1287" i="3"/>
  <c r="M1287" i="3"/>
  <c r="J1288" i="3"/>
  <c r="K1288" i="3"/>
  <c r="L1288" i="3"/>
  <c r="M1288" i="3"/>
  <c r="J1289" i="3"/>
  <c r="K1289" i="3"/>
  <c r="L1289" i="3"/>
  <c r="M1289" i="3"/>
  <c r="J1290" i="3"/>
  <c r="K1290" i="3"/>
  <c r="L1290" i="3"/>
  <c r="M1290" i="3"/>
  <c r="J1291" i="3"/>
  <c r="K1291" i="3"/>
  <c r="L1291" i="3"/>
  <c r="M1291" i="3"/>
  <c r="J1292" i="3"/>
  <c r="K1292" i="3"/>
  <c r="L1292" i="3"/>
  <c r="M1292" i="3"/>
  <c r="J1293" i="3"/>
  <c r="K1293" i="3"/>
  <c r="L1293" i="3"/>
  <c r="M1293" i="3"/>
  <c r="J1294" i="3"/>
  <c r="K1294" i="3"/>
  <c r="L1294" i="3"/>
  <c r="M1294" i="3"/>
  <c r="J1295" i="3"/>
  <c r="K1295" i="3"/>
  <c r="L1295" i="3"/>
  <c r="M1295" i="3"/>
  <c r="J1296" i="3"/>
  <c r="K1296" i="3"/>
  <c r="L1296" i="3"/>
  <c r="M1296" i="3"/>
  <c r="J1297" i="3"/>
  <c r="K1297" i="3"/>
  <c r="L1297" i="3"/>
  <c r="M1297" i="3"/>
  <c r="J1298" i="3"/>
  <c r="K1298" i="3"/>
  <c r="L1298" i="3"/>
  <c r="M1298" i="3"/>
  <c r="J1299" i="3"/>
  <c r="K1299" i="3"/>
  <c r="L1299" i="3"/>
  <c r="M1299" i="3"/>
  <c r="J1300" i="3"/>
  <c r="K1300" i="3"/>
  <c r="L1300" i="3"/>
  <c r="M1300" i="3"/>
  <c r="J1301" i="3"/>
  <c r="K1301" i="3"/>
  <c r="L1301" i="3"/>
  <c r="M1301" i="3"/>
  <c r="J1302" i="3"/>
  <c r="K1302" i="3"/>
  <c r="L1302" i="3"/>
  <c r="M1302" i="3"/>
  <c r="J1303" i="3"/>
  <c r="K1303" i="3"/>
  <c r="L1303" i="3"/>
  <c r="M1303" i="3"/>
  <c r="J1304" i="3"/>
  <c r="K1304" i="3"/>
  <c r="L1304" i="3"/>
  <c r="M1304" i="3"/>
  <c r="J1305" i="3"/>
  <c r="K1305" i="3"/>
  <c r="L1305" i="3"/>
  <c r="M1305" i="3"/>
  <c r="J1306" i="3"/>
  <c r="K1306" i="3"/>
  <c r="L1306" i="3"/>
  <c r="M1306" i="3"/>
  <c r="J1307" i="3"/>
  <c r="K1307" i="3"/>
  <c r="L1307" i="3"/>
  <c r="M1307" i="3"/>
  <c r="J1308" i="3"/>
  <c r="K1308" i="3"/>
  <c r="L1308" i="3"/>
  <c r="M1308" i="3"/>
  <c r="J1309" i="3"/>
  <c r="K1309" i="3"/>
  <c r="L1309" i="3"/>
  <c r="M1309" i="3"/>
  <c r="J1310" i="3"/>
  <c r="K1310" i="3"/>
  <c r="L1310" i="3"/>
  <c r="M1310" i="3"/>
  <c r="J1311" i="3"/>
  <c r="K1311" i="3"/>
  <c r="L1311" i="3"/>
  <c r="M1311" i="3"/>
  <c r="J1312" i="3"/>
  <c r="K1312" i="3"/>
  <c r="L1312" i="3"/>
  <c r="M1312" i="3"/>
  <c r="J1313" i="3"/>
  <c r="K1313" i="3"/>
  <c r="L1313" i="3"/>
  <c r="M1313" i="3"/>
  <c r="J1314" i="3"/>
  <c r="K1314" i="3"/>
  <c r="L1314" i="3"/>
  <c r="M1314" i="3"/>
  <c r="J1315" i="3"/>
  <c r="K1315" i="3"/>
  <c r="L1315" i="3"/>
  <c r="M1315" i="3"/>
  <c r="J1316" i="3"/>
  <c r="K1316" i="3"/>
  <c r="L1316" i="3"/>
  <c r="M1316" i="3"/>
  <c r="J1317" i="3"/>
  <c r="K1317" i="3"/>
  <c r="L1317" i="3"/>
  <c r="M1317" i="3"/>
  <c r="J1318" i="3"/>
  <c r="K1318" i="3"/>
  <c r="L1318" i="3"/>
  <c r="M1318" i="3"/>
  <c r="J1319" i="3"/>
  <c r="K1319" i="3"/>
  <c r="L1319" i="3"/>
  <c r="M1319" i="3"/>
  <c r="J1320" i="3"/>
  <c r="K1320" i="3"/>
  <c r="L1320" i="3"/>
  <c r="M1320" i="3"/>
  <c r="J1321" i="3"/>
  <c r="K1321" i="3"/>
  <c r="L1321" i="3"/>
  <c r="M1321" i="3"/>
  <c r="J1322" i="3"/>
  <c r="K1322" i="3"/>
  <c r="L1322" i="3"/>
  <c r="M1322" i="3"/>
  <c r="J1323" i="3"/>
  <c r="K1323" i="3"/>
  <c r="L1323" i="3"/>
  <c r="M1323" i="3"/>
  <c r="J1324" i="3"/>
  <c r="K1324" i="3"/>
  <c r="L1324" i="3"/>
  <c r="M1324" i="3"/>
  <c r="J1325" i="3"/>
  <c r="K1325" i="3"/>
  <c r="L1325" i="3"/>
  <c r="M1325" i="3"/>
  <c r="J1326" i="3"/>
  <c r="K1326" i="3"/>
  <c r="L1326" i="3"/>
  <c r="M1326" i="3"/>
  <c r="J1327" i="3"/>
  <c r="K1327" i="3"/>
  <c r="L1327" i="3"/>
  <c r="M1327" i="3"/>
  <c r="J1328" i="3"/>
  <c r="K1328" i="3"/>
  <c r="L1328" i="3"/>
  <c r="M1328" i="3"/>
  <c r="J1329" i="3"/>
  <c r="K1329" i="3"/>
  <c r="L1329" i="3"/>
  <c r="M1329" i="3"/>
  <c r="J1330" i="3"/>
  <c r="K1330" i="3"/>
  <c r="L1330" i="3"/>
  <c r="M1330" i="3"/>
  <c r="J1331" i="3"/>
  <c r="K1331" i="3"/>
  <c r="L1331" i="3"/>
  <c r="M1331" i="3"/>
  <c r="J1332" i="3"/>
  <c r="K1332" i="3"/>
  <c r="L1332" i="3"/>
  <c r="M1332" i="3"/>
  <c r="J1333" i="3"/>
  <c r="K1333" i="3"/>
  <c r="L1333" i="3"/>
  <c r="M1333" i="3"/>
  <c r="J1334" i="3"/>
  <c r="K1334" i="3"/>
  <c r="L1334" i="3"/>
  <c r="M1334" i="3"/>
  <c r="J1335" i="3"/>
  <c r="K1335" i="3"/>
  <c r="L1335" i="3"/>
  <c r="M1335" i="3"/>
  <c r="J1336" i="3"/>
  <c r="K1336" i="3"/>
  <c r="L1336" i="3"/>
  <c r="M1336" i="3"/>
  <c r="J1337" i="3"/>
  <c r="K1337" i="3"/>
  <c r="L1337" i="3"/>
  <c r="M1337" i="3"/>
  <c r="J1338" i="3"/>
  <c r="K1338" i="3"/>
  <c r="L1338" i="3"/>
  <c r="M1338" i="3"/>
  <c r="J1339" i="3"/>
  <c r="K1339" i="3"/>
  <c r="L1339" i="3"/>
  <c r="M1339" i="3"/>
  <c r="J1340" i="3"/>
  <c r="K1340" i="3"/>
  <c r="L1340" i="3"/>
  <c r="M1340" i="3"/>
  <c r="J1341" i="3"/>
  <c r="K1341" i="3"/>
  <c r="L1341" i="3"/>
  <c r="M1341" i="3"/>
  <c r="J1342" i="3"/>
  <c r="K1342" i="3"/>
  <c r="L1342" i="3"/>
  <c r="M1342" i="3"/>
  <c r="J1343" i="3"/>
  <c r="K1343" i="3"/>
  <c r="L1343" i="3"/>
  <c r="M1343" i="3"/>
  <c r="J1344" i="3"/>
  <c r="K1344" i="3"/>
  <c r="L1344" i="3"/>
  <c r="M1344" i="3"/>
  <c r="J1345" i="3"/>
  <c r="K1345" i="3"/>
  <c r="L1345" i="3"/>
  <c r="M1345" i="3"/>
  <c r="J1346" i="3"/>
  <c r="K1346" i="3"/>
  <c r="L1346" i="3"/>
  <c r="M1346" i="3"/>
  <c r="J1347" i="3"/>
  <c r="K1347" i="3"/>
  <c r="L1347" i="3"/>
  <c r="M1347" i="3"/>
  <c r="J1348" i="3"/>
  <c r="K1348" i="3"/>
  <c r="L1348" i="3"/>
  <c r="M1348" i="3"/>
  <c r="J1349" i="3"/>
  <c r="K1349" i="3"/>
  <c r="L1349" i="3"/>
  <c r="M1349" i="3"/>
  <c r="J1350" i="3"/>
  <c r="K1350" i="3"/>
  <c r="L1350" i="3"/>
  <c r="M1350" i="3"/>
  <c r="J1351" i="3"/>
  <c r="K1351" i="3"/>
  <c r="L1351" i="3"/>
  <c r="M1351" i="3"/>
  <c r="J1352" i="3"/>
  <c r="K1352" i="3"/>
  <c r="L1352" i="3"/>
  <c r="M1352" i="3"/>
  <c r="J1353" i="3"/>
  <c r="K1353" i="3"/>
  <c r="L1353" i="3"/>
  <c r="M1353" i="3"/>
  <c r="J1354" i="3"/>
  <c r="K1354" i="3"/>
  <c r="L1354" i="3"/>
  <c r="M1354" i="3"/>
  <c r="J1355" i="3"/>
  <c r="K1355" i="3"/>
  <c r="L1355" i="3"/>
  <c r="M1355" i="3"/>
  <c r="J1356" i="3"/>
  <c r="K1356" i="3"/>
  <c r="L1356" i="3"/>
  <c r="M1356" i="3"/>
  <c r="J1357" i="3"/>
  <c r="K1357" i="3"/>
  <c r="L1357" i="3"/>
  <c r="M1357" i="3"/>
  <c r="J1358" i="3"/>
  <c r="K1358" i="3"/>
  <c r="L1358" i="3"/>
  <c r="M1358" i="3"/>
  <c r="J1359" i="3"/>
  <c r="K1359" i="3"/>
  <c r="L1359" i="3"/>
  <c r="M1359" i="3"/>
  <c r="J1360" i="3"/>
  <c r="K1360" i="3"/>
  <c r="L1360" i="3"/>
  <c r="M1360" i="3"/>
  <c r="J1361" i="3"/>
  <c r="K1361" i="3"/>
  <c r="L1361" i="3"/>
  <c r="M1361" i="3"/>
  <c r="J1362" i="3"/>
  <c r="K1362" i="3"/>
  <c r="L1362" i="3"/>
  <c r="M1362" i="3"/>
  <c r="J1363" i="3"/>
  <c r="K1363" i="3"/>
  <c r="L1363" i="3"/>
  <c r="M1363" i="3"/>
  <c r="J1364" i="3"/>
  <c r="K1364" i="3"/>
  <c r="L1364" i="3"/>
  <c r="M1364" i="3"/>
  <c r="J1365" i="3"/>
  <c r="K1365" i="3"/>
  <c r="L1365" i="3"/>
  <c r="M1365" i="3"/>
  <c r="J1366" i="3"/>
  <c r="K1366" i="3"/>
  <c r="L1366" i="3"/>
  <c r="M1366" i="3"/>
  <c r="J1367" i="3"/>
  <c r="K1367" i="3"/>
  <c r="L1367" i="3"/>
  <c r="M1367" i="3"/>
  <c r="J1368" i="3"/>
  <c r="K1368" i="3"/>
  <c r="L1368" i="3"/>
  <c r="M1368" i="3"/>
  <c r="J1369" i="3"/>
  <c r="K1369" i="3"/>
  <c r="L1369" i="3"/>
  <c r="M1369" i="3"/>
  <c r="J1370" i="3"/>
  <c r="K1370" i="3"/>
  <c r="L1370" i="3"/>
  <c r="M1370" i="3"/>
  <c r="J1371" i="3"/>
  <c r="K1371" i="3"/>
  <c r="L1371" i="3"/>
  <c r="M1371" i="3"/>
  <c r="J1372" i="3"/>
  <c r="K1372" i="3"/>
  <c r="L1372" i="3"/>
  <c r="M1372" i="3"/>
  <c r="J1373" i="3"/>
  <c r="K1373" i="3"/>
  <c r="L1373" i="3"/>
  <c r="M1373" i="3"/>
  <c r="J1374" i="3"/>
  <c r="K1374" i="3"/>
  <c r="L1374" i="3"/>
  <c r="M1374" i="3"/>
  <c r="J1375" i="3"/>
  <c r="K1375" i="3"/>
  <c r="L1375" i="3"/>
  <c r="M1375" i="3"/>
  <c r="J1376" i="3"/>
  <c r="K1376" i="3"/>
  <c r="L1376" i="3"/>
  <c r="M1376" i="3"/>
  <c r="J1377" i="3"/>
  <c r="K1377" i="3"/>
  <c r="L1377" i="3"/>
  <c r="M1377" i="3"/>
  <c r="J1378" i="3"/>
  <c r="K1378" i="3"/>
  <c r="L1378" i="3"/>
  <c r="M1378" i="3"/>
  <c r="J1379" i="3"/>
  <c r="K1379" i="3"/>
  <c r="L1379" i="3"/>
  <c r="M1379" i="3"/>
  <c r="J1380" i="3"/>
  <c r="K1380" i="3"/>
  <c r="L1380" i="3"/>
  <c r="M1380" i="3"/>
  <c r="J1381" i="3"/>
  <c r="K1381" i="3"/>
  <c r="L1381" i="3"/>
  <c r="M1381" i="3"/>
  <c r="J1382" i="3"/>
  <c r="K1382" i="3"/>
  <c r="L1382" i="3"/>
  <c r="M1382" i="3"/>
  <c r="J1383" i="3"/>
  <c r="K1383" i="3"/>
  <c r="L1383" i="3"/>
  <c r="M1383" i="3"/>
  <c r="J1384" i="3"/>
  <c r="K1384" i="3"/>
  <c r="L1384" i="3"/>
  <c r="M1384" i="3"/>
  <c r="J1385" i="3"/>
  <c r="K1385" i="3"/>
  <c r="L1385" i="3"/>
  <c r="M1385" i="3"/>
  <c r="J1386" i="3"/>
  <c r="K1386" i="3"/>
  <c r="L1386" i="3"/>
  <c r="M1386" i="3"/>
  <c r="J1387" i="3"/>
  <c r="K1387" i="3"/>
  <c r="L1387" i="3"/>
  <c r="M1387" i="3"/>
  <c r="J1388" i="3"/>
  <c r="K1388" i="3"/>
  <c r="L1388" i="3"/>
  <c r="M1388" i="3"/>
  <c r="J1389" i="3"/>
  <c r="K1389" i="3"/>
  <c r="L1389" i="3"/>
  <c r="M1389" i="3"/>
  <c r="J1390" i="3"/>
  <c r="K1390" i="3"/>
  <c r="L1390" i="3"/>
  <c r="M1390" i="3"/>
  <c r="J1391" i="3"/>
  <c r="K1391" i="3"/>
  <c r="L1391" i="3"/>
  <c r="M1391" i="3"/>
  <c r="J1392" i="3"/>
  <c r="K1392" i="3"/>
  <c r="L1392" i="3"/>
  <c r="M1392" i="3"/>
  <c r="J1393" i="3"/>
  <c r="K1393" i="3"/>
  <c r="L1393" i="3"/>
  <c r="M1393" i="3"/>
  <c r="J1394" i="3"/>
  <c r="K1394" i="3"/>
  <c r="L1394" i="3"/>
  <c r="M1394" i="3"/>
  <c r="J1395" i="3"/>
  <c r="K1395" i="3"/>
  <c r="L1395" i="3"/>
  <c r="M1395" i="3"/>
  <c r="J1396" i="3"/>
  <c r="K1396" i="3"/>
  <c r="L1396" i="3"/>
  <c r="M1396" i="3"/>
  <c r="J1397" i="3"/>
  <c r="K1397" i="3"/>
  <c r="L1397" i="3"/>
  <c r="M1397" i="3"/>
  <c r="J1398" i="3"/>
  <c r="K1398" i="3"/>
  <c r="L1398" i="3"/>
  <c r="M1398" i="3"/>
  <c r="J1399" i="3"/>
  <c r="K1399" i="3"/>
  <c r="L1399" i="3"/>
  <c r="M1399" i="3"/>
  <c r="J1400" i="3"/>
  <c r="K1400" i="3"/>
  <c r="L1400" i="3"/>
  <c r="M1400" i="3"/>
  <c r="J1401" i="3"/>
  <c r="K1401" i="3"/>
  <c r="L1401" i="3"/>
  <c r="M1401" i="3"/>
  <c r="J1402" i="3"/>
  <c r="K1402" i="3"/>
  <c r="L1402" i="3"/>
  <c r="M1402" i="3"/>
  <c r="J1403" i="3"/>
  <c r="K1403" i="3"/>
  <c r="L1403" i="3"/>
  <c r="M1403" i="3"/>
  <c r="J1404" i="3"/>
  <c r="K1404" i="3"/>
  <c r="L1404" i="3"/>
  <c r="M1404" i="3"/>
  <c r="J1405" i="3"/>
  <c r="K1405" i="3"/>
  <c r="L1405" i="3"/>
  <c r="M1405" i="3"/>
  <c r="J1406" i="3"/>
  <c r="K1406" i="3"/>
  <c r="L1406" i="3"/>
  <c r="M1406" i="3"/>
  <c r="J1407" i="3"/>
  <c r="K1407" i="3"/>
  <c r="L1407" i="3"/>
  <c r="M1407" i="3"/>
  <c r="J1408" i="3"/>
  <c r="K1408" i="3"/>
  <c r="L1408" i="3"/>
  <c r="M1408" i="3"/>
  <c r="J1409" i="3"/>
  <c r="K1409" i="3"/>
  <c r="L1409" i="3"/>
  <c r="M1409" i="3"/>
  <c r="J1410" i="3"/>
  <c r="K1410" i="3"/>
  <c r="L1410" i="3"/>
  <c r="M1410" i="3"/>
  <c r="J1411" i="3"/>
  <c r="K1411" i="3"/>
  <c r="L1411" i="3"/>
  <c r="M1411" i="3"/>
  <c r="J1412" i="3"/>
  <c r="K1412" i="3"/>
  <c r="L1412" i="3"/>
  <c r="M1412" i="3"/>
  <c r="J1413" i="3"/>
  <c r="K1413" i="3"/>
  <c r="L1413" i="3"/>
  <c r="M1413" i="3"/>
  <c r="J1414" i="3"/>
  <c r="K1414" i="3"/>
  <c r="L1414" i="3"/>
  <c r="M1414" i="3"/>
  <c r="J1415" i="3"/>
  <c r="K1415" i="3"/>
  <c r="L1415" i="3"/>
  <c r="M1415" i="3"/>
  <c r="J1416" i="3"/>
  <c r="K1416" i="3"/>
  <c r="L1416" i="3"/>
  <c r="M1416" i="3"/>
  <c r="J1417" i="3"/>
  <c r="K1417" i="3"/>
  <c r="L1417" i="3"/>
  <c r="M1417" i="3"/>
  <c r="J1418" i="3"/>
  <c r="K1418" i="3"/>
  <c r="L1418" i="3"/>
  <c r="M1418" i="3"/>
  <c r="J1419" i="3"/>
  <c r="K1419" i="3"/>
  <c r="L1419" i="3"/>
  <c r="M1419" i="3"/>
  <c r="J1420" i="3"/>
  <c r="K1420" i="3"/>
  <c r="L1420" i="3"/>
  <c r="M1420" i="3"/>
  <c r="J1421" i="3"/>
  <c r="K1421" i="3"/>
  <c r="L1421" i="3"/>
  <c r="M1421" i="3"/>
  <c r="J1422" i="3"/>
  <c r="K1422" i="3"/>
  <c r="L1422" i="3"/>
  <c r="M1422" i="3"/>
  <c r="J1423" i="3"/>
  <c r="K1423" i="3"/>
  <c r="L1423" i="3"/>
  <c r="M1423" i="3"/>
  <c r="J1424" i="3"/>
  <c r="K1424" i="3"/>
  <c r="L1424" i="3"/>
  <c r="M1424" i="3"/>
  <c r="J1425" i="3"/>
  <c r="K1425" i="3"/>
  <c r="L1425" i="3"/>
  <c r="M1425" i="3"/>
  <c r="J1426" i="3"/>
  <c r="K1426" i="3"/>
  <c r="L1426" i="3"/>
  <c r="M1426" i="3"/>
  <c r="J1427" i="3"/>
  <c r="K1427" i="3"/>
  <c r="L1427" i="3"/>
  <c r="M1427" i="3"/>
  <c r="J1428" i="3"/>
  <c r="K1428" i="3"/>
  <c r="L1428" i="3"/>
  <c r="M1428" i="3"/>
  <c r="J1429" i="3"/>
  <c r="K1429" i="3"/>
  <c r="L1429" i="3"/>
  <c r="M1429" i="3"/>
  <c r="J1430" i="3"/>
  <c r="K1430" i="3"/>
  <c r="L1430" i="3"/>
  <c r="M1430" i="3"/>
  <c r="J1431" i="3"/>
  <c r="K1431" i="3"/>
  <c r="L1431" i="3"/>
  <c r="M1431" i="3"/>
  <c r="J1432" i="3"/>
  <c r="K1432" i="3"/>
  <c r="L1432" i="3"/>
  <c r="M1432" i="3"/>
  <c r="J1433" i="3"/>
  <c r="K1433" i="3"/>
  <c r="L1433" i="3"/>
  <c r="M1433" i="3"/>
  <c r="J1434" i="3"/>
  <c r="K1434" i="3"/>
  <c r="L1434" i="3"/>
  <c r="M1434" i="3"/>
  <c r="J1435" i="3"/>
  <c r="K1435" i="3"/>
  <c r="L1435" i="3"/>
  <c r="M1435" i="3"/>
  <c r="J1436" i="3"/>
  <c r="K1436" i="3"/>
  <c r="L1436" i="3"/>
  <c r="M1436" i="3"/>
  <c r="J1437" i="3"/>
  <c r="K1437" i="3"/>
  <c r="L1437" i="3"/>
  <c r="M1437" i="3"/>
  <c r="J1438" i="3"/>
  <c r="K1438" i="3"/>
  <c r="L1438" i="3"/>
  <c r="M1438" i="3"/>
  <c r="J1439" i="3"/>
  <c r="K1439" i="3"/>
  <c r="L1439" i="3"/>
  <c r="M1439" i="3"/>
  <c r="J1440" i="3"/>
  <c r="K1440" i="3"/>
  <c r="L1440" i="3"/>
  <c r="M1440" i="3"/>
  <c r="J1441" i="3"/>
  <c r="K1441" i="3"/>
  <c r="L1441" i="3"/>
  <c r="M1441" i="3"/>
  <c r="J1442" i="3"/>
  <c r="K1442" i="3"/>
  <c r="L1442" i="3"/>
  <c r="M1442" i="3"/>
  <c r="J1443" i="3"/>
  <c r="K1443" i="3"/>
  <c r="L1443" i="3"/>
  <c r="M1443" i="3"/>
  <c r="J1444" i="3"/>
  <c r="K1444" i="3"/>
  <c r="L1444" i="3"/>
  <c r="M1444" i="3"/>
  <c r="J1445" i="3"/>
  <c r="K1445" i="3"/>
  <c r="L1445" i="3"/>
  <c r="M1445" i="3"/>
  <c r="J1446" i="3"/>
  <c r="K1446" i="3"/>
  <c r="L1446" i="3"/>
  <c r="M1446" i="3"/>
  <c r="J1447" i="3"/>
  <c r="K1447" i="3"/>
  <c r="L1447" i="3"/>
  <c r="M1447" i="3"/>
  <c r="J1448" i="3"/>
  <c r="K1448" i="3"/>
  <c r="L1448" i="3"/>
  <c r="M1448" i="3"/>
  <c r="J1449" i="3"/>
  <c r="K1449" i="3"/>
  <c r="L1449" i="3"/>
  <c r="M1449" i="3"/>
  <c r="J1450" i="3"/>
  <c r="K1450" i="3"/>
  <c r="L1450" i="3"/>
  <c r="M1450" i="3"/>
  <c r="J1451" i="3"/>
  <c r="K1451" i="3"/>
  <c r="L1451" i="3"/>
  <c r="M1451" i="3"/>
  <c r="J1452" i="3"/>
  <c r="K1452" i="3"/>
  <c r="L1452" i="3"/>
  <c r="M1452" i="3"/>
  <c r="J1453" i="3"/>
  <c r="K1453" i="3"/>
  <c r="L1453" i="3"/>
  <c r="M1453" i="3"/>
  <c r="J1454" i="3"/>
  <c r="K1454" i="3"/>
  <c r="L1454" i="3"/>
  <c r="M1454" i="3"/>
  <c r="J1455" i="3"/>
  <c r="K1455" i="3"/>
  <c r="L1455" i="3"/>
  <c r="M1455" i="3"/>
  <c r="J1456" i="3"/>
  <c r="K1456" i="3"/>
  <c r="L1456" i="3"/>
  <c r="M1456" i="3"/>
  <c r="J1457" i="3"/>
  <c r="K1457" i="3"/>
  <c r="L1457" i="3"/>
  <c r="M1457" i="3"/>
  <c r="J1458" i="3"/>
  <c r="K1458" i="3"/>
  <c r="L1458" i="3"/>
  <c r="M1458" i="3"/>
  <c r="J1459" i="3"/>
  <c r="K1459" i="3"/>
  <c r="L1459" i="3"/>
  <c r="M1459" i="3"/>
  <c r="J1460" i="3"/>
  <c r="K1460" i="3"/>
  <c r="L1460" i="3"/>
  <c r="M1460" i="3"/>
  <c r="J1461" i="3"/>
  <c r="K1461" i="3"/>
  <c r="L1461" i="3"/>
  <c r="M1461" i="3"/>
  <c r="J1462" i="3"/>
  <c r="K1462" i="3"/>
  <c r="L1462" i="3"/>
  <c r="M1462" i="3"/>
  <c r="J1463" i="3"/>
  <c r="K1463" i="3"/>
  <c r="L1463" i="3"/>
  <c r="M1463" i="3"/>
  <c r="J1464" i="3"/>
  <c r="K1464" i="3"/>
  <c r="L1464" i="3"/>
  <c r="M1464" i="3"/>
  <c r="J1465" i="3"/>
  <c r="K1465" i="3"/>
  <c r="L1465" i="3"/>
  <c r="M1465" i="3"/>
  <c r="J1466" i="3"/>
  <c r="K1466" i="3"/>
  <c r="L1466" i="3"/>
  <c r="M1466" i="3"/>
  <c r="J1467" i="3"/>
  <c r="K1467" i="3"/>
  <c r="L1467" i="3"/>
  <c r="M1467" i="3"/>
  <c r="J1468" i="3"/>
  <c r="K1468" i="3"/>
  <c r="L1468" i="3"/>
  <c r="M1468" i="3"/>
  <c r="J1469" i="3"/>
  <c r="K1469" i="3"/>
  <c r="L1469" i="3"/>
  <c r="M1469" i="3"/>
  <c r="J1470" i="3"/>
  <c r="K1470" i="3"/>
  <c r="L1470" i="3"/>
  <c r="M1470" i="3"/>
  <c r="J1471" i="3"/>
  <c r="K1471" i="3"/>
  <c r="L1471" i="3"/>
  <c r="M1471" i="3"/>
  <c r="J1472" i="3"/>
  <c r="K1472" i="3"/>
  <c r="L1472" i="3"/>
  <c r="M1472" i="3"/>
  <c r="J1473" i="3"/>
  <c r="K1473" i="3"/>
  <c r="L1473" i="3"/>
  <c r="M1473" i="3"/>
  <c r="J1474" i="3"/>
  <c r="K1474" i="3"/>
  <c r="L1474" i="3"/>
  <c r="M1474" i="3"/>
  <c r="J1475" i="3"/>
  <c r="K1475" i="3"/>
  <c r="L1475" i="3"/>
  <c r="M1475" i="3"/>
  <c r="J1476" i="3"/>
  <c r="K1476" i="3"/>
  <c r="L1476" i="3"/>
  <c r="M1476" i="3"/>
  <c r="J1477" i="3"/>
  <c r="K1477" i="3"/>
  <c r="L1477" i="3"/>
  <c r="M1477" i="3"/>
  <c r="J1478" i="3"/>
  <c r="K1478" i="3"/>
  <c r="L1478" i="3"/>
  <c r="M1478" i="3"/>
  <c r="J1479" i="3"/>
  <c r="K1479" i="3"/>
  <c r="L1479" i="3"/>
  <c r="M1479" i="3"/>
  <c r="J1480" i="3"/>
  <c r="K1480" i="3"/>
  <c r="L1480" i="3"/>
  <c r="M1480" i="3"/>
  <c r="J1481" i="3"/>
  <c r="K1481" i="3"/>
  <c r="L1481" i="3"/>
  <c r="M1481" i="3"/>
  <c r="J1482" i="3"/>
  <c r="K1482" i="3"/>
  <c r="L1482" i="3"/>
  <c r="M1482" i="3"/>
  <c r="J1483" i="3"/>
  <c r="K1483" i="3"/>
  <c r="L1483" i="3"/>
  <c r="M1483" i="3"/>
  <c r="J1484" i="3"/>
  <c r="K1484" i="3"/>
  <c r="L1484" i="3"/>
  <c r="M1484" i="3"/>
  <c r="J1485" i="3"/>
  <c r="K1485" i="3"/>
  <c r="L1485" i="3"/>
  <c r="M1485" i="3"/>
  <c r="J1486" i="3"/>
  <c r="K1486" i="3"/>
  <c r="L1486" i="3"/>
  <c r="M1486" i="3"/>
  <c r="J1487" i="3"/>
  <c r="K1487" i="3"/>
  <c r="L1487" i="3"/>
  <c r="M1487" i="3"/>
  <c r="J1488" i="3"/>
  <c r="K1488" i="3"/>
  <c r="L1488" i="3"/>
  <c r="M1488" i="3"/>
  <c r="J1489" i="3"/>
  <c r="K1489" i="3"/>
  <c r="L1489" i="3"/>
  <c r="M1489" i="3"/>
  <c r="J1490" i="3"/>
  <c r="K1490" i="3"/>
  <c r="L1490" i="3"/>
  <c r="M1490" i="3"/>
  <c r="J1491" i="3"/>
  <c r="K1491" i="3"/>
  <c r="L1491" i="3"/>
  <c r="M1491" i="3"/>
  <c r="J1492" i="3"/>
  <c r="K1492" i="3"/>
  <c r="L1492" i="3"/>
  <c r="M1492" i="3"/>
  <c r="J1493" i="3"/>
  <c r="K1493" i="3"/>
  <c r="L1493" i="3"/>
  <c r="M1493" i="3"/>
  <c r="J1494" i="3"/>
  <c r="K1494" i="3"/>
  <c r="L1494" i="3"/>
  <c r="M1494" i="3"/>
  <c r="J1495" i="3"/>
  <c r="K1495" i="3"/>
  <c r="L1495" i="3"/>
  <c r="M1495" i="3"/>
  <c r="J1496" i="3"/>
  <c r="K1496" i="3"/>
  <c r="L1496" i="3"/>
  <c r="M1496" i="3"/>
  <c r="J1497" i="3"/>
  <c r="K1497" i="3"/>
  <c r="L1497" i="3"/>
  <c r="M1497" i="3"/>
  <c r="J1498" i="3"/>
  <c r="K1498" i="3"/>
  <c r="L1498" i="3"/>
  <c r="M1498" i="3"/>
  <c r="J1499" i="3"/>
  <c r="K1499" i="3"/>
  <c r="L1499" i="3"/>
  <c r="M1499" i="3"/>
  <c r="J1500" i="3"/>
  <c r="K1500" i="3"/>
  <c r="L1500" i="3"/>
  <c r="M1500" i="3"/>
  <c r="J1501" i="3"/>
  <c r="K1501" i="3"/>
  <c r="L1501" i="3"/>
  <c r="M1501" i="3"/>
  <c r="J1502" i="3"/>
  <c r="K1502" i="3"/>
  <c r="L1502" i="3"/>
  <c r="M1502" i="3"/>
  <c r="J1503" i="3"/>
  <c r="K1503" i="3"/>
  <c r="L1503" i="3"/>
  <c r="M1503" i="3"/>
  <c r="J1504" i="3"/>
  <c r="K1504" i="3"/>
  <c r="L1504" i="3"/>
  <c r="M1504" i="3"/>
  <c r="J1505" i="3"/>
  <c r="K1505" i="3"/>
  <c r="L1505" i="3"/>
  <c r="M1505" i="3"/>
  <c r="J1506" i="3"/>
  <c r="K1506" i="3"/>
  <c r="L1506" i="3"/>
  <c r="M1506" i="3"/>
  <c r="J1507" i="3"/>
  <c r="K1507" i="3"/>
  <c r="L1507" i="3"/>
  <c r="M1507" i="3"/>
  <c r="J1508" i="3"/>
  <c r="K1508" i="3"/>
  <c r="L1508" i="3"/>
  <c r="M1508" i="3"/>
  <c r="J1509" i="3"/>
  <c r="K1509" i="3"/>
  <c r="L1509" i="3"/>
  <c r="M1509" i="3"/>
  <c r="J1510" i="3"/>
  <c r="K1510" i="3"/>
  <c r="L1510" i="3"/>
  <c r="M1510" i="3"/>
  <c r="J1511" i="3"/>
  <c r="K1511" i="3"/>
  <c r="L1511" i="3"/>
  <c r="M1511" i="3"/>
  <c r="J1512" i="3"/>
  <c r="K1512" i="3"/>
  <c r="L1512" i="3"/>
  <c r="M1512" i="3"/>
  <c r="J1513" i="3"/>
  <c r="K1513" i="3"/>
  <c r="L1513" i="3"/>
  <c r="M1513" i="3"/>
  <c r="J1514" i="3"/>
  <c r="K1514" i="3"/>
  <c r="L1514" i="3"/>
  <c r="M1514" i="3"/>
  <c r="J1515" i="3"/>
  <c r="K1515" i="3"/>
  <c r="L1515" i="3"/>
  <c r="M1515" i="3"/>
  <c r="J1516" i="3"/>
  <c r="K1516" i="3"/>
  <c r="L1516" i="3"/>
  <c r="M1516" i="3"/>
  <c r="J1517" i="3"/>
  <c r="K1517" i="3"/>
  <c r="L1517" i="3"/>
  <c r="M1517" i="3"/>
  <c r="J1518" i="3"/>
  <c r="K1518" i="3"/>
  <c r="L1518" i="3"/>
  <c r="M1518" i="3"/>
  <c r="J1519" i="3"/>
  <c r="K1519" i="3"/>
  <c r="L1519" i="3"/>
  <c r="M1519" i="3"/>
  <c r="J1520" i="3"/>
  <c r="K1520" i="3"/>
  <c r="L1520" i="3"/>
  <c r="M1520" i="3"/>
  <c r="J1521" i="3"/>
  <c r="K1521" i="3"/>
  <c r="L1521" i="3"/>
  <c r="M1521" i="3"/>
  <c r="J1522" i="3"/>
  <c r="K1522" i="3"/>
  <c r="L1522" i="3"/>
  <c r="M1522" i="3"/>
  <c r="J1523" i="3"/>
  <c r="K1523" i="3"/>
  <c r="L1523" i="3"/>
  <c r="M1523" i="3"/>
  <c r="J1524" i="3"/>
  <c r="K1524" i="3"/>
  <c r="L1524" i="3"/>
  <c r="M1524" i="3"/>
  <c r="J1525" i="3"/>
  <c r="K1525" i="3"/>
  <c r="L1525" i="3"/>
  <c r="M1525" i="3"/>
  <c r="J1526" i="3"/>
  <c r="K1526" i="3"/>
  <c r="L1526" i="3"/>
  <c r="M1526" i="3"/>
  <c r="J1527" i="3"/>
  <c r="K1527" i="3"/>
  <c r="L1527" i="3"/>
  <c r="M1527" i="3"/>
  <c r="J1528" i="3"/>
  <c r="K1528" i="3"/>
  <c r="L1528" i="3"/>
  <c r="M1528" i="3"/>
  <c r="J1529" i="3"/>
  <c r="K1529" i="3"/>
  <c r="L1529" i="3"/>
  <c r="M1529" i="3"/>
  <c r="J1530" i="3"/>
  <c r="K1530" i="3"/>
  <c r="L1530" i="3"/>
  <c r="M1530" i="3"/>
  <c r="J1531" i="3"/>
  <c r="K1531" i="3"/>
  <c r="L1531" i="3"/>
  <c r="M1531" i="3"/>
  <c r="J1532" i="3"/>
  <c r="K1532" i="3"/>
  <c r="L1532" i="3"/>
  <c r="M1532" i="3"/>
  <c r="J1533" i="3"/>
  <c r="K1533" i="3"/>
  <c r="L1533" i="3"/>
  <c r="M1533" i="3"/>
  <c r="J1534" i="3"/>
  <c r="K1534" i="3"/>
  <c r="L1534" i="3"/>
  <c r="M1534" i="3"/>
  <c r="J1535" i="3"/>
  <c r="K1535" i="3"/>
  <c r="L1535" i="3"/>
  <c r="M1535" i="3"/>
  <c r="J1536" i="3"/>
  <c r="K1536" i="3"/>
  <c r="L1536" i="3"/>
  <c r="M1536" i="3"/>
  <c r="J1537" i="3"/>
  <c r="K1537" i="3"/>
  <c r="L1537" i="3"/>
  <c r="M1537" i="3"/>
  <c r="J1538" i="3"/>
  <c r="K1538" i="3"/>
  <c r="L1538" i="3"/>
  <c r="M1538" i="3"/>
  <c r="J1539" i="3"/>
  <c r="K1539" i="3"/>
  <c r="L1539" i="3"/>
  <c r="M1539" i="3"/>
  <c r="J1540" i="3"/>
  <c r="K1540" i="3"/>
  <c r="L1540" i="3"/>
  <c r="M1540" i="3"/>
  <c r="J1541" i="3"/>
  <c r="K1541" i="3"/>
  <c r="L1541" i="3"/>
  <c r="M1541" i="3"/>
  <c r="J1542" i="3"/>
  <c r="K1542" i="3"/>
  <c r="L1542" i="3"/>
  <c r="M1542" i="3"/>
  <c r="J1543" i="3"/>
  <c r="K1543" i="3"/>
  <c r="L1543" i="3"/>
  <c r="M1543" i="3"/>
  <c r="J1544" i="3"/>
  <c r="K1544" i="3"/>
  <c r="L1544" i="3"/>
  <c r="M1544" i="3"/>
  <c r="J1545" i="3"/>
  <c r="K1545" i="3"/>
  <c r="L1545" i="3"/>
  <c r="M1545" i="3"/>
  <c r="J1546" i="3"/>
  <c r="K1546" i="3"/>
  <c r="L1546" i="3"/>
  <c r="M1546" i="3"/>
  <c r="J1547" i="3"/>
  <c r="K1547" i="3"/>
  <c r="L1547" i="3"/>
  <c r="M1547" i="3"/>
  <c r="J1548" i="3"/>
  <c r="K1548" i="3"/>
  <c r="L1548" i="3"/>
  <c r="M1548" i="3"/>
  <c r="J1549" i="3"/>
  <c r="K1549" i="3"/>
  <c r="L1549" i="3"/>
  <c r="M1549" i="3"/>
  <c r="J1550" i="3"/>
  <c r="K1550" i="3"/>
  <c r="L1550" i="3"/>
  <c r="M1550" i="3"/>
  <c r="J1551" i="3"/>
  <c r="K1551" i="3"/>
  <c r="L1551" i="3"/>
  <c r="M1551" i="3"/>
  <c r="J1552" i="3"/>
  <c r="K1552" i="3"/>
  <c r="L1552" i="3"/>
  <c r="M1552" i="3"/>
  <c r="J1553" i="3"/>
  <c r="K1553" i="3"/>
  <c r="L1553" i="3"/>
  <c r="M1553" i="3"/>
  <c r="J1554" i="3"/>
  <c r="K1554" i="3"/>
  <c r="L1554" i="3"/>
  <c r="M1554" i="3"/>
  <c r="J1555" i="3"/>
  <c r="K1555" i="3"/>
  <c r="L1555" i="3"/>
  <c r="M1555" i="3"/>
  <c r="J1556" i="3"/>
  <c r="K1556" i="3"/>
  <c r="L1556" i="3"/>
  <c r="M1556" i="3"/>
  <c r="J1557" i="3"/>
  <c r="K1557" i="3"/>
  <c r="L1557" i="3"/>
  <c r="M1557" i="3"/>
  <c r="J1558" i="3"/>
  <c r="K1558" i="3"/>
  <c r="L1558" i="3"/>
  <c r="M1558" i="3"/>
  <c r="J1559" i="3"/>
  <c r="K1559" i="3"/>
  <c r="L1559" i="3"/>
  <c r="M1559" i="3"/>
  <c r="J1560" i="3"/>
  <c r="K1560" i="3"/>
  <c r="L1560" i="3"/>
  <c r="M1560" i="3"/>
  <c r="J1561" i="3"/>
  <c r="K1561" i="3"/>
  <c r="L1561" i="3"/>
  <c r="M1561" i="3"/>
  <c r="J1562" i="3"/>
  <c r="K1562" i="3"/>
  <c r="L1562" i="3"/>
  <c r="M1562" i="3"/>
  <c r="J1563" i="3"/>
  <c r="K1563" i="3"/>
  <c r="L1563" i="3"/>
  <c r="M1563" i="3"/>
  <c r="J1564" i="3"/>
  <c r="K1564" i="3"/>
  <c r="L1564" i="3"/>
  <c r="M1564" i="3"/>
  <c r="J1565" i="3"/>
  <c r="K1565" i="3"/>
  <c r="L1565" i="3"/>
  <c r="M1565" i="3"/>
  <c r="J1566" i="3"/>
  <c r="K1566" i="3"/>
  <c r="L1566" i="3"/>
  <c r="M1566" i="3"/>
  <c r="J1567" i="3"/>
  <c r="K1567" i="3"/>
  <c r="L1567" i="3"/>
  <c r="M1567" i="3"/>
  <c r="J1568" i="3"/>
  <c r="K1568" i="3"/>
  <c r="L1568" i="3"/>
  <c r="M1568" i="3"/>
  <c r="J1569" i="3"/>
  <c r="K1569" i="3"/>
  <c r="L1569" i="3"/>
  <c r="M1569" i="3"/>
  <c r="J1570" i="3"/>
  <c r="K1570" i="3"/>
  <c r="L1570" i="3"/>
  <c r="M1570" i="3"/>
  <c r="J1571" i="3"/>
  <c r="K1571" i="3"/>
  <c r="L1571" i="3"/>
  <c r="M1571" i="3"/>
  <c r="J1572" i="3"/>
  <c r="K1572" i="3"/>
  <c r="L1572" i="3"/>
  <c r="M1572" i="3"/>
  <c r="J1573" i="3"/>
  <c r="K1573" i="3"/>
  <c r="L1573" i="3"/>
  <c r="M1573" i="3"/>
  <c r="J1574" i="3"/>
  <c r="K1574" i="3"/>
  <c r="L1574" i="3"/>
  <c r="M1574" i="3"/>
  <c r="J1575" i="3"/>
  <c r="K1575" i="3"/>
  <c r="L1575" i="3"/>
  <c r="M1575" i="3"/>
  <c r="J1576" i="3"/>
  <c r="K1576" i="3"/>
  <c r="L1576" i="3"/>
  <c r="M1576" i="3"/>
  <c r="J1577" i="3"/>
  <c r="K1577" i="3"/>
  <c r="L1577" i="3"/>
  <c r="M1577" i="3"/>
  <c r="J1578" i="3"/>
  <c r="K1578" i="3"/>
  <c r="L1578" i="3"/>
  <c r="M1578" i="3"/>
  <c r="J1579" i="3"/>
  <c r="K1579" i="3"/>
  <c r="L1579" i="3"/>
  <c r="M1579" i="3"/>
  <c r="J1580" i="3"/>
  <c r="K1580" i="3"/>
  <c r="L1580" i="3"/>
  <c r="M1580" i="3"/>
  <c r="J1581" i="3"/>
  <c r="K1581" i="3"/>
  <c r="L1581" i="3"/>
  <c r="M1581" i="3"/>
  <c r="J1582" i="3"/>
  <c r="K1582" i="3"/>
  <c r="L1582" i="3"/>
  <c r="M1582" i="3"/>
  <c r="J1583" i="3"/>
  <c r="K1583" i="3"/>
  <c r="L1583" i="3"/>
  <c r="M1583" i="3"/>
  <c r="J1584" i="3"/>
  <c r="K1584" i="3"/>
  <c r="L1584" i="3"/>
  <c r="M1584" i="3"/>
  <c r="J1585" i="3"/>
  <c r="K1585" i="3"/>
  <c r="L1585" i="3"/>
  <c r="M1585" i="3"/>
  <c r="J1586" i="3"/>
  <c r="K1586" i="3"/>
  <c r="L1586" i="3"/>
  <c r="M1586" i="3"/>
  <c r="J1587" i="3"/>
  <c r="K1587" i="3"/>
  <c r="L1587" i="3"/>
  <c r="M1587" i="3"/>
  <c r="J1588" i="3"/>
  <c r="K1588" i="3"/>
  <c r="L1588" i="3"/>
  <c r="M1588" i="3"/>
  <c r="J1589" i="3"/>
  <c r="K1589" i="3"/>
  <c r="L1589" i="3"/>
  <c r="M1589" i="3"/>
  <c r="J1590" i="3"/>
  <c r="K1590" i="3"/>
  <c r="L1590" i="3"/>
  <c r="M1590" i="3"/>
  <c r="J1591" i="3"/>
  <c r="K1591" i="3"/>
  <c r="L1591" i="3"/>
  <c r="M1591" i="3"/>
  <c r="J1592" i="3"/>
  <c r="K1592" i="3"/>
  <c r="L1592" i="3"/>
  <c r="M1592" i="3"/>
  <c r="J1593" i="3"/>
  <c r="K1593" i="3"/>
  <c r="L1593" i="3"/>
  <c r="M1593" i="3"/>
  <c r="J1594" i="3"/>
  <c r="K1594" i="3"/>
  <c r="L1594" i="3"/>
  <c r="M1594" i="3"/>
  <c r="J1595" i="3"/>
  <c r="K1595" i="3"/>
  <c r="L1595" i="3"/>
  <c r="M1595" i="3"/>
  <c r="J1596" i="3"/>
  <c r="K1596" i="3"/>
  <c r="L1596" i="3"/>
  <c r="M1596" i="3"/>
  <c r="J1597" i="3"/>
  <c r="K1597" i="3"/>
  <c r="L1597" i="3"/>
  <c r="M1597" i="3"/>
  <c r="J1598" i="3"/>
  <c r="K1598" i="3"/>
  <c r="L1598" i="3"/>
  <c r="M1598" i="3"/>
  <c r="J1599" i="3"/>
  <c r="K1599" i="3"/>
  <c r="L1599" i="3"/>
  <c r="M1599" i="3"/>
  <c r="J1600" i="3"/>
  <c r="K1600" i="3"/>
  <c r="L1600" i="3"/>
  <c r="M1600" i="3"/>
  <c r="J1601" i="3"/>
  <c r="K1601" i="3"/>
  <c r="L1601" i="3"/>
  <c r="M1601" i="3"/>
  <c r="J1602" i="3"/>
  <c r="K1602" i="3"/>
  <c r="L1602" i="3"/>
  <c r="M1602" i="3"/>
  <c r="J1603" i="3"/>
  <c r="K1603" i="3"/>
  <c r="L1603" i="3"/>
  <c r="M1603" i="3"/>
  <c r="J1604" i="3"/>
  <c r="K1604" i="3"/>
  <c r="L1604" i="3"/>
  <c r="M1604" i="3"/>
  <c r="J1605" i="3"/>
  <c r="K1605" i="3"/>
  <c r="L1605" i="3"/>
  <c r="M1605" i="3"/>
  <c r="J1606" i="3"/>
  <c r="K1606" i="3"/>
  <c r="L1606" i="3"/>
  <c r="M1606" i="3"/>
  <c r="J1607" i="3"/>
  <c r="K1607" i="3"/>
  <c r="L1607" i="3"/>
  <c r="M1607" i="3"/>
  <c r="J1608" i="3"/>
  <c r="K1608" i="3"/>
  <c r="L1608" i="3"/>
  <c r="M1608" i="3"/>
  <c r="J1609" i="3"/>
  <c r="K1609" i="3"/>
  <c r="L1609" i="3"/>
  <c r="M1609" i="3"/>
  <c r="J1610" i="3"/>
  <c r="K1610" i="3"/>
  <c r="L1610" i="3"/>
  <c r="M1610" i="3"/>
  <c r="J1611" i="3"/>
  <c r="K1611" i="3"/>
  <c r="L1611" i="3"/>
  <c r="M1611" i="3"/>
  <c r="J1612" i="3"/>
  <c r="K1612" i="3"/>
  <c r="L1612" i="3"/>
  <c r="M1612" i="3"/>
  <c r="J1613" i="3"/>
  <c r="K1613" i="3"/>
  <c r="L1613" i="3"/>
  <c r="M1613" i="3"/>
  <c r="J1614" i="3"/>
  <c r="K1614" i="3"/>
  <c r="L1614" i="3"/>
  <c r="M1614" i="3"/>
  <c r="J1615" i="3"/>
  <c r="K1615" i="3"/>
  <c r="L1615" i="3"/>
  <c r="M1615" i="3"/>
  <c r="J1616" i="3"/>
  <c r="K1616" i="3"/>
  <c r="L1616" i="3"/>
  <c r="M1616" i="3"/>
  <c r="J1617" i="3"/>
  <c r="K1617" i="3"/>
  <c r="L1617" i="3"/>
  <c r="M1617" i="3"/>
  <c r="J1618" i="3"/>
  <c r="K1618" i="3"/>
  <c r="L1618" i="3"/>
  <c r="M1618" i="3"/>
  <c r="J1619" i="3"/>
  <c r="K1619" i="3"/>
  <c r="L1619" i="3"/>
  <c r="M1619" i="3"/>
  <c r="J1620" i="3"/>
  <c r="K1620" i="3"/>
  <c r="L1620" i="3"/>
  <c r="M1620" i="3"/>
  <c r="J1621" i="3"/>
  <c r="K1621" i="3"/>
  <c r="L1621" i="3"/>
  <c r="M1621" i="3"/>
  <c r="J1622" i="3"/>
  <c r="K1622" i="3"/>
  <c r="L1622" i="3"/>
  <c r="M1622" i="3"/>
  <c r="J1623" i="3"/>
  <c r="K1623" i="3"/>
  <c r="L1623" i="3"/>
  <c r="M1623" i="3"/>
  <c r="J1624" i="3"/>
  <c r="K1624" i="3"/>
  <c r="L1624" i="3"/>
  <c r="M1624" i="3"/>
  <c r="J1625" i="3"/>
  <c r="K1625" i="3"/>
  <c r="L1625" i="3"/>
  <c r="M1625" i="3"/>
  <c r="J1626" i="3"/>
  <c r="K1626" i="3"/>
  <c r="L1626" i="3"/>
  <c r="M1626" i="3"/>
  <c r="J1627" i="3"/>
  <c r="K1627" i="3"/>
  <c r="L1627" i="3"/>
  <c r="M1627" i="3"/>
  <c r="J1628" i="3"/>
  <c r="K1628" i="3"/>
  <c r="L1628" i="3"/>
  <c r="M1628" i="3"/>
  <c r="J1629" i="3"/>
  <c r="K1629" i="3"/>
  <c r="L1629" i="3"/>
  <c r="M1629" i="3"/>
  <c r="J1630" i="3"/>
  <c r="K1630" i="3"/>
  <c r="L1630" i="3"/>
  <c r="M1630" i="3"/>
  <c r="J1631" i="3"/>
  <c r="K1631" i="3"/>
  <c r="L1631" i="3"/>
  <c r="M1631" i="3"/>
  <c r="J1632" i="3"/>
  <c r="K1632" i="3"/>
  <c r="L1632" i="3"/>
  <c r="M1632" i="3"/>
  <c r="J1633" i="3"/>
  <c r="K1633" i="3"/>
  <c r="L1633" i="3"/>
  <c r="M1633" i="3"/>
  <c r="J1634" i="3"/>
  <c r="K1634" i="3"/>
  <c r="L1634" i="3"/>
  <c r="M1634" i="3"/>
  <c r="J1635" i="3"/>
  <c r="K1635" i="3"/>
  <c r="L1635" i="3"/>
  <c r="M1635" i="3"/>
  <c r="J1636" i="3"/>
  <c r="K1636" i="3"/>
  <c r="L1636" i="3"/>
  <c r="M1636" i="3"/>
  <c r="J1637" i="3"/>
  <c r="K1637" i="3"/>
  <c r="L1637" i="3"/>
  <c r="M1637" i="3"/>
  <c r="J1638" i="3"/>
  <c r="K1638" i="3"/>
  <c r="L1638" i="3"/>
  <c r="M1638" i="3"/>
  <c r="J1639" i="3"/>
  <c r="K1639" i="3"/>
  <c r="L1639" i="3"/>
  <c r="M1639" i="3"/>
  <c r="J1640" i="3"/>
  <c r="K1640" i="3"/>
  <c r="L1640" i="3"/>
  <c r="M1640" i="3"/>
  <c r="J1641" i="3"/>
  <c r="K1641" i="3"/>
  <c r="L1641" i="3"/>
  <c r="M1641" i="3"/>
  <c r="J1642" i="3"/>
  <c r="K1642" i="3"/>
  <c r="L1642" i="3"/>
  <c r="M1642" i="3"/>
  <c r="J1643" i="3"/>
  <c r="K1643" i="3"/>
  <c r="L1643" i="3"/>
  <c r="M1643" i="3"/>
  <c r="J1644" i="3"/>
  <c r="K1644" i="3"/>
  <c r="L1644" i="3"/>
  <c r="M1644" i="3"/>
  <c r="J1645" i="3"/>
  <c r="K1645" i="3"/>
  <c r="L1645" i="3"/>
  <c r="M1645" i="3"/>
  <c r="J1646" i="3"/>
  <c r="K1646" i="3"/>
  <c r="L1646" i="3"/>
  <c r="M1646" i="3"/>
  <c r="J1647" i="3"/>
  <c r="K1647" i="3"/>
  <c r="L1647" i="3"/>
  <c r="M1647" i="3"/>
  <c r="J1648" i="3"/>
  <c r="K1648" i="3"/>
  <c r="L1648" i="3"/>
  <c r="M1648" i="3"/>
  <c r="J1649" i="3"/>
  <c r="K1649" i="3"/>
  <c r="L1649" i="3"/>
  <c r="M1649" i="3"/>
  <c r="J1650" i="3"/>
  <c r="K1650" i="3"/>
  <c r="L1650" i="3"/>
  <c r="M1650" i="3"/>
  <c r="J1651" i="3"/>
  <c r="K1651" i="3"/>
  <c r="L1651" i="3"/>
  <c r="M1651" i="3"/>
  <c r="J1652" i="3"/>
  <c r="K1652" i="3"/>
  <c r="L1652" i="3"/>
  <c r="M1652" i="3"/>
  <c r="J1653" i="3"/>
  <c r="K1653" i="3"/>
  <c r="L1653" i="3"/>
  <c r="M1653" i="3"/>
  <c r="J1654" i="3"/>
  <c r="K1654" i="3"/>
  <c r="L1654" i="3"/>
  <c r="M1654" i="3"/>
  <c r="J1655" i="3"/>
  <c r="K1655" i="3"/>
  <c r="L1655" i="3"/>
  <c r="M1655" i="3"/>
  <c r="J1656" i="3"/>
  <c r="K1656" i="3"/>
  <c r="L1656" i="3"/>
  <c r="M1656" i="3"/>
  <c r="J1657" i="3"/>
  <c r="K1657" i="3"/>
  <c r="L1657" i="3"/>
  <c r="M1657" i="3"/>
  <c r="J1658" i="3"/>
  <c r="K1658" i="3"/>
  <c r="L1658" i="3"/>
  <c r="M1658" i="3"/>
  <c r="J1659" i="3"/>
  <c r="K1659" i="3"/>
  <c r="L1659" i="3"/>
  <c r="M1659" i="3"/>
  <c r="J1660" i="3"/>
  <c r="K1660" i="3"/>
  <c r="L1660" i="3"/>
  <c r="M1660" i="3"/>
  <c r="J1661" i="3"/>
  <c r="K1661" i="3"/>
  <c r="L1661" i="3"/>
  <c r="M1661" i="3"/>
  <c r="J1662" i="3"/>
  <c r="K1662" i="3"/>
  <c r="L1662" i="3"/>
  <c r="M1662" i="3"/>
  <c r="J1663" i="3"/>
  <c r="K1663" i="3"/>
  <c r="L1663" i="3"/>
  <c r="M1663" i="3"/>
  <c r="J1664" i="3"/>
  <c r="K1664" i="3"/>
  <c r="L1664" i="3"/>
  <c r="M1664" i="3"/>
  <c r="J1665" i="3"/>
  <c r="K1665" i="3"/>
  <c r="L1665" i="3"/>
  <c r="M1665" i="3"/>
  <c r="J1666" i="3"/>
  <c r="K1666" i="3"/>
  <c r="L1666" i="3"/>
  <c r="M1666" i="3"/>
  <c r="J1667" i="3"/>
  <c r="K1667" i="3"/>
  <c r="L1667" i="3"/>
  <c r="M1667" i="3"/>
  <c r="J1668" i="3"/>
  <c r="K1668" i="3"/>
  <c r="L1668" i="3"/>
  <c r="M1668" i="3"/>
  <c r="J1669" i="3"/>
  <c r="K1669" i="3"/>
  <c r="L1669" i="3"/>
  <c r="M1669" i="3"/>
  <c r="J1670" i="3"/>
  <c r="K1670" i="3"/>
  <c r="L1670" i="3"/>
  <c r="M1670" i="3"/>
  <c r="J1671" i="3"/>
  <c r="K1671" i="3"/>
  <c r="L1671" i="3"/>
  <c r="M1671" i="3"/>
  <c r="J1672" i="3"/>
  <c r="K1672" i="3"/>
  <c r="L1672" i="3"/>
  <c r="M1672" i="3"/>
  <c r="J1673" i="3"/>
  <c r="K1673" i="3"/>
  <c r="L1673" i="3"/>
  <c r="M1673" i="3"/>
  <c r="J1674" i="3"/>
  <c r="K1674" i="3"/>
  <c r="L1674" i="3"/>
  <c r="M1674" i="3"/>
  <c r="J1675" i="3"/>
  <c r="K1675" i="3"/>
  <c r="L1675" i="3"/>
  <c r="M1675" i="3"/>
  <c r="J1676" i="3"/>
  <c r="K1676" i="3"/>
  <c r="L1676" i="3"/>
  <c r="M1676" i="3"/>
  <c r="J1677" i="3"/>
  <c r="K1677" i="3"/>
  <c r="L1677" i="3"/>
  <c r="M1677" i="3"/>
  <c r="J1678" i="3"/>
  <c r="K1678" i="3"/>
  <c r="L1678" i="3"/>
  <c r="M1678" i="3"/>
  <c r="J1679" i="3"/>
  <c r="K1679" i="3"/>
  <c r="L1679" i="3"/>
  <c r="M1679" i="3"/>
  <c r="J1680" i="3"/>
  <c r="K1680" i="3"/>
  <c r="L1680" i="3"/>
  <c r="M1680" i="3"/>
  <c r="J1681" i="3"/>
  <c r="K1681" i="3"/>
  <c r="L1681" i="3"/>
  <c r="M1681" i="3"/>
  <c r="J1682" i="3"/>
  <c r="K1682" i="3"/>
  <c r="L1682" i="3"/>
  <c r="M1682" i="3"/>
  <c r="J1683" i="3"/>
  <c r="K1683" i="3"/>
  <c r="L1683" i="3"/>
  <c r="M1683" i="3"/>
  <c r="J1684" i="3"/>
  <c r="K1684" i="3"/>
  <c r="L1684" i="3"/>
  <c r="M1684" i="3"/>
  <c r="J1685" i="3"/>
  <c r="K1685" i="3"/>
  <c r="L1685" i="3"/>
  <c r="M1685" i="3"/>
  <c r="J1686" i="3"/>
  <c r="K1686" i="3"/>
  <c r="L1686" i="3"/>
  <c r="M1686" i="3"/>
  <c r="J1687" i="3"/>
  <c r="K1687" i="3"/>
  <c r="L1687" i="3"/>
  <c r="M1687" i="3"/>
  <c r="J1688" i="3"/>
  <c r="K1688" i="3"/>
  <c r="L1688" i="3"/>
  <c r="M1688" i="3"/>
  <c r="J1689" i="3"/>
  <c r="K1689" i="3"/>
  <c r="L1689" i="3"/>
  <c r="M1689" i="3"/>
  <c r="J1690" i="3"/>
  <c r="K1690" i="3"/>
  <c r="L1690" i="3"/>
  <c r="M1690" i="3"/>
  <c r="J1691" i="3"/>
  <c r="K1691" i="3"/>
  <c r="L1691" i="3"/>
  <c r="M1691" i="3"/>
  <c r="J1692" i="3"/>
  <c r="K1692" i="3"/>
  <c r="L1692" i="3"/>
  <c r="M1692" i="3"/>
  <c r="J1693" i="3"/>
  <c r="K1693" i="3"/>
  <c r="L1693" i="3"/>
  <c r="M1693" i="3"/>
  <c r="J1694" i="3"/>
  <c r="K1694" i="3"/>
  <c r="L1694" i="3"/>
  <c r="M1694" i="3"/>
  <c r="J1695" i="3"/>
  <c r="K1695" i="3"/>
  <c r="L1695" i="3"/>
  <c r="M1695" i="3"/>
  <c r="J1696" i="3"/>
  <c r="K1696" i="3"/>
  <c r="L1696" i="3"/>
  <c r="M1696" i="3"/>
  <c r="J1697" i="3"/>
  <c r="K1697" i="3"/>
  <c r="L1697" i="3"/>
  <c r="M1697" i="3"/>
  <c r="J1698" i="3"/>
  <c r="K1698" i="3"/>
  <c r="L1698" i="3"/>
  <c r="M1698" i="3"/>
  <c r="J1699" i="3"/>
  <c r="K1699" i="3"/>
  <c r="L1699" i="3"/>
  <c r="M1699" i="3"/>
  <c r="J1700" i="3"/>
  <c r="K1700" i="3"/>
  <c r="L1700" i="3"/>
  <c r="M1700" i="3"/>
  <c r="J1701" i="3"/>
  <c r="K1701" i="3"/>
  <c r="L1701" i="3"/>
  <c r="M1701" i="3"/>
  <c r="J1702" i="3"/>
  <c r="K1702" i="3"/>
  <c r="L1702" i="3"/>
  <c r="M1702" i="3"/>
  <c r="J1703" i="3"/>
  <c r="K1703" i="3"/>
  <c r="L1703" i="3"/>
  <c r="M1703" i="3"/>
  <c r="J1704" i="3"/>
  <c r="K1704" i="3"/>
  <c r="L1704" i="3"/>
  <c r="M1704" i="3"/>
  <c r="J1705" i="3"/>
  <c r="K1705" i="3"/>
  <c r="L1705" i="3"/>
  <c r="M1705" i="3"/>
  <c r="J1706" i="3"/>
  <c r="K1706" i="3"/>
  <c r="L1706" i="3"/>
  <c r="M1706" i="3"/>
  <c r="J1707" i="3"/>
  <c r="K1707" i="3"/>
  <c r="L1707" i="3"/>
  <c r="M1707" i="3"/>
  <c r="J1708" i="3"/>
  <c r="K1708" i="3"/>
  <c r="L1708" i="3"/>
  <c r="M1708" i="3"/>
  <c r="J1709" i="3"/>
  <c r="K1709" i="3"/>
  <c r="L1709" i="3"/>
  <c r="M1709" i="3"/>
  <c r="J1710" i="3"/>
  <c r="K1710" i="3"/>
  <c r="L1710" i="3"/>
  <c r="M1710" i="3"/>
  <c r="J1711" i="3"/>
  <c r="K1711" i="3"/>
  <c r="L1711" i="3"/>
  <c r="M1711" i="3"/>
  <c r="J1712" i="3"/>
  <c r="K1712" i="3"/>
  <c r="L1712" i="3"/>
  <c r="M1712" i="3"/>
  <c r="J1713" i="3"/>
  <c r="K1713" i="3"/>
  <c r="L1713" i="3"/>
  <c r="M1713" i="3"/>
  <c r="J1714" i="3"/>
  <c r="K1714" i="3"/>
  <c r="L1714" i="3"/>
  <c r="M1714" i="3"/>
  <c r="J1715" i="3"/>
  <c r="K1715" i="3"/>
  <c r="L1715" i="3"/>
  <c r="M1715" i="3"/>
  <c r="J1716" i="3"/>
  <c r="K1716" i="3"/>
  <c r="L1716" i="3"/>
  <c r="M1716" i="3"/>
  <c r="J1717" i="3"/>
  <c r="K1717" i="3"/>
  <c r="L1717" i="3"/>
  <c r="M1717" i="3"/>
  <c r="J1718" i="3"/>
  <c r="K1718" i="3"/>
  <c r="L1718" i="3"/>
  <c r="M1718" i="3"/>
  <c r="J1719" i="3"/>
  <c r="K1719" i="3"/>
  <c r="L1719" i="3"/>
  <c r="M1719" i="3"/>
  <c r="J1720" i="3"/>
  <c r="K1720" i="3"/>
  <c r="L1720" i="3"/>
  <c r="M1720" i="3"/>
  <c r="J1721" i="3"/>
  <c r="K1721" i="3"/>
  <c r="L1721" i="3"/>
  <c r="M1721" i="3"/>
  <c r="J1722" i="3"/>
  <c r="K1722" i="3"/>
  <c r="L1722" i="3"/>
  <c r="M1722" i="3"/>
  <c r="J1723" i="3"/>
  <c r="K1723" i="3"/>
  <c r="L1723" i="3"/>
  <c r="M1723" i="3"/>
  <c r="J1724" i="3"/>
  <c r="K1724" i="3"/>
  <c r="L1724" i="3"/>
  <c r="M1724" i="3"/>
  <c r="J1725" i="3"/>
  <c r="K1725" i="3"/>
  <c r="L1725" i="3"/>
  <c r="M1725" i="3"/>
  <c r="J1726" i="3"/>
  <c r="K1726" i="3"/>
  <c r="L1726" i="3"/>
  <c r="M1726" i="3"/>
  <c r="J1727" i="3"/>
  <c r="K1727" i="3"/>
  <c r="L1727" i="3"/>
  <c r="M1727" i="3"/>
  <c r="J1728" i="3"/>
  <c r="K1728" i="3"/>
  <c r="L1728" i="3"/>
  <c r="M1728" i="3"/>
  <c r="J1729" i="3"/>
  <c r="K1729" i="3"/>
  <c r="L1729" i="3"/>
  <c r="M1729" i="3"/>
  <c r="J1730" i="3"/>
  <c r="K1730" i="3"/>
  <c r="L1730" i="3"/>
  <c r="M1730" i="3"/>
  <c r="J1731" i="3"/>
  <c r="K1731" i="3"/>
  <c r="L1731" i="3"/>
  <c r="M1731" i="3"/>
  <c r="J1732" i="3"/>
  <c r="K1732" i="3"/>
  <c r="L1732" i="3"/>
  <c r="M1732" i="3"/>
  <c r="J1733" i="3"/>
  <c r="K1733" i="3"/>
  <c r="L1733" i="3"/>
  <c r="M1733" i="3"/>
  <c r="J1734" i="3"/>
  <c r="K1734" i="3"/>
  <c r="L1734" i="3"/>
  <c r="M1734" i="3"/>
  <c r="J1735" i="3"/>
  <c r="K1735" i="3"/>
  <c r="L1735" i="3"/>
  <c r="M1735" i="3"/>
  <c r="J1736" i="3"/>
  <c r="K1736" i="3"/>
  <c r="L1736" i="3"/>
  <c r="M1736" i="3"/>
  <c r="J1737" i="3"/>
  <c r="K1737" i="3"/>
  <c r="L1737" i="3"/>
  <c r="M1737" i="3"/>
  <c r="J1738" i="3"/>
  <c r="K1738" i="3"/>
  <c r="L1738" i="3"/>
  <c r="M1738" i="3"/>
  <c r="J1739" i="3"/>
  <c r="K1739" i="3"/>
  <c r="L1739" i="3"/>
  <c r="M1739" i="3"/>
  <c r="J1740" i="3"/>
  <c r="K1740" i="3"/>
  <c r="L1740" i="3"/>
  <c r="M1740" i="3"/>
  <c r="J1741" i="3"/>
  <c r="K1741" i="3"/>
  <c r="L1741" i="3"/>
  <c r="M1741" i="3"/>
  <c r="J1742" i="3"/>
  <c r="K1742" i="3"/>
  <c r="L1742" i="3"/>
  <c r="M1742" i="3"/>
  <c r="J1743" i="3"/>
  <c r="K1743" i="3"/>
  <c r="L1743" i="3"/>
  <c r="M1743" i="3"/>
  <c r="J1744" i="3"/>
  <c r="K1744" i="3"/>
  <c r="L1744" i="3"/>
  <c r="M1744" i="3"/>
  <c r="J1745" i="3"/>
  <c r="K1745" i="3"/>
  <c r="L1745" i="3"/>
  <c r="M1745" i="3"/>
  <c r="J1746" i="3"/>
  <c r="K1746" i="3"/>
  <c r="L1746" i="3"/>
  <c r="M1746" i="3"/>
  <c r="J1747" i="3"/>
  <c r="K1747" i="3"/>
  <c r="L1747" i="3"/>
  <c r="M1747" i="3"/>
  <c r="J1748" i="3"/>
  <c r="K1748" i="3"/>
  <c r="L1748" i="3"/>
  <c r="M1748" i="3"/>
  <c r="J1749" i="3"/>
  <c r="K1749" i="3"/>
  <c r="L1749" i="3"/>
  <c r="M1749" i="3"/>
  <c r="J1750" i="3"/>
  <c r="K1750" i="3"/>
  <c r="L1750" i="3"/>
  <c r="M1750" i="3"/>
  <c r="J1751" i="3"/>
  <c r="K1751" i="3"/>
  <c r="L1751" i="3"/>
  <c r="M1751" i="3"/>
  <c r="J1752" i="3"/>
  <c r="K1752" i="3"/>
  <c r="L1752" i="3"/>
  <c r="M1752" i="3"/>
  <c r="J1753" i="3"/>
  <c r="K1753" i="3"/>
  <c r="L1753" i="3"/>
  <c r="M1753" i="3"/>
  <c r="J1754" i="3"/>
  <c r="K1754" i="3"/>
  <c r="L1754" i="3"/>
  <c r="M1754" i="3"/>
  <c r="J1755" i="3"/>
  <c r="K1755" i="3"/>
  <c r="L1755" i="3"/>
  <c r="M1755" i="3"/>
  <c r="J1756" i="3"/>
  <c r="K1756" i="3"/>
  <c r="L1756" i="3"/>
  <c r="M1756" i="3"/>
  <c r="J1757" i="3"/>
  <c r="K1757" i="3"/>
  <c r="L1757" i="3"/>
  <c r="M1757" i="3"/>
  <c r="J1758" i="3"/>
  <c r="K1758" i="3"/>
  <c r="L1758" i="3"/>
  <c r="M1758" i="3"/>
  <c r="J1759" i="3"/>
  <c r="K1759" i="3"/>
  <c r="L1759" i="3"/>
  <c r="M1759" i="3"/>
  <c r="J1760" i="3"/>
  <c r="K1760" i="3"/>
  <c r="L1760" i="3"/>
  <c r="M1760" i="3"/>
  <c r="J1761" i="3"/>
  <c r="K1761" i="3"/>
  <c r="L1761" i="3"/>
  <c r="M1761" i="3"/>
  <c r="J1762" i="3"/>
  <c r="K1762" i="3"/>
  <c r="L1762" i="3"/>
  <c r="M1762" i="3"/>
  <c r="J1763" i="3"/>
  <c r="K1763" i="3"/>
  <c r="L1763" i="3"/>
  <c r="M1763" i="3"/>
  <c r="J1764" i="3"/>
  <c r="K1764" i="3"/>
  <c r="L1764" i="3"/>
  <c r="M1764" i="3"/>
  <c r="J1765" i="3"/>
  <c r="K1765" i="3"/>
  <c r="L1765" i="3"/>
  <c r="M1765" i="3"/>
  <c r="J1766" i="3"/>
  <c r="K1766" i="3"/>
  <c r="L1766" i="3"/>
  <c r="M1766" i="3"/>
  <c r="J1767" i="3"/>
  <c r="K1767" i="3"/>
  <c r="L1767" i="3"/>
  <c r="M1767" i="3"/>
  <c r="J1768" i="3"/>
  <c r="K1768" i="3"/>
  <c r="L1768" i="3"/>
  <c r="M1768" i="3"/>
  <c r="J1769" i="3"/>
  <c r="K1769" i="3"/>
  <c r="L1769" i="3"/>
  <c r="M1769" i="3"/>
  <c r="J1770" i="3"/>
  <c r="K1770" i="3"/>
  <c r="L1770" i="3"/>
  <c r="M1770" i="3"/>
  <c r="J1771" i="3"/>
  <c r="K1771" i="3"/>
  <c r="L1771" i="3"/>
  <c r="M1771" i="3"/>
  <c r="J1772" i="3"/>
  <c r="K1772" i="3"/>
  <c r="L1772" i="3"/>
  <c r="M1772" i="3"/>
  <c r="J1773" i="3"/>
  <c r="K1773" i="3"/>
  <c r="L1773" i="3"/>
  <c r="M1773" i="3"/>
  <c r="J1774" i="3"/>
  <c r="K1774" i="3"/>
  <c r="L1774" i="3"/>
  <c r="M1774" i="3"/>
  <c r="J1775" i="3"/>
  <c r="K1775" i="3"/>
  <c r="L1775" i="3"/>
  <c r="M1775" i="3"/>
  <c r="J1776" i="3"/>
  <c r="K1776" i="3"/>
  <c r="L1776" i="3"/>
  <c r="M1776" i="3"/>
  <c r="J1777" i="3"/>
  <c r="K1777" i="3"/>
  <c r="L1777" i="3"/>
  <c r="M1777" i="3"/>
  <c r="J1778" i="3"/>
  <c r="K1778" i="3"/>
  <c r="L1778" i="3"/>
  <c r="M1778" i="3"/>
  <c r="J1779" i="3"/>
  <c r="K1779" i="3"/>
  <c r="L1779" i="3"/>
  <c r="M1779" i="3"/>
  <c r="J1780" i="3"/>
  <c r="K1780" i="3"/>
  <c r="L1780" i="3"/>
  <c r="M1780" i="3"/>
  <c r="J1781" i="3"/>
  <c r="K1781" i="3"/>
  <c r="L1781" i="3"/>
  <c r="M1781" i="3"/>
  <c r="J1782" i="3"/>
  <c r="K1782" i="3"/>
  <c r="L1782" i="3"/>
  <c r="M1782" i="3"/>
  <c r="J1783" i="3"/>
  <c r="K1783" i="3"/>
  <c r="L1783" i="3"/>
  <c r="M1783" i="3"/>
  <c r="J1784" i="3"/>
  <c r="K1784" i="3"/>
  <c r="L1784" i="3"/>
  <c r="M1784" i="3"/>
  <c r="J1785" i="3"/>
  <c r="K1785" i="3"/>
  <c r="L1785" i="3"/>
  <c r="M1785" i="3"/>
  <c r="J1786" i="3"/>
  <c r="K1786" i="3"/>
  <c r="L1786" i="3"/>
  <c r="M1786" i="3"/>
  <c r="J1787" i="3"/>
  <c r="K1787" i="3"/>
  <c r="L1787" i="3"/>
  <c r="M1787" i="3"/>
  <c r="J1788" i="3"/>
  <c r="K1788" i="3"/>
  <c r="L1788" i="3"/>
  <c r="M1788" i="3"/>
  <c r="J1789" i="3"/>
  <c r="K1789" i="3"/>
  <c r="L1789" i="3"/>
  <c r="M1789" i="3"/>
  <c r="J1790" i="3"/>
  <c r="K1790" i="3"/>
  <c r="L1790" i="3"/>
  <c r="M1790" i="3"/>
  <c r="J1791" i="3"/>
  <c r="K1791" i="3"/>
  <c r="L1791" i="3"/>
  <c r="M1791" i="3"/>
  <c r="J1792" i="3"/>
  <c r="K1792" i="3"/>
  <c r="L1792" i="3"/>
  <c r="M1792" i="3"/>
  <c r="J1793" i="3"/>
  <c r="K1793" i="3"/>
  <c r="L1793" i="3"/>
  <c r="M1793" i="3"/>
  <c r="J1794" i="3"/>
  <c r="K1794" i="3"/>
  <c r="L1794" i="3"/>
  <c r="M1794" i="3"/>
  <c r="J1795" i="3"/>
  <c r="K1795" i="3"/>
  <c r="L1795" i="3"/>
  <c r="M1795" i="3"/>
  <c r="J1796" i="3"/>
  <c r="K1796" i="3"/>
  <c r="L1796" i="3"/>
  <c r="M1796" i="3"/>
  <c r="J1797" i="3"/>
  <c r="K1797" i="3"/>
  <c r="L1797" i="3"/>
  <c r="M1797" i="3"/>
  <c r="J1798" i="3"/>
  <c r="K1798" i="3"/>
  <c r="L1798" i="3"/>
  <c r="M1798" i="3"/>
  <c r="J1799" i="3"/>
  <c r="K1799" i="3"/>
  <c r="L1799" i="3"/>
  <c r="M1799" i="3"/>
  <c r="J1800" i="3"/>
  <c r="K1800" i="3"/>
  <c r="L1800" i="3"/>
  <c r="M1800" i="3"/>
  <c r="J1801" i="3"/>
  <c r="K1801" i="3"/>
  <c r="L1801" i="3"/>
  <c r="M1801" i="3"/>
  <c r="J1802" i="3"/>
  <c r="K1802" i="3"/>
  <c r="L1802" i="3"/>
  <c r="M1802" i="3"/>
  <c r="J1803" i="3"/>
  <c r="K1803" i="3"/>
  <c r="L1803" i="3"/>
  <c r="M1803" i="3"/>
  <c r="J1804" i="3"/>
  <c r="K1804" i="3"/>
  <c r="L1804" i="3"/>
  <c r="M1804" i="3"/>
  <c r="J1805" i="3"/>
  <c r="K1805" i="3"/>
  <c r="L1805" i="3"/>
  <c r="M1805" i="3"/>
  <c r="J1806" i="3"/>
  <c r="K1806" i="3"/>
  <c r="L1806" i="3"/>
  <c r="M1806" i="3"/>
  <c r="J1807" i="3"/>
  <c r="K1807" i="3"/>
  <c r="L1807" i="3"/>
  <c r="M1807" i="3"/>
  <c r="J1808" i="3"/>
  <c r="K1808" i="3"/>
  <c r="L1808" i="3"/>
  <c r="M1808" i="3"/>
  <c r="J1809" i="3"/>
  <c r="K1809" i="3"/>
  <c r="L1809" i="3"/>
  <c r="M1809" i="3"/>
  <c r="J1810" i="3"/>
  <c r="K1810" i="3"/>
  <c r="L1810" i="3"/>
  <c r="M1810" i="3"/>
  <c r="J1811" i="3"/>
  <c r="K1811" i="3"/>
  <c r="L1811" i="3"/>
  <c r="M1811" i="3"/>
  <c r="J1812" i="3"/>
  <c r="K1812" i="3"/>
  <c r="L1812" i="3"/>
  <c r="M1812" i="3"/>
  <c r="J1813" i="3"/>
  <c r="K1813" i="3"/>
  <c r="L1813" i="3"/>
  <c r="M1813" i="3"/>
  <c r="J1814" i="3"/>
  <c r="K1814" i="3"/>
  <c r="L1814" i="3"/>
  <c r="M1814" i="3"/>
  <c r="J1815" i="3"/>
  <c r="K1815" i="3"/>
  <c r="L1815" i="3"/>
  <c r="M1815" i="3"/>
  <c r="J1816" i="3"/>
  <c r="K1816" i="3"/>
  <c r="L1816" i="3"/>
  <c r="M1816" i="3"/>
  <c r="J1817" i="3"/>
  <c r="K1817" i="3"/>
  <c r="L1817" i="3"/>
  <c r="M1817" i="3"/>
  <c r="J1818" i="3"/>
  <c r="K1818" i="3"/>
  <c r="L1818" i="3"/>
  <c r="M1818" i="3"/>
  <c r="J1819" i="3"/>
  <c r="K1819" i="3"/>
  <c r="L1819" i="3"/>
  <c r="M1819" i="3"/>
  <c r="J1820" i="3"/>
  <c r="K1820" i="3"/>
  <c r="L1820" i="3"/>
  <c r="M1820" i="3"/>
  <c r="J1821" i="3"/>
  <c r="K1821" i="3"/>
  <c r="L1821" i="3"/>
  <c r="M1821" i="3"/>
  <c r="J1822" i="3"/>
  <c r="K1822" i="3"/>
  <c r="L1822" i="3"/>
  <c r="M1822" i="3"/>
  <c r="J1823" i="3"/>
  <c r="K1823" i="3"/>
  <c r="L1823" i="3"/>
  <c r="M1823" i="3"/>
  <c r="J1824" i="3"/>
  <c r="K1824" i="3"/>
  <c r="L1824" i="3"/>
  <c r="M1824" i="3"/>
  <c r="J1825" i="3"/>
  <c r="K1825" i="3"/>
  <c r="L1825" i="3"/>
  <c r="M1825" i="3"/>
  <c r="J1826" i="3"/>
  <c r="K1826" i="3"/>
  <c r="L1826" i="3"/>
  <c r="M1826" i="3"/>
  <c r="J1827" i="3"/>
  <c r="K1827" i="3"/>
  <c r="L1827" i="3"/>
  <c r="M1827" i="3"/>
  <c r="J1828" i="3"/>
  <c r="K1828" i="3"/>
  <c r="L1828" i="3"/>
  <c r="M1828" i="3"/>
  <c r="J1829" i="3"/>
  <c r="K1829" i="3"/>
  <c r="L1829" i="3"/>
  <c r="M1829" i="3"/>
  <c r="J1830" i="3"/>
  <c r="K1830" i="3"/>
  <c r="L1830" i="3"/>
  <c r="M1830" i="3"/>
  <c r="J1831" i="3"/>
  <c r="K1831" i="3"/>
  <c r="L1831" i="3"/>
  <c r="M1831" i="3"/>
  <c r="J1832" i="3"/>
  <c r="K1832" i="3"/>
  <c r="L1832" i="3"/>
  <c r="M1832" i="3"/>
  <c r="J1833" i="3"/>
  <c r="K1833" i="3"/>
  <c r="L1833" i="3"/>
  <c r="M1833" i="3"/>
  <c r="J1834" i="3"/>
  <c r="K1834" i="3"/>
  <c r="L1834" i="3"/>
  <c r="M1834" i="3"/>
  <c r="J1835" i="3"/>
  <c r="K1835" i="3"/>
  <c r="L1835" i="3"/>
  <c r="M1835" i="3"/>
  <c r="J1836" i="3"/>
  <c r="K1836" i="3"/>
  <c r="L1836" i="3"/>
  <c r="M1836" i="3"/>
  <c r="J1837" i="3"/>
  <c r="K1837" i="3"/>
  <c r="L1837" i="3"/>
  <c r="M1837" i="3"/>
  <c r="J1838" i="3"/>
  <c r="K1838" i="3"/>
  <c r="L1838" i="3"/>
  <c r="M1838" i="3"/>
  <c r="J1839" i="3"/>
  <c r="K1839" i="3"/>
  <c r="L1839" i="3"/>
  <c r="M1839" i="3"/>
  <c r="J1840" i="3"/>
  <c r="K1840" i="3"/>
  <c r="L1840" i="3"/>
  <c r="M1840" i="3"/>
  <c r="J1841" i="3"/>
  <c r="K1841" i="3"/>
  <c r="L1841" i="3"/>
  <c r="M1841" i="3"/>
  <c r="J1842" i="3"/>
  <c r="K1842" i="3"/>
  <c r="L1842" i="3"/>
  <c r="M1842" i="3"/>
  <c r="J1843" i="3"/>
  <c r="K1843" i="3"/>
  <c r="L1843" i="3"/>
  <c r="M1843" i="3"/>
  <c r="J1844" i="3"/>
  <c r="K1844" i="3"/>
  <c r="L1844" i="3"/>
  <c r="M1844" i="3"/>
  <c r="J1845" i="3"/>
  <c r="K1845" i="3"/>
  <c r="L1845" i="3"/>
  <c r="M1845" i="3"/>
  <c r="J1846" i="3"/>
  <c r="K1846" i="3"/>
  <c r="L1846" i="3"/>
  <c r="M1846" i="3"/>
  <c r="J1847" i="3"/>
  <c r="K1847" i="3"/>
  <c r="L1847" i="3"/>
  <c r="M1847" i="3"/>
  <c r="J1848" i="3"/>
  <c r="K1848" i="3"/>
  <c r="L1848" i="3"/>
  <c r="M1848" i="3"/>
  <c r="J1849" i="3"/>
  <c r="K1849" i="3"/>
  <c r="L1849" i="3"/>
  <c r="M1849" i="3"/>
  <c r="J1850" i="3"/>
  <c r="K1850" i="3"/>
  <c r="L1850" i="3"/>
  <c r="M1850" i="3"/>
  <c r="J1851" i="3"/>
  <c r="K1851" i="3"/>
  <c r="L1851" i="3"/>
  <c r="M1851" i="3"/>
  <c r="J1852" i="3"/>
  <c r="K1852" i="3"/>
  <c r="L1852" i="3"/>
  <c r="M1852" i="3"/>
  <c r="J1853" i="3"/>
  <c r="K1853" i="3"/>
  <c r="L1853" i="3"/>
  <c r="M1853" i="3"/>
  <c r="J1854" i="3"/>
  <c r="K1854" i="3"/>
  <c r="L1854" i="3"/>
  <c r="M1854" i="3"/>
  <c r="J1855" i="3"/>
  <c r="K1855" i="3"/>
  <c r="L1855" i="3"/>
  <c r="M1855" i="3"/>
  <c r="J1856" i="3"/>
  <c r="K1856" i="3"/>
  <c r="L1856" i="3"/>
  <c r="M1856" i="3"/>
  <c r="J1857" i="3"/>
  <c r="K1857" i="3"/>
  <c r="L1857" i="3"/>
  <c r="M1857" i="3"/>
  <c r="J1858" i="3"/>
  <c r="K1858" i="3"/>
  <c r="L1858" i="3"/>
  <c r="M1858" i="3"/>
  <c r="J1859" i="3"/>
  <c r="K1859" i="3"/>
  <c r="L1859" i="3"/>
  <c r="M1859" i="3"/>
  <c r="J1860" i="3"/>
  <c r="K1860" i="3"/>
  <c r="L1860" i="3"/>
  <c r="M1860" i="3"/>
  <c r="J1861" i="3"/>
  <c r="K1861" i="3"/>
  <c r="L1861" i="3"/>
  <c r="M1861" i="3"/>
  <c r="J1862" i="3"/>
  <c r="K1862" i="3"/>
  <c r="L1862" i="3"/>
  <c r="M1862" i="3"/>
  <c r="J1863" i="3"/>
  <c r="K1863" i="3"/>
  <c r="L1863" i="3"/>
  <c r="M1863" i="3"/>
  <c r="J1864" i="3"/>
  <c r="K1864" i="3"/>
  <c r="L1864" i="3"/>
  <c r="M1864" i="3"/>
  <c r="J1865" i="3"/>
  <c r="K1865" i="3"/>
  <c r="L1865" i="3"/>
  <c r="M1865" i="3"/>
  <c r="J1866" i="3"/>
  <c r="K1866" i="3"/>
  <c r="L1866" i="3"/>
  <c r="M1866" i="3"/>
  <c r="J1867" i="3"/>
  <c r="K1867" i="3"/>
  <c r="L1867" i="3"/>
  <c r="M1867" i="3"/>
  <c r="J1868" i="3"/>
  <c r="K1868" i="3"/>
  <c r="L1868" i="3"/>
  <c r="M1868" i="3"/>
  <c r="J1869" i="3"/>
  <c r="K1869" i="3"/>
  <c r="L1869" i="3"/>
  <c r="M1869" i="3"/>
  <c r="J1870" i="3"/>
  <c r="K1870" i="3"/>
  <c r="L1870" i="3"/>
  <c r="M1870" i="3"/>
  <c r="J1871" i="3"/>
  <c r="K1871" i="3"/>
  <c r="L1871" i="3"/>
  <c r="M1871" i="3"/>
  <c r="J1872" i="3"/>
  <c r="K1872" i="3"/>
  <c r="L1872" i="3"/>
  <c r="M1872" i="3"/>
  <c r="J1873" i="3"/>
  <c r="K1873" i="3"/>
  <c r="L1873" i="3"/>
  <c r="M1873" i="3"/>
  <c r="J1874" i="3"/>
  <c r="K1874" i="3"/>
  <c r="L1874" i="3"/>
  <c r="M1874" i="3"/>
  <c r="J1875" i="3"/>
  <c r="K1875" i="3"/>
  <c r="L1875" i="3"/>
  <c r="M1875" i="3"/>
  <c r="J1876" i="3"/>
  <c r="K1876" i="3"/>
  <c r="L1876" i="3"/>
  <c r="M1876" i="3"/>
  <c r="J1877" i="3"/>
  <c r="K1877" i="3"/>
  <c r="L1877" i="3"/>
  <c r="M1877" i="3"/>
  <c r="J1878" i="3"/>
  <c r="K1878" i="3"/>
  <c r="L1878" i="3"/>
  <c r="M1878" i="3"/>
  <c r="J1879" i="3"/>
  <c r="K1879" i="3"/>
  <c r="L1879" i="3"/>
  <c r="M1879" i="3"/>
  <c r="J1880" i="3"/>
  <c r="K1880" i="3"/>
  <c r="L1880" i="3"/>
  <c r="M1880" i="3"/>
  <c r="J1881" i="3"/>
  <c r="K1881" i="3"/>
  <c r="L1881" i="3"/>
  <c r="M1881" i="3"/>
  <c r="J1882" i="3"/>
  <c r="K1882" i="3"/>
  <c r="L1882" i="3"/>
  <c r="M1882" i="3"/>
  <c r="J1883" i="3"/>
  <c r="K1883" i="3"/>
  <c r="L1883" i="3"/>
  <c r="M1883" i="3"/>
  <c r="J1884" i="3"/>
  <c r="K1884" i="3"/>
  <c r="L1884" i="3"/>
  <c r="M1884" i="3"/>
  <c r="J1885" i="3"/>
  <c r="K1885" i="3"/>
  <c r="L1885" i="3"/>
  <c r="M1885" i="3"/>
  <c r="J1886" i="3"/>
  <c r="K1886" i="3"/>
  <c r="L1886" i="3"/>
  <c r="M1886" i="3"/>
  <c r="J1887" i="3"/>
  <c r="K1887" i="3"/>
  <c r="L1887" i="3"/>
  <c r="M1887" i="3"/>
  <c r="J1888" i="3"/>
  <c r="K1888" i="3"/>
  <c r="L1888" i="3"/>
  <c r="M1888" i="3"/>
  <c r="J1889" i="3"/>
  <c r="K1889" i="3"/>
  <c r="L1889" i="3"/>
  <c r="M1889" i="3"/>
  <c r="J1890" i="3"/>
  <c r="K1890" i="3"/>
  <c r="L1890" i="3"/>
  <c r="M1890" i="3"/>
  <c r="J1891" i="3"/>
  <c r="K1891" i="3"/>
  <c r="L1891" i="3"/>
  <c r="M1891" i="3"/>
  <c r="J1892" i="3"/>
  <c r="K1892" i="3"/>
  <c r="L1892" i="3"/>
  <c r="M1892" i="3"/>
  <c r="J1893" i="3"/>
  <c r="K1893" i="3"/>
  <c r="L1893" i="3"/>
  <c r="M1893" i="3"/>
  <c r="J1894" i="3"/>
  <c r="K1894" i="3"/>
  <c r="L1894" i="3"/>
  <c r="M1894" i="3"/>
  <c r="J1895" i="3"/>
  <c r="K1895" i="3"/>
  <c r="L1895" i="3"/>
  <c r="M1895" i="3"/>
  <c r="J1896" i="3"/>
  <c r="K1896" i="3"/>
  <c r="L1896" i="3"/>
  <c r="M1896" i="3"/>
  <c r="J1897" i="3"/>
  <c r="K1897" i="3"/>
  <c r="L1897" i="3"/>
  <c r="M1897" i="3"/>
  <c r="J1898" i="3"/>
  <c r="K1898" i="3"/>
  <c r="L1898" i="3"/>
  <c r="M1898" i="3"/>
  <c r="J1899" i="3"/>
  <c r="K1899" i="3"/>
  <c r="L1899" i="3"/>
  <c r="M1899" i="3"/>
  <c r="J1900" i="3"/>
  <c r="K1900" i="3"/>
  <c r="L1900" i="3"/>
  <c r="M1900" i="3"/>
  <c r="J1901" i="3"/>
  <c r="K1901" i="3"/>
  <c r="L1901" i="3"/>
  <c r="M1901" i="3"/>
  <c r="J1902" i="3"/>
  <c r="K1902" i="3"/>
  <c r="L1902" i="3"/>
  <c r="M1902" i="3"/>
  <c r="J1903" i="3"/>
  <c r="K1903" i="3"/>
  <c r="L1903" i="3"/>
  <c r="M1903" i="3"/>
  <c r="J1904" i="3"/>
  <c r="K1904" i="3"/>
  <c r="L1904" i="3"/>
  <c r="M1904" i="3"/>
  <c r="J1905" i="3"/>
  <c r="K1905" i="3"/>
  <c r="L1905" i="3"/>
  <c r="M1905" i="3"/>
  <c r="J1906" i="3"/>
  <c r="K1906" i="3"/>
  <c r="L1906" i="3"/>
  <c r="M1906" i="3"/>
  <c r="J1907" i="3"/>
  <c r="K1907" i="3"/>
  <c r="L1907" i="3"/>
  <c r="M1907" i="3"/>
  <c r="J1908" i="3"/>
  <c r="K1908" i="3"/>
  <c r="L1908" i="3"/>
  <c r="M1908" i="3"/>
  <c r="J1909" i="3"/>
  <c r="K1909" i="3"/>
  <c r="L1909" i="3"/>
  <c r="M1909" i="3"/>
  <c r="J1910" i="3"/>
  <c r="K1910" i="3"/>
  <c r="L1910" i="3"/>
  <c r="M1910" i="3"/>
  <c r="J1911" i="3"/>
  <c r="K1911" i="3"/>
  <c r="L1911" i="3"/>
  <c r="M1911" i="3"/>
  <c r="J1912" i="3"/>
  <c r="K1912" i="3"/>
  <c r="L1912" i="3"/>
  <c r="M1912" i="3"/>
  <c r="J1913" i="3"/>
  <c r="K1913" i="3"/>
  <c r="L1913" i="3"/>
  <c r="M1913" i="3"/>
  <c r="J1914" i="3"/>
  <c r="K1914" i="3"/>
  <c r="L1914" i="3"/>
  <c r="M1914" i="3"/>
  <c r="J1915" i="3"/>
  <c r="K1915" i="3"/>
  <c r="L1915" i="3"/>
  <c r="M1915" i="3"/>
  <c r="J1916" i="3"/>
  <c r="K1916" i="3"/>
  <c r="L1916" i="3"/>
  <c r="M1916" i="3"/>
  <c r="J1917" i="3"/>
  <c r="K1917" i="3"/>
  <c r="L1917" i="3"/>
  <c r="M1917" i="3"/>
  <c r="J1918" i="3"/>
  <c r="K1918" i="3"/>
  <c r="L1918" i="3"/>
  <c r="M1918" i="3"/>
  <c r="J1919" i="3"/>
  <c r="K1919" i="3"/>
  <c r="L1919" i="3"/>
  <c r="M1919" i="3"/>
  <c r="J1920" i="3"/>
  <c r="K1920" i="3"/>
  <c r="L1920" i="3"/>
  <c r="M1920" i="3"/>
  <c r="J1921" i="3"/>
  <c r="K1921" i="3"/>
  <c r="L1921" i="3"/>
  <c r="M1921" i="3"/>
  <c r="J1922" i="3"/>
  <c r="K1922" i="3"/>
  <c r="L1922" i="3"/>
  <c r="M1922" i="3"/>
  <c r="J1923" i="3"/>
  <c r="K1923" i="3"/>
  <c r="L1923" i="3"/>
  <c r="M1923" i="3"/>
  <c r="J1924" i="3"/>
  <c r="K1924" i="3"/>
  <c r="L1924" i="3"/>
  <c r="M1924" i="3"/>
  <c r="J1925" i="3"/>
  <c r="K1925" i="3"/>
  <c r="L1925" i="3"/>
  <c r="M1925" i="3"/>
  <c r="J1926" i="3"/>
  <c r="K1926" i="3"/>
  <c r="L1926" i="3"/>
  <c r="M1926" i="3"/>
  <c r="J1927" i="3"/>
  <c r="K1927" i="3"/>
  <c r="L1927" i="3"/>
  <c r="M1927" i="3"/>
  <c r="J1928" i="3"/>
  <c r="K1928" i="3"/>
  <c r="L1928" i="3"/>
  <c r="M1928" i="3"/>
  <c r="J1929" i="3"/>
  <c r="K1929" i="3"/>
  <c r="L1929" i="3"/>
  <c r="M1929" i="3"/>
  <c r="J1930" i="3"/>
  <c r="K1930" i="3"/>
  <c r="L1930" i="3"/>
  <c r="M1930" i="3"/>
  <c r="J1931" i="3"/>
  <c r="K1931" i="3"/>
  <c r="L1931" i="3"/>
  <c r="M1931" i="3"/>
  <c r="J1932" i="3"/>
  <c r="K1932" i="3"/>
  <c r="L1932" i="3"/>
  <c r="M1932" i="3"/>
  <c r="J1933" i="3"/>
  <c r="K1933" i="3"/>
  <c r="L1933" i="3"/>
  <c r="M1933" i="3"/>
  <c r="J1934" i="3"/>
  <c r="K1934" i="3"/>
  <c r="L1934" i="3"/>
  <c r="M1934" i="3"/>
  <c r="J1935" i="3"/>
  <c r="K1935" i="3"/>
  <c r="L1935" i="3"/>
  <c r="M1935" i="3"/>
  <c r="J1936" i="3"/>
  <c r="K1936" i="3"/>
  <c r="L1936" i="3"/>
  <c r="M1936" i="3"/>
  <c r="J1937" i="3"/>
  <c r="K1937" i="3"/>
  <c r="L1937" i="3"/>
  <c r="M1937" i="3"/>
  <c r="J1938" i="3"/>
  <c r="K1938" i="3"/>
  <c r="L1938" i="3"/>
  <c r="M1938" i="3"/>
  <c r="J1939" i="3"/>
  <c r="K1939" i="3"/>
  <c r="L1939" i="3"/>
  <c r="M1939" i="3"/>
  <c r="J1940" i="3"/>
  <c r="K1940" i="3"/>
  <c r="L1940" i="3"/>
  <c r="M1940" i="3"/>
  <c r="J1941" i="3"/>
  <c r="K1941" i="3"/>
  <c r="L1941" i="3"/>
  <c r="M1941" i="3"/>
  <c r="J1942" i="3"/>
  <c r="K1942" i="3"/>
  <c r="L1942" i="3"/>
  <c r="M1942" i="3"/>
  <c r="J1943" i="3"/>
  <c r="K1943" i="3"/>
  <c r="L1943" i="3"/>
  <c r="M1943" i="3"/>
  <c r="J1944" i="3"/>
  <c r="K1944" i="3"/>
  <c r="L1944" i="3"/>
  <c r="M1944" i="3"/>
  <c r="J1945" i="3"/>
  <c r="K1945" i="3"/>
  <c r="L1945" i="3"/>
  <c r="M1945" i="3"/>
  <c r="J1946" i="3"/>
  <c r="K1946" i="3"/>
  <c r="L1946" i="3"/>
  <c r="M1946" i="3"/>
  <c r="J1947" i="3"/>
  <c r="K1947" i="3"/>
  <c r="L1947" i="3"/>
  <c r="M1947" i="3"/>
  <c r="J1948" i="3"/>
  <c r="K1948" i="3"/>
  <c r="L1948" i="3"/>
  <c r="M1948" i="3"/>
  <c r="J1949" i="3"/>
  <c r="K1949" i="3"/>
  <c r="L1949" i="3"/>
  <c r="M1949" i="3"/>
  <c r="J1950" i="3"/>
  <c r="K1950" i="3"/>
  <c r="L1950" i="3"/>
  <c r="M1950" i="3"/>
  <c r="J1951" i="3"/>
  <c r="K1951" i="3"/>
  <c r="L1951" i="3"/>
  <c r="M1951" i="3"/>
  <c r="J1952" i="3"/>
  <c r="K1952" i="3"/>
  <c r="L1952" i="3"/>
  <c r="M1952" i="3"/>
  <c r="J1953" i="3"/>
  <c r="K1953" i="3"/>
  <c r="L1953" i="3"/>
  <c r="M1953" i="3"/>
  <c r="J1954" i="3"/>
  <c r="K1954" i="3"/>
  <c r="L1954" i="3"/>
  <c r="M1954" i="3"/>
  <c r="J1955" i="3"/>
  <c r="K1955" i="3"/>
  <c r="L1955" i="3"/>
  <c r="M1955" i="3"/>
  <c r="J1956" i="3"/>
  <c r="K1956" i="3"/>
  <c r="L1956" i="3"/>
  <c r="M1956" i="3"/>
  <c r="J1957" i="3"/>
  <c r="K1957" i="3"/>
  <c r="L1957" i="3"/>
  <c r="M1957" i="3"/>
  <c r="J1958" i="3"/>
  <c r="K1958" i="3"/>
  <c r="L1958" i="3"/>
  <c r="M1958" i="3"/>
  <c r="J1959" i="3"/>
  <c r="K1959" i="3"/>
  <c r="L1959" i="3"/>
  <c r="M1959" i="3"/>
  <c r="J1960" i="3"/>
  <c r="K1960" i="3"/>
  <c r="L1960" i="3"/>
  <c r="M1960" i="3"/>
  <c r="J1961" i="3"/>
  <c r="K1961" i="3"/>
  <c r="L1961" i="3"/>
  <c r="M1961" i="3"/>
  <c r="J1962" i="3"/>
  <c r="K1962" i="3"/>
  <c r="L1962" i="3"/>
  <c r="M1962" i="3"/>
  <c r="J1963" i="3"/>
  <c r="K1963" i="3"/>
  <c r="L1963" i="3"/>
  <c r="M1963" i="3"/>
  <c r="J1964" i="3"/>
  <c r="K1964" i="3"/>
  <c r="L1964" i="3"/>
  <c r="M1964" i="3"/>
  <c r="J1965" i="3"/>
  <c r="K1965" i="3"/>
  <c r="L1965" i="3"/>
  <c r="M1965" i="3"/>
  <c r="J1966" i="3"/>
  <c r="K1966" i="3"/>
  <c r="L1966" i="3"/>
  <c r="M1966" i="3"/>
  <c r="J1967" i="3"/>
  <c r="K1967" i="3"/>
  <c r="L1967" i="3"/>
  <c r="M1967" i="3"/>
  <c r="J1968" i="3"/>
  <c r="K1968" i="3"/>
  <c r="L1968" i="3"/>
  <c r="M1968" i="3"/>
  <c r="J1969" i="3"/>
  <c r="K1969" i="3"/>
  <c r="L1969" i="3"/>
  <c r="M1969" i="3"/>
  <c r="J1970" i="3"/>
  <c r="K1970" i="3"/>
  <c r="L1970" i="3"/>
  <c r="M1970" i="3"/>
  <c r="J1971" i="3"/>
  <c r="K1971" i="3"/>
  <c r="L1971" i="3"/>
  <c r="M1971" i="3"/>
  <c r="J1972" i="3"/>
  <c r="K1972" i="3"/>
  <c r="L1972" i="3"/>
  <c r="M1972" i="3"/>
  <c r="J1973" i="3"/>
  <c r="K1973" i="3"/>
  <c r="L1973" i="3"/>
  <c r="M1973" i="3"/>
  <c r="J1974" i="3"/>
  <c r="K1974" i="3"/>
  <c r="L1974" i="3"/>
  <c r="M1974" i="3"/>
  <c r="J1975" i="3"/>
  <c r="K1975" i="3"/>
  <c r="L1975" i="3"/>
  <c r="M1975" i="3"/>
  <c r="J1976" i="3"/>
  <c r="K1976" i="3"/>
  <c r="L1976" i="3"/>
  <c r="M1976" i="3"/>
  <c r="J1977" i="3"/>
  <c r="K1977" i="3"/>
  <c r="L1977" i="3"/>
  <c r="M1977" i="3"/>
  <c r="J1978" i="3"/>
  <c r="K1978" i="3"/>
  <c r="L1978" i="3"/>
  <c r="M1978" i="3"/>
  <c r="J1979" i="3"/>
  <c r="K1979" i="3"/>
  <c r="L1979" i="3"/>
  <c r="M1979" i="3"/>
  <c r="J1980" i="3"/>
  <c r="K1980" i="3"/>
  <c r="L1980" i="3"/>
  <c r="M1980" i="3"/>
  <c r="J1981" i="3"/>
  <c r="K1981" i="3"/>
  <c r="L1981" i="3"/>
  <c r="M1981" i="3"/>
  <c r="J1982" i="3"/>
  <c r="K1982" i="3"/>
  <c r="L1982" i="3"/>
  <c r="M1982" i="3"/>
  <c r="J1983" i="3"/>
  <c r="K1983" i="3"/>
  <c r="L1983" i="3"/>
  <c r="M1983" i="3"/>
  <c r="J1984" i="3"/>
  <c r="K1984" i="3"/>
  <c r="L1984" i="3"/>
  <c r="M1984" i="3"/>
  <c r="J1985" i="3"/>
  <c r="K1985" i="3"/>
  <c r="L1985" i="3"/>
  <c r="M1985" i="3"/>
  <c r="J1986" i="3"/>
  <c r="K1986" i="3"/>
  <c r="L1986" i="3"/>
  <c r="M1986" i="3"/>
  <c r="J1987" i="3"/>
  <c r="K1987" i="3"/>
  <c r="L1987" i="3"/>
  <c r="M1987" i="3"/>
  <c r="J1988" i="3"/>
  <c r="K1988" i="3"/>
  <c r="L1988" i="3"/>
  <c r="M1988" i="3"/>
  <c r="J1989" i="3"/>
  <c r="K1989" i="3"/>
  <c r="L1989" i="3"/>
  <c r="M1989" i="3"/>
  <c r="J1990" i="3"/>
  <c r="K1990" i="3"/>
  <c r="L1990" i="3"/>
  <c r="M1990" i="3"/>
  <c r="J1991" i="3"/>
  <c r="K1991" i="3"/>
  <c r="L1991" i="3"/>
  <c r="M1991" i="3"/>
  <c r="J1992" i="3"/>
  <c r="K1992" i="3"/>
  <c r="L1992" i="3"/>
  <c r="M1992" i="3"/>
  <c r="J1993" i="3"/>
  <c r="K1993" i="3"/>
  <c r="L1993" i="3"/>
  <c r="M1993" i="3"/>
  <c r="J1994" i="3"/>
  <c r="K1994" i="3"/>
  <c r="L1994" i="3"/>
  <c r="M1994" i="3"/>
  <c r="J1995" i="3"/>
  <c r="K1995" i="3"/>
  <c r="L1995" i="3"/>
  <c r="M1995" i="3"/>
  <c r="J1996" i="3"/>
  <c r="K1996" i="3"/>
  <c r="L1996" i="3"/>
  <c r="M1996" i="3"/>
  <c r="J1997" i="3"/>
  <c r="K1997" i="3"/>
  <c r="L1997" i="3"/>
  <c r="M1997" i="3"/>
  <c r="J1998" i="3"/>
  <c r="K1998" i="3"/>
  <c r="L1998" i="3"/>
  <c r="M1998" i="3"/>
  <c r="J1999" i="3"/>
  <c r="K1999" i="3"/>
  <c r="L1999" i="3"/>
  <c r="M1999" i="3"/>
  <c r="J2000" i="3"/>
  <c r="K2000" i="3"/>
  <c r="L2000" i="3"/>
  <c r="M2000" i="3"/>
  <c r="J2001" i="3"/>
  <c r="K2001" i="3"/>
  <c r="L2001" i="3"/>
  <c r="M2001" i="3"/>
  <c r="J2002" i="3"/>
  <c r="K2002" i="3"/>
  <c r="L2002" i="3"/>
  <c r="M2002" i="3"/>
  <c r="J2003" i="3"/>
  <c r="K2003" i="3"/>
  <c r="L2003" i="3"/>
  <c r="M2003" i="3"/>
  <c r="J2004" i="3"/>
  <c r="K2004" i="3"/>
  <c r="L2004" i="3"/>
  <c r="M2004" i="3"/>
  <c r="J2005" i="3"/>
  <c r="K2005" i="3"/>
  <c r="L2005" i="3"/>
  <c r="M2005" i="3"/>
  <c r="J2006" i="3"/>
  <c r="K2006" i="3"/>
  <c r="L2006" i="3"/>
  <c r="M2006" i="3"/>
  <c r="J2007" i="3"/>
  <c r="K2007" i="3"/>
  <c r="L2007" i="3"/>
  <c r="M2007" i="3"/>
  <c r="J2008" i="3"/>
  <c r="K2008" i="3"/>
  <c r="L2008" i="3"/>
  <c r="M2008" i="3"/>
  <c r="J2009" i="3"/>
  <c r="K2009" i="3"/>
  <c r="L2009" i="3"/>
  <c r="M2009" i="3"/>
  <c r="J2010" i="3"/>
  <c r="K2010" i="3"/>
  <c r="L2010" i="3"/>
  <c r="M2010" i="3"/>
  <c r="J2011" i="3"/>
  <c r="K2011" i="3"/>
  <c r="L2011" i="3"/>
  <c r="M2011" i="3"/>
  <c r="J2012" i="3"/>
  <c r="K2012" i="3"/>
  <c r="L2012" i="3"/>
  <c r="M2012" i="3"/>
  <c r="J2013" i="3"/>
  <c r="K2013" i="3"/>
  <c r="L2013" i="3"/>
  <c r="M2013" i="3"/>
  <c r="J2014" i="3"/>
  <c r="K2014" i="3"/>
  <c r="L2014" i="3"/>
  <c r="M2014" i="3"/>
  <c r="J2015" i="3"/>
  <c r="K2015" i="3"/>
  <c r="L2015" i="3"/>
  <c r="M2015" i="3"/>
  <c r="J2016" i="3"/>
  <c r="K2016" i="3"/>
  <c r="L2016" i="3"/>
  <c r="M2016" i="3"/>
  <c r="J2017" i="3"/>
  <c r="K2017" i="3"/>
  <c r="L2017" i="3"/>
  <c r="M2017" i="3"/>
  <c r="J2018" i="3"/>
  <c r="K2018" i="3"/>
  <c r="L2018" i="3"/>
  <c r="M2018" i="3"/>
  <c r="J2019" i="3"/>
  <c r="K2019" i="3"/>
  <c r="L2019" i="3"/>
  <c r="M2019" i="3"/>
  <c r="J2020" i="3"/>
  <c r="K2020" i="3"/>
  <c r="L2020" i="3"/>
  <c r="M2020" i="3"/>
  <c r="J2021" i="3"/>
  <c r="K2021" i="3"/>
  <c r="L2021" i="3"/>
  <c r="M2021" i="3"/>
  <c r="J2022" i="3"/>
  <c r="K2022" i="3"/>
  <c r="L2022" i="3"/>
  <c r="M2022" i="3"/>
  <c r="J2023" i="3"/>
  <c r="K2023" i="3"/>
  <c r="L2023" i="3"/>
  <c r="M2023" i="3"/>
  <c r="J2024" i="3"/>
  <c r="K2024" i="3"/>
  <c r="L2024" i="3"/>
  <c r="M2024" i="3"/>
  <c r="J2025" i="3"/>
  <c r="K2025" i="3"/>
  <c r="L2025" i="3"/>
  <c r="M2025" i="3"/>
  <c r="J2026" i="3"/>
  <c r="K2026" i="3"/>
  <c r="L2026" i="3"/>
  <c r="M2026" i="3"/>
  <c r="J2027" i="3"/>
  <c r="K2027" i="3"/>
  <c r="L2027" i="3"/>
  <c r="M2027" i="3"/>
  <c r="J2028" i="3"/>
  <c r="K2028" i="3"/>
  <c r="L2028" i="3"/>
  <c r="M2028" i="3"/>
  <c r="J2029" i="3"/>
  <c r="K2029" i="3"/>
  <c r="L2029" i="3"/>
  <c r="M2029" i="3"/>
  <c r="J2030" i="3"/>
  <c r="K2030" i="3"/>
  <c r="L2030" i="3"/>
  <c r="M2030" i="3"/>
  <c r="J2031" i="3"/>
  <c r="K2031" i="3"/>
  <c r="L2031" i="3"/>
  <c r="M2031" i="3"/>
  <c r="J2032" i="3"/>
  <c r="K2032" i="3"/>
  <c r="L2032" i="3"/>
  <c r="M2032" i="3"/>
  <c r="J2033" i="3"/>
  <c r="K2033" i="3"/>
  <c r="L2033" i="3"/>
  <c r="M2033" i="3"/>
  <c r="J2034" i="3"/>
  <c r="K2034" i="3"/>
  <c r="L2034" i="3"/>
  <c r="M2034" i="3"/>
  <c r="J2035" i="3"/>
  <c r="K2035" i="3"/>
  <c r="L2035" i="3"/>
  <c r="M2035" i="3"/>
  <c r="J2036" i="3"/>
  <c r="K2036" i="3"/>
  <c r="L2036" i="3"/>
  <c r="M2036" i="3"/>
  <c r="J2037" i="3"/>
  <c r="K2037" i="3"/>
  <c r="L2037" i="3"/>
  <c r="M2037" i="3"/>
  <c r="J2038" i="3"/>
  <c r="K2038" i="3"/>
  <c r="L2038" i="3"/>
  <c r="M2038" i="3"/>
  <c r="J2039" i="3"/>
  <c r="K2039" i="3"/>
  <c r="L2039" i="3"/>
  <c r="M2039" i="3"/>
  <c r="J2040" i="3"/>
  <c r="K2040" i="3"/>
  <c r="L2040" i="3"/>
  <c r="M2040" i="3"/>
  <c r="J2041" i="3"/>
  <c r="K2041" i="3"/>
  <c r="L2041" i="3"/>
  <c r="M2041" i="3"/>
  <c r="J2042" i="3"/>
  <c r="K2042" i="3"/>
  <c r="L2042" i="3"/>
  <c r="M2042" i="3"/>
  <c r="J2043" i="3"/>
  <c r="K2043" i="3"/>
  <c r="L2043" i="3"/>
  <c r="M2043" i="3"/>
  <c r="J2044" i="3"/>
  <c r="K2044" i="3"/>
  <c r="L2044" i="3"/>
  <c r="M2044" i="3"/>
  <c r="J2045" i="3"/>
  <c r="K2045" i="3"/>
  <c r="L2045" i="3"/>
  <c r="M2045" i="3"/>
  <c r="J2046" i="3"/>
  <c r="K2046" i="3"/>
  <c r="L2046" i="3"/>
  <c r="M2046" i="3"/>
  <c r="J2047" i="3"/>
  <c r="K2047" i="3"/>
  <c r="L2047" i="3"/>
  <c r="M2047" i="3"/>
  <c r="J2048" i="3"/>
  <c r="K2048" i="3"/>
  <c r="L2048" i="3"/>
  <c r="M2048" i="3"/>
  <c r="J2049" i="3"/>
  <c r="K2049" i="3"/>
  <c r="L2049" i="3"/>
  <c r="M2049" i="3"/>
  <c r="J2050" i="3"/>
  <c r="K2050" i="3"/>
  <c r="L2050" i="3"/>
  <c r="M2050" i="3"/>
  <c r="J2051" i="3"/>
  <c r="K2051" i="3"/>
  <c r="L2051" i="3"/>
  <c r="M2051" i="3"/>
  <c r="J2052" i="3"/>
  <c r="K2052" i="3"/>
  <c r="L2052" i="3"/>
  <c r="M2052" i="3"/>
  <c r="J2053" i="3"/>
  <c r="K2053" i="3"/>
  <c r="L2053" i="3"/>
  <c r="M2053" i="3"/>
  <c r="J2054" i="3"/>
  <c r="K2054" i="3"/>
  <c r="L2054" i="3"/>
  <c r="M2054" i="3"/>
  <c r="J2055" i="3"/>
  <c r="K2055" i="3"/>
  <c r="L2055" i="3"/>
  <c r="M2055" i="3"/>
  <c r="J2056" i="3"/>
  <c r="K2056" i="3"/>
  <c r="L2056" i="3"/>
  <c r="M2056" i="3"/>
  <c r="J2057" i="3"/>
  <c r="K2057" i="3"/>
  <c r="L2057" i="3"/>
  <c r="M2057" i="3"/>
  <c r="J2058" i="3"/>
  <c r="K2058" i="3"/>
  <c r="L2058" i="3"/>
  <c r="M2058" i="3"/>
  <c r="J2059" i="3"/>
  <c r="K2059" i="3"/>
  <c r="L2059" i="3"/>
  <c r="M2059" i="3"/>
  <c r="J2060" i="3"/>
  <c r="K2060" i="3"/>
  <c r="L2060" i="3"/>
  <c r="M2060" i="3"/>
  <c r="J2061" i="3"/>
  <c r="K2061" i="3"/>
  <c r="L2061" i="3"/>
  <c r="M2061" i="3"/>
  <c r="J2062" i="3"/>
  <c r="K2062" i="3"/>
  <c r="L2062" i="3"/>
  <c r="M2062" i="3"/>
  <c r="J2063" i="3"/>
  <c r="K2063" i="3"/>
  <c r="L2063" i="3"/>
  <c r="M2063" i="3"/>
  <c r="J2064" i="3"/>
  <c r="K2064" i="3"/>
  <c r="L2064" i="3"/>
  <c r="M2064" i="3"/>
  <c r="J2065" i="3"/>
  <c r="K2065" i="3"/>
  <c r="L2065" i="3"/>
  <c r="M2065" i="3"/>
  <c r="J2066" i="3"/>
  <c r="K2066" i="3"/>
  <c r="L2066" i="3"/>
  <c r="M2066" i="3"/>
  <c r="J2067" i="3"/>
  <c r="K2067" i="3"/>
  <c r="L2067" i="3"/>
  <c r="M2067" i="3"/>
  <c r="J2068" i="3"/>
  <c r="K2068" i="3"/>
  <c r="L2068" i="3"/>
  <c r="M2068" i="3"/>
  <c r="J2069" i="3"/>
  <c r="K2069" i="3"/>
  <c r="L2069" i="3"/>
  <c r="M2069" i="3"/>
  <c r="J2070" i="3"/>
  <c r="K2070" i="3"/>
  <c r="L2070" i="3"/>
  <c r="M2070" i="3"/>
  <c r="J2071" i="3"/>
  <c r="K2071" i="3"/>
  <c r="L2071" i="3"/>
  <c r="M2071" i="3"/>
  <c r="J2072" i="3"/>
  <c r="K2072" i="3"/>
  <c r="L2072" i="3"/>
  <c r="M2072" i="3"/>
  <c r="J2073" i="3"/>
  <c r="K2073" i="3"/>
  <c r="L2073" i="3"/>
  <c r="M2073" i="3"/>
  <c r="J2074" i="3"/>
  <c r="K2074" i="3"/>
  <c r="L2074" i="3"/>
  <c r="M2074" i="3"/>
  <c r="J2075" i="3"/>
  <c r="K2075" i="3"/>
  <c r="L2075" i="3"/>
  <c r="M2075" i="3"/>
  <c r="J2076" i="3"/>
  <c r="K2076" i="3"/>
  <c r="L2076" i="3"/>
  <c r="M2076" i="3"/>
  <c r="J2077" i="3"/>
  <c r="K2077" i="3"/>
  <c r="L2077" i="3"/>
  <c r="M2077" i="3"/>
  <c r="J2078" i="3"/>
  <c r="K2078" i="3"/>
  <c r="L2078" i="3"/>
  <c r="M2078" i="3"/>
  <c r="J2079" i="3"/>
  <c r="K2079" i="3"/>
  <c r="L2079" i="3"/>
  <c r="M2079" i="3"/>
  <c r="J2080" i="3"/>
  <c r="K2080" i="3"/>
  <c r="L2080" i="3"/>
  <c r="M2080" i="3"/>
  <c r="J2081" i="3"/>
  <c r="K2081" i="3"/>
  <c r="L2081" i="3"/>
  <c r="M2081" i="3"/>
  <c r="J2082" i="3"/>
  <c r="K2082" i="3"/>
  <c r="L2082" i="3"/>
  <c r="M2082" i="3"/>
  <c r="J2083" i="3"/>
  <c r="K2083" i="3"/>
  <c r="L2083" i="3"/>
  <c r="M2083" i="3"/>
  <c r="J2084" i="3"/>
  <c r="K2084" i="3"/>
  <c r="L2084" i="3"/>
  <c r="M2084" i="3"/>
  <c r="J2085" i="3"/>
  <c r="K2085" i="3"/>
  <c r="L2085" i="3"/>
  <c r="M2085" i="3"/>
  <c r="J2086" i="3"/>
  <c r="K2086" i="3"/>
  <c r="L2086" i="3"/>
  <c r="M2086" i="3"/>
  <c r="J2087" i="3"/>
  <c r="K2087" i="3"/>
  <c r="L2087" i="3"/>
  <c r="M2087" i="3"/>
  <c r="J2088" i="3"/>
  <c r="K2088" i="3"/>
  <c r="L2088" i="3"/>
  <c r="M2088" i="3"/>
  <c r="J2089" i="3"/>
  <c r="K2089" i="3"/>
  <c r="L2089" i="3"/>
  <c r="M2089" i="3"/>
  <c r="J2090" i="3"/>
  <c r="K2090" i="3"/>
  <c r="L2090" i="3"/>
  <c r="M2090" i="3"/>
  <c r="J2091" i="3"/>
  <c r="K2091" i="3"/>
  <c r="L2091" i="3"/>
  <c r="M2091" i="3"/>
  <c r="J2092" i="3"/>
  <c r="K2092" i="3"/>
  <c r="L2092" i="3"/>
  <c r="M2092" i="3"/>
  <c r="J2093" i="3"/>
  <c r="K2093" i="3"/>
  <c r="L2093" i="3"/>
  <c r="M2093" i="3"/>
  <c r="J2094" i="3"/>
  <c r="K2094" i="3"/>
  <c r="L2094" i="3"/>
  <c r="M2094" i="3"/>
  <c r="J2095" i="3"/>
  <c r="K2095" i="3"/>
  <c r="L2095" i="3"/>
  <c r="M2095" i="3"/>
  <c r="J2096" i="3"/>
  <c r="K2096" i="3"/>
  <c r="L2096" i="3"/>
  <c r="M2096" i="3"/>
  <c r="J2097" i="3"/>
  <c r="K2097" i="3"/>
  <c r="L2097" i="3"/>
  <c r="M2097" i="3"/>
  <c r="J2098" i="3"/>
  <c r="K2098" i="3"/>
  <c r="L2098" i="3"/>
  <c r="M2098" i="3"/>
  <c r="J2099" i="3"/>
  <c r="K2099" i="3"/>
  <c r="L2099" i="3"/>
  <c r="M2099" i="3"/>
  <c r="J2100" i="3"/>
  <c r="K2100" i="3"/>
  <c r="L2100" i="3"/>
  <c r="M2100" i="3"/>
  <c r="J2101" i="3"/>
  <c r="K2101" i="3"/>
  <c r="L2101" i="3"/>
  <c r="M2101" i="3"/>
  <c r="J2102" i="3"/>
  <c r="K2102" i="3"/>
  <c r="L2102" i="3"/>
  <c r="M2102" i="3"/>
  <c r="J2103" i="3"/>
  <c r="K2103" i="3"/>
  <c r="L2103" i="3"/>
  <c r="M2103" i="3"/>
  <c r="J2104" i="3"/>
  <c r="K2104" i="3"/>
  <c r="L2104" i="3"/>
  <c r="M2104" i="3"/>
  <c r="J2105" i="3"/>
  <c r="K2105" i="3"/>
  <c r="L2105" i="3"/>
  <c r="M2105" i="3"/>
  <c r="J2106" i="3"/>
  <c r="K2106" i="3"/>
  <c r="L2106" i="3"/>
  <c r="M2106" i="3"/>
  <c r="J2107" i="3"/>
  <c r="K2107" i="3"/>
  <c r="L2107" i="3"/>
  <c r="M2107" i="3"/>
  <c r="J2108" i="3"/>
  <c r="K2108" i="3"/>
  <c r="L2108" i="3"/>
  <c r="M2108" i="3"/>
  <c r="J2109" i="3"/>
  <c r="K2109" i="3"/>
  <c r="L2109" i="3"/>
  <c r="M2109" i="3"/>
  <c r="J2110" i="3"/>
  <c r="K2110" i="3"/>
  <c r="L2110" i="3"/>
  <c r="M2110" i="3"/>
  <c r="J2111" i="3"/>
  <c r="K2111" i="3"/>
  <c r="L2111" i="3"/>
  <c r="M2111" i="3"/>
  <c r="J2112" i="3"/>
  <c r="K2112" i="3"/>
  <c r="L2112" i="3"/>
  <c r="M2112" i="3"/>
  <c r="J2113" i="3"/>
  <c r="K2113" i="3"/>
  <c r="L2113" i="3"/>
  <c r="M2113" i="3"/>
  <c r="J2114" i="3"/>
  <c r="K2114" i="3"/>
  <c r="L2114" i="3"/>
  <c r="M2114" i="3"/>
  <c r="J2115" i="3"/>
  <c r="K2115" i="3"/>
  <c r="L2115" i="3"/>
  <c r="M2115" i="3"/>
  <c r="J2116" i="3"/>
  <c r="K2116" i="3"/>
  <c r="L2116" i="3"/>
  <c r="M2116" i="3"/>
  <c r="J2117" i="3"/>
  <c r="K2117" i="3"/>
  <c r="L2117" i="3"/>
  <c r="M2117" i="3"/>
  <c r="J2118" i="3"/>
  <c r="K2118" i="3"/>
  <c r="L2118" i="3"/>
  <c r="M2118" i="3"/>
  <c r="J2119" i="3"/>
  <c r="K2119" i="3"/>
  <c r="L2119" i="3"/>
  <c r="M2119" i="3"/>
  <c r="J2120" i="3"/>
  <c r="K2120" i="3"/>
  <c r="L2120" i="3"/>
  <c r="M2120" i="3"/>
  <c r="J2121" i="3"/>
  <c r="K2121" i="3"/>
  <c r="L2121" i="3"/>
  <c r="M2121" i="3"/>
  <c r="J2122" i="3"/>
  <c r="K2122" i="3"/>
  <c r="L2122" i="3"/>
  <c r="M2122" i="3"/>
  <c r="J2123" i="3"/>
  <c r="K2123" i="3"/>
  <c r="L2123" i="3"/>
  <c r="M2123" i="3"/>
  <c r="J2124" i="3"/>
  <c r="K2124" i="3"/>
  <c r="L2124" i="3"/>
  <c r="M2124" i="3"/>
  <c r="J2125" i="3"/>
  <c r="K2125" i="3"/>
  <c r="L2125" i="3"/>
  <c r="M2125" i="3"/>
  <c r="J2126" i="3"/>
  <c r="K2126" i="3"/>
  <c r="L2126" i="3"/>
  <c r="M2126" i="3"/>
  <c r="J2127" i="3"/>
  <c r="K2127" i="3"/>
  <c r="L2127" i="3"/>
  <c r="M2127" i="3"/>
  <c r="J2128" i="3"/>
  <c r="K2128" i="3"/>
  <c r="L2128" i="3"/>
  <c r="M2128" i="3"/>
  <c r="J2129" i="3"/>
  <c r="K2129" i="3"/>
  <c r="L2129" i="3"/>
  <c r="M2129" i="3"/>
  <c r="J2130" i="3"/>
  <c r="K2130" i="3"/>
  <c r="L2130" i="3"/>
  <c r="M2130" i="3"/>
  <c r="J2131" i="3"/>
  <c r="K2131" i="3"/>
  <c r="L2131" i="3"/>
  <c r="M2131" i="3"/>
  <c r="J2132" i="3"/>
  <c r="K2132" i="3"/>
  <c r="L2132" i="3"/>
  <c r="M2132" i="3"/>
  <c r="J2133" i="3"/>
  <c r="K2133" i="3"/>
  <c r="L2133" i="3"/>
  <c r="M2133" i="3"/>
  <c r="J2134" i="3"/>
  <c r="K2134" i="3"/>
  <c r="L2134" i="3"/>
  <c r="M2134" i="3"/>
  <c r="J2135" i="3"/>
  <c r="K2135" i="3"/>
  <c r="L2135" i="3"/>
  <c r="M2135" i="3"/>
  <c r="J2136" i="3"/>
  <c r="K2136" i="3"/>
  <c r="L2136" i="3"/>
  <c r="M2136" i="3"/>
  <c r="J2137" i="3"/>
  <c r="K2137" i="3"/>
  <c r="L2137" i="3"/>
  <c r="M2137" i="3"/>
  <c r="J2138" i="3"/>
  <c r="K2138" i="3"/>
  <c r="L2138" i="3"/>
  <c r="M2138" i="3"/>
  <c r="J2139" i="3"/>
  <c r="K2139" i="3"/>
  <c r="L2139" i="3"/>
  <c r="M2139" i="3"/>
  <c r="J2140" i="3"/>
  <c r="K2140" i="3"/>
  <c r="L2140" i="3"/>
  <c r="M2140" i="3"/>
  <c r="J2141" i="3"/>
  <c r="K2141" i="3"/>
  <c r="L2141" i="3"/>
  <c r="M2141" i="3"/>
  <c r="J2142" i="3"/>
  <c r="K2142" i="3"/>
  <c r="L2142" i="3"/>
  <c r="M2142" i="3"/>
  <c r="J2143" i="3"/>
  <c r="K2143" i="3"/>
  <c r="L2143" i="3"/>
  <c r="M2143" i="3"/>
  <c r="J2144" i="3"/>
  <c r="K2144" i="3"/>
  <c r="L2144" i="3"/>
  <c r="M2144" i="3"/>
  <c r="J2145" i="3"/>
  <c r="K2145" i="3"/>
  <c r="L2145" i="3"/>
  <c r="M2145" i="3"/>
  <c r="J2146" i="3"/>
  <c r="K2146" i="3"/>
  <c r="L2146" i="3"/>
  <c r="M2146" i="3"/>
  <c r="J2147" i="3"/>
  <c r="K2147" i="3"/>
  <c r="L2147" i="3"/>
  <c r="M2147" i="3"/>
  <c r="J2148" i="3"/>
  <c r="K2148" i="3"/>
  <c r="L2148" i="3"/>
  <c r="M2148" i="3"/>
  <c r="J2149" i="3"/>
  <c r="K2149" i="3"/>
  <c r="L2149" i="3"/>
  <c r="M2149" i="3"/>
  <c r="J2150" i="3"/>
  <c r="K2150" i="3"/>
  <c r="L2150" i="3"/>
  <c r="M2150" i="3"/>
  <c r="J2151" i="3"/>
  <c r="K2151" i="3"/>
  <c r="L2151" i="3"/>
  <c r="M2151" i="3"/>
  <c r="J2152" i="3"/>
  <c r="K2152" i="3"/>
  <c r="L2152" i="3"/>
  <c r="M2152" i="3"/>
  <c r="J2153" i="3"/>
  <c r="K2153" i="3"/>
  <c r="L2153" i="3"/>
  <c r="M2153" i="3"/>
  <c r="J2154" i="3"/>
  <c r="K2154" i="3"/>
  <c r="L2154" i="3"/>
  <c r="M2154" i="3"/>
  <c r="J2155" i="3"/>
  <c r="K2155" i="3"/>
  <c r="L2155" i="3"/>
  <c r="M2155" i="3"/>
  <c r="J2156" i="3"/>
  <c r="K2156" i="3"/>
  <c r="L2156" i="3"/>
  <c r="M2156" i="3"/>
  <c r="J2157" i="3"/>
  <c r="K2157" i="3"/>
  <c r="L2157" i="3"/>
  <c r="M2157" i="3"/>
  <c r="J2158" i="3"/>
  <c r="K2158" i="3"/>
  <c r="L2158" i="3"/>
  <c r="M2158" i="3"/>
  <c r="J2159" i="3"/>
  <c r="K2159" i="3"/>
  <c r="L2159" i="3"/>
  <c r="M2159" i="3"/>
  <c r="J2160" i="3"/>
  <c r="K2160" i="3"/>
  <c r="L2160" i="3"/>
  <c r="M2160" i="3"/>
  <c r="J2161" i="3"/>
  <c r="K2161" i="3"/>
  <c r="L2161" i="3"/>
  <c r="M2161" i="3"/>
  <c r="J2162" i="3"/>
  <c r="K2162" i="3"/>
  <c r="L2162" i="3"/>
  <c r="M2162" i="3"/>
  <c r="J2163" i="3"/>
  <c r="K2163" i="3"/>
  <c r="L2163" i="3"/>
  <c r="M2163" i="3"/>
  <c r="J2164" i="3"/>
  <c r="K2164" i="3"/>
  <c r="L2164" i="3"/>
  <c r="M2164" i="3"/>
  <c r="J2165" i="3"/>
  <c r="K2165" i="3"/>
  <c r="L2165" i="3"/>
  <c r="M2165" i="3"/>
  <c r="J2166" i="3"/>
  <c r="K2166" i="3"/>
  <c r="L2166" i="3"/>
  <c r="M2166" i="3"/>
  <c r="J2167" i="3"/>
  <c r="K2167" i="3"/>
  <c r="L2167" i="3"/>
  <c r="M2167" i="3"/>
  <c r="J2168" i="3"/>
  <c r="K2168" i="3"/>
  <c r="L2168" i="3"/>
  <c r="M2168" i="3"/>
  <c r="J2169" i="3"/>
  <c r="K2169" i="3"/>
  <c r="L2169" i="3"/>
  <c r="M2169" i="3"/>
  <c r="J2170" i="3"/>
  <c r="K2170" i="3"/>
  <c r="L2170" i="3"/>
  <c r="M2170" i="3"/>
  <c r="J2171" i="3"/>
  <c r="K2171" i="3"/>
  <c r="L2171" i="3"/>
  <c r="M2171" i="3"/>
  <c r="J2172" i="3"/>
  <c r="K2172" i="3"/>
  <c r="L2172" i="3"/>
  <c r="M2172" i="3"/>
  <c r="J2173" i="3"/>
  <c r="K2173" i="3"/>
  <c r="L2173" i="3"/>
  <c r="M2173" i="3"/>
  <c r="J2174" i="3"/>
  <c r="K2174" i="3"/>
  <c r="L2174" i="3"/>
  <c r="M2174" i="3"/>
  <c r="J2175" i="3"/>
  <c r="K2175" i="3"/>
  <c r="L2175" i="3"/>
  <c r="M2175" i="3"/>
  <c r="J2176" i="3"/>
  <c r="K2176" i="3"/>
  <c r="L2176" i="3"/>
  <c r="M2176" i="3"/>
  <c r="J2177" i="3"/>
  <c r="K2177" i="3"/>
  <c r="L2177" i="3"/>
  <c r="M2177" i="3"/>
  <c r="J2178" i="3"/>
  <c r="K2178" i="3"/>
  <c r="L2178" i="3"/>
  <c r="M2178" i="3"/>
  <c r="J2179" i="3"/>
  <c r="K2179" i="3"/>
  <c r="L2179" i="3"/>
  <c r="M2179" i="3"/>
  <c r="J2180" i="3"/>
  <c r="K2180" i="3"/>
  <c r="L2180" i="3"/>
  <c r="M2180" i="3"/>
  <c r="J2181" i="3"/>
  <c r="K2181" i="3"/>
  <c r="L2181" i="3"/>
  <c r="M2181" i="3"/>
  <c r="J2182" i="3"/>
  <c r="K2182" i="3"/>
  <c r="L2182" i="3"/>
  <c r="M2182" i="3"/>
  <c r="J2183" i="3"/>
  <c r="K2183" i="3"/>
  <c r="L2183" i="3"/>
  <c r="M2183" i="3"/>
  <c r="J2184" i="3"/>
  <c r="K2184" i="3"/>
  <c r="L2184" i="3"/>
  <c r="M2184" i="3"/>
  <c r="J2185" i="3"/>
  <c r="K2185" i="3"/>
  <c r="L2185" i="3"/>
  <c r="M2185" i="3"/>
  <c r="J2186" i="3"/>
  <c r="K2186" i="3"/>
  <c r="L2186" i="3"/>
  <c r="M2186" i="3"/>
  <c r="J2187" i="3"/>
  <c r="K2187" i="3"/>
  <c r="L2187" i="3"/>
  <c r="M2187" i="3"/>
  <c r="J2188" i="3"/>
  <c r="K2188" i="3"/>
  <c r="L2188" i="3"/>
  <c r="M2188" i="3"/>
  <c r="J2189" i="3"/>
  <c r="K2189" i="3"/>
  <c r="L2189" i="3"/>
  <c r="M2189" i="3"/>
  <c r="J2190" i="3"/>
  <c r="K2190" i="3"/>
  <c r="L2190" i="3"/>
  <c r="M2190" i="3"/>
  <c r="J2191" i="3"/>
  <c r="K2191" i="3"/>
  <c r="L2191" i="3"/>
  <c r="M2191" i="3"/>
  <c r="J2192" i="3"/>
  <c r="K2192" i="3"/>
  <c r="L2192" i="3"/>
  <c r="M2192" i="3"/>
  <c r="J2193" i="3"/>
  <c r="K2193" i="3"/>
  <c r="L2193" i="3"/>
  <c r="M2193" i="3"/>
  <c r="J2194" i="3"/>
  <c r="K2194" i="3"/>
  <c r="L2194" i="3"/>
  <c r="M2194" i="3"/>
  <c r="J2195" i="3"/>
  <c r="K2195" i="3"/>
  <c r="L2195" i="3"/>
  <c r="M2195" i="3"/>
  <c r="J2196" i="3"/>
  <c r="K2196" i="3"/>
  <c r="L2196" i="3"/>
  <c r="M2196" i="3"/>
  <c r="J2197" i="3"/>
  <c r="K2197" i="3"/>
  <c r="L2197" i="3"/>
  <c r="M2197" i="3"/>
  <c r="J2198" i="3"/>
  <c r="K2198" i="3"/>
  <c r="L2198" i="3"/>
  <c r="M2198" i="3"/>
  <c r="J2199" i="3"/>
  <c r="K2199" i="3"/>
  <c r="L2199" i="3"/>
  <c r="M2199" i="3"/>
  <c r="J2200" i="3"/>
  <c r="K2200" i="3"/>
  <c r="L2200" i="3"/>
  <c r="M2200" i="3"/>
  <c r="J2201" i="3"/>
  <c r="K2201" i="3"/>
  <c r="L2201" i="3"/>
  <c r="M2201" i="3"/>
  <c r="J2202" i="3"/>
  <c r="K2202" i="3"/>
  <c r="L2202" i="3"/>
  <c r="M2202" i="3"/>
  <c r="J2203" i="3"/>
  <c r="K2203" i="3"/>
  <c r="L2203" i="3"/>
  <c r="M2203" i="3"/>
  <c r="J2204" i="3"/>
  <c r="K2204" i="3"/>
  <c r="L2204" i="3"/>
  <c r="M2204" i="3"/>
  <c r="J2205" i="3"/>
  <c r="K2205" i="3"/>
  <c r="L2205" i="3"/>
  <c r="M2205" i="3"/>
  <c r="J2206" i="3"/>
  <c r="K2206" i="3"/>
  <c r="L2206" i="3"/>
  <c r="M2206" i="3"/>
  <c r="J2207" i="3"/>
  <c r="K2207" i="3"/>
  <c r="L2207" i="3"/>
  <c r="M2207" i="3"/>
  <c r="J2208" i="3"/>
  <c r="K2208" i="3"/>
  <c r="L2208" i="3"/>
  <c r="M2208" i="3"/>
  <c r="J2209" i="3"/>
  <c r="K2209" i="3"/>
  <c r="L2209" i="3"/>
  <c r="M2209" i="3"/>
  <c r="J2210" i="3"/>
  <c r="K2210" i="3"/>
  <c r="L2210" i="3"/>
  <c r="M2210" i="3"/>
  <c r="J2211" i="3"/>
  <c r="K2211" i="3"/>
  <c r="L2211" i="3"/>
  <c r="M2211" i="3"/>
  <c r="J2212" i="3"/>
  <c r="K2212" i="3"/>
  <c r="L2212" i="3"/>
  <c r="M2212" i="3"/>
  <c r="J2213" i="3"/>
  <c r="K2213" i="3"/>
  <c r="L2213" i="3"/>
  <c r="M2213" i="3"/>
  <c r="J2214" i="3"/>
  <c r="K2214" i="3"/>
  <c r="L2214" i="3"/>
  <c r="M2214" i="3"/>
  <c r="J2215" i="3"/>
  <c r="K2215" i="3"/>
  <c r="L2215" i="3"/>
  <c r="M2215" i="3"/>
  <c r="J2216" i="3"/>
  <c r="K2216" i="3"/>
  <c r="L2216" i="3"/>
  <c r="M2216" i="3"/>
  <c r="J2217" i="3"/>
  <c r="K2217" i="3"/>
  <c r="L2217" i="3"/>
  <c r="M2217" i="3"/>
  <c r="J2218" i="3"/>
  <c r="K2218" i="3"/>
  <c r="L2218" i="3"/>
  <c r="M2218" i="3"/>
  <c r="J2219" i="3"/>
  <c r="K2219" i="3"/>
  <c r="L2219" i="3"/>
  <c r="M2219" i="3"/>
  <c r="J2220" i="3"/>
  <c r="K2220" i="3"/>
  <c r="L2220" i="3"/>
  <c r="M2220" i="3"/>
  <c r="J2221" i="3"/>
  <c r="K2221" i="3"/>
  <c r="L2221" i="3"/>
  <c r="M2221" i="3"/>
  <c r="J2222" i="3"/>
  <c r="K2222" i="3"/>
  <c r="L2222" i="3"/>
  <c r="M2222" i="3"/>
  <c r="J2223" i="3"/>
  <c r="K2223" i="3"/>
  <c r="L2223" i="3"/>
  <c r="M2223" i="3"/>
  <c r="J2224" i="3"/>
  <c r="K2224" i="3"/>
  <c r="L2224" i="3"/>
  <c r="M2224" i="3"/>
  <c r="J2225" i="3"/>
  <c r="K2225" i="3"/>
  <c r="L2225" i="3"/>
  <c r="M2225" i="3"/>
  <c r="K4" i="3"/>
  <c r="L4" i="3"/>
  <c r="M4" i="3"/>
  <c r="J4" i="3"/>
  <c r="G4" i="3" l="1"/>
  <c r="H2502" i="3"/>
  <c r="G2502" i="3" s="1"/>
  <c r="G2225" i="3"/>
  <c r="G2224" i="3"/>
  <c r="G2223" i="3"/>
  <c r="G2222" i="3"/>
  <c r="G2221" i="3"/>
  <c r="G2220" i="3"/>
  <c r="G2219" i="3"/>
  <c r="G2218" i="3"/>
  <c r="G2217" i="3"/>
  <c r="G2216" i="3"/>
  <c r="G2215" i="3"/>
  <c r="G2214" i="3"/>
  <c r="G2213" i="3"/>
  <c r="G2212" i="3"/>
  <c r="G2211" i="3"/>
  <c r="G2210" i="3"/>
  <c r="G2209" i="3"/>
  <c r="G2208" i="3"/>
  <c r="G2207" i="3"/>
  <c r="G2206" i="3"/>
  <c r="G2205" i="3"/>
  <c r="G2204" i="3"/>
  <c r="G2203" i="3"/>
  <c r="G2202" i="3"/>
  <c r="G2201" i="3"/>
  <c r="G2200" i="3"/>
  <c r="G2199" i="3"/>
  <c r="G2198" i="3"/>
  <c r="G2197" i="3"/>
  <c r="G2196" i="3"/>
  <c r="G2195" i="3"/>
  <c r="G2194" i="3"/>
  <c r="G2193" i="3"/>
  <c r="G2192" i="3"/>
  <c r="G2191" i="3"/>
  <c r="G2190" i="3"/>
  <c r="G2189" i="3"/>
  <c r="G2188" i="3"/>
  <c r="G2187" i="3"/>
  <c r="G2186" i="3"/>
  <c r="G2185" i="3"/>
  <c r="G2184" i="3"/>
  <c r="G2183" i="3"/>
  <c r="G2182" i="3"/>
  <c r="G2181" i="3"/>
  <c r="G2180" i="3"/>
  <c r="G2179" i="3"/>
  <c r="G2178" i="3"/>
  <c r="G2177" i="3"/>
  <c r="G2176" i="3"/>
  <c r="G2175" i="3"/>
  <c r="G2174" i="3"/>
  <c r="G2173" i="3"/>
  <c r="G2172" i="3"/>
  <c r="G2171" i="3"/>
  <c r="G2170" i="3"/>
  <c r="G2169" i="3"/>
  <c r="G2168" i="3"/>
  <c r="G2167" i="3"/>
  <c r="G2166" i="3"/>
  <c r="G2165" i="3"/>
  <c r="G2164" i="3"/>
  <c r="G2163" i="3"/>
  <c r="G2162" i="3"/>
  <c r="G2161" i="3"/>
  <c r="G2160" i="3"/>
  <c r="G2159" i="3"/>
  <c r="G2158" i="3"/>
  <c r="G2157" i="3"/>
  <c r="G2156" i="3"/>
  <c r="G2155" i="3"/>
  <c r="G2154" i="3"/>
  <c r="G2153" i="3"/>
  <c r="G2152" i="3"/>
  <c r="G2151" i="3"/>
  <c r="G2150" i="3"/>
  <c r="G2149" i="3"/>
  <c r="G2148" i="3"/>
  <c r="G2147" i="3"/>
  <c r="G2146" i="3"/>
  <c r="G2145" i="3"/>
  <c r="G2144" i="3"/>
  <c r="G2143" i="3"/>
  <c r="G2142" i="3"/>
  <c r="G2141" i="3"/>
  <c r="G2140" i="3"/>
  <c r="G2139" i="3"/>
  <c r="G2138" i="3"/>
  <c r="G2137" i="3"/>
  <c r="G2136" i="3"/>
  <c r="G2135" i="3"/>
  <c r="G2134" i="3"/>
  <c r="G2133" i="3"/>
  <c r="G2132" i="3"/>
  <c r="G2131" i="3"/>
  <c r="G2130" i="3"/>
  <c r="G2129" i="3"/>
  <c r="G2128" i="3"/>
  <c r="G2127" i="3"/>
  <c r="G2126" i="3"/>
  <c r="G2125" i="3"/>
  <c r="G2124" i="3"/>
  <c r="G2123" i="3"/>
  <c r="G2122" i="3"/>
  <c r="G2121" i="3"/>
  <c r="G2120" i="3"/>
  <c r="G2119" i="3"/>
  <c r="G2118" i="3"/>
  <c r="G2117" i="3"/>
  <c r="G2116" i="3"/>
  <c r="G2115" i="3"/>
  <c r="G2114" i="3"/>
  <c r="G2113" i="3"/>
  <c r="G2112" i="3"/>
  <c r="G2111" i="3"/>
  <c r="G2110" i="3"/>
  <c r="G2109" i="3"/>
  <c r="G2108" i="3"/>
  <c r="G2107" i="3"/>
  <c r="G2106" i="3"/>
  <c r="G2105" i="3"/>
  <c r="G2104" i="3"/>
  <c r="G2103" i="3"/>
  <c r="G2102" i="3"/>
  <c r="G2101" i="3"/>
  <c r="G2100" i="3"/>
  <c r="G2099" i="3"/>
  <c r="G2098" i="3"/>
  <c r="G2097" i="3"/>
  <c r="G2096" i="3"/>
  <c r="G2095" i="3"/>
  <c r="G2094" i="3"/>
  <c r="G2093" i="3"/>
  <c r="G2092" i="3"/>
  <c r="G2091" i="3"/>
  <c r="G2090" i="3"/>
  <c r="G2089" i="3"/>
  <c r="G2088" i="3"/>
  <c r="G2087" i="3"/>
  <c r="G2086" i="3"/>
  <c r="G2085" i="3"/>
  <c r="G2084" i="3"/>
  <c r="G2083" i="3"/>
  <c r="G2082" i="3"/>
  <c r="G2081" i="3"/>
  <c r="G2080" i="3"/>
  <c r="G2079" i="3"/>
  <c r="G2078" i="3"/>
  <c r="G2077" i="3"/>
  <c r="G2076" i="3"/>
  <c r="G2075" i="3"/>
  <c r="G2074" i="3"/>
  <c r="G2073" i="3"/>
  <c r="G2072" i="3"/>
  <c r="G2071" i="3"/>
  <c r="G2070" i="3"/>
  <c r="G2069" i="3"/>
  <c r="G2068" i="3"/>
  <c r="G2067" i="3"/>
  <c r="G2066" i="3"/>
  <c r="G2065" i="3"/>
  <c r="G2064" i="3"/>
  <c r="G2063" i="3"/>
  <c r="G2062" i="3"/>
  <c r="G2061" i="3"/>
  <c r="G2060" i="3"/>
  <c r="G2059" i="3"/>
  <c r="G2058" i="3"/>
  <c r="G2057" i="3"/>
  <c r="G2056" i="3"/>
  <c r="G2055" i="3"/>
  <c r="G2054" i="3"/>
  <c r="G2053" i="3"/>
  <c r="G2052" i="3"/>
  <c r="G2051" i="3"/>
  <c r="G2050" i="3"/>
  <c r="G2049" i="3"/>
  <c r="G2048" i="3"/>
  <c r="G2047" i="3"/>
  <c r="G2046" i="3"/>
  <c r="G2045" i="3"/>
  <c r="G2044" i="3"/>
  <c r="G2043" i="3"/>
  <c r="G2042" i="3"/>
  <c r="G2041" i="3"/>
  <c r="G2040" i="3"/>
  <c r="G2039" i="3"/>
  <c r="G2038" i="3"/>
  <c r="G2037" i="3"/>
  <c r="G2036" i="3"/>
  <c r="G2035" i="3"/>
  <c r="G2034" i="3"/>
  <c r="G2033" i="3"/>
  <c r="G2032" i="3"/>
  <c r="G2031" i="3"/>
  <c r="G2030" i="3"/>
  <c r="G2029" i="3"/>
  <c r="G2028" i="3"/>
  <c r="G2027" i="3"/>
  <c r="G2026" i="3"/>
  <c r="G2025" i="3"/>
  <c r="G2024" i="3"/>
  <c r="G2023" i="3"/>
  <c r="G2022" i="3"/>
  <c r="G2021" i="3"/>
  <c r="G2020" i="3"/>
  <c r="G2019" i="3"/>
  <c r="G2018" i="3"/>
  <c r="G2017" i="3"/>
  <c r="G2016" i="3"/>
  <c r="G2015" i="3"/>
  <c r="G2014" i="3"/>
  <c r="G2013" i="3"/>
  <c r="G2012" i="3"/>
  <c r="G2011" i="3"/>
  <c r="G2010" i="3"/>
  <c r="G2009" i="3"/>
  <c r="G2008" i="3"/>
  <c r="G2007" i="3"/>
  <c r="G2006" i="3"/>
  <c r="G2005" i="3"/>
  <c r="G2004" i="3"/>
  <c r="G2003" i="3"/>
  <c r="G2002" i="3"/>
  <c r="G2001" i="3"/>
  <c r="G2000" i="3"/>
  <c r="G1999" i="3"/>
  <c r="G1998" i="3"/>
  <c r="G1997" i="3"/>
  <c r="G1996" i="3"/>
  <c r="G1995" i="3"/>
  <c r="G1994" i="3"/>
  <c r="G1993" i="3"/>
  <c r="G1992" i="3"/>
  <c r="G1991" i="3"/>
  <c r="G1990" i="3"/>
  <c r="G1989" i="3"/>
  <c r="G1988" i="3"/>
  <c r="G1987" i="3"/>
  <c r="G1986" i="3"/>
  <c r="G1985" i="3"/>
  <c r="G1984" i="3"/>
  <c r="G1983" i="3"/>
  <c r="G1982" i="3"/>
  <c r="G1981" i="3"/>
  <c r="G1980" i="3"/>
  <c r="G1979" i="3"/>
  <c r="G1978" i="3"/>
  <c r="G1977" i="3"/>
  <c r="G1976" i="3"/>
  <c r="G1975" i="3"/>
  <c r="G1974" i="3"/>
  <c r="G1973" i="3"/>
  <c r="G1972" i="3"/>
  <c r="G1971" i="3"/>
  <c r="G1970" i="3"/>
  <c r="G1969" i="3"/>
  <c r="G1968" i="3"/>
  <c r="G1967" i="3"/>
  <c r="G1966" i="3"/>
  <c r="G1965" i="3"/>
  <c r="G1964" i="3"/>
  <c r="G1963" i="3"/>
  <c r="G1962" i="3"/>
  <c r="G1961" i="3"/>
  <c r="G1960" i="3"/>
  <c r="G1959" i="3"/>
  <c r="G1958" i="3"/>
  <c r="G1957" i="3"/>
  <c r="G1956" i="3"/>
  <c r="G1955" i="3"/>
  <c r="G1954" i="3"/>
  <c r="G1953" i="3"/>
  <c r="G1952" i="3"/>
  <c r="G1951" i="3"/>
  <c r="G1950" i="3"/>
  <c r="G1949" i="3"/>
  <c r="G1948" i="3"/>
  <c r="G1947" i="3"/>
  <c r="G1946" i="3"/>
  <c r="G1945" i="3"/>
  <c r="G1944" i="3"/>
  <c r="G1943" i="3"/>
  <c r="G1942" i="3"/>
  <c r="G1941" i="3"/>
  <c r="G1940" i="3"/>
  <c r="G1939" i="3"/>
  <c r="G1938" i="3"/>
  <c r="G1937" i="3"/>
  <c r="G1936" i="3"/>
  <c r="G1935" i="3"/>
  <c r="G1934" i="3"/>
  <c r="G1933" i="3"/>
  <c r="G1932" i="3"/>
  <c r="G1931" i="3"/>
  <c r="G1930" i="3"/>
  <c r="G1929" i="3"/>
  <c r="G1928" i="3"/>
  <c r="G1927" i="3"/>
  <c r="G1926" i="3"/>
  <c r="G1925" i="3"/>
  <c r="G1924" i="3"/>
  <c r="G1923" i="3"/>
  <c r="G1922" i="3"/>
  <c r="G1921" i="3"/>
  <c r="G1920" i="3"/>
  <c r="G1919" i="3"/>
  <c r="G1918" i="3"/>
  <c r="G1917" i="3"/>
  <c r="G1916" i="3"/>
  <c r="G1915" i="3"/>
  <c r="G1914" i="3"/>
  <c r="G1913" i="3"/>
  <c r="G1912" i="3"/>
  <c r="G1911" i="3"/>
  <c r="G1910" i="3"/>
  <c r="G1909" i="3"/>
  <c r="G1908" i="3"/>
  <c r="G1907" i="3"/>
  <c r="G1906" i="3"/>
  <c r="G1905" i="3"/>
  <c r="G1904" i="3"/>
  <c r="G1903" i="3"/>
  <c r="G1902" i="3"/>
  <c r="G1901" i="3"/>
  <c r="G1900" i="3"/>
  <c r="G1899" i="3"/>
  <c r="G1898" i="3"/>
  <c r="G1897" i="3"/>
  <c r="G1896" i="3"/>
  <c r="G1895" i="3"/>
  <c r="G1894" i="3"/>
  <c r="G1893" i="3"/>
  <c r="G1892" i="3"/>
  <c r="G1891" i="3"/>
  <c r="G1890" i="3"/>
  <c r="G1889" i="3"/>
  <c r="G1888" i="3"/>
  <c r="G1887" i="3"/>
  <c r="G1886" i="3"/>
  <c r="G1885" i="3"/>
  <c r="G1884" i="3"/>
  <c r="G1883" i="3"/>
  <c r="G1882" i="3"/>
  <c r="G1881" i="3"/>
  <c r="G1880" i="3"/>
  <c r="G1879" i="3"/>
  <c r="G1878" i="3"/>
  <c r="G1877" i="3"/>
  <c r="G1876" i="3"/>
  <c r="G1875" i="3"/>
  <c r="G1874" i="3"/>
  <c r="G1873" i="3"/>
  <c r="G1872" i="3"/>
  <c r="G1871" i="3"/>
  <c r="G1870" i="3"/>
  <c r="G1869" i="3"/>
  <c r="G1868" i="3"/>
  <c r="G1867" i="3"/>
  <c r="G1866" i="3"/>
  <c r="G1865" i="3"/>
  <c r="G1864" i="3"/>
  <c r="G1863" i="3"/>
  <c r="G1862" i="3"/>
  <c r="G1861" i="3"/>
  <c r="G1860" i="3"/>
  <c r="G1859" i="3"/>
  <c r="G1858" i="3"/>
  <c r="G1857" i="3"/>
  <c r="G1856" i="3"/>
  <c r="G1855" i="3"/>
  <c r="G1854" i="3"/>
  <c r="G1853" i="3"/>
  <c r="G1852" i="3"/>
  <c r="G1851" i="3"/>
  <c r="G1850" i="3"/>
  <c r="G1849" i="3"/>
  <c r="G1848" i="3"/>
  <c r="G1847" i="3"/>
  <c r="G1846" i="3"/>
  <c r="G1845" i="3"/>
  <c r="G1844" i="3"/>
  <c r="G1843" i="3"/>
  <c r="G1842" i="3"/>
  <c r="G1841" i="3"/>
  <c r="G1840" i="3"/>
  <c r="G1839" i="3"/>
  <c r="G1838" i="3"/>
  <c r="G1837" i="3"/>
  <c r="G1836" i="3"/>
  <c r="G1835" i="3"/>
  <c r="G1834" i="3"/>
  <c r="G1833" i="3"/>
  <c r="G1832" i="3"/>
  <c r="G1831" i="3"/>
  <c r="G1830" i="3"/>
  <c r="G1829" i="3"/>
  <c r="G1828" i="3"/>
  <c r="G1827" i="3"/>
  <c r="G1826" i="3"/>
  <c r="G1825" i="3"/>
  <c r="G1824" i="3"/>
  <c r="G1823" i="3"/>
  <c r="G1822" i="3"/>
  <c r="G1821" i="3"/>
  <c r="G1820" i="3"/>
  <c r="G1819" i="3"/>
  <c r="G1818" i="3"/>
  <c r="G1817" i="3"/>
  <c r="G1816" i="3"/>
  <c r="G1815" i="3"/>
  <c r="G1814" i="3"/>
  <c r="G1813" i="3"/>
  <c r="G1812" i="3"/>
  <c r="G1811" i="3"/>
  <c r="G1810" i="3"/>
  <c r="G1809" i="3"/>
  <c r="G1808" i="3"/>
  <c r="G1807" i="3"/>
  <c r="G1806" i="3"/>
  <c r="G1805" i="3"/>
  <c r="G1804" i="3"/>
  <c r="G1803" i="3"/>
  <c r="G1802" i="3"/>
  <c r="G1801" i="3"/>
  <c r="G1800" i="3"/>
  <c r="G1799" i="3"/>
  <c r="G1798" i="3"/>
  <c r="G1797" i="3"/>
  <c r="G1796" i="3"/>
  <c r="G1795" i="3"/>
  <c r="G1794" i="3"/>
  <c r="G1793" i="3"/>
  <c r="G1792" i="3"/>
  <c r="G1791" i="3"/>
  <c r="G1790" i="3"/>
  <c r="G1789" i="3"/>
  <c r="G1788" i="3"/>
  <c r="G1787" i="3"/>
  <c r="G1786" i="3"/>
  <c r="G1785" i="3"/>
  <c r="G1784" i="3"/>
  <c r="G1783" i="3"/>
  <c r="G1782" i="3"/>
  <c r="G1781" i="3"/>
  <c r="G1780" i="3"/>
  <c r="G1779" i="3"/>
  <c r="G1778" i="3"/>
  <c r="G1777" i="3"/>
  <c r="G1776" i="3"/>
  <c r="G1775" i="3"/>
  <c r="G1774" i="3"/>
  <c r="G1773" i="3"/>
  <c r="G1772" i="3"/>
  <c r="G1771" i="3"/>
  <c r="G1770" i="3"/>
  <c r="G1769" i="3"/>
  <c r="G1768" i="3"/>
  <c r="G1767" i="3"/>
  <c r="G1766" i="3"/>
  <c r="G1765" i="3"/>
  <c r="G1764" i="3"/>
  <c r="G1763" i="3"/>
  <c r="G1762" i="3"/>
  <c r="G1761" i="3"/>
  <c r="G1760" i="3"/>
  <c r="G1759" i="3"/>
  <c r="G1758" i="3"/>
  <c r="G1757" i="3"/>
  <c r="G1756" i="3"/>
  <c r="G1755" i="3"/>
  <c r="G1754" i="3"/>
  <c r="G1753" i="3"/>
  <c r="G1752" i="3"/>
  <c r="G1751" i="3"/>
  <c r="G1750" i="3"/>
  <c r="G1749" i="3"/>
  <c r="G1748" i="3"/>
  <c r="G1747" i="3"/>
  <c r="G1746" i="3"/>
  <c r="G1745" i="3"/>
  <c r="G1744" i="3"/>
  <c r="G1743" i="3"/>
  <c r="G1742" i="3"/>
  <c r="G1741" i="3"/>
  <c r="G1740" i="3"/>
  <c r="G1739" i="3"/>
  <c r="G1738" i="3"/>
  <c r="G1737" i="3"/>
  <c r="G1736" i="3"/>
  <c r="G1735" i="3"/>
  <c r="G1734" i="3"/>
  <c r="G1733" i="3"/>
  <c r="G1732" i="3"/>
  <c r="G1731" i="3"/>
  <c r="G1730" i="3"/>
  <c r="G1729" i="3"/>
  <c r="G1728" i="3"/>
  <c r="G1727" i="3"/>
  <c r="G1726" i="3"/>
  <c r="G1725" i="3"/>
  <c r="G1724" i="3"/>
  <c r="G1723" i="3"/>
  <c r="G1722" i="3"/>
  <c r="G1721" i="3"/>
  <c r="G1720" i="3"/>
  <c r="G1719" i="3"/>
  <c r="G1718" i="3"/>
  <c r="G1717" i="3"/>
  <c r="G1716" i="3"/>
  <c r="G1715" i="3"/>
  <c r="G1714" i="3"/>
  <c r="G1713" i="3"/>
  <c r="G1712" i="3"/>
  <c r="G1711" i="3"/>
  <c r="G1710" i="3"/>
  <c r="G1709" i="3"/>
  <c r="G1708" i="3"/>
  <c r="G1707" i="3"/>
  <c r="G1706" i="3"/>
  <c r="G1705" i="3"/>
  <c r="G1704" i="3"/>
  <c r="G1703" i="3"/>
  <c r="G1702" i="3"/>
  <c r="G1701" i="3"/>
  <c r="G1700" i="3"/>
  <c r="G1699" i="3"/>
  <c r="G1698" i="3"/>
  <c r="G1697" i="3"/>
  <c r="G1696" i="3"/>
  <c r="G1695" i="3"/>
  <c r="G1694" i="3"/>
  <c r="G1693" i="3"/>
  <c r="G1692" i="3"/>
  <c r="G1691" i="3"/>
  <c r="G1690" i="3"/>
  <c r="G1689" i="3"/>
  <c r="G1688" i="3"/>
  <c r="G1687" i="3"/>
  <c r="G1686" i="3"/>
  <c r="G1685" i="3"/>
  <c r="G1684" i="3"/>
  <c r="G1683" i="3"/>
  <c r="G1682" i="3"/>
  <c r="G1681" i="3"/>
  <c r="G1680" i="3"/>
  <c r="G1679" i="3"/>
  <c r="G1678" i="3"/>
  <c r="G1677" i="3"/>
  <c r="G1676" i="3"/>
  <c r="G1675" i="3"/>
  <c r="G1674" i="3"/>
  <c r="G1673" i="3"/>
  <c r="G1672" i="3"/>
  <c r="G1671" i="3"/>
  <c r="G1670" i="3"/>
  <c r="G1669" i="3"/>
  <c r="G1668" i="3"/>
  <c r="G1667" i="3"/>
  <c r="G1666" i="3"/>
  <c r="G1665" i="3"/>
  <c r="G1664" i="3"/>
  <c r="G1663" i="3"/>
  <c r="G1662" i="3"/>
  <c r="G1661" i="3"/>
  <c r="G1660" i="3"/>
  <c r="G1659" i="3"/>
  <c r="G1658" i="3"/>
  <c r="G1657" i="3"/>
  <c r="G1656" i="3"/>
  <c r="G1655" i="3"/>
  <c r="G1654" i="3"/>
  <c r="G1653" i="3"/>
  <c r="G1652" i="3"/>
  <c r="G1651" i="3"/>
  <c r="G1650" i="3"/>
  <c r="G1649" i="3"/>
  <c r="G1648" i="3"/>
  <c r="G1647" i="3"/>
  <c r="G1646" i="3"/>
  <c r="G1645" i="3"/>
  <c r="G1644" i="3"/>
  <c r="G1643" i="3"/>
  <c r="G1642" i="3"/>
  <c r="G1641" i="3"/>
  <c r="G1640" i="3"/>
  <c r="G1639" i="3"/>
  <c r="G1638" i="3"/>
  <c r="G1637" i="3"/>
  <c r="G1636" i="3"/>
  <c r="G1635" i="3"/>
  <c r="G1634" i="3"/>
  <c r="G1633" i="3"/>
  <c r="G1632" i="3"/>
  <c r="G1631" i="3"/>
  <c r="G1630" i="3"/>
  <c r="G1629" i="3"/>
  <c r="G1628" i="3"/>
  <c r="G1627" i="3"/>
  <c r="G1626" i="3"/>
  <c r="G1625" i="3"/>
  <c r="G1624" i="3"/>
  <c r="G1623" i="3"/>
  <c r="G1622" i="3"/>
  <c r="G1621" i="3"/>
  <c r="G1620" i="3"/>
  <c r="G1619" i="3"/>
  <c r="G1618" i="3"/>
  <c r="G1617" i="3"/>
  <c r="G1616" i="3"/>
  <c r="G1615" i="3"/>
  <c r="G1614" i="3"/>
  <c r="G1613" i="3"/>
  <c r="G1612" i="3"/>
  <c r="G1611" i="3"/>
  <c r="G1610" i="3"/>
  <c r="G1609" i="3"/>
  <c r="G1608" i="3"/>
  <c r="G1607" i="3"/>
  <c r="G1606" i="3"/>
  <c r="G1605" i="3"/>
  <c r="G1604" i="3"/>
  <c r="G1603" i="3"/>
  <c r="G1602" i="3"/>
  <c r="G1601" i="3"/>
  <c r="G1600" i="3"/>
  <c r="G1599" i="3"/>
  <c r="G1598" i="3"/>
  <c r="G1597" i="3"/>
  <c r="G1596" i="3"/>
  <c r="G1595" i="3"/>
  <c r="G1594" i="3"/>
  <c r="G1593" i="3"/>
  <c r="G1592" i="3"/>
  <c r="G1591" i="3"/>
  <c r="G1590" i="3"/>
  <c r="G1589" i="3"/>
  <c r="G1588" i="3"/>
  <c r="G1587" i="3"/>
  <c r="G1586" i="3"/>
  <c r="G1585" i="3"/>
  <c r="G1584" i="3"/>
  <c r="G1583" i="3"/>
  <c r="G1582" i="3"/>
  <c r="G1581" i="3"/>
  <c r="G1580" i="3"/>
  <c r="G1579" i="3"/>
  <c r="G1578" i="3"/>
  <c r="G1577" i="3"/>
  <c r="G1576" i="3"/>
  <c r="G1575" i="3"/>
  <c r="G1574" i="3"/>
  <c r="G1573" i="3"/>
  <c r="G1572" i="3"/>
  <c r="G1571" i="3"/>
  <c r="G1570" i="3"/>
  <c r="G1569" i="3"/>
  <c r="G1568" i="3"/>
  <c r="G1567" i="3"/>
  <c r="G1566" i="3"/>
  <c r="G1565" i="3"/>
  <c r="G1564" i="3"/>
  <c r="G1563" i="3"/>
  <c r="G1562" i="3"/>
  <c r="G1561" i="3"/>
  <c r="G1560" i="3"/>
  <c r="G1559" i="3"/>
  <c r="G1558" i="3"/>
  <c r="G1557" i="3"/>
  <c r="G1556" i="3"/>
  <c r="G1555" i="3"/>
  <c r="G1554" i="3"/>
  <c r="G1553" i="3"/>
  <c r="G1552" i="3"/>
  <c r="G1551" i="3"/>
  <c r="G1550" i="3"/>
  <c r="G1549" i="3"/>
  <c r="G1548" i="3"/>
  <c r="G1547" i="3"/>
  <c r="G1546" i="3"/>
  <c r="G1545" i="3"/>
  <c r="G1544" i="3"/>
  <c r="G1543" i="3"/>
  <c r="G1542" i="3"/>
  <c r="G1541" i="3"/>
  <c r="G1540" i="3"/>
  <c r="G1539" i="3"/>
  <c r="G1538" i="3"/>
  <c r="G1537" i="3"/>
  <c r="G1536" i="3"/>
  <c r="G1535" i="3"/>
  <c r="G1534" i="3"/>
  <c r="G1533" i="3"/>
  <c r="G1532" i="3"/>
  <c r="G1531" i="3"/>
  <c r="G1530" i="3"/>
  <c r="G1529" i="3"/>
  <c r="G1528" i="3"/>
  <c r="G1527" i="3"/>
  <c r="G1526" i="3"/>
  <c r="G1525" i="3"/>
  <c r="G1524" i="3"/>
  <c r="G1523" i="3"/>
  <c r="G1522" i="3"/>
  <c r="G1521" i="3"/>
  <c r="G1520" i="3"/>
  <c r="G1519" i="3"/>
  <c r="G1518" i="3"/>
  <c r="G1517" i="3"/>
  <c r="G1516" i="3"/>
  <c r="G1515" i="3"/>
  <c r="G1514" i="3"/>
  <c r="G1513" i="3"/>
  <c r="G1512" i="3"/>
  <c r="G1511" i="3"/>
  <c r="G1510" i="3"/>
  <c r="G1509" i="3"/>
  <c r="G1508" i="3"/>
  <c r="G1507" i="3"/>
  <c r="G1506" i="3"/>
  <c r="G1505" i="3"/>
  <c r="G1504" i="3"/>
  <c r="G1503" i="3"/>
  <c r="G1502" i="3"/>
  <c r="G1501" i="3"/>
  <c r="G1500" i="3"/>
  <c r="G1499" i="3"/>
  <c r="G1498" i="3"/>
  <c r="G1497" i="3"/>
  <c r="G1496" i="3"/>
  <c r="G1495" i="3"/>
  <c r="G1494" i="3"/>
  <c r="G1493" i="3"/>
  <c r="G1492" i="3"/>
  <c r="G1491" i="3"/>
  <c r="G1490" i="3"/>
  <c r="G1489" i="3"/>
  <c r="G1488" i="3"/>
  <c r="G1487" i="3"/>
  <c r="G1486" i="3"/>
  <c r="G1485" i="3"/>
  <c r="G1484" i="3"/>
  <c r="G1483" i="3"/>
  <c r="G1482" i="3"/>
  <c r="G1481" i="3"/>
  <c r="G1480" i="3"/>
  <c r="G1479" i="3"/>
  <c r="G1478" i="3"/>
  <c r="G1477" i="3"/>
  <c r="G1476" i="3"/>
  <c r="G1475" i="3"/>
  <c r="G1474" i="3"/>
  <c r="G1473" i="3"/>
  <c r="G1472" i="3"/>
  <c r="G1471" i="3"/>
  <c r="G1470" i="3"/>
  <c r="G1469" i="3"/>
  <c r="G1468" i="3"/>
  <c r="G1467" i="3"/>
  <c r="G1466" i="3"/>
  <c r="G1465" i="3"/>
  <c r="G1464" i="3"/>
  <c r="G1463" i="3"/>
  <c r="G1462" i="3"/>
  <c r="G1461" i="3"/>
  <c r="G1460" i="3"/>
  <c r="G1459" i="3"/>
  <c r="G1458" i="3"/>
  <c r="G1457" i="3"/>
  <c r="G1456" i="3"/>
  <c r="G1455" i="3"/>
  <c r="G1454" i="3"/>
  <c r="G1453" i="3"/>
  <c r="G1452" i="3"/>
  <c r="G1451" i="3"/>
  <c r="G1450" i="3"/>
  <c r="G1449" i="3"/>
  <c r="G1448" i="3"/>
  <c r="G1447" i="3"/>
  <c r="G1446" i="3"/>
  <c r="G1445" i="3"/>
  <c r="G1444" i="3"/>
  <c r="G1443" i="3"/>
  <c r="G1442" i="3"/>
  <c r="G1441" i="3"/>
  <c r="G1440" i="3"/>
  <c r="G1439" i="3"/>
  <c r="G1438" i="3"/>
  <c r="G1437" i="3"/>
  <c r="G1436" i="3"/>
  <c r="G1435" i="3"/>
  <c r="G1434" i="3"/>
  <c r="G1433" i="3"/>
  <c r="G1432" i="3"/>
  <c r="G1431" i="3"/>
  <c r="G1430" i="3"/>
  <c r="G1429" i="3"/>
  <c r="G1428" i="3"/>
  <c r="G1427" i="3"/>
  <c r="G1426" i="3"/>
  <c r="G1425" i="3"/>
  <c r="G1424" i="3"/>
  <c r="G1423" i="3"/>
  <c r="G1422" i="3"/>
  <c r="G1421" i="3"/>
  <c r="G1420" i="3"/>
  <c r="G1419" i="3"/>
  <c r="G1418" i="3"/>
  <c r="G1417" i="3"/>
  <c r="G1416" i="3"/>
  <c r="G1415" i="3"/>
  <c r="G1414" i="3"/>
  <c r="G1413" i="3"/>
  <c r="G1412" i="3"/>
  <c r="G1411" i="3"/>
  <c r="G1410" i="3"/>
  <c r="G1409" i="3"/>
  <c r="G1408" i="3"/>
  <c r="G1407" i="3"/>
  <c r="G1406" i="3"/>
  <c r="G1405" i="3"/>
  <c r="G1404" i="3"/>
  <c r="G1403" i="3"/>
  <c r="G1402" i="3"/>
  <c r="G1401" i="3"/>
  <c r="G1400" i="3"/>
  <c r="G1399" i="3"/>
  <c r="G1398" i="3"/>
  <c r="G1397" i="3"/>
  <c r="G1396" i="3"/>
  <c r="G1395" i="3"/>
  <c r="G1394" i="3"/>
  <c r="G1393" i="3"/>
  <c r="G1392" i="3"/>
  <c r="G1391" i="3"/>
  <c r="G1390" i="3"/>
  <c r="G1389" i="3"/>
  <c r="G1388" i="3"/>
  <c r="G1387" i="3"/>
  <c r="G1386" i="3"/>
  <c r="G1385" i="3"/>
  <c r="G1384" i="3"/>
  <c r="G1383" i="3"/>
  <c r="G1382" i="3"/>
  <c r="G1381" i="3"/>
  <c r="G1380" i="3"/>
  <c r="G1379" i="3"/>
  <c r="G1378" i="3"/>
  <c r="G1377" i="3"/>
  <c r="G1376" i="3"/>
  <c r="G1375" i="3"/>
  <c r="G1374" i="3"/>
  <c r="G1373" i="3"/>
  <c r="G1372" i="3"/>
  <c r="G1371" i="3"/>
  <c r="G1370" i="3"/>
  <c r="G1369" i="3"/>
  <c r="G1368" i="3"/>
  <c r="G1367" i="3"/>
  <c r="G1366" i="3"/>
  <c r="G1365" i="3"/>
  <c r="G1364" i="3"/>
  <c r="G1363" i="3"/>
  <c r="G1362" i="3"/>
  <c r="G1361" i="3"/>
  <c r="G1360" i="3"/>
  <c r="G1359" i="3"/>
  <c r="G1358" i="3"/>
  <c r="G1357" i="3"/>
  <c r="G1356" i="3"/>
  <c r="G1355" i="3"/>
  <c r="G1354" i="3"/>
  <c r="G1353" i="3"/>
  <c r="G1352" i="3"/>
  <c r="G1351" i="3"/>
  <c r="G1350" i="3"/>
  <c r="G1349" i="3"/>
  <c r="G1348" i="3"/>
  <c r="G1347" i="3"/>
  <c r="G1346" i="3"/>
  <c r="G1345" i="3"/>
  <c r="G1344" i="3"/>
  <c r="G1343" i="3"/>
  <c r="G1342" i="3"/>
  <c r="G1341" i="3"/>
  <c r="G1340" i="3"/>
  <c r="G1339" i="3"/>
  <c r="G1338" i="3"/>
  <c r="G1337" i="3"/>
  <c r="G1336" i="3"/>
  <c r="G1335" i="3"/>
  <c r="G1334" i="3"/>
  <c r="G1333" i="3"/>
  <c r="G1332" i="3"/>
  <c r="G1331" i="3"/>
  <c r="G1330" i="3"/>
  <c r="G1329" i="3"/>
  <c r="G1328" i="3"/>
  <c r="G1327" i="3"/>
  <c r="G1326" i="3"/>
  <c r="G1325" i="3"/>
  <c r="G1324" i="3"/>
  <c r="G1323" i="3"/>
  <c r="G1322" i="3"/>
  <c r="G1321" i="3"/>
  <c r="G1320" i="3"/>
  <c r="G1319" i="3"/>
  <c r="G1318" i="3"/>
  <c r="G1317" i="3"/>
  <c r="G1316" i="3"/>
  <c r="G1315" i="3"/>
  <c r="G1314" i="3"/>
  <c r="G1313" i="3"/>
  <c r="G1312" i="3"/>
  <c r="G1311" i="3"/>
  <c r="G1310" i="3"/>
  <c r="G1309" i="3"/>
  <c r="G1308" i="3"/>
  <c r="G1307" i="3"/>
  <c r="G1306" i="3"/>
  <c r="G1305" i="3"/>
  <c r="G1304" i="3"/>
  <c r="G1303" i="3"/>
  <c r="G1302" i="3"/>
  <c r="G1301" i="3"/>
  <c r="G1300" i="3"/>
  <c r="G1299" i="3"/>
  <c r="G1298" i="3"/>
  <c r="G1297" i="3"/>
  <c r="G1296" i="3"/>
  <c r="G1295" i="3"/>
  <c r="G1294" i="3"/>
  <c r="G1293" i="3"/>
  <c r="G1292" i="3"/>
  <c r="G1291" i="3"/>
  <c r="G1290" i="3"/>
  <c r="G1289" i="3"/>
  <c r="G1288" i="3"/>
  <c r="G1287" i="3"/>
  <c r="G1286" i="3"/>
  <c r="G1285" i="3"/>
  <c r="G1284" i="3"/>
  <c r="G1283" i="3"/>
  <c r="G1282" i="3"/>
  <c r="G1281" i="3"/>
  <c r="G1280" i="3"/>
  <c r="G1279" i="3"/>
  <c r="G1278" i="3"/>
  <c r="G1277" i="3"/>
  <c r="G1276" i="3"/>
  <c r="G1275" i="3"/>
  <c r="G1274" i="3"/>
  <c r="G1273" i="3"/>
  <c r="G1272" i="3"/>
  <c r="G1271" i="3"/>
  <c r="G1270" i="3"/>
  <c r="G1269" i="3"/>
  <c r="G1268" i="3"/>
  <c r="G1267" i="3"/>
  <c r="G1266" i="3"/>
  <c r="G1265" i="3"/>
  <c r="G1264" i="3"/>
  <c r="G1263" i="3"/>
  <c r="G1262" i="3"/>
  <c r="G1261" i="3"/>
  <c r="G1260" i="3"/>
  <c r="G1259" i="3"/>
  <c r="G1258" i="3"/>
  <c r="G1257" i="3"/>
  <c r="G1256" i="3"/>
  <c r="G1255" i="3"/>
  <c r="G1254" i="3"/>
  <c r="G1253" i="3"/>
  <c r="G1252" i="3"/>
  <c r="G1251" i="3"/>
  <c r="G1250" i="3"/>
  <c r="G1249" i="3"/>
  <c r="G1248" i="3"/>
  <c r="G1247" i="3"/>
  <c r="G1246" i="3"/>
  <c r="G1245" i="3"/>
  <c r="G1244" i="3"/>
  <c r="G1243" i="3"/>
  <c r="G1242" i="3"/>
  <c r="G1241" i="3"/>
  <c r="G1240" i="3"/>
  <c r="G1239" i="3"/>
  <c r="G1238" i="3"/>
  <c r="G1237" i="3"/>
  <c r="G1236" i="3"/>
  <c r="G1235" i="3"/>
  <c r="G1234" i="3"/>
  <c r="G1233" i="3"/>
  <c r="G1232" i="3"/>
  <c r="G1231" i="3"/>
  <c r="G1230" i="3"/>
  <c r="G1229" i="3"/>
  <c r="G1228" i="3"/>
  <c r="G1227" i="3"/>
  <c r="G1226" i="3"/>
  <c r="G1225" i="3"/>
  <c r="G1224" i="3"/>
  <c r="G1223" i="3"/>
  <c r="G1222" i="3"/>
  <c r="G1221" i="3"/>
  <c r="G1220" i="3"/>
  <c r="G1219" i="3"/>
  <c r="G1218" i="3"/>
  <c r="G1217" i="3"/>
  <c r="G1216" i="3"/>
  <c r="G1215" i="3"/>
  <c r="G1214" i="3"/>
  <c r="G1213" i="3"/>
  <c r="G1212" i="3"/>
  <c r="G1211" i="3"/>
  <c r="G1210" i="3"/>
  <c r="G1209" i="3"/>
  <c r="G1208" i="3"/>
  <c r="G1207" i="3"/>
  <c r="G1206" i="3"/>
  <c r="G1205" i="3"/>
  <c r="G1204" i="3"/>
  <c r="G1203" i="3"/>
  <c r="G1202" i="3"/>
  <c r="G1201" i="3"/>
  <c r="G1200" i="3"/>
  <c r="G1199" i="3"/>
  <c r="G1198" i="3"/>
  <c r="G1197" i="3"/>
  <c r="G1196" i="3"/>
  <c r="G1195" i="3"/>
  <c r="G1194" i="3"/>
  <c r="G1193" i="3"/>
  <c r="G1192" i="3"/>
  <c r="G1191" i="3"/>
  <c r="G1190" i="3"/>
  <c r="G1189" i="3"/>
  <c r="G1188" i="3"/>
  <c r="G1187" i="3"/>
  <c r="G1186" i="3"/>
  <c r="G1185" i="3"/>
  <c r="G1184" i="3"/>
  <c r="G1183" i="3"/>
  <c r="G1182" i="3"/>
  <c r="G1181" i="3"/>
  <c r="G1180" i="3"/>
  <c r="G1179" i="3"/>
  <c r="G1178" i="3"/>
  <c r="G1177" i="3"/>
  <c r="G1176" i="3"/>
  <c r="G1175" i="3"/>
  <c r="G1174" i="3"/>
  <c r="G1173" i="3"/>
  <c r="G1172" i="3"/>
  <c r="G1171" i="3"/>
  <c r="G1170" i="3"/>
  <c r="G1169" i="3"/>
  <c r="G1168" i="3"/>
  <c r="G1167" i="3"/>
  <c r="G1166" i="3"/>
  <c r="G1165" i="3"/>
  <c r="G1164" i="3"/>
  <c r="G1163" i="3"/>
  <c r="G1162" i="3"/>
  <c r="G1161" i="3"/>
  <c r="G1160" i="3"/>
  <c r="G1159" i="3"/>
  <c r="G1158" i="3"/>
  <c r="G1157" i="3"/>
  <c r="G1156" i="3"/>
  <c r="G1155" i="3"/>
  <c r="G1154" i="3"/>
  <c r="G1153" i="3"/>
  <c r="G1152" i="3"/>
  <c r="G1151" i="3"/>
  <c r="G1150" i="3"/>
  <c r="G1149" i="3"/>
  <c r="G1148" i="3"/>
  <c r="G1147" i="3"/>
  <c r="G1146" i="3"/>
  <c r="G1145" i="3"/>
  <c r="G1144" i="3"/>
  <c r="G1143" i="3"/>
  <c r="G1142" i="3"/>
  <c r="G1141" i="3"/>
  <c r="G1140" i="3"/>
  <c r="G1139" i="3"/>
  <c r="G1138" i="3"/>
  <c r="G1137" i="3"/>
  <c r="G1136" i="3"/>
  <c r="G1135" i="3"/>
  <c r="G1134" i="3"/>
  <c r="G1133" i="3"/>
  <c r="G1132" i="3"/>
  <c r="G1131" i="3"/>
  <c r="G1130" i="3"/>
  <c r="G1129" i="3"/>
  <c r="G1128" i="3"/>
  <c r="G1127" i="3"/>
  <c r="G1126" i="3"/>
  <c r="G1125" i="3"/>
  <c r="G1124" i="3"/>
  <c r="G1123" i="3"/>
  <c r="G1122" i="3"/>
  <c r="G1121" i="3"/>
  <c r="G1120" i="3"/>
  <c r="G1119" i="3"/>
  <c r="G1118" i="3"/>
  <c r="G1117" i="3"/>
  <c r="G1116" i="3"/>
  <c r="G1115" i="3"/>
  <c r="G1114" i="3"/>
  <c r="G1113" i="3"/>
  <c r="G1112" i="3"/>
  <c r="G1111" i="3"/>
  <c r="G1110" i="3"/>
  <c r="G1109" i="3"/>
  <c r="G1108" i="3"/>
  <c r="G1107" i="3"/>
  <c r="G1106" i="3"/>
  <c r="G1105" i="3"/>
  <c r="G1104" i="3"/>
  <c r="G1103" i="3"/>
  <c r="G1102" i="3"/>
  <c r="G1101" i="3"/>
  <c r="G1100" i="3"/>
  <c r="G1099" i="3"/>
  <c r="G1098" i="3"/>
  <c r="G1097" i="3"/>
  <c r="G1096" i="3"/>
  <c r="G1095" i="3"/>
  <c r="G1094" i="3"/>
  <c r="G1093" i="3"/>
  <c r="G1092" i="3"/>
  <c r="G1091" i="3"/>
  <c r="G1090" i="3"/>
  <c r="G1089" i="3"/>
  <c r="G1088" i="3"/>
  <c r="G1087" i="3"/>
  <c r="G1086" i="3"/>
  <c r="G1085" i="3"/>
  <c r="G1084" i="3"/>
  <c r="G1083" i="3"/>
  <c r="G1082" i="3"/>
  <c r="G1081" i="3"/>
  <c r="G1080" i="3"/>
  <c r="G1079" i="3"/>
  <c r="G1078" i="3"/>
  <c r="G1077" i="3"/>
  <c r="G1076" i="3"/>
  <c r="G1075" i="3"/>
  <c r="G1074" i="3"/>
  <c r="G1073" i="3"/>
  <c r="G1072" i="3"/>
  <c r="G1071" i="3"/>
  <c r="G1070" i="3"/>
  <c r="G1069" i="3"/>
  <c r="G1068" i="3"/>
  <c r="G1067" i="3"/>
  <c r="G1066" i="3"/>
  <c r="G1065" i="3"/>
  <c r="G1064" i="3"/>
  <c r="G1063" i="3"/>
  <c r="G1062" i="3"/>
  <c r="G1061" i="3"/>
  <c r="G1060" i="3"/>
  <c r="G1059" i="3"/>
  <c r="G1058" i="3"/>
  <c r="G1057" i="3"/>
  <c r="G1056" i="3"/>
  <c r="G1055" i="3"/>
  <c r="G1054" i="3"/>
  <c r="G1053" i="3"/>
  <c r="G1052" i="3"/>
  <c r="G1051" i="3"/>
  <c r="G1050" i="3"/>
  <c r="G1049" i="3"/>
  <c r="G1048" i="3"/>
  <c r="G1047" i="3"/>
  <c r="G1046" i="3"/>
  <c r="G1045" i="3"/>
  <c r="G1044" i="3"/>
  <c r="G1043" i="3"/>
  <c r="G1042" i="3"/>
  <c r="G1041" i="3"/>
  <c r="G1040" i="3"/>
  <c r="G1039" i="3"/>
  <c r="G1038" i="3"/>
  <c r="G1037" i="3"/>
  <c r="G1036" i="3"/>
  <c r="G1035" i="3"/>
  <c r="G1034" i="3"/>
  <c r="G1033" i="3"/>
  <c r="G1032" i="3"/>
  <c r="G1031" i="3"/>
  <c r="G1030" i="3"/>
  <c r="G1029" i="3"/>
  <c r="G1028" i="3"/>
  <c r="G1027" i="3"/>
  <c r="G1026" i="3"/>
  <c r="G1025" i="3"/>
  <c r="G1024" i="3"/>
  <c r="G1023" i="3"/>
  <c r="G1022" i="3"/>
  <c r="G1021" i="3"/>
  <c r="G1020" i="3"/>
  <c r="G1019" i="3"/>
  <c r="G1018" i="3"/>
  <c r="G1017" i="3"/>
  <c r="G1016" i="3"/>
  <c r="G1015" i="3"/>
  <c r="G1014" i="3"/>
  <c r="G1013" i="3"/>
  <c r="G1012" i="3"/>
  <c r="G1011" i="3"/>
  <c r="G1010" i="3"/>
  <c r="G1009" i="3"/>
  <c r="G1008" i="3"/>
  <c r="G1007" i="3"/>
  <c r="G1006" i="3"/>
  <c r="G1005" i="3"/>
  <c r="G1004" i="3"/>
  <c r="G1003" i="3"/>
  <c r="G1002" i="3"/>
  <c r="G1001" i="3"/>
  <c r="G1000" i="3"/>
  <c r="G999" i="3"/>
  <c r="G998" i="3"/>
  <c r="G997" i="3"/>
  <c r="G996" i="3"/>
  <c r="G995" i="3"/>
  <c r="G994" i="3"/>
  <c r="G993" i="3"/>
  <c r="G992" i="3"/>
  <c r="G991" i="3"/>
  <c r="G990" i="3"/>
  <c r="G989" i="3"/>
  <c r="G988" i="3"/>
  <c r="G987" i="3"/>
  <c r="G986" i="3"/>
  <c r="G985" i="3"/>
  <c r="G984" i="3"/>
  <c r="G983" i="3"/>
  <c r="G982" i="3"/>
  <c r="G981" i="3"/>
  <c r="G980" i="3"/>
  <c r="G979" i="3"/>
  <c r="G978" i="3"/>
  <c r="G977" i="3"/>
  <c r="G976" i="3"/>
  <c r="G975" i="3"/>
  <c r="G974" i="3"/>
  <c r="G973" i="3"/>
  <c r="G972" i="3"/>
  <c r="G971" i="3"/>
  <c r="G970" i="3"/>
  <c r="G969" i="3"/>
  <c r="G968" i="3"/>
  <c r="G967" i="3"/>
  <c r="G966" i="3"/>
  <c r="G965" i="3"/>
  <c r="G964" i="3"/>
  <c r="G963" i="3"/>
  <c r="G962" i="3"/>
  <c r="G961" i="3"/>
  <c r="G960" i="3"/>
  <c r="G959" i="3"/>
  <c r="G958" i="3"/>
  <c r="G957" i="3"/>
  <c r="G956" i="3"/>
  <c r="G955" i="3"/>
  <c r="G954" i="3"/>
  <c r="G953" i="3"/>
  <c r="G952" i="3"/>
  <c r="G951" i="3"/>
  <c r="G950" i="3"/>
  <c r="G949" i="3"/>
  <c r="G948" i="3"/>
  <c r="G947" i="3"/>
  <c r="G946" i="3"/>
  <c r="G945" i="3"/>
  <c r="G944" i="3"/>
  <c r="G943" i="3"/>
  <c r="G942" i="3"/>
  <c r="G941" i="3"/>
  <c r="G940" i="3"/>
  <c r="G939" i="3"/>
  <c r="G938" i="3"/>
  <c r="G937" i="3"/>
  <c r="G936" i="3"/>
  <c r="G935" i="3"/>
  <c r="G934" i="3"/>
  <c r="G933" i="3"/>
  <c r="G932" i="3"/>
  <c r="G931" i="3"/>
  <c r="G930" i="3"/>
  <c r="G929" i="3"/>
  <c r="G928" i="3"/>
  <c r="G927" i="3"/>
  <c r="G926" i="3"/>
  <c r="G925" i="3"/>
  <c r="G924" i="3"/>
  <c r="G923" i="3"/>
  <c r="G922" i="3"/>
  <c r="G921" i="3"/>
  <c r="G920" i="3"/>
  <c r="G919" i="3"/>
  <c r="G918" i="3"/>
  <c r="G917" i="3"/>
  <c r="G916" i="3"/>
  <c r="G915" i="3"/>
  <c r="G914" i="3"/>
  <c r="G913" i="3"/>
  <c r="G912" i="3"/>
  <c r="G911" i="3"/>
  <c r="G910" i="3"/>
  <c r="G909" i="3"/>
  <c r="G908" i="3"/>
  <c r="G907" i="3"/>
  <c r="G906" i="3"/>
  <c r="G905" i="3"/>
  <c r="G904" i="3"/>
  <c r="G903" i="3"/>
  <c r="G902" i="3"/>
  <c r="G901" i="3"/>
  <c r="G900" i="3"/>
  <c r="G899" i="3"/>
  <c r="G898" i="3"/>
  <c r="G897" i="3"/>
  <c r="G896" i="3"/>
  <c r="G895" i="3"/>
  <c r="G894" i="3"/>
  <c r="G893" i="3"/>
  <c r="G892" i="3"/>
  <c r="G891" i="3"/>
  <c r="G890" i="3"/>
  <c r="G889" i="3"/>
  <c r="G888" i="3"/>
  <c r="G887" i="3"/>
  <c r="G886" i="3"/>
  <c r="G885" i="3"/>
  <c r="G884" i="3"/>
  <c r="G883" i="3"/>
  <c r="G882" i="3"/>
  <c r="G881" i="3"/>
  <c r="G880" i="3"/>
  <c r="G879" i="3"/>
  <c r="G878" i="3"/>
  <c r="G877" i="3"/>
  <c r="G876" i="3"/>
  <c r="G875" i="3"/>
  <c r="G874" i="3"/>
  <c r="G873" i="3"/>
  <c r="G872" i="3"/>
  <c r="G871" i="3"/>
  <c r="G870" i="3"/>
  <c r="G869" i="3"/>
  <c r="G868" i="3"/>
  <c r="G867" i="3"/>
  <c r="G866" i="3"/>
  <c r="G865" i="3"/>
  <c r="G864" i="3"/>
  <c r="G863" i="3"/>
  <c r="G862" i="3"/>
  <c r="G861" i="3"/>
  <c r="G860" i="3"/>
  <c r="G859" i="3"/>
  <c r="G858" i="3"/>
  <c r="G857" i="3"/>
  <c r="G856" i="3"/>
  <c r="G855" i="3"/>
  <c r="G854" i="3"/>
  <c r="G853" i="3"/>
  <c r="G852" i="3"/>
  <c r="G851" i="3"/>
  <c r="G850" i="3"/>
  <c r="G849" i="3"/>
  <c r="G848" i="3"/>
  <c r="G847" i="3"/>
  <c r="G846" i="3"/>
  <c r="G845" i="3"/>
  <c r="G844" i="3"/>
  <c r="G843" i="3"/>
  <c r="G842" i="3"/>
  <c r="G841" i="3"/>
  <c r="G840" i="3"/>
  <c r="G839" i="3"/>
  <c r="G838" i="3"/>
  <c r="G837" i="3"/>
  <c r="G836" i="3"/>
  <c r="G835" i="3"/>
  <c r="G834" i="3"/>
  <c r="G833" i="3"/>
  <c r="G832" i="3"/>
  <c r="G831" i="3"/>
  <c r="G830" i="3"/>
  <c r="G829" i="3"/>
  <c r="G828" i="3"/>
  <c r="G827" i="3"/>
  <c r="G826" i="3"/>
  <c r="G825" i="3"/>
  <c r="G824" i="3"/>
  <c r="G823" i="3"/>
  <c r="G822" i="3"/>
  <c r="G821" i="3"/>
  <c r="G820" i="3"/>
  <c r="G819" i="3"/>
  <c r="G818" i="3"/>
  <c r="G817" i="3"/>
  <c r="G816" i="3"/>
  <c r="G815" i="3"/>
  <c r="G814" i="3"/>
  <c r="G813" i="3"/>
  <c r="G812" i="3"/>
  <c r="G811" i="3"/>
  <c r="G810" i="3"/>
  <c r="G809" i="3"/>
  <c r="G808" i="3"/>
  <c r="G807" i="3"/>
  <c r="G806" i="3"/>
  <c r="G805" i="3"/>
  <c r="G804" i="3"/>
  <c r="G803" i="3"/>
  <c r="G802" i="3"/>
  <c r="G801" i="3"/>
  <c r="G800" i="3"/>
  <c r="G799" i="3"/>
  <c r="G798" i="3"/>
  <c r="G797" i="3"/>
  <c r="G796" i="3"/>
  <c r="G795" i="3"/>
  <c r="G794" i="3"/>
  <c r="G793" i="3"/>
  <c r="G792" i="3"/>
  <c r="G791" i="3"/>
  <c r="G790" i="3"/>
  <c r="G789" i="3"/>
  <c r="G788" i="3"/>
  <c r="G787" i="3"/>
  <c r="G786" i="3"/>
  <c r="G785" i="3"/>
  <c r="G784" i="3"/>
  <c r="G783" i="3"/>
  <c r="G782" i="3"/>
  <c r="G781" i="3"/>
  <c r="G780" i="3"/>
  <c r="G779" i="3"/>
  <c r="G778" i="3"/>
  <c r="G777" i="3"/>
  <c r="G776" i="3"/>
  <c r="G775" i="3"/>
  <c r="G774" i="3"/>
  <c r="G773" i="3"/>
  <c r="G772" i="3"/>
  <c r="G771" i="3"/>
  <c r="G770" i="3"/>
  <c r="G769" i="3"/>
  <c r="G768" i="3"/>
  <c r="G767" i="3"/>
  <c r="G766" i="3"/>
  <c r="G765" i="3"/>
  <c r="G764" i="3"/>
  <c r="G763" i="3"/>
  <c r="G762" i="3"/>
  <c r="G761" i="3"/>
  <c r="G760" i="3"/>
  <c r="G759" i="3"/>
  <c r="G758" i="3"/>
  <c r="G757" i="3"/>
  <c r="G756" i="3"/>
  <c r="G755" i="3"/>
  <c r="G754" i="3"/>
  <c r="G753" i="3"/>
  <c r="G752" i="3"/>
  <c r="G751" i="3"/>
  <c r="G750" i="3"/>
  <c r="G749" i="3"/>
  <c r="G748" i="3"/>
  <c r="G747" i="3"/>
  <c r="G746" i="3"/>
  <c r="G745" i="3"/>
  <c r="G744" i="3"/>
  <c r="G743" i="3"/>
  <c r="G742" i="3"/>
  <c r="G741" i="3"/>
  <c r="G740" i="3"/>
  <c r="G739" i="3"/>
  <c r="G738" i="3"/>
  <c r="G737" i="3"/>
  <c r="G736" i="3"/>
  <c r="G735" i="3"/>
  <c r="G734" i="3"/>
  <c r="G733" i="3"/>
  <c r="G732" i="3"/>
  <c r="G731" i="3"/>
  <c r="G730" i="3"/>
  <c r="G729" i="3"/>
  <c r="G728" i="3"/>
  <c r="G727" i="3"/>
  <c r="G726" i="3"/>
  <c r="G725" i="3"/>
  <c r="G724" i="3"/>
  <c r="G723" i="3"/>
  <c r="G722" i="3"/>
  <c r="G721" i="3"/>
  <c r="G720" i="3"/>
  <c r="G719" i="3"/>
  <c r="G718" i="3"/>
  <c r="G717" i="3"/>
  <c r="G716" i="3"/>
  <c r="G715" i="3"/>
  <c r="G714" i="3"/>
  <c r="G713" i="3"/>
  <c r="G712" i="3"/>
  <c r="G711" i="3"/>
  <c r="G710" i="3"/>
  <c r="G709" i="3"/>
  <c r="G708" i="3"/>
  <c r="G707" i="3"/>
  <c r="G706" i="3"/>
  <c r="G705" i="3"/>
  <c r="G704" i="3"/>
  <c r="G703" i="3"/>
  <c r="G702" i="3"/>
  <c r="G701" i="3"/>
  <c r="G700" i="3"/>
  <c r="G699" i="3"/>
  <c r="G698" i="3"/>
  <c r="G697" i="3"/>
  <c r="G696" i="3"/>
  <c r="G695" i="3"/>
  <c r="G694" i="3"/>
  <c r="G693" i="3"/>
  <c r="G692" i="3"/>
  <c r="G691" i="3"/>
  <c r="G690" i="3"/>
  <c r="G689" i="3"/>
  <c r="G688" i="3"/>
  <c r="G687" i="3"/>
  <c r="G686" i="3"/>
  <c r="G685" i="3"/>
  <c r="G684" i="3"/>
  <c r="G683" i="3"/>
  <c r="G682" i="3"/>
  <c r="G681" i="3"/>
  <c r="G680" i="3"/>
  <c r="G679" i="3"/>
  <c r="G678" i="3"/>
  <c r="G677" i="3"/>
  <c r="G676" i="3"/>
  <c r="G675" i="3"/>
  <c r="G674" i="3"/>
  <c r="G673" i="3"/>
  <c r="G672" i="3"/>
  <c r="G671" i="3"/>
  <c r="G670" i="3"/>
  <c r="G669" i="3"/>
  <c r="G668" i="3"/>
  <c r="G667" i="3"/>
  <c r="G666" i="3"/>
  <c r="G665" i="3"/>
  <c r="G664" i="3"/>
  <c r="G663" i="3"/>
  <c r="G662" i="3"/>
  <c r="G661" i="3"/>
  <c r="G660" i="3"/>
  <c r="G659" i="3"/>
  <c r="G658" i="3"/>
  <c r="G657" i="3"/>
  <c r="G656" i="3"/>
  <c r="G655" i="3"/>
  <c r="G654" i="3"/>
  <c r="G653" i="3"/>
  <c r="G652" i="3"/>
  <c r="G651" i="3"/>
  <c r="G650" i="3"/>
  <c r="G649" i="3"/>
  <c r="G648" i="3"/>
  <c r="G647" i="3"/>
  <c r="G646" i="3"/>
  <c r="G645" i="3"/>
  <c r="G644" i="3"/>
  <c r="G643" i="3"/>
  <c r="G642" i="3"/>
  <c r="G641" i="3"/>
  <c r="G640" i="3"/>
  <c r="G639" i="3"/>
  <c r="G638" i="3"/>
  <c r="G637" i="3"/>
  <c r="G636" i="3"/>
  <c r="G635" i="3"/>
  <c r="G634" i="3"/>
  <c r="G633" i="3"/>
  <c r="G632" i="3"/>
  <c r="G631" i="3"/>
  <c r="G630" i="3"/>
  <c r="G629" i="3"/>
  <c r="G628" i="3"/>
  <c r="G627" i="3"/>
  <c r="G626" i="3"/>
  <c r="G625" i="3"/>
  <c r="G624" i="3"/>
  <c r="G623" i="3"/>
  <c r="G622" i="3"/>
  <c r="G621" i="3"/>
  <c r="G620" i="3"/>
  <c r="G619" i="3"/>
  <c r="G618" i="3"/>
  <c r="G617" i="3"/>
  <c r="G616" i="3"/>
  <c r="G615" i="3"/>
  <c r="G614" i="3"/>
  <c r="G613" i="3"/>
  <c r="G612" i="3"/>
  <c r="G611" i="3"/>
  <c r="G610" i="3"/>
  <c r="G609" i="3"/>
  <c r="G608" i="3"/>
  <c r="G607" i="3"/>
  <c r="G606" i="3"/>
  <c r="G605" i="3"/>
  <c r="G604" i="3"/>
  <c r="G603" i="3"/>
  <c r="G602" i="3"/>
  <c r="G601" i="3"/>
  <c r="G600" i="3"/>
  <c r="G599" i="3"/>
  <c r="G598" i="3"/>
  <c r="G597" i="3"/>
  <c r="G596" i="3"/>
  <c r="G595" i="3"/>
  <c r="G594" i="3"/>
  <c r="G593" i="3"/>
  <c r="G592" i="3"/>
  <c r="G591" i="3"/>
  <c r="G590" i="3"/>
  <c r="G589" i="3"/>
  <c r="G588" i="3"/>
  <c r="G587" i="3"/>
  <c r="G586" i="3"/>
  <c r="G585" i="3"/>
  <c r="G584" i="3"/>
  <c r="G583" i="3"/>
  <c r="G582" i="3"/>
  <c r="G581" i="3"/>
  <c r="G580" i="3"/>
  <c r="G579" i="3"/>
  <c r="G578" i="3"/>
  <c r="G577" i="3"/>
  <c r="G576" i="3"/>
  <c r="G575" i="3"/>
  <c r="G574" i="3"/>
  <c r="G573" i="3"/>
  <c r="G572" i="3"/>
  <c r="G571" i="3"/>
  <c r="G570" i="3"/>
  <c r="G569" i="3"/>
  <c r="G568" i="3"/>
  <c r="G567" i="3"/>
  <c r="G566" i="3"/>
  <c r="G565" i="3"/>
  <c r="G564" i="3"/>
  <c r="G563" i="3"/>
  <c r="G562" i="3"/>
  <c r="G561" i="3"/>
  <c r="G560" i="3"/>
  <c r="G559" i="3"/>
  <c r="G558" i="3"/>
  <c r="G557" i="3"/>
  <c r="G556" i="3"/>
  <c r="G555" i="3"/>
  <c r="G554" i="3"/>
  <c r="G553" i="3"/>
  <c r="G552" i="3"/>
  <c r="G551" i="3"/>
  <c r="G550" i="3"/>
  <c r="G549" i="3"/>
  <c r="G548" i="3"/>
  <c r="G547" i="3"/>
  <c r="G546" i="3"/>
  <c r="G545" i="3"/>
  <c r="G544" i="3"/>
  <c r="G543" i="3"/>
  <c r="G542" i="3"/>
  <c r="G541" i="3"/>
  <c r="G540" i="3"/>
  <c r="G539" i="3"/>
  <c r="G538" i="3"/>
  <c r="G537" i="3"/>
  <c r="G536" i="3"/>
  <c r="G535" i="3"/>
  <c r="G534" i="3"/>
  <c r="G533" i="3"/>
  <c r="G532" i="3"/>
  <c r="G531" i="3"/>
  <c r="G530" i="3"/>
  <c r="G529" i="3"/>
  <c r="G528" i="3"/>
  <c r="G527" i="3"/>
  <c r="G526" i="3"/>
  <c r="G525" i="3"/>
  <c r="G524" i="3"/>
  <c r="G523" i="3"/>
  <c r="G522" i="3"/>
  <c r="G521" i="3"/>
  <c r="G520" i="3"/>
  <c r="G519" i="3"/>
  <c r="G518" i="3"/>
  <c r="G517" i="3"/>
  <c r="G516" i="3"/>
  <c r="G515" i="3"/>
  <c r="G514" i="3"/>
  <c r="G513" i="3"/>
  <c r="G512" i="3"/>
  <c r="G511" i="3"/>
  <c r="G510" i="3"/>
  <c r="G509" i="3"/>
  <c r="G508" i="3"/>
  <c r="G507" i="3"/>
  <c r="G506" i="3"/>
  <c r="G505" i="3"/>
  <c r="G504" i="3"/>
  <c r="G503" i="3"/>
  <c r="G502" i="3"/>
  <c r="G501" i="3"/>
  <c r="G500" i="3"/>
  <c r="G499" i="3"/>
  <c r="G498" i="3"/>
  <c r="G497" i="3"/>
  <c r="G496" i="3"/>
  <c r="G495" i="3"/>
  <c r="G494" i="3"/>
  <c r="G493" i="3"/>
  <c r="G492" i="3"/>
  <c r="G491" i="3"/>
  <c r="G490" i="3"/>
  <c r="G489" i="3"/>
  <c r="G488" i="3"/>
  <c r="G487" i="3"/>
  <c r="G486" i="3"/>
  <c r="G485" i="3"/>
  <c r="G484" i="3"/>
  <c r="G483" i="3"/>
  <c r="G482" i="3"/>
  <c r="G481" i="3"/>
  <c r="G480" i="3"/>
  <c r="G479" i="3"/>
  <c r="G478" i="3"/>
  <c r="G477" i="3"/>
  <c r="G476" i="3"/>
  <c r="G475" i="3"/>
  <c r="G474" i="3"/>
  <c r="G473" i="3"/>
  <c r="G472" i="3"/>
  <c r="G471" i="3"/>
  <c r="G470" i="3"/>
  <c r="G469" i="3"/>
  <c r="G468" i="3"/>
  <c r="G467" i="3"/>
  <c r="G466" i="3"/>
  <c r="G465" i="3"/>
  <c r="G464" i="3"/>
  <c r="G463" i="3"/>
  <c r="G462" i="3"/>
  <c r="G461" i="3"/>
  <c r="G460" i="3"/>
  <c r="G459" i="3"/>
  <c r="G458" i="3"/>
  <c r="G457" i="3"/>
  <c r="G456" i="3"/>
  <c r="G455" i="3"/>
  <c r="G454" i="3"/>
  <c r="G453" i="3"/>
  <c r="G452" i="3"/>
  <c r="G451" i="3"/>
  <c r="G450" i="3"/>
  <c r="G449" i="3"/>
  <c r="G448" i="3"/>
  <c r="G447" i="3"/>
  <c r="G446" i="3"/>
  <c r="G445" i="3"/>
  <c r="G444" i="3"/>
  <c r="G443" i="3"/>
  <c r="G442" i="3"/>
  <c r="G441" i="3"/>
  <c r="G440" i="3"/>
  <c r="G439" i="3"/>
  <c r="G438" i="3"/>
  <c r="G437" i="3"/>
  <c r="G436" i="3"/>
  <c r="G435" i="3"/>
  <c r="G434" i="3"/>
  <c r="G433" i="3"/>
  <c r="G432" i="3"/>
  <c r="G431" i="3"/>
  <c r="G430" i="3"/>
  <c r="G429" i="3"/>
  <c r="G428" i="3"/>
  <c r="G427" i="3"/>
  <c r="G426" i="3"/>
  <c r="G425" i="3"/>
  <c r="G424" i="3"/>
  <c r="G423" i="3"/>
  <c r="G422" i="3"/>
  <c r="G421" i="3"/>
  <c r="G420" i="3"/>
  <c r="G419" i="3"/>
  <c r="G418" i="3"/>
  <c r="G417" i="3"/>
  <c r="G416" i="3"/>
  <c r="G415" i="3"/>
  <c r="G414" i="3"/>
  <c r="G413" i="3"/>
  <c r="G412" i="3"/>
  <c r="G411" i="3"/>
  <c r="G410" i="3"/>
  <c r="G409" i="3"/>
  <c r="G408" i="3"/>
  <c r="G407" i="3"/>
  <c r="G406" i="3"/>
  <c r="G405" i="3"/>
  <c r="G404" i="3"/>
  <c r="G403" i="3"/>
  <c r="G402" i="3"/>
  <c r="G401" i="3"/>
  <c r="G400" i="3"/>
  <c r="G399" i="3"/>
  <c r="G398" i="3"/>
  <c r="G397" i="3"/>
  <c r="G396" i="3"/>
  <c r="G395" i="3"/>
  <c r="G394" i="3"/>
  <c r="G393" i="3"/>
  <c r="G392" i="3"/>
  <c r="G391" i="3"/>
  <c r="G390" i="3"/>
  <c r="G389" i="3"/>
  <c r="G388" i="3"/>
  <c r="G387" i="3"/>
  <c r="G386" i="3"/>
  <c r="G385" i="3"/>
  <c r="G384" i="3"/>
  <c r="G383" i="3"/>
  <c r="G382" i="3"/>
  <c r="G381" i="3"/>
  <c r="G380" i="3"/>
  <c r="G379" i="3"/>
  <c r="G378" i="3"/>
  <c r="G377" i="3"/>
  <c r="G376" i="3"/>
  <c r="G375" i="3"/>
  <c r="G374" i="3"/>
  <c r="G373" i="3"/>
  <c r="G372" i="3"/>
  <c r="G371" i="3"/>
  <c r="G370" i="3"/>
  <c r="G369" i="3"/>
  <c r="G368" i="3"/>
  <c r="G367" i="3"/>
  <c r="G366" i="3"/>
  <c r="G365" i="3"/>
  <c r="G364" i="3"/>
  <c r="G363" i="3"/>
  <c r="G362" i="3"/>
  <c r="G361" i="3"/>
  <c r="G360" i="3"/>
  <c r="G359" i="3"/>
  <c r="G358" i="3"/>
  <c r="G357" i="3"/>
  <c r="G356" i="3"/>
  <c r="G355" i="3"/>
  <c r="G354" i="3"/>
  <c r="G353" i="3"/>
  <c r="G352" i="3"/>
  <c r="G351" i="3"/>
  <c r="G350" i="3"/>
  <c r="G349" i="3"/>
  <c r="G348" i="3"/>
  <c r="G347" i="3"/>
  <c r="G346" i="3"/>
  <c r="G345" i="3"/>
  <c r="G344" i="3"/>
  <c r="G343" i="3"/>
  <c r="G342" i="3"/>
  <c r="G341" i="3"/>
  <c r="G340" i="3"/>
  <c r="G339" i="3"/>
  <c r="G338" i="3"/>
  <c r="G337" i="3"/>
  <c r="G336" i="3"/>
  <c r="G335" i="3"/>
  <c r="G334" i="3"/>
  <c r="G333" i="3"/>
  <c r="G332" i="3"/>
  <c r="G331" i="3"/>
  <c r="G330" i="3"/>
  <c r="G329" i="3"/>
  <c r="G328" i="3"/>
  <c r="G327" i="3"/>
  <c r="G326" i="3"/>
  <c r="G325" i="3"/>
  <c r="G324" i="3"/>
  <c r="G323" i="3"/>
  <c r="G322" i="3"/>
  <c r="G321" i="3"/>
  <c r="G320" i="3"/>
  <c r="G319" i="3"/>
  <c r="G318" i="3"/>
  <c r="G317" i="3"/>
  <c r="G316" i="3"/>
  <c r="G315" i="3"/>
  <c r="G314" i="3"/>
  <c r="G313" i="3"/>
  <c r="G312" i="3"/>
  <c r="G311" i="3"/>
  <c r="G310" i="3"/>
  <c r="G309" i="3"/>
  <c r="G308" i="3"/>
  <c r="G307" i="3"/>
  <c r="G306" i="3"/>
  <c r="G305" i="3"/>
  <c r="G304" i="3"/>
  <c r="G303" i="3"/>
  <c r="G302" i="3"/>
  <c r="G301" i="3"/>
  <c r="G300" i="3"/>
  <c r="G299" i="3"/>
  <c r="G298" i="3"/>
  <c r="G297" i="3"/>
  <c r="G296" i="3"/>
  <c r="G295" i="3"/>
  <c r="G294" i="3"/>
  <c r="G293" i="3"/>
  <c r="G292" i="3"/>
  <c r="G291" i="3"/>
  <c r="G290" i="3"/>
  <c r="G289" i="3"/>
  <c r="G288" i="3"/>
  <c r="G287" i="3"/>
  <c r="G286" i="3"/>
  <c r="G285" i="3"/>
  <c r="G284" i="3"/>
  <c r="G283" i="3"/>
  <c r="G282" i="3"/>
  <c r="G281" i="3"/>
  <c r="G280" i="3"/>
  <c r="G279" i="3"/>
  <c r="G278" i="3"/>
  <c r="G277" i="3"/>
  <c r="G276" i="3"/>
  <c r="G275" i="3"/>
  <c r="G274" i="3"/>
  <c r="G273" i="3"/>
  <c r="G272" i="3"/>
  <c r="G271" i="3"/>
  <c r="G270" i="3"/>
  <c r="G269" i="3"/>
  <c r="G268" i="3"/>
  <c r="G267" i="3"/>
  <c r="G266" i="3"/>
  <c r="G265" i="3"/>
  <c r="G264" i="3"/>
  <c r="G263" i="3"/>
  <c r="G262" i="3"/>
  <c r="G261" i="3"/>
  <c r="G260" i="3"/>
  <c r="G259" i="3"/>
  <c r="G258" i="3"/>
  <c r="G257" i="3"/>
  <c r="G256" i="3"/>
  <c r="G255" i="3"/>
  <c r="G254" i="3"/>
  <c r="G253" i="3"/>
  <c r="G252" i="3"/>
  <c r="G251" i="3"/>
  <c r="G250" i="3"/>
  <c r="G249" i="3"/>
  <c r="G248" i="3"/>
  <c r="G247" i="3"/>
  <c r="G246" i="3"/>
  <c r="G245" i="3"/>
  <c r="G244" i="3"/>
  <c r="G243" i="3"/>
  <c r="G242" i="3"/>
  <c r="G241" i="3"/>
  <c r="G240" i="3"/>
  <c r="G239" i="3"/>
  <c r="G238" i="3"/>
  <c r="G237" i="3"/>
  <c r="G236" i="3"/>
  <c r="G235" i="3"/>
  <c r="G234" i="3"/>
  <c r="G233" i="3"/>
  <c r="G232" i="3"/>
  <c r="G231" i="3"/>
  <c r="G230" i="3"/>
  <c r="G229" i="3"/>
  <c r="G228" i="3"/>
  <c r="G227" i="3"/>
  <c r="G226" i="3"/>
  <c r="G225" i="3"/>
  <c r="G224" i="3"/>
  <c r="G223" i="3"/>
  <c r="G222" i="3"/>
  <c r="G221" i="3"/>
  <c r="G220" i="3"/>
  <c r="G219" i="3"/>
  <c r="G218" i="3"/>
  <c r="G217" i="3"/>
  <c r="G216" i="3"/>
  <c r="G215" i="3"/>
  <c r="G214" i="3"/>
  <c r="G213" i="3"/>
  <c r="G212" i="3"/>
  <c r="G211" i="3"/>
  <c r="G210" i="3"/>
  <c r="G209" i="3"/>
  <c r="G208" i="3"/>
  <c r="G207" i="3"/>
  <c r="G206" i="3"/>
  <c r="G205" i="3"/>
  <c r="G204" i="3"/>
  <c r="G203" i="3"/>
  <c r="G202" i="3"/>
  <c r="G201" i="3"/>
  <c r="G200" i="3"/>
  <c r="G199" i="3"/>
  <c r="G198" i="3"/>
  <c r="G197" i="3"/>
  <c r="G196" i="3"/>
  <c r="G195" i="3"/>
  <c r="G194" i="3"/>
  <c r="G193" i="3"/>
  <c r="G192" i="3"/>
  <c r="G191" i="3"/>
  <c r="G190" i="3"/>
  <c r="G189" i="3"/>
  <c r="G188" i="3"/>
  <c r="G187" i="3"/>
  <c r="G186" i="3"/>
  <c r="G185" i="3"/>
  <c r="G184" i="3"/>
  <c r="G183" i="3"/>
  <c r="G182" i="3"/>
  <c r="G181" i="3"/>
  <c r="G180" i="3"/>
  <c r="G179" i="3"/>
  <c r="G178" i="3"/>
  <c r="G177" i="3"/>
  <c r="G176" i="3"/>
  <c r="G175" i="3"/>
  <c r="G174" i="3"/>
  <c r="G173" i="3"/>
  <c r="G172" i="3"/>
  <c r="G171" i="3"/>
  <c r="G170" i="3"/>
  <c r="G169" i="3"/>
  <c r="G168" i="3"/>
  <c r="G167" i="3"/>
  <c r="G166" i="3"/>
  <c r="G165" i="3"/>
  <c r="G164" i="3"/>
  <c r="G163" i="3"/>
  <c r="G162" i="3"/>
  <c r="G161" i="3"/>
  <c r="G160" i="3"/>
  <c r="G159" i="3"/>
  <c r="G158" i="3"/>
  <c r="G157" i="3"/>
  <c r="G156" i="3"/>
  <c r="G155" i="3"/>
  <c r="G154" i="3"/>
  <c r="G153" i="3"/>
  <c r="G152" i="3"/>
  <c r="G151" i="3"/>
  <c r="G150" i="3"/>
  <c r="G149" i="3"/>
  <c r="G148" i="3"/>
  <c r="G147" i="3"/>
  <c r="G146" i="3"/>
  <c r="G145" i="3"/>
  <c r="G144" i="3"/>
  <c r="G143" i="3"/>
  <c r="G142" i="3"/>
  <c r="G141" i="3"/>
  <c r="G140" i="3"/>
  <c r="G139" i="3"/>
  <c r="G138" i="3"/>
  <c r="G137" i="3"/>
  <c r="G136" i="3"/>
  <c r="G135" i="3"/>
  <c r="G134" i="3"/>
  <c r="G133" i="3"/>
  <c r="G132" i="3"/>
  <c r="G131" i="3"/>
  <c r="G130" i="3"/>
  <c r="G129" i="3"/>
  <c r="G128" i="3"/>
  <c r="G127" i="3"/>
  <c r="G126" i="3"/>
  <c r="G125" i="3"/>
  <c r="G124" i="3"/>
  <c r="G123" i="3"/>
  <c r="G122" i="3"/>
  <c r="G121" i="3"/>
  <c r="G120" i="3"/>
  <c r="G119" i="3"/>
  <c r="G118" i="3"/>
  <c r="G117" i="3"/>
  <c r="G116" i="3"/>
  <c r="G115" i="3"/>
  <c r="G114" i="3"/>
  <c r="G113" i="3"/>
  <c r="G112" i="3"/>
  <c r="G111" i="3"/>
  <c r="G110" i="3"/>
  <c r="G109" i="3"/>
  <c r="G108" i="3"/>
  <c r="G107" i="3"/>
  <c r="G106" i="3"/>
  <c r="G105" i="3"/>
  <c r="G104" i="3"/>
  <c r="G103" i="3"/>
  <c r="G102" i="3"/>
  <c r="G101" i="3"/>
  <c r="G100" i="3"/>
  <c r="G99" i="3"/>
  <c r="G98" i="3"/>
  <c r="G97" i="3"/>
  <c r="G96" i="3"/>
  <c r="G95" i="3"/>
  <c r="G94" i="3"/>
  <c r="G93" i="3"/>
  <c r="G92" i="3"/>
  <c r="G91" i="3"/>
  <c r="G90" i="3"/>
  <c r="G89" i="3"/>
  <c r="G88" i="3"/>
  <c r="G87" i="3"/>
  <c r="G86" i="3"/>
  <c r="G85" i="3"/>
  <c r="G84" i="3"/>
  <c r="G83" i="3"/>
  <c r="G82" i="3"/>
  <c r="G81" i="3"/>
  <c r="G80" i="3"/>
  <c r="G79" i="3"/>
  <c r="G78" i="3"/>
  <c r="G77" i="3"/>
  <c r="G76" i="3"/>
  <c r="G75" i="3"/>
  <c r="G74" i="3"/>
  <c r="G73" i="3"/>
  <c r="G72" i="3"/>
  <c r="G71" i="3"/>
  <c r="G70" i="3"/>
  <c r="G69" i="3"/>
  <c r="G68" i="3"/>
  <c r="G67" i="3"/>
  <c r="G66" i="3"/>
  <c r="G65" i="3"/>
  <c r="G64" i="3"/>
  <c r="G63" i="3"/>
  <c r="G62" i="3"/>
  <c r="G61" i="3"/>
  <c r="G60" i="3"/>
  <c r="G59" i="3"/>
  <c r="G58" i="3"/>
  <c r="G57" i="3"/>
  <c r="G56" i="3"/>
  <c r="G55" i="3"/>
  <c r="G54" i="3"/>
  <c r="G53" i="3"/>
  <c r="G52" i="3"/>
  <c r="G51" i="3"/>
  <c r="G50" i="3"/>
  <c r="G49" i="3"/>
  <c r="G48" i="3"/>
  <c r="G47" i="3"/>
  <c r="G46" i="3"/>
  <c r="G45" i="3"/>
  <c r="G44" i="3"/>
  <c r="G43" i="3"/>
  <c r="G42" i="3"/>
  <c r="G41" i="3"/>
  <c r="G40" i="3"/>
  <c r="G39" i="3"/>
  <c r="G38" i="3"/>
  <c r="G37" i="3"/>
  <c r="G36" i="3"/>
  <c r="G35" i="3"/>
  <c r="G34" i="3"/>
  <c r="G33" i="3"/>
  <c r="G32" i="3"/>
  <c r="G31" i="3"/>
  <c r="G30" i="3"/>
  <c r="G29" i="3"/>
  <c r="G28" i="3"/>
  <c r="G27" i="3"/>
  <c r="G26" i="3"/>
  <c r="G25" i="3"/>
  <c r="G24" i="3"/>
  <c r="G23" i="3"/>
  <c r="G22" i="3"/>
  <c r="G21" i="3"/>
  <c r="G20" i="3"/>
  <c r="G19" i="3"/>
  <c r="G18" i="3"/>
  <c r="G17" i="3"/>
  <c r="G16" i="3"/>
  <c r="G15" i="3"/>
  <c r="G14" i="3"/>
  <c r="G13" i="3"/>
  <c r="G12" i="3"/>
  <c r="G11" i="3"/>
  <c r="G10" i="3"/>
  <c r="G9" i="3"/>
  <c r="G8" i="3"/>
  <c r="G7" i="3"/>
  <c r="G6" i="3"/>
  <c r="G5" i="3"/>
  <c r="G2501" i="3"/>
  <c r="G2500" i="3"/>
  <c r="G2499" i="3"/>
  <c r="G2498" i="3"/>
  <c r="G2497" i="3"/>
  <c r="G2496" i="3"/>
  <c r="G2495" i="3"/>
  <c r="G2494" i="3"/>
  <c r="G2493" i="3"/>
  <c r="G2492" i="3"/>
  <c r="G2491" i="3"/>
  <c r="G2490" i="3"/>
  <c r="G2489" i="3"/>
  <c r="G2488" i="3"/>
  <c r="G2487" i="3"/>
  <c r="G2486" i="3"/>
  <c r="G2485" i="3"/>
  <c r="G2484" i="3"/>
  <c r="G2483" i="3"/>
  <c r="G2482" i="3"/>
  <c r="G2481" i="3"/>
  <c r="G2480" i="3"/>
  <c r="G2479" i="3"/>
  <c r="G2478" i="3"/>
  <c r="G2477" i="3"/>
  <c r="G2476" i="3"/>
  <c r="G2475" i="3"/>
  <c r="G2474" i="3"/>
  <c r="G2473" i="3"/>
  <c r="G2472" i="3"/>
  <c r="G2471" i="3"/>
  <c r="G2470" i="3"/>
  <c r="G2469" i="3"/>
  <c r="G2468" i="3"/>
  <c r="G2467" i="3"/>
  <c r="G2466" i="3"/>
  <c r="G2465" i="3"/>
  <c r="G2464" i="3"/>
  <c r="G2463" i="3"/>
  <c r="G2462" i="3"/>
  <c r="G2461" i="3"/>
  <c r="G2460" i="3"/>
  <c r="G2459" i="3"/>
  <c r="G2458" i="3"/>
  <c r="G2457" i="3"/>
  <c r="G2456" i="3"/>
  <c r="G2455" i="3"/>
  <c r="G2454" i="3"/>
  <c r="G2453" i="3"/>
  <c r="G2452" i="3"/>
  <c r="G2451" i="3"/>
  <c r="G2450" i="3"/>
  <c r="G2449" i="3"/>
  <c r="G2448" i="3"/>
  <c r="G2447" i="3"/>
  <c r="G2446" i="3"/>
  <c r="G2445" i="3"/>
  <c r="G2444" i="3"/>
  <c r="G2443" i="3"/>
  <c r="G2442" i="3"/>
  <c r="G2441" i="3"/>
  <c r="G2440" i="3"/>
  <c r="G2439" i="3"/>
  <c r="G2438" i="3"/>
  <c r="G2437" i="3"/>
  <c r="G2436" i="3"/>
  <c r="G2435" i="3"/>
  <c r="G2434" i="3"/>
  <c r="G2433" i="3"/>
  <c r="G2432" i="3"/>
  <c r="G2431" i="3"/>
  <c r="G2430" i="3"/>
  <c r="G2429" i="3"/>
  <c r="G2428" i="3"/>
  <c r="G2427" i="3"/>
  <c r="G2426" i="3"/>
  <c r="G2425" i="3"/>
  <c r="G2424" i="3"/>
  <c r="G2423" i="3"/>
  <c r="G2422" i="3"/>
  <c r="G2421" i="3"/>
  <c r="G2420" i="3"/>
  <c r="G2419" i="3"/>
  <c r="G2418" i="3"/>
  <c r="G2417" i="3"/>
  <c r="G2416" i="3"/>
  <c r="G2415" i="3"/>
  <c r="G2414" i="3"/>
  <c r="G2413" i="3"/>
  <c r="G2412" i="3"/>
  <c r="G2411" i="3"/>
  <c r="G2410" i="3"/>
  <c r="G2409" i="3"/>
  <c r="G2408" i="3"/>
  <c r="G2407" i="3"/>
  <c r="G2406" i="3"/>
  <c r="G2405" i="3"/>
  <c r="G2404" i="3"/>
  <c r="G2403" i="3"/>
  <c r="G2402" i="3"/>
  <c r="G2401" i="3"/>
  <c r="G2400" i="3"/>
  <c r="G2399" i="3"/>
  <c r="G2398" i="3"/>
  <c r="G2397" i="3"/>
  <c r="G2396" i="3"/>
  <c r="G2395" i="3"/>
  <c r="G2394" i="3"/>
  <c r="G2393" i="3"/>
  <c r="G2392" i="3"/>
  <c r="G2391" i="3"/>
  <c r="G2390" i="3"/>
  <c r="G2389" i="3"/>
  <c r="G2388" i="3"/>
  <c r="G2387" i="3"/>
  <c r="G2386" i="3"/>
  <c r="G2385" i="3"/>
  <c r="G2384" i="3"/>
  <c r="G2383" i="3"/>
  <c r="G2382" i="3"/>
  <c r="G2381" i="3"/>
  <c r="G2380" i="3"/>
  <c r="G2379" i="3"/>
  <c r="G2378" i="3"/>
  <c r="G2377" i="3"/>
  <c r="G2376" i="3"/>
  <c r="G2375" i="3"/>
  <c r="G2374" i="3"/>
  <c r="G2373" i="3"/>
  <c r="G2372" i="3"/>
  <c r="G2371" i="3"/>
  <c r="G2370" i="3"/>
  <c r="G2369" i="3"/>
  <c r="G2368" i="3"/>
  <c r="G2367" i="3"/>
  <c r="G2366" i="3"/>
  <c r="G2365" i="3"/>
  <c r="G2364" i="3"/>
  <c r="G2363" i="3"/>
  <c r="G2362" i="3"/>
  <c r="G2361" i="3"/>
  <c r="G2360" i="3"/>
  <c r="G2359" i="3"/>
  <c r="G2358" i="3"/>
  <c r="G2357" i="3"/>
  <c r="G2356" i="3"/>
  <c r="G2355" i="3"/>
  <c r="G2354" i="3"/>
  <c r="G2353" i="3"/>
  <c r="G2352" i="3"/>
  <c r="G2351" i="3"/>
  <c r="G2350" i="3"/>
  <c r="G2349" i="3"/>
  <c r="G2348" i="3"/>
  <c r="G2347" i="3"/>
  <c r="G2346" i="3"/>
  <c r="G2345" i="3"/>
  <c r="G2344" i="3"/>
  <c r="G2343" i="3"/>
  <c r="G2342" i="3"/>
  <c r="G2341" i="3"/>
  <c r="G2340" i="3"/>
  <c r="G2339" i="3"/>
  <c r="G2338" i="3"/>
  <c r="G2337" i="3"/>
  <c r="G2336" i="3"/>
  <c r="G2335" i="3"/>
  <c r="G2334" i="3"/>
  <c r="G2333" i="3"/>
  <c r="G2332" i="3"/>
  <c r="G2331" i="3"/>
  <c r="G2330" i="3"/>
  <c r="G2329" i="3"/>
  <c r="G2328" i="3"/>
  <c r="G2327" i="3"/>
  <c r="G2326" i="3"/>
  <c r="G2325" i="3"/>
  <c r="G2324" i="3"/>
  <c r="G2323" i="3"/>
  <c r="G2322" i="3"/>
  <c r="G2321" i="3"/>
  <c r="G2320" i="3"/>
  <c r="G2319" i="3"/>
  <c r="G2318" i="3"/>
  <c r="G2317" i="3"/>
  <c r="G2316" i="3"/>
  <c r="G2315" i="3"/>
  <c r="G2314" i="3"/>
  <c r="G2313" i="3"/>
  <c r="G2312" i="3"/>
  <c r="G2311" i="3"/>
  <c r="G2310" i="3"/>
  <c r="G2309" i="3"/>
  <c r="G2308" i="3"/>
  <c r="G2307" i="3"/>
  <c r="G2306" i="3"/>
  <c r="G2305" i="3"/>
  <c r="G2304" i="3"/>
  <c r="G2303" i="3"/>
  <c r="G2302" i="3"/>
  <c r="G2301" i="3"/>
  <c r="G2300" i="3"/>
  <c r="G2299" i="3"/>
  <c r="G2298" i="3"/>
  <c r="G2297" i="3"/>
  <c r="G2296" i="3"/>
  <c r="G2295" i="3"/>
  <c r="G2294" i="3"/>
  <c r="G2293" i="3"/>
  <c r="G2292" i="3"/>
  <c r="G2291" i="3"/>
  <c r="G2290" i="3"/>
  <c r="G2289" i="3"/>
  <c r="G2288" i="3"/>
  <c r="G2287" i="3"/>
  <c r="G2286" i="3"/>
  <c r="G2285" i="3"/>
  <c r="G2284" i="3"/>
  <c r="G2283" i="3"/>
  <c r="G2282" i="3"/>
  <c r="G2281" i="3"/>
  <c r="G2280" i="3"/>
  <c r="G2279" i="3"/>
  <c r="G2278" i="3"/>
  <c r="G2277" i="3"/>
  <c r="G2276" i="3"/>
  <c r="G2275" i="3"/>
  <c r="G2274" i="3"/>
  <c r="G2273" i="3"/>
  <c r="G2272" i="3"/>
  <c r="G2271" i="3"/>
  <c r="G2270" i="3"/>
  <c r="G2269" i="3"/>
  <c r="G2268" i="3"/>
  <c r="G2267" i="3"/>
  <c r="G2266" i="3"/>
  <c r="G2265" i="3"/>
  <c r="G2264" i="3"/>
  <c r="G2263" i="3"/>
  <c r="G2262" i="3"/>
  <c r="G2261" i="3"/>
  <c r="G2260" i="3"/>
  <c r="G2259" i="3"/>
  <c r="G2258" i="3"/>
  <c r="G2257" i="3"/>
  <c r="G2256" i="3"/>
  <c r="G2255" i="3"/>
  <c r="G2254" i="3"/>
  <c r="G2253" i="3"/>
  <c r="G2252" i="3"/>
  <c r="G2251" i="3"/>
  <c r="G2250" i="3"/>
  <c r="G2249" i="3"/>
  <c r="G2248" i="3"/>
  <c r="G2247" i="3"/>
  <c r="G2246" i="3"/>
  <c r="G2245" i="3"/>
  <c r="G2244" i="3"/>
  <c r="G2243" i="3"/>
  <c r="G2242" i="3"/>
  <c r="G2241" i="3"/>
  <c r="G2240" i="3"/>
  <c r="G2239" i="3"/>
  <c r="G2238" i="3"/>
  <c r="G2237" i="3"/>
  <c r="G2236" i="3"/>
  <c r="G2235" i="3"/>
  <c r="G2234" i="3"/>
  <c r="G2233" i="3"/>
  <c r="G2232" i="3"/>
  <c r="G2231" i="3"/>
  <c r="G2230" i="3"/>
  <c r="G2229" i="3"/>
  <c r="G2228" i="3"/>
  <c r="G2227" i="3"/>
  <c r="G2226" i="3"/>
  <c r="K50" i="12"/>
  <c r="L50" i="12"/>
  <c r="K48" i="12"/>
  <c r="L48" i="12"/>
  <c r="C88" i="12"/>
  <c r="L28" i="12"/>
  <c r="L29" i="12" s="1"/>
  <c r="C85" i="12"/>
  <c r="L38" i="12"/>
  <c r="L39" i="12" s="1"/>
  <c r="L13" i="12"/>
  <c r="L14" i="12" s="1"/>
  <c r="O51" i="12"/>
  <c r="O52" i="12" s="1"/>
  <c r="F38" i="40" l="1"/>
  <c r="B38" i="40" s="1"/>
  <c r="F37" i="40"/>
  <c r="B37" i="40" s="1"/>
  <c r="G37" i="40"/>
  <c r="E88" i="12"/>
  <c r="D88" i="12" s="1"/>
  <c r="K28" i="12"/>
  <c r="K29" i="12" s="1"/>
  <c r="M12" i="12"/>
  <c r="M11" i="12"/>
  <c r="M10" i="12"/>
  <c r="X70" i="7"/>
  <c r="X78" i="7"/>
  <c r="X86" i="7"/>
  <c r="X71" i="7"/>
  <c r="X79" i="7"/>
  <c r="X87" i="7"/>
  <c r="X72" i="7"/>
  <c r="X80" i="7"/>
  <c r="X88" i="7"/>
  <c r="X73" i="7"/>
  <c r="X89" i="7"/>
  <c r="X68" i="7"/>
  <c r="X76" i="7"/>
  <c r="X84" i="7"/>
  <c r="X69" i="7"/>
  <c r="X77" i="7"/>
  <c r="X81" i="7"/>
  <c r="X74" i="7"/>
  <c r="X82" i="7"/>
  <c r="X90" i="7"/>
  <c r="X67" i="7"/>
  <c r="X75" i="7"/>
  <c r="X83" i="7"/>
  <c r="X91" i="7"/>
  <c r="X85" i="7"/>
  <c r="D57" i="12" l="1"/>
  <c r="C57" i="12"/>
  <c r="D58" i="12"/>
  <c r="C58" i="12"/>
  <c r="D59" i="12"/>
  <c r="C59" i="12"/>
  <c r="M13" i="12"/>
  <c r="M14" i="12" s="1"/>
  <c r="O13" i="12"/>
  <c r="O14" i="12" s="1"/>
  <c r="N13" i="12"/>
  <c r="N14" i="12" s="1"/>
  <c r="K38" i="12"/>
  <c r="K39" i="12" s="1"/>
  <c r="K13" i="12"/>
  <c r="K14" i="12" s="1"/>
  <c r="X66" i="7"/>
  <c r="D24" i="10"/>
  <c r="D25" i="10"/>
  <c r="D26" i="10"/>
  <c r="D27" i="10"/>
  <c r="D28" i="10"/>
  <c r="D29" i="10"/>
  <c r="D30" i="10"/>
  <c r="D31" i="10"/>
  <c r="D32" i="10"/>
  <c r="D33" i="10"/>
  <c r="D34" i="10"/>
  <c r="D35" i="10"/>
  <c r="D36" i="10"/>
  <c r="D37" i="10"/>
  <c r="D38" i="10"/>
  <c r="D39" i="10"/>
  <c r="D40" i="10"/>
  <c r="D41" i="10"/>
  <c r="D42" i="10"/>
  <c r="D43" i="10"/>
  <c r="D44" i="10"/>
  <c r="D45" i="10"/>
  <c r="D46" i="10"/>
  <c r="D47" i="10"/>
  <c r="J14" i="12" l="1"/>
  <c r="C60" i="12"/>
  <c r="D60" i="12"/>
  <c r="T94" i="7"/>
  <c r="T95" i="7"/>
  <c r="AA33" i="7" l="1"/>
  <c r="B70" i="12"/>
  <c r="B69" i="12"/>
  <c r="B63" i="12"/>
  <c r="B64" i="12"/>
  <c r="B65" i="12"/>
  <c r="B66" i="12"/>
  <c r="B67" i="12"/>
  <c r="B68" i="12"/>
  <c r="B62" i="12"/>
  <c r="B74" i="12"/>
  <c r="B75" i="12"/>
  <c r="B76" i="12"/>
  <c r="B73" i="12"/>
  <c r="BA67" i="7" l="1"/>
  <c r="AN73" i="7"/>
  <c r="AN81" i="7"/>
  <c r="AN89" i="7"/>
  <c r="AN74" i="7"/>
  <c r="AN82" i="7"/>
  <c r="AN90" i="7"/>
  <c r="AN67" i="7"/>
  <c r="AN75" i="7"/>
  <c r="AN83" i="7"/>
  <c r="AN91" i="7"/>
  <c r="AN68" i="7"/>
  <c r="AN76" i="7"/>
  <c r="AN84" i="7"/>
  <c r="AN69" i="7"/>
  <c r="AN77" i="7"/>
  <c r="AN85" i="7"/>
  <c r="AN70" i="7"/>
  <c r="AN78" i="7"/>
  <c r="AN86" i="7"/>
  <c r="AN71" i="7"/>
  <c r="AN87" i="7"/>
  <c r="AN72" i="7"/>
  <c r="AN80" i="7"/>
  <c r="AN88" i="7"/>
  <c r="AN79" i="7"/>
  <c r="BA66" i="7"/>
  <c r="AN66" i="7" l="1"/>
  <c r="AX95" i="7"/>
  <c r="AX94" i="7"/>
  <c r="BC33" i="7" s="1"/>
  <c r="AH95" i="7" l="1"/>
  <c r="AH94" i="7"/>
  <c r="T18" i="7"/>
  <c r="T22" i="7"/>
  <c r="T23" i="7" s="1"/>
  <c r="T19" i="7" l="1"/>
  <c r="K45" i="12"/>
  <c r="L45" i="12"/>
  <c r="C83" i="12"/>
  <c r="K51" i="12" l="1"/>
  <c r="K52" i="12" s="1"/>
  <c r="C86" i="12"/>
  <c r="L51" i="12" l="1"/>
  <c r="L52" i="12" s="1"/>
  <c r="N51" i="12" l="1"/>
  <c r="N52" i="12" s="1"/>
  <c r="J52" i="12" s="1"/>
  <c r="T20" i="7" l="1"/>
  <c r="T21" i="7" s="1"/>
  <c r="T16" i="7"/>
  <c r="T17" i="7" l="1"/>
  <c r="M12" i="40" l="1"/>
  <c r="M9" i="40"/>
  <c r="M10" i="40"/>
  <c r="M8" i="40"/>
  <c r="N8" i="40" l="1"/>
  <c r="M17" i="40"/>
  <c r="N17" i="40" s="1"/>
  <c r="N10" i="40"/>
  <c r="M19" i="40"/>
  <c r="N19" i="40" s="1"/>
  <c r="N9" i="40"/>
  <c r="M18" i="40"/>
  <c r="N18" i="40" s="1"/>
  <c r="N12" i="40"/>
  <c r="M21" i="40"/>
  <c r="N21" i="40" s="1"/>
  <c r="AP33" i="7"/>
  <c r="I32" i="40" l="1"/>
  <c r="M14" i="40"/>
  <c r="M23" i="40" s="1"/>
  <c r="N23" i="40" s="1"/>
  <c r="M13" i="40"/>
  <c r="M22" i="40" s="1"/>
  <c r="N22" i="40" s="1"/>
  <c r="M15" i="40"/>
  <c r="M24" i="40" s="1"/>
  <c r="N24" i="40" s="1"/>
  <c r="O23" i="40"/>
  <c r="O14" i="40"/>
  <c r="G30" i="40"/>
  <c r="G32" i="40"/>
  <c r="G31" i="40"/>
  <c r="G29" i="40"/>
  <c r="N13" i="40" l="1"/>
  <c r="N15" i="40"/>
  <c r="N14" i="40"/>
  <c r="C3" i="2"/>
  <c r="F709" i="2" l="1"/>
  <c r="M709" i="2" s="1"/>
  <c r="F797" i="2"/>
  <c r="M797" i="2" s="1"/>
  <c r="F830" i="2"/>
  <c r="M830" i="2" s="1"/>
  <c r="F838" i="2"/>
  <c r="M838" i="2" s="1"/>
  <c r="F803" i="2"/>
  <c r="M803" i="2" s="1"/>
  <c r="F829" i="2"/>
  <c r="M829" i="2" s="1"/>
  <c r="F846" i="2"/>
  <c r="M846" i="2" s="1"/>
  <c r="F862" i="2"/>
  <c r="M862" i="2" s="1"/>
  <c r="F748" i="2"/>
  <c r="M748" i="2" s="1"/>
  <c r="F859" i="2"/>
  <c r="M859" i="2" s="1"/>
  <c r="F555" i="2"/>
  <c r="M555" i="2" s="1"/>
  <c r="F618" i="2"/>
  <c r="M618" i="2" s="1"/>
  <c r="F557" i="2"/>
  <c r="M557" i="2" s="1"/>
  <c r="F516" i="2"/>
  <c r="M516" i="2" s="1"/>
  <c r="F655" i="2"/>
  <c r="M655" i="2" s="1"/>
  <c r="F503" i="2"/>
  <c r="M503" i="2" s="1"/>
  <c r="F857" i="2"/>
  <c r="M857" i="2" s="1"/>
  <c r="F844" i="2"/>
  <c r="M844" i="2" s="1"/>
  <c r="F796" i="2"/>
  <c r="M796" i="2" s="1"/>
  <c r="F759" i="2"/>
  <c r="M759" i="2" s="1"/>
  <c r="F768" i="2"/>
  <c r="M768" i="2" s="1"/>
  <c r="F679" i="2"/>
  <c r="M679" i="2" s="1"/>
  <c r="F778" i="2"/>
  <c r="M778" i="2" s="1"/>
  <c r="F735" i="2"/>
  <c r="M735" i="2" s="1"/>
  <c r="F780" i="2"/>
  <c r="M780" i="2" s="1"/>
  <c r="F755" i="2"/>
  <c r="M755" i="2" s="1"/>
  <c r="F772" i="2"/>
  <c r="M772" i="2" s="1"/>
  <c r="F727" i="2"/>
  <c r="M727" i="2" s="1"/>
  <c r="F732" i="2"/>
  <c r="M732" i="2" s="1"/>
  <c r="F620" i="2"/>
  <c r="M620" i="2" s="1"/>
  <c r="F682" i="2"/>
  <c r="M682" i="2" s="1"/>
  <c r="F683" i="2"/>
  <c r="M683" i="2" s="1"/>
  <c r="F653" i="2"/>
  <c r="M653" i="2" s="1"/>
  <c r="F685" i="2"/>
  <c r="M685" i="2" s="1"/>
  <c r="F660" i="2"/>
  <c r="M660" i="2" s="1"/>
  <c r="F697" i="2"/>
  <c r="M697" i="2" s="1"/>
  <c r="F624" i="2"/>
  <c r="M624" i="2" s="1"/>
  <c r="F610" i="2"/>
  <c r="M610" i="2" s="1"/>
  <c r="F578" i="2"/>
  <c r="M578" i="2" s="1"/>
  <c r="F512" i="2"/>
  <c r="M512" i="2" s="1"/>
  <c r="F588" i="2"/>
  <c r="M588" i="2" s="1"/>
  <c r="F554" i="2"/>
  <c r="M554" i="2" s="1"/>
  <c r="F605" i="2"/>
  <c r="M605" i="2" s="1"/>
  <c r="F573" i="2"/>
  <c r="M573" i="2" s="1"/>
  <c r="F606" i="2"/>
  <c r="M606" i="2" s="1"/>
  <c r="F574" i="2"/>
  <c r="M574" i="2" s="1"/>
  <c r="F514" i="2"/>
  <c r="M514" i="2" s="1"/>
  <c r="F591" i="2"/>
  <c r="M591" i="2" s="1"/>
  <c r="F556" i="2"/>
  <c r="M556" i="2" s="1"/>
  <c r="F592" i="2"/>
  <c r="M592" i="2" s="1"/>
  <c r="F563" i="2"/>
  <c r="M563" i="2" s="1"/>
  <c r="F645" i="2"/>
  <c r="M645" i="2" s="1"/>
  <c r="F737" i="2"/>
  <c r="M737" i="2" s="1"/>
  <c r="F663" i="2"/>
  <c r="M663" i="2" s="1"/>
  <c r="F673" i="2"/>
  <c r="M673" i="2" s="1"/>
  <c r="F627" i="2"/>
  <c r="M627" i="2" s="1"/>
  <c r="F540" i="2"/>
  <c r="M540" i="2" s="1"/>
  <c r="F518" i="2"/>
  <c r="M518" i="2" s="1"/>
  <c r="F818" i="2"/>
  <c r="M818" i="2" s="1"/>
  <c r="F858" i="2"/>
  <c r="M858" i="2" s="1"/>
  <c r="F723" i="2"/>
  <c r="M723" i="2" s="1"/>
  <c r="F855" i="2"/>
  <c r="M855" i="2" s="1"/>
  <c r="F543" i="2"/>
  <c r="M543" i="2" s="1"/>
  <c r="F548" i="2"/>
  <c r="M548" i="2" s="1"/>
  <c r="F532" i="2"/>
  <c r="M532" i="2" s="1"/>
  <c r="F508" i="2"/>
  <c r="M508" i="2" s="1"/>
  <c r="F651" i="2"/>
  <c r="M651" i="2" s="1"/>
  <c r="F853" i="2"/>
  <c r="M853" i="2" s="1"/>
  <c r="F801" i="2"/>
  <c r="M801" i="2" s="1"/>
  <c r="F805" i="2"/>
  <c r="M805" i="2" s="1"/>
  <c r="F813" i="2"/>
  <c r="M813" i="2" s="1"/>
  <c r="F837" i="2"/>
  <c r="M837" i="2" s="1"/>
  <c r="F792" i="2"/>
  <c r="M792" i="2" s="1"/>
  <c r="F766" i="2"/>
  <c r="M766" i="2" s="1"/>
  <c r="F824" i="2"/>
  <c r="M824" i="2" s="1"/>
  <c r="F564" i="2"/>
  <c r="M564" i="2" s="1"/>
  <c r="F810" i="2"/>
  <c r="M810" i="2" s="1"/>
  <c r="F753" i="2"/>
  <c r="M753" i="2" s="1"/>
  <c r="F585" i="2"/>
  <c r="M585" i="2" s="1"/>
  <c r="F730" i="2"/>
  <c r="M730" i="2" s="1"/>
  <c r="F840" i="2"/>
  <c r="M840" i="2" s="1"/>
  <c r="F716" i="2"/>
  <c r="M716" i="2" s="1"/>
  <c r="F786" i="2"/>
  <c r="M786" i="2" s="1"/>
  <c r="F706" i="2"/>
  <c r="M706" i="2" s="1"/>
  <c r="F790" i="2"/>
  <c r="M790" i="2" s="1"/>
  <c r="F765" i="2"/>
  <c r="M765" i="2" s="1"/>
  <c r="F717" i="2"/>
  <c r="M717" i="2" s="1"/>
  <c r="F672" i="2"/>
  <c r="M672" i="2" s="1"/>
  <c r="F691" i="2"/>
  <c r="M691" i="2" s="1"/>
  <c r="F657" i="2"/>
  <c r="M657" i="2" s="1"/>
  <c r="F639" i="2"/>
  <c r="M639" i="2" s="1"/>
  <c r="F644" i="2"/>
  <c r="M644" i="2" s="1"/>
  <c r="F661" i="2"/>
  <c r="M661" i="2" s="1"/>
  <c r="F601" i="2"/>
  <c r="M601" i="2" s="1"/>
  <c r="F615" i="2"/>
  <c r="M615" i="2" s="1"/>
  <c r="F595" i="2"/>
  <c r="M595" i="2" s="1"/>
  <c r="F565" i="2"/>
  <c r="M565" i="2" s="1"/>
  <c r="F517" i="2"/>
  <c r="M517" i="2" s="1"/>
  <c r="F551" i="2"/>
  <c r="M551" i="2" s="1"/>
  <c r="F504" i="2"/>
  <c r="M504" i="2" s="1"/>
  <c r="F552" i="2"/>
  <c r="M552" i="2" s="1"/>
  <c r="F720" i="2"/>
  <c r="M720" i="2" s="1"/>
  <c r="F815" i="2"/>
  <c r="M815" i="2" s="1"/>
  <c r="F789" i="2"/>
  <c r="M789" i="2" s="1"/>
  <c r="F799" i="2"/>
  <c r="M799" i="2" s="1"/>
  <c r="F828" i="2"/>
  <c r="M828" i="2" s="1"/>
  <c r="F643" i="2"/>
  <c r="M643" i="2" s="1"/>
  <c r="F579" i="2"/>
  <c r="M579" i="2" s="1"/>
  <c r="F863" i="2"/>
  <c r="M863" i="2" s="1"/>
  <c r="F814" i="2"/>
  <c r="M814" i="2" s="1"/>
  <c r="F835" i="2"/>
  <c r="M835" i="2" s="1"/>
  <c r="F827" i="2"/>
  <c r="M827" i="2" s="1"/>
  <c r="F629" i="2"/>
  <c r="M629" i="2" s="1"/>
  <c r="F523" i="2"/>
  <c r="M523" i="2" s="1"/>
  <c r="F528" i="2"/>
  <c r="M528" i="2" s="1"/>
  <c r="F505" i="2"/>
  <c r="M505" i="2" s="1"/>
  <c r="F647" i="2"/>
  <c r="M647" i="2" s="1"/>
  <c r="F849" i="2"/>
  <c r="M849" i="2" s="1"/>
  <c r="F795" i="2"/>
  <c r="M795" i="2" s="1"/>
  <c r="F742" i="2"/>
  <c r="M742" i="2" s="1"/>
  <c r="F760" i="2"/>
  <c r="M760" i="2" s="1"/>
  <c r="F630" i="2"/>
  <c r="M630" i="2" s="1"/>
  <c r="F848" i="2"/>
  <c r="M848" i="2" s="1"/>
  <c r="F770" i="2"/>
  <c r="M770" i="2" s="1"/>
  <c r="F715" i="2"/>
  <c r="M715" i="2" s="1"/>
  <c r="F779" i="2"/>
  <c r="M779" i="2" s="1"/>
  <c r="F749" i="2"/>
  <c r="M749" i="2" s="1"/>
  <c r="F704" i="2"/>
  <c r="M704" i="2" s="1"/>
  <c r="F764" i="2"/>
  <c r="M764" i="2" s="1"/>
  <c r="F674" i="2"/>
  <c r="M674" i="2" s="1"/>
  <c r="F616" i="2"/>
  <c r="M616" i="2" s="1"/>
  <c r="F675" i="2"/>
  <c r="M675" i="2" s="1"/>
  <c r="F684" i="2"/>
  <c r="M684" i="2" s="1"/>
  <c r="F654" i="2"/>
  <c r="M654" i="2" s="1"/>
  <c r="F699" i="2"/>
  <c r="M699" i="2" s="1"/>
  <c r="F678" i="2"/>
  <c r="M678" i="2" s="1"/>
  <c r="F593" i="2"/>
  <c r="M593" i="2" s="1"/>
  <c r="F602" i="2"/>
  <c r="M602" i="2" s="1"/>
  <c r="F571" i="2"/>
  <c r="M571" i="2" s="1"/>
  <c r="F614" i="2"/>
  <c r="M614" i="2" s="1"/>
  <c r="F580" i="2"/>
  <c r="M580" i="2" s="1"/>
  <c r="F545" i="2"/>
  <c r="M545" i="2" s="1"/>
  <c r="F597" i="2"/>
  <c r="M597" i="2" s="1"/>
  <c r="F567" i="2"/>
  <c r="M567" i="2" s="1"/>
  <c r="F598" i="2"/>
  <c r="M598" i="2" s="1"/>
  <c r="F568" i="2"/>
  <c r="M568" i="2" s="1"/>
  <c r="F506" i="2"/>
  <c r="M506" i="2" s="1"/>
  <c r="F583" i="2"/>
  <c r="M583" i="2" s="1"/>
  <c r="F542" i="2"/>
  <c r="M542" i="2" s="1"/>
  <c r="F584" i="2"/>
  <c r="M584" i="2" s="1"/>
  <c r="F547" i="2"/>
  <c r="M547" i="2" s="1"/>
  <c r="F793" i="2"/>
  <c r="M793" i="2" s="1"/>
  <c r="F507" i="2"/>
  <c r="M507" i="2" s="1"/>
  <c r="F841" i="2"/>
  <c r="M841" i="2" s="1"/>
  <c r="F769" i="2"/>
  <c r="M769" i="2" s="1"/>
  <c r="F731" i="2"/>
  <c r="M731" i="2" s="1"/>
  <c r="F750" i="2"/>
  <c r="M750" i="2" s="1"/>
  <c r="F632" i="2"/>
  <c r="M632" i="2" s="1"/>
  <c r="F522" i="2"/>
  <c r="M522" i="2" s="1"/>
  <c r="F746" i="2"/>
  <c r="M746" i="2" s="1"/>
  <c r="F751" i="2"/>
  <c r="M751" i="2" s="1"/>
  <c r="F743" i="2"/>
  <c r="M743" i="2" s="1"/>
  <c r="F831" i="2"/>
  <c r="M831" i="2" s="1"/>
  <c r="F719" i="2"/>
  <c r="M719" i="2" s="1"/>
  <c r="F539" i="2"/>
  <c r="M539" i="2" s="1"/>
  <c r="F511" i="2"/>
  <c r="M511" i="2" s="1"/>
  <c r="F688" i="2"/>
  <c r="M688" i="2" s="1"/>
  <c r="F642" i="2"/>
  <c r="M642" i="2" s="1"/>
  <c r="F619" i="2"/>
  <c r="M619" i="2" s="1"/>
  <c r="F843" i="2"/>
  <c r="M843" i="2" s="1"/>
  <c r="F819" i="2"/>
  <c r="M819" i="2" s="1"/>
  <c r="F847" i="2"/>
  <c r="M847" i="2" s="1"/>
  <c r="F860" i="2"/>
  <c r="M860" i="2" s="1"/>
  <c r="F868" i="2"/>
  <c r="M868" i="2" s="1"/>
  <c r="F812" i="2"/>
  <c r="M812" i="2" s="1"/>
  <c r="F791" i="2"/>
  <c r="M791" i="2" s="1"/>
  <c r="F758" i="2"/>
  <c r="M758" i="2" s="1"/>
  <c r="F733" i="2"/>
  <c r="M733" i="2" s="1"/>
  <c r="F836" i="2"/>
  <c r="M836" i="2" s="1"/>
  <c r="F777" i="2"/>
  <c r="M777" i="2" s="1"/>
  <c r="F725" i="2"/>
  <c r="M725" i="2" s="1"/>
  <c r="F708" i="2"/>
  <c r="M708" i="2" s="1"/>
  <c r="F834" i="2"/>
  <c r="M834" i="2" s="1"/>
  <c r="F784" i="2"/>
  <c r="M784" i="2" s="1"/>
  <c r="F695" i="2"/>
  <c r="M695" i="2" s="1"/>
  <c r="F788" i="2"/>
  <c r="M788" i="2" s="1"/>
  <c r="F757" i="2"/>
  <c r="M757" i="2" s="1"/>
  <c r="F711" i="2"/>
  <c r="M711" i="2" s="1"/>
  <c r="F664" i="2"/>
  <c r="M664" i="2" s="1"/>
  <c r="F577" i="2"/>
  <c r="M577" i="2" s="1"/>
  <c r="F681" i="2"/>
  <c r="M681" i="2" s="1"/>
  <c r="F652" i="2"/>
  <c r="M652" i="2" s="1"/>
  <c r="F705" i="2"/>
  <c r="M705" i="2" s="1"/>
  <c r="F635" i="2"/>
  <c r="M635" i="2" s="1"/>
  <c r="F649" i="2"/>
  <c r="M649" i="2" s="1"/>
  <c r="F636" i="2"/>
  <c r="M636" i="2" s="1"/>
  <c r="F558" i="2"/>
  <c r="M558" i="2" s="1"/>
  <c r="F587" i="2"/>
  <c r="M587" i="2" s="1"/>
  <c r="F559" i="2"/>
  <c r="M559" i="2" s="1"/>
  <c r="F536" i="2"/>
  <c r="M536" i="2" s="1"/>
  <c r="F550" i="2"/>
  <c r="M550" i="2" s="1"/>
  <c r="F538" i="2"/>
  <c r="M538" i="2" s="1"/>
  <c r="F722" i="2"/>
  <c r="M722" i="2" s="1"/>
  <c r="F537" i="2"/>
  <c r="M537" i="2" s="1"/>
  <c r="F817" i="2"/>
  <c r="M817" i="2" s="1"/>
  <c r="F787" i="2"/>
  <c r="M787" i="2" s="1"/>
  <c r="F701" i="2"/>
  <c r="M701" i="2" s="1"/>
  <c r="F821" i="2"/>
  <c r="M821" i="2" s="1"/>
  <c r="F747" i="2"/>
  <c r="M747" i="2" s="1"/>
  <c r="F739" i="2"/>
  <c r="M739" i="2" s="1"/>
  <c r="F823" i="2"/>
  <c r="M823" i="2" s="1"/>
  <c r="F736" i="2"/>
  <c r="M736" i="2" s="1"/>
  <c r="F527" i="2"/>
  <c r="M527" i="2" s="1"/>
  <c r="F686" i="2"/>
  <c r="M686" i="2" s="1"/>
  <c r="F650" i="2"/>
  <c r="M650" i="2" s="1"/>
  <c r="F638" i="2"/>
  <c r="M638" i="2" s="1"/>
  <c r="F521" i="2"/>
  <c r="M521" i="2" s="1"/>
  <c r="F864" i="2"/>
  <c r="M864" i="2" s="1"/>
  <c r="F800" i="2"/>
  <c r="M800" i="2" s="1"/>
  <c r="F775" i="2"/>
  <c r="M775" i="2" s="1"/>
  <c r="F729" i="2"/>
  <c r="M729" i="2" s="1"/>
  <c r="F842" i="2"/>
  <c r="M842" i="2" s="1"/>
  <c r="F762" i="2"/>
  <c r="M762" i="2" s="1"/>
  <c r="F698" i="2"/>
  <c r="M698" i="2" s="1"/>
  <c r="F808" i="2"/>
  <c r="M808" i="2" s="1"/>
  <c r="F771" i="2"/>
  <c r="M771" i="2" s="1"/>
  <c r="F740" i="2"/>
  <c r="M740" i="2" s="1"/>
  <c r="F756" i="2"/>
  <c r="M756" i="2" s="1"/>
  <c r="F832" i="2"/>
  <c r="M832" i="2" s="1"/>
  <c r="F700" i="2"/>
  <c r="M700" i="2" s="1"/>
  <c r="F666" i="2"/>
  <c r="M666" i="2" s="1"/>
  <c r="F703" i="2"/>
  <c r="M703" i="2" s="1"/>
  <c r="F667" i="2"/>
  <c r="M667" i="2" s="1"/>
  <c r="F631" i="2"/>
  <c r="M631" i="2" s="1"/>
  <c r="F676" i="2"/>
  <c r="M676" i="2" s="1"/>
  <c r="F640" i="2"/>
  <c r="M640" i="2" s="1"/>
  <c r="F670" i="2"/>
  <c r="M670" i="2" s="1"/>
  <c r="F534" i="2"/>
  <c r="M534" i="2" s="1"/>
  <c r="F594" i="2"/>
  <c r="M594" i="2" s="1"/>
  <c r="F613" i="2"/>
  <c r="M613" i="2" s="1"/>
  <c r="F549" i="2"/>
  <c r="M549" i="2" s="1"/>
  <c r="F604" i="2"/>
  <c r="M604" i="2" s="1"/>
  <c r="F566" i="2"/>
  <c r="M566" i="2" s="1"/>
  <c r="F531" i="2"/>
  <c r="M531" i="2" s="1"/>
  <c r="F589" i="2"/>
  <c r="M589" i="2" s="1"/>
  <c r="F590" i="2"/>
  <c r="M590" i="2" s="1"/>
  <c r="F561" i="2"/>
  <c r="M561" i="2" s="1"/>
  <c r="F607" i="2"/>
  <c r="M607" i="2" s="1"/>
  <c r="F575" i="2"/>
  <c r="M575" i="2" s="1"/>
  <c r="F533" i="2"/>
  <c r="M533" i="2" s="1"/>
  <c r="F608" i="2"/>
  <c r="M608" i="2" s="1"/>
  <c r="F576" i="2"/>
  <c r="M576" i="2" s="1"/>
  <c r="F509" i="2"/>
  <c r="M509" i="2" s="1"/>
  <c r="F802" i="2"/>
  <c r="M802" i="2" s="1"/>
  <c r="F734" i="2"/>
  <c r="M734" i="2" s="1"/>
  <c r="F867" i="2"/>
  <c r="M867" i="2" s="1"/>
  <c r="F712" i="2"/>
  <c r="M712" i="2" s="1"/>
  <c r="F646" i="2"/>
  <c r="M646" i="2" s="1"/>
  <c r="F856" i="2"/>
  <c r="M856" i="2" s="1"/>
  <c r="F724" i="2"/>
  <c r="M724" i="2" s="1"/>
  <c r="F690" i="2"/>
  <c r="M690" i="2" s="1"/>
  <c r="F820" i="2"/>
  <c r="M820" i="2" s="1"/>
  <c r="F693" i="2"/>
  <c r="M693" i="2" s="1"/>
  <c r="F524" i="2"/>
  <c r="M524" i="2" s="1"/>
  <c r="F854" i="2"/>
  <c r="M854" i="2" s="1"/>
  <c r="F870" i="2"/>
  <c r="M870" i="2" s="1"/>
  <c r="F785" i="2"/>
  <c r="M785" i="2" s="1"/>
  <c r="F714" i="2"/>
  <c r="M714" i="2" s="1"/>
  <c r="F710" i="2"/>
  <c r="M710" i="2" s="1"/>
  <c r="F694" i="2"/>
  <c r="M694" i="2" s="1"/>
  <c r="F641" i="2"/>
  <c r="M641" i="2" s="1"/>
  <c r="F553" i="2"/>
  <c r="M553" i="2" s="1"/>
  <c r="F525" i="2"/>
  <c r="M525" i="2" s="1"/>
  <c r="F865" i="2"/>
  <c r="M865" i="2" s="1"/>
  <c r="F811" i="2"/>
  <c r="M811" i="2" s="1"/>
  <c r="F798" i="2"/>
  <c r="M798" i="2" s="1"/>
  <c r="F767" i="2"/>
  <c r="M767" i="2" s="1"/>
  <c r="F718" i="2"/>
  <c r="M718" i="2" s="1"/>
  <c r="F776" i="2"/>
  <c r="M776" i="2" s="1"/>
  <c r="F713" i="2"/>
  <c r="M713" i="2" s="1"/>
  <c r="F754" i="2"/>
  <c r="M754" i="2" s="1"/>
  <c r="F782" i="2"/>
  <c r="M782" i="2" s="1"/>
  <c r="F763" i="2"/>
  <c r="M763" i="2" s="1"/>
  <c r="F726" i="2"/>
  <c r="M726" i="2" s="1"/>
  <c r="F745" i="2"/>
  <c r="M745" i="2" s="1"/>
  <c r="F741" i="2"/>
  <c r="M741" i="2" s="1"/>
  <c r="F707" i="2"/>
  <c r="M707" i="2" s="1"/>
  <c r="F634" i="2"/>
  <c r="M634" i="2" s="1"/>
  <c r="F689" i="2"/>
  <c r="M689" i="2" s="1"/>
  <c r="F658" i="2"/>
  <c r="M658" i="2" s="1"/>
  <c r="F687" i="2"/>
  <c r="M687" i="2" s="1"/>
  <c r="F659" i="2"/>
  <c r="M659" i="2" s="1"/>
  <c r="F617" i="2"/>
  <c r="M617" i="2" s="1"/>
  <c r="F668" i="2"/>
  <c r="M668" i="2" s="1"/>
  <c r="F623" i="2"/>
  <c r="M623" i="2" s="1"/>
  <c r="F662" i="2"/>
  <c r="M662" i="2" s="1"/>
  <c r="F612" i="2"/>
  <c r="M612" i="2" s="1"/>
  <c r="F586" i="2"/>
  <c r="M586" i="2" s="1"/>
  <c r="F530" i="2"/>
  <c r="M530" i="2" s="1"/>
  <c r="F611" i="2"/>
  <c r="M611" i="2" s="1"/>
  <c r="F535" i="2"/>
  <c r="M535" i="2" s="1"/>
  <c r="F596" i="2"/>
  <c r="M596" i="2" s="1"/>
  <c r="F560" i="2"/>
  <c r="M560" i="2" s="1"/>
  <c r="F581" i="2"/>
  <c r="M581" i="2" s="1"/>
  <c r="F582" i="2"/>
  <c r="M582" i="2" s="1"/>
  <c r="F546" i="2"/>
  <c r="M546" i="2" s="1"/>
  <c r="F599" i="2"/>
  <c r="M599" i="2" s="1"/>
  <c r="F562" i="2"/>
  <c r="M562" i="2" s="1"/>
  <c r="F519" i="2"/>
  <c r="M519" i="2" s="1"/>
  <c r="F600" i="2"/>
  <c r="M600" i="2" s="1"/>
  <c r="F569" i="2"/>
  <c r="M569" i="2" s="1"/>
  <c r="F520" i="2"/>
  <c r="M520" i="2" s="1"/>
  <c r="F738" i="2"/>
  <c r="M738" i="2" s="1"/>
  <c r="F825" i="2"/>
  <c r="M825" i="2" s="1"/>
  <c r="F850" i="2"/>
  <c r="M850" i="2" s="1"/>
  <c r="F866" i="2"/>
  <c r="M866" i="2" s="1"/>
  <c r="F752" i="2"/>
  <c r="M752" i="2" s="1"/>
  <c r="F702" i="2"/>
  <c r="M702" i="2" s="1"/>
  <c r="F625" i="2"/>
  <c r="M625" i="2" s="1"/>
  <c r="F633" i="2"/>
  <c r="M633" i="2" s="1"/>
  <c r="F637" i="2"/>
  <c r="M637" i="2" s="1"/>
  <c r="F541" i="2"/>
  <c r="M541" i="2" s="1"/>
  <c r="F692" i="2"/>
  <c r="M692" i="2" s="1"/>
  <c r="F861" i="2"/>
  <c r="M861" i="2" s="1"/>
  <c r="F809" i="2"/>
  <c r="M809" i="2" s="1"/>
  <c r="F852" i="2"/>
  <c r="M852" i="2" s="1"/>
  <c r="F845" i="2"/>
  <c r="M845" i="2" s="1"/>
  <c r="F794" i="2"/>
  <c r="M794" i="2" s="1"/>
  <c r="F774" i="2"/>
  <c r="M774" i="2" s="1"/>
  <c r="F696" i="2"/>
  <c r="M696" i="2" s="1"/>
  <c r="F626" i="2"/>
  <c r="M626" i="2" s="1"/>
  <c r="F816" i="2"/>
  <c r="M816" i="2" s="1"/>
  <c r="F761" i="2"/>
  <c r="M761" i="2" s="1"/>
  <c r="F671" i="2"/>
  <c r="M671" i="2" s="1"/>
  <c r="F822" i="2"/>
  <c r="M822" i="2" s="1"/>
  <c r="F744" i="2"/>
  <c r="M744" i="2" s="1"/>
  <c r="F721" i="2"/>
  <c r="M721" i="2" s="1"/>
  <c r="F806" i="2"/>
  <c r="M806" i="2" s="1"/>
  <c r="F781" i="2"/>
  <c r="M781" i="2" s="1"/>
  <c r="F804" i="2"/>
  <c r="M804" i="2" s="1"/>
  <c r="F773" i="2"/>
  <c r="M773" i="2" s="1"/>
  <c r="F680" i="2"/>
  <c r="M680" i="2" s="1"/>
  <c r="F622" i="2"/>
  <c r="M622" i="2" s="1"/>
  <c r="F665" i="2"/>
  <c r="M665" i="2" s="1"/>
  <c r="F621" i="2"/>
  <c r="M621" i="2" s="1"/>
  <c r="F648" i="2"/>
  <c r="M648" i="2" s="1"/>
  <c r="F570" i="2"/>
  <c r="M570" i="2" s="1"/>
  <c r="F609" i="2"/>
  <c r="M609" i="2" s="1"/>
  <c r="F669" i="2"/>
  <c r="M669" i="2" s="1"/>
  <c r="F628" i="2"/>
  <c r="M628" i="2" s="1"/>
  <c r="F603" i="2"/>
  <c r="M603" i="2" s="1"/>
  <c r="F572" i="2"/>
  <c r="M572" i="2" s="1"/>
  <c r="F526" i="2"/>
  <c r="M526" i="2" s="1"/>
  <c r="F513" i="2"/>
  <c r="M513" i="2" s="1"/>
  <c r="F510" i="2"/>
  <c r="M510" i="2" s="1"/>
  <c r="F515" i="2"/>
  <c r="M515" i="2" s="1"/>
  <c r="F728" i="2"/>
  <c r="M728" i="2" s="1"/>
  <c r="F869" i="2"/>
  <c r="M869" i="2" s="1"/>
  <c r="F783" i="2"/>
  <c r="M783" i="2" s="1"/>
  <c r="F656" i="2"/>
  <c r="M656" i="2" s="1"/>
  <c r="F677" i="2"/>
  <c r="M677" i="2" s="1"/>
  <c r="F544" i="2"/>
  <c r="M544" i="2" s="1"/>
  <c r="F529" i="2"/>
  <c r="M529" i="2" s="1"/>
  <c r="F826" i="2"/>
  <c r="M826" i="2" s="1"/>
  <c r="F851" i="2"/>
  <c r="M851" i="2" s="1"/>
  <c r="F833" i="2"/>
  <c r="M833" i="2" s="1"/>
  <c r="F807" i="2"/>
  <c r="M807" i="2" s="1"/>
  <c r="F839" i="2"/>
  <c r="M839" i="2" s="1"/>
  <c r="F10" i="2"/>
  <c r="F18" i="2"/>
  <c r="M18" i="2" s="1"/>
  <c r="F26" i="2"/>
  <c r="M26" i="2" s="1"/>
  <c r="F34" i="2"/>
  <c r="M34" i="2" s="1"/>
  <c r="F42" i="2"/>
  <c r="M42" i="2" s="1"/>
  <c r="F50" i="2"/>
  <c r="M50" i="2" s="1"/>
  <c r="F58" i="2"/>
  <c r="M58" i="2" s="1"/>
  <c r="F66" i="2"/>
  <c r="M66" i="2" s="1"/>
  <c r="F74" i="2"/>
  <c r="M74" i="2" s="1"/>
  <c r="F82" i="2"/>
  <c r="M82" i="2" s="1"/>
  <c r="F90" i="2"/>
  <c r="M90" i="2" s="1"/>
  <c r="F98" i="2"/>
  <c r="M98" i="2" s="1"/>
  <c r="F106" i="2"/>
  <c r="M106" i="2" s="1"/>
  <c r="F115" i="2"/>
  <c r="M115" i="2" s="1"/>
  <c r="F123" i="2"/>
  <c r="M123" i="2" s="1"/>
  <c r="F131" i="2"/>
  <c r="M131" i="2" s="1"/>
  <c r="F139" i="2"/>
  <c r="M139" i="2" s="1"/>
  <c r="F147" i="2"/>
  <c r="M147" i="2" s="1"/>
  <c r="F155" i="2"/>
  <c r="M155" i="2" s="1"/>
  <c r="F163" i="2"/>
  <c r="M163" i="2" s="1"/>
  <c r="F171" i="2"/>
  <c r="M171" i="2" s="1"/>
  <c r="F179" i="2"/>
  <c r="M179" i="2" s="1"/>
  <c r="F187" i="2"/>
  <c r="M187" i="2" s="1"/>
  <c r="F195" i="2"/>
  <c r="M195" i="2" s="1"/>
  <c r="F203" i="2"/>
  <c r="M203" i="2" s="1"/>
  <c r="F211" i="2"/>
  <c r="M211" i="2" s="1"/>
  <c r="F219" i="2"/>
  <c r="M219" i="2" s="1"/>
  <c r="F227" i="2"/>
  <c r="M227" i="2" s="1"/>
  <c r="F235" i="2"/>
  <c r="M235" i="2" s="1"/>
  <c r="F243" i="2"/>
  <c r="M243" i="2" s="1"/>
  <c r="F251" i="2"/>
  <c r="M251" i="2" s="1"/>
  <c r="F259" i="2"/>
  <c r="M259" i="2" s="1"/>
  <c r="F267" i="2"/>
  <c r="M267" i="2" s="1"/>
  <c r="F275" i="2"/>
  <c r="M275" i="2" s="1"/>
  <c r="F283" i="2"/>
  <c r="M283" i="2" s="1"/>
  <c r="F291" i="2"/>
  <c r="M291" i="2" s="1"/>
  <c r="F299" i="2"/>
  <c r="M299" i="2" s="1"/>
  <c r="F307" i="2"/>
  <c r="M307" i="2" s="1"/>
  <c r="F315" i="2"/>
  <c r="M315" i="2" s="1"/>
  <c r="F323" i="2"/>
  <c r="M323" i="2" s="1"/>
  <c r="F331" i="2"/>
  <c r="M331" i="2" s="1"/>
  <c r="F339" i="2"/>
  <c r="M339" i="2" s="1"/>
  <c r="F347" i="2"/>
  <c r="M347" i="2" s="1"/>
  <c r="F355" i="2"/>
  <c r="M355" i="2" s="1"/>
  <c r="F363" i="2"/>
  <c r="M363" i="2" s="1"/>
  <c r="F371" i="2"/>
  <c r="M371" i="2" s="1"/>
  <c r="F379" i="2"/>
  <c r="M379" i="2" s="1"/>
  <c r="F387" i="2"/>
  <c r="M387" i="2" s="1"/>
  <c r="F395" i="2"/>
  <c r="M395" i="2" s="1"/>
  <c r="F403" i="2"/>
  <c r="M403" i="2" s="1"/>
  <c r="F411" i="2"/>
  <c r="M411" i="2" s="1"/>
  <c r="F419" i="2"/>
  <c r="M419" i="2" s="1"/>
  <c r="F427" i="2"/>
  <c r="M427" i="2" s="1"/>
  <c r="F435" i="2"/>
  <c r="M435" i="2" s="1"/>
  <c r="F443" i="2"/>
  <c r="M443" i="2" s="1"/>
  <c r="F451" i="2"/>
  <c r="M451" i="2" s="1"/>
  <c r="F459" i="2"/>
  <c r="M459" i="2" s="1"/>
  <c r="F467" i="2"/>
  <c r="M467" i="2" s="1"/>
  <c r="F475" i="2"/>
  <c r="M475" i="2" s="1"/>
  <c r="F483" i="2"/>
  <c r="M483" i="2" s="1"/>
  <c r="F491" i="2"/>
  <c r="M491" i="2" s="1"/>
  <c r="F499" i="2"/>
  <c r="M499" i="2" s="1"/>
  <c r="F23" i="2"/>
  <c r="M23" i="2" s="1"/>
  <c r="F55" i="2"/>
  <c r="M55" i="2" s="1"/>
  <c r="F112" i="2"/>
  <c r="M112" i="2" s="1"/>
  <c r="F168" i="2"/>
  <c r="M168" i="2" s="1"/>
  <c r="F232" i="2"/>
  <c r="M232" i="2" s="1"/>
  <c r="F296" i="2"/>
  <c r="M296" i="2" s="1"/>
  <c r="F360" i="2"/>
  <c r="M360" i="2" s="1"/>
  <c r="F408" i="2"/>
  <c r="M408" i="2" s="1"/>
  <c r="F456" i="2"/>
  <c r="M456" i="2" s="1"/>
  <c r="F11" i="2"/>
  <c r="M11" i="2" s="1"/>
  <c r="F19" i="2"/>
  <c r="F27" i="2"/>
  <c r="M27" i="2" s="1"/>
  <c r="F35" i="2"/>
  <c r="M35" i="2" s="1"/>
  <c r="F43" i="2"/>
  <c r="M43" i="2" s="1"/>
  <c r="F51" i="2"/>
  <c r="M51" i="2" s="1"/>
  <c r="F59" i="2"/>
  <c r="M59" i="2" s="1"/>
  <c r="F67" i="2"/>
  <c r="M67" i="2" s="1"/>
  <c r="F75" i="2"/>
  <c r="M75" i="2" s="1"/>
  <c r="F83" i="2"/>
  <c r="M83" i="2" s="1"/>
  <c r="F91" i="2"/>
  <c r="M91" i="2" s="1"/>
  <c r="F99" i="2"/>
  <c r="M99" i="2" s="1"/>
  <c r="F107" i="2"/>
  <c r="M107" i="2" s="1"/>
  <c r="F116" i="2"/>
  <c r="M116" i="2" s="1"/>
  <c r="F124" i="2"/>
  <c r="M124" i="2" s="1"/>
  <c r="F132" i="2"/>
  <c r="M132" i="2" s="1"/>
  <c r="F140" i="2"/>
  <c r="M140" i="2" s="1"/>
  <c r="F148" i="2"/>
  <c r="M148" i="2" s="1"/>
  <c r="F156" i="2"/>
  <c r="M156" i="2" s="1"/>
  <c r="F164" i="2"/>
  <c r="M164" i="2" s="1"/>
  <c r="F172" i="2"/>
  <c r="M172" i="2" s="1"/>
  <c r="F180" i="2"/>
  <c r="M180" i="2" s="1"/>
  <c r="F188" i="2"/>
  <c r="M188" i="2" s="1"/>
  <c r="F196" i="2"/>
  <c r="M196" i="2" s="1"/>
  <c r="F204" i="2"/>
  <c r="M204" i="2" s="1"/>
  <c r="F212" i="2"/>
  <c r="M212" i="2" s="1"/>
  <c r="F220" i="2"/>
  <c r="M220" i="2" s="1"/>
  <c r="F228" i="2"/>
  <c r="M228" i="2" s="1"/>
  <c r="F236" i="2"/>
  <c r="M236" i="2" s="1"/>
  <c r="F244" i="2"/>
  <c r="M244" i="2" s="1"/>
  <c r="F252" i="2"/>
  <c r="M252" i="2" s="1"/>
  <c r="F260" i="2"/>
  <c r="M260" i="2" s="1"/>
  <c r="F268" i="2"/>
  <c r="M268" i="2" s="1"/>
  <c r="F276" i="2"/>
  <c r="M276" i="2" s="1"/>
  <c r="F284" i="2"/>
  <c r="M284" i="2" s="1"/>
  <c r="F292" i="2"/>
  <c r="M292" i="2" s="1"/>
  <c r="F300" i="2"/>
  <c r="M300" i="2" s="1"/>
  <c r="F308" i="2"/>
  <c r="M308" i="2" s="1"/>
  <c r="F316" i="2"/>
  <c r="M316" i="2" s="1"/>
  <c r="F324" i="2"/>
  <c r="M324" i="2" s="1"/>
  <c r="F332" i="2"/>
  <c r="M332" i="2" s="1"/>
  <c r="F340" i="2"/>
  <c r="M340" i="2" s="1"/>
  <c r="F348" i="2"/>
  <c r="M348" i="2" s="1"/>
  <c r="F356" i="2"/>
  <c r="M356" i="2" s="1"/>
  <c r="F364" i="2"/>
  <c r="M364" i="2" s="1"/>
  <c r="F372" i="2"/>
  <c r="M372" i="2" s="1"/>
  <c r="F380" i="2"/>
  <c r="M380" i="2" s="1"/>
  <c r="F388" i="2"/>
  <c r="M388" i="2" s="1"/>
  <c r="F396" i="2"/>
  <c r="M396" i="2" s="1"/>
  <c r="F404" i="2"/>
  <c r="M404" i="2" s="1"/>
  <c r="F412" i="2"/>
  <c r="M412" i="2" s="1"/>
  <c r="F420" i="2"/>
  <c r="M420" i="2" s="1"/>
  <c r="F428" i="2"/>
  <c r="M428" i="2" s="1"/>
  <c r="F436" i="2"/>
  <c r="M436" i="2" s="1"/>
  <c r="F444" i="2"/>
  <c r="M444" i="2" s="1"/>
  <c r="F452" i="2"/>
  <c r="M452" i="2" s="1"/>
  <c r="F460" i="2"/>
  <c r="M460" i="2" s="1"/>
  <c r="F468" i="2"/>
  <c r="M468" i="2" s="1"/>
  <c r="F476" i="2"/>
  <c r="M476" i="2" s="1"/>
  <c r="F484" i="2"/>
  <c r="M484" i="2" s="1"/>
  <c r="F492" i="2"/>
  <c r="M492" i="2" s="1"/>
  <c r="F500" i="2"/>
  <c r="M500" i="2" s="1"/>
  <c r="F111" i="2"/>
  <c r="M111" i="2" s="1"/>
  <c r="F12" i="2"/>
  <c r="F20" i="2"/>
  <c r="M20" i="2" s="1"/>
  <c r="F28" i="2"/>
  <c r="M28" i="2" s="1"/>
  <c r="F36" i="2"/>
  <c r="M36" i="2" s="1"/>
  <c r="F44" i="2"/>
  <c r="M44" i="2" s="1"/>
  <c r="F52" i="2"/>
  <c r="M52" i="2" s="1"/>
  <c r="F60" i="2"/>
  <c r="M60" i="2" s="1"/>
  <c r="F68" i="2"/>
  <c r="M68" i="2" s="1"/>
  <c r="F76" i="2"/>
  <c r="M76" i="2" s="1"/>
  <c r="F84" i="2"/>
  <c r="M84" i="2" s="1"/>
  <c r="F92" i="2"/>
  <c r="M92" i="2" s="1"/>
  <c r="F100" i="2"/>
  <c r="M100" i="2" s="1"/>
  <c r="F108" i="2"/>
  <c r="M108" i="2" s="1"/>
  <c r="F117" i="2"/>
  <c r="M117" i="2" s="1"/>
  <c r="F125" i="2"/>
  <c r="M125" i="2" s="1"/>
  <c r="F133" i="2"/>
  <c r="M133" i="2" s="1"/>
  <c r="F141" i="2"/>
  <c r="M141" i="2" s="1"/>
  <c r="F149" i="2"/>
  <c r="M149" i="2" s="1"/>
  <c r="F157" i="2"/>
  <c r="M157" i="2" s="1"/>
  <c r="F165" i="2"/>
  <c r="M165" i="2" s="1"/>
  <c r="F173" i="2"/>
  <c r="M173" i="2" s="1"/>
  <c r="F181" i="2"/>
  <c r="M181" i="2" s="1"/>
  <c r="F189" i="2"/>
  <c r="M189" i="2" s="1"/>
  <c r="F197" i="2"/>
  <c r="M197" i="2" s="1"/>
  <c r="F205" i="2"/>
  <c r="M205" i="2" s="1"/>
  <c r="F213" i="2"/>
  <c r="M213" i="2" s="1"/>
  <c r="F221" i="2"/>
  <c r="M221" i="2" s="1"/>
  <c r="F229" i="2"/>
  <c r="M229" i="2" s="1"/>
  <c r="F237" i="2"/>
  <c r="M237" i="2" s="1"/>
  <c r="F245" i="2"/>
  <c r="M245" i="2" s="1"/>
  <c r="F253" i="2"/>
  <c r="M253" i="2" s="1"/>
  <c r="F261" i="2"/>
  <c r="M261" i="2" s="1"/>
  <c r="F269" i="2"/>
  <c r="M269" i="2" s="1"/>
  <c r="F277" i="2"/>
  <c r="M277" i="2" s="1"/>
  <c r="F285" i="2"/>
  <c r="M285" i="2" s="1"/>
  <c r="F293" i="2"/>
  <c r="M293" i="2" s="1"/>
  <c r="F301" i="2"/>
  <c r="M301" i="2" s="1"/>
  <c r="F309" i="2"/>
  <c r="M309" i="2" s="1"/>
  <c r="F317" i="2"/>
  <c r="M317" i="2" s="1"/>
  <c r="F325" i="2"/>
  <c r="M325" i="2" s="1"/>
  <c r="F333" i="2"/>
  <c r="M333" i="2" s="1"/>
  <c r="F341" i="2"/>
  <c r="M341" i="2" s="1"/>
  <c r="F349" i="2"/>
  <c r="M349" i="2" s="1"/>
  <c r="F357" i="2"/>
  <c r="M357" i="2" s="1"/>
  <c r="F365" i="2"/>
  <c r="M365" i="2" s="1"/>
  <c r="F373" i="2"/>
  <c r="M373" i="2" s="1"/>
  <c r="F381" i="2"/>
  <c r="M381" i="2" s="1"/>
  <c r="F389" i="2"/>
  <c r="M389" i="2" s="1"/>
  <c r="F397" i="2"/>
  <c r="M397" i="2" s="1"/>
  <c r="F405" i="2"/>
  <c r="M405" i="2" s="1"/>
  <c r="F413" i="2"/>
  <c r="M413" i="2" s="1"/>
  <c r="F421" i="2"/>
  <c r="M421" i="2" s="1"/>
  <c r="F429" i="2"/>
  <c r="M429" i="2" s="1"/>
  <c r="F437" i="2"/>
  <c r="M437" i="2" s="1"/>
  <c r="F445" i="2"/>
  <c r="M445" i="2" s="1"/>
  <c r="F453" i="2"/>
  <c r="M453" i="2" s="1"/>
  <c r="F461" i="2"/>
  <c r="M461" i="2" s="1"/>
  <c r="F469" i="2"/>
  <c r="M469" i="2" s="1"/>
  <c r="F477" i="2"/>
  <c r="M477" i="2" s="1"/>
  <c r="F485" i="2"/>
  <c r="M485" i="2" s="1"/>
  <c r="F493" i="2"/>
  <c r="M493" i="2" s="1"/>
  <c r="F501" i="2"/>
  <c r="M501" i="2" s="1"/>
  <c r="F47" i="2"/>
  <c r="M47" i="2" s="1"/>
  <c r="F87" i="2"/>
  <c r="M87" i="2" s="1"/>
  <c r="F144" i="2"/>
  <c r="M144" i="2" s="1"/>
  <c r="F200" i="2"/>
  <c r="M200" i="2" s="1"/>
  <c r="F248" i="2"/>
  <c r="M248" i="2" s="1"/>
  <c r="F280" i="2"/>
  <c r="M280" i="2" s="1"/>
  <c r="F336" i="2"/>
  <c r="M336" i="2" s="1"/>
  <c r="F392" i="2"/>
  <c r="M392" i="2" s="1"/>
  <c r="F448" i="2"/>
  <c r="M448" i="2" s="1"/>
  <c r="F13" i="2"/>
  <c r="M13" i="2" s="1"/>
  <c r="F21" i="2"/>
  <c r="F29" i="2"/>
  <c r="M29" i="2" s="1"/>
  <c r="F37" i="2"/>
  <c r="M37" i="2" s="1"/>
  <c r="F45" i="2"/>
  <c r="M45" i="2" s="1"/>
  <c r="F53" i="2"/>
  <c r="M53" i="2" s="1"/>
  <c r="F61" i="2"/>
  <c r="M61" i="2" s="1"/>
  <c r="F69" i="2"/>
  <c r="M69" i="2" s="1"/>
  <c r="F77" i="2"/>
  <c r="M77" i="2" s="1"/>
  <c r="F85" i="2"/>
  <c r="M85" i="2" s="1"/>
  <c r="F93" i="2"/>
  <c r="M93" i="2" s="1"/>
  <c r="F101" i="2"/>
  <c r="M101" i="2" s="1"/>
  <c r="F109" i="2"/>
  <c r="M109" i="2" s="1"/>
  <c r="F118" i="2"/>
  <c r="M118" i="2" s="1"/>
  <c r="F126" i="2"/>
  <c r="M126" i="2" s="1"/>
  <c r="F134" i="2"/>
  <c r="M134" i="2" s="1"/>
  <c r="F142" i="2"/>
  <c r="M142" i="2" s="1"/>
  <c r="F150" i="2"/>
  <c r="M150" i="2" s="1"/>
  <c r="F158" i="2"/>
  <c r="M158" i="2" s="1"/>
  <c r="F166" i="2"/>
  <c r="M166" i="2" s="1"/>
  <c r="F174" i="2"/>
  <c r="M174" i="2" s="1"/>
  <c r="F182" i="2"/>
  <c r="M182" i="2" s="1"/>
  <c r="F190" i="2"/>
  <c r="M190" i="2" s="1"/>
  <c r="F198" i="2"/>
  <c r="M198" i="2" s="1"/>
  <c r="F206" i="2"/>
  <c r="M206" i="2" s="1"/>
  <c r="F214" i="2"/>
  <c r="M214" i="2" s="1"/>
  <c r="F222" i="2"/>
  <c r="M222" i="2" s="1"/>
  <c r="F230" i="2"/>
  <c r="M230" i="2" s="1"/>
  <c r="F238" i="2"/>
  <c r="M238" i="2" s="1"/>
  <c r="F246" i="2"/>
  <c r="M246" i="2" s="1"/>
  <c r="F254" i="2"/>
  <c r="M254" i="2" s="1"/>
  <c r="F262" i="2"/>
  <c r="M262" i="2" s="1"/>
  <c r="F270" i="2"/>
  <c r="M270" i="2" s="1"/>
  <c r="F278" i="2"/>
  <c r="M278" i="2" s="1"/>
  <c r="F286" i="2"/>
  <c r="M286" i="2" s="1"/>
  <c r="F294" i="2"/>
  <c r="M294" i="2" s="1"/>
  <c r="F302" i="2"/>
  <c r="M302" i="2" s="1"/>
  <c r="F310" i="2"/>
  <c r="M310" i="2" s="1"/>
  <c r="F318" i="2"/>
  <c r="M318" i="2" s="1"/>
  <c r="F326" i="2"/>
  <c r="M326" i="2" s="1"/>
  <c r="F334" i="2"/>
  <c r="M334" i="2" s="1"/>
  <c r="F342" i="2"/>
  <c r="M342" i="2" s="1"/>
  <c r="F350" i="2"/>
  <c r="M350" i="2" s="1"/>
  <c r="F358" i="2"/>
  <c r="M358" i="2" s="1"/>
  <c r="F366" i="2"/>
  <c r="M366" i="2" s="1"/>
  <c r="F374" i="2"/>
  <c r="M374" i="2" s="1"/>
  <c r="F382" i="2"/>
  <c r="M382" i="2" s="1"/>
  <c r="F390" i="2"/>
  <c r="M390" i="2" s="1"/>
  <c r="F398" i="2"/>
  <c r="M398" i="2" s="1"/>
  <c r="F406" i="2"/>
  <c r="M406" i="2" s="1"/>
  <c r="F414" i="2"/>
  <c r="M414" i="2" s="1"/>
  <c r="F422" i="2"/>
  <c r="M422" i="2" s="1"/>
  <c r="F430" i="2"/>
  <c r="M430" i="2" s="1"/>
  <c r="F438" i="2"/>
  <c r="M438" i="2" s="1"/>
  <c r="F446" i="2"/>
  <c r="M446" i="2" s="1"/>
  <c r="F454" i="2"/>
  <c r="M454" i="2" s="1"/>
  <c r="F462" i="2"/>
  <c r="M462" i="2" s="1"/>
  <c r="F470" i="2"/>
  <c r="M470" i="2" s="1"/>
  <c r="F478" i="2"/>
  <c r="M478" i="2" s="1"/>
  <c r="F486" i="2"/>
  <c r="M486" i="2" s="1"/>
  <c r="F494" i="2"/>
  <c r="M494" i="2" s="1"/>
  <c r="F502" i="2"/>
  <c r="M502" i="2" s="1"/>
  <c r="F95" i="2"/>
  <c r="M95" i="2" s="1"/>
  <c r="F160" i="2"/>
  <c r="M160" i="2" s="1"/>
  <c r="F216" i="2"/>
  <c r="M216" i="2" s="1"/>
  <c r="F272" i="2"/>
  <c r="M272" i="2" s="1"/>
  <c r="F328" i="2"/>
  <c r="M328" i="2" s="1"/>
  <c r="F376" i="2"/>
  <c r="M376" i="2" s="1"/>
  <c r="F432" i="2"/>
  <c r="M432" i="2" s="1"/>
  <c r="F496" i="2"/>
  <c r="M496" i="2" s="1"/>
  <c r="F6" i="2"/>
  <c r="F14" i="2"/>
  <c r="M14" i="2" s="1"/>
  <c r="F22" i="2"/>
  <c r="M22" i="2" s="1"/>
  <c r="F30" i="2"/>
  <c r="M30" i="2" s="1"/>
  <c r="F38" i="2"/>
  <c r="M38" i="2" s="1"/>
  <c r="F46" i="2"/>
  <c r="M46" i="2" s="1"/>
  <c r="F54" i="2"/>
  <c r="M54" i="2" s="1"/>
  <c r="F62" i="2"/>
  <c r="M62" i="2" s="1"/>
  <c r="F70" i="2"/>
  <c r="M70" i="2" s="1"/>
  <c r="F78" i="2"/>
  <c r="M78" i="2" s="1"/>
  <c r="F86" i="2"/>
  <c r="M86" i="2" s="1"/>
  <c r="F94" i="2"/>
  <c r="M94" i="2" s="1"/>
  <c r="F102" i="2"/>
  <c r="M102" i="2" s="1"/>
  <c r="F110" i="2"/>
  <c r="M110" i="2" s="1"/>
  <c r="F119" i="2"/>
  <c r="M119" i="2" s="1"/>
  <c r="F127" i="2"/>
  <c r="M127" i="2" s="1"/>
  <c r="F135" i="2"/>
  <c r="M135" i="2" s="1"/>
  <c r="F143" i="2"/>
  <c r="M143" i="2" s="1"/>
  <c r="F151" i="2"/>
  <c r="M151" i="2" s="1"/>
  <c r="F159" i="2"/>
  <c r="M159" i="2" s="1"/>
  <c r="F167" i="2"/>
  <c r="M167" i="2" s="1"/>
  <c r="F175" i="2"/>
  <c r="M175" i="2" s="1"/>
  <c r="F183" i="2"/>
  <c r="M183" i="2" s="1"/>
  <c r="F191" i="2"/>
  <c r="M191" i="2" s="1"/>
  <c r="F199" i="2"/>
  <c r="M199" i="2" s="1"/>
  <c r="F207" i="2"/>
  <c r="M207" i="2" s="1"/>
  <c r="F215" i="2"/>
  <c r="M215" i="2" s="1"/>
  <c r="F223" i="2"/>
  <c r="M223" i="2" s="1"/>
  <c r="F231" i="2"/>
  <c r="M231" i="2" s="1"/>
  <c r="F239" i="2"/>
  <c r="M239" i="2" s="1"/>
  <c r="F247" i="2"/>
  <c r="M247" i="2" s="1"/>
  <c r="F255" i="2"/>
  <c r="M255" i="2" s="1"/>
  <c r="F263" i="2"/>
  <c r="M263" i="2" s="1"/>
  <c r="F271" i="2"/>
  <c r="M271" i="2" s="1"/>
  <c r="F279" i="2"/>
  <c r="M279" i="2" s="1"/>
  <c r="F287" i="2"/>
  <c r="M287" i="2" s="1"/>
  <c r="F295" i="2"/>
  <c r="M295" i="2" s="1"/>
  <c r="F303" i="2"/>
  <c r="M303" i="2" s="1"/>
  <c r="F311" i="2"/>
  <c r="M311" i="2" s="1"/>
  <c r="F319" i="2"/>
  <c r="M319" i="2" s="1"/>
  <c r="F327" i="2"/>
  <c r="M327" i="2" s="1"/>
  <c r="F335" i="2"/>
  <c r="M335" i="2" s="1"/>
  <c r="F343" i="2"/>
  <c r="M343" i="2" s="1"/>
  <c r="F351" i="2"/>
  <c r="M351" i="2" s="1"/>
  <c r="F359" i="2"/>
  <c r="M359" i="2" s="1"/>
  <c r="F367" i="2"/>
  <c r="M367" i="2" s="1"/>
  <c r="F375" i="2"/>
  <c r="M375" i="2" s="1"/>
  <c r="F383" i="2"/>
  <c r="M383" i="2" s="1"/>
  <c r="F391" i="2"/>
  <c r="M391" i="2" s="1"/>
  <c r="F399" i="2"/>
  <c r="M399" i="2" s="1"/>
  <c r="F407" i="2"/>
  <c r="M407" i="2" s="1"/>
  <c r="F415" i="2"/>
  <c r="M415" i="2" s="1"/>
  <c r="F423" i="2"/>
  <c r="M423" i="2" s="1"/>
  <c r="F431" i="2"/>
  <c r="M431" i="2" s="1"/>
  <c r="F439" i="2"/>
  <c r="M439" i="2" s="1"/>
  <c r="F447" i="2"/>
  <c r="M447" i="2" s="1"/>
  <c r="F455" i="2"/>
  <c r="M455" i="2" s="1"/>
  <c r="F463" i="2"/>
  <c r="M463" i="2" s="1"/>
  <c r="F471" i="2"/>
  <c r="M471" i="2" s="1"/>
  <c r="F479" i="2"/>
  <c r="M479" i="2" s="1"/>
  <c r="F487" i="2"/>
  <c r="M487" i="2" s="1"/>
  <c r="F495" i="2"/>
  <c r="M495" i="2" s="1"/>
  <c r="F39" i="2"/>
  <c r="M39" i="2" s="1"/>
  <c r="F103" i="2"/>
  <c r="M103" i="2" s="1"/>
  <c r="F152" i="2"/>
  <c r="M152" i="2" s="1"/>
  <c r="F208" i="2"/>
  <c r="M208" i="2" s="1"/>
  <c r="F264" i="2"/>
  <c r="M264" i="2" s="1"/>
  <c r="F320" i="2"/>
  <c r="M320" i="2" s="1"/>
  <c r="F384" i="2"/>
  <c r="M384" i="2" s="1"/>
  <c r="F440" i="2"/>
  <c r="M440" i="2" s="1"/>
  <c r="F488" i="2"/>
  <c r="M488" i="2" s="1"/>
  <c r="F7" i="2"/>
  <c r="F79" i="2"/>
  <c r="M79" i="2" s="1"/>
  <c r="F136" i="2"/>
  <c r="M136" i="2" s="1"/>
  <c r="F192" i="2"/>
  <c r="M192" i="2" s="1"/>
  <c r="F256" i="2"/>
  <c r="M256" i="2" s="1"/>
  <c r="F312" i="2"/>
  <c r="M312" i="2" s="1"/>
  <c r="F368" i="2"/>
  <c r="M368" i="2" s="1"/>
  <c r="F424" i="2"/>
  <c r="M424" i="2" s="1"/>
  <c r="F480" i="2"/>
  <c r="M480" i="2" s="1"/>
  <c r="F8" i="2"/>
  <c r="F16" i="2"/>
  <c r="M16" i="2" s="1"/>
  <c r="F24" i="2"/>
  <c r="M24" i="2" s="1"/>
  <c r="F32" i="2"/>
  <c r="M32" i="2" s="1"/>
  <c r="F40" i="2"/>
  <c r="M40" i="2" s="1"/>
  <c r="F48" i="2"/>
  <c r="M48" i="2" s="1"/>
  <c r="F56" i="2"/>
  <c r="M56" i="2" s="1"/>
  <c r="F64" i="2"/>
  <c r="M64" i="2" s="1"/>
  <c r="F72" i="2"/>
  <c r="M72" i="2" s="1"/>
  <c r="F80" i="2"/>
  <c r="M80" i="2" s="1"/>
  <c r="F88" i="2"/>
  <c r="M88" i="2" s="1"/>
  <c r="F96" i="2"/>
  <c r="M96" i="2" s="1"/>
  <c r="F104" i="2"/>
  <c r="M104" i="2" s="1"/>
  <c r="F113" i="2"/>
  <c r="M113" i="2" s="1"/>
  <c r="F121" i="2"/>
  <c r="M121" i="2" s="1"/>
  <c r="F129" i="2"/>
  <c r="M129" i="2" s="1"/>
  <c r="F137" i="2"/>
  <c r="M137" i="2" s="1"/>
  <c r="F145" i="2"/>
  <c r="M145" i="2" s="1"/>
  <c r="F153" i="2"/>
  <c r="M153" i="2" s="1"/>
  <c r="F161" i="2"/>
  <c r="M161" i="2" s="1"/>
  <c r="F169" i="2"/>
  <c r="M169" i="2" s="1"/>
  <c r="F177" i="2"/>
  <c r="M177" i="2" s="1"/>
  <c r="F185" i="2"/>
  <c r="M185" i="2" s="1"/>
  <c r="F193" i="2"/>
  <c r="M193" i="2" s="1"/>
  <c r="F201" i="2"/>
  <c r="M201" i="2" s="1"/>
  <c r="F209" i="2"/>
  <c r="M209" i="2" s="1"/>
  <c r="F217" i="2"/>
  <c r="M217" i="2" s="1"/>
  <c r="F225" i="2"/>
  <c r="M225" i="2" s="1"/>
  <c r="F233" i="2"/>
  <c r="M233" i="2" s="1"/>
  <c r="F241" i="2"/>
  <c r="M241" i="2" s="1"/>
  <c r="F249" i="2"/>
  <c r="M249" i="2" s="1"/>
  <c r="F257" i="2"/>
  <c r="M257" i="2" s="1"/>
  <c r="F265" i="2"/>
  <c r="M265" i="2" s="1"/>
  <c r="F273" i="2"/>
  <c r="M273" i="2" s="1"/>
  <c r="F281" i="2"/>
  <c r="M281" i="2" s="1"/>
  <c r="F289" i="2"/>
  <c r="M289" i="2" s="1"/>
  <c r="F297" i="2"/>
  <c r="M297" i="2" s="1"/>
  <c r="F305" i="2"/>
  <c r="M305" i="2" s="1"/>
  <c r="F313" i="2"/>
  <c r="M313" i="2" s="1"/>
  <c r="F321" i="2"/>
  <c r="M321" i="2" s="1"/>
  <c r="F329" i="2"/>
  <c r="M329" i="2" s="1"/>
  <c r="F337" i="2"/>
  <c r="M337" i="2" s="1"/>
  <c r="F345" i="2"/>
  <c r="M345" i="2" s="1"/>
  <c r="F353" i="2"/>
  <c r="M353" i="2" s="1"/>
  <c r="F361" i="2"/>
  <c r="M361" i="2" s="1"/>
  <c r="F369" i="2"/>
  <c r="M369" i="2" s="1"/>
  <c r="F377" i="2"/>
  <c r="M377" i="2" s="1"/>
  <c r="F385" i="2"/>
  <c r="M385" i="2" s="1"/>
  <c r="F393" i="2"/>
  <c r="M393" i="2" s="1"/>
  <c r="F401" i="2"/>
  <c r="M401" i="2" s="1"/>
  <c r="F409" i="2"/>
  <c r="M409" i="2" s="1"/>
  <c r="F417" i="2"/>
  <c r="M417" i="2" s="1"/>
  <c r="F425" i="2"/>
  <c r="M425" i="2" s="1"/>
  <c r="F433" i="2"/>
  <c r="M433" i="2" s="1"/>
  <c r="F441" i="2"/>
  <c r="M441" i="2" s="1"/>
  <c r="F449" i="2"/>
  <c r="M449" i="2" s="1"/>
  <c r="F457" i="2"/>
  <c r="M457" i="2" s="1"/>
  <c r="F465" i="2"/>
  <c r="M465" i="2" s="1"/>
  <c r="F473" i="2"/>
  <c r="M473" i="2" s="1"/>
  <c r="F481" i="2"/>
  <c r="M481" i="2" s="1"/>
  <c r="F489" i="2"/>
  <c r="M489" i="2" s="1"/>
  <c r="F497" i="2"/>
  <c r="M497" i="2" s="1"/>
  <c r="F15" i="2"/>
  <c r="M15" i="2" s="1"/>
  <c r="F63" i="2"/>
  <c r="M63" i="2" s="1"/>
  <c r="F120" i="2"/>
  <c r="M120" i="2" s="1"/>
  <c r="F176" i="2"/>
  <c r="M176" i="2" s="1"/>
  <c r="F224" i="2"/>
  <c r="M224" i="2" s="1"/>
  <c r="F288" i="2"/>
  <c r="M288" i="2" s="1"/>
  <c r="F352" i="2"/>
  <c r="M352" i="2" s="1"/>
  <c r="F416" i="2"/>
  <c r="M416" i="2" s="1"/>
  <c r="F472" i="2"/>
  <c r="M472" i="2" s="1"/>
  <c r="F9" i="2"/>
  <c r="M9" i="2" s="1"/>
  <c r="F17" i="2"/>
  <c r="F25" i="2"/>
  <c r="M25" i="2" s="1"/>
  <c r="F33" i="2"/>
  <c r="M33" i="2" s="1"/>
  <c r="F41" i="2"/>
  <c r="M41" i="2" s="1"/>
  <c r="F49" i="2"/>
  <c r="M49" i="2" s="1"/>
  <c r="F57" i="2"/>
  <c r="M57" i="2" s="1"/>
  <c r="F65" i="2"/>
  <c r="M65" i="2" s="1"/>
  <c r="F73" i="2"/>
  <c r="M73" i="2" s="1"/>
  <c r="F81" i="2"/>
  <c r="M81" i="2" s="1"/>
  <c r="F89" i="2"/>
  <c r="M89" i="2" s="1"/>
  <c r="F97" i="2"/>
  <c r="M97" i="2" s="1"/>
  <c r="F105" i="2"/>
  <c r="M105" i="2" s="1"/>
  <c r="F114" i="2"/>
  <c r="M114" i="2" s="1"/>
  <c r="F122" i="2"/>
  <c r="M122" i="2" s="1"/>
  <c r="F130" i="2"/>
  <c r="M130" i="2" s="1"/>
  <c r="F138" i="2"/>
  <c r="M138" i="2" s="1"/>
  <c r="F146" i="2"/>
  <c r="M146" i="2" s="1"/>
  <c r="F154" i="2"/>
  <c r="M154" i="2" s="1"/>
  <c r="F162" i="2"/>
  <c r="M162" i="2" s="1"/>
  <c r="F170" i="2"/>
  <c r="M170" i="2" s="1"/>
  <c r="F178" i="2"/>
  <c r="M178" i="2" s="1"/>
  <c r="F186" i="2"/>
  <c r="M186" i="2" s="1"/>
  <c r="F194" i="2"/>
  <c r="M194" i="2" s="1"/>
  <c r="F202" i="2"/>
  <c r="M202" i="2" s="1"/>
  <c r="F210" i="2"/>
  <c r="M210" i="2" s="1"/>
  <c r="F218" i="2"/>
  <c r="M218" i="2" s="1"/>
  <c r="F226" i="2"/>
  <c r="M226" i="2" s="1"/>
  <c r="F234" i="2"/>
  <c r="M234" i="2" s="1"/>
  <c r="F242" i="2"/>
  <c r="M242" i="2" s="1"/>
  <c r="F250" i="2"/>
  <c r="M250" i="2" s="1"/>
  <c r="F258" i="2"/>
  <c r="M258" i="2" s="1"/>
  <c r="F266" i="2"/>
  <c r="M266" i="2" s="1"/>
  <c r="F274" i="2"/>
  <c r="M274" i="2" s="1"/>
  <c r="F282" i="2"/>
  <c r="M282" i="2" s="1"/>
  <c r="F290" i="2"/>
  <c r="M290" i="2" s="1"/>
  <c r="F298" i="2"/>
  <c r="M298" i="2" s="1"/>
  <c r="F306" i="2"/>
  <c r="M306" i="2" s="1"/>
  <c r="F314" i="2"/>
  <c r="M314" i="2" s="1"/>
  <c r="F322" i="2"/>
  <c r="M322" i="2" s="1"/>
  <c r="F330" i="2"/>
  <c r="M330" i="2" s="1"/>
  <c r="F338" i="2"/>
  <c r="M338" i="2" s="1"/>
  <c r="F346" i="2"/>
  <c r="M346" i="2" s="1"/>
  <c r="F354" i="2"/>
  <c r="M354" i="2" s="1"/>
  <c r="F362" i="2"/>
  <c r="M362" i="2" s="1"/>
  <c r="F370" i="2"/>
  <c r="M370" i="2" s="1"/>
  <c r="F378" i="2"/>
  <c r="M378" i="2" s="1"/>
  <c r="F386" i="2"/>
  <c r="M386" i="2" s="1"/>
  <c r="F394" i="2"/>
  <c r="M394" i="2" s="1"/>
  <c r="F402" i="2"/>
  <c r="M402" i="2" s="1"/>
  <c r="F410" i="2"/>
  <c r="M410" i="2" s="1"/>
  <c r="F418" i="2"/>
  <c r="M418" i="2" s="1"/>
  <c r="F426" i="2"/>
  <c r="M426" i="2" s="1"/>
  <c r="F434" i="2"/>
  <c r="M434" i="2" s="1"/>
  <c r="F442" i="2"/>
  <c r="M442" i="2" s="1"/>
  <c r="F450" i="2"/>
  <c r="M450" i="2" s="1"/>
  <c r="F458" i="2"/>
  <c r="M458" i="2" s="1"/>
  <c r="F466" i="2"/>
  <c r="M466" i="2" s="1"/>
  <c r="F474" i="2"/>
  <c r="M474" i="2" s="1"/>
  <c r="F482" i="2"/>
  <c r="M482" i="2" s="1"/>
  <c r="F490" i="2"/>
  <c r="M490" i="2" s="1"/>
  <c r="F498" i="2"/>
  <c r="M498" i="2" s="1"/>
  <c r="F31" i="2"/>
  <c r="M31" i="2" s="1"/>
  <c r="F71" i="2"/>
  <c r="M71" i="2" s="1"/>
  <c r="F128" i="2"/>
  <c r="M128" i="2" s="1"/>
  <c r="F184" i="2"/>
  <c r="M184" i="2" s="1"/>
  <c r="F240" i="2"/>
  <c r="M240" i="2" s="1"/>
  <c r="F304" i="2"/>
  <c r="M304" i="2" s="1"/>
  <c r="F344" i="2"/>
  <c r="M344" i="2" s="1"/>
  <c r="F400" i="2"/>
  <c r="M400" i="2" s="1"/>
  <c r="F464" i="2"/>
  <c r="M464" i="2" s="1"/>
  <c r="F5" i="2"/>
  <c r="M5" i="2" s="1"/>
  <c r="E3" i="12"/>
  <c r="E3" i="2"/>
  <c r="F3" i="3"/>
  <c r="BL2" i="7"/>
  <c r="BL4" i="7"/>
  <c r="M21" i="2"/>
  <c r="M17" i="2"/>
  <c r="M12" i="2"/>
  <c r="M10" i="2"/>
  <c r="M19" i="2"/>
  <c r="M8" i="2"/>
  <c r="F4" i="2"/>
  <c r="M6" i="2"/>
  <c r="M7" i="2"/>
  <c r="I31" i="40" l="1"/>
  <c r="H32" i="40"/>
  <c r="B32" i="40" s="1"/>
  <c r="H31" i="40"/>
  <c r="B31" i="40" s="1"/>
  <c r="H30" i="40"/>
  <c r="B30" i="40" s="1"/>
  <c r="H29" i="40"/>
  <c r="B29" i="40" s="1"/>
  <c r="I29" i="40"/>
  <c r="M4" i="2"/>
  <c r="G1" i="3" l="1"/>
  <c r="G3" i="12" s="1"/>
  <c r="F2" i="2"/>
  <c r="F1" i="2"/>
  <c r="F3" i="12" s="1"/>
  <c r="G2" i="3"/>
  <c r="D3" i="12" l="1"/>
  <c r="C3" i="12" s="1"/>
  <c r="H20" i="12" l="1"/>
  <c r="H21" i="12"/>
  <c r="H22" i="12"/>
  <c r="H23" i="12"/>
  <c r="H24" i="12"/>
  <c r="H25" i="12"/>
  <c r="H26" i="12"/>
  <c r="H27" i="12"/>
  <c r="H19" i="12"/>
  <c r="C14" i="12"/>
  <c r="T40" i="11"/>
  <c r="AE41" i="11"/>
  <c r="BJ33" i="11"/>
  <c r="M24" i="12"/>
  <c r="D67" i="12" s="1"/>
  <c r="AE40" i="11"/>
  <c r="T35" i="11"/>
  <c r="T37" i="11"/>
  <c r="C8" i="11"/>
  <c r="T41" i="11"/>
  <c r="H46" i="12"/>
  <c r="AP39" i="11" s="1"/>
  <c r="P10" i="11"/>
  <c r="T38" i="11"/>
  <c r="AE35" i="11"/>
  <c r="P8" i="11"/>
  <c r="AE36" i="11"/>
  <c r="T39" i="11"/>
  <c r="AE39" i="11"/>
  <c r="H49" i="12"/>
  <c r="G103" i="12" s="1"/>
  <c r="D103" i="12" s="1"/>
  <c r="E86" i="12" s="1"/>
  <c r="D86" i="12" s="1"/>
  <c r="T36" i="11"/>
  <c r="H48" i="12"/>
  <c r="AP36" i="11" s="1"/>
  <c r="C31" i="11"/>
  <c r="H35" i="12"/>
  <c r="M35" i="12" s="1"/>
  <c r="D75" i="12" s="1"/>
  <c r="AE37" i="11"/>
  <c r="BJ7" i="11"/>
  <c r="AE38" i="11"/>
  <c r="H36" i="12"/>
  <c r="M36" i="12" s="1"/>
  <c r="M26" i="12"/>
  <c r="D69" i="12" s="1"/>
  <c r="M25" i="12"/>
  <c r="C68" i="12" s="1"/>
  <c r="H34" i="12"/>
  <c r="H50" i="12"/>
  <c r="AP41" i="11" s="1"/>
  <c r="M22" i="12"/>
  <c r="D65" i="12" s="1"/>
  <c r="H44" i="12"/>
  <c r="AP35" i="11" s="1"/>
  <c r="M27" i="12"/>
  <c r="C70" i="12" s="1"/>
  <c r="M21" i="12"/>
  <c r="D64" i="12" s="1"/>
  <c r="H45" i="12"/>
  <c r="AP37" i="11" s="1"/>
  <c r="M23" i="12"/>
  <c r="C66" i="12" s="1"/>
  <c r="M20" i="12"/>
  <c r="D63" i="12" s="1"/>
  <c r="H37" i="12"/>
  <c r="M37" i="12" s="1"/>
  <c r="H47" i="12"/>
  <c r="AP40" i="11" s="1"/>
  <c r="D70" i="12"/>
  <c r="C69" i="12" l="1"/>
  <c r="G104" i="12"/>
  <c r="D104" i="12" s="1"/>
  <c r="AP38" i="11"/>
  <c r="C67" i="12"/>
  <c r="G52" i="12"/>
  <c r="F52" i="12" s="1"/>
  <c r="C75" i="12"/>
  <c r="D66" i="12"/>
  <c r="C64" i="12"/>
  <c r="C65" i="12"/>
  <c r="D68" i="12"/>
  <c r="C74" i="12"/>
  <c r="D74" i="12"/>
  <c r="D73" i="12"/>
  <c r="C73" i="12"/>
  <c r="G97" i="12"/>
  <c r="D97" i="12" s="1"/>
  <c r="E84" i="12" s="1"/>
  <c r="D84" i="12" s="1"/>
  <c r="G98" i="12"/>
  <c r="D98" i="12" s="1"/>
  <c r="G101" i="12"/>
  <c r="D101" i="12" s="1"/>
  <c r="E85" i="12" s="1"/>
  <c r="D85" i="12" s="1"/>
  <c r="G102" i="12"/>
  <c r="D102" i="12" s="1"/>
  <c r="C63" i="12"/>
  <c r="M34" i="12"/>
  <c r="D39" i="12"/>
  <c r="C39" i="12" s="1"/>
  <c r="G96" i="12"/>
  <c r="D96" i="12" s="1"/>
  <c r="G95" i="12"/>
  <c r="D95" i="12" s="1"/>
  <c r="M19" i="12"/>
  <c r="D29" i="12"/>
  <c r="C29" i="12" s="1"/>
  <c r="G93" i="12"/>
  <c r="D93" i="12" s="1"/>
  <c r="E82" i="12" s="1"/>
  <c r="D82" i="12" s="1"/>
  <c r="D52" i="12"/>
  <c r="C52" i="12" s="1"/>
  <c r="G94" i="12"/>
  <c r="D94" i="12" s="1"/>
  <c r="E83" i="12" l="1"/>
  <c r="C107" i="12"/>
  <c r="D62" i="12"/>
  <c r="D71" i="12" s="1"/>
  <c r="C62" i="12"/>
  <c r="C71" i="12" s="1"/>
  <c r="M28" i="12"/>
  <c r="M29" i="12" s="1"/>
  <c r="J29" i="12" s="1"/>
  <c r="BJ28" i="11" s="1"/>
  <c r="M38" i="12"/>
  <c r="M39" i="12" s="1"/>
  <c r="J39" i="12" s="1"/>
  <c r="BJ13" i="11" s="1"/>
  <c r="D76" i="12"/>
  <c r="C76" i="12"/>
  <c r="C77" i="12" s="1"/>
  <c r="N3" i="12" a="1"/>
  <c r="N3" i="12" s="1"/>
  <c r="H76" i="12" l="1"/>
  <c r="H74" i="12"/>
  <c r="H73" i="12"/>
  <c r="H75" i="12"/>
  <c r="D77" i="12"/>
  <c r="C78" i="12" s="1"/>
  <c r="C30" i="11" s="1"/>
  <c r="B113" i="12"/>
  <c r="B109" i="12"/>
  <c r="B116" i="12"/>
  <c r="B114" i="12"/>
  <c r="B115" i="12"/>
  <c r="B117" i="12"/>
  <c r="B111" i="12"/>
  <c r="B119" i="12"/>
  <c r="B110" i="12"/>
  <c r="B118" i="12"/>
  <c r="B112" i="12"/>
  <c r="B120" i="12"/>
  <c r="D83" i="12"/>
  <c r="C89" i="12"/>
  <c r="C49" i="11" s="1"/>
  <c r="C54" i="11" l="1"/>
  <c r="E107" i="12"/>
  <c r="D107" i="12"/>
  <c r="C50" i="11" s="1"/>
  <c r="AD50" i="11" s="1"/>
  <c r="C121" i="12"/>
  <c r="C52" i="11" s="1"/>
  <c r="C122" i="12"/>
  <c r="C53" i="11" s="1"/>
  <c r="R50" i="11" l="1"/>
  <c r="O50"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<sst xmlns="http://schemas.openxmlformats.org/spreadsheetml/2006/main" count="6155" uniqueCount="5610">
  <si>
    <t>0年</t>
  </si>
  <si>
    <t>30年以上</t>
  </si>
  <si>
    <t>1,000人以上</t>
  </si>
  <si>
    <t>雇用形態</t>
    <rPh sb="0" eb="4">
      <t xml:space="preserve">コヨウケイタイ </t>
    </rPh>
    <phoneticPr fontId="3"/>
  </si>
  <si>
    <t>勤続年数</t>
    <rPh sb="0" eb="4">
      <t xml:space="preserve">キンゾクネンスウ </t>
    </rPh>
    <phoneticPr fontId="3"/>
  </si>
  <si>
    <t>役職</t>
    <rPh sb="0" eb="2">
      <t xml:space="preserve">ヤクショク </t>
    </rPh>
    <phoneticPr fontId="3"/>
  </si>
  <si>
    <t>部長級</t>
  </si>
  <si>
    <t>課長級</t>
  </si>
  <si>
    <t>雇用形態</t>
  </si>
  <si>
    <t>入社年月日</t>
    <phoneticPr fontId="4"/>
  </si>
  <si>
    <t>性別</t>
  </si>
  <si>
    <t>役職</t>
  </si>
  <si>
    <t>アルバイト・パート</t>
  </si>
  <si>
    <t>係長級</t>
    <rPh sb="0" eb="3">
      <t xml:space="preserve">カカリチョウキュウ </t>
    </rPh>
    <phoneticPr fontId="3"/>
  </si>
  <si>
    <t>正規雇用</t>
    <rPh sb="0" eb="4">
      <t xml:space="preserve">セイキコヨウ </t>
    </rPh>
    <phoneticPr fontId="3"/>
  </si>
  <si>
    <t>非正規雇用</t>
    <rPh sb="0" eb="1">
      <t xml:space="preserve">ヒ </t>
    </rPh>
    <rPh sb="1" eb="5">
      <t xml:space="preserve">セイキコヨウ </t>
    </rPh>
    <phoneticPr fontId="3"/>
  </si>
  <si>
    <t>嘱託</t>
    <rPh sb="0" eb="2">
      <t xml:space="preserve">ショクタク </t>
    </rPh>
    <phoneticPr fontId="3"/>
  </si>
  <si>
    <t>部長級</t>
    <rPh sb="0" eb="3">
      <t xml:space="preserve">ブチョウキュウ </t>
    </rPh>
    <phoneticPr fontId="3"/>
  </si>
  <si>
    <t>課長級</t>
    <rPh sb="0" eb="3">
      <t xml:space="preserve">カチョウキュウ </t>
    </rPh>
    <phoneticPr fontId="3"/>
  </si>
  <si>
    <t>非正規雇用</t>
    <rPh sb="0" eb="5">
      <t xml:space="preserve">ヒセイキコヨウ </t>
    </rPh>
    <phoneticPr fontId="3"/>
  </si>
  <si>
    <t>産業大分類</t>
    <rPh sb="0" eb="2">
      <t xml:space="preserve">サンギョウ </t>
    </rPh>
    <rPh sb="2" eb="3">
      <t xml:space="preserve">ダイ </t>
    </rPh>
    <rPh sb="3" eb="5">
      <t xml:space="preserve">ブンルイ </t>
    </rPh>
    <phoneticPr fontId="1"/>
  </si>
  <si>
    <t>男</t>
    <rPh sb="0" eb="1">
      <t xml:space="preserve">オトコ </t>
    </rPh>
    <phoneticPr fontId="3"/>
  </si>
  <si>
    <t>女</t>
    <rPh sb="0" eb="1">
      <t xml:space="preserve">オンナ </t>
    </rPh>
    <phoneticPr fontId="3"/>
  </si>
  <si>
    <t>0年</t>
    <phoneticPr fontId="3"/>
  </si>
  <si>
    <t>参考値</t>
    <rPh sb="0" eb="3">
      <t xml:space="preserve">サンコウチ </t>
    </rPh>
    <phoneticPr fontId="3"/>
  </si>
  <si>
    <t>正社員</t>
    <rPh sb="0" eb="2">
      <t xml:space="preserve">セイシャイン </t>
    </rPh>
    <rPh sb="2" eb="3">
      <t xml:space="preserve">イン </t>
    </rPh>
    <phoneticPr fontId="3"/>
  </si>
  <si>
    <t>部長</t>
    <rPh sb="0" eb="2">
      <t xml:space="preserve">ブチョウ </t>
    </rPh>
    <phoneticPr fontId="3"/>
  </si>
  <si>
    <t>記載例</t>
    <rPh sb="0" eb="2">
      <t xml:space="preserve">キサイ </t>
    </rPh>
    <rPh sb="2" eb="3">
      <t xml:space="preserve">レイ </t>
    </rPh>
    <phoneticPr fontId="3"/>
  </si>
  <si>
    <t>課長</t>
    <rPh sb="0" eb="1">
      <t xml:space="preserve">カチョウ </t>
    </rPh>
    <phoneticPr fontId="3"/>
  </si>
  <si>
    <t>次長</t>
    <rPh sb="0" eb="1">
      <t xml:space="preserve">ジチョウ </t>
    </rPh>
    <phoneticPr fontId="3"/>
  </si>
  <si>
    <t>全労働者</t>
    <rPh sb="0" eb="4">
      <t xml:space="preserve">ゼンロウドウシャ </t>
    </rPh>
    <phoneticPr fontId="3"/>
  </si>
  <si>
    <t>産業大分類</t>
    <phoneticPr fontId="3"/>
  </si>
  <si>
    <t>従業員数</t>
    <phoneticPr fontId="3"/>
  </si>
  <si>
    <t>係長級</t>
  </si>
  <si>
    <t>非役職</t>
  </si>
  <si>
    <t>雇用形態別</t>
    <phoneticPr fontId="3"/>
  </si>
  <si>
    <t>変換後</t>
    <rPh sb="0" eb="3">
      <t xml:space="preserve">ヘンカンゴ </t>
    </rPh>
    <phoneticPr fontId="3"/>
  </si>
  <si>
    <t>産業中分類</t>
    <rPh sb="0" eb="5">
      <t xml:space="preserve">サンギョウチュウブンルイ </t>
    </rPh>
    <phoneticPr fontId="3"/>
  </si>
  <si>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</si>
  <si>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</si>
  <si>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</si>
  <si>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</si>
  <si>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</si>
  <si>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</si>
  <si>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</si>
  <si>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</si>
  <si>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</si>
  <si>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学術研究，専門・技術サービス業</t>
  </si>
  <si>
    <t>宿泊業，飲食サービス業</t>
  </si>
  <si>
    <t>生活関連サービス業，娯楽業</t>
  </si>
  <si>
    <t>教育，学習支援業</t>
  </si>
  <si>
    <t>医療，福祉</t>
  </si>
  <si>
    <t>複合サービス事業</t>
  </si>
  <si>
    <t>サービス業（他に分類されないもの）</t>
  </si>
  <si>
    <t>正規雇用</t>
    <rPh sb="0" eb="2">
      <t xml:space="preserve">セイキ </t>
    </rPh>
    <rPh sb="2" eb="4">
      <t xml:space="preserve">コヨウ </t>
    </rPh>
    <phoneticPr fontId="3"/>
  </si>
  <si>
    <t>食料品製造業</t>
  </si>
  <si>
    <t>飲料・たばこ・飼料製造業</t>
  </si>
  <si>
    <t>繊維工業</t>
  </si>
  <si>
    <t>木材・木製品製造業（家具を除く）</t>
  </si>
  <si>
    <t>家具・装備品製造業</t>
  </si>
  <si>
    <t>パルプ・紙・紙加工品製造業</t>
  </si>
  <si>
    <t>印刷・同関連業</t>
  </si>
  <si>
    <t>化学工業</t>
  </si>
  <si>
    <t>石油製品・石炭製品製造業</t>
  </si>
  <si>
    <t>プラスチック製品製造業（別掲を除く）</t>
  </si>
  <si>
    <t>ゴム製品製造業</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</si>
  <si>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</si>
  <si>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</si>
  <si>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</si>
  <si>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</si>
  <si>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</si>
  <si>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</si>
  <si>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</si>
  <si>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</si>
  <si>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</si>
  <si>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</si>
  <si>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</si>
  <si>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</si>
  <si>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</si>
  <si>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産業大分類計</t>
    <rPh sb="0" eb="5">
      <t xml:space="preserve">サンギョウダイブンルイ </t>
    </rPh>
    <rPh sb="5" eb="6">
      <t xml:space="preserve">ケイ </t>
    </rPh>
    <phoneticPr fontId="3"/>
  </si>
  <si>
    <t>賃金差異分析用</t>
    <rPh sb="0" eb="6">
      <t xml:space="preserve">チンギンサイブンセキ </t>
    </rPh>
    <rPh sb="6" eb="7">
      <t xml:space="preserve">ヨウ </t>
    </rPh>
    <phoneticPr fontId="3"/>
  </si>
  <si>
    <t>雇用形態別</t>
    <rPh sb="0" eb="5">
      <t xml:space="preserve">コヨウケイタイベツ </t>
    </rPh>
    <phoneticPr fontId="3"/>
  </si>
  <si>
    <t>役職別</t>
    <rPh sb="0" eb="3">
      <t xml:space="preserve">ヤクショクベツ </t>
    </rPh>
    <phoneticPr fontId="3"/>
  </si>
  <si>
    <t>１.男女間賃金差異</t>
    <rPh sb="2" eb="4">
      <t xml:space="preserve">ダンジョノ </t>
    </rPh>
    <rPh sb="4" eb="5">
      <t xml:space="preserve">アイダ </t>
    </rPh>
    <rPh sb="5" eb="7">
      <t xml:space="preserve">チンギン </t>
    </rPh>
    <rPh sb="7" eb="9">
      <t xml:space="preserve">サイ </t>
    </rPh>
    <phoneticPr fontId="3"/>
  </si>
  <si>
    <t>(1)</t>
    <phoneticPr fontId="3"/>
  </si>
  <si>
    <t>(2)</t>
    <phoneticPr fontId="3"/>
  </si>
  <si>
    <t>(3)</t>
    <phoneticPr fontId="3"/>
  </si>
  <si>
    <t>残業時間</t>
    <rPh sb="0" eb="2">
      <t xml:space="preserve">ザンギョウ </t>
    </rPh>
    <rPh sb="2" eb="4">
      <t xml:space="preserve">チョウカジカン </t>
    </rPh>
    <phoneticPr fontId="3"/>
  </si>
  <si>
    <t>残業手当</t>
    <rPh sb="0" eb="2">
      <t xml:space="preserve">ザンギョウ </t>
    </rPh>
    <rPh sb="2" eb="4">
      <t xml:space="preserve">テアテ </t>
    </rPh>
    <phoneticPr fontId="3"/>
  </si>
  <si>
    <t>毎月の
固定給与額</t>
    <rPh sb="0" eb="2">
      <t xml:space="preserve">マイツキノ </t>
    </rPh>
    <rPh sb="3" eb="5">
      <t xml:space="preserve">コテイ </t>
    </rPh>
    <rPh sb="5" eb="8">
      <t xml:space="preserve">キュウヨガク </t>
    </rPh>
    <phoneticPr fontId="3"/>
  </si>
  <si>
    <t>賞与等</t>
    <rPh sb="0" eb="3">
      <t xml:space="preserve">ショウヨトウ </t>
    </rPh>
    <phoneticPr fontId="3"/>
  </si>
  <si>
    <t xml:space="preserve"> ○入力済み！</t>
    <phoneticPr fontId="3"/>
  </si>
  <si>
    <t>全労働者</t>
    <rPh sb="0" eb="1">
      <t xml:space="preserve">ゼン </t>
    </rPh>
    <rPh sb="1" eb="4">
      <t xml:space="preserve">ゼンロウドウシャ </t>
    </rPh>
    <phoneticPr fontId="3"/>
  </si>
  <si>
    <t>企業規模</t>
    <rPh sb="0" eb="4">
      <t xml:space="preserve">キギョウキボ </t>
    </rPh>
    <phoneticPr fontId="1"/>
  </si>
  <si>
    <t>産業分類と企業規模の選択</t>
    <rPh sb="0" eb="4">
      <t xml:space="preserve">サンギョウブンルイト </t>
    </rPh>
    <rPh sb="5" eb="9">
      <t xml:space="preserve">キギョウキボ </t>
    </rPh>
    <rPh sb="10" eb="12">
      <t xml:space="preserve">センタク </t>
    </rPh>
    <phoneticPr fontId="3"/>
  </si>
  <si>
    <t>(4)</t>
    <phoneticPr fontId="3"/>
  </si>
  <si>
    <t>使用用途の選択</t>
    <rPh sb="0" eb="4">
      <t xml:space="preserve">シヨウヨウト </t>
    </rPh>
    <phoneticPr fontId="3"/>
  </si>
  <si>
    <t>産業分類・企業規模の参考値確認のみ</t>
    <rPh sb="0" eb="4">
      <t xml:space="preserve">サンギョウブンルイ </t>
    </rPh>
    <rPh sb="5" eb="9">
      <t xml:space="preserve">キギョウキボ </t>
    </rPh>
    <rPh sb="10" eb="13">
      <t xml:space="preserve">サンコウチ </t>
    </rPh>
    <rPh sb="13" eb="15">
      <t xml:space="preserve">カクニン </t>
    </rPh>
    <phoneticPr fontId="3"/>
  </si>
  <si>
    <t>自社の男女間賃金差異と参考値を比較する</t>
    <rPh sb="0" eb="2">
      <t xml:space="preserve">ジシャノ </t>
    </rPh>
    <rPh sb="3" eb="8">
      <t xml:space="preserve">ダンジョカンチンギンカクサ </t>
    </rPh>
    <rPh sb="8" eb="10">
      <t xml:space="preserve">サイ </t>
    </rPh>
    <rPh sb="11" eb="14">
      <t xml:space="preserve">サンコウチヲ </t>
    </rPh>
    <rPh sb="15" eb="17">
      <t xml:space="preserve">ヒカク </t>
    </rPh>
    <phoneticPr fontId="3"/>
  </si>
  <si>
    <t>ツールを利用して計算する</t>
    <rPh sb="4" eb="6">
      <t xml:space="preserve">リヨウシテ </t>
    </rPh>
    <rPh sb="8" eb="10">
      <t xml:space="preserve">ケイサン </t>
    </rPh>
    <phoneticPr fontId="3"/>
  </si>
  <si>
    <t>勤続年数階級別</t>
    <rPh sb="0" eb="4">
      <t xml:space="preserve">キンゾクネンスウ </t>
    </rPh>
    <rPh sb="4" eb="7">
      <t xml:space="preserve">カイキュウベツ </t>
    </rPh>
    <phoneticPr fontId="3"/>
  </si>
  <si>
    <t>性別</t>
    <phoneticPr fontId="3"/>
  </si>
  <si>
    <t>入社年月日
基準日</t>
    <rPh sb="6" eb="8">
      <t xml:space="preserve">キジュン </t>
    </rPh>
    <rPh sb="8" eb="9">
      <t xml:space="preserve">ビ </t>
    </rPh>
    <phoneticPr fontId="3"/>
  </si>
  <si>
    <t>要因ベンチ</t>
    <rPh sb="0" eb="2">
      <t xml:space="preserve">ヨウイン </t>
    </rPh>
    <phoneticPr fontId="3"/>
  </si>
  <si>
    <t>労働者数</t>
    <rPh sb="0" eb="4">
      <t xml:space="preserve">ロウドウシャスウ </t>
    </rPh>
    <phoneticPr fontId="3"/>
  </si>
  <si>
    <t>非正規雇用</t>
    <rPh sb="0" eb="3">
      <t xml:space="preserve">ヒセイキ </t>
    </rPh>
    <rPh sb="3" eb="5">
      <t xml:space="preserve">コヨウ </t>
    </rPh>
    <phoneticPr fontId="3"/>
  </si>
  <si>
    <t>管理職数</t>
  </si>
  <si>
    <t>男女間賃金差異の状況</t>
    <rPh sb="0" eb="3">
      <t xml:space="preserve">ダンジョカン </t>
    </rPh>
    <rPh sb="3" eb="7">
      <t xml:space="preserve">チンギンサイ </t>
    </rPh>
    <phoneticPr fontId="3"/>
  </si>
  <si>
    <t>自社で計算したデータを手入力する</t>
    <rPh sb="0" eb="2">
      <t xml:space="preserve">ダンジョ </t>
    </rPh>
    <rPh sb="2" eb="3">
      <t xml:space="preserve">ワリアイ </t>
    </rPh>
    <rPh sb="3" eb="5">
      <t xml:space="preserve">ケイサン </t>
    </rPh>
    <rPh sb="5" eb="6">
      <t xml:space="preserve">チョクセツ </t>
    </rPh>
    <rPh sb="11" eb="13">
      <t xml:space="preserve">ニュウリョク </t>
    </rPh>
    <phoneticPr fontId="3"/>
  </si>
  <si>
    <t>2.男女間賃金差異が生じる要因</t>
    <rPh sb="2" eb="5">
      <t xml:space="preserve">ダンジョカン </t>
    </rPh>
    <rPh sb="5" eb="9">
      <t xml:space="preserve">チンギンサイ </t>
    </rPh>
    <rPh sb="10" eb="11">
      <t xml:space="preserve">ショウジル </t>
    </rPh>
    <rPh sb="13" eb="15">
      <t xml:space="preserve">ヨウイン </t>
    </rPh>
    <phoneticPr fontId="3"/>
  </si>
  <si>
    <t>女性活躍のためのアドバイス</t>
    <rPh sb="0" eb="4">
      <t xml:space="preserve">ジョセイカツヤク </t>
    </rPh>
    <phoneticPr fontId="3"/>
  </si>
  <si>
    <t>男女間賃金差異分析ツール　分析結果</t>
    <rPh sb="0" eb="3">
      <t xml:space="preserve">ダンジョカンノ </t>
    </rPh>
    <rPh sb="3" eb="5">
      <t xml:space="preserve">チンギンサイ </t>
    </rPh>
    <rPh sb="5" eb="7">
      <t xml:space="preserve">サイ </t>
    </rPh>
    <rPh sb="7" eb="9">
      <t xml:space="preserve">ブンセキ </t>
    </rPh>
    <rPh sb="13" eb="17">
      <t xml:space="preserve">ブンセキケッカ </t>
    </rPh>
    <phoneticPr fontId="3"/>
  </si>
  <si>
    <t>男女間賃金差異分析ツール　入力シート</t>
    <rPh sb="0" eb="2">
      <t xml:space="preserve">ダンジョカンノ </t>
    </rPh>
    <rPh sb="2" eb="3">
      <t xml:space="preserve">カン </t>
    </rPh>
    <rPh sb="3" eb="5">
      <t xml:space="preserve">チンギンサイ </t>
    </rPh>
    <rPh sb="5" eb="7">
      <t xml:space="preserve">サイ </t>
    </rPh>
    <rPh sb="7" eb="9">
      <t xml:space="preserve">ブンセキ </t>
    </rPh>
    <rPh sb="13" eb="15">
      <t xml:space="preserve">ニュウリョクシート </t>
    </rPh>
    <phoneticPr fontId="3"/>
  </si>
  <si>
    <t>正規雇用労働者</t>
    <rPh sb="0" eb="4">
      <t xml:space="preserve">セイキコヨウ </t>
    </rPh>
    <rPh sb="4" eb="7">
      <t>ロウドウ</t>
    </rPh>
    <phoneticPr fontId="3"/>
  </si>
  <si>
    <t>正規雇用
労働者</t>
    <rPh sb="0" eb="4">
      <t xml:space="preserve">セイキコヨウ </t>
    </rPh>
    <rPh sb="4" eb="7">
      <t>ロウドウ</t>
    </rPh>
    <phoneticPr fontId="3"/>
  </si>
  <si>
    <t>非正規雇用
労働者</t>
    <rPh sb="0" eb="1">
      <t xml:space="preserve">ヒ </t>
    </rPh>
    <rPh sb="1" eb="5">
      <t xml:space="preserve">セイキコヨウ </t>
    </rPh>
    <phoneticPr fontId="3"/>
  </si>
  <si>
    <t>正規雇用
労働者</t>
    <rPh sb="0" eb="4">
      <t xml:space="preserve">セイキコヨウ </t>
    </rPh>
    <phoneticPr fontId="3"/>
  </si>
  <si>
    <t>非正規雇用労働者</t>
    <rPh sb="0" eb="5">
      <t xml:space="preserve">ヒセイキコヨウ </t>
    </rPh>
    <phoneticPr fontId="3"/>
  </si>
  <si>
    <t>貴社の『男女間賃金差異』の入力など</t>
    <rPh sb="0" eb="2">
      <t xml:space="preserve">キシャノ </t>
    </rPh>
    <rPh sb="4" eb="6">
      <t xml:space="preserve">ダンジョ </t>
    </rPh>
    <rPh sb="6" eb="7">
      <t xml:space="preserve">カン </t>
    </rPh>
    <rPh sb="7" eb="9">
      <t xml:space="preserve">チンギンサイ </t>
    </rPh>
    <rPh sb="9" eb="11">
      <t xml:space="preserve">サイ </t>
    </rPh>
    <rPh sb="15" eb="17">
      <t xml:space="preserve">ニュウリョク </t>
    </rPh>
    <phoneticPr fontId="3"/>
  </si>
  <si>
    <t>貴社</t>
    <rPh sb="0" eb="2">
      <t xml:space="preserve">キシャ </t>
    </rPh>
    <phoneticPr fontId="3"/>
  </si>
  <si>
    <t>雇用形態別</t>
    <rPh sb="0" eb="5">
      <t xml:space="preserve">コヨウケイタイベツ キサイ レイ </t>
    </rPh>
    <phoneticPr fontId="3"/>
  </si>
  <si>
    <t>男女間賃金差異が
生じる要因</t>
    <rPh sb="0" eb="3">
      <t xml:space="preserve">ダンジョカン </t>
    </rPh>
    <phoneticPr fontId="3"/>
  </si>
  <si>
    <t>雇用形態名の調整</t>
    <rPh sb="0" eb="4">
      <t xml:space="preserve">コヨウケイアイベツ </t>
    </rPh>
    <rPh sb="4" eb="5">
      <t xml:space="preserve">メイ </t>
    </rPh>
    <rPh sb="6" eb="8">
      <t xml:space="preserve">チョウセイ </t>
    </rPh>
    <phoneticPr fontId="3"/>
  </si>
  <si>
    <t>役職名の調整</t>
    <rPh sb="0" eb="2">
      <t xml:space="preserve">ヤクショク </t>
    </rPh>
    <rPh sb="2" eb="3">
      <t xml:space="preserve">メイ </t>
    </rPh>
    <rPh sb="4" eb="6">
      <t xml:space="preserve">チョウセイ </t>
    </rPh>
    <phoneticPr fontId="3"/>
  </si>
  <si>
    <t>性別表記の調整</t>
    <rPh sb="0" eb="2">
      <t xml:space="preserve">セイベツ </t>
    </rPh>
    <rPh sb="2" eb="4">
      <t xml:space="preserve">ヒョウキ </t>
    </rPh>
    <rPh sb="5" eb="7">
      <t xml:space="preserve">チョウセイ </t>
    </rPh>
    <phoneticPr fontId="3"/>
  </si>
  <si>
    <t>男女間賃金差異(%)</t>
    <rPh sb="0" eb="6">
      <t xml:space="preserve">ダンジョカンチンギンサイ </t>
    </rPh>
    <phoneticPr fontId="3"/>
  </si>
  <si>
    <t>基準日</t>
    <rPh sb="0" eb="2">
      <t xml:space="preserve">キジュン </t>
    </rPh>
    <rPh sb="2" eb="3">
      <t xml:space="preserve">ヒ </t>
    </rPh>
    <phoneticPr fontId="3"/>
  </si>
  <si>
    <t>確認</t>
    <rPh sb="0" eb="2">
      <t xml:space="preserve">カクニン </t>
    </rPh>
    <phoneticPr fontId="3"/>
  </si>
  <si>
    <t>済み</t>
    <rPh sb="0" eb="1">
      <t xml:space="preserve">スミ </t>
    </rPh>
    <phoneticPr fontId="3"/>
  </si>
  <si>
    <t>比較</t>
    <rPh sb="0" eb="2">
      <t xml:space="preserve">ヒカク </t>
    </rPh>
    <phoneticPr fontId="3"/>
  </si>
  <si>
    <t>エラー有</t>
    <phoneticPr fontId="3"/>
  </si>
  <si>
    <t>エラー無</t>
    <phoneticPr fontId="3"/>
  </si>
  <si>
    <t>自社のみ</t>
    <rPh sb="0" eb="2">
      <t xml:space="preserve">ジシャ </t>
    </rPh>
    <phoneticPr fontId="3"/>
  </si>
  <si>
    <t>データ未</t>
    <rPh sb="3" eb="4">
      <t xml:space="preserve">ミ </t>
    </rPh>
    <phoneticPr fontId="3"/>
  </si>
  <si>
    <t>貴社比</t>
    <rPh sb="0" eb="2">
      <t xml:space="preserve">キシャ </t>
    </rPh>
    <rPh sb="2" eb="3">
      <t>🧨</t>
    </rPh>
    <phoneticPr fontId="3"/>
  </si>
  <si>
    <t>参考値比</t>
    <rPh sb="0" eb="3">
      <t xml:space="preserve">サンコウチ </t>
    </rPh>
    <rPh sb="3" eb="4">
      <t>🧨</t>
    </rPh>
    <phoneticPr fontId="3"/>
  </si>
  <si>
    <t>男女間賃金差異の要因</t>
    <rPh sb="0" eb="3">
      <t xml:space="preserve">ダンジョカン </t>
    </rPh>
    <rPh sb="3" eb="5">
      <t xml:space="preserve">チンギンサイ </t>
    </rPh>
    <rPh sb="5" eb="7">
      <t xml:space="preserve">サイ </t>
    </rPh>
    <phoneticPr fontId="3"/>
  </si>
  <si>
    <t>直近1年間の採用者数</t>
  </si>
  <si>
    <t>（参考値）</t>
    <rPh sb="1" eb="4">
      <t>サンコウチ センタクジョウケン _x0000__x0001__x0003__x0006__x0006__x0004__x0010_</t>
    </rPh>
    <phoneticPr fontId="3"/>
  </si>
  <si>
    <t>男性</t>
    <rPh sb="0" eb="1">
      <t xml:space="preserve">ダンセイ </t>
    </rPh>
    <phoneticPr fontId="3"/>
  </si>
  <si>
    <t>残業小数点以下</t>
    <rPh sb="0" eb="2">
      <t xml:space="preserve">ザンギョウ </t>
    </rPh>
    <rPh sb="2" eb="7">
      <t xml:space="preserve">ショウスウテンイカ </t>
    </rPh>
    <phoneticPr fontId="3"/>
  </si>
  <si>
    <t>分で入力</t>
    <rPh sb="0" eb="1">
      <t xml:space="preserve">フン </t>
    </rPh>
    <rPh sb="2" eb="4">
      <t xml:space="preserve">ニュウリョク </t>
    </rPh>
    <phoneticPr fontId="3"/>
  </si>
  <si>
    <t xml:space="preserve">・事業所で通常「部長」または「局長」と呼ばれている者。
・2 課以上の組織またはその構成員が20人以上 (部長含む)の長。
 補足：職務内容や責任が「部長級」に相当する者も含む。
　　　 ただし、 通常「部長代理」「課長」「係長」等などは含まない。
　　　 </t>
    <rPh sb="56" eb="58">
      <t xml:space="preserve">ブチョウ </t>
    </rPh>
    <rPh sb="58" eb="59">
      <t xml:space="preserve">フクム </t>
    </rPh>
    <rPh sb="62" eb="63">
      <t xml:space="preserve">チョウ </t>
    </rPh>
    <rPh sb="64" eb="65">
      <t xml:space="preserve">ホソク </t>
    </rPh>
    <rPh sb="123" eb="124">
      <t xml:space="preserve">フクマナイ </t>
    </rPh>
    <phoneticPr fontId="3"/>
  </si>
  <si>
    <t>・事業所で通常「課長」と呼ばれる者で2係以上の組織
　または構成員10人以上(課長含む)の長。
 補足：職務内容や責任が「課長級」に相当する者も含む。
　　　 ただし、「課長代理」「係長」などは含まない。</t>
    <rPh sb="26" eb="28">
      <t xml:space="preserve">ソシキ </t>
    </rPh>
    <rPh sb="51" eb="53">
      <t xml:space="preserve">ホソク </t>
    </rPh>
    <phoneticPr fontId="3"/>
  </si>
  <si>
    <t>・事業所で通常「係長」と呼ばれる者。
補足：職務内容や責任が「係長級」に相当する者も含む。</t>
    <rPh sb="1" eb="4">
      <t xml:space="preserve">ジギョウショデ </t>
    </rPh>
    <rPh sb="20" eb="21">
      <t xml:space="preserve">ホソク </t>
    </rPh>
    <phoneticPr fontId="3"/>
  </si>
  <si>
    <t>(任意)労働者割合を使用する</t>
    <rPh sb="1" eb="3">
      <t xml:space="preserve">ニンイ </t>
    </rPh>
    <rPh sb="4" eb="7">
      <t xml:space="preserve">ロウドウシャスウ </t>
    </rPh>
    <rPh sb="7" eb="9">
      <t xml:space="preserve">ワリアイ </t>
    </rPh>
    <rPh sb="10" eb="12">
      <t xml:space="preserve">シヨウスル </t>
    </rPh>
    <phoneticPr fontId="3"/>
  </si>
  <si>
    <t>産業中分類(製造業のみ)</t>
    <rPh sb="0" eb="1">
      <t xml:space="preserve">サンギョウチュウブンルイ </t>
    </rPh>
    <rPh sb="6" eb="9">
      <t xml:space="preserve">セイゾウギョウノミ </t>
    </rPh>
    <phoneticPr fontId="3"/>
  </si>
  <si>
    <t>C</t>
  </si>
  <si>
    <t>D</t>
  </si>
  <si>
    <t>E</t>
  </si>
  <si>
    <t>F</t>
  </si>
  <si>
    <t>G</t>
  </si>
  <si>
    <t>H</t>
  </si>
  <si>
    <t>I</t>
  </si>
  <si>
    <t>J</t>
  </si>
  <si>
    <t>K</t>
  </si>
  <si>
    <t>L</t>
  </si>
  <si>
    <t>M</t>
  </si>
  <si>
    <t>N</t>
  </si>
  <si>
    <t>O</t>
  </si>
  <si>
    <t>P</t>
  </si>
  <si>
    <t>Q</t>
  </si>
  <si>
    <t>R</t>
  </si>
  <si>
    <t>C---</t>
  </si>
  <si>
    <t>D---</t>
  </si>
  <si>
    <t>E---</t>
  </si>
  <si>
    <t>E-9--</t>
  </si>
  <si>
    <t>E-9-1,000人以上-</t>
  </si>
  <si>
    <t>E-9-1,000人以上-正規雇用</t>
  </si>
  <si>
    <t>E-9-1,000人以上-非正規雇用</t>
  </si>
  <si>
    <t>E-10--</t>
  </si>
  <si>
    <t>E-10-1,000人以上-</t>
  </si>
  <si>
    <t>E-10-1,000人以上-正規雇用</t>
  </si>
  <si>
    <t>E-10-1,000人以上-非正規雇用</t>
  </si>
  <si>
    <t>E-11--</t>
  </si>
  <si>
    <t>E-11-1,000人以上-</t>
  </si>
  <si>
    <t>E-11-1,000人以上-正規雇用</t>
  </si>
  <si>
    <t>E-11-1,000人以上-非正規雇用</t>
  </si>
  <si>
    <t>E-12--</t>
  </si>
  <si>
    <t>E-12-1,000人以上-</t>
  </si>
  <si>
    <t>E-12-1,000人以上-正規雇用</t>
  </si>
  <si>
    <t>E-12-1,000人以上-非正規雇用</t>
  </si>
  <si>
    <t>E-13--</t>
  </si>
  <si>
    <t>E-13-1,000人以上-</t>
  </si>
  <si>
    <t>E-13-1,000人以上-正規雇用</t>
  </si>
  <si>
    <t>E-13-1,000人以上-非正規雇用</t>
  </si>
  <si>
    <t>E-14--</t>
  </si>
  <si>
    <t>E-14-1,000人以上-</t>
  </si>
  <si>
    <t>E-14-1,000人以上-正規雇用</t>
  </si>
  <si>
    <t>E-14-1,000人以上-非正規雇用</t>
  </si>
  <si>
    <t>E-15--</t>
  </si>
  <si>
    <t>E-15-1,000人以上-</t>
  </si>
  <si>
    <t>E-15-1,000人以上-正規雇用</t>
  </si>
  <si>
    <t>E-15-1,000人以上-非正規雇用</t>
  </si>
  <si>
    <t>E-16--</t>
  </si>
  <si>
    <t>E-16-1,000人以上-</t>
  </si>
  <si>
    <t>E-16-1,000人以上-正規雇用</t>
  </si>
  <si>
    <t>E-16-1,000人以上-非正規雇用</t>
  </si>
  <si>
    <t>E-17--</t>
  </si>
  <si>
    <t>E-17-1,000人以上-</t>
  </si>
  <si>
    <t>E-17-1,000人以上-正規雇用</t>
  </si>
  <si>
    <t>E-17-1,000人以上-非正規雇用</t>
  </si>
  <si>
    <t>E-18--</t>
  </si>
  <si>
    <t>E-18-1,000人以上-</t>
  </si>
  <si>
    <t>E-18-1,000人以上-正規雇用</t>
  </si>
  <si>
    <t>E-18-1,000人以上-非正規雇用</t>
  </si>
  <si>
    <t>E-19--</t>
  </si>
  <si>
    <t>E-19-1,000人以上-</t>
  </si>
  <si>
    <t>E-19-1,000人以上-正規雇用</t>
  </si>
  <si>
    <t>E-19-1,000人以上-非正規雇用</t>
  </si>
  <si>
    <t>E-20--</t>
  </si>
  <si>
    <t>E-21--</t>
  </si>
  <si>
    <t>E-21-1,000人以上-</t>
  </si>
  <si>
    <t>E-21-1,000人以上-正規雇用</t>
  </si>
  <si>
    <t>E-21-1,000人以上-非正規雇用</t>
  </si>
  <si>
    <t>E-22--</t>
  </si>
  <si>
    <t>E-22-1,000人以上-</t>
  </si>
  <si>
    <t>E-22-1,000人以上-正規雇用</t>
  </si>
  <si>
    <t>E-22-1,000人以上-非正規雇用</t>
  </si>
  <si>
    <t>E-23--</t>
  </si>
  <si>
    <t>E-23-1,000人以上-</t>
  </si>
  <si>
    <t>E-23-1,000人以上-正規雇用</t>
  </si>
  <si>
    <t>E-23-1,000人以上-非正規雇用</t>
  </si>
  <si>
    <t>E-24--</t>
  </si>
  <si>
    <t>E-24-1,000人以上-</t>
  </si>
  <si>
    <t>E-24-1,000人以上-正規雇用</t>
  </si>
  <si>
    <t>E-24-1,000人以上-非正規雇用</t>
  </si>
  <si>
    <t>E-25--</t>
  </si>
  <si>
    <t>E-25-1,000人以上-</t>
  </si>
  <si>
    <t>E-25-1,000人以上-正規雇用</t>
  </si>
  <si>
    <t>E-25-1,000人以上-非正規雇用</t>
  </si>
  <si>
    <t>E-26--</t>
  </si>
  <si>
    <t>E-26-1,000人以上-</t>
  </si>
  <si>
    <t>E-26-1,000人以上-正規雇用</t>
  </si>
  <si>
    <t>E-26-1,000人以上-非正規雇用</t>
  </si>
  <si>
    <t>E-27--</t>
  </si>
  <si>
    <t>E-27-1,000人以上-</t>
  </si>
  <si>
    <t>E-27-1,000人以上-正規雇用</t>
  </si>
  <si>
    <t>E-27-1,000人以上-非正規雇用</t>
  </si>
  <si>
    <t>E-28--</t>
  </si>
  <si>
    <t>E-28-1,000人以上-</t>
  </si>
  <si>
    <t>E-28-1,000人以上-正規雇用</t>
  </si>
  <si>
    <t>E-28-1,000人以上-非正規雇用</t>
  </si>
  <si>
    <t>E-29--</t>
  </si>
  <si>
    <t>E-29-1,000人以上-</t>
  </si>
  <si>
    <t>E-29-1,000人以上-正規雇用</t>
  </si>
  <si>
    <t>E-29-1,000人以上-非正規雇用</t>
  </si>
  <si>
    <t>E-30--</t>
  </si>
  <si>
    <t>E-30-1,000人以上-</t>
  </si>
  <si>
    <t>E-30-1,000人以上-正規雇用</t>
  </si>
  <si>
    <t>E-30-1,000人以上-非正規雇用</t>
  </si>
  <si>
    <t>E-31--</t>
  </si>
  <si>
    <t>E-31-1,000人以上-</t>
  </si>
  <si>
    <t>E-31-1,000人以上-正規雇用</t>
  </si>
  <si>
    <t>E-31-1,000人以上-非正規雇用</t>
  </si>
  <si>
    <t>E-32--</t>
  </si>
  <si>
    <t>E-32-1,000人以上-</t>
  </si>
  <si>
    <t>E-32-1,000人以上-正規雇用</t>
  </si>
  <si>
    <t>E-32-1,000人以上-非正規雇用</t>
  </si>
  <si>
    <t>F---</t>
  </si>
  <si>
    <t>G---</t>
  </si>
  <si>
    <t>H---</t>
  </si>
  <si>
    <t>I---</t>
  </si>
  <si>
    <t>J---</t>
  </si>
  <si>
    <t>K---</t>
  </si>
  <si>
    <t>L---</t>
  </si>
  <si>
    <t>M---</t>
  </si>
  <si>
    <t>N---</t>
  </si>
  <si>
    <t>O---</t>
  </si>
  <si>
    <t>P---</t>
  </si>
  <si>
    <t>Q---</t>
  </si>
  <si>
    <t>R---</t>
  </si>
  <si>
    <t>C--1,000人以上-</t>
  </si>
  <si>
    <t>C--1,000人以上-非正規雇用</t>
  </si>
  <si>
    <t>D--1,000人以上-</t>
  </si>
  <si>
    <t>D--1,000人以上-正規雇用</t>
  </si>
  <si>
    <t>D--1,000人以上-非正規雇用</t>
  </si>
  <si>
    <t>E--1,000人以上-</t>
  </si>
  <si>
    <t>E--1,000人以上-正規雇用</t>
  </si>
  <si>
    <t>E--1,000人以上-非正規雇用</t>
  </si>
  <si>
    <t>F--1,000人以上-</t>
  </si>
  <si>
    <t>F--1,000人以上-正規雇用</t>
  </si>
  <si>
    <t>F--1,000人以上-非正規雇用</t>
  </si>
  <si>
    <t>G--1,000人以上-</t>
  </si>
  <si>
    <t>G--1,000人以上-正規雇用</t>
  </si>
  <si>
    <t>G--1,000人以上-非正規雇用</t>
  </si>
  <si>
    <t>H--1,000人以上-</t>
  </si>
  <si>
    <t>H--1,000人以上-正規雇用</t>
  </si>
  <si>
    <t>H--1,000人以上-非正規雇用</t>
  </si>
  <si>
    <t>I--1,000人以上-</t>
  </si>
  <si>
    <t>I--1,000人以上-正規雇用</t>
  </si>
  <si>
    <t>I--1,000人以上-非正規雇用</t>
  </si>
  <si>
    <t>J--1,000人以上-</t>
  </si>
  <si>
    <t>J--1,000人以上-正規雇用</t>
  </si>
  <si>
    <t>J--1,000人以上-非正規雇用</t>
  </si>
  <si>
    <t>K--1,000人以上-</t>
  </si>
  <si>
    <t>K--1,000人以上-正規雇用</t>
  </si>
  <si>
    <t>K--1,000人以上-非正規雇用</t>
  </si>
  <si>
    <t>L--1,000人以上-</t>
  </si>
  <si>
    <t>L--1,000人以上-正規雇用</t>
  </si>
  <si>
    <t>L--1,000人以上-非正規雇用</t>
  </si>
  <si>
    <t>M--1,000人以上-</t>
  </si>
  <si>
    <t>M--1,000人以上-正規雇用</t>
  </si>
  <si>
    <t>M--1,000人以上-非正規雇用</t>
  </si>
  <si>
    <t>N--1,000人以上-</t>
  </si>
  <si>
    <t>N--1,000人以上-正規雇用</t>
  </si>
  <si>
    <t>N--1,000人以上-非正規雇用</t>
  </si>
  <si>
    <t>O--1,000人以上-</t>
  </si>
  <si>
    <t>O--1,000人以上-正規雇用</t>
  </si>
  <si>
    <t>O--1,000人以上-非正規雇用</t>
  </si>
  <si>
    <t>P--1,000人以上-</t>
  </si>
  <si>
    <t>P--1,000人以上-正規雇用</t>
  </si>
  <si>
    <t>P--1,000人以上-非正規雇用</t>
  </si>
  <si>
    <t>Q--1,000人以上-</t>
  </si>
  <si>
    <t>Q--1,000人以上-正規雇用</t>
  </si>
  <si>
    <t>Q--1,000人以上-非正規雇用</t>
  </si>
  <si>
    <t>R--1,000人以上-</t>
  </si>
  <si>
    <t>R--1,000人以上-正規雇用</t>
  </si>
  <si>
    <t>R--1,000人以上-非正規雇用</t>
  </si>
  <si>
    <t>E-9--正規雇用</t>
  </si>
  <si>
    <t>E-9--非正規雇用</t>
  </si>
  <si>
    <t>E-10--正規雇用</t>
  </si>
  <si>
    <t>E-10--非正規雇用</t>
  </si>
  <si>
    <t>E-11--正規雇用</t>
  </si>
  <si>
    <t>E-11--非正規雇用</t>
  </si>
  <si>
    <t>E-12--正規雇用</t>
  </si>
  <si>
    <t>E-12--非正規雇用</t>
  </si>
  <si>
    <t>E-13--正規雇用</t>
  </si>
  <si>
    <t>E-13--非正規雇用</t>
  </si>
  <si>
    <t>E-14--正規雇用</t>
  </si>
  <si>
    <t>E-14--非正規雇用</t>
  </si>
  <si>
    <t>E-15--正規雇用</t>
  </si>
  <si>
    <t>E-15--非正規雇用</t>
  </si>
  <si>
    <t>E-16--正規雇用</t>
  </si>
  <si>
    <t>E-16--非正規雇用</t>
  </si>
  <si>
    <t>E-17--正規雇用</t>
  </si>
  <si>
    <t>E-17--非正規雇用</t>
  </si>
  <si>
    <t>E-18--正規雇用</t>
  </si>
  <si>
    <t>E-18--非正規雇用</t>
  </si>
  <si>
    <t>E-19--正規雇用</t>
  </si>
  <si>
    <t>E-19--非正規雇用</t>
  </si>
  <si>
    <t>E-20--正規雇用</t>
  </si>
  <si>
    <t>E-20--非正規雇用</t>
  </si>
  <si>
    <t>E-21--正規雇用</t>
  </si>
  <si>
    <t>E-21--非正規雇用</t>
  </si>
  <si>
    <t>E-22--正規雇用</t>
  </si>
  <si>
    <t>E-22--非正規雇用</t>
  </si>
  <si>
    <t>E-23--正規雇用</t>
  </si>
  <si>
    <t>E-23--非正規雇用</t>
  </si>
  <si>
    <t>E-24--正規雇用</t>
  </si>
  <si>
    <t>E-24--非正規雇用</t>
  </si>
  <si>
    <t>E-25--正規雇用</t>
  </si>
  <si>
    <t>E-25--非正規雇用</t>
  </si>
  <si>
    <t>E-26--正規雇用</t>
  </si>
  <si>
    <t>E-26--非正規雇用</t>
  </si>
  <si>
    <t>E-27--正規雇用</t>
  </si>
  <si>
    <t>E-27--非正規雇用</t>
  </si>
  <si>
    <t>E-28--正規雇用</t>
  </si>
  <si>
    <t>E-28--非正規雇用</t>
  </si>
  <si>
    <t>E-29--正規雇用</t>
  </si>
  <si>
    <t>E-29--非正規雇用</t>
  </si>
  <si>
    <t>E-30--正規雇用</t>
  </si>
  <si>
    <t>E-30--非正規雇用</t>
  </si>
  <si>
    <t>E-31--正規雇用</t>
  </si>
  <si>
    <t>E-31--非正規雇用</t>
  </si>
  <si>
    <t>E-32--正規雇用</t>
  </si>
  <si>
    <t>E-32--非正規雇用</t>
  </si>
  <si>
    <t>C---正規雇用</t>
  </si>
  <si>
    <t>C---非正規雇用</t>
  </si>
  <si>
    <t>D---正規雇用</t>
  </si>
  <si>
    <t>D---非正規雇用</t>
  </si>
  <si>
    <t>E---正規雇用</t>
  </si>
  <si>
    <t>E---非正規雇用</t>
  </si>
  <si>
    <t>F---正規雇用</t>
  </si>
  <si>
    <t>F---非正規雇用</t>
  </si>
  <si>
    <t>G---正規雇用</t>
  </si>
  <si>
    <t>G---非正規雇用</t>
  </si>
  <si>
    <t>H---正規雇用</t>
  </si>
  <si>
    <t>H---非正規雇用</t>
  </si>
  <si>
    <t>I---正規雇用</t>
  </si>
  <si>
    <t>I---非正規雇用</t>
  </si>
  <si>
    <t>J---正規雇用</t>
  </si>
  <si>
    <t>J---非正規雇用</t>
  </si>
  <si>
    <t>K---正規雇用</t>
  </si>
  <si>
    <t>K---非正規雇用</t>
  </si>
  <si>
    <t>L---正規雇用</t>
  </si>
  <si>
    <t>L---非正規雇用</t>
  </si>
  <si>
    <t>M---正規雇用</t>
  </si>
  <si>
    <t>M---非正規雇用</t>
  </si>
  <si>
    <t>N---正規雇用</t>
  </si>
  <si>
    <t>N---非正規雇用</t>
  </si>
  <si>
    <t>O---正規雇用</t>
  </si>
  <si>
    <t>O---非正規雇用</t>
  </si>
  <si>
    <t>P---正規雇用</t>
  </si>
  <si>
    <t>P---非正規雇用</t>
  </si>
  <si>
    <t>Q---正規雇用</t>
  </si>
  <si>
    <t>Q---非正規雇用</t>
  </si>
  <si>
    <t>R---正規雇用</t>
  </si>
  <si>
    <t>R---非正規雇用</t>
  </si>
  <si>
    <t>--1,000人以上-</t>
  </si>
  <si>
    <t>--1,000人以上-正規雇用</t>
  </si>
  <si>
    <t>--1,000人以上-非正規雇用</t>
  </si>
  <si>
    <t>---正規雇用</t>
  </si>
  <si>
    <t>---非正規雇用</t>
  </si>
  <si>
    <t>E-20-1,000人以上-</t>
  </si>
  <si>
    <t>E-20-1,000人以上-正規雇用</t>
  </si>
  <si>
    <t>E-20-1,000人以上-非正規雇用</t>
  </si>
  <si>
    <t>C--1,000人以上-正規雇用</t>
  </si>
  <si>
    <t>　利用手順</t>
    <rPh sb="1" eb="3">
      <t>リヨウ</t>
    </rPh>
    <phoneticPr fontId="3"/>
  </si>
  <si>
    <t>※下記(１)〜(４)の項目を入力することで詳細な比較データの表示ができます。</t>
    <rPh sb="1" eb="3">
      <t xml:space="preserve">カキ </t>
    </rPh>
    <phoneticPr fontId="3"/>
  </si>
  <si>
    <t>貴社の『男女間賃金差異』の入力方法の選択</t>
    <rPh sb="0" eb="2">
      <t xml:space="preserve">キシャノ </t>
    </rPh>
    <rPh sb="4" eb="7">
      <t xml:space="preserve">ダンジョカン </t>
    </rPh>
    <rPh sb="7" eb="11">
      <t xml:space="preserve">チンギンサイ </t>
    </rPh>
    <rPh sb="13" eb="17">
      <t xml:space="preserve">ニュウリョクホウホウ </t>
    </rPh>
    <rPh sb="18" eb="20">
      <t xml:space="preserve">センタク </t>
    </rPh>
    <phoneticPr fontId="3"/>
  </si>
  <si>
    <t>使用する</t>
    <rPh sb="0" eb="2">
      <t>シヨウ</t>
    </rPh>
    <phoneticPr fontId="3"/>
  </si>
  <si>
    <t>男女間賃金差異
が生じる要因</t>
    <rPh sb="0" eb="3">
      <t xml:space="preserve">ダンジョカン </t>
    </rPh>
    <rPh sb="3" eb="5">
      <t xml:space="preserve">チンギン </t>
    </rPh>
    <rPh sb="5" eb="7">
      <t xml:space="preserve">サイ </t>
    </rPh>
    <rPh sb="8" eb="9">
      <t xml:space="preserve">ショウジル </t>
    </rPh>
    <rPh sb="11" eb="12">
      <t xml:space="preserve">ヨウイン </t>
    </rPh>
    <phoneticPr fontId="3"/>
  </si>
  <si>
    <r>
      <t xml:space="preserve">支給年月
</t>
    </r>
    <r>
      <rPr>
        <b/>
        <sz val="7"/>
        <color theme="3"/>
        <rFont val="游ゴシック"/>
        <family val="3"/>
        <charset val="128"/>
        <scheme val="minor"/>
      </rPr>
      <t>※集計には
　影響しません。</t>
    </r>
    <rPh sb="0" eb="2">
      <t xml:space="preserve">シキュウ </t>
    </rPh>
    <rPh sb="6" eb="8">
      <t>シュウケイ</t>
    </rPh>
    <rPh sb="10" eb="13">
      <t>エイキョウ</t>
    </rPh>
    <phoneticPr fontId="3"/>
  </si>
  <si>
    <t>雇用形態</t>
    <phoneticPr fontId="3"/>
  </si>
  <si>
    <t>一般＋短時間</t>
    <rPh sb="0" eb="2">
      <t xml:space="preserve">イッパン </t>
    </rPh>
    <rPh sb="3" eb="6">
      <t xml:space="preserve">タンジカン </t>
    </rPh>
    <phoneticPr fontId="3"/>
  </si>
  <si>
    <t>検索キー</t>
    <rPh sb="0" eb="2">
      <t xml:space="preserve">ケンサクキー </t>
    </rPh>
    <phoneticPr fontId="3"/>
  </si>
  <si>
    <t>復元倍率</t>
  </si>
  <si>
    <r>
      <t xml:space="preserve">賃金
</t>
    </r>
    <r>
      <rPr>
        <sz val="8"/>
        <color theme="1"/>
        <rFont val="游ゴシック"/>
        <family val="3"/>
        <charset val="128"/>
      </rPr>
      <t>※給与+超過+賞与/12</t>
    </r>
    <rPh sb="0" eb="2">
      <t xml:space="preserve">チンギン </t>
    </rPh>
    <rPh sb="4" eb="6">
      <t xml:space="preserve">キュウヨ </t>
    </rPh>
    <rPh sb="7" eb="9">
      <t xml:space="preserve">チョウカ </t>
    </rPh>
    <rPh sb="10" eb="12">
      <t xml:space="preserve">ショウヨ </t>
    </rPh>
    <phoneticPr fontId="3"/>
  </si>
  <si>
    <t>超過実労働時間</t>
  </si>
  <si>
    <t>勤続
年数</t>
  </si>
  <si>
    <t>正規雇用-C---</t>
  </si>
  <si>
    <t>正規雇用-D---</t>
  </si>
  <si>
    <t>正規雇用-E---</t>
  </si>
  <si>
    <t>正規雇用-E-9--</t>
  </si>
  <si>
    <t>正規雇用-E-9-1,000人以上-</t>
  </si>
  <si>
    <t>正規雇用-E-9-1,000人以上-0年</t>
  </si>
  <si>
    <t>正規雇用-E-9-1,000人以上-30年以上</t>
  </si>
  <si>
    <t>正規雇用-E-10--</t>
  </si>
  <si>
    <t>正規雇用-E-10-1,000人以上-</t>
  </si>
  <si>
    <t>正規雇用-E-10-1,000人以上-0年</t>
  </si>
  <si>
    <t>正規雇用-E-10-1,000人以上-30年以上</t>
  </si>
  <si>
    <t>正規雇用-E-11--</t>
  </si>
  <si>
    <t>正規雇用-E-11-1,000人以上-</t>
  </si>
  <si>
    <t>正規雇用-E-11-1,000人以上-0年</t>
  </si>
  <si>
    <t>正規雇用-E-11-1,000人以上-30年以上</t>
  </si>
  <si>
    <t>正規雇用-E-12--</t>
  </si>
  <si>
    <t>正規雇用-E-12-1,000人以上-</t>
  </si>
  <si>
    <t>正規雇用-E-12-1,000人以上-0年</t>
  </si>
  <si>
    <t>正規雇用-E-12-1,000人以上-30年以上</t>
  </si>
  <si>
    <t>正規雇用-E-13--</t>
  </si>
  <si>
    <t>正規雇用-E-13-1,000人以上-</t>
  </si>
  <si>
    <t>正規雇用-E-13-1,000人以上-0年</t>
  </si>
  <si>
    <t>正規雇用-E-13-1,000人以上-30年以上</t>
  </si>
  <si>
    <t>正規雇用-E-14--</t>
  </si>
  <si>
    <t>正規雇用-E-14-1,000人以上-</t>
  </si>
  <si>
    <t>正規雇用-E-14-1,000人以上-0年</t>
  </si>
  <si>
    <t>正規雇用-E-14-1,000人以上-30年以上</t>
  </si>
  <si>
    <t>正規雇用-E-15--</t>
  </si>
  <si>
    <t>正規雇用-E-15-1,000人以上-</t>
  </si>
  <si>
    <t>正規雇用-E-15-1,000人以上-0年</t>
  </si>
  <si>
    <t>正規雇用-E-15-1,000人以上-30年以上</t>
  </si>
  <si>
    <t>正規雇用-E-16--</t>
  </si>
  <si>
    <t>正規雇用-E-16-1,000人以上-</t>
  </si>
  <si>
    <t>正規雇用-E-16-1,000人以上-0年</t>
  </si>
  <si>
    <t>正規雇用-E-16-1,000人以上-30年以上</t>
  </si>
  <si>
    <t>正規雇用-E-17--</t>
  </si>
  <si>
    <t>正規雇用-E-17-1,000人以上-</t>
  </si>
  <si>
    <t>正規雇用-E-17-1,000人以上-0年</t>
  </si>
  <si>
    <t>正規雇用-E-17-1,000人以上-30年以上</t>
  </si>
  <si>
    <t>正規雇用-E-18--</t>
  </si>
  <si>
    <t>正規雇用-E-18-1,000人以上-</t>
  </si>
  <si>
    <t>正規雇用-E-18-1,000人以上-0年</t>
  </si>
  <si>
    <t>正規雇用-E-18-1,000人以上-30年以上</t>
  </si>
  <si>
    <t>正規雇用-E-19--</t>
  </si>
  <si>
    <t>正規雇用-E-19-1,000人以上-</t>
  </si>
  <si>
    <t>正規雇用-E-19-1,000人以上-0年</t>
  </si>
  <si>
    <t>正規雇用-E-19-1,000人以上-30年以上</t>
  </si>
  <si>
    <t>正規雇用-E-20--</t>
  </si>
  <si>
    <t>正規雇用-E-20-1,000人以上-</t>
  </si>
  <si>
    <t>正規雇用-E-20-1,000人以上-30年以上</t>
  </si>
  <si>
    <t>正規雇用-E-21--</t>
  </si>
  <si>
    <t>正規雇用-E-21-1,000人以上-</t>
  </si>
  <si>
    <t>正規雇用-E-21-1,000人以上-0年</t>
  </si>
  <si>
    <t>正規雇用-E-21-1,000人以上-30年以上</t>
  </si>
  <si>
    <t>正規雇用-E-22--</t>
  </si>
  <si>
    <t>正規雇用-E-22-1,000人以上-</t>
  </si>
  <si>
    <t>正規雇用-E-22-1,000人以上-0年</t>
  </si>
  <si>
    <t>正規雇用-E-22-1,000人以上-30年以上</t>
  </si>
  <si>
    <t>正規雇用-E-23--</t>
  </si>
  <si>
    <t>正規雇用-E-23-1,000人以上-</t>
  </si>
  <si>
    <t>正規雇用-E-23-1,000人以上-0年</t>
  </si>
  <si>
    <t>正規雇用-E-23-1,000人以上-30年以上</t>
  </si>
  <si>
    <t>正規雇用-E-24--</t>
  </si>
  <si>
    <t>正規雇用-E-24-1,000人以上-</t>
  </si>
  <si>
    <t>正規雇用-E-24-1,000人以上-0年</t>
  </si>
  <si>
    <t>正規雇用-E-24-1,000人以上-30年以上</t>
  </si>
  <si>
    <t>正規雇用-E-25--</t>
  </si>
  <si>
    <t>正規雇用-E-25-1,000人以上-</t>
  </si>
  <si>
    <t>正規雇用-E-25-1,000人以上-0年</t>
  </si>
  <si>
    <t>正規雇用-E-25-1,000人以上-30年以上</t>
  </si>
  <si>
    <t>正規雇用-E-26--</t>
  </si>
  <si>
    <t>正規雇用-E-26-1,000人以上-</t>
  </si>
  <si>
    <t>正規雇用-E-26-1,000人以上-0年</t>
  </si>
  <si>
    <t>正規雇用-E-26-1,000人以上-30年以上</t>
  </si>
  <si>
    <t>正規雇用-E-27--</t>
  </si>
  <si>
    <t>正規雇用-E-27-1,000人以上-</t>
  </si>
  <si>
    <t>正規雇用-E-27-1,000人以上-0年</t>
  </si>
  <si>
    <t>正規雇用-E-27-1,000人以上-30年以上</t>
  </si>
  <si>
    <t>正規雇用-E-28--</t>
  </si>
  <si>
    <t>正規雇用-E-28-1,000人以上-</t>
  </si>
  <si>
    <t>正規雇用-E-28-1,000人以上-0年</t>
  </si>
  <si>
    <t>正規雇用-E-28-1,000人以上-30年以上</t>
  </si>
  <si>
    <t>正規雇用-E-29--</t>
  </si>
  <si>
    <t>正規雇用-E-29-1,000人以上-</t>
  </si>
  <si>
    <t>正規雇用-E-29-1,000人以上-0年</t>
  </si>
  <si>
    <t>正規雇用-E-29-1,000人以上-30年以上</t>
  </si>
  <si>
    <t>正規雇用-E-30--</t>
  </si>
  <si>
    <t>正規雇用-E-30-1,000人以上-</t>
  </si>
  <si>
    <t>正規雇用-E-30-1,000人以上-0年</t>
  </si>
  <si>
    <t>正規雇用-E-30-1,000人以上-30年以上</t>
  </si>
  <si>
    <t>正規雇用-E-31--</t>
  </si>
  <si>
    <t>正規雇用-E-31-1,000人以上-</t>
  </si>
  <si>
    <t>正規雇用-E-31-1,000人以上-0年</t>
  </si>
  <si>
    <t>正規雇用-E-31-1,000人以上-30年以上</t>
  </si>
  <si>
    <t>正規雇用-E-32--</t>
  </si>
  <si>
    <t>正規雇用-E-32-1,000人以上-</t>
  </si>
  <si>
    <t>正規雇用-E-32-1,000人以上-0年</t>
  </si>
  <si>
    <t>正規雇用-E-32-1,000人以上-30年以上</t>
  </si>
  <si>
    <t>正規雇用-F---</t>
  </si>
  <si>
    <t>正規雇用-G---</t>
  </si>
  <si>
    <t>正規雇用-H---</t>
  </si>
  <si>
    <t>正規雇用-I---</t>
  </si>
  <si>
    <t>正規雇用-J---</t>
  </si>
  <si>
    <t>正規雇用-K---</t>
  </si>
  <si>
    <t>正規雇用-L---</t>
  </si>
  <si>
    <t>正規雇用-M---</t>
  </si>
  <si>
    <t>正規雇用-N---</t>
  </si>
  <si>
    <t>正規雇用-O---</t>
  </si>
  <si>
    <t>正規雇用-P---</t>
  </si>
  <si>
    <t>正規雇用-Q---</t>
  </si>
  <si>
    <t>正規雇用-R---</t>
  </si>
  <si>
    <t>正規雇用-C--1,000人以上-</t>
  </si>
  <si>
    <t>正規雇用-C--1,000人以上-0年</t>
  </si>
  <si>
    <t>正規雇用-C--1,000人以上-30年以上</t>
  </si>
  <si>
    <t>正規雇用-D--1,000人以上-</t>
  </si>
  <si>
    <t>正規雇用-D--1,000人以上-0年</t>
  </si>
  <si>
    <t>正規雇用-D--1,000人以上-30年以上</t>
  </si>
  <si>
    <t>正規雇用-E--1,000人以上-</t>
  </si>
  <si>
    <t>正規雇用-E--1,000人以上-0年</t>
  </si>
  <si>
    <t>正規雇用-E--1,000人以上-30年以上</t>
  </si>
  <si>
    <t>正規雇用-F--1,000人以上-</t>
  </si>
  <si>
    <t>正規雇用-F--1,000人以上-0年</t>
  </si>
  <si>
    <t>正規雇用-F--1,000人以上-30年以上</t>
  </si>
  <si>
    <t>正規雇用-G--1,000人以上-</t>
  </si>
  <si>
    <t>正規雇用-G--1,000人以上-0年</t>
  </si>
  <si>
    <t>正規雇用-G--1,000人以上-30年以上</t>
  </si>
  <si>
    <t>正規雇用-H--1,000人以上-</t>
  </si>
  <si>
    <t>正規雇用-H--1,000人以上-0年</t>
  </si>
  <si>
    <t>正規雇用-H--1,000人以上-30年以上</t>
  </si>
  <si>
    <t>正規雇用-I--1,000人以上-</t>
  </si>
  <si>
    <t>正規雇用-I--1,000人以上-0年</t>
  </si>
  <si>
    <t>正規雇用-I--1,000人以上-30年以上</t>
  </si>
  <si>
    <t>正規雇用-J--1,000人以上-</t>
  </si>
  <si>
    <t>正規雇用-J--1,000人以上-0年</t>
  </si>
  <si>
    <t>正規雇用-J--1,000人以上-30年以上</t>
  </si>
  <si>
    <t>正規雇用-K--1,000人以上-</t>
  </si>
  <si>
    <t>正規雇用-K--1,000人以上-0年</t>
  </si>
  <si>
    <t>正規雇用-K--1,000人以上-30年以上</t>
  </si>
  <si>
    <t>正規雇用-L--1,000人以上-</t>
  </si>
  <si>
    <t>正規雇用-L--1,000人以上-0年</t>
  </si>
  <si>
    <t>正規雇用-L--1,000人以上-30年以上</t>
  </si>
  <si>
    <t>正規雇用-M--1,000人以上-</t>
  </si>
  <si>
    <t>正規雇用-M--1,000人以上-0年</t>
  </si>
  <si>
    <t>正規雇用-M--1,000人以上-30年以上</t>
  </si>
  <si>
    <t>正規雇用-N--1,000人以上-</t>
  </si>
  <si>
    <t>正規雇用-N--1,000人以上-0年</t>
  </si>
  <si>
    <t>正規雇用-N--1,000人以上-30年以上</t>
  </si>
  <si>
    <t>正規雇用-O--1,000人以上-</t>
  </si>
  <si>
    <t>正規雇用-O--1,000人以上-0年</t>
  </si>
  <si>
    <t>正規雇用-O--1,000人以上-30年以上</t>
  </si>
  <si>
    <t>正規雇用-P--1,000人以上-</t>
  </si>
  <si>
    <t>正規雇用-P--1,000人以上-0年</t>
  </si>
  <si>
    <t>正規雇用-P--1,000人以上-30年以上</t>
  </si>
  <si>
    <t>正規雇用-Q--1,000人以上-</t>
  </si>
  <si>
    <t>正規雇用-Q--1,000人以上-0年</t>
  </si>
  <si>
    <t>正規雇用-Q--1,000人以上-30年以上</t>
  </si>
  <si>
    <t>正規雇用-R--1,000人以上-</t>
  </si>
  <si>
    <t>正規雇用-R--1,000人以上-0年</t>
  </si>
  <si>
    <t>正規雇用-R--1,000人以上-30年以上</t>
  </si>
  <si>
    <t>正規雇用-E-9--0年</t>
  </si>
  <si>
    <t>正規雇用-E-9--30年以上</t>
  </si>
  <si>
    <t>正規雇用-E-10--0年</t>
  </si>
  <si>
    <t>正規雇用-E-10--30年以上</t>
  </si>
  <si>
    <t>正規雇用-E-11--0年</t>
  </si>
  <si>
    <t>正規雇用-E-11--30年以上</t>
  </si>
  <si>
    <t>正規雇用-E-12--0年</t>
  </si>
  <si>
    <t>正規雇用-E-12--30年以上</t>
  </si>
  <si>
    <t>正規雇用-E-13--0年</t>
  </si>
  <si>
    <t>正規雇用-E-13--30年以上</t>
  </si>
  <si>
    <t>正規雇用-E-14--0年</t>
  </si>
  <si>
    <t>正規雇用-E-14--30年以上</t>
  </si>
  <si>
    <t>正規雇用-E-15--0年</t>
  </si>
  <si>
    <t>正規雇用-E-15--30年以上</t>
  </si>
  <si>
    <t>正規雇用-E-16--0年</t>
  </si>
  <si>
    <t>正規雇用-E-16--30年以上</t>
  </si>
  <si>
    <t>正規雇用-E-17--0年</t>
  </si>
  <si>
    <t>正規雇用-E-17--30年以上</t>
  </si>
  <si>
    <t>正規雇用-E-18--0年</t>
  </si>
  <si>
    <t>正規雇用-E-18--30年以上</t>
  </si>
  <si>
    <t>正規雇用-E-19--0年</t>
  </si>
  <si>
    <t>正規雇用-E-19--30年以上</t>
  </si>
  <si>
    <t>正規雇用-E-20--0年</t>
  </si>
  <si>
    <t>正規雇用-E-20--30年以上</t>
  </si>
  <si>
    <t>正規雇用-E-21--0年</t>
  </si>
  <si>
    <t>正規雇用-E-21--30年以上</t>
  </si>
  <si>
    <t>正規雇用-E-22--0年</t>
  </si>
  <si>
    <t>正規雇用-E-22--30年以上</t>
  </si>
  <si>
    <t>正規雇用-E-23--0年</t>
  </si>
  <si>
    <t>正規雇用-E-23--30年以上</t>
  </si>
  <si>
    <t>正規雇用-E-24--0年</t>
  </si>
  <si>
    <t>正規雇用-E-24--30年以上</t>
  </si>
  <si>
    <t>正規雇用-E-25--0年</t>
  </si>
  <si>
    <t>正規雇用-E-25--30年以上</t>
  </si>
  <si>
    <t>正規雇用-E-26--0年</t>
  </si>
  <si>
    <t>正規雇用-E-26--30年以上</t>
  </si>
  <si>
    <t>正規雇用-E-27--0年</t>
  </si>
  <si>
    <t>正規雇用-E-27--30年以上</t>
  </si>
  <si>
    <t>正規雇用-E-28--0年</t>
  </si>
  <si>
    <t>正規雇用-E-28--30年以上</t>
  </si>
  <si>
    <t>正規雇用-E-29--0年</t>
  </si>
  <si>
    <t>正規雇用-E-29--30年以上</t>
  </si>
  <si>
    <t>正規雇用-E-30--0年</t>
  </si>
  <si>
    <t>正規雇用-E-30--30年以上</t>
  </si>
  <si>
    <t>正規雇用-E-31--0年</t>
  </si>
  <si>
    <t>正規雇用-E-31--30年以上</t>
  </si>
  <si>
    <t>正規雇用-E-32--0年</t>
  </si>
  <si>
    <t>正規雇用-E-32--30年以上</t>
  </si>
  <si>
    <t>正規雇用-C---0年</t>
  </si>
  <si>
    <t>正規雇用-C---30年以上</t>
  </si>
  <si>
    <t>正規雇用-D---0年</t>
  </si>
  <si>
    <t>正規雇用-D---30年以上</t>
  </si>
  <si>
    <t>正規雇用-E---0年</t>
  </si>
  <si>
    <t>正規雇用-E---30年以上</t>
  </si>
  <si>
    <t>正規雇用-F---0年</t>
  </si>
  <si>
    <t>正規雇用-F---30年以上</t>
  </si>
  <si>
    <t>正規雇用-G---0年</t>
  </si>
  <si>
    <t>正規雇用-G---30年以上</t>
  </si>
  <si>
    <t>正規雇用-H---0年</t>
  </si>
  <si>
    <t>正規雇用-H---30年以上</t>
  </si>
  <si>
    <t>正規雇用-I---0年</t>
  </si>
  <si>
    <t>正規雇用-I---30年以上</t>
  </si>
  <si>
    <t>正規雇用-J---0年</t>
  </si>
  <si>
    <t>正規雇用-J---30年以上</t>
  </si>
  <si>
    <t>正規雇用-K---0年</t>
  </si>
  <si>
    <t>正規雇用-K---30年以上</t>
  </si>
  <si>
    <t>正規雇用-L---0年</t>
  </si>
  <si>
    <t>正規雇用-L---30年以上</t>
  </si>
  <si>
    <t>正規雇用-M---0年</t>
  </si>
  <si>
    <t>正規雇用-M---30年以上</t>
  </si>
  <si>
    <t>正規雇用-N---0年</t>
  </si>
  <si>
    <t>正規雇用-N---30年以上</t>
  </si>
  <si>
    <t>正規雇用-O---0年</t>
  </si>
  <si>
    <t>正規雇用-O---30年以上</t>
  </si>
  <si>
    <t>正規雇用-P---0年</t>
  </si>
  <si>
    <t>正規雇用-P---30年以上</t>
  </si>
  <si>
    <t>正規雇用-Q---0年</t>
  </si>
  <si>
    <t>正規雇用-Q---30年以上</t>
  </si>
  <si>
    <t>正規雇用-R---0年</t>
  </si>
  <si>
    <t>正規雇用-R---30年以上</t>
  </si>
  <si>
    <t>正規雇用---1,000人以上-</t>
  </si>
  <si>
    <t>正規雇用---1,000人以上-0年</t>
  </si>
  <si>
    <t>正規雇用---1,000人以上-30年以上</t>
  </si>
  <si>
    <t>正規雇用----0年</t>
  </si>
  <si>
    <t>正規雇用----30年以上</t>
  </si>
  <si>
    <t>正規雇用-E-9-1,000人以上-101</t>
  </si>
  <si>
    <t>正規雇用-E-9-1,000人以上-102</t>
  </si>
  <si>
    <t>正規雇用-E-9-1,000人以上-103</t>
  </si>
  <si>
    <t>正規雇用-E-9-1,000人以上-104</t>
  </si>
  <si>
    <t>正規雇用-E-9-1,000人以上-105</t>
  </si>
  <si>
    <t>正規雇用-E-9-1,000人以上-(空白)</t>
  </si>
  <si>
    <t>正規雇用-E-10-1,000人以上-101</t>
  </si>
  <si>
    <t>正規雇用-E-10-1,000人以上-102</t>
  </si>
  <si>
    <t>正規雇用-E-10-1,000人以上-103</t>
  </si>
  <si>
    <t>正規雇用-E-10-1,000人以上-104</t>
  </si>
  <si>
    <t>正規雇用-E-10-1,000人以上-105</t>
  </si>
  <si>
    <t>正規雇用-E-10-1,000人以上-(空白)</t>
  </si>
  <si>
    <t>正規雇用-E-11-1,000人以上-101</t>
  </si>
  <si>
    <t>正規雇用-E-11-1,000人以上-102</t>
  </si>
  <si>
    <t>正規雇用-E-11-1,000人以上-103</t>
  </si>
  <si>
    <t>正規雇用-E-11-1,000人以上-104</t>
  </si>
  <si>
    <t>正規雇用-E-11-1,000人以上-105</t>
  </si>
  <si>
    <t>正規雇用-E-11-1,000人以上-(空白)</t>
  </si>
  <si>
    <t>正規雇用-E-12-1,000人以上-101</t>
  </si>
  <si>
    <t>正規雇用-E-12-1,000人以上-102</t>
  </si>
  <si>
    <t>正規雇用-E-12-1,000人以上-103</t>
  </si>
  <si>
    <t>正規雇用-E-12-1,000人以上-104</t>
  </si>
  <si>
    <t>正規雇用-E-12-1,000人以上-105</t>
  </si>
  <si>
    <t>正規雇用-E-12-1,000人以上-(空白)</t>
  </si>
  <si>
    <t>正規雇用-E-13-1,000人以上-101</t>
  </si>
  <si>
    <t>正規雇用-E-13-1,000人以上-102</t>
  </si>
  <si>
    <t>正規雇用-E-13-1,000人以上-103</t>
  </si>
  <si>
    <t>正規雇用-E-13-1,000人以上-104</t>
  </si>
  <si>
    <t>正規雇用-E-13-1,000人以上-105</t>
  </si>
  <si>
    <t>正規雇用-E-13-1,000人以上-(空白)</t>
  </si>
  <si>
    <t>正規雇用-E-14-1,000人以上-101</t>
  </si>
  <si>
    <t>正規雇用-E-14-1,000人以上-102</t>
  </si>
  <si>
    <t>正規雇用-E-14-1,000人以上-103</t>
  </si>
  <si>
    <t>正規雇用-E-14-1,000人以上-104</t>
  </si>
  <si>
    <t>正規雇用-E-14-1,000人以上-105</t>
  </si>
  <si>
    <t>正規雇用-E-14-1,000人以上-(空白)</t>
  </si>
  <si>
    <t>正規雇用-E-15-1,000人以上-101</t>
  </si>
  <si>
    <t>正規雇用-E-15-1,000人以上-102</t>
  </si>
  <si>
    <t>正規雇用-E-15-1,000人以上-103</t>
  </si>
  <si>
    <t>正規雇用-E-15-1,000人以上-104</t>
  </si>
  <si>
    <t>正規雇用-E-15-1,000人以上-105</t>
  </si>
  <si>
    <t>正規雇用-E-15-1,000人以上-(空白)</t>
  </si>
  <si>
    <t>正規雇用-E-16-1,000人以上-101</t>
  </si>
  <si>
    <t>正規雇用-E-16-1,000人以上-102</t>
  </si>
  <si>
    <t>正規雇用-E-16-1,000人以上-103</t>
  </si>
  <si>
    <t>正規雇用-E-16-1,000人以上-104</t>
  </si>
  <si>
    <t>正規雇用-E-16-1,000人以上-105</t>
  </si>
  <si>
    <t>正規雇用-E-16-1,000人以上-(空白)</t>
  </si>
  <si>
    <t>正規雇用-E-17-1,000人以上-101</t>
  </si>
  <si>
    <t>正規雇用-E-17-1,000人以上-102</t>
  </si>
  <si>
    <t>正規雇用-E-17-1,000人以上-103</t>
  </si>
  <si>
    <t>正規雇用-E-17-1,000人以上-104</t>
  </si>
  <si>
    <t>正規雇用-E-17-1,000人以上-105</t>
  </si>
  <si>
    <t>正規雇用-E-17-1,000人以上-(空白)</t>
  </si>
  <si>
    <t>正規雇用-E-18-1,000人以上-101</t>
  </si>
  <si>
    <t>正規雇用-E-18-1,000人以上-102</t>
  </si>
  <si>
    <t>正規雇用-E-18-1,000人以上-103</t>
  </si>
  <si>
    <t>正規雇用-E-18-1,000人以上-104</t>
  </si>
  <si>
    <t>正規雇用-E-18-1,000人以上-105</t>
  </si>
  <si>
    <t>正規雇用-E-18-1,000人以上-(空白)</t>
  </si>
  <si>
    <t>正規雇用-E-19-1,000人以上-101</t>
  </si>
  <si>
    <t>正規雇用-E-19-1,000人以上-102</t>
  </si>
  <si>
    <t>正規雇用-E-19-1,000人以上-103</t>
  </si>
  <si>
    <t>正規雇用-E-19-1,000人以上-104</t>
  </si>
  <si>
    <t>正規雇用-E-19-1,000人以上-105</t>
  </si>
  <si>
    <t>正規雇用-E-19-1,000人以上-(空白)</t>
  </si>
  <si>
    <t>正規雇用-E-20-1,000人以上-102</t>
  </si>
  <si>
    <t>正規雇用-E-20-1,000人以上-103</t>
  </si>
  <si>
    <t>正規雇用-E-20-1,000人以上-(空白)</t>
  </si>
  <si>
    <t>正規雇用-E-21-1,000人以上-101</t>
  </si>
  <si>
    <t>正規雇用-E-21-1,000人以上-102</t>
  </si>
  <si>
    <t>正規雇用-E-21-1,000人以上-103</t>
  </si>
  <si>
    <t>正規雇用-E-21-1,000人以上-104</t>
  </si>
  <si>
    <t>正規雇用-E-21-1,000人以上-105</t>
  </si>
  <si>
    <t>正規雇用-E-21-1,000人以上-(空白)</t>
  </si>
  <si>
    <t>正規雇用-E-22-1,000人以上-101</t>
  </si>
  <si>
    <t>正規雇用-E-22-1,000人以上-102</t>
  </si>
  <si>
    <t>正規雇用-E-22-1,000人以上-103</t>
  </si>
  <si>
    <t>正規雇用-E-22-1,000人以上-104</t>
  </si>
  <si>
    <t>正規雇用-E-22-1,000人以上-105</t>
  </si>
  <si>
    <t>正規雇用-E-22-1,000人以上-(空白)</t>
  </si>
  <si>
    <t>正規雇用-E-23-1,000人以上-101</t>
  </si>
  <si>
    <t>正規雇用-E-23-1,000人以上-102</t>
  </si>
  <si>
    <t>正規雇用-E-23-1,000人以上-103</t>
  </si>
  <si>
    <t>正規雇用-E-23-1,000人以上-104</t>
  </si>
  <si>
    <t>正規雇用-E-23-1,000人以上-105</t>
  </si>
  <si>
    <t>正規雇用-E-23-1,000人以上-(空白)</t>
  </si>
  <si>
    <t>正規雇用-E-24-1,000人以上-101</t>
  </si>
  <si>
    <t>正規雇用-E-24-1,000人以上-102</t>
  </si>
  <si>
    <t>正規雇用-E-24-1,000人以上-103</t>
  </si>
  <si>
    <t>正規雇用-E-24-1,000人以上-104</t>
  </si>
  <si>
    <t>正規雇用-E-24-1,000人以上-105</t>
  </si>
  <si>
    <t>正規雇用-E-24-1,000人以上-(空白)</t>
  </si>
  <si>
    <t>正規雇用-E-25-1,000人以上-101</t>
  </si>
  <si>
    <t>正規雇用-E-25-1,000人以上-102</t>
  </si>
  <si>
    <t>正規雇用-E-25-1,000人以上-103</t>
  </si>
  <si>
    <t>正規雇用-E-25-1,000人以上-104</t>
  </si>
  <si>
    <t>正規雇用-E-25-1,000人以上-105</t>
  </si>
  <si>
    <t>正規雇用-E-25-1,000人以上-(空白)</t>
  </si>
  <si>
    <t>正規雇用-E-26-1,000人以上-101</t>
  </si>
  <si>
    <t>正規雇用-E-26-1,000人以上-102</t>
  </si>
  <si>
    <t>正規雇用-E-26-1,000人以上-103</t>
  </si>
  <si>
    <t>正規雇用-E-26-1,000人以上-104</t>
  </si>
  <si>
    <t>正規雇用-E-26-1,000人以上-105</t>
  </si>
  <si>
    <t>正規雇用-E-26-1,000人以上-(空白)</t>
  </si>
  <si>
    <t>正規雇用-E-27-1,000人以上-101</t>
  </si>
  <si>
    <t>正規雇用-E-27-1,000人以上-102</t>
  </si>
  <si>
    <t>正規雇用-E-27-1,000人以上-103</t>
  </si>
  <si>
    <t>正規雇用-E-27-1,000人以上-104</t>
  </si>
  <si>
    <t>正規雇用-E-27-1,000人以上-105</t>
  </si>
  <si>
    <t>正規雇用-E-27-1,000人以上-(空白)</t>
  </si>
  <si>
    <t>正規雇用-E-28-1,000人以上-101</t>
  </si>
  <si>
    <t>正規雇用-E-28-1,000人以上-102</t>
  </si>
  <si>
    <t>正規雇用-E-28-1,000人以上-103</t>
  </si>
  <si>
    <t>正規雇用-E-28-1,000人以上-104</t>
  </si>
  <si>
    <t>正規雇用-E-28-1,000人以上-105</t>
  </si>
  <si>
    <t>正規雇用-E-28-1,000人以上-(空白)</t>
  </si>
  <si>
    <t>正規雇用-E-29-1,000人以上-101</t>
  </si>
  <si>
    <t>正規雇用-E-29-1,000人以上-102</t>
  </si>
  <si>
    <t>正規雇用-E-29-1,000人以上-103</t>
  </si>
  <si>
    <t>正規雇用-E-29-1,000人以上-104</t>
  </si>
  <si>
    <t>正規雇用-E-29-1,000人以上-105</t>
  </si>
  <si>
    <t>正規雇用-E-29-1,000人以上-(空白)</t>
  </si>
  <si>
    <t>正規雇用-E-30-1,000人以上-101</t>
  </si>
  <si>
    <t>正規雇用-E-30-1,000人以上-102</t>
  </si>
  <si>
    <t>正規雇用-E-30-1,000人以上-103</t>
  </si>
  <si>
    <t>正規雇用-E-30-1,000人以上-104</t>
  </si>
  <si>
    <t>正規雇用-E-30-1,000人以上-105</t>
  </si>
  <si>
    <t>正規雇用-E-30-1,000人以上-(空白)</t>
  </si>
  <si>
    <t>正規雇用-E-31-1,000人以上-101</t>
  </si>
  <si>
    <t>正規雇用-E-31-1,000人以上-102</t>
  </si>
  <si>
    <t>正規雇用-E-31-1,000人以上-103</t>
  </si>
  <si>
    <t>正規雇用-E-31-1,000人以上-104</t>
  </si>
  <si>
    <t>正規雇用-E-31-1,000人以上-105</t>
  </si>
  <si>
    <t>正規雇用-E-31-1,000人以上-(空白)</t>
  </si>
  <si>
    <t>正規雇用-E-32-1,000人以上-101</t>
  </si>
  <si>
    <t>正規雇用-E-32-1,000人以上-102</t>
  </si>
  <si>
    <t>正規雇用-E-32-1,000人以上-103</t>
  </si>
  <si>
    <t>正規雇用-E-32-1,000人以上-104</t>
  </si>
  <si>
    <t>正規雇用-E-32-1,000人以上-105</t>
  </si>
  <si>
    <t>正規雇用-E-32-1,000人以上-(空白)</t>
  </si>
  <si>
    <t>正規雇用-C--1,000人以上-101</t>
  </si>
  <si>
    <t>正規雇用-C--1,000人以上-102</t>
  </si>
  <si>
    <t>正規雇用-C--1,000人以上-103</t>
  </si>
  <si>
    <t>正規雇用-C--1,000人以上-104</t>
  </si>
  <si>
    <t>正規雇用-C--1,000人以上-105</t>
  </si>
  <si>
    <t>正規雇用-C--1,000人以上-(空白)</t>
  </si>
  <si>
    <t>正規雇用-D--1,000人以上-101</t>
  </si>
  <si>
    <t>正規雇用-D--1,000人以上-102</t>
  </si>
  <si>
    <t>正規雇用-D--1,000人以上-103</t>
  </si>
  <si>
    <t>正規雇用-D--1,000人以上-104</t>
  </si>
  <si>
    <t>正規雇用-D--1,000人以上-105</t>
  </si>
  <si>
    <t>正規雇用-D--1,000人以上-(空白)</t>
  </si>
  <si>
    <t>正規雇用-E--1,000人以上-101</t>
  </si>
  <si>
    <t>正規雇用-E--1,000人以上-102</t>
  </si>
  <si>
    <t>正規雇用-E--1,000人以上-103</t>
  </si>
  <si>
    <t>正規雇用-E--1,000人以上-104</t>
  </si>
  <si>
    <t>正規雇用-E--1,000人以上-105</t>
  </si>
  <si>
    <t>正規雇用-E--1,000人以上-(空白)</t>
  </si>
  <si>
    <t>正規雇用-F--1,000人以上-101</t>
  </si>
  <si>
    <t>正規雇用-F--1,000人以上-102</t>
  </si>
  <si>
    <t>正規雇用-F--1,000人以上-103</t>
  </si>
  <si>
    <t>正規雇用-F--1,000人以上-105</t>
  </si>
  <si>
    <t>正規雇用-F--1,000人以上-(空白)</t>
  </si>
  <si>
    <t>正規雇用-G--1,000人以上-101</t>
  </si>
  <si>
    <t>正規雇用-G--1,000人以上-102</t>
  </si>
  <si>
    <t>正規雇用-G--1,000人以上-103</t>
  </si>
  <si>
    <t>正規雇用-G--1,000人以上-105</t>
  </si>
  <si>
    <t>正規雇用-G--1,000人以上-(空白)</t>
  </si>
  <si>
    <t>正規雇用-H--1,000人以上-101</t>
  </si>
  <si>
    <t>正規雇用-H--1,000人以上-102</t>
  </si>
  <si>
    <t>正規雇用-H--1,000人以上-103</t>
  </si>
  <si>
    <t>正規雇用-H--1,000人以上-105</t>
  </si>
  <si>
    <t>正規雇用-H--1,000人以上-(空白)</t>
  </si>
  <si>
    <t>正規雇用-I--1,000人以上-101</t>
  </si>
  <si>
    <t>正規雇用-I--1,000人以上-102</t>
  </si>
  <si>
    <t>正規雇用-I--1,000人以上-103</t>
  </si>
  <si>
    <t>正規雇用-I--1,000人以上-105</t>
  </si>
  <si>
    <t>正規雇用-I--1,000人以上-(空白)</t>
  </si>
  <si>
    <t>正規雇用-J--1,000人以上-101</t>
  </si>
  <si>
    <t>正規雇用-J--1,000人以上-102</t>
  </si>
  <si>
    <t>正規雇用-J--1,000人以上-103</t>
  </si>
  <si>
    <t>正規雇用-J--1,000人以上-105</t>
  </si>
  <si>
    <t>正規雇用-J--1,000人以上-(空白)</t>
  </si>
  <si>
    <t>正規雇用-K--1,000人以上-101</t>
  </si>
  <si>
    <t>正規雇用-K--1,000人以上-102</t>
  </si>
  <si>
    <t>正規雇用-K--1,000人以上-103</t>
  </si>
  <si>
    <t>正規雇用-K--1,000人以上-105</t>
  </si>
  <si>
    <t>正規雇用-K--1,000人以上-(空白)</t>
  </si>
  <si>
    <t>正規雇用-L--1,000人以上-101</t>
  </si>
  <si>
    <t>正規雇用-L--1,000人以上-102</t>
  </si>
  <si>
    <t>正規雇用-L--1,000人以上-103</t>
  </si>
  <si>
    <t>正規雇用-L--1,000人以上-105</t>
  </si>
  <si>
    <t>正規雇用-L--1,000人以上-(空白)</t>
  </si>
  <si>
    <t>正規雇用-M--1,000人以上-101</t>
  </si>
  <si>
    <t>正規雇用-M--1,000人以上-102</t>
  </si>
  <si>
    <t>正規雇用-M--1,000人以上-103</t>
  </si>
  <si>
    <t>正規雇用-M--1,000人以上-105</t>
  </si>
  <si>
    <t>正規雇用-M--1,000人以上-(空白)</t>
  </si>
  <si>
    <t>正規雇用-N--1,000人以上-101</t>
  </si>
  <si>
    <t>正規雇用-N--1,000人以上-102</t>
  </si>
  <si>
    <t>正規雇用-N--1,000人以上-103</t>
  </si>
  <si>
    <t>正規雇用-N--1,000人以上-105</t>
  </si>
  <si>
    <t>正規雇用-N--1,000人以上-(空白)</t>
  </si>
  <si>
    <t>正規雇用-O--1,000人以上-101</t>
  </si>
  <si>
    <t>正規雇用-O--1,000人以上-102</t>
  </si>
  <si>
    <t>正規雇用-O--1,000人以上-103</t>
  </si>
  <si>
    <t>正規雇用-O--1,000人以上-105</t>
  </si>
  <si>
    <t>正規雇用-O--1,000人以上-(空白)</t>
  </si>
  <si>
    <t>正規雇用-P--1,000人以上-101</t>
  </si>
  <si>
    <t>正規雇用-P--1,000人以上-102</t>
  </si>
  <si>
    <t>正規雇用-P--1,000人以上-103</t>
  </si>
  <si>
    <t>正規雇用-P--1,000人以上-105</t>
  </si>
  <si>
    <t>正規雇用-P--1,000人以上-(空白)</t>
  </si>
  <si>
    <t>正規雇用-Q--1,000人以上-101</t>
  </si>
  <si>
    <t>正規雇用-Q--1,000人以上-102</t>
  </si>
  <si>
    <t>正規雇用-Q--1,000人以上-103</t>
  </si>
  <si>
    <t>正規雇用-Q--1,000人以上-105</t>
  </si>
  <si>
    <t>正規雇用-Q--1,000人以上-(空白)</t>
  </si>
  <si>
    <t>正規雇用-R--1,000人以上-101</t>
  </si>
  <si>
    <t>正規雇用-R--1,000人以上-102</t>
  </si>
  <si>
    <t>正規雇用-R--1,000人以上-103</t>
  </si>
  <si>
    <t>正規雇用-R--1,000人以上-105</t>
  </si>
  <si>
    <t>正規雇用-R--1,000人以上-(空白)</t>
  </si>
  <si>
    <t>正規雇用-E-9--101</t>
  </si>
  <si>
    <t>正規雇用-E-9--102</t>
  </si>
  <si>
    <t>正規雇用-E-9--103</t>
  </si>
  <si>
    <t>正規雇用-E-9--104</t>
  </si>
  <si>
    <t>正規雇用-E-9--105</t>
  </si>
  <si>
    <t>正規雇用-E-9--(空白)</t>
  </si>
  <si>
    <t>正規雇用-E-10--101</t>
  </si>
  <si>
    <t>正規雇用-E-10--102</t>
  </si>
  <si>
    <t>正規雇用-E-10--103</t>
  </si>
  <si>
    <t>正規雇用-E-10--104</t>
  </si>
  <si>
    <t>正規雇用-E-10--105</t>
  </si>
  <si>
    <t>正規雇用-E-10--(空白)</t>
  </si>
  <si>
    <t>正規雇用-E-11--101</t>
  </si>
  <si>
    <t>正規雇用-E-11--102</t>
  </si>
  <si>
    <t>正規雇用-E-11--103</t>
  </si>
  <si>
    <t>正規雇用-E-11--104</t>
  </si>
  <si>
    <t>正規雇用-E-11--105</t>
  </si>
  <si>
    <t>正規雇用-E-11--(空白)</t>
  </si>
  <si>
    <t>正規雇用-E-12--101</t>
  </si>
  <si>
    <t>正規雇用-E-12--102</t>
  </si>
  <si>
    <t>正規雇用-E-12--103</t>
  </si>
  <si>
    <t>正規雇用-E-12--104</t>
  </si>
  <si>
    <t>正規雇用-E-12--105</t>
  </si>
  <si>
    <t>正規雇用-E-12--(空白)</t>
  </si>
  <si>
    <t>正規雇用-E-13--101</t>
  </si>
  <si>
    <t>正規雇用-E-13--102</t>
  </si>
  <si>
    <t>正規雇用-E-13--103</t>
  </si>
  <si>
    <t>正規雇用-E-13--104</t>
  </si>
  <si>
    <t>正規雇用-E-13--105</t>
  </si>
  <si>
    <t>正規雇用-E-13--(空白)</t>
  </si>
  <si>
    <t>正規雇用-E-14--101</t>
  </si>
  <si>
    <t>正規雇用-E-14--102</t>
  </si>
  <si>
    <t>正規雇用-E-14--103</t>
  </si>
  <si>
    <t>正規雇用-E-14--104</t>
  </si>
  <si>
    <t>正規雇用-E-14--105</t>
  </si>
  <si>
    <t>正規雇用-E-14--(空白)</t>
  </si>
  <si>
    <t>正規雇用-E-15--101</t>
  </si>
  <si>
    <t>正規雇用-E-15--102</t>
  </si>
  <si>
    <t>正規雇用-E-15--103</t>
  </si>
  <si>
    <t>正規雇用-E-15--104</t>
  </si>
  <si>
    <t>正規雇用-E-15--105</t>
  </si>
  <si>
    <t>正規雇用-E-15--(空白)</t>
  </si>
  <si>
    <t>正規雇用-E-16--101</t>
  </si>
  <si>
    <t>正規雇用-E-16--102</t>
  </si>
  <si>
    <t>正規雇用-E-16--103</t>
  </si>
  <si>
    <t>正規雇用-E-16--104</t>
  </si>
  <si>
    <t>正規雇用-E-16--105</t>
  </si>
  <si>
    <t>正規雇用-E-16--(空白)</t>
  </si>
  <si>
    <t>正規雇用-E-17--101</t>
  </si>
  <si>
    <t>正規雇用-E-17--102</t>
  </si>
  <si>
    <t>正規雇用-E-17--103</t>
  </si>
  <si>
    <t>正規雇用-E-17--104</t>
  </si>
  <si>
    <t>正規雇用-E-17--105</t>
  </si>
  <si>
    <t>正規雇用-E-17--(空白)</t>
  </si>
  <si>
    <t>正規雇用-E-18--101</t>
  </si>
  <si>
    <t>正規雇用-E-18--102</t>
  </si>
  <si>
    <t>正規雇用-E-18--103</t>
  </si>
  <si>
    <t>正規雇用-E-18--104</t>
  </si>
  <si>
    <t>正規雇用-E-18--105</t>
  </si>
  <si>
    <t>正規雇用-E-18--(空白)</t>
  </si>
  <si>
    <t>正規雇用-E-19--101</t>
  </si>
  <si>
    <t>正規雇用-E-19--102</t>
  </si>
  <si>
    <t>正規雇用-E-19--103</t>
  </si>
  <si>
    <t>正規雇用-E-19--104</t>
  </si>
  <si>
    <t>正規雇用-E-19--105</t>
  </si>
  <si>
    <t>正規雇用-E-19--(空白)</t>
  </si>
  <si>
    <t>正規雇用-E-20--101</t>
  </si>
  <si>
    <t>正規雇用-E-20--102</t>
  </si>
  <si>
    <t>正規雇用-E-20--103</t>
  </si>
  <si>
    <t>正規雇用-E-20--104</t>
  </si>
  <si>
    <t>正規雇用-E-20--105</t>
  </si>
  <si>
    <t>正規雇用-E-20--(空白)</t>
  </si>
  <si>
    <t>正規雇用-E-21--101</t>
  </si>
  <si>
    <t>正規雇用-E-21--102</t>
  </si>
  <si>
    <t>正規雇用-E-21--103</t>
  </si>
  <si>
    <t>正規雇用-E-21--104</t>
  </si>
  <si>
    <t>正規雇用-E-21--105</t>
  </si>
  <si>
    <t>正規雇用-E-21--(空白)</t>
  </si>
  <si>
    <t>正規雇用-E-22--101</t>
  </si>
  <si>
    <t>正規雇用-E-22--102</t>
  </si>
  <si>
    <t>正規雇用-E-22--103</t>
  </si>
  <si>
    <t>正規雇用-E-22--104</t>
  </si>
  <si>
    <t>正規雇用-E-22--105</t>
  </si>
  <si>
    <t>正規雇用-E-22--(空白)</t>
  </si>
  <si>
    <t>正規雇用-E-23--101</t>
  </si>
  <si>
    <t>正規雇用-E-23--102</t>
  </si>
  <si>
    <t>正規雇用-E-23--103</t>
  </si>
  <si>
    <t>正規雇用-E-23--104</t>
  </si>
  <si>
    <t>正規雇用-E-23--105</t>
  </si>
  <si>
    <t>正規雇用-E-23--(空白)</t>
  </si>
  <si>
    <t>正規雇用-E-24--101</t>
  </si>
  <si>
    <t>正規雇用-E-24--102</t>
  </si>
  <si>
    <t>正規雇用-E-24--103</t>
  </si>
  <si>
    <t>正規雇用-E-24--104</t>
  </si>
  <si>
    <t>正規雇用-E-24--105</t>
  </si>
  <si>
    <t>正規雇用-E-24--(空白)</t>
  </si>
  <si>
    <t>正規雇用-E-25--101</t>
  </si>
  <si>
    <t>正規雇用-E-25--102</t>
  </si>
  <si>
    <t>正規雇用-E-25--103</t>
  </si>
  <si>
    <t>正規雇用-E-25--104</t>
  </si>
  <si>
    <t>正規雇用-E-25--105</t>
  </si>
  <si>
    <t>正規雇用-E-25--(空白)</t>
  </si>
  <si>
    <t>正規雇用-E-26--101</t>
  </si>
  <si>
    <t>正規雇用-E-26--102</t>
  </si>
  <si>
    <t>正規雇用-E-26--103</t>
  </si>
  <si>
    <t>正規雇用-E-26--104</t>
  </si>
  <si>
    <t>正規雇用-E-26--105</t>
  </si>
  <si>
    <t>正規雇用-E-26--(空白)</t>
  </si>
  <si>
    <t>正規雇用-E-27--101</t>
  </si>
  <si>
    <t>正規雇用-E-27--102</t>
  </si>
  <si>
    <t>正規雇用-E-27--103</t>
  </si>
  <si>
    <t>正規雇用-E-27--104</t>
  </si>
  <si>
    <t>正規雇用-E-27--105</t>
  </si>
  <si>
    <t>正規雇用-E-27--(空白)</t>
  </si>
  <si>
    <t>正規雇用-E-28--101</t>
  </si>
  <si>
    <t>正規雇用-E-28--102</t>
  </si>
  <si>
    <t>正規雇用-E-28--103</t>
  </si>
  <si>
    <t>正規雇用-E-28--104</t>
  </si>
  <si>
    <t>正規雇用-E-28--105</t>
  </si>
  <si>
    <t>正規雇用-E-28--(空白)</t>
  </si>
  <si>
    <t>正規雇用-E-29--101</t>
  </si>
  <si>
    <t>正規雇用-E-29--102</t>
  </si>
  <si>
    <t>正規雇用-E-29--103</t>
  </si>
  <si>
    <t>正規雇用-E-29--104</t>
  </si>
  <si>
    <t>正規雇用-E-29--105</t>
  </si>
  <si>
    <t>正規雇用-E-29--(空白)</t>
  </si>
  <si>
    <t>正規雇用-E-30--101</t>
  </si>
  <si>
    <t>正規雇用-E-30--102</t>
  </si>
  <si>
    <t>正規雇用-E-30--103</t>
  </si>
  <si>
    <t>正規雇用-E-30--104</t>
  </si>
  <si>
    <t>正規雇用-E-30--105</t>
  </si>
  <si>
    <t>正規雇用-E-30--(空白)</t>
  </si>
  <si>
    <t>正規雇用-E-31--101</t>
  </si>
  <si>
    <t>正規雇用-E-31--102</t>
  </si>
  <si>
    <t>正規雇用-E-31--103</t>
  </si>
  <si>
    <t>正規雇用-E-31--104</t>
  </si>
  <si>
    <t>正規雇用-E-31--105</t>
  </si>
  <si>
    <t>正規雇用-E-31--(空白)</t>
  </si>
  <si>
    <t>正規雇用-E-32--101</t>
  </si>
  <si>
    <t>正規雇用-E-32--102</t>
  </si>
  <si>
    <t>正規雇用-E-32--103</t>
  </si>
  <si>
    <t>正規雇用-E-32--104</t>
  </si>
  <si>
    <t>正規雇用-E-32--105</t>
  </si>
  <si>
    <t>正規雇用-E-32--(空白)</t>
  </si>
  <si>
    <t>正規雇用-C---101</t>
  </si>
  <si>
    <t>正規雇用-C---102</t>
  </si>
  <si>
    <t>正規雇用-C---103</t>
  </si>
  <si>
    <t>正規雇用-C---104</t>
  </si>
  <si>
    <t>正規雇用-C---105</t>
  </si>
  <si>
    <t>正規雇用-C---(空白)</t>
  </si>
  <si>
    <t>正規雇用-D---101</t>
  </si>
  <si>
    <t>正規雇用-D---102</t>
  </si>
  <si>
    <t>正規雇用-D---103</t>
  </si>
  <si>
    <t>正規雇用-D---104</t>
  </si>
  <si>
    <t>正規雇用-D---105</t>
  </si>
  <si>
    <t>正規雇用-D---(空白)</t>
  </si>
  <si>
    <t>正規雇用-E---101</t>
  </si>
  <si>
    <t>正規雇用-E---102</t>
  </si>
  <si>
    <t>正規雇用-E---103</t>
  </si>
  <si>
    <t>正規雇用-E---104</t>
  </si>
  <si>
    <t>正規雇用-E---105</t>
  </si>
  <si>
    <t>正規雇用-E---(空白)</t>
  </si>
  <si>
    <t>正規雇用-F---101</t>
  </si>
  <si>
    <t>正規雇用-F---102</t>
  </si>
  <si>
    <t>正規雇用-F---103</t>
  </si>
  <si>
    <t>正規雇用-F---105</t>
  </si>
  <si>
    <t>正規雇用-F---(空白)</t>
  </si>
  <si>
    <t>正規雇用-G---101</t>
  </si>
  <si>
    <t>正規雇用-G---102</t>
  </si>
  <si>
    <t>正規雇用-G---103</t>
  </si>
  <si>
    <t>正規雇用-G---105</t>
  </si>
  <si>
    <t>正規雇用-G---(空白)</t>
  </si>
  <si>
    <t>正規雇用-H---101</t>
  </si>
  <si>
    <t>正規雇用-H---102</t>
  </si>
  <si>
    <t>正規雇用-H---103</t>
  </si>
  <si>
    <t>正規雇用-H---105</t>
  </si>
  <si>
    <t>正規雇用-H---(空白)</t>
  </si>
  <si>
    <t>正規雇用-I---101</t>
  </si>
  <si>
    <t>正規雇用-I---102</t>
  </si>
  <si>
    <t>正規雇用-I---103</t>
  </si>
  <si>
    <t>正規雇用-I---105</t>
  </si>
  <si>
    <t>正規雇用-I---(空白)</t>
  </si>
  <si>
    <t>正規雇用-J---101</t>
  </si>
  <si>
    <t>正規雇用-J---102</t>
  </si>
  <si>
    <t>正規雇用-J---103</t>
  </si>
  <si>
    <t>正規雇用-J---105</t>
  </si>
  <si>
    <t>正規雇用-J---(空白)</t>
  </si>
  <si>
    <t>正規雇用-K---101</t>
  </si>
  <si>
    <t>正規雇用-K---102</t>
  </si>
  <si>
    <t>正規雇用-K---103</t>
  </si>
  <si>
    <t>正規雇用-K---105</t>
  </si>
  <si>
    <t>正規雇用-K---(空白)</t>
  </si>
  <si>
    <t>正規雇用-L---101</t>
  </si>
  <si>
    <t>正規雇用-L---102</t>
  </si>
  <si>
    <t>正規雇用-L---103</t>
  </si>
  <si>
    <t>正規雇用-L---105</t>
  </si>
  <si>
    <t>正規雇用-L---(空白)</t>
  </si>
  <si>
    <t>正規雇用-M---101</t>
  </si>
  <si>
    <t>正規雇用-M---102</t>
  </si>
  <si>
    <t>正規雇用-M---103</t>
  </si>
  <si>
    <t>正規雇用-M---105</t>
  </si>
  <si>
    <t>正規雇用-M---(空白)</t>
  </si>
  <si>
    <t>正規雇用-N---101</t>
  </si>
  <si>
    <t>正規雇用-N---102</t>
  </si>
  <si>
    <t>正規雇用-N---103</t>
  </si>
  <si>
    <t>正規雇用-N---105</t>
  </si>
  <si>
    <t>正規雇用-N---(空白)</t>
  </si>
  <si>
    <t>正規雇用-O---101</t>
  </si>
  <si>
    <t>正規雇用-O---102</t>
  </si>
  <si>
    <t>正規雇用-O---103</t>
  </si>
  <si>
    <t>正規雇用-O---105</t>
  </si>
  <si>
    <t>正規雇用-O---(空白)</t>
  </si>
  <si>
    <t>正規雇用-P---101</t>
  </si>
  <si>
    <t>正規雇用-P---102</t>
  </si>
  <si>
    <t>正規雇用-P---103</t>
  </si>
  <si>
    <t>正規雇用-P---105</t>
  </si>
  <si>
    <t>正規雇用-P---(空白)</t>
  </si>
  <si>
    <t>正規雇用-Q---101</t>
  </si>
  <si>
    <t>正規雇用-Q---102</t>
  </si>
  <si>
    <t>正規雇用-Q---103</t>
  </si>
  <si>
    <t>正規雇用-Q---105</t>
  </si>
  <si>
    <t>正規雇用-Q---(空白)</t>
  </si>
  <si>
    <t>正規雇用-R---101</t>
  </si>
  <si>
    <t>正規雇用-R---102</t>
  </si>
  <si>
    <t>正規雇用-R---103</t>
  </si>
  <si>
    <t>正規雇用-R---105</t>
  </si>
  <si>
    <t>正規雇用-R---(空白)</t>
  </si>
  <si>
    <t>正規雇用---1,000人以上-101</t>
  </si>
  <si>
    <t>正規雇用---1,000人以上-102</t>
  </si>
  <si>
    <t>正規雇用---1,000人以上-103</t>
  </si>
  <si>
    <t>正規雇用---1,000人以上-104</t>
  </si>
  <si>
    <t>正規雇用---1,000人以上-105</t>
  </si>
  <si>
    <t>正規雇用---1,000人以上-(空白)</t>
  </si>
  <si>
    <t>正規雇用----101</t>
  </si>
  <si>
    <t>正規雇用----102</t>
  </si>
  <si>
    <t>正規雇用----103</t>
  </si>
  <si>
    <t>正規雇用----104</t>
  </si>
  <si>
    <t>正規雇用----105</t>
  </si>
  <si>
    <t>正規雇用----(空白)</t>
  </si>
  <si>
    <t>(1)で「使用用途」を選択してください。</t>
    <phoneticPr fontId="3"/>
  </si>
  <si>
    <t>平均勤続年数</t>
    <rPh sb="2" eb="4">
      <t xml:space="preserve">キンゾク </t>
    </rPh>
    <phoneticPr fontId="3"/>
  </si>
  <si>
    <t>記載例→ 56.0%</t>
    <rPh sb="0" eb="1">
      <t xml:space="preserve">ラン </t>
    </rPh>
    <phoneticPr fontId="3"/>
  </si>
  <si>
    <t>(記載例)202501</t>
    <rPh sb="1" eb="4">
      <t xml:space="preserve">キサイレイ </t>
    </rPh>
    <phoneticPr fontId="3"/>
  </si>
  <si>
    <t>残業時間</t>
    <rPh sb="0" eb="2">
      <t xml:space="preserve">ザンギョウ </t>
    </rPh>
    <rPh sb="2" eb="4">
      <t>チョウカジセンタ</t>
    </rPh>
    <phoneticPr fontId="3"/>
  </si>
  <si>
    <t>※値を入力すると、自動的に表示が整います。
（男性の労働者数が25人の場合：「25」と入力すると、自動で「人」が表示されます。）</t>
    <rPh sb="1" eb="2">
      <t>アタイ</t>
    </rPh>
    <rPh sb="3" eb="5">
      <t xml:space="preserve">サイヨウシャスウ </t>
    </rPh>
    <rPh sb="10" eb="12">
      <t xml:space="preserve">コンナン </t>
    </rPh>
    <rPh sb="16" eb="20">
      <t xml:space="preserve">ゲンザイザイセキスル </t>
    </rPh>
    <rPh sb="23" eb="25">
      <t>ダンセイ</t>
    </rPh>
    <rPh sb="26" eb="27">
      <t xml:space="preserve">スウ </t>
    </rPh>
    <rPh sb="28" eb="30">
      <t xml:space="preserve">ニュウリョクシテクダサイ </t>
    </rPh>
    <rPh sb="45" eb="49">
      <t xml:space="preserve">ロウドウシャスウ </t>
    </rPh>
    <rPh sb="51" eb="53">
      <t xml:space="preserve">センタクシテクダサイ </t>
    </rPh>
    <phoneticPr fontId="3"/>
  </si>
  <si>
    <t>ツール基準日エラー無</t>
    <rPh sb="3" eb="6">
      <t xml:space="preserve">キジュンビ </t>
    </rPh>
    <rPh sb="9" eb="10">
      <t xml:space="preserve">ム </t>
    </rPh>
    <phoneticPr fontId="3"/>
  </si>
  <si>
    <t>空白有</t>
    <rPh sb="0" eb="2">
      <t xml:space="preserve">クウハク </t>
    </rPh>
    <phoneticPr fontId="3"/>
  </si>
  <si>
    <t>(2)で確認する参考値（産業分類と企業規模）を選択してください。</t>
    <rPh sb="3" eb="5">
      <t xml:space="preserve">カクニン </t>
    </rPh>
    <rPh sb="8" eb="10">
      <t xml:space="preserve">サンコウチ </t>
    </rPh>
    <rPh sb="16" eb="22">
      <t xml:space="preserve">キギョウキボヲ </t>
    </rPh>
    <rPh sb="23" eb="25">
      <t xml:space="preserve">センタクシテクダシア </t>
    </rPh>
    <phoneticPr fontId="3"/>
  </si>
  <si>
    <t>(4)に未入力（空白）の項目があります。</t>
    <phoneticPr fontId="3"/>
  </si>
  <si>
    <t>(3)「基準日」に特定の日付（YYYY/MM/DD）を入力してください。</t>
    <rPh sb="4" eb="7">
      <t>キゼィウ</t>
    </rPh>
    <rPh sb="10" eb="12">
      <t>ニュウリョクセィ</t>
    </rPh>
    <phoneticPr fontId="3"/>
  </si>
  <si>
    <t>(2)で比較する参考値（産業分類と企業規模）を選択してください。
(3)「基準日」に特定の日付（YYYY/MM/DD）を入力してください。</t>
    <phoneticPr fontId="3"/>
  </si>
  <si>
    <t>(2)で比較する参考値（産業分類と企業規模）を選択してください。
(4)に未入力（空白）の項目があります。</t>
    <phoneticPr fontId="3"/>
  </si>
  <si>
    <t>全て選択・入力済みです。</t>
    <rPh sb="6" eb="7">
      <t>センタク</t>
    </rPh>
    <phoneticPr fontId="3"/>
  </si>
  <si>
    <t xml:space="preserve">(2)で比較する参考値（産業分類と企業規模）を選択してください。
(3)で貴社の『男女間賃金差異』の入力方法を選択してください。
</t>
    <phoneticPr fontId="3"/>
  </si>
  <si>
    <t>ツール基準日エラー有</t>
    <rPh sb="3" eb="5">
      <t xml:space="preserve">キジュン </t>
    </rPh>
    <rPh sb="5" eb="6">
      <t xml:space="preserve">ビ </t>
    </rPh>
    <rPh sb="9" eb="10">
      <t xml:space="preserve">アリ </t>
    </rPh>
    <phoneticPr fontId="3"/>
  </si>
  <si>
    <t>(2)で比較する参考値（産業分類と企業規模）を選択してください。
その他は全て選択・入力済みです。</t>
    <phoneticPr fontId="3"/>
  </si>
  <si>
    <t>ツール基準日エラー無</t>
    <rPh sb="6" eb="7">
      <t xml:space="preserve">ム </t>
    </rPh>
    <phoneticPr fontId="3"/>
  </si>
  <si>
    <t>ツール基準日エラー無</t>
    <phoneticPr fontId="3"/>
  </si>
  <si>
    <t>男女間賃金差異が生じる要因</t>
    <rPh sb="0" eb="11">
      <t xml:space="preserve">ヨウ </t>
    </rPh>
    <phoneticPr fontId="3"/>
  </si>
  <si>
    <t>男女間賃金差異</t>
    <rPh sb="0" eb="7">
      <t xml:space="preserve">ヨウ </t>
    </rPh>
    <phoneticPr fontId="3"/>
  </si>
  <si>
    <t>正規雇用----</t>
  </si>
  <si>
    <t>---</t>
    <phoneticPr fontId="3"/>
  </si>
  <si>
    <t>（貴社の状況）</t>
    <rPh sb="1" eb="3">
      <t xml:space="preserve">キシャノ </t>
    </rPh>
    <rPh sb="4" eb="6">
      <t xml:space="preserve">ジョウキョウ </t>
    </rPh>
    <phoneticPr fontId="3"/>
  </si>
  <si>
    <t>←入力不要です。</t>
    <phoneticPr fontId="3"/>
  </si>
  <si>
    <t xml:space="preserve"> ←特定の日付(例:2025/3/31)を入力してください。</t>
    <phoneticPr fontId="3"/>
  </si>
  <si>
    <t>男女間賃金差異等の各数値の入力方法（本ツールを利用して計算する又は自社で計算したデータを手入力する）を選択ください。</t>
    <rPh sb="13" eb="17">
      <t>ニュウリョク</t>
    </rPh>
    <rPh sb="20" eb="22">
      <t>センタク</t>
    </rPh>
    <rPh sb="29" eb="34">
      <t>テニュウリョク</t>
    </rPh>
    <rPh sb="36" eb="37">
      <t>マタハ</t>
    </rPh>
    <rPh sb="38" eb="39">
      <t>ホn</t>
    </rPh>
    <phoneticPr fontId="3"/>
  </si>
  <si>
    <t>貴社の
女性割合</t>
    <rPh sb="0" eb="2">
      <t>キセィア</t>
    </rPh>
    <rPh sb="3" eb="5">
      <t>ジョセイ</t>
    </rPh>
    <rPh sb="5" eb="7">
      <t>ワリアイ</t>
    </rPh>
    <phoneticPr fontId="3"/>
  </si>
  <si>
    <t>参考値の
女性割合</t>
    <rPh sb="0" eb="3">
      <t>サンコウ</t>
    </rPh>
    <rPh sb="3" eb="4">
      <t>ジョセイ</t>
    </rPh>
    <rPh sb="4" eb="6">
      <t>ワリアイ</t>
    </rPh>
    <phoneticPr fontId="3"/>
  </si>
  <si>
    <t>（％）</t>
    <rPh sb="0" eb="2">
      <t xml:space="preserve">ジョセイ </t>
    </rPh>
    <phoneticPr fontId="3"/>
  </si>
  <si>
    <t>従業員番号</t>
    <phoneticPr fontId="4"/>
  </si>
  <si>
    <t>従業員番号</t>
    <phoneticPr fontId="3"/>
  </si>
  <si>
    <t>残業手当額</t>
    <rPh sb="0" eb="2">
      <t xml:space="preserve">ザンギョウ </t>
    </rPh>
    <rPh sb="2" eb="4">
      <t xml:space="preserve">テアテ </t>
    </rPh>
    <rPh sb="4" eb="5">
      <t xml:space="preserve">ガク </t>
    </rPh>
    <phoneticPr fontId="3"/>
  </si>
  <si>
    <t>従業員情報（給与以外）</t>
    <rPh sb="0" eb="2">
      <t xml:space="preserve">シャイン </t>
    </rPh>
    <rPh sb="3" eb="5">
      <t xml:space="preserve">ジョウホウ </t>
    </rPh>
    <phoneticPr fontId="3"/>
  </si>
  <si>
    <t>※以下のような場合、男女間賃金差異が大きくなる可能性があります。
　・育児や介護等の理由による短時間勤務者の給与を、勤務時間の短縮時間分だけ減額している場合
　・育児等の制度利用者が女性に偏っている場合</t>
    <phoneticPr fontId="3"/>
  </si>
  <si>
    <t>役職級の説明文</t>
    <rPh sb="0" eb="6">
      <t xml:space="preserve">ヤクショクキュウセツメイ </t>
    </rPh>
    <rPh sb="6" eb="7">
      <t>ブn</t>
    </rPh>
    <phoneticPr fontId="3"/>
  </si>
  <si>
    <t>100000</t>
    <phoneticPr fontId="3"/>
  </si>
  <si>
    <t>390,000</t>
    <phoneticPr fontId="3"/>
  </si>
  <si>
    <t>一月当たりの
平均残業時間</t>
    <phoneticPr fontId="3"/>
  </si>
  <si>
    <t>ツール</t>
    <phoneticPr fontId="3"/>
  </si>
  <si>
    <t>※(3)の入力方法の選択（項目「雇用形態別」〜
　「男女間賃金差異が生じる要因」）は必須です。
　項目ごとで入力方法を選択できますので、状況に応じて選択ください。</t>
    <phoneticPr fontId="3"/>
  </si>
  <si>
    <t>計算不能時</t>
    <rPh sb="0" eb="5">
      <t xml:space="preserve">ケイサンフノウジ </t>
    </rPh>
    <phoneticPr fontId="3"/>
  </si>
  <si>
    <t>計算不能</t>
    <rPh sb="0" eb="4">
      <t xml:space="preserve">ケイサンフノウ </t>
    </rPh>
    <phoneticPr fontId="3"/>
  </si>
  <si>
    <t>従業員番号</t>
    <rPh sb="0" eb="5">
      <t xml:space="preserve">ジュウギョウインバンゴウ </t>
    </rPh>
    <phoneticPr fontId="3"/>
  </si>
  <si>
    <t>パターン</t>
    <phoneticPr fontId="3"/>
  </si>
  <si>
    <t>課題タイプ①</t>
    <rPh sb="0" eb="2">
      <t xml:space="preserve">カダイタイプ </t>
    </rPh>
    <phoneticPr fontId="3"/>
  </si>
  <si>
    <t>課題タイプ③</t>
    <rPh sb="0" eb="2">
      <t xml:space="preserve">カダイタイプ </t>
    </rPh>
    <phoneticPr fontId="3"/>
  </si>
  <si>
    <t>課題タイプ②</t>
    <phoneticPr fontId="3"/>
  </si>
  <si>
    <t>課題タイプ④</t>
    <phoneticPr fontId="3"/>
  </si>
  <si>
    <t>課題タイプ③</t>
    <phoneticPr fontId="3"/>
  </si>
  <si>
    <t>課題タイプ②(非正規雇用)</t>
    <rPh sb="0" eb="2">
      <t xml:space="preserve">カダイタイプ </t>
    </rPh>
    <rPh sb="10" eb="12">
      <t xml:space="preserve">コヨウ </t>
    </rPh>
    <phoneticPr fontId="3"/>
  </si>
  <si>
    <t>課題タイプ③(非正規雇用)</t>
    <phoneticPr fontId="3"/>
  </si>
  <si>
    <t>課題タイプ②(非正規雇用)</t>
    <rPh sb="0" eb="2">
      <t xml:space="preserve">カダイタイプ </t>
    </rPh>
    <phoneticPr fontId="3"/>
  </si>
  <si>
    <t>課題タイプ①(非正規雇用)</t>
    <rPh sb="0" eb="2">
      <t xml:space="preserve">カダイタイプ </t>
    </rPh>
    <phoneticPr fontId="3"/>
  </si>
  <si>
    <t>課題タイプ⑤</t>
    <phoneticPr fontId="3"/>
  </si>
  <si>
    <t>データ未入力時</t>
    <rPh sb="3" eb="6">
      <t xml:space="preserve">ミニュウリョク </t>
    </rPh>
    <rPh sb="6" eb="7">
      <t xml:space="preserve">ジ </t>
    </rPh>
    <phoneticPr fontId="3"/>
  </si>
  <si>
    <t>貴社は【課題タイプ①　採用した労働者に占める女性割合が低い（又は労働者に占める女性割合が低い）企業】及び【課題タイプ③　男女の平均残業時間数等の労働時間が長い企業】の可能性が高いです。</t>
  </si>
  <si>
    <t>貴社は【課題タイプ①　採用した労働者に占める女性割合が低い（又は労働者に占める女性割合が低い）企業】の可能性が高いです。</t>
  </si>
  <si>
    <t>貴社は【課題タイプ②　男女の平均継続勤務年数が短い・男女の平均継続勤務年数に差がある企業】及び【課題タイプ③　男女の平均残業時間数等の労働時間が長い企業】の可能性が高いです。</t>
  </si>
  <si>
    <t>貴社は【課題タイプ②　男女の平均継続勤務年数が短い・男女の平均継続勤務年数に差がある企業】の可能性が高いです。</t>
  </si>
  <si>
    <t>貴社は【課題タイプ④　管理職に占める女性割合が低い企業】及び【課題タイプ③　男女の平均残業時間数等の労働時間が長い企業】の可能性が高いです。</t>
  </si>
  <si>
    <t>貴社は【課題タイプ④　管理職に占める女性割合が低い企業】の可能性が高いです。</t>
  </si>
  <si>
    <t>貴社は【課題タイプ③　男女の平均残業時間数等の労働時間が長い企業】の可能性が高いです。</t>
  </si>
  <si>
    <t>貴社は【課題タイプ⑤　女性の活躍が比較的進んでいる企業】の可能性が高いです。</t>
  </si>
  <si>
    <t>※本ツールの使用用途は以下の２つです。
　・『自社の男女間賃金差異と参考値を比較する』
　・『産業分類と企業規模の参考値を確認する』
※参考値には「令和5年度 賃金構造基本統計調査」と
  「令和5年度 雇用動向調査」を再集計したデータを使用しています。</t>
    <rPh sb="1" eb="2">
      <t>ホn</t>
    </rPh>
    <rPh sb="11" eb="13">
      <t>イカ</t>
    </rPh>
    <rPh sb="88" eb="89">
      <t>チョウサ</t>
    </rPh>
    <phoneticPr fontId="3"/>
  </si>
  <si>
    <t>全て選択済みです。</t>
    <rPh sb="0" eb="1">
      <t>スベテ</t>
    </rPh>
    <phoneticPr fontId="3"/>
  </si>
  <si>
    <t>正規雇用労働者</t>
    <rPh sb="0" eb="4">
      <t xml:space="preserve">セイキコヨウ </t>
    </rPh>
    <rPh sb="4" eb="7">
      <t xml:space="preserve">ロウドウシャ </t>
    </rPh>
    <phoneticPr fontId="3"/>
  </si>
  <si>
    <t>非正規雇用労働者</t>
    <rPh sb="0" eb="5">
      <t xml:space="preserve">ヒセイキコヨウ </t>
    </rPh>
    <rPh sb="5" eb="8">
      <t xml:space="preserve">ロウドウシャ </t>
    </rPh>
    <phoneticPr fontId="3"/>
  </si>
  <si>
    <r>
      <t xml:space="preserve">勤続年数階級別 </t>
    </r>
    <r>
      <rPr>
        <b/>
        <sz val="12"/>
        <color theme="1"/>
        <rFont val="游ゴシック"/>
        <family val="3"/>
        <charset val="128"/>
        <scheme val="minor"/>
      </rPr>
      <t>※正規雇用労働者のみ</t>
    </r>
    <rPh sb="0" eb="2">
      <t xml:space="preserve">キンゾク </t>
    </rPh>
    <rPh sb="2" eb="4">
      <t xml:space="preserve">ネンスウ </t>
    </rPh>
    <rPh sb="4" eb="6">
      <t xml:space="preserve">カイキュウ </t>
    </rPh>
    <rPh sb="6" eb="7">
      <t xml:space="preserve">ベツ </t>
    </rPh>
    <phoneticPr fontId="3"/>
  </si>
  <si>
    <r>
      <t>役職別 　</t>
    </r>
    <r>
      <rPr>
        <b/>
        <sz val="12"/>
        <color theme="1"/>
        <rFont val="游ゴシック"/>
        <family val="3"/>
        <charset val="128"/>
        <scheme val="minor"/>
      </rPr>
      <t>※正規雇用労働者のみ</t>
    </r>
    <rPh sb="0" eb="2">
      <t xml:space="preserve">ヤクショク </t>
    </rPh>
    <rPh sb="2" eb="3">
      <t xml:space="preserve">ベツ </t>
    </rPh>
    <phoneticPr fontId="3"/>
  </si>
  <si>
    <r>
      <t>記載例</t>
    </r>
    <r>
      <rPr>
        <b/>
        <sz val="10"/>
        <color theme="1"/>
        <rFont val="游ゴシック"/>
        <family val="3"/>
        <charset val="128"/>
        <scheme val="minor"/>
      </rPr>
      <t>(採用の場合)</t>
    </r>
    <r>
      <rPr>
        <b/>
        <sz val="14"/>
        <color theme="1"/>
        <rFont val="游ゴシック"/>
        <family val="3"/>
        <charset val="128"/>
        <scheme val="minor"/>
      </rPr>
      <t>→</t>
    </r>
    <rPh sb="4" eb="6">
      <t xml:space="preserve">サイヨウノバアイ </t>
    </rPh>
    <phoneticPr fontId="3"/>
  </si>
  <si>
    <t>一月当たりの平均残業時間</t>
    <rPh sb="0" eb="1">
      <t>①</t>
    </rPh>
    <rPh sb="2" eb="3">
      <t xml:space="preserve">アタリ </t>
    </rPh>
    <phoneticPr fontId="3"/>
  </si>
  <si>
    <r>
      <t xml:space="preserve">正規雇用労働者
</t>
    </r>
    <r>
      <rPr>
        <b/>
        <sz val="11"/>
        <color theme="1"/>
        <rFont val="游ゴシック"/>
        <family val="3"/>
        <charset val="128"/>
        <scheme val="minor"/>
      </rPr>
      <t>(正社員・正職員)</t>
    </r>
    <rPh sb="0" eb="4">
      <t xml:space="preserve">セイキコヨウ </t>
    </rPh>
    <rPh sb="4" eb="7">
      <t>ロウドウ</t>
    </rPh>
    <rPh sb="8" eb="12">
      <t xml:space="preserve">セイキコヨウ </t>
    </rPh>
    <phoneticPr fontId="3"/>
  </si>
  <si>
    <r>
      <rPr>
        <b/>
        <sz val="14"/>
        <color theme="1"/>
        <rFont val="游ゴシック"/>
        <family val="3"/>
        <charset val="128"/>
        <scheme val="minor"/>
      </rPr>
      <t>非正規雇用労働者</t>
    </r>
    <r>
      <rPr>
        <b/>
        <sz val="13"/>
        <color theme="1"/>
        <rFont val="游ゴシック"/>
        <family val="3"/>
        <charset val="128"/>
        <scheme val="minor"/>
      </rPr>
      <t xml:space="preserve">
</t>
    </r>
    <r>
      <rPr>
        <b/>
        <sz val="11"/>
        <color theme="1"/>
        <rFont val="游ゴシック"/>
        <family val="3"/>
        <charset val="128"/>
        <scheme val="minor"/>
      </rPr>
      <t>(正社員・正職員以外)</t>
    </r>
    <rPh sb="0" eb="3">
      <t xml:space="preserve">ヒセイキ </t>
    </rPh>
    <rPh sb="3" eb="5">
      <t xml:space="preserve">コヨウ </t>
    </rPh>
    <rPh sb="5" eb="8">
      <t>ロウドウ</t>
    </rPh>
    <rPh sb="9" eb="14">
      <t xml:space="preserve">ヒセイキコヨウ </t>
    </rPh>
    <rPh sb="15" eb="17">
      <t xml:space="preserve">カイシャ </t>
    </rPh>
    <phoneticPr fontId="3"/>
  </si>
  <si>
    <r>
      <t xml:space="preserve">貴社と参考値の比較
</t>
    </r>
    <r>
      <rPr>
        <b/>
        <sz val="9"/>
        <color theme="1"/>
        <rFont val="游ゴシック"/>
        <family val="3"/>
        <charset val="128"/>
        <scheme val="minor"/>
      </rPr>
      <t>※採用者数（労働者数）・管理職数は参考値なし</t>
    </r>
    <rPh sb="0" eb="1">
      <t>🚂</t>
    </rPh>
    <phoneticPr fontId="3"/>
  </si>
  <si>
    <r>
      <t>貴社の女性</t>
    </r>
    <r>
      <rPr>
        <b/>
        <sz val="8"/>
        <color theme="1"/>
        <rFont val="游ゴシック"/>
        <family val="3"/>
        <charset val="128"/>
        <scheme val="minor"/>
      </rPr>
      <t>※( )内は参考値</t>
    </r>
    <rPh sb="0" eb="1">
      <t xml:space="preserve">オンナ </t>
    </rPh>
    <rPh sb="2" eb="5">
      <t xml:space="preserve">サンコウチ </t>
    </rPh>
    <rPh sb="9" eb="10">
      <t xml:space="preserve">ナイハ </t>
    </rPh>
    <rPh sb="11" eb="14">
      <t xml:space="preserve">サンコウチ </t>
    </rPh>
    <phoneticPr fontId="3"/>
  </si>
  <si>
    <r>
      <t>貴社の男性</t>
    </r>
    <r>
      <rPr>
        <b/>
        <sz val="8"/>
        <color theme="1"/>
        <rFont val="游ゴシック"/>
        <family val="3"/>
        <charset val="128"/>
        <scheme val="minor"/>
      </rPr>
      <t>※( )内は参考値</t>
    </r>
    <rPh sb="0" eb="1">
      <t xml:space="preserve">オンナ </t>
    </rPh>
    <rPh sb="2" eb="5">
      <t xml:space="preserve">サンコウチ </t>
    </rPh>
    <rPh sb="10" eb="11">
      <t>オトコ</t>
    </rPh>
    <phoneticPr fontId="3"/>
  </si>
  <si>
    <r>
      <t xml:space="preserve">(記載例)：001
</t>
    </r>
    <r>
      <rPr>
        <b/>
        <sz val="7"/>
        <color rgb="FFC00000"/>
        <rFont val="游ゴシック"/>
        <family val="3"/>
        <charset val="128"/>
        <scheme val="minor"/>
      </rPr>
      <t>※同じ従業員は
同一番号で入力</t>
    </r>
    <rPh sb="1" eb="4">
      <t xml:space="preserve">キサイレイ </t>
    </rPh>
    <rPh sb="18" eb="20">
      <t>ドウイテゥ</t>
    </rPh>
    <phoneticPr fontId="3"/>
  </si>
  <si>
    <t>正規</t>
    <rPh sb="0" eb="2">
      <t xml:space="preserve">セイキ </t>
    </rPh>
    <phoneticPr fontId="3"/>
  </si>
  <si>
    <t>非正規</t>
    <rPh sb="0" eb="3">
      <t xml:space="preserve">ヒセイキ </t>
    </rPh>
    <phoneticPr fontId="3"/>
  </si>
  <si>
    <t>①</t>
    <phoneticPr fontId="3"/>
  </si>
  <si>
    <t>基準</t>
    <rPh sb="0" eb="2">
      <t xml:space="preserve">キジュン </t>
    </rPh>
    <phoneticPr fontId="3"/>
  </si>
  <si>
    <t>値</t>
    <rPh sb="0" eb="1">
      <t xml:space="preserve">アタイ </t>
    </rPh>
    <phoneticPr fontId="3"/>
  </si>
  <si>
    <t>非正規採用者・労働者比率</t>
    <rPh sb="0" eb="3">
      <t xml:space="preserve">ヒセイキ </t>
    </rPh>
    <phoneticPr fontId="3"/>
  </si>
  <si>
    <t>非正規平均勤続年数比率</t>
    <rPh sb="0" eb="3">
      <t xml:space="preserve">ヒセイキ </t>
    </rPh>
    <rPh sb="3" eb="9">
      <t xml:space="preserve">ヘイキンキンゾクネンスウ </t>
    </rPh>
    <rPh sb="9" eb="11">
      <t xml:space="preserve">ヒリツ </t>
    </rPh>
    <phoneticPr fontId="3"/>
  </si>
  <si>
    <t>正規採用者・労働者比率</t>
    <rPh sb="0" eb="2">
      <t xml:space="preserve">セイキ </t>
    </rPh>
    <rPh sb="2" eb="5">
      <t xml:space="preserve">ヒセイキ </t>
    </rPh>
    <phoneticPr fontId="3"/>
  </si>
  <si>
    <t>正規平均勤続年数比率</t>
    <rPh sb="0" eb="6">
      <t xml:space="preserve">ヘイキンキンゾクネンスウ </t>
    </rPh>
    <rPh sb="6" eb="8">
      <t xml:space="preserve">ヒリツ </t>
    </rPh>
    <phoneticPr fontId="3"/>
  </si>
  <si>
    <t>正規管理職比率</t>
    <rPh sb="0" eb="3">
      <t xml:space="preserve">カンリショク </t>
    </rPh>
    <rPh sb="3" eb="5">
      <t xml:space="preserve">ヒリツ </t>
    </rPh>
    <phoneticPr fontId="3"/>
  </si>
  <si>
    <t>正規残業時間比率</t>
    <rPh sb="0" eb="4">
      <t xml:space="preserve">ザンギョウジカン </t>
    </rPh>
    <rPh sb="4" eb="6">
      <t xml:space="preserve">ヒリツ </t>
    </rPh>
    <phoneticPr fontId="3"/>
  </si>
  <si>
    <t>③(1÷0)</t>
    <phoneticPr fontId="3"/>
  </si>
  <si>
    <t>②参考値="-"</t>
    <rPh sb="3" eb="4">
      <t xml:space="preserve">アタイ </t>
    </rPh>
    <phoneticPr fontId="3"/>
  </si>
  <si>
    <t>値②
労働者
1÷0</t>
    <rPh sb="0" eb="1">
      <t xml:space="preserve">アタイ </t>
    </rPh>
    <phoneticPr fontId="3"/>
  </si>
  <si>
    <t>非正規残業時間比率</t>
    <rPh sb="0" eb="4">
      <t xml:space="preserve">ザンギョウジカン </t>
    </rPh>
    <rPh sb="4" eb="6">
      <t xml:space="preserve">ヒリツ </t>
    </rPh>
    <phoneticPr fontId="3"/>
  </si>
  <si>
    <t>該当</t>
    <rPh sb="0" eb="2">
      <t xml:space="preserve">ガイトウ </t>
    </rPh>
    <phoneticPr fontId="3"/>
  </si>
  <si>
    <t>不該当</t>
    <rPh sb="0" eb="1">
      <t xml:space="preserve">フ </t>
    </rPh>
    <rPh sb="1" eb="3">
      <t xml:space="preserve">フガイトウ </t>
    </rPh>
    <phoneticPr fontId="3"/>
  </si>
  <si>
    <t>項目</t>
    <rPh sb="0" eb="2">
      <t xml:space="preserve">コウモク </t>
    </rPh>
    <phoneticPr fontId="3"/>
  </si>
  <si>
    <t>課題該当
不該当</t>
    <rPh sb="0" eb="2">
      <t xml:space="preserve">カダイ </t>
    </rPh>
    <rPh sb="2" eb="3">
      <t xml:space="preserve">ガイトウ </t>
    </rPh>
    <rPh sb="5" eb="6">
      <t xml:space="preserve">フ </t>
    </rPh>
    <rPh sb="6" eb="8">
      <t xml:space="preserve">フガイトウ </t>
    </rPh>
    <phoneticPr fontId="3"/>
  </si>
  <si>
    <t>賞与額等</t>
    <rPh sb="0" eb="4">
      <t xml:space="preserve">ショウヨトウ </t>
    </rPh>
    <phoneticPr fontId="3"/>
  </si>
  <si>
    <r>
      <t>役職別</t>
    </r>
    <r>
      <rPr>
        <b/>
        <sz val="10.5"/>
        <color rgb="FF44812A"/>
        <rFont val="游ゴシック"/>
        <family val="3"/>
        <charset val="128"/>
        <scheme val="minor"/>
      </rPr>
      <t>※正規雇用労働者のみ</t>
    </r>
    <rPh sb="4" eb="8">
      <t xml:space="preserve">セイキコヨウ </t>
    </rPh>
    <rPh sb="8" eb="11">
      <t>ロウドウ</t>
    </rPh>
    <phoneticPr fontId="3"/>
  </si>
  <si>
    <r>
      <t>勤続年数階級別</t>
    </r>
    <r>
      <rPr>
        <b/>
        <sz val="10.5"/>
        <color theme="8"/>
        <rFont val="游ゴシック"/>
        <family val="3"/>
        <charset val="128"/>
        <scheme val="minor"/>
      </rPr>
      <t>※正規雇用労働者のみ</t>
    </r>
    <rPh sb="12" eb="15">
      <t>ロウドウ</t>
    </rPh>
    <phoneticPr fontId="3"/>
  </si>
  <si>
    <r>
      <t>勤続年数階級別</t>
    </r>
    <r>
      <rPr>
        <b/>
        <sz val="11"/>
        <color theme="8"/>
        <rFont val="游ゴシック"/>
        <family val="3"/>
        <charset val="128"/>
        <scheme val="minor"/>
      </rPr>
      <t>※正規雇用労働者のみ</t>
    </r>
    <rPh sb="12" eb="15">
      <t>ロウドウ</t>
    </rPh>
    <phoneticPr fontId="3"/>
  </si>
  <si>
    <r>
      <t>役職別</t>
    </r>
    <r>
      <rPr>
        <b/>
        <sz val="11"/>
        <color rgb="FF44812A"/>
        <rFont val="游ゴシック"/>
        <family val="3"/>
        <charset val="128"/>
        <scheme val="minor"/>
      </rPr>
      <t>※正規雇用労働者のみ</t>
    </r>
    <rPh sb="4" eb="8">
      <t xml:space="preserve">セイキコヨウ </t>
    </rPh>
    <rPh sb="8" eb="11">
      <t>ロウドウ</t>
    </rPh>
    <phoneticPr fontId="3"/>
  </si>
  <si>
    <r>
      <t xml:space="preserve">001
</t>
    </r>
    <r>
      <rPr>
        <b/>
        <sz val="9"/>
        <color rgb="FFC00000"/>
        <rFont val="游ゴシック"/>
        <family val="3"/>
        <charset val="128"/>
        <scheme val="minor"/>
      </rPr>
      <t>※同じ従業員は
同一番号で入力</t>
    </r>
    <rPh sb="2" eb="6">
      <t xml:space="preserve">ドウイツシャイン </t>
    </rPh>
    <rPh sb="6" eb="9">
      <t xml:space="preserve">ドウバンゴウ </t>
    </rPh>
    <phoneticPr fontId="3"/>
  </si>
  <si>
    <t>貴社は非正規雇用労働者について【課題タイプ①　採用した労働者に占める女性割合が低い（又は労働者に占める女性割合が低い）企業】の可能性が高いです。</t>
    <phoneticPr fontId="3"/>
  </si>
  <si>
    <t>貴社は非正規雇用労働者について【課題タイプ②　男女の平均継続勤務年数が短い・男女の平均継続勤務年数に差がある企業】の可能性が高いです。</t>
    <phoneticPr fontId="3"/>
  </si>
  <si>
    <t>貴社は非正規雇用労働者について【課題タイプ②　男女の平均継続勤務年数が短い・男女の平均継続勤務年数に差がある企業】及び【課題タイプ③　男女の平均残業時間数等の労働時間が長い企業】の可能性が高いです。</t>
    <phoneticPr fontId="3"/>
  </si>
  <si>
    <t>貴社は非正規雇用労働者について【課題タイプ③　男女の平均残業時間数等の労働時間が長い企業】の可能性が高いです。</t>
    <phoneticPr fontId="3"/>
  </si>
  <si>
    <t>企業規模計(10人以上)</t>
    <phoneticPr fontId="3"/>
  </si>
  <si>
    <t>男</t>
    <rPh sb="0" eb="1">
      <t xml:space="preserve">オトコ </t>
    </rPh>
    <phoneticPr fontId="33"/>
  </si>
  <si>
    <t>女</t>
    <rPh sb="0" eb="1">
      <t xml:space="preserve">オンナ </t>
    </rPh>
    <phoneticPr fontId="33"/>
  </si>
  <si>
    <t>-</t>
  </si>
  <si>
    <t>検索コード</t>
    <rPh sb="0" eb="2">
      <t xml:space="preserve">ケンサクコード </t>
    </rPh>
    <phoneticPr fontId="33"/>
  </si>
  <si>
    <t>正規雇用---</t>
  </si>
  <si>
    <t>正規雇用---1,000人以上</t>
  </si>
  <si>
    <t>非正規雇用---</t>
  </si>
  <si>
    <t>非正規雇用---1,000人以上</t>
  </si>
  <si>
    <t>正規雇用-E-23-</t>
  </si>
  <si>
    <t>正規雇用-C--</t>
  </si>
  <si>
    <t>正規雇用-D--</t>
  </si>
  <si>
    <t>正規雇用-E--</t>
  </si>
  <si>
    <t>正規雇用-E-9-</t>
  </si>
  <si>
    <t>正規雇用-E-11-</t>
  </si>
  <si>
    <t>正規雇用-E-12-</t>
  </si>
  <si>
    <t>正規雇用-E-13-</t>
  </si>
  <si>
    <t>正規雇用-E-14-</t>
  </si>
  <si>
    <t>正規雇用-E-15-</t>
  </si>
  <si>
    <t>正規雇用-E-16-</t>
  </si>
  <si>
    <t>正規雇用-E-18-</t>
  </si>
  <si>
    <t>正規雇用-E-19-</t>
  </si>
  <si>
    <t>正規雇用-E-21-</t>
  </si>
  <si>
    <t>正規雇用-E-22-</t>
  </si>
  <si>
    <t>正規雇用-E-24-</t>
  </si>
  <si>
    <t>正規雇用-E-25-</t>
  </si>
  <si>
    <t>正規雇用-E-26-</t>
  </si>
  <si>
    <t>正規雇用-E-27-</t>
  </si>
  <si>
    <t>正規雇用-E-28-</t>
  </si>
  <si>
    <t>正規雇用-E-29-</t>
  </si>
  <si>
    <t>正規雇用-E-30-</t>
  </si>
  <si>
    <t>正規雇用-E-31-</t>
  </si>
  <si>
    <t>正規雇用-E-20-</t>
  </si>
  <si>
    <t>正規雇用-F--</t>
  </si>
  <si>
    <t>正規雇用-G--</t>
  </si>
  <si>
    <t>正規雇用-H--</t>
  </si>
  <si>
    <t>正規雇用-I--</t>
  </si>
  <si>
    <t>正規雇用-J--</t>
  </si>
  <si>
    <t>正規雇用-K--</t>
  </si>
  <si>
    <t>正規雇用-L--</t>
  </si>
  <si>
    <t>正規雇用-M--</t>
  </si>
  <si>
    <t>正規雇用-N--</t>
  </si>
  <si>
    <t>正規雇用-O--</t>
  </si>
  <si>
    <t>正規雇用-P--</t>
  </si>
  <si>
    <t>正規雇用-Q--</t>
  </si>
  <si>
    <t>正規雇用-R--</t>
  </si>
  <si>
    <t>正規雇用-C--1,000人以上</t>
  </si>
  <si>
    <t>正規雇用-D--1,000人以上</t>
  </si>
  <si>
    <t>正規雇用-E--1,000人以上</t>
  </si>
  <si>
    <t>正規雇用-E-9-1,000人以上</t>
  </si>
  <si>
    <t>正規雇用-E-11-1,000人以上</t>
  </si>
  <si>
    <t>正規雇用-E-12-1,000人以上</t>
  </si>
  <si>
    <t>正規雇用-E-13-1,000人以上</t>
  </si>
  <si>
    <t>正規雇用-E-14-1,000人以上</t>
  </si>
  <si>
    <t>正規雇用-E-15-1,000人以上</t>
  </si>
  <si>
    <t>正規雇用-E-16-1,000人以上</t>
  </si>
  <si>
    <t>正規雇用-E-18-1,000人以上</t>
  </si>
  <si>
    <t>正規雇用-E-19-1,000人以上</t>
  </si>
  <si>
    <t>正規雇用-E-21-1,000人以上</t>
  </si>
  <si>
    <t>正規雇用-E-22-1,000人以上</t>
  </si>
  <si>
    <t>正規雇用-E-23-1,000人以上</t>
  </si>
  <si>
    <t>正規雇用-E-24-1,000人以上</t>
  </si>
  <si>
    <t>正規雇用-E-25-1,000人以上</t>
  </si>
  <si>
    <t>正規雇用-E-26-1,000人以上</t>
  </si>
  <si>
    <t>正規雇用-E-27-1,000人以上</t>
  </si>
  <si>
    <t>正規雇用-E-28-1,000人以上</t>
  </si>
  <si>
    <t>正規雇用-E-29-1,000人以上</t>
  </si>
  <si>
    <t>正規雇用-E-30-1,000人以上</t>
  </si>
  <si>
    <t>正規雇用-E-31-1,000人以上</t>
  </si>
  <si>
    <t>正規雇用-E-20-1,000人以上</t>
  </si>
  <si>
    <t>正規雇用-F--1,000人以上</t>
  </si>
  <si>
    <t>正規雇用-G--1,000人以上</t>
  </si>
  <si>
    <t>正規雇用-H--1,000人以上</t>
  </si>
  <si>
    <t>正規雇用-I--1,000人以上</t>
  </si>
  <si>
    <t>正規雇用-J--1,000人以上</t>
  </si>
  <si>
    <t>正規雇用-K--1,000人以上</t>
  </si>
  <si>
    <t>正規雇用-L--1,000人以上</t>
  </si>
  <si>
    <t>正規雇用-M--1,000人以上</t>
  </si>
  <si>
    <t>正規雇用-N--1,000人以上</t>
  </si>
  <si>
    <t>正規雇用-O--1,000人以上</t>
  </si>
  <si>
    <t>正規雇用-P--1,000人以上</t>
  </si>
  <si>
    <t>正規雇用-Q--1,000人以上</t>
  </si>
  <si>
    <t>正規雇用-R--1,000人以上</t>
  </si>
  <si>
    <t>非正規雇用-C--</t>
  </si>
  <si>
    <t>非正規雇用-D--</t>
  </si>
  <si>
    <t>非正規雇用-E--</t>
  </si>
  <si>
    <t>非正規雇用-E-9-</t>
  </si>
  <si>
    <t>非正規雇用-E-11-</t>
  </si>
  <si>
    <t>非正規雇用-E-12-</t>
  </si>
  <si>
    <t>非正規雇用-E-13-</t>
  </si>
  <si>
    <t>非正規雇用-E-14-</t>
  </si>
  <si>
    <t>非正規雇用-E-15-</t>
  </si>
  <si>
    <t>非正規雇用-E-16-</t>
  </si>
  <si>
    <t>非正規雇用-E-18-</t>
  </si>
  <si>
    <t>非正規雇用-E-19-</t>
  </si>
  <si>
    <t>非正規雇用-E-21-</t>
  </si>
  <si>
    <t>非正規雇用-E-22-</t>
  </si>
  <si>
    <t>非正規雇用-E-23-</t>
  </si>
  <si>
    <t>非正規雇用-E-24-</t>
  </si>
  <si>
    <t>非正規雇用-E-25-</t>
  </si>
  <si>
    <t>非正規雇用-E-26-</t>
  </si>
  <si>
    <t>非正規雇用-E-27-</t>
  </si>
  <si>
    <t>非正規雇用-E-28-</t>
  </si>
  <si>
    <t>非正規雇用-E-29-</t>
  </si>
  <si>
    <t>非正規雇用-E-30-</t>
  </si>
  <si>
    <t>非正規雇用-E-31-</t>
  </si>
  <si>
    <t>非正規雇用-E-20-</t>
  </si>
  <si>
    <t>非正規雇用-F--</t>
  </si>
  <si>
    <t>非正規雇用-G--</t>
  </si>
  <si>
    <t>非正規雇用-H--</t>
  </si>
  <si>
    <t>非正規雇用-I--</t>
  </si>
  <si>
    <t>非正規雇用-J--</t>
  </si>
  <si>
    <t>非正規雇用-K--</t>
  </si>
  <si>
    <t>非正規雇用-L--</t>
  </si>
  <si>
    <t>非正規雇用-M--</t>
  </si>
  <si>
    <t>非正規雇用-N--</t>
  </si>
  <si>
    <t>非正規雇用-O--</t>
  </si>
  <si>
    <t>非正規雇用-P--</t>
  </si>
  <si>
    <t>非正規雇用-Q--</t>
  </si>
  <si>
    <t>非正規雇用-R--</t>
  </si>
  <si>
    <t>非正規雇用-C--1,000人以上</t>
  </si>
  <si>
    <t>非正規雇用-D--1,000人以上</t>
  </si>
  <si>
    <t>非正規雇用-E--1,000人以上</t>
  </si>
  <si>
    <t>非正規雇用-E-9-1,000人以上</t>
  </si>
  <si>
    <t>非正規雇用-E-11-1,000人以上</t>
  </si>
  <si>
    <t>非正規雇用-E-12-1,000人以上</t>
  </si>
  <si>
    <t>非正規雇用-E-13-1,000人以上</t>
  </si>
  <si>
    <t>非正規雇用-E-14-1,000人以上</t>
  </si>
  <si>
    <t>非正規雇用-E-15-1,000人以上</t>
  </si>
  <si>
    <t>非正規雇用-E-16-1,000人以上</t>
  </si>
  <si>
    <t>非正規雇用-E-18-1,000人以上</t>
  </si>
  <si>
    <t>非正規雇用-E-19-1,000人以上</t>
  </si>
  <si>
    <t>非正規雇用-E-21-1,000人以上</t>
  </si>
  <si>
    <t>非正規雇用-E-22-1,000人以上</t>
  </si>
  <si>
    <t>非正規雇用-E-23-1,000人以上</t>
  </si>
  <si>
    <t>非正規雇用-E-24-1,000人以上</t>
  </si>
  <si>
    <t>非正規雇用-E-25-1,000人以上</t>
  </si>
  <si>
    <t>非正規雇用-E-26-1,000人以上</t>
  </si>
  <si>
    <t>非正規雇用-E-27-1,000人以上</t>
  </si>
  <si>
    <t>非正規雇用-E-28-1,000人以上</t>
  </si>
  <si>
    <t>非正規雇用-E-29-1,000人以上</t>
  </si>
  <si>
    <t>非正規雇用-E-30-1,000人以上</t>
  </si>
  <si>
    <t>非正規雇用-E-31-1,000人以上</t>
  </si>
  <si>
    <t>非正規雇用-E-20-1,000人以上</t>
  </si>
  <si>
    <t>非正規雇用-F--1,000人以上</t>
  </si>
  <si>
    <t>非正規雇用-G--1,000人以上</t>
  </si>
  <si>
    <t>非正規雇用-H--1,000人以上</t>
  </si>
  <si>
    <t>非正規雇用-I--1,000人以上</t>
  </si>
  <si>
    <t>非正規雇用-J--1,000人以上</t>
  </si>
  <si>
    <t>非正規雇用-K--1,000人以上</t>
  </si>
  <si>
    <t>非正規雇用-L--1,000人以上</t>
  </si>
  <si>
    <t>非正規雇用-M--1,000人以上</t>
  </si>
  <si>
    <t>非正規雇用-N--1,000人以上</t>
  </si>
  <si>
    <t>非正規雇用-O--1,000人以上</t>
  </si>
  <si>
    <t>非正規雇用-P--1,000人以上</t>
  </si>
  <si>
    <t>非正規雇用-Q--1,000人以上</t>
  </si>
  <si>
    <t>非正規雇用-R--1,000人以上</t>
  </si>
  <si>
    <t>正規雇用-E-10-</t>
  </si>
  <si>
    <t>正規雇用-E-17-</t>
  </si>
  <si>
    <t>正規雇用-E-32-</t>
  </si>
  <si>
    <t>正規雇用-E-10-1,000人以上</t>
  </si>
  <si>
    <t>正規雇用-E-17-1,000人以上</t>
  </si>
  <si>
    <t>正規雇用-E-32-1,000人以上</t>
  </si>
  <si>
    <t>非正規雇用-E-10-</t>
  </si>
  <si>
    <t>非正規雇用-E-17-</t>
  </si>
  <si>
    <t>非正規雇用-E-32-</t>
  </si>
  <si>
    <t>非正規雇用-E-10-1,000人以上</t>
  </si>
  <si>
    <t>非正規雇用-E-17-1,000人以上</t>
  </si>
  <si>
    <t>非正規雇用-E-32-1,000人以上</t>
  </si>
  <si>
    <t>正規雇用---300-999人</t>
  </si>
  <si>
    <t>正規雇用-C--300-999人</t>
  </si>
  <si>
    <t>正規雇用-D--300-999人</t>
  </si>
  <si>
    <t>正規雇用-E--300-999人</t>
  </si>
  <si>
    <t>正規雇用-E-9-300-999人</t>
  </si>
  <si>
    <t>正規雇用-E-11-300-999人</t>
  </si>
  <si>
    <t>正規雇用-E-12-300-999人</t>
  </si>
  <si>
    <t>正規雇用-E-13-300-999人</t>
  </si>
  <si>
    <t>正規雇用-E-14-300-999人</t>
  </si>
  <si>
    <t>正規雇用-E-15-300-999人</t>
  </si>
  <si>
    <t>正規雇用-E-16-300-999人</t>
  </si>
  <si>
    <t>正規雇用-E-18-300-999人</t>
  </si>
  <si>
    <t>正規雇用-E-19-300-999人</t>
  </si>
  <si>
    <t>正規雇用-E-21-300-999人</t>
  </si>
  <si>
    <t>正規雇用-E-22-300-999人</t>
  </si>
  <si>
    <t>正規雇用-E-23-300-999人</t>
  </si>
  <si>
    <t>正規雇用-E-24-300-999人</t>
  </si>
  <si>
    <t>正規雇用-E-25-300-999人</t>
  </si>
  <si>
    <t>正規雇用-E-26-300-999人</t>
  </si>
  <si>
    <t>正規雇用-E-27-300-999人</t>
  </si>
  <si>
    <t>正規雇用-E-28-300-999人</t>
  </si>
  <si>
    <t>正規雇用-E-29-300-999人</t>
  </si>
  <si>
    <t>正規雇用-E-30-300-999人</t>
  </si>
  <si>
    <t>正規雇用-E-31-300-999人</t>
  </si>
  <si>
    <t>正規雇用-E-20-300-999人</t>
  </si>
  <si>
    <t>正規雇用-F--300-999人</t>
  </si>
  <si>
    <t>正規雇用-G--300-999人</t>
  </si>
  <si>
    <t>正規雇用-H--300-999人</t>
  </si>
  <si>
    <t>正規雇用-I--300-999人</t>
  </si>
  <si>
    <t>正規雇用-J--300-999人</t>
  </si>
  <si>
    <t>正規雇用-K--300-999人</t>
  </si>
  <si>
    <t>正規雇用-L--300-999人</t>
  </si>
  <si>
    <t>正規雇用-M--300-999人</t>
  </si>
  <si>
    <t>正規雇用-N--300-999人</t>
  </si>
  <si>
    <t>正規雇用-O--300-999人</t>
  </si>
  <si>
    <t>正規雇用-P--300-999人</t>
  </si>
  <si>
    <t>正規雇用-Q--300-999人</t>
  </si>
  <si>
    <t>正規雇用-R--300-999人</t>
  </si>
  <si>
    <t>正規雇用---100-299人</t>
  </si>
  <si>
    <t>正規雇用-C--100-299人</t>
  </si>
  <si>
    <t>正規雇用-D--100-299人</t>
  </si>
  <si>
    <t>正規雇用-E--100-299人</t>
  </si>
  <si>
    <t>正規雇用-E-9-100-299人</t>
  </si>
  <si>
    <t>正規雇用-E-11-100-299人</t>
  </si>
  <si>
    <t>正規雇用-E-12-100-299人</t>
  </si>
  <si>
    <t>正規雇用-E-13-100-299人</t>
  </si>
  <si>
    <t>正規雇用-E-14-100-299人</t>
  </si>
  <si>
    <t>正規雇用-E-15-100-299人</t>
  </si>
  <si>
    <t>正規雇用-E-16-100-299人</t>
  </si>
  <si>
    <t>正規雇用-E-18-100-299人</t>
  </si>
  <si>
    <t>正規雇用-E-19-100-299人</t>
  </si>
  <si>
    <t>正規雇用-E-21-100-299人</t>
  </si>
  <si>
    <t>正規雇用-E-22-100-299人</t>
  </si>
  <si>
    <t>正規雇用-E-23-100-299人</t>
  </si>
  <si>
    <t>正規雇用-E-24-100-299人</t>
  </si>
  <si>
    <t>正規雇用-E-25-100-299人</t>
  </si>
  <si>
    <t>正規雇用-E-26-100-299人</t>
  </si>
  <si>
    <t>正規雇用-E-27-100-299人</t>
  </si>
  <si>
    <t>正規雇用-E-28-100-299人</t>
  </si>
  <si>
    <t>正規雇用-E-29-100-299人</t>
  </si>
  <si>
    <t>正規雇用-E-30-100-299人</t>
  </si>
  <si>
    <t>正規雇用-E-31-100-299人</t>
  </si>
  <si>
    <t>正規雇用-E-20-100-299人</t>
  </si>
  <si>
    <t>正規雇用-F--100-299人</t>
  </si>
  <si>
    <t>正規雇用-G--100-299人</t>
  </si>
  <si>
    <t>正規雇用-H--100-299人</t>
  </si>
  <si>
    <t>正規雇用-I--100-299人</t>
  </si>
  <si>
    <t>正規雇用-J--100-299人</t>
  </si>
  <si>
    <t>正規雇用-K--100-299人</t>
  </si>
  <si>
    <t>正規雇用-L--100-299人</t>
  </si>
  <si>
    <t>正規雇用-M--100-299人</t>
  </si>
  <si>
    <t>正規雇用-N--100-299人</t>
  </si>
  <si>
    <t>正規雇用-O--100-299人</t>
  </si>
  <si>
    <t>正規雇用-P--100-299人</t>
  </si>
  <si>
    <t>正規雇用-Q--100-299人</t>
  </si>
  <si>
    <t>正規雇用-R--100-299人</t>
  </si>
  <si>
    <t>非正規雇用---300-999人</t>
  </si>
  <si>
    <t>非正規雇用-C--300-999人</t>
  </si>
  <si>
    <t>非正規雇用-D--300-999人</t>
  </si>
  <si>
    <t>非正規雇用-E--300-999人</t>
  </si>
  <si>
    <t>非正規雇用-E-9-300-999人</t>
  </si>
  <si>
    <t>非正規雇用-E-11-300-999人</t>
  </si>
  <si>
    <t>非正規雇用-E-12-300-999人</t>
  </si>
  <si>
    <t>非正規雇用-E-13-300-999人</t>
  </si>
  <si>
    <t>非正規雇用-E-14-300-999人</t>
  </si>
  <si>
    <t>非正規雇用-E-15-300-999人</t>
  </si>
  <si>
    <t>非正規雇用-E-16-300-999人</t>
  </si>
  <si>
    <t>非正規雇用-E-18-300-999人</t>
  </si>
  <si>
    <t>非正規雇用-E-19-300-999人</t>
  </si>
  <si>
    <t>非正規雇用-E-21-300-999人</t>
  </si>
  <si>
    <t>非正規雇用-E-22-300-999人</t>
  </si>
  <si>
    <t>非正規雇用-E-23-300-999人</t>
  </si>
  <si>
    <t>非正規雇用-E-24-300-999人</t>
  </si>
  <si>
    <t>非正規雇用-E-25-300-999人</t>
  </si>
  <si>
    <t>非正規雇用-E-26-300-999人</t>
  </si>
  <si>
    <t>非正規雇用-E-27-300-999人</t>
  </si>
  <si>
    <t>非正規雇用-E-28-300-999人</t>
  </si>
  <si>
    <t>非正規雇用-E-29-300-999人</t>
  </si>
  <si>
    <t>非正規雇用-E-30-300-999人</t>
  </si>
  <si>
    <t>非正規雇用-E-31-300-999人</t>
  </si>
  <si>
    <t>非正規雇用-E-20-300-999人</t>
  </si>
  <si>
    <t>非正規雇用-F--300-999人</t>
  </si>
  <si>
    <t>非正規雇用-G--300-999人</t>
  </si>
  <si>
    <t>非正規雇用-H--300-999人</t>
  </si>
  <si>
    <t>非正規雇用-I--300-999人</t>
  </si>
  <si>
    <t>非正規雇用-J--300-999人</t>
  </si>
  <si>
    <t>非正規雇用-K--300-999人</t>
  </si>
  <si>
    <t>非正規雇用-L--300-999人</t>
  </si>
  <si>
    <t>非正規雇用-M--300-999人</t>
  </si>
  <si>
    <t>非正規雇用-N--300-999人</t>
  </si>
  <si>
    <t>非正規雇用-O--300-999人</t>
  </si>
  <si>
    <t>非正規雇用-P--300-999人</t>
  </si>
  <si>
    <t>非正規雇用-Q--300-999人</t>
  </si>
  <si>
    <t>非正規雇用-R--300-999人</t>
  </si>
  <si>
    <t>非正規雇用---100-299人</t>
  </si>
  <si>
    <t>非正規雇用-C--100-299人</t>
  </si>
  <si>
    <t>非正規雇用-D--100-299人</t>
  </si>
  <si>
    <t>非正規雇用-E--100-299人</t>
  </si>
  <si>
    <t>非正規雇用-E-9-100-299人</t>
  </si>
  <si>
    <t>非正規雇用-E-11-100-299人</t>
  </si>
  <si>
    <t>非正規雇用-E-12-100-299人</t>
  </si>
  <si>
    <t>非正規雇用-E-13-100-299人</t>
  </si>
  <si>
    <t>非正規雇用-E-14-100-299人</t>
  </si>
  <si>
    <t>非正規雇用-E-15-100-299人</t>
  </si>
  <si>
    <t>非正規雇用-E-16-100-299人</t>
  </si>
  <si>
    <t>非正規雇用-E-18-100-299人</t>
  </si>
  <si>
    <t>非正規雇用-E-19-100-299人</t>
  </si>
  <si>
    <t>非正規雇用-E-21-100-299人</t>
  </si>
  <si>
    <t>非正規雇用-E-22-100-299人</t>
  </si>
  <si>
    <t>非正規雇用-E-23-100-299人</t>
  </si>
  <si>
    <t>非正規雇用-E-24-100-299人</t>
  </si>
  <si>
    <t>非正規雇用-E-25-100-299人</t>
  </si>
  <si>
    <t>非正規雇用-E-26-100-299人</t>
  </si>
  <si>
    <t>非正規雇用-E-27-100-299人</t>
  </si>
  <si>
    <t>非正規雇用-E-28-100-299人</t>
  </si>
  <si>
    <t>非正規雇用-E-29-100-299人</t>
  </si>
  <si>
    <t>非正規雇用-E-30-100-299人</t>
  </si>
  <si>
    <t>非正規雇用-E-31-100-299人</t>
  </si>
  <si>
    <t>非正規雇用-E-20-100-299人</t>
  </si>
  <si>
    <t>非正規雇用-F--100-299人</t>
  </si>
  <si>
    <t>非正規雇用-G--100-299人</t>
  </si>
  <si>
    <t>非正規雇用-H--100-299人</t>
  </si>
  <si>
    <t>非正規雇用-I--100-299人</t>
  </si>
  <si>
    <t>非正規雇用-J--100-299人</t>
  </si>
  <si>
    <t>非正規雇用-K--100-299人</t>
  </si>
  <si>
    <t>非正規雇用-L--100-299人</t>
  </si>
  <si>
    <t>非正規雇用-M--100-299人</t>
  </si>
  <si>
    <t>非正規雇用-N--100-299人</t>
  </si>
  <si>
    <t>非正規雇用-O--100-299人</t>
  </si>
  <si>
    <t>非正規雇用-P--100-299人</t>
  </si>
  <si>
    <t>非正規雇用-Q--100-299人</t>
  </si>
  <si>
    <t>非正規雇用-R--100-299人</t>
  </si>
  <si>
    <t>正規雇用-E-10-300-999人</t>
  </si>
  <si>
    <t>正規雇用-E-17-300-999人</t>
  </si>
  <si>
    <t>正規雇用-E-32-300-999人</t>
  </si>
  <si>
    <t>正規雇用-E-10-100-299人</t>
  </si>
  <si>
    <t>正規雇用-E-17-100-299人</t>
  </si>
  <si>
    <t>正規雇用-E-32-100-299人</t>
  </si>
  <si>
    <t>非正規雇用-E-10-300-999人</t>
  </si>
  <si>
    <t>非正規雇用-E-17-300-999人</t>
  </si>
  <si>
    <t>非正規雇用-E-32-300-999人</t>
  </si>
  <si>
    <t>非正規雇用-E-10-100-299人</t>
  </si>
  <si>
    <t>非正規雇用-E-17-100-299人</t>
  </si>
  <si>
    <t>非正規雇用-E-32-100-299人</t>
  </si>
  <si>
    <t>正規雇用---10-99人</t>
  </si>
  <si>
    <t>正規雇用-C--10-99人</t>
  </si>
  <si>
    <t>正規雇用-D--10-99人</t>
  </si>
  <si>
    <t>正規雇用-E--10-99人</t>
  </si>
  <si>
    <t>正規雇用-E-9-10-99人</t>
  </si>
  <si>
    <t>正規雇用-E-11-10-99人</t>
  </si>
  <si>
    <t>正規雇用-E-12-10-99人</t>
  </si>
  <si>
    <t>正規雇用-E-13-10-99人</t>
  </si>
  <si>
    <t>正規雇用-E-14-10-99人</t>
  </si>
  <si>
    <t>正規雇用-E-15-10-99人</t>
  </si>
  <si>
    <t>正規雇用-E-16-10-99人</t>
  </si>
  <si>
    <t>正規雇用-E-18-10-99人</t>
  </si>
  <si>
    <t>正規雇用-E-19-10-99人</t>
  </si>
  <si>
    <t>正規雇用-E-21-10-99人</t>
  </si>
  <si>
    <t>正規雇用-E-22-10-99人</t>
  </si>
  <si>
    <t>正規雇用-E-23-10-99人</t>
  </si>
  <si>
    <t>正規雇用-E-24-10-99人</t>
  </si>
  <si>
    <t>正規雇用-E-25-10-99人</t>
  </si>
  <si>
    <t>正規雇用-E-26-10-99人</t>
  </si>
  <si>
    <t>正規雇用-E-27-10-99人</t>
  </si>
  <si>
    <t>正規雇用-E-28-10-99人</t>
  </si>
  <si>
    <t>正規雇用-E-29-10-99人</t>
  </si>
  <si>
    <t>正規雇用-E-30-10-99人</t>
  </si>
  <si>
    <t>正規雇用-E-31-10-99人</t>
  </si>
  <si>
    <t>正規雇用-E-20-10-99人</t>
  </si>
  <si>
    <t>正規雇用-F--10-99人</t>
  </si>
  <si>
    <t>正規雇用-G--10-99人</t>
  </si>
  <si>
    <t>正規雇用-H--10-99人</t>
  </si>
  <si>
    <t>正規雇用-I--10-99人</t>
  </si>
  <si>
    <t>正規雇用-J--10-99人</t>
  </si>
  <si>
    <t>正規雇用-K--10-99人</t>
  </si>
  <si>
    <t>正規雇用-L--10-99人</t>
  </si>
  <si>
    <t>正規雇用-M--10-99人</t>
  </si>
  <si>
    <t>正規雇用-N--10-99人</t>
  </si>
  <si>
    <t>正規雇用-O--10-99人</t>
  </si>
  <si>
    <t>正規雇用-P--10-99人</t>
  </si>
  <si>
    <t>正規雇用-Q--10-99人</t>
  </si>
  <si>
    <t>正規雇用-R--10-99人</t>
  </si>
  <si>
    <t>非正規雇用---10-99人</t>
  </si>
  <si>
    <t>非正規雇用-C--10-99人</t>
  </si>
  <si>
    <t>非正規雇用-D--10-99人</t>
  </si>
  <si>
    <t>非正規雇用-E--10-99人</t>
  </si>
  <si>
    <t>非正規雇用-E-9-10-99人</t>
  </si>
  <si>
    <t>非正規雇用-E-11-10-99人</t>
  </si>
  <si>
    <t>非正規雇用-E-12-10-99人</t>
  </si>
  <si>
    <t>非正規雇用-E-13-10-99人</t>
  </si>
  <si>
    <t>非正規雇用-E-14-10-99人</t>
  </si>
  <si>
    <t>非正規雇用-E-15-10-99人</t>
  </si>
  <si>
    <t>非正規雇用-E-16-10-99人</t>
  </si>
  <si>
    <t>非正規雇用-E-18-10-99人</t>
  </si>
  <si>
    <t>正規雇用-E-10-10-99人</t>
  </si>
  <si>
    <t>正規雇用-E-17-10-99人</t>
  </si>
  <si>
    <t>正規雇用-E-32-10-99人</t>
  </si>
  <si>
    <t>正規雇用-E-10-5-29人</t>
  </si>
  <si>
    <t>正規雇用-E-17-5-29人</t>
  </si>
  <si>
    <t>正規雇用-E-32-5-29人</t>
  </si>
  <si>
    <t>非正規雇用-E-10-10-99人</t>
  </si>
  <si>
    <t>非正規雇用-E-17-10-99人</t>
  </si>
  <si>
    <t>非正規雇用-E-32-10-99人</t>
  </si>
  <si>
    <t>非正規雇用-E-10-5-29人</t>
  </si>
  <si>
    <t>非正規雇用-E-17-5-29人</t>
  </si>
  <si>
    <t>非正規雇用-E-32-5-29人</t>
  </si>
  <si>
    <t>非正規雇用-E-19-10-99人</t>
  </si>
  <si>
    <t>非正規雇用-E-21-10-99人</t>
  </si>
  <si>
    <t>非正規雇用-E-22-10-99人</t>
  </si>
  <si>
    <t>非正規雇用-E-23-10-99人</t>
  </si>
  <si>
    <t>非正規雇用-E-24-10-99人</t>
  </si>
  <si>
    <t>非正規雇用-E-25-10-99人</t>
  </si>
  <si>
    <t>非正規雇用-E-26-10-99人</t>
  </si>
  <si>
    <t>非正規雇用-E-27-10-99人</t>
  </si>
  <si>
    <t>非正規雇用-E-28-10-99人</t>
  </si>
  <si>
    <t>非正規雇用-E-29-10-99人</t>
  </si>
  <si>
    <t>非正規雇用-E-30-10-99人</t>
  </si>
  <si>
    <t>非正規雇用-E-31-10-99人</t>
  </si>
  <si>
    <t>非正規雇用-E-20-10-99人</t>
  </si>
  <si>
    <t>非正規雇用-F--10-99人</t>
  </si>
  <si>
    <t>非正規雇用-G--10-99人</t>
  </si>
  <si>
    <t>非正規雇用-H--10-99人</t>
  </si>
  <si>
    <t>非正規雇用-I--10-99人</t>
  </si>
  <si>
    <t>非正規雇用-J--10-99人</t>
  </si>
  <si>
    <t>非正規雇用-K--10-99人</t>
  </si>
  <si>
    <t>非正規雇用-L--10-99人</t>
  </si>
  <si>
    <t>非正規雇用-M--10-99人</t>
  </si>
  <si>
    <t>非正規雇用-N--10-99人</t>
  </si>
  <si>
    <t>非正規雇用-O--10-99人</t>
  </si>
  <si>
    <t>非正規雇用-P--10-99人</t>
  </si>
  <si>
    <t>非正規雇用-Q--10-99人</t>
  </si>
  <si>
    <t>非正規雇用-R--10-99人</t>
  </si>
  <si>
    <t>E-9-10-99人-</t>
  </si>
  <si>
    <t>E-9-10-99人-正規雇用</t>
  </si>
  <si>
    <t>E-9-100-299人-</t>
  </si>
  <si>
    <t>E-9-100-299人-正規雇用</t>
  </si>
  <si>
    <t>E-9-300-999人-</t>
  </si>
  <si>
    <t>E-9-300-999人-正規雇用</t>
  </si>
  <si>
    <t>E-10-10-99人-</t>
  </si>
  <si>
    <t>E-10-10-99人-正規雇用</t>
  </si>
  <si>
    <t>E-10-100-299人-</t>
  </si>
  <si>
    <t>E-10-100-299人-正規雇用</t>
  </si>
  <si>
    <t>E-10-300-999人-</t>
  </si>
  <si>
    <t>E-10-300-999人-正規雇用</t>
  </si>
  <si>
    <t>E-11-10-99人-</t>
  </si>
  <si>
    <t>E-11-10-99人-正規雇用</t>
  </si>
  <si>
    <t>E-11-100-299人-</t>
  </si>
  <si>
    <t>E-11-100-299人-正規雇用</t>
  </si>
  <si>
    <t>E-11-300-999人-</t>
  </si>
  <si>
    <t>E-11-300-999人-正規雇用</t>
  </si>
  <si>
    <t>E-12-10-99人-</t>
  </si>
  <si>
    <t>E-12-10-99人-正規雇用</t>
  </si>
  <si>
    <t>E-12-100-299人-</t>
  </si>
  <si>
    <t>E-12-100-299人-正規雇用</t>
  </si>
  <si>
    <t>E-12-300-999人-</t>
  </si>
  <si>
    <t>E-12-300-999人-正規雇用</t>
  </si>
  <si>
    <t>E-13-10-99人-</t>
  </si>
  <si>
    <t>E-13-10-99人-正規雇用</t>
  </si>
  <si>
    <t>E-13-100-299人-</t>
  </si>
  <si>
    <t>E-13-100-299人-正規雇用</t>
  </si>
  <si>
    <t>E-13-300-999人-</t>
  </si>
  <si>
    <t>E-13-300-999人-正規雇用</t>
  </si>
  <si>
    <t>E-14-10-99人-</t>
  </si>
  <si>
    <t>E-14-10-99人-正規雇用</t>
  </si>
  <si>
    <t>E-14-100-299人-</t>
  </si>
  <si>
    <t>E-14-100-299人-正規雇用</t>
  </si>
  <si>
    <t>E-14-300-999人-</t>
  </si>
  <si>
    <t>E-14-300-999人-正規雇用</t>
  </si>
  <si>
    <t>E-15-10-99人-</t>
  </si>
  <si>
    <t>E-15-10-99人-正規雇用</t>
  </si>
  <si>
    <t>E-15-100-299人-</t>
  </si>
  <si>
    <t>E-15-100-299人-正規雇用</t>
  </si>
  <si>
    <t>E-15-300-999人-</t>
  </si>
  <si>
    <t>E-15-300-999人-正規雇用</t>
  </si>
  <si>
    <t>E-16-10-99人-</t>
  </si>
  <si>
    <t>E-16-10-99人-正規雇用</t>
  </si>
  <si>
    <t>E-16-100-299人-</t>
  </si>
  <si>
    <t>E-16-100-299人-正規雇用</t>
  </si>
  <si>
    <t>E-16-300-999人-</t>
  </si>
  <si>
    <t>E-16-300-999人-正規雇用</t>
  </si>
  <si>
    <t>E-17-10-99人-</t>
  </si>
  <si>
    <t>E-17-10-99人-正規雇用</t>
  </si>
  <si>
    <t>E-17-100-299人-</t>
  </si>
  <si>
    <t>E-17-100-299人-正規雇用</t>
  </si>
  <si>
    <t>E-17-300-999人-</t>
  </si>
  <si>
    <t>E-17-300-999人-正規雇用</t>
  </si>
  <si>
    <t>E-18-10-99人-</t>
  </si>
  <si>
    <t>E-18-10-99人-正規雇用</t>
  </si>
  <si>
    <t>E-18-100-299人-</t>
  </si>
  <si>
    <t>E-18-100-299人-正規雇用</t>
  </si>
  <si>
    <t>E-18-300-999人-</t>
  </si>
  <si>
    <t>E-18-300-999人-正規雇用</t>
  </si>
  <si>
    <t>E-19-10-99人-</t>
  </si>
  <si>
    <t>E-19-10-99人-正規雇用</t>
  </si>
  <si>
    <t>E-19-100-299人-</t>
  </si>
  <si>
    <t>E-19-100-299人-正規雇用</t>
  </si>
  <si>
    <t>E-19-300-999人-</t>
  </si>
  <si>
    <t>E-19-300-999人-正規雇用</t>
  </si>
  <si>
    <t>E-20-10-99人-</t>
  </si>
  <si>
    <t>E-20-10-99人-正規雇用</t>
  </si>
  <si>
    <t>E-20-100-299人-</t>
  </si>
  <si>
    <t>E-20-100-299人-正規雇用</t>
  </si>
  <si>
    <t>E-20-300-999人-</t>
  </si>
  <si>
    <t>E-20-300-999人-正規雇用</t>
  </si>
  <si>
    <t>E-21-10-99人-</t>
  </si>
  <si>
    <t>E-21-10-99人-正規雇用</t>
  </si>
  <si>
    <t>E-21-100-299人-</t>
  </si>
  <si>
    <t>E-21-100-299人-正規雇用</t>
  </si>
  <si>
    <t>E-21-300-999人-</t>
  </si>
  <si>
    <t>E-21-300-999人-正規雇用</t>
  </si>
  <si>
    <t>E-22-10-99人-</t>
  </si>
  <si>
    <t>E-22-10-99人-正規雇用</t>
  </si>
  <si>
    <t>E-22-100-299人-</t>
  </si>
  <si>
    <t>E-22-100-299人-正規雇用</t>
  </si>
  <si>
    <t>E-22-300-999人-</t>
  </si>
  <si>
    <t>E-22-300-999人-正規雇用</t>
  </si>
  <si>
    <t>E-23-10-99人-</t>
  </si>
  <si>
    <t>E-23-10-99人-正規雇用</t>
  </si>
  <si>
    <t>E-23-100-299人-</t>
  </si>
  <si>
    <t>E-23-100-299人-正規雇用</t>
  </si>
  <si>
    <t>E-23-300-999人-</t>
  </si>
  <si>
    <t>E-23-300-999人-正規雇用</t>
  </si>
  <si>
    <t>E-24-10-99人-</t>
  </si>
  <si>
    <t>E-24-10-99人-正規雇用</t>
  </si>
  <si>
    <t>E-24-100-299人-</t>
  </si>
  <si>
    <t>E-24-100-299人-正規雇用</t>
  </si>
  <si>
    <t>E-24-300-999人-</t>
  </si>
  <si>
    <t>E-24-300-999人-正規雇用</t>
  </si>
  <si>
    <t>E-25-10-99人-</t>
  </si>
  <si>
    <t>E-25-10-99人-正規雇用</t>
  </si>
  <si>
    <t>E-25-100-299人-</t>
  </si>
  <si>
    <t>E-25-100-299人-正規雇用</t>
  </si>
  <si>
    <t>E-25-300-999人-</t>
  </si>
  <si>
    <t>E-25-300-999人-正規雇用</t>
  </si>
  <si>
    <t>E-26-10-99人-</t>
  </si>
  <si>
    <t>E-26-10-99人-正規雇用</t>
  </si>
  <si>
    <t>E-26-100-299人-</t>
  </si>
  <si>
    <t>E-26-100-299人-正規雇用</t>
  </si>
  <si>
    <t>E-26-300-999人-</t>
  </si>
  <si>
    <t>E-26-300-999人-正規雇用</t>
  </si>
  <si>
    <t>E-27-10-99人-</t>
  </si>
  <si>
    <t>E-27-10-99人-正規雇用</t>
  </si>
  <si>
    <t>E-27-100-299人-</t>
  </si>
  <si>
    <t>E-27-100-299人-正規雇用</t>
  </si>
  <si>
    <t>E-27-300-999人-</t>
  </si>
  <si>
    <t>E-27-300-999人-正規雇用</t>
  </si>
  <si>
    <t>E-28-10-99人-</t>
  </si>
  <si>
    <t>E-28-10-99人-正規雇用</t>
  </si>
  <si>
    <t>E-28-100-299人-</t>
  </si>
  <si>
    <t>E-28-100-299人-正規雇用</t>
  </si>
  <si>
    <t>E-28-300-999人-</t>
  </si>
  <si>
    <t>E-28-300-999人-正規雇用</t>
  </si>
  <si>
    <t>E-29-10-99人-</t>
  </si>
  <si>
    <t>E-29-10-99人-正規雇用</t>
  </si>
  <si>
    <t>E-29-100-299人-</t>
  </si>
  <si>
    <t>E-29-100-299人-正規雇用</t>
  </si>
  <si>
    <t>E-29-300-999人-</t>
  </si>
  <si>
    <t>E-29-300-999人-正規雇用</t>
  </si>
  <si>
    <t>E-30-10-99人-</t>
  </si>
  <si>
    <t>E-30-10-99人-正規雇用</t>
  </si>
  <si>
    <t>E-30-100-299人-</t>
  </si>
  <si>
    <t>E-30-100-299人-正規雇用</t>
  </si>
  <si>
    <t>E-30-300-999人-</t>
  </si>
  <si>
    <t>E-30-300-999人-正規雇用</t>
  </si>
  <si>
    <t>E-31-10-99人-</t>
  </si>
  <si>
    <t>E-31-10-99人-正規雇用</t>
  </si>
  <si>
    <t>E-31-100-299人-</t>
  </si>
  <si>
    <t>E-31-100-299人-正規雇用</t>
  </si>
  <si>
    <t>E-31-300-999人-</t>
  </si>
  <si>
    <t>E-31-300-999人-正規雇用</t>
  </si>
  <si>
    <t>E-32-10-99人-</t>
  </si>
  <si>
    <t>E-32-10-99人-正規雇用</t>
  </si>
  <si>
    <t>E-32-100-299人-</t>
  </si>
  <si>
    <t>E-32-100-299人-正規雇用</t>
  </si>
  <si>
    <t>E-32-300-999人-</t>
  </si>
  <si>
    <t>E-32-300-999人-正規雇用</t>
  </si>
  <si>
    <t>C--10-99人-</t>
  </si>
  <si>
    <t>C--10-99人-正規雇用</t>
  </si>
  <si>
    <t>C--100-299人-</t>
  </si>
  <si>
    <t>C--100-299人-正規雇用</t>
  </si>
  <si>
    <t>C--300-999人-</t>
  </si>
  <si>
    <t>C--300-999人-正規雇用</t>
  </si>
  <si>
    <t>D--10-99人-</t>
  </si>
  <si>
    <t>D--10-99人-正規雇用</t>
  </si>
  <si>
    <t>D--100-299人-</t>
  </si>
  <si>
    <t>D--100-299人-正規雇用</t>
  </si>
  <si>
    <t>D--300-999人-</t>
  </si>
  <si>
    <t>D--300-999人-正規雇用</t>
  </si>
  <si>
    <t>E--10-99人-</t>
  </si>
  <si>
    <t>E--10-99人-正規雇用</t>
  </si>
  <si>
    <t>E--100-299人-</t>
  </si>
  <si>
    <t>E--100-299人-正規雇用</t>
  </si>
  <si>
    <t>E--300-999人-</t>
  </si>
  <si>
    <t>E--300-999人-正規雇用</t>
  </si>
  <si>
    <t>F--10-99人-</t>
  </si>
  <si>
    <t>F--10-99人-正規雇用</t>
  </si>
  <si>
    <t>F--100-299人-</t>
  </si>
  <si>
    <t>F--100-299人-正規雇用</t>
  </si>
  <si>
    <t>F--300-999人-</t>
  </si>
  <si>
    <t>F--300-999人-正規雇用</t>
  </si>
  <si>
    <t>G--10-99人-</t>
  </si>
  <si>
    <t>G--10-99人-正規雇用</t>
  </si>
  <si>
    <t>G--100-299人-</t>
  </si>
  <si>
    <t>G--100-299人-正規雇用</t>
  </si>
  <si>
    <t>G--300-999人-</t>
  </si>
  <si>
    <t>G--300-999人-正規雇用</t>
  </si>
  <si>
    <t>H--10-99人-</t>
  </si>
  <si>
    <t>H--10-99人-正規雇用</t>
  </si>
  <si>
    <t>H--100-299人-</t>
  </si>
  <si>
    <t>H--100-299人-正規雇用</t>
  </si>
  <si>
    <t>H--300-999人-</t>
  </si>
  <si>
    <t>H--300-999人-正規雇用</t>
  </si>
  <si>
    <t>I--10-99人-</t>
  </si>
  <si>
    <t>I--10-99人-正規雇用</t>
  </si>
  <si>
    <t>I--100-299人-</t>
  </si>
  <si>
    <t>I--100-299人-正規雇用</t>
  </si>
  <si>
    <t>I--300-999人-</t>
  </si>
  <si>
    <t>I--300-999人-正規雇用</t>
  </si>
  <si>
    <t>J--10-99人-</t>
  </si>
  <si>
    <t>J--10-99人-正規雇用</t>
  </si>
  <si>
    <t>J--100-299人-</t>
  </si>
  <si>
    <t>J--100-299人-正規雇用</t>
  </si>
  <si>
    <t>J--300-999人-</t>
  </si>
  <si>
    <t>J--300-999人-正規雇用</t>
  </si>
  <si>
    <t>K--10-99人-</t>
  </si>
  <si>
    <t>K--10-99人-正規雇用</t>
  </si>
  <si>
    <t>K--100-299人-</t>
  </si>
  <si>
    <t>K--100-299人-正規雇用</t>
  </si>
  <si>
    <t>K--300-999人-</t>
  </si>
  <si>
    <t>K--300-999人-正規雇用</t>
  </si>
  <si>
    <t>L--10-99人-</t>
  </si>
  <si>
    <t>L--10-99人-正規雇用</t>
  </si>
  <si>
    <t>L--100-299人-</t>
  </si>
  <si>
    <t>L--100-299人-正規雇用</t>
  </si>
  <si>
    <t>L--300-999人-</t>
  </si>
  <si>
    <t>L--300-999人-正規雇用</t>
  </si>
  <si>
    <t>M--10-99人-</t>
  </si>
  <si>
    <t>M--10-99人-正規雇用</t>
  </si>
  <si>
    <t>M--100-299人-</t>
  </si>
  <si>
    <t>M--100-299人-正規雇用</t>
  </si>
  <si>
    <t>M--300-999人-</t>
  </si>
  <si>
    <t>M--300-999人-正規雇用</t>
  </si>
  <si>
    <t>N--10-99人-</t>
  </si>
  <si>
    <t>N--10-99人-正規雇用</t>
  </si>
  <si>
    <t>N--100-299人-</t>
  </si>
  <si>
    <t>N--100-299人-正規雇用</t>
  </si>
  <si>
    <t>N--300-999人-</t>
  </si>
  <si>
    <t>N--300-999人-正規雇用</t>
  </si>
  <si>
    <t>O--10-99人-</t>
  </si>
  <si>
    <t>O--10-99人-正規雇用</t>
  </si>
  <si>
    <t>O--100-299人-</t>
  </si>
  <si>
    <t>O--100-299人-正規雇用</t>
  </si>
  <si>
    <t>O--300-999人-</t>
  </si>
  <si>
    <t>O--300-999人-正規雇用</t>
  </si>
  <si>
    <t>P--10-99人-</t>
  </si>
  <si>
    <t>P--10-99人-正規雇用</t>
  </si>
  <si>
    <t>P--100-299人-</t>
  </si>
  <si>
    <t>P--100-299人-正規雇用</t>
  </si>
  <si>
    <t>P--300-999人-</t>
  </si>
  <si>
    <t>P--300-999人-正規雇用</t>
  </si>
  <si>
    <t>Q--10-99人-</t>
  </si>
  <si>
    <t>Q--10-99人-正規雇用</t>
  </si>
  <si>
    <t>Q--100-299人-</t>
  </si>
  <si>
    <t>Q--100-299人-正規雇用</t>
  </si>
  <si>
    <t>Q--300-999人-</t>
  </si>
  <si>
    <t>Q--300-999人-正規雇用</t>
  </si>
  <si>
    <t>R--10-99人-</t>
  </si>
  <si>
    <t>R--10-99人-正規雇用</t>
  </si>
  <si>
    <t>R--100-299人-</t>
  </si>
  <si>
    <t>R--100-299人-正規雇用</t>
  </si>
  <si>
    <t>R--300-999人-</t>
  </si>
  <si>
    <t>R--300-999人-正規雇用</t>
  </si>
  <si>
    <t>--10-99人-</t>
  </si>
  <si>
    <t>--10-99人-正規雇用</t>
  </si>
  <si>
    <t>--100-299人-</t>
  </si>
  <si>
    <t>--100-299人-正規雇用</t>
  </si>
  <si>
    <t>--300-999人-</t>
  </si>
  <si>
    <t>--300-999人-正規雇用</t>
  </si>
  <si>
    <t>正規雇用-E-9-1,000人以上-1-2年</t>
  </si>
  <si>
    <t>正規雇用-E-9-1,000人以上-10-14年</t>
  </si>
  <si>
    <t>正規雇用-E-9-1,000人以上-15-19年</t>
  </si>
  <si>
    <t>正規雇用-E-9-1,000人以上-20-24年</t>
  </si>
  <si>
    <t>正規雇用-E-9-1,000人以上-25-29年</t>
  </si>
  <si>
    <t>正規雇用-E-9-1,000人以上-3-4年</t>
  </si>
  <si>
    <t>正規雇用-E-9-1,000人以上-5-9年</t>
  </si>
  <si>
    <t>正規雇用-E-9-10-99人-</t>
  </si>
  <si>
    <t>正規雇用-E-9-10-99人-0年</t>
  </si>
  <si>
    <t>正規雇用-E-9-10-99人-1-2年</t>
  </si>
  <si>
    <t>正規雇用-E-9-10-99人-10-14年</t>
  </si>
  <si>
    <t>正規雇用-E-9-10-99人-15-19年</t>
  </si>
  <si>
    <t>正規雇用-E-9-10-99人-20-24年</t>
  </si>
  <si>
    <t>正規雇用-E-9-10-99人-25-29年</t>
  </si>
  <si>
    <t>正規雇用-E-9-10-99人-3-4年</t>
  </si>
  <si>
    <t>正規雇用-E-9-10-99人-30年以上</t>
  </si>
  <si>
    <t>正規雇用-E-9-10-99人-5-9年</t>
  </si>
  <si>
    <t>正規雇用-E-9-100-299人-</t>
  </si>
  <si>
    <t>正規雇用-E-9-100-299人-0年</t>
  </si>
  <si>
    <t>正規雇用-E-9-100-299人-1-2年</t>
  </si>
  <si>
    <t>正規雇用-E-9-100-299人-10-14年</t>
  </si>
  <si>
    <t>正規雇用-E-9-100-299人-15-19年</t>
  </si>
  <si>
    <t>正規雇用-E-9-100-299人-20-24年</t>
  </si>
  <si>
    <t>正規雇用-E-9-100-299人-25-29年</t>
  </si>
  <si>
    <t>正規雇用-E-9-100-299人-3-4年</t>
  </si>
  <si>
    <t>正規雇用-E-9-100-299人-30年以上</t>
  </si>
  <si>
    <t>正規雇用-E-9-100-299人-5-9年</t>
  </si>
  <si>
    <t>正規雇用-E-9-300-999人-</t>
  </si>
  <si>
    <t>正規雇用-E-9-300-999人-0年</t>
  </si>
  <si>
    <t>正規雇用-E-9-300-999人-1-2年</t>
  </si>
  <si>
    <t>正規雇用-E-9-300-999人-10-14年</t>
  </si>
  <si>
    <t>正規雇用-E-9-300-999人-15-19年</t>
  </si>
  <si>
    <t>正規雇用-E-9-300-999人-20-24年</t>
  </si>
  <si>
    <t>正規雇用-E-9-300-999人-25-29年</t>
  </si>
  <si>
    <t>正規雇用-E-9-300-999人-3-4年</t>
  </si>
  <si>
    <t>正規雇用-E-9-300-999人-30年以上</t>
  </si>
  <si>
    <t>正規雇用-E-9-300-999人-5-9年</t>
  </si>
  <si>
    <t>正規雇用-E-10-1,000人以上-1-2年</t>
  </si>
  <si>
    <t>正規雇用-E-10-1,000人以上-10-14年</t>
  </si>
  <si>
    <t>正規雇用-E-10-1,000人以上-15-19年</t>
  </si>
  <si>
    <t>正規雇用-E-10-1,000人以上-20-24年</t>
  </si>
  <si>
    <t>正規雇用-E-10-1,000人以上-25-29年</t>
  </si>
  <si>
    <t>正規雇用-E-10-1,000人以上-3-4年</t>
  </si>
  <si>
    <t>正規雇用-E-10-1,000人以上-5-9年</t>
  </si>
  <si>
    <t>正規雇用-E-10-10-99人-</t>
  </si>
  <si>
    <t>正規雇用-E-10-10-99人-0年</t>
  </si>
  <si>
    <t>正規雇用-E-10-10-99人-1-2年</t>
  </si>
  <si>
    <t>正規雇用-E-10-10-99人-10-14年</t>
  </si>
  <si>
    <t>正規雇用-E-10-10-99人-15-19年</t>
  </si>
  <si>
    <t>正規雇用-E-10-10-99人-20-24年</t>
  </si>
  <si>
    <t>正規雇用-E-10-10-99人-25-29年</t>
  </si>
  <si>
    <t>正規雇用-E-10-10-99人-3-4年</t>
  </si>
  <si>
    <t>正規雇用-E-10-10-99人-30年以上</t>
  </si>
  <si>
    <t>正規雇用-E-10-10-99人-5-9年</t>
  </si>
  <si>
    <t>正規雇用-E-10-100-299人-</t>
  </si>
  <si>
    <t>正規雇用-E-10-100-299人-0年</t>
  </si>
  <si>
    <t>正規雇用-E-10-100-299人-1-2年</t>
  </si>
  <si>
    <t>正規雇用-E-10-100-299人-10-14年</t>
  </si>
  <si>
    <t>正規雇用-E-10-100-299人-15-19年</t>
  </si>
  <si>
    <t>正規雇用-E-10-100-299人-20-24年</t>
  </si>
  <si>
    <t>正規雇用-E-10-100-299人-25-29年</t>
  </si>
  <si>
    <t>正規雇用-E-10-100-299人-3-4年</t>
  </si>
  <si>
    <t>正規雇用-E-10-100-299人-30年以上</t>
  </si>
  <si>
    <t>正規雇用-E-10-100-299人-5-9年</t>
  </si>
  <si>
    <t>正規雇用-E-10-300-999人-</t>
  </si>
  <si>
    <t>正規雇用-E-10-300-999人-0年</t>
  </si>
  <si>
    <t>正規雇用-E-10-300-999人-1-2年</t>
  </si>
  <si>
    <t>正規雇用-E-10-300-999人-10-14年</t>
  </si>
  <si>
    <t>正規雇用-E-10-300-999人-15-19年</t>
  </si>
  <si>
    <t>正規雇用-E-10-300-999人-20-24年</t>
  </si>
  <si>
    <t>正規雇用-E-10-300-999人-25-29年</t>
  </si>
  <si>
    <t>正規雇用-E-10-300-999人-3-4年</t>
  </si>
  <si>
    <t>正規雇用-E-10-300-999人-30年以上</t>
  </si>
  <si>
    <t>正規雇用-E-10-300-999人-5-9年</t>
  </si>
  <si>
    <t>正規雇用-E-11-1,000人以上-1-2年</t>
  </si>
  <si>
    <t>正規雇用-E-11-1,000人以上-10-14年</t>
  </si>
  <si>
    <t>正規雇用-E-11-1,000人以上-15-19年</t>
  </si>
  <si>
    <t>正規雇用-E-11-1,000人以上-20-24年</t>
  </si>
  <si>
    <t>正規雇用-E-11-1,000人以上-25-29年</t>
  </si>
  <si>
    <t>正規雇用-E-11-1,000人以上-3-4年</t>
  </si>
  <si>
    <t>正規雇用-E-11-1,000人以上-5-9年</t>
  </si>
  <si>
    <t>正規雇用-E-11-10-99人-</t>
  </si>
  <si>
    <t>正規雇用-E-11-10-99人-0年</t>
  </si>
  <si>
    <t>正規雇用-E-11-10-99人-1-2年</t>
  </si>
  <si>
    <t>正規雇用-E-11-10-99人-10-14年</t>
  </si>
  <si>
    <t>正規雇用-E-11-10-99人-15-19年</t>
  </si>
  <si>
    <t>正規雇用-E-11-10-99人-20-24年</t>
  </si>
  <si>
    <t>正規雇用-E-11-10-99人-25-29年</t>
  </si>
  <si>
    <t>正規雇用-E-11-10-99人-3-4年</t>
  </si>
  <si>
    <t>正規雇用-E-11-10-99人-30年以上</t>
  </si>
  <si>
    <t>正規雇用-E-11-10-99人-5-9年</t>
  </si>
  <si>
    <t>正規雇用-E-11-100-299人-</t>
  </si>
  <si>
    <t>正規雇用-E-11-100-299人-0年</t>
  </si>
  <si>
    <t>正規雇用-E-11-100-299人-1-2年</t>
  </si>
  <si>
    <t>正規雇用-E-11-100-299人-10-14年</t>
  </si>
  <si>
    <t>正規雇用-E-11-100-299人-15-19年</t>
  </si>
  <si>
    <t>正規雇用-E-11-100-299人-20-24年</t>
  </si>
  <si>
    <t>正規雇用-E-11-100-299人-25-29年</t>
  </si>
  <si>
    <t>正規雇用-E-11-100-299人-3-4年</t>
  </si>
  <si>
    <t>正規雇用-E-11-100-299人-30年以上</t>
  </si>
  <si>
    <t>正規雇用-E-11-100-299人-5-9年</t>
  </si>
  <si>
    <t>正規雇用-E-11-300-999人-</t>
  </si>
  <si>
    <t>正規雇用-E-11-300-999人-0年</t>
  </si>
  <si>
    <t>正規雇用-E-11-300-999人-1-2年</t>
  </si>
  <si>
    <t>正規雇用-E-11-300-999人-10-14年</t>
  </si>
  <si>
    <t>正規雇用-E-11-300-999人-15-19年</t>
  </si>
  <si>
    <t>正規雇用-E-11-300-999人-20-24年</t>
  </si>
  <si>
    <t>正規雇用-E-11-300-999人-25-29年</t>
  </si>
  <si>
    <t>正規雇用-E-11-300-999人-3-4年</t>
  </si>
  <si>
    <t>正規雇用-E-11-300-999人-30年以上</t>
  </si>
  <si>
    <t>正規雇用-E-11-300-999人-5-9年</t>
  </si>
  <si>
    <t>正規雇用-E-12-1,000人以上-1-2年</t>
  </si>
  <si>
    <t>正規雇用-E-12-1,000人以上-10-14年</t>
  </si>
  <si>
    <t>正規雇用-E-12-1,000人以上-15-19年</t>
  </si>
  <si>
    <t>正規雇用-E-12-1,000人以上-20-24年</t>
  </si>
  <si>
    <t>正規雇用-E-12-1,000人以上-25-29年</t>
  </si>
  <si>
    <t>正規雇用-E-12-1,000人以上-3-4年</t>
  </si>
  <si>
    <t>正規雇用-E-12-1,000人以上-5-9年</t>
  </si>
  <si>
    <t>正規雇用-E-12-10-99人-</t>
  </si>
  <si>
    <t>正規雇用-E-12-10-99人-0年</t>
  </si>
  <si>
    <t>正規雇用-E-12-10-99人-1-2年</t>
  </si>
  <si>
    <t>正規雇用-E-12-10-99人-10-14年</t>
  </si>
  <si>
    <t>正規雇用-E-12-10-99人-15-19年</t>
  </si>
  <si>
    <t>正規雇用-E-12-10-99人-20-24年</t>
  </si>
  <si>
    <t>正規雇用-E-12-10-99人-25-29年</t>
  </si>
  <si>
    <t>正規雇用-E-12-10-99人-3-4年</t>
  </si>
  <si>
    <t>正規雇用-E-12-10-99人-30年以上</t>
  </si>
  <si>
    <t>正規雇用-E-12-10-99人-5-9年</t>
  </si>
  <si>
    <t>正規雇用-E-12-100-299人-</t>
  </si>
  <si>
    <t>正規雇用-E-12-100-299人-0年</t>
  </si>
  <si>
    <t>正規雇用-E-12-100-299人-1-2年</t>
  </si>
  <si>
    <t>正規雇用-E-12-100-299人-10-14年</t>
  </si>
  <si>
    <t>正規雇用-E-12-100-299人-15-19年</t>
  </si>
  <si>
    <t>正規雇用-E-12-100-299人-20-24年</t>
  </si>
  <si>
    <t>正規雇用-E-12-100-299人-25-29年</t>
  </si>
  <si>
    <t>正規雇用-E-12-100-299人-3-4年</t>
  </si>
  <si>
    <t>正規雇用-E-12-100-299人-30年以上</t>
  </si>
  <si>
    <t>正規雇用-E-12-100-299人-5-9年</t>
  </si>
  <si>
    <t>正規雇用-E-12-300-999人-</t>
  </si>
  <si>
    <t>正規雇用-E-12-300-999人-0年</t>
  </si>
  <si>
    <t>正規雇用-E-12-300-999人-1-2年</t>
  </si>
  <si>
    <t>正規雇用-E-12-300-999人-10-14年</t>
  </si>
  <si>
    <t>正規雇用-E-12-300-999人-15-19年</t>
  </si>
  <si>
    <t>正規雇用-E-12-300-999人-20-24年</t>
  </si>
  <si>
    <t>正規雇用-E-12-300-999人-25-29年</t>
  </si>
  <si>
    <t>正規雇用-E-12-300-999人-3-4年</t>
  </si>
  <si>
    <t>正規雇用-E-12-300-999人-30年以上</t>
  </si>
  <si>
    <t>正規雇用-E-12-300-999人-5-9年</t>
  </si>
  <si>
    <t>正規雇用-E-13-1,000人以上-1-2年</t>
  </si>
  <si>
    <t>正規雇用-E-13-1,000人以上-10-14年</t>
  </si>
  <si>
    <t>正規雇用-E-13-1,000人以上-15-19年</t>
  </si>
  <si>
    <t>正規雇用-E-13-1,000人以上-20-24年</t>
  </si>
  <si>
    <t>正規雇用-E-13-1,000人以上-25-29年</t>
  </si>
  <si>
    <t>正規雇用-E-13-1,000人以上-3-4年</t>
  </si>
  <si>
    <t>正規雇用-E-13-1,000人以上-5-9年</t>
  </si>
  <si>
    <t>正規雇用-E-13-10-99人-</t>
  </si>
  <si>
    <t>正規雇用-E-13-10-99人-0年</t>
  </si>
  <si>
    <t>正規雇用-E-13-10-99人-1-2年</t>
  </si>
  <si>
    <t>正規雇用-E-13-10-99人-10-14年</t>
  </si>
  <si>
    <t>正規雇用-E-13-10-99人-15-19年</t>
  </si>
  <si>
    <t>正規雇用-E-13-10-99人-20-24年</t>
  </si>
  <si>
    <t>正規雇用-E-13-10-99人-25-29年</t>
  </si>
  <si>
    <t>正規雇用-E-13-10-99人-3-4年</t>
  </si>
  <si>
    <t>正規雇用-E-13-10-99人-30年以上</t>
  </si>
  <si>
    <t>正規雇用-E-13-10-99人-5-9年</t>
  </si>
  <si>
    <t>正規雇用-E-13-100-299人-</t>
  </si>
  <si>
    <t>正規雇用-E-13-100-299人-0年</t>
  </si>
  <si>
    <t>正規雇用-E-13-100-299人-1-2年</t>
  </si>
  <si>
    <t>正規雇用-E-13-100-299人-10-14年</t>
  </si>
  <si>
    <t>正規雇用-E-13-100-299人-15-19年</t>
  </si>
  <si>
    <t>正規雇用-E-13-100-299人-20-24年</t>
  </si>
  <si>
    <t>正規雇用-E-13-100-299人-25-29年</t>
  </si>
  <si>
    <t>正規雇用-E-13-100-299人-3-4年</t>
  </si>
  <si>
    <t>正規雇用-E-13-100-299人-30年以上</t>
  </si>
  <si>
    <t>正規雇用-E-13-100-299人-5-9年</t>
  </si>
  <si>
    <t>正規雇用-E-13-300-999人-</t>
  </si>
  <si>
    <t>正規雇用-E-13-300-999人-0年</t>
  </si>
  <si>
    <t>正規雇用-E-13-300-999人-1-2年</t>
  </si>
  <si>
    <t>正規雇用-E-13-300-999人-10-14年</t>
  </si>
  <si>
    <t>正規雇用-E-13-300-999人-15-19年</t>
  </si>
  <si>
    <t>正規雇用-E-13-300-999人-20-24年</t>
  </si>
  <si>
    <t>正規雇用-E-13-300-999人-25-29年</t>
  </si>
  <si>
    <t>正規雇用-E-13-300-999人-3-4年</t>
  </si>
  <si>
    <t>正規雇用-E-13-300-999人-30年以上</t>
  </si>
  <si>
    <t>正規雇用-E-13-300-999人-5-9年</t>
  </si>
  <si>
    <t>正規雇用-E-14-1,000人以上-1-2年</t>
  </si>
  <si>
    <t>正規雇用-E-14-1,000人以上-10-14年</t>
  </si>
  <si>
    <t>正規雇用-E-14-1,000人以上-15-19年</t>
  </si>
  <si>
    <t>正規雇用-E-14-1,000人以上-20-24年</t>
  </si>
  <si>
    <t>正規雇用-E-14-1,000人以上-25-29年</t>
  </si>
  <si>
    <t>正規雇用-E-14-1,000人以上-3-4年</t>
  </si>
  <si>
    <t>正規雇用-E-14-1,000人以上-5-9年</t>
  </si>
  <si>
    <t>正規雇用-E-14-10-99人-</t>
  </si>
  <si>
    <t>正規雇用-E-14-10-99人-0年</t>
  </si>
  <si>
    <t>正規雇用-E-14-10-99人-1-2年</t>
  </si>
  <si>
    <t>正規雇用-E-14-10-99人-10-14年</t>
  </si>
  <si>
    <t>正規雇用-E-14-10-99人-15-19年</t>
  </si>
  <si>
    <t>正規雇用-E-14-10-99人-20-24年</t>
  </si>
  <si>
    <t>正規雇用-E-14-10-99人-25-29年</t>
  </si>
  <si>
    <t>正規雇用-E-14-10-99人-3-4年</t>
  </si>
  <si>
    <t>正規雇用-E-14-10-99人-30年以上</t>
  </si>
  <si>
    <t>正規雇用-E-14-10-99人-5-9年</t>
  </si>
  <si>
    <t>正規雇用-E-14-100-299人-</t>
  </si>
  <si>
    <t>正規雇用-E-14-100-299人-0年</t>
  </si>
  <si>
    <t>正規雇用-E-14-100-299人-1-2年</t>
  </si>
  <si>
    <t>正規雇用-E-14-100-299人-10-14年</t>
  </si>
  <si>
    <t>正規雇用-E-14-100-299人-15-19年</t>
  </si>
  <si>
    <t>正規雇用-E-14-100-299人-20-24年</t>
  </si>
  <si>
    <t>正規雇用-E-14-100-299人-25-29年</t>
  </si>
  <si>
    <t>正規雇用-E-14-100-299人-3-4年</t>
  </si>
  <si>
    <t>正規雇用-E-14-100-299人-30年以上</t>
  </si>
  <si>
    <t>正規雇用-E-14-100-299人-5-9年</t>
  </si>
  <si>
    <t>正規雇用-E-14-300-999人-</t>
  </si>
  <si>
    <t>正規雇用-E-14-300-999人-0年</t>
  </si>
  <si>
    <t>正規雇用-E-14-300-999人-1-2年</t>
  </si>
  <si>
    <t>正規雇用-E-14-300-999人-10-14年</t>
  </si>
  <si>
    <t>正規雇用-E-14-300-999人-15-19年</t>
  </si>
  <si>
    <t>正規雇用-E-14-300-999人-20-24年</t>
  </si>
  <si>
    <t>正規雇用-E-14-300-999人-25-29年</t>
  </si>
  <si>
    <t>正規雇用-E-14-300-999人-3-4年</t>
  </si>
  <si>
    <t>正規雇用-E-14-300-999人-30年以上</t>
  </si>
  <si>
    <t>正規雇用-E-14-300-999人-5-9年</t>
  </si>
  <si>
    <t>正規雇用-E-15-1,000人以上-1-2年</t>
  </si>
  <si>
    <t>正規雇用-E-15-1,000人以上-10-14年</t>
  </si>
  <si>
    <t>正規雇用-E-15-1,000人以上-15-19年</t>
  </si>
  <si>
    <t>正規雇用-E-15-1,000人以上-20-24年</t>
  </si>
  <si>
    <t>正規雇用-E-15-1,000人以上-25-29年</t>
  </si>
  <si>
    <t>正規雇用-E-15-1,000人以上-3-4年</t>
  </si>
  <si>
    <t>正規雇用-E-15-1,000人以上-5-9年</t>
  </si>
  <si>
    <t>正規雇用-E-15-10-99人-</t>
  </si>
  <si>
    <t>正規雇用-E-15-10-99人-0年</t>
  </si>
  <si>
    <t>正規雇用-E-15-10-99人-1-2年</t>
  </si>
  <si>
    <t>正規雇用-E-15-10-99人-10-14年</t>
  </si>
  <si>
    <t>正規雇用-E-15-10-99人-15-19年</t>
  </si>
  <si>
    <t>正規雇用-E-15-10-99人-20-24年</t>
  </si>
  <si>
    <t>正規雇用-E-15-10-99人-25-29年</t>
  </si>
  <si>
    <t>正規雇用-E-15-10-99人-3-4年</t>
  </si>
  <si>
    <t>正規雇用-E-15-10-99人-30年以上</t>
  </si>
  <si>
    <t>正規雇用-E-15-10-99人-5-9年</t>
  </si>
  <si>
    <t>正規雇用-E-15-100-299人-</t>
  </si>
  <si>
    <t>正規雇用-E-15-100-299人-0年</t>
  </si>
  <si>
    <t>正規雇用-E-15-100-299人-1-2年</t>
  </si>
  <si>
    <t>正規雇用-E-15-100-299人-10-14年</t>
  </si>
  <si>
    <t>正規雇用-E-15-100-299人-15-19年</t>
  </si>
  <si>
    <t>正規雇用-E-15-100-299人-20-24年</t>
  </si>
  <si>
    <t>正規雇用-E-15-100-299人-25-29年</t>
  </si>
  <si>
    <t>正規雇用-E-15-100-299人-3-4年</t>
  </si>
  <si>
    <t>正規雇用-E-15-100-299人-30年以上</t>
  </si>
  <si>
    <t>正規雇用-E-15-100-299人-5-9年</t>
  </si>
  <si>
    <t>正規雇用-E-15-300-999人-</t>
  </si>
  <si>
    <t>正規雇用-E-15-300-999人-0年</t>
  </si>
  <si>
    <t>正規雇用-E-15-300-999人-1-2年</t>
  </si>
  <si>
    <t>正規雇用-E-15-300-999人-10-14年</t>
  </si>
  <si>
    <t>正規雇用-E-15-300-999人-15-19年</t>
  </si>
  <si>
    <t>正規雇用-E-15-300-999人-20-24年</t>
  </si>
  <si>
    <t>正規雇用-E-15-300-999人-25-29年</t>
  </si>
  <si>
    <t>正規雇用-E-15-300-999人-3-4年</t>
  </si>
  <si>
    <t>正規雇用-E-15-300-999人-30年以上</t>
  </si>
  <si>
    <t>正規雇用-E-15-300-999人-5-9年</t>
  </si>
  <si>
    <t>正規雇用-E-16-1,000人以上-1-2年</t>
  </si>
  <si>
    <t>正規雇用-E-16-1,000人以上-10-14年</t>
  </si>
  <si>
    <t>正規雇用-E-16-1,000人以上-15-19年</t>
  </si>
  <si>
    <t>正規雇用-E-16-1,000人以上-20-24年</t>
  </si>
  <si>
    <t>正規雇用-E-16-1,000人以上-25-29年</t>
  </si>
  <si>
    <t>正規雇用-E-16-1,000人以上-3-4年</t>
  </si>
  <si>
    <t>正規雇用-E-16-1,000人以上-5-9年</t>
  </si>
  <si>
    <t>正規雇用-E-16-10-99人-</t>
  </si>
  <si>
    <t>正規雇用-E-16-10-99人-0年</t>
  </si>
  <si>
    <t>正規雇用-E-16-10-99人-1-2年</t>
  </si>
  <si>
    <t>正規雇用-E-16-10-99人-10-14年</t>
  </si>
  <si>
    <t>正規雇用-E-16-10-99人-15-19年</t>
  </si>
  <si>
    <t>正規雇用-E-16-10-99人-20-24年</t>
  </si>
  <si>
    <t>正規雇用-E-16-10-99人-25-29年</t>
  </si>
  <si>
    <t>正規雇用-E-16-10-99人-3-4年</t>
  </si>
  <si>
    <t>正規雇用-E-16-10-99人-30年以上</t>
  </si>
  <si>
    <t>正規雇用-E-16-10-99人-5-9年</t>
  </si>
  <si>
    <t>正規雇用-E-16-100-299人-</t>
  </si>
  <si>
    <t>正規雇用-E-16-100-299人-0年</t>
  </si>
  <si>
    <t>正規雇用-E-16-100-299人-1-2年</t>
  </si>
  <si>
    <t>正規雇用-E-16-100-299人-10-14年</t>
  </si>
  <si>
    <t>正規雇用-E-16-100-299人-15-19年</t>
  </si>
  <si>
    <t>正規雇用-E-16-100-299人-20-24年</t>
  </si>
  <si>
    <t>正規雇用-E-16-100-299人-25-29年</t>
  </si>
  <si>
    <t>正規雇用-E-16-100-299人-3-4年</t>
  </si>
  <si>
    <t>正規雇用-E-16-100-299人-30年以上</t>
  </si>
  <si>
    <t>正規雇用-E-16-100-299人-5-9年</t>
  </si>
  <si>
    <t>正規雇用-E-16-300-999人-</t>
  </si>
  <si>
    <t>正規雇用-E-16-300-999人-0年</t>
  </si>
  <si>
    <t>正規雇用-E-16-300-999人-1-2年</t>
  </si>
  <si>
    <t>正規雇用-E-16-300-999人-10-14年</t>
  </si>
  <si>
    <t>正規雇用-E-16-300-999人-15-19年</t>
  </si>
  <si>
    <t>正規雇用-E-16-300-999人-20-24年</t>
  </si>
  <si>
    <t>正規雇用-E-16-300-999人-25-29年</t>
  </si>
  <si>
    <t>正規雇用-E-16-300-999人-3-4年</t>
  </si>
  <si>
    <t>正規雇用-E-16-300-999人-30年以上</t>
  </si>
  <si>
    <t>正規雇用-E-16-300-999人-5-9年</t>
  </si>
  <si>
    <t>正規雇用-E-17-1,000人以上-1-2年</t>
  </si>
  <si>
    <t>正規雇用-E-17-1,000人以上-10-14年</t>
  </si>
  <si>
    <t>正規雇用-E-17-1,000人以上-15-19年</t>
  </si>
  <si>
    <t>正規雇用-E-17-1,000人以上-20-24年</t>
  </si>
  <si>
    <t>正規雇用-E-17-1,000人以上-25-29年</t>
  </si>
  <si>
    <t>正規雇用-E-17-1,000人以上-3-4年</t>
  </si>
  <si>
    <t>正規雇用-E-17-1,000人以上-5-9年</t>
  </si>
  <si>
    <t>正規雇用-E-17-10-99人-</t>
  </si>
  <si>
    <t>正規雇用-E-17-10-99人-0年</t>
  </si>
  <si>
    <t>正規雇用-E-17-10-99人-1-2年</t>
  </si>
  <si>
    <t>正規雇用-E-17-10-99人-10-14年</t>
  </si>
  <si>
    <t>正規雇用-E-17-10-99人-15-19年</t>
  </si>
  <si>
    <t>正規雇用-E-17-10-99人-20-24年</t>
  </si>
  <si>
    <t>正規雇用-E-17-10-99人-25-29年</t>
  </si>
  <si>
    <t>正規雇用-E-17-10-99人-3-4年</t>
  </si>
  <si>
    <t>正規雇用-E-17-10-99人-30年以上</t>
  </si>
  <si>
    <t>正規雇用-E-17-10-99人-5-9年</t>
  </si>
  <si>
    <t>正規雇用-E-17-100-299人-</t>
  </si>
  <si>
    <t>正規雇用-E-17-100-299人-0年</t>
  </si>
  <si>
    <t>正規雇用-E-17-100-299人-1-2年</t>
  </si>
  <si>
    <t>正規雇用-E-17-100-299人-10-14年</t>
  </si>
  <si>
    <t>正規雇用-E-17-100-299人-15-19年</t>
  </si>
  <si>
    <t>正規雇用-E-17-100-299人-25-29年</t>
  </si>
  <si>
    <t>正規雇用-E-17-100-299人-3-4年</t>
  </si>
  <si>
    <t>正規雇用-E-17-100-299人-30年以上</t>
  </si>
  <si>
    <t>正規雇用-E-17-100-299人-5-9年</t>
  </si>
  <si>
    <t>正規雇用-E-17-300-999人-</t>
  </si>
  <si>
    <t>正規雇用-E-17-300-999人-0年</t>
  </si>
  <si>
    <t>正規雇用-E-17-300-999人-1-2年</t>
  </si>
  <si>
    <t>正規雇用-E-17-300-999人-10-14年</t>
  </si>
  <si>
    <t>正規雇用-E-17-300-999人-15-19年</t>
  </si>
  <si>
    <t>正規雇用-E-17-300-999人-20-24年</t>
  </si>
  <si>
    <t>正規雇用-E-17-300-999人-25-29年</t>
  </si>
  <si>
    <t>正規雇用-E-17-300-999人-3-4年</t>
  </si>
  <si>
    <t>正規雇用-E-17-300-999人-30年以上</t>
  </si>
  <si>
    <t>正規雇用-E-17-300-999人-5-9年</t>
  </si>
  <si>
    <t>正規雇用-E-18-1,000人以上-1-2年</t>
  </si>
  <si>
    <t>正規雇用-E-18-1,000人以上-10-14年</t>
  </si>
  <si>
    <t>正規雇用-E-18-1,000人以上-15-19年</t>
  </si>
  <si>
    <t>正規雇用-E-18-1,000人以上-20-24年</t>
  </si>
  <si>
    <t>正規雇用-E-18-1,000人以上-25-29年</t>
  </si>
  <si>
    <t>正規雇用-E-18-1,000人以上-3-4年</t>
  </si>
  <si>
    <t>正規雇用-E-18-1,000人以上-5-9年</t>
  </si>
  <si>
    <t>正規雇用-E-18-10-99人-</t>
  </si>
  <si>
    <t>正規雇用-E-18-10-99人-0年</t>
  </si>
  <si>
    <t>正規雇用-E-18-10-99人-1-2年</t>
  </si>
  <si>
    <t>正規雇用-E-18-10-99人-10-14年</t>
  </si>
  <si>
    <t>正規雇用-E-18-10-99人-15-19年</t>
  </si>
  <si>
    <t>正規雇用-E-18-10-99人-20-24年</t>
  </si>
  <si>
    <t>正規雇用-E-18-10-99人-25-29年</t>
  </si>
  <si>
    <t>正規雇用-E-18-10-99人-3-4年</t>
  </si>
  <si>
    <t>正規雇用-E-18-10-99人-30年以上</t>
  </si>
  <si>
    <t>正規雇用-E-18-10-99人-5-9年</t>
  </si>
  <si>
    <t>正規雇用-E-18-100-299人-</t>
  </si>
  <si>
    <t>正規雇用-E-18-100-299人-0年</t>
  </si>
  <si>
    <t>正規雇用-E-18-100-299人-1-2年</t>
  </si>
  <si>
    <t>正規雇用-E-18-100-299人-10-14年</t>
  </si>
  <si>
    <t>正規雇用-E-18-100-299人-15-19年</t>
  </si>
  <si>
    <t>正規雇用-E-18-100-299人-20-24年</t>
  </si>
  <si>
    <t>正規雇用-E-18-100-299人-25-29年</t>
  </si>
  <si>
    <t>正規雇用-E-18-100-299人-3-4年</t>
  </si>
  <si>
    <t>正規雇用-E-18-100-299人-30年以上</t>
  </si>
  <si>
    <t>正規雇用-E-18-100-299人-5-9年</t>
  </si>
  <si>
    <t>正規雇用-E-18-300-999人-</t>
  </si>
  <si>
    <t>正規雇用-E-18-300-999人-0年</t>
  </si>
  <si>
    <t>正規雇用-E-18-300-999人-1-2年</t>
  </si>
  <si>
    <t>正規雇用-E-18-300-999人-10-14年</t>
  </si>
  <si>
    <t>正規雇用-E-18-300-999人-15-19年</t>
  </si>
  <si>
    <t>正規雇用-E-18-300-999人-20-24年</t>
  </si>
  <si>
    <t>正規雇用-E-18-300-999人-25-29年</t>
  </si>
  <si>
    <t>正規雇用-E-18-300-999人-3-4年</t>
  </si>
  <si>
    <t>正規雇用-E-18-300-999人-30年以上</t>
  </si>
  <si>
    <t>正規雇用-E-18-300-999人-5-9年</t>
  </si>
  <si>
    <t>正規雇用-E-19-1,000人以上-1-2年</t>
  </si>
  <si>
    <t>正規雇用-E-19-1,000人以上-10-14年</t>
  </si>
  <si>
    <t>正規雇用-E-19-1,000人以上-15-19年</t>
  </si>
  <si>
    <t>正規雇用-E-19-1,000人以上-20-24年</t>
  </si>
  <si>
    <t>正規雇用-E-19-1,000人以上-25-29年</t>
  </si>
  <si>
    <t>正規雇用-E-19-1,000人以上-3-4年</t>
  </si>
  <si>
    <t>正規雇用-E-19-1,000人以上-5-9年</t>
  </si>
  <si>
    <t>正規雇用-E-19-10-99人-</t>
  </si>
  <si>
    <t>正規雇用-E-19-10-99人-0年</t>
  </si>
  <si>
    <t>正規雇用-E-19-10-99人-1-2年</t>
  </si>
  <si>
    <t>正規雇用-E-19-10-99人-10-14年</t>
  </si>
  <si>
    <t>正規雇用-E-19-10-99人-15-19年</t>
  </si>
  <si>
    <t>正規雇用-E-19-10-99人-20-24年</t>
  </si>
  <si>
    <t>正規雇用-E-19-10-99人-25-29年</t>
  </si>
  <si>
    <t>正規雇用-E-19-10-99人-3-4年</t>
  </si>
  <si>
    <t>正規雇用-E-19-10-99人-30年以上</t>
  </si>
  <si>
    <t>正規雇用-E-19-10-99人-5-9年</t>
  </si>
  <si>
    <t>正規雇用-E-19-100-299人-</t>
  </si>
  <si>
    <t>正規雇用-E-19-100-299人-0年</t>
  </si>
  <si>
    <t>正規雇用-E-19-100-299人-1-2年</t>
  </si>
  <si>
    <t>正規雇用-E-19-100-299人-10-14年</t>
  </si>
  <si>
    <t>正規雇用-E-19-100-299人-15-19年</t>
  </si>
  <si>
    <t>正規雇用-E-19-100-299人-20-24年</t>
  </si>
  <si>
    <t>正規雇用-E-19-100-299人-25-29年</t>
  </si>
  <si>
    <t>正規雇用-E-19-100-299人-3-4年</t>
  </si>
  <si>
    <t>正規雇用-E-19-100-299人-30年以上</t>
  </si>
  <si>
    <t>正規雇用-E-19-100-299人-5-9年</t>
  </si>
  <si>
    <t>正規雇用-E-19-300-999人-</t>
  </si>
  <si>
    <t>正規雇用-E-19-300-999人-0年</t>
  </si>
  <si>
    <t>正規雇用-E-19-300-999人-1-2年</t>
  </si>
  <si>
    <t>正規雇用-E-19-300-999人-10-14年</t>
  </si>
  <si>
    <t>正規雇用-E-19-300-999人-15-19年</t>
  </si>
  <si>
    <t>正規雇用-E-19-300-999人-20-24年</t>
  </si>
  <si>
    <t>正規雇用-E-19-300-999人-25-29年</t>
  </si>
  <si>
    <t>正規雇用-E-19-300-999人-3-4年</t>
  </si>
  <si>
    <t>正規雇用-E-19-300-999人-30年以上</t>
  </si>
  <si>
    <t>正規雇用-E-19-300-999人-5-9年</t>
  </si>
  <si>
    <t>正規雇用-E-20-1,000人以上-10-14年</t>
  </si>
  <si>
    <t>正規雇用-E-20-1,000人以上-15-19年</t>
  </si>
  <si>
    <t>正規雇用-E-20-1,000人以上-20-24年</t>
  </si>
  <si>
    <t>正規雇用-E-20-1,000人以上-25-29年</t>
  </si>
  <si>
    <t>正規雇用-E-20-1,000人以上-3-4年</t>
  </si>
  <si>
    <t>正規雇用-E-20-1,000人以上-5-9年</t>
  </si>
  <si>
    <t>正規雇用-E-20-10-99人-</t>
  </si>
  <si>
    <t>正規雇用-E-20-10-99人-0年</t>
  </si>
  <si>
    <t>正規雇用-E-20-10-99人-1-2年</t>
  </si>
  <si>
    <t>正規雇用-E-20-10-99人-10-14年</t>
  </si>
  <si>
    <t>正規雇用-E-20-10-99人-15-19年</t>
  </si>
  <si>
    <t>正規雇用-E-20-10-99人-20-24年</t>
  </si>
  <si>
    <t>正規雇用-E-20-10-99人-25-29年</t>
  </si>
  <si>
    <t>正規雇用-E-20-10-99人-3-4年</t>
  </si>
  <si>
    <t>正規雇用-E-20-10-99人-30年以上</t>
  </si>
  <si>
    <t>正規雇用-E-20-10-99人-5-9年</t>
  </si>
  <si>
    <t>正規雇用-E-20-100-299人-</t>
  </si>
  <si>
    <t>正規雇用-E-20-100-299人-0年</t>
  </si>
  <si>
    <t>正規雇用-E-20-100-299人-1-2年</t>
  </si>
  <si>
    <t>正規雇用-E-20-100-299人-10-14年</t>
  </si>
  <si>
    <t>正規雇用-E-20-100-299人-15-19年</t>
  </si>
  <si>
    <t>正規雇用-E-20-100-299人-20-24年</t>
  </si>
  <si>
    <t>正規雇用-E-20-100-299人-25-29年</t>
  </si>
  <si>
    <t>正規雇用-E-20-100-299人-3-4年</t>
  </si>
  <si>
    <t>正規雇用-E-20-100-299人-30年以上</t>
  </si>
  <si>
    <t>正規雇用-E-20-100-299人-5-9年</t>
  </si>
  <si>
    <t>正規雇用-E-20-300-999人-</t>
  </si>
  <si>
    <t>正規雇用-E-20-300-999人-0年</t>
  </si>
  <si>
    <t>正規雇用-E-20-300-999人-1-2年</t>
  </si>
  <si>
    <t>正規雇用-E-20-300-999人-10-14年</t>
  </si>
  <si>
    <t>正規雇用-E-20-300-999人-15-19年</t>
  </si>
  <si>
    <t>正規雇用-E-20-300-999人-20-24年</t>
  </si>
  <si>
    <t>正規雇用-E-20-300-999人-25-29年</t>
  </si>
  <si>
    <t>正規雇用-E-20-300-999人-3-4年</t>
  </si>
  <si>
    <t>正規雇用-E-20-300-999人-30年以上</t>
  </si>
  <si>
    <t>正規雇用-E-20-300-999人-5-9年</t>
  </si>
  <si>
    <t>正規雇用-E-21-1,000人以上-1-2年</t>
  </si>
  <si>
    <t>正規雇用-E-21-1,000人以上-10-14年</t>
  </si>
  <si>
    <t>正規雇用-E-21-1,000人以上-15-19年</t>
  </si>
  <si>
    <t>正規雇用-E-21-1,000人以上-20-24年</t>
  </si>
  <si>
    <t>正規雇用-E-21-1,000人以上-25-29年</t>
  </si>
  <si>
    <t>正規雇用-E-21-1,000人以上-3-4年</t>
  </si>
  <si>
    <t>正規雇用-E-21-1,000人以上-5-9年</t>
  </si>
  <si>
    <t>正規雇用-E-21-10-99人-</t>
  </si>
  <si>
    <t>正規雇用-E-21-10-99人-0年</t>
  </si>
  <si>
    <t>正規雇用-E-21-10-99人-1-2年</t>
  </si>
  <si>
    <t>正規雇用-E-21-10-99人-10-14年</t>
  </si>
  <si>
    <t>正規雇用-E-21-10-99人-15-19年</t>
  </si>
  <si>
    <t>正規雇用-E-21-10-99人-20-24年</t>
  </si>
  <si>
    <t>正規雇用-E-21-10-99人-25-29年</t>
  </si>
  <si>
    <t>正規雇用-E-21-10-99人-3-4年</t>
  </si>
  <si>
    <t>正規雇用-E-21-10-99人-30年以上</t>
  </si>
  <si>
    <t>正規雇用-E-21-10-99人-5-9年</t>
  </si>
  <si>
    <t>正規雇用-E-21-100-299人-</t>
  </si>
  <si>
    <t>正規雇用-E-21-100-299人-0年</t>
  </si>
  <si>
    <t>正規雇用-E-21-100-299人-1-2年</t>
  </si>
  <si>
    <t>正規雇用-E-21-100-299人-10-14年</t>
  </si>
  <si>
    <t>正規雇用-E-21-100-299人-15-19年</t>
  </si>
  <si>
    <t>正規雇用-E-21-100-299人-20-24年</t>
  </si>
  <si>
    <t>正規雇用-E-21-100-299人-25-29年</t>
  </si>
  <si>
    <t>正規雇用-E-21-100-299人-3-4年</t>
  </si>
  <si>
    <t>正規雇用-E-21-100-299人-30年以上</t>
  </si>
  <si>
    <t>正規雇用-E-21-100-299人-5-9年</t>
  </si>
  <si>
    <t>正規雇用-E-21-300-999人-</t>
  </si>
  <si>
    <t>正規雇用-E-21-300-999人-0年</t>
  </si>
  <si>
    <t>正規雇用-E-21-300-999人-1-2年</t>
  </si>
  <si>
    <t>正規雇用-E-21-300-999人-10-14年</t>
  </si>
  <si>
    <t>正規雇用-E-21-300-999人-15-19年</t>
  </si>
  <si>
    <t>正規雇用-E-21-300-999人-20-24年</t>
  </si>
  <si>
    <t>正規雇用-E-21-300-999人-25-29年</t>
  </si>
  <si>
    <t>正規雇用-E-21-300-999人-3-4年</t>
  </si>
  <si>
    <t>正規雇用-E-21-300-999人-30年以上</t>
  </si>
  <si>
    <t>正規雇用-E-21-300-999人-5-9年</t>
  </si>
  <si>
    <t>正規雇用-E-22-1,000人以上-1-2年</t>
  </si>
  <si>
    <t>正規雇用-E-22-1,000人以上-10-14年</t>
  </si>
  <si>
    <t>正規雇用-E-22-1,000人以上-15-19年</t>
  </si>
  <si>
    <t>正規雇用-E-22-1,000人以上-20-24年</t>
  </si>
  <si>
    <t>正規雇用-E-22-1,000人以上-25-29年</t>
  </si>
  <si>
    <t>正規雇用-E-22-1,000人以上-3-4年</t>
  </si>
  <si>
    <t>正規雇用-E-22-1,000人以上-5-9年</t>
  </si>
  <si>
    <t>正規雇用-E-22-10-99人-</t>
  </si>
  <si>
    <t>正規雇用-E-22-10-99人-0年</t>
  </si>
  <si>
    <t>正規雇用-E-22-10-99人-1-2年</t>
  </si>
  <si>
    <t>正規雇用-E-22-10-99人-10-14年</t>
  </si>
  <si>
    <t>正規雇用-E-22-10-99人-15-19年</t>
  </si>
  <si>
    <t>正規雇用-E-22-10-99人-20-24年</t>
  </si>
  <si>
    <t>正規雇用-E-22-10-99人-25-29年</t>
  </si>
  <si>
    <t>正規雇用-E-22-10-99人-3-4年</t>
  </si>
  <si>
    <t>正規雇用-E-22-10-99人-30年以上</t>
  </si>
  <si>
    <t>正規雇用-E-22-10-99人-5-9年</t>
  </si>
  <si>
    <t>正規雇用-E-22-100-299人-</t>
  </si>
  <si>
    <t>正規雇用-E-22-100-299人-0年</t>
  </si>
  <si>
    <t>正規雇用-E-22-100-299人-1-2年</t>
  </si>
  <si>
    <t>正規雇用-E-22-100-299人-10-14年</t>
  </si>
  <si>
    <t>正規雇用-E-22-100-299人-15-19年</t>
  </si>
  <si>
    <t>正規雇用-E-22-100-299人-20-24年</t>
  </si>
  <si>
    <t>正規雇用-E-22-100-299人-25-29年</t>
  </si>
  <si>
    <t>正規雇用-E-22-100-299人-3-4年</t>
  </si>
  <si>
    <t>正規雇用-E-22-100-299人-30年以上</t>
  </si>
  <si>
    <t>正規雇用-E-22-100-299人-5-9年</t>
  </si>
  <si>
    <t>正規雇用-E-22-300-999人-</t>
  </si>
  <si>
    <t>正規雇用-E-22-300-999人-0年</t>
  </si>
  <si>
    <t>正規雇用-E-22-300-999人-1-2年</t>
  </si>
  <si>
    <t>正規雇用-E-22-300-999人-10-14年</t>
  </si>
  <si>
    <t>正規雇用-E-22-300-999人-15-19年</t>
  </si>
  <si>
    <t>正規雇用-E-22-300-999人-20-24年</t>
  </si>
  <si>
    <t>正規雇用-E-22-300-999人-25-29年</t>
  </si>
  <si>
    <t>正規雇用-E-22-300-999人-3-4年</t>
  </si>
  <si>
    <t>正規雇用-E-22-300-999人-30年以上</t>
  </si>
  <si>
    <t>正規雇用-E-22-300-999人-5-9年</t>
  </si>
  <si>
    <t>正規雇用-E-23-1,000人以上-1-2年</t>
  </si>
  <si>
    <t>正規雇用-E-23-1,000人以上-10-14年</t>
  </si>
  <si>
    <t>正規雇用-E-23-1,000人以上-15-19年</t>
  </si>
  <si>
    <t>正規雇用-E-23-1,000人以上-20-24年</t>
  </si>
  <si>
    <t>正規雇用-E-23-1,000人以上-25-29年</t>
  </si>
  <si>
    <t>正規雇用-E-23-1,000人以上-3-4年</t>
  </si>
  <si>
    <t>正規雇用-E-23-1,000人以上-5-9年</t>
  </si>
  <si>
    <t>正規雇用-E-23-10-99人-</t>
  </si>
  <si>
    <t>正規雇用-E-23-10-99人-0年</t>
  </si>
  <si>
    <t>正規雇用-E-23-10-99人-1-2年</t>
  </si>
  <si>
    <t>正規雇用-E-23-10-99人-10-14年</t>
  </si>
  <si>
    <t>正規雇用-E-23-10-99人-15-19年</t>
  </si>
  <si>
    <t>正規雇用-E-23-10-99人-20-24年</t>
  </si>
  <si>
    <t>正規雇用-E-23-10-99人-25-29年</t>
  </si>
  <si>
    <t>正規雇用-E-23-10-99人-3-4年</t>
  </si>
  <si>
    <t>正規雇用-E-23-10-99人-30年以上</t>
  </si>
  <si>
    <t>正規雇用-E-23-10-99人-5-9年</t>
  </si>
  <si>
    <t>正規雇用-E-23-100-299人-</t>
  </si>
  <si>
    <t>正規雇用-E-23-100-299人-0年</t>
  </si>
  <si>
    <t>正規雇用-E-23-100-299人-1-2年</t>
  </si>
  <si>
    <t>正規雇用-E-23-100-299人-10-14年</t>
  </si>
  <si>
    <t>正規雇用-E-23-100-299人-15-19年</t>
  </si>
  <si>
    <t>正規雇用-E-23-100-299人-20-24年</t>
  </si>
  <si>
    <t>正規雇用-E-23-100-299人-25-29年</t>
  </si>
  <si>
    <t>正規雇用-E-23-100-299人-3-4年</t>
  </si>
  <si>
    <t>正規雇用-E-23-100-299人-30年以上</t>
  </si>
  <si>
    <t>正規雇用-E-23-100-299人-5-9年</t>
  </si>
  <si>
    <t>正規雇用-E-23-300-999人-</t>
  </si>
  <si>
    <t>正規雇用-E-23-300-999人-0年</t>
  </si>
  <si>
    <t>正規雇用-E-23-300-999人-1-2年</t>
  </si>
  <si>
    <t>正規雇用-E-23-300-999人-10-14年</t>
  </si>
  <si>
    <t>正規雇用-E-23-300-999人-15-19年</t>
  </si>
  <si>
    <t>正規雇用-E-23-300-999人-20-24年</t>
  </si>
  <si>
    <t>正規雇用-E-23-300-999人-25-29年</t>
  </si>
  <si>
    <t>正規雇用-E-23-300-999人-3-4年</t>
  </si>
  <si>
    <t>正規雇用-E-23-300-999人-30年以上</t>
  </si>
  <si>
    <t>正規雇用-E-23-300-999人-5-9年</t>
  </si>
  <si>
    <t>正規雇用-E-24-1,000人以上-1-2年</t>
  </si>
  <si>
    <t>正規雇用-E-24-1,000人以上-10-14年</t>
  </si>
  <si>
    <t>正規雇用-E-24-1,000人以上-15-19年</t>
  </si>
  <si>
    <t>正規雇用-E-24-1,000人以上-20-24年</t>
  </si>
  <si>
    <t>正規雇用-E-24-1,000人以上-25-29年</t>
  </si>
  <si>
    <t>正規雇用-E-24-1,000人以上-3-4年</t>
  </si>
  <si>
    <t>正規雇用-E-24-1,000人以上-5-9年</t>
  </si>
  <si>
    <t>正規雇用-E-24-10-99人-</t>
  </si>
  <si>
    <t>正規雇用-E-24-10-99人-0年</t>
  </si>
  <si>
    <t>正規雇用-E-24-10-99人-1-2年</t>
  </si>
  <si>
    <t>正規雇用-E-24-10-99人-10-14年</t>
  </si>
  <si>
    <t>正規雇用-E-24-10-99人-15-19年</t>
  </si>
  <si>
    <t>正規雇用-E-24-10-99人-20-24年</t>
  </si>
  <si>
    <t>正規雇用-E-24-10-99人-25-29年</t>
  </si>
  <si>
    <t>正規雇用-E-24-10-99人-3-4年</t>
  </si>
  <si>
    <t>正規雇用-E-24-10-99人-30年以上</t>
  </si>
  <si>
    <t>正規雇用-E-24-10-99人-5-9年</t>
  </si>
  <si>
    <t>正規雇用-E-24-100-299人-</t>
  </si>
  <si>
    <t>正規雇用-E-24-100-299人-0年</t>
  </si>
  <si>
    <t>正規雇用-E-24-100-299人-1-2年</t>
  </si>
  <si>
    <t>正規雇用-E-24-100-299人-10-14年</t>
  </si>
  <si>
    <t>正規雇用-E-24-100-299人-15-19年</t>
  </si>
  <si>
    <t>正規雇用-E-24-100-299人-20-24年</t>
  </si>
  <si>
    <t>正規雇用-E-24-100-299人-25-29年</t>
  </si>
  <si>
    <t>正規雇用-E-24-100-299人-3-4年</t>
  </si>
  <si>
    <t>正規雇用-E-24-100-299人-30年以上</t>
  </si>
  <si>
    <t>正規雇用-E-24-100-299人-5-9年</t>
  </si>
  <si>
    <t>正規雇用-E-24-300-999人-</t>
  </si>
  <si>
    <t>正規雇用-E-24-300-999人-0年</t>
  </si>
  <si>
    <t>正規雇用-E-24-300-999人-1-2年</t>
  </si>
  <si>
    <t>正規雇用-E-24-300-999人-10-14年</t>
  </si>
  <si>
    <t>正規雇用-E-24-300-999人-15-19年</t>
  </si>
  <si>
    <t>正規雇用-E-24-300-999人-20-24年</t>
  </si>
  <si>
    <t>正規雇用-E-24-300-999人-25-29年</t>
  </si>
  <si>
    <t>正規雇用-E-24-300-999人-3-4年</t>
  </si>
  <si>
    <t>正規雇用-E-24-300-999人-30年以上</t>
  </si>
  <si>
    <t>正規雇用-E-24-300-999人-5-9年</t>
  </si>
  <si>
    <t>正規雇用-E-25-1,000人以上-1-2年</t>
  </si>
  <si>
    <t>正規雇用-E-25-1,000人以上-10-14年</t>
  </si>
  <si>
    <t>正規雇用-E-25-1,000人以上-15-19年</t>
  </si>
  <si>
    <t>正規雇用-E-25-1,000人以上-20-24年</t>
  </si>
  <si>
    <t>正規雇用-E-25-1,000人以上-25-29年</t>
  </si>
  <si>
    <t>正規雇用-E-25-1,000人以上-3-4年</t>
  </si>
  <si>
    <t>正規雇用-E-25-1,000人以上-5-9年</t>
  </si>
  <si>
    <t>正規雇用-E-25-10-99人-</t>
  </si>
  <si>
    <t>正規雇用-E-25-10-99人-0年</t>
  </si>
  <si>
    <t>正規雇用-E-25-10-99人-1-2年</t>
  </si>
  <si>
    <t>正規雇用-E-25-10-99人-10-14年</t>
  </si>
  <si>
    <t>正規雇用-E-25-10-99人-15-19年</t>
  </si>
  <si>
    <t>正規雇用-E-25-10-99人-20-24年</t>
  </si>
  <si>
    <t>正規雇用-E-25-10-99人-25-29年</t>
  </si>
  <si>
    <t>正規雇用-E-25-10-99人-3-4年</t>
  </si>
  <si>
    <t>正規雇用-E-25-10-99人-30年以上</t>
  </si>
  <si>
    <t>正規雇用-E-25-10-99人-5-9年</t>
  </si>
  <si>
    <t>正規雇用-E-25-100-299人-</t>
  </si>
  <si>
    <t>正規雇用-E-25-100-299人-0年</t>
  </si>
  <si>
    <t>正規雇用-E-25-100-299人-1-2年</t>
  </si>
  <si>
    <t>正規雇用-E-25-100-299人-10-14年</t>
  </si>
  <si>
    <t>正規雇用-E-25-100-299人-15-19年</t>
  </si>
  <si>
    <t>正規雇用-E-25-100-299人-20-24年</t>
  </si>
  <si>
    <t>正規雇用-E-25-100-299人-25-29年</t>
  </si>
  <si>
    <t>正規雇用-E-25-100-299人-3-4年</t>
  </si>
  <si>
    <t>正規雇用-E-25-100-299人-30年以上</t>
  </si>
  <si>
    <t>正規雇用-E-25-100-299人-5-9年</t>
  </si>
  <si>
    <t>正規雇用-E-25-300-999人-</t>
  </si>
  <si>
    <t>正規雇用-E-25-300-999人-0年</t>
  </si>
  <si>
    <t>正規雇用-E-25-300-999人-1-2年</t>
  </si>
  <si>
    <t>正規雇用-E-25-300-999人-10-14年</t>
  </si>
  <si>
    <t>正規雇用-E-25-300-999人-15-19年</t>
  </si>
  <si>
    <t>正規雇用-E-25-300-999人-20-24年</t>
  </si>
  <si>
    <t>正規雇用-E-25-300-999人-25-29年</t>
  </si>
  <si>
    <t>正規雇用-E-25-300-999人-3-4年</t>
  </si>
  <si>
    <t>正規雇用-E-25-300-999人-30年以上</t>
  </si>
  <si>
    <t>正規雇用-E-25-300-999人-5-9年</t>
  </si>
  <si>
    <t>正規雇用-E-26-1,000人以上-1-2年</t>
  </si>
  <si>
    <t>正規雇用-E-26-1,000人以上-10-14年</t>
  </si>
  <si>
    <t>正規雇用-E-26-1,000人以上-15-19年</t>
  </si>
  <si>
    <t>正規雇用-E-26-1,000人以上-20-24年</t>
  </si>
  <si>
    <t>正規雇用-E-26-1,000人以上-25-29年</t>
  </si>
  <si>
    <t>正規雇用-E-26-1,000人以上-3-4年</t>
  </si>
  <si>
    <t>正規雇用-E-26-1,000人以上-5-9年</t>
  </si>
  <si>
    <t>正規雇用-E-26-10-99人-</t>
  </si>
  <si>
    <t>正規雇用-E-26-10-99人-0年</t>
  </si>
  <si>
    <t>正規雇用-E-26-10-99人-1-2年</t>
  </si>
  <si>
    <t>正規雇用-E-26-10-99人-10-14年</t>
  </si>
  <si>
    <t>正規雇用-E-26-10-99人-15-19年</t>
  </si>
  <si>
    <t>正規雇用-E-26-10-99人-20-24年</t>
  </si>
  <si>
    <t>正規雇用-E-26-10-99人-25-29年</t>
  </si>
  <si>
    <t>正規雇用-E-26-10-99人-3-4年</t>
  </si>
  <si>
    <t>正規雇用-E-26-10-99人-30年以上</t>
  </si>
  <si>
    <t>正規雇用-E-26-10-99人-5-9年</t>
  </si>
  <si>
    <t>正規雇用-E-26-100-299人-</t>
  </si>
  <si>
    <t>正規雇用-E-26-100-299人-0年</t>
  </si>
  <si>
    <t>正規雇用-E-26-100-299人-1-2年</t>
  </si>
  <si>
    <t>正規雇用-E-26-100-299人-10-14年</t>
  </si>
  <si>
    <t>正規雇用-E-26-100-299人-15-19年</t>
  </si>
  <si>
    <t>正規雇用-E-26-100-299人-20-24年</t>
  </si>
  <si>
    <t>正規雇用-E-26-100-299人-25-29年</t>
  </si>
  <si>
    <t>正規雇用-E-26-100-299人-3-4年</t>
  </si>
  <si>
    <t>正規雇用-E-26-100-299人-30年以上</t>
  </si>
  <si>
    <t>正規雇用-E-26-100-299人-5-9年</t>
  </si>
  <si>
    <t>正規雇用-E-26-300-999人-</t>
  </si>
  <si>
    <t>正規雇用-E-26-300-999人-0年</t>
  </si>
  <si>
    <t>正規雇用-E-26-300-999人-1-2年</t>
  </si>
  <si>
    <t>正規雇用-E-26-300-999人-10-14年</t>
  </si>
  <si>
    <t>正規雇用-E-26-300-999人-15-19年</t>
  </si>
  <si>
    <t>正規雇用-E-26-300-999人-20-24年</t>
  </si>
  <si>
    <t>正規雇用-E-26-300-999人-25-29年</t>
  </si>
  <si>
    <t>正規雇用-E-26-300-999人-3-4年</t>
  </si>
  <si>
    <t>正規雇用-E-26-300-999人-30年以上</t>
  </si>
  <si>
    <t>正規雇用-E-26-300-999人-5-9年</t>
  </si>
  <si>
    <t>正規雇用-E-27-1,000人以上-1-2年</t>
  </si>
  <si>
    <t>正規雇用-E-27-1,000人以上-10-14年</t>
  </si>
  <si>
    <t>正規雇用-E-27-1,000人以上-15-19年</t>
  </si>
  <si>
    <t>正規雇用-E-27-1,000人以上-20-24年</t>
  </si>
  <si>
    <t>正規雇用-E-27-1,000人以上-25-29年</t>
  </si>
  <si>
    <t>正規雇用-E-27-1,000人以上-3-4年</t>
  </si>
  <si>
    <t>正規雇用-E-27-1,000人以上-5-9年</t>
  </si>
  <si>
    <t>正規雇用-E-27-10-99人-</t>
  </si>
  <si>
    <t>正規雇用-E-27-10-99人-0年</t>
  </si>
  <si>
    <t>正規雇用-E-27-10-99人-1-2年</t>
  </si>
  <si>
    <t>正規雇用-E-27-10-99人-10-14年</t>
  </si>
  <si>
    <t>正規雇用-E-27-10-99人-15-19年</t>
  </si>
  <si>
    <t>正規雇用-E-27-10-99人-20-24年</t>
  </si>
  <si>
    <t>正規雇用-E-27-10-99人-25-29年</t>
  </si>
  <si>
    <t>正規雇用-E-27-10-99人-3-4年</t>
  </si>
  <si>
    <t>正規雇用-E-27-10-99人-30年以上</t>
  </si>
  <si>
    <t>正規雇用-E-27-10-99人-5-9年</t>
  </si>
  <si>
    <t>正規雇用-E-27-100-299人-</t>
  </si>
  <si>
    <t>正規雇用-E-27-100-299人-0年</t>
  </si>
  <si>
    <t>正規雇用-E-27-100-299人-1-2年</t>
  </si>
  <si>
    <t>正規雇用-E-27-100-299人-10-14年</t>
  </si>
  <si>
    <t>正規雇用-E-27-100-299人-15-19年</t>
  </si>
  <si>
    <t>正規雇用-E-27-100-299人-20-24年</t>
  </si>
  <si>
    <t>正規雇用-E-27-100-299人-25-29年</t>
  </si>
  <si>
    <t>正規雇用-E-27-100-299人-3-4年</t>
  </si>
  <si>
    <t>正規雇用-E-27-100-299人-30年以上</t>
  </si>
  <si>
    <t>正規雇用-E-27-100-299人-5-9年</t>
  </si>
  <si>
    <t>正規雇用-E-27-300-999人-</t>
  </si>
  <si>
    <t>正規雇用-E-27-300-999人-0年</t>
  </si>
  <si>
    <t>正規雇用-E-27-300-999人-1-2年</t>
  </si>
  <si>
    <t>正規雇用-E-27-300-999人-10-14年</t>
  </si>
  <si>
    <t>正規雇用-E-27-300-999人-15-19年</t>
  </si>
  <si>
    <t>正規雇用-E-27-300-999人-20-24年</t>
  </si>
  <si>
    <t>正規雇用-E-27-300-999人-25-29年</t>
  </si>
  <si>
    <t>正規雇用-E-27-300-999人-3-4年</t>
  </si>
  <si>
    <t>正規雇用-E-27-300-999人-30年以上</t>
  </si>
  <si>
    <t>正規雇用-E-27-300-999人-5-9年</t>
  </si>
  <si>
    <t>正規雇用-E-28-1,000人以上-1-2年</t>
  </si>
  <si>
    <t>正規雇用-E-28-1,000人以上-10-14年</t>
  </si>
  <si>
    <t>正規雇用-E-28-1,000人以上-15-19年</t>
  </si>
  <si>
    <t>正規雇用-E-28-1,000人以上-20-24年</t>
  </si>
  <si>
    <t>正規雇用-E-28-1,000人以上-25-29年</t>
  </si>
  <si>
    <t>正規雇用-E-28-1,000人以上-3-4年</t>
  </si>
  <si>
    <t>正規雇用-E-28-1,000人以上-5-9年</t>
  </si>
  <si>
    <t>正規雇用-E-28-10-99人-</t>
  </si>
  <si>
    <t>正規雇用-E-28-10-99人-0年</t>
  </si>
  <si>
    <t>正規雇用-E-28-10-99人-1-2年</t>
  </si>
  <si>
    <t>正規雇用-E-28-10-99人-10-14年</t>
  </si>
  <si>
    <t>正規雇用-E-28-10-99人-15-19年</t>
  </si>
  <si>
    <t>正規雇用-E-28-10-99人-20-24年</t>
  </si>
  <si>
    <t>正規雇用-E-28-10-99人-25-29年</t>
  </si>
  <si>
    <t>正規雇用-E-28-10-99人-3-4年</t>
  </si>
  <si>
    <t>正規雇用-E-28-10-99人-30年以上</t>
  </si>
  <si>
    <t>正規雇用-E-28-10-99人-5-9年</t>
  </si>
  <si>
    <t>正規雇用-E-28-100-299人-</t>
  </si>
  <si>
    <t>正規雇用-E-28-100-299人-0年</t>
  </si>
  <si>
    <t>正規雇用-E-28-100-299人-1-2年</t>
  </si>
  <si>
    <t>正規雇用-E-28-100-299人-10-14年</t>
  </si>
  <si>
    <t>正規雇用-E-28-100-299人-15-19年</t>
  </si>
  <si>
    <t>正規雇用-E-28-100-299人-20-24年</t>
  </si>
  <si>
    <t>正規雇用-E-28-100-299人-25-29年</t>
  </si>
  <si>
    <t>正規雇用-E-28-100-299人-3-4年</t>
  </si>
  <si>
    <t>正規雇用-E-28-100-299人-30年以上</t>
  </si>
  <si>
    <t>正規雇用-E-28-100-299人-5-9年</t>
  </si>
  <si>
    <t>正規雇用-E-28-300-999人-</t>
  </si>
  <si>
    <t>正規雇用-E-28-300-999人-0年</t>
  </si>
  <si>
    <t>正規雇用-E-28-300-999人-1-2年</t>
  </si>
  <si>
    <t>正規雇用-E-28-300-999人-10-14年</t>
  </si>
  <si>
    <t>正規雇用-E-28-300-999人-15-19年</t>
  </si>
  <si>
    <t>正規雇用-E-28-300-999人-20-24年</t>
  </si>
  <si>
    <t>正規雇用-E-28-300-999人-25-29年</t>
  </si>
  <si>
    <t>正規雇用-E-28-300-999人-3-4年</t>
  </si>
  <si>
    <t>正規雇用-E-28-300-999人-30年以上</t>
  </si>
  <si>
    <t>正規雇用-E-28-300-999人-5-9年</t>
  </si>
  <si>
    <t>正規雇用-E-29-1,000人以上-1-2年</t>
  </si>
  <si>
    <t>正規雇用-E-29-1,000人以上-10-14年</t>
  </si>
  <si>
    <t>正規雇用-E-29-1,000人以上-15-19年</t>
  </si>
  <si>
    <t>正規雇用-E-29-1,000人以上-20-24年</t>
  </si>
  <si>
    <t>正規雇用-E-29-1,000人以上-25-29年</t>
  </si>
  <si>
    <t>正規雇用-E-29-1,000人以上-3-4年</t>
  </si>
  <si>
    <t>正規雇用-E-29-1,000人以上-5-9年</t>
  </si>
  <si>
    <t>正規雇用-E-29-10-99人-</t>
  </si>
  <si>
    <t>正規雇用-E-29-10-99人-0年</t>
  </si>
  <si>
    <t>正規雇用-E-29-10-99人-1-2年</t>
  </si>
  <si>
    <t>正規雇用-E-29-10-99人-10-14年</t>
  </si>
  <si>
    <t>正規雇用-E-29-10-99人-15-19年</t>
  </si>
  <si>
    <t>正規雇用-E-29-10-99人-20-24年</t>
  </si>
  <si>
    <t>正規雇用-E-29-10-99人-25-29年</t>
  </si>
  <si>
    <t>正規雇用-E-29-10-99人-3-4年</t>
  </si>
  <si>
    <t>正規雇用-E-29-10-99人-30年以上</t>
  </si>
  <si>
    <t>正規雇用-E-29-10-99人-5-9年</t>
  </si>
  <si>
    <t>正規雇用-E-29-100-299人-</t>
  </si>
  <si>
    <t>正規雇用-E-29-100-299人-0年</t>
  </si>
  <si>
    <t>正規雇用-E-29-100-299人-1-2年</t>
  </si>
  <si>
    <t>正規雇用-E-29-100-299人-10-14年</t>
  </si>
  <si>
    <t>正規雇用-E-29-100-299人-15-19年</t>
  </si>
  <si>
    <t>正規雇用-E-29-100-299人-20-24年</t>
  </si>
  <si>
    <t>正規雇用-E-29-100-299人-25-29年</t>
  </si>
  <si>
    <t>正規雇用-E-29-100-299人-3-4年</t>
  </si>
  <si>
    <t>正規雇用-E-29-100-299人-30年以上</t>
  </si>
  <si>
    <t>正規雇用-E-29-100-299人-5-9年</t>
  </si>
  <si>
    <t>正規雇用-E-29-300-999人-</t>
  </si>
  <si>
    <t>正規雇用-E-29-300-999人-0年</t>
  </si>
  <si>
    <t>正規雇用-E-29-300-999人-1-2年</t>
  </si>
  <si>
    <t>正規雇用-E-29-300-999人-10-14年</t>
  </si>
  <si>
    <t>正規雇用-E-29-300-999人-15-19年</t>
  </si>
  <si>
    <t>正規雇用-E-29-300-999人-20-24年</t>
  </si>
  <si>
    <t>正規雇用-E-29-300-999人-25-29年</t>
  </si>
  <si>
    <t>正規雇用-E-29-300-999人-3-4年</t>
  </si>
  <si>
    <t>正規雇用-E-29-300-999人-30年以上</t>
  </si>
  <si>
    <t>正規雇用-E-29-300-999人-5-9年</t>
  </si>
  <si>
    <t>正規雇用-E-30-1,000人以上-1-2年</t>
  </si>
  <si>
    <t>正規雇用-E-30-1,000人以上-10-14年</t>
  </si>
  <si>
    <t>正規雇用-E-30-1,000人以上-15-19年</t>
  </si>
  <si>
    <t>正規雇用-E-30-1,000人以上-20-24年</t>
  </si>
  <si>
    <t>正規雇用-E-30-1,000人以上-25-29年</t>
  </si>
  <si>
    <t>正規雇用-E-30-1,000人以上-3-4年</t>
  </si>
  <si>
    <t>正規雇用-E-30-1,000人以上-5-9年</t>
  </si>
  <si>
    <t>正規雇用-E-30-10-99人-</t>
  </si>
  <si>
    <t>正規雇用-E-30-10-99人-0年</t>
  </si>
  <si>
    <t>正規雇用-E-30-10-99人-1-2年</t>
  </si>
  <si>
    <t>正規雇用-E-30-10-99人-10-14年</t>
  </si>
  <si>
    <t>正規雇用-E-30-10-99人-15-19年</t>
  </si>
  <si>
    <t>正規雇用-E-30-10-99人-20-24年</t>
  </si>
  <si>
    <t>正規雇用-E-30-10-99人-25-29年</t>
  </si>
  <si>
    <t>正規雇用-E-30-10-99人-3-4年</t>
  </si>
  <si>
    <t>正規雇用-E-30-10-99人-30年以上</t>
  </si>
  <si>
    <t>正規雇用-E-30-10-99人-5-9年</t>
  </si>
  <si>
    <t>正規雇用-E-30-100-299人-</t>
  </si>
  <si>
    <t>正規雇用-E-30-100-299人-0年</t>
  </si>
  <si>
    <t>正規雇用-E-30-100-299人-1-2年</t>
  </si>
  <si>
    <t>正規雇用-E-30-100-299人-10-14年</t>
  </si>
  <si>
    <t>正規雇用-E-30-100-299人-15-19年</t>
  </si>
  <si>
    <t>正規雇用-E-30-100-299人-20-24年</t>
  </si>
  <si>
    <t>正規雇用-E-30-100-299人-25-29年</t>
  </si>
  <si>
    <t>正規雇用-E-30-100-299人-3-4年</t>
  </si>
  <si>
    <t>正規雇用-E-30-100-299人-30年以上</t>
  </si>
  <si>
    <t>正規雇用-E-30-100-299人-5-9年</t>
  </si>
  <si>
    <t>正規雇用-E-30-300-999人-</t>
  </si>
  <si>
    <t>正規雇用-E-30-300-999人-0年</t>
  </si>
  <si>
    <t>正規雇用-E-30-300-999人-1-2年</t>
  </si>
  <si>
    <t>正規雇用-E-30-300-999人-10-14年</t>
  </si>
  <si>
    <t>正規雇用-E-30-300-999人-15-19年</t>
  </si>
  <si>
    <t>正規雇用-E-30-300-999人-20-24年</t>
  </si>
  <si>
    <t>正規雇用-E-30-300-999人-25-29年</t>
  </si>
  <si>
    <t>正規雇用-E-30-300-999人-3-4年</t>
  </si>
  <si>
    <t>正規雇用-E-30-300-999人-30年以上</t>
  </si>
  <si>
    <t>正規雇用-E-30-300-999人-5-9年</t>
  </si>
  <si>
    <t>正規雇用-E-31-1,000人以上-1-2年</t>
  </si>
  <si>
    <t>正規雇用-E-31-1,000人以上-10-14年</t>
  </si>
  <si>
    <t>正規雇用-E-31-1,000人以上-15-19年</t>
  </si>
  <si>
    <t>正規雇用-E-31-1,000人以上-20-24年</t>
  </si>
  <si>
    <t>正規雇用-E-31-1,000人以上-25-29年</t>
  </si>
  <si>
    <t>正規雇用-E-31-1,000人以上-3-4年</t>
  </si>
  <si>
    <t>正規雇用-E-31-1,000人以上-5-9年</t>
  </si>
  <si>
    <t>正規雇用-E-31-10-99人-</t>
  </si>
  <si>
    <t>正規雇用-E-31-10-99人-0年</t>
  </si>
  <si>
    <t>正規雇用-E-31-10-99人-1-2年</t>
  </si>
  <si>
    <t>正規雇用-E-31-10-99人-10-14年</t>
  </si>
  <si>
    <t>正規雇用-E-31-10-99人-15-19年</t>
  </si>
  <si>
    <t>正規雇用-E-31-10-99人-20-24年</t>
  </si>
  <si>
    <t>正規雇用-E-31-10-99人-25-29年</t>
  </si>
  <si>
    <t>正規雇用-E-31-10-99人-3-4年</t>
  </si>
  <si>
    <t>正規雇用-E-31-10-99人-30年以上</t>
  </si>
  <si>
    <t>正規雇用-E-31-10-99人-5-9年</t>
  </si>
  <si>
    <t>正規雇用-E-31-100-299人-</t>
  </si>
  <si>
    <t>正規雇用-E-31-100-299人-0年</t>
  </si>
  <si>
    <t>正規雇用-E-31-100-299人-1-2年</t>
  </si>
  <si>
    <t>正規雇用-E-31-100-299人-10-14年</t>
  </si>
  <si>
    <t>正規雇用-E-31-100-299人-15-19年</t>
  </si>
  <si>
    <t>正規雇用-E-31-100-299人-20-24年</t>
  </si>
  <si>
    <t>正規雇用-E-31-100-299人-25-29年</t>
  </si>
  <si>
    <t>正規雇用-E-31-100-299人-3-4年</t>
  </si>
  <si>
    <t>正規雇用-E-31-100-299人-30年以上</t>
  </si>
  <si>
    <t>正規雇用-E-31-100-299人-5-9年</t>
  </si>
  <si>
    <t>正規雇用-E-31-300-999人-</t>
  </si>
  <si>
    <t>正規雇用-E-31-300-999人-0年</t>
  </si>
  <si>
    <t>正規雇用-E-31-300-999人-1-2年</t>
  </si>
  <si>
    <t>正規雇用-E-31-300-999人-10-14年</t>
  </si>
  <si>
    <t>正規雇用-E-31-300-999人-15-19年</t>
  </si>
  <si>
    <t>正規雇用-E-31-300-999人-20-24年</t>
  </si>
  <si>
    <t>正規雇用-E-31-300-999人-25-29年</t>
  </si>
  <si>
    <t>正規雇用-E-31-300-999人-3-4年</t>
  </si>
  <si>
    <t>正規雇用-E-31-300-999人-30年以上</t>
  </si>
  <si>
    <t>正規雇用-E-31-300-999人-5-9年</t>
  </si>
  <si>
    <t>正規雇用-E-32-1,000人以上-1-2年</t>
  </si>
  <si>
    <t>正規雇用-E-32-1,000人以上-10-14年</t>
  </si>
  <si>
    <t>正規雇用-E-32-1,000人以上-15-19年</t>
  </si>
  <si>
    <t>正規雇用-E-32-1,000人以上-20-24年</t>
  </si>
  <si>
    <t>正規雇用-E-32-1,000人以上-25-29年</t>
  </si>
  <si>
    <t>正規雇用-E-32-1,000人以上-3-4年</t>
  </si>
  <si>
    <t>正規雇用-E-32-1,000人以上-5-9年</t>
  </si>
  <si>
    <t>正規雇用-E-32-10-99人-</t>
  </si>
  <si>
    <t>正規雇用-E-32-10-99人-0年</t>
  </si>
  <si>
    <t>正規雇用-E-32-10-99人-1-2年</t>
  </si>
  <si>
    <t>正規雇用-E-32-10-99人-10-14年</t>
  </si>
  <si>
    <t>正規雇用-E-32-10-99人-15-19年</t>
  </si>
  <si>
    <t>正規雇用-E-32-10-99人-20-24年</t>
  </si>
  <si>
    <t>正規雇用-E-32-10-99人-25-29年</t>
  </si>
  <si>
    <t>正規雇用-E-32-10-99人-3-4年</t>
  </si>
  <si>
    <t>正規雇用-E-32-10-99人-30年以上</t>
  </si>
  <si>
    <t>正規雇用-E-32-10-99人-5-9年</t>
  </si>
  <si>
    <t>正規雇用-E-32-100-299人-</t>
  </si>
  <si>
    <t>正規雇用-E-32-100-299人-0年</t>
  </si>
  <si>
    <t>正規雇用-E-32-100-299人-1-2年</t>
  </si>
  <si>
    <t>正規雇用-E-32-100-299人-10-14年</t>
  </si>
  <si>
    <t>正規雇用-E-32-100-299人-15-19年</t>
  </si>
  <si>
    <t>正規雇用-E-32-100-299人-20-24年</t>
  </si>
  <si>
    <t>正規雇用-E-32-100-299人-25-29年</t>
  </si>
  <si>
    <t>正規雇用-E-32-100-299人-3-4年</t>
  </si>
  <si>
    <t>正規雇用-E-32-100-299人-30年以上</t>
  </si>
  <si>
    <t>正規雇用-E-32-100-299人-5-9年</t>
  </si>
  <si>
    <t>正規雇用-E-32-300-999人-</t>
  </si>
  <si>
    <t>正規雇用-E-32-300-999人-0年</t>
  </si>
  <si>
    <t>正規雇用-E-32-300-999人-1-2年</t>
  </si>
  <si>
    <t>正規雇用-E-32-300-999人-10-14年</t>
  </si>
  <si>
    <t>正規雇用-E-32-300-999人-15-19年</t>
  </si>
  <si>
    <t>正規雇用-E-32-300-999人-20-24年</t>
  </si>
  <si>
    <t>正規雇用-E-32-300-999人-25-29年</t>
  </si>
  <si>
    <t>正規雇用-E-32-300-999人-3-4年</t>
  </si>
  <si>
    <t>正規雇用-E-32-300-999人-30年以上</t>
  </si>
  <si>
    <t>正規雇用-E-32-300-999人-5-9年</t>
  </si>
  <si>
    <t>正規雇用-C--1,000人以上-1-2年</t>
  </si>
  <si>
    <t>正規雇用-C--1,000人以上-10-14年</t>
  </si>
  <si>
    <t>正規雇用-C--1,000人以上-15-19年</t>
  </si>
  <si>
    <t>正規雇用-C--1,000人以上-20-24年</t>
  </si>
  <si>
    <t>正規雇用-C--1,000人以上-25-29年</t>
  </si>
  <si>
    <t>正規雇用-C--1,000人以上-3-4年</t>
  </si>
  <si>
    <t>正規雇用-C--1,000人以上-5-9年</t>
  </si>
  <si>
    <t>正規雇用-C--10-99人-</t>
  </si>
  <si>
    <t>正規雇用-C--10-99人-0年</t>
  </si>
  <si>
    <t>正規雇用-C--10-99人-1-2年</t>
  </si>
  <si>
    <t>正規雇用-C--10-99人-10-14年</t>
  </si>
  <si>
    <t>正規雇用-C--10-99人-15-19年</t>
  </si>
  <si>
    <t>正規雇用-C--10-99人-20-24年</t>
  </si>
  <si>
    <t>正規雇用-C--10-99人-25-29年</t>
  </si>
  <si>
    <t>正規雇用-C--10-99人-3-4年</t>
  </si>
  <si>
    <t>正規雇用-C--10-99人-30年以上</t>
  </si>
  <si>
    <t>正規雇用-C--10-99人-5-9年</t>
  </si>
  <si>
    <t>正規雇用-C--100-299人-</t>
  </si>
  <si>
    <t>正規雇用-C--100-299人-0年</t>
  </si>
  <si>
    <t>正規雇用-C--100-299人-1-2年</t>
  </si>
  <si>
    <t>正規雇用-C--100-299人-10-14年</t>
  </si>
  <si>
    <t>正規雇用-C--100-299人-15-19年</t>
  </si>
  <si>
    <t>正規雇用-C--100-299人-20-24年</t>
  </si>
  <si>
    <t>正規雇用-C--100-299人-25-29年</t>
  </si>
  <si>
    <t>正規雇用-C--100-299人-3-4年</t>
  </si>
  <si>
    <t>正規雇用-C--100-299人-30年以上</t>
  </si>
  <si>
    <t>正規雇用-C--100-299人-5-9年</t>
  </si>
  <si>
    <t>正規雇用-C--300-999人-</t>
  </si>
  <si>
    <t>正規雇用-C--300-999人-0年</t>
  </si>
  <si>
    <t>正規雇用-C--300-999人-1-2年</t>
  </si>
  <si>
    <t>正規雇用-C--300-999人-10-14年</t>
  </si>
  <si>
    <t>正規雇用-C--300-999人-15-19年</t>
  </si>
  <si>
    <t>正規雇用-C--300-999人-20-24年</t>
  </si>
  <si>
    <t>正規雇用-C--300-999人-25-29年</t>
  </si>
  <si>
    <t>正規雇用-C--300-999人-3-4年</t>
  </si>
  <si>
    <t>正規雇用-C--300-999人-30年以上</t>
  </si>
  <si>
    <t>正規雇用-C--300-999人-5-9年</t>
  </si>
  <si>
    <t>正規雇用-D--1,000人以上-1-2年</t>
  </si>
  <si>
    <t>正規雇用-D--1,000人以上-10-14年</t>
  </si>
  <si>
    <t>正規雇用-D--1,000人以上-15-19年</t>
  </si>
  <si>
    <t>正規雇用-D--1,000人以上-20-24年</t>
  </si>
  <si>
    <t>正規雇用-D--1,000人以上-25-29年</t>
  </si>
  <si>
    <t>正規雇用-D--1,000人以上-3-4年</t>
  </si>
  <si>
    <t>正規雇用-D--1,000人以上-5-9年</t>
  </si>
  <si>
    <t>正規雇用-D--10-99人-</t>
  </si>
  <si>
    <t>正規雇用-D--10-99人-0年</t>
  </si>
  <si>
    <t>正規雇用-D--10-99人-1-2年</t>
  </si>
  <si>
    <t>正規雇用-D--10-99人-10-14年</t>
  </si>
  <si>
    <t>正規雇用-D--10-99人-15-19年</t>
  </si>
  <si>
    <t>正規雇用-D--10-99人-20-24年</t>
  </si>
  <si>
    <t>正規雇用-D--10-99人-25-29年</t>
  </si>
  <si>
    <t>正規雇用-D--10-99人-3-4年</t>
  </si>
  <si>
    <t>正規雇用-D--10-99人-30年以上</t>
  </si>
  <si>
    <t>正規雇用-D--10-99人-5-9年</t>
  </si>
  <si>
    <t>正規雇用-D--100-299人-</t>
  </si>
  <si>
    <t>正規雇用-D--100-299人-0年</t>
  </si>
  <si>
    <t>正規雇用-D--100-299人-1-2年</t>
  </si>
  <si>
    <t>正規雇用-D--100-299人-10-14年</t>
  </si>
  <si>
    <t>正規雇用-D--100-299人-15-19年</t>
  </si>
  <si>
    <t>正規雇用-D--100-299人-20-24年</t>
  </si>
  <si>
    <t>正規雇用-D--100-299人-25-29年</t>
  </si>
  <si>
    <t>正規雇用-D--100-299人-3-4年</t>
  </si>
  <si>
    <t>正規雇用-D--100-299人-30年以上</t>
  </si>
  <si>
    <t>正規雇用-D--100-299人-5-9年</t>
  </si>
  <si>
    <t>正規雇用-D--300-999人-</t>
  </si>
  <si>
    <t>正規雇用-D--300-999人-0年</t>
  </si>
  <si>
    <t>正規雇用-D--300-999人-1-2年</t>
  </si>
  <si>
    <t>正規雇用-D--300-999人-10-14年</t>
  </si>
  <si>
    <t>正規雇用-D--300-999人-15-19年</t>
  </si>
  <si>
    <t>正規雇用-D--300-999人-20-24年</t>
  </si>
  <si>
    <t>正規雇用-D--300-999人-25-29年</t>
  </si>
  <si>
    <t>正規雇用-D--300-999人-3-4年</t>
  </si>
  <si>
    <t>正規雇用-D--300-999人-30年以上</t>
  </si>
  <si>
    <t>正規雇用-D--300-999人-5-9年</t>
  </si>
  <si>
    <t>正規雇用-E--1,000人以上-1-2年</t>
  </si>
  <si>
    <t>正規雇用-E--1,000人以上-10-14年</t>
  </si>
  <si>
    <t>正規雇用-E--1,000人以上-15-19年</t>
  </si>
  <si>
    <t>正規雇用-E--1,000人以上-20-24年</t>
  </si>
  <si>
    <t>正規雇用-E--1,000人以上-25-29年</t>
  </si>
  <si>
    <t>正規雇用-E--1,000人以上-3-4年</t>
  </si>
  <si>
    <t>正規雇用-E--1,000人以上-5-9年</t>
  </si>
  <si>
    <t>正規雇用-E--10-99人-</t>
  </si>
  <si>
    <t>正規雇用-E--10-99人-0年</t>
  </si>
  <si>
    <t>正規雇用-E--10-99人-1-2年</t>
  </si>
  <si>
    <t>正規雇用-E--10-99人-10-14年</t>
  </si>
  <si>
    <t>正規雇用-E--10-99人-15-19年</t>
  </si>
  <si>
    <t>正規雇用-E--10-99人-20-24年</t>
  </si>
  <si>
    <t>正規雇用-E--10-99人-25-29年</t>
  </si>
  <si>
    <t>正規雇用-E--10-99人-3-4年</t>
  </si>
  <si>
    <t>正規雇用-E--10-99人-30年以上</t>
  </si>
  <si>
    <t>正規雇用-E--10-99人-5-9年</t>
  </si>
  <si>
    <t>正規雇用-E--100-299人-</t>
  </si>
  <si>
    <t>正規雇用-E--100-299人-0年</t>
  </si>
  <si>
    <t>正規雇用-E--100-299人-1-2年</t>
  </si>
  <si>
    <t>正規雇用-E--100-299人-10-14年</t>
  </si>
  <si>
    <t>正規雇用-E--100-299人-15-19年</t>
  </si>
  <si>
    <t>正規雇用-E--100-299人-20-24年</t>
  </si>
  <si>
    <t>正規雇用-E--100-299人-25-29年</t>
  </si>
  <si>
    <t>正規雇用-E--100-299人-3-4年</t>
  </si>
  <si>
    <t>正規雇用-E--100-299人-30年以上</t>
  </si>
  <si>
    <t>正規雇用-E--100-299人-5-9年</t>
  </si>
  <si>
    <t>正規雇用-E--300-999人-</t>
  </si>
  <si>
    <t>正規雇用-E--300-999人-0年</t>
  </si>
  <si>
    <t>正規雇用-E--300-999人-1-2年</t>
  </si>
  <si>
    <t>正規雇用-E--300-999人-10-14年</t>
  </si>
  <si>
    <t>正規雇用-E--300-999人-15-19年</t>
  </si>
  <si>
    <t>正規雇用-E--300-999人-20-24年</t>
  </si>
  <si>
    <t>正規雇用-E--300-999人-25-29年</t>
  </si>
  <si>
    <t>正規雇用-E--300-999人-3-4年</t>
  </si>
  <si>
    <t>正規雇用-E--300-999人-30年以上</t>
  </si>
  <si>
    <t>正規雇用-E--300-999人-5-9年</t>
  </si>
  <si>
    <t>正規雇用-F--1,000人以上-1-2年</t>
  </si>
  <si>
    <t>正規雇用-F--1,000人以上-10-14年</t>
  </si>
  <si>
    <t>正規雇用-F--1,000人以上-15-19年</t>
  </si>
  <si>
    <t>正規雇用-F--1,000人以上-20-24年</t>
  </si>
  <si>
    <t>正規雇用-F--1,000人以上-25-29年</t>
  </si>
  <si>
    <t>正規雇用-F--1,000人以上-3-4年</t>
  </si>
  <si>
    <t>正規雇用-F--1,000人以上-5-9年</t>
  </si>
  <si>
    <t>正規雇用-F--10-99人-</t>
  </si>
  <si>
    <t>正規雇用-F--10-99人-0年</t>
  </si>
  <si>
    <t>正規雇用-F--10-99人-1-2年</t>
  </si>
  <si>
    <t>正規雇用-F--10-99人-10-14年</t>
  </si>
  <si>
    <t>正規雇用-F--10-99人-15-19年</t>
  </si>
  <si>
    <t>正規雇用-F--10-99人-20-24年</t>
  </si>
  <si>
    <t>正規雇用-F--10-99人-25-29年</t>
  </si>
  <si>
    <t>正規雇用-F--10-99人-3-4年</t>
  </si>
  <si>
    <t>正規雇用-F--10-99人-30年以上</t>
  </si>
  <si>
    <t>正規雇用-F--10-99人-5-9年</t>
  </si>
  <si>
    <t>正規雇用-F--100-299人-</t>
  </si>
  <si>
    <t>正規雇用-F--100-299人-0年</t>
  </si>
  <si>
    <t>正規雇用-F--100-299人-1-2年</t>
  </si>
  <si>
    <t>正規雇用-F--100-299人-10-14年</t>
  </si>
  <si>
    <t>正規雇用-F--100-299人-15-19年</t>
  </si>
  <si>
    <t>正規雇用-F--100-299人-20-24年</t>
  </si>
  <si>
    <t>正規雇用-F--100-299人-25-29年</t>
  </si>
  <si>
    <t>正規雇用-F--100-299人-3-4年</t>
  </si>
  <si>
    <t>正規雇用-F--100-299人-30年以上</t>
  </si>
  <si>
    <t>正規雇用-F--100-299人-5-9年</t>
  </si>
  <si>
    <t>正規雇用-F--300-999人-</t>
  </si>
  <si>
    <t>正規雇用-F--300-999人-0年</t>
  </si>
  <si>
    <t>正規雇用-F--300-999人-1-2年</t>
  </si>
  <si>
    <t>正規雇用-F--300-999人-10-14年</t>
  </si>
  <si>
    <t>正規雇用-F--300-999人-15-19年</t>
  </si>
  <si>
    <t>正規雇用-F--300-999人-20-24年</t>
  </si>
  <si>
    <t>正規雇用-F--300-999人-25-29年</t>
  </si>
  <si>
    <t>正規雇用-F--300-999人-3-4年</t>
  </si>
  <si>
    <t>正規雇用-F--300-999人-30年以上</t>
  </si>
  <si>
    <t>正規雇用-F--300-999人-5-9年</t>
  </si>
  <si>
    <t>正規雇用-G--1,000人以上-1-2年</t>
  </si>
  <si>
    <t>正規雇用-G--1,000人以上-10-14年</t>
  </si>
  <si>
    <t>正規雇用-G--1,000人以上-15-19年</t>
  </si>
  <si>
    <t>正規雇用-G--1,000人以上-20-24年</t>
  </si>
  <si>
    <t>正規雇用-G--1,000人以上-25-29年</t>
  </si>
  <si>
    <t>正規雇用-G--1,000人以上-3-4年</t>
  </si>
  <si>
    <t>正規雇用-G--1,000人以上-5-9年</t>
  </si>
  <si>
    <t>正規雇用-G--10-99人-</t>
  </si>
  <si>
    <t>正規雇用-G--10-99人-0年</t>
  </si>
  <si>
    <t>正規雇用-G--10-99人-1-2年</t>
  </si>
  <si>
    <t>正規雇用-G--10-99人-10-14年</t>
  </si>
  <si>
    <t>正規雇用-G--10-99人-15-19年</t>
  </si>
  <si>
    <t>正規雇用-G--10-99人-20-24年</t>
  </si>
  <si>
    <t>正規雇用-G--10-99人-25-29年</t>
  </si>
  <si>
    <t>正規雇用-G--10-99人-3-4年</t>
  </si>
  <si>
    <t>正規雇用-G--10-99人-30年以上</t>
  </si>
  <si>
    <t>正規雇用-G--10-99人-5-9年</t>
  </si>
  <si>
    <t>正規雇用-G--100-299人-</t>
  </si>
  <si>
    <t>正規雇用-G--100-299人-0年</t>
  </si>
  <si>
    <t>正規雇用-G--100-299人-1-2年</t>
  </si>
  <si>
    <t>正規雇用-G--100-299人-10-14年</t>
  </si>
  <si>
    <t>正規雇用-G--100-299人-15-19年</t>
  </si>
  <si>
    <t>正規雇用-G--100-299人-20-24年</t>
  </si>
  <si>
    <t>正規雇用-G--100-299人-25-29年</t>
  </si>
  <si>
    <t>正規雇用-G--100-299人-3-4年</t>
  </si>
  <si>
    <t>正規雇用-G--100-299人-30年以上</t>
  </si>
  <si>
    <t>正規雇用-G--100-299人-5-9年</t>
  </si>
  <si>
    <t>正規雇用-G--300-999人-</t>
  </si>
  <si>
    <t>正規雇用-G--300-999人-0年</t>
  </si>
  <si>
    <t>正規雇用-G--300-999人-1-2年</t>
  </si>
  <si>
    <t>正規雇用-G--300-999人-10-14年</t>
  </si>
  <si>
    <t>正規雇用-G--300-999人-15-19年</t>
  </si>
  <si>
    <t>正規雇用-G--300-999人-20-24年</t>
  </si>
  <si>
    <t>正規雇用-G--300-999人-25-29年</t>
  </si>
  <si>
    <t>正規雇用-G--300-999人-3-4年</t>
  </si>
  <si>
    <t>正規雇用-G--300-999人-30年以上</t>
  </si>
  <si>
    <t>正規雇用-G--300-999人-5-9年</t>
  </si>
  <si>
    <t>正規雇用-H--1,000人以上-1-2年</t>
  </si>
  <si>
    <t>正規雇用-H--1,000人以上-10-14年</t>
  </si>
  <si>
    <t>正規雇用-H--1,000人以上-15-19年</t>
  </si>
  <si>
    <t>正規雇用-H--1,000人以上-20-24年</t>
  </si>
  <si>
    <t>正規雇用-H--1,000人以上-25-29年</t>
  </si>
  <si>
    <t>正規雇用-H--1,000人以上-3-4年</t>
  </si>
  <si>
    <t>正規雇用-H--1,000人以上-5-9年</t>
  </si>
  <si>
    <t>正規雇用-H--10-99人-</t>
  </si>
  <si>
    <t>正規雇用-H--10-99人-0年</t>
  </si>
  <si>
    <t>正規雇用-H--10-99人-1-2年</t>
  </si>
  <si>
    <t>正規雇用-H--10-99人-10-14年</t>
  </si>
  <si>
    <t>正規雇用-H--10-99人-15-19年</t>
  </si>
  <si>
    <t>正規雇用-H--10-99人-20-24年</t>
  </si>
  <si>
    <t>正規雇用-H--10-99人-25-29年</t>
  </si>
  <si>
    <t>正規雇用-H--10-99人-3-4年</t>
  </si>
  <si>
    <t>正規雇用-H--10-99人-30年以上</t>
  </si>
  <si>
    <t>正規雇用-H--10-99人-5-9年</t>
  </si>
  <si>
    <t>正規雇用-H--100-299人-</t>
  </si>
  <si>
    <t>正規雇用-H--100-299人-0年</t>
  </si>
  <si>
    <t>正規雇用-H--100-299人-1-2年</t>
  </si>
  <si>
    <t>正規雇用-H--100-299人-10-14年</t>
  </si>
  <si>
    <t>正規雇用-H--100-299人-15-19年</t>
  </si>
  <si>
    <t>正規雇用-H--100-299人-20-24年</t>
  </si>
  <si>
    <t>正規雇用-H--100-299人-25-29年</t>
  </si>
  <si>
    <t>正規雇用-H--100-299人-3-4年</t>
  </si>
  <si>
    <t>正規雇用-H--100-299人-30年以上</t>
  </si>
  <si>
    <t>正規雇用-H--100-299人-5-9年</t>
  </si>
  <si>
    <t>正規雇用-H--300-999人-</t>
  </si>
  <si>
    <t>正規雇用-H--300-999人-0年</t>
  </si>
  <si>
    <t>正規雇用-H--300-999人-1-2年</t>
  </si>
  <si>
    <t>正規雇用-H--300-999人-10-14年</t>
  </si>
  <si>
    <t>正規雇用-H--300-999人-15-19年</t>
  </si>
  <si>
    <t>正規雇用-H--300-999人-20-24年</t>
  </si>
  <si>
    <t>正規雇用-H--300-999人-25-29年</t>
  </si>
  <si>
    <t>正規雇用-H--300-999人-3-4年</t>
  </si>
  <si>
    <t>正規雇用-H--300-999人-30年以上</t>
  </si>
  <si>
    <t>正規雇用-H--300-999人-5-9年</t>
  </si>
  <si>
    <t>正規雇用-I--1,000人以上-1-2年</t>
  </si>
  <si>
    <t>正規雇用-I--1,000人以上-10-14年</t>
  </si>
  <si>
    <t>正規雇用-I--1,000人以上-15-19年</t>
  </si>
  <si>
    <t>正規雇用-I--1,000人以上-20-24年</t>
  </si>
  <si>
    <t>正規雇用-I--1,000人以上-25-29年</t>
  </si>
  <si>
    <t>正規雇用-I--1,000人以上-3-4年</t>
  </si>
  <si>
    <t>正規雇用-I--1,000人以上-5-9年</t>
  </si>
  <si>
    <t>正規雇用-I--10-99人-</t>
  </si>
  <si>
    <t>正規雇用-I--10-99人-0年</t>
  </si>
  <si>
    <t>正規雇用-I--10-99人-1-2年</t>
  </si>
  <si>
    <t>正規雇用-I--10-99人-10-14年</t>
  </si>
  <si>
    <t>正規雇用-I--10-99人-15-19年</t>
  </si>
  <si>
    <t>正規雇用-I--10-99人-20-24年</t>
  </si>
  <si>
    <t>正規雇用-I--10-99人-25-29年</t>
  </si>
  <si>
    <t>正規雇用-I--10-99人-3-4年</t>
  </si>
  <si>
    <t>正規雇用-I--10-99人-30年以上</t>
  </si>
  <si>
    <t>正規雇用-I--10-99人-5-9年</t>
  </si>
  <si>
    <t>正規雇用-I--100-299人-</t>
  </si>
  <si>
    <t>正規雇用-I--100-299人-0年</t>
  </si>
  <si>
    <t>正規雇用-I--100-299人-1-2年</t>
  </si>
  <si>
    <t>正規雇用-I--100-299人-10-14年</t>
  </si>
  <si>
    <t>正規雇用-I--100-299人-15-19年</t>
  </si>
  <si>
    <t>正規雇用-I--100-299人-20-24年</t>
  </si>
  <si>
    <t>正規雇用-I--100-299人-25-29年</t>
  </si>
  <si>
    <t>正規雇用-I--100-299人-3-4年</t>
  </si>
  <si>
    <t>正規雇用-I--100-299人-30年以上</t>
  </si>
  <si>
    <t>正規雇用-I--100-299人-5-9年</t>
  </si>
  <si>
    <t>正規雇用-I--300-999人-</t>
  </si>
  <si>
    <t>正規雇用-I--300-999人-0年</t>
  </si>
  <si>
    <t>正規雇用-I--300-999人-1-2年</t>
  </si>
  <si>
    <t>正規雇用-I--300-999人-10-14年</t>
  </si>
  <si>
    <t>正規雇用-I--300-999人-15-19年</t>
  </si>
  <si>
    <t>正規雇用-I--300-999人-20-24年</t>
  </si>
  <si>
    <t>正規雇用-I--300-999人-25-29年</t>
  </si>
  <si>
    <t>正規雇用-I--300-999人-3-4年</t>
  </si>
  <si>
    <t>正規雇用-I--300-999人-30年以上</t>
  </si>
  <si>
    <t>正規雇用-I--300-999人-5-9年</t>
  </si>
  <si>
    <t>正規雇用-J--1,000人以上-1-2年</t>
  </si>
  <si>
    <t>正規雇用-J--1,000人以上-10-14年</t>
  </si>
  <si>
    <t>正規雇用-J--1,000人以上-15-19年</t>
  </si>
  <si>
    <t>正規雇用-J--1,000人以上-20-24年</t>
  </si>
  <si>
    <t>正規雇用-J--1,000人以上-25-29年</t>
  </si>
  <si>
    <t>正規雇用-J--1,000人以上-3-4年</t>
  </si>
  <si>
    <t>正規雇用-J--1,000人以上-5-9年</t>
  </si>
  <si>
    <t>正規雇用-J--10-99人-</t>
  </si>
  <si>
    <t>正規雇用-J--10-99人-0年</t>
  </si>
  <si>
    <t>正規雇用-J--10-99人-1-2年</t>
  </si>
  <si>
    <t>正規雇用-J--10-99人-10-14年</t>
  </si>
  <si>
    <t>正規雇用-J--10-99人-15-19年</t>
  </si>
  <si>
    <t>正規雇用-J--10-99人-20-24年</t>
  </si>
  <si>
    <t>正規雇用-J--10-99人-25-29年</t>
  </si>
  <si>
    <t>正規雇用-J--10-99人-3-4年</t>
  </si>
  <si>
    <t>正規雇用-J--10-99人-30年以上</t>
  </si>
  <si>
    <t>正規雇用-J--10-99人-5-9年</t>
  </si>
  <si>
    <t>正規雇用-J--100-299人-</t>
  </si>
  <si>
    <t>正規雇用-J--100-299人-0年</t>
  </si>
  <si>
    <t>正規雇用-J--100-299人-1-2年</t>
  </si>
  <si>
    <t>正規雇用-J--100-299人-10-14年</t>
  </si>
  <si>
    <t>正規雇用-J--100-299人-15-19年</t>
  </si>
  <si>
    <t>正規雇用-J--100-299人-20-24年</t>
  </si>
  <si>
    <t>正規雇用-J--100-299人-25-29年</t>
  </si>
  <si>
    <t>正規雇用-J--100-299人-3-4年</t>
  </si>
  <si>
    <t>正規雇用-J--100-299人-30年以上</t>
  </si>
  <si>
    <t>正規雇用-J--100-299人-5-9年</t>
  </si>
  <si>
    <t>正規雇用-J--300-999人-</t>
  </si>
  <si>
    <t>正規雇用-J--300-999人-0年</t>
  </si>
  <si>
    <t>正規雇用-J--300-999人-1-2年</t>
  </si>
  <si>
    <t>正規雇用-J--300-999人-10-14年</t>
  </si>
  <si>
    <t>正規雇用-J--300-999人-15-19年</t>
  </si>
  <si>
    <t>正規雇用-J--300-999人-20-24年</t>
  </si>
  <si>
    <t>正規雇用-J--300-999人-25-29年</t>
  </si>
  <si>
    <t>正規雇用-J--300-999人-3-4年</t>
  </si>
  <si>
    <t>正規雇用-J--300-999人-30年以上</t>
  </si>
  <si>
    <t>正規雇用-J--300-999人-5-9年</t>
  </si>
  <si>
    <t>正規雇用-K--1,000人以上-1-2年</t>
  </si>
  <si>
    <t>正規雇用-K--1,000人以上-10-14年</t>
  </si>
  <si>
    <t>正規雇用-K--1,000人以上-15-19年</t>
  </si>
  <si>
    <t>正規雇用-K--1,000人以上-20-24年</t>
  </si>
  <si>
    <t>正規雇用-K--1,000人以上-25-29年</t>
  </si>
  <si>
    <t>正規雇用-K--1,000人以上-3-4年</t>
  </si>
  <si>
    <t>正規雇用-K--1,000人以上-5-9年</t>
  </si>
  <si>
    <t>正規雇用-K--10-99人-</t>
  </si>
  <si>
    <t>正規雇用-K--10-99人-0年</t>
  </si>
  <si>
    <t>正規雇用-K--10-99人-1-2年</t>
  </si>
  <si>
    <t>正規雇用-K--10-99人-10-14年</t>
  </si>
  <si>
    <t>正規雇用-K--10-99人-15-19年</t>
  </si>
  <si>
    <t>正規雇用-K--10-99人-20-24年</t>
  </si>
  <si>
    <t>正規雇用-K--10-99人-25-29年</t>
  </si>
  <si>
    <t>正規雇用-K--10-99人-3-4年</t>
  </si>
  <si>
    <t>正規雇用-K--10-99人-30年以上</t>
  </si>
  <si>
    <t>正規雇用-K--10-99人-5-9年</t>
  </si>
  <si>
    <t>正規雇用-K--100-299人-</t>
  </si>
  <si>
    <t>正規雇用-K--100-299人-0年</t>
  </si>
  <si>
    <t>正規雇用-K--100-299人-1-2年</t>
  </si>
  <si>
    <t>正規雇用-K--100-299人-10-14年</t>
  </si>
  <si>
    <t>正規雇用-K--100-299人-15-19年</t>
  </si>
  <si>
    <t>正規雇用-K--100-299人-20-24年</t>
  </si>
  <si>
    <t>正規雇用-K--100-299人-25-29年</t>
  </si>
  <si>
    <t>正規雇用-K--100-299人-3-4年</t>
  </si>
  <si>
    <t>正規雇用-K--100-299人-30年以上</t>
  </si>
  <si>
    <t>正規雇用-K--100-299人-5-9年</t>
  </si>
  <si>
    <t>正規雇用-K--300-999人-</t>
  </si>
  <si>
    <t>正規雇用-K--300-999人-0年</t>
  </si>
  <si>
    <t>正規雇用-K--300-999人-1-2年</t>
  </si>
  <si>
    <t>正規雇用-K--300-999人-10-14年</t>
  </si>
  <si>
    <t>正規雇用-K--300-999人-15-19年</t>
  </si>
  <si>
    <t>正規雇用-K--300-999人-20-24年</t>
  </si>
  <si>
    <t>正規雇用-K--300-999人-25-29年</t>
  </si>
  <si>
    <t>正規雇用-K--300-999人-3-4年</t>
  </si>
  <si>
    <t>正規雇用-K--300-999人-30年以上</t>
  </si>
  <si>
    <t>正規雇用-K--300-999人-5-9年</t>
  </si>
  <si>
    <t>正規雇用-L--1,000人以上-1-2年</t>
  </si>
  <si>
    <t>正規雇用-L--1,000人以上-10-14年</t>
  </si>
  <si>
    <t>正規雇用-L--1,000人以上-15-19年</t>
  </si>
  <si>
    <t>正規雇用-L--1,000人以上-20-24年</t>
  </si>
  <si>
    <t>正規雇用-L--1,000人以上-25-29年</t>
  </si>
  <si>
    <t>正規雇用-L--1,000人以上-3-4年</t>
  </si>
  <si>
    <t>正規雇用-L--1,000人以上-5-9年</t>
  </si>
  <si>
    <t>正規雇用-L--10-99人-</t>
  </si>
  <si>
    <t>正規雇用-L--10-99人-0年</t>
  </si>
  <si>
    <t>正規雇用-L--10-99人-1-2年</t>
  </si>
  <si>
    <t>正規雇用-L--10-99人-10-14年</t>
  </si>
  <si>
    <t>正規雇用-L--10-99人-15-19年</t>
  </si>
  <si>
    <t>正規雇用-L--10-99人-20-24年</t>
  </si>
  <si>
    <t>正規雇用-L--10-99人-25-29年</t>
  </si>
  <si>
    <t>正規雇用-L--10-99人-3-4年</t>
  </si>
  <si>
    <t>正規雇用-L--10-99人-30年以上</t>
  </si>
  <si>
    <t>正規雇用-L--10-99人-5-9年</t>
  </si>
  <si>
    <t>正規雇用-L--100-299人-</t>
  </si>
  <si>
    <t>正規雇用-L--100-299人-0年</t>
  </si>
  <si>
    <t>正規雇用-L--100-299人-1-2年</t>
  </si>
  <si>
    <t>正規雇用-L--100-299人-10-14年</t>
  </si>
  <si>
    <t>正規雇用-L--100-299人-15-19年</t>
  </si>
  <si>
    <t>正規雇用-L--100-299人-20-24年</t>
  </si>
  <si>
    <t>正規雇用-L--100-299人-25-29年</t>
  </si>
  <si>
    <t>正規雇用-L--100-299人-3-4年</t>
  </si>
  <si>
    <t>正規雇用-L--100-299人-30年以上</t>
  </si>
  <si>
    <t>正規雇用-L--100-299人-5-9年</t>
  </si>
  <si>
    <t>正規雇用-L--300-999人-</t>
  </si>
  <si>
    <t>正規雇用-L--300-999人-0年</t>
  </si>
  <si>
    <t>正規雇用-L--300-999人-1-2年</t>
  </si>
  <si>
    <t>正規雇用-L--300-999人-10-14年</t>
  </si>
  <si>
    <t>正規雇用-L--300-999人-15-19年</t>
  </si>
  <si>
    <t>正規雇用-L--300-999人-20-24年</t>
  </si>
  <si>
    <t>正規雇用-L--300-999人-25-29年</t>
  </si>
  <si>
    <t>正規雇用-L--300-999人-3-4年</t>
  </si>
  <si>
    <t>正規雇用-L--300-999人-30年以上</t>
  </si>
  <si>
    <t>正規雇用-L--300-999人-5-9年</t>
  </si>
  <si>
    <t>正規雇用-M--1,000人以上-1-2年</t>
  </si>
  <si>
    <t>正規雇用-M--1,000人以上-10-14年</t>
  </si>
  <si>
    <t>正規雇用-M--1,000人以上-15-19年</t>
  </si>
  <si>
    <t>正規雇用-M--1,000人以上-20-24年</t>
  </si>
  <si>
    <t>正規雇用-M--1,000人以上-25-29年</t>
  </si>
  <si>
    <t>正規雇用-M--1,000人以上-3-4年</t>
  </si>
  <si>
    <t>正規雇用-M--1,000人以上-5-9年</t>
  </si>
  <si>
    <t>正規雇用-M--10-99人-</t>
  </si>
  <si>
    <t>正規雇用-M--10-99人-0年</t>
  </si>
  <si>
    <t>正規雇用-M--10-99人-1-2年</t>
  </si>
  <si>
    <t>正規雇用-M--10-99人-10-14年</t>
  </si>
  <si>
    <t>正規雇用-M--10-99人-15-19年</t>
  </si>
  <si>
    <t>正規雇用-M--10-99人-20-24年</t>
  </si>
  <si>
    <t>正規雇用-M--10-99人-25-29年</t>
  </si>
  <si>
    <t>正規雇用-M--10-99人-3-4年</t>
  </si>
  <si>
    <t>正規雇用-M--10-99人-30年以上</t>
  </si>
  <si>
    <t>正規雇用-M--10-99人-5-9年</t>
  </si>
  <si>
    <t>正規雇用-M--100-299人-</t>
  </si>
  <si>
    <t>正規雇用-M--100-299人-0年</t>
  </si>
  <si>
    <t>正規雇用-M--100-299人-1-2年</t>
  </si>
  <si>
    <t>正規雇用-M--100-299人-10-14年</t>
  </si>
  <si>
    <t>正規雇用-M--100-299人-15-19年</t>
  </si>
  <si>
    <t>正規雇用-M--100-299人-20-24年</t>
  </si>
  <si>
    <t>正規雇用-M--100-299人-25-29年</t>
  </si>
  <si>
    <t>正規雇用-M--100-299人-3-4年</t>
  </si>
  <si>
    <t>正規雇用-M--100-299人-30年以上</t>
  </si>
  <si>
    <t>正規雇用-M--100-299人-5-9年</t>
  </si>
  <si>
    <t>正規雇用-M--300-999人-</t>
  </si>
  <si>
    <t>正規雇用-M--300-999人-0年</t>
  </si>
  <si>
    <t>正規雇用-M--300-999人-1-2年</t>
  </si>
  <si>
    <t>正規雇用-M--300-999人-10-14年</t>
  </si>
  <si>
    <t>正規雇用-M--300-999人-15-19年</t>
  </si>
  <si>
    <t>正規雇用-M--300-999人-20-24年</t>
  </si>
  <si>
    <t>正規雇用-M--300-999人-25-29年</t>
  </si>
  <si>
    <t>正規雇用-M--300-999人-3-4年</t>
  </si>
  <si>
    <t>正規雇用-M--300-999人-30年以上</t>
  </si>
  <si>
    <t>正規雇用-M--300-999人-5-9年</t>
  </si>
  <si>
    <t>正規雇用-N--1,000人以上-1-2年</t>
  </si>
  <si>
    <t>正規雇用-N--1,000人以上-10-14年</t>
  </si>
  <si>
    <t>正規雇用-N--1,000人以上-15-19年</t>
  </si>
  <si>
    <t>正規雇用-N--1,000人以上-20-24年</t>
  </si>
  <si>
    <t>正規雇用-N--1,000人以上-25-29年</t>
  </si>
  <si>
    <t>正規雇用-N--1,000人以上-3-4年</t>
  </si>
  <si>
    <t>正規雇用-N--1,000人以上-5-9年</t>
  </si>
  <si>
    <t>正規雇用-N--10-99人-</t>
  </si>
  <si>
    <t>正規雇用-N--10-99人-0年</t>
  </si>
  <si>
    <t>正規雇用-N--10-99人-1-2年</t>
  </si>
  <si>
    <t>正規雇用-N--10-99人-10-14年</t>
  </si>
  <si>
    <t>正規雇用-N--10-99人-15-19年</t>
  </si>
  <si>
    <t>正規雇用-N--10-99人-20-24年</t>
  </si>
  <si>
    <t>正規雇用-N--10-99人-25-29年</t>
  </si>
  <si>
    <t>正規雇用-N--10-99人-3-4年</t>
  </si>
  <si>
    <t>正規雇用-N--10-99人-30年以上</t>
  </si>
  <si>
    <t>正規雇用-N--10-99人-5-9年</t>
  </si>
  <si>
    <t>正規雇用-N--100-299人-</t>
  </si>
  <si>
    <t>正規雇用-N--100-299人-0年</t>
  </si>
  <si>
    <t>正規雇用-N--100-299人-1-2年</t>
  </si>
  <si>
    <t>正規雇用-N--100-299人-10-14年</t>
  </si>
  <si>
    <t>正規雇用-N--100-299人-15-19年</t>
  </si>
  <si>
    <t>正規雇用-N--100-299人-20-24年</t>
  </si>
  <si>
    <t>正規雇用-N--100-299人-25-29年</t>
  </si>
  <si>
    <t>正規雇用-N--100-299人-3-4年</t>
  </si>
  <si>
    <t>正規雇用-N--100-299人-30年以上</t>
  </si>
  <si>
    <t>正規雇用-N--100-299人-5-9年</t>
  </si>
  <si>
    <t>正規雇用-N--300-999人-</t>
  </si>
  <si>
    <t>正規雇用-N--300-999人-0年</t>
  </si>
  <si>
    <t>正規雇用-N--300-999人-1-2年</t>
  </si>
  <si>
    <t>正規雇用-N--300-999人-10-14年</t>
  </si>
  <si>
    <t>正規雇用-N--300-999人-15-19年</t>
  </si>
  <si>
    <t>正規雇用-N--300-999人-20-24年</t>
  </si>
  <si>
    <t>正規雇用-N--300-999人-25-29年</t>
  </si>
  <si>
    <t>正規雇用-N--300-999人-3-4年</t>
  </si>
  <si>
    <t>正規雇用-N--300-999人-30年以上</t>
  </si>
  <si>
    <t>正規雇用-N--300-999人-5-9年</t>
  </si>
  <si>
    <t>正規雇用-O--1,000人以上-1-2年</t>
  </si>
  <si>
    <t>正規雇用-O--1,000人以上-10-14年</t>
  </si>
  <si>
    <t>正規雇用-O--1,000人以上-15-19年</t>
  </si>
  <si>
    <t>正規雇用-O--1,000人以上-20-24年</t>
  </si>
  <si>
    <t>正規雇用-O--1,000人以上-25-29年</t>
  </si>
  <si>
    <t>正規雇用-O--1,000人以上-3-4年</t>
  </si>
  <si>
    <t>正規雇用-O--1,000人以上-5-9年</t>
  </si>
  <si>
    <t>正規雇用-O--10-99人-</t>
  </si>
  <si>
    <t>正規雇用-O--10-99人-0年</t>
  </si>
  <si>
    <t>正規雇用-O--10-99人-1-2年</t>
  </si>
  <si>
    <t>正規雇用-O--10-99人-10-14年</t>
  </si>
  <si>
    <t>正規雇用-O--10-99人-15-19年</t>
  </si>
  <si>
    <t>正規雇用-O--10-99人-20-24年</t>
  </si>
  <si>
    <t>正規雇用-O--10-99人-25-29年</t>
  </si>
  <si>
    <t>正規雇用-O--10-99人-3-4年</t>
  </si>
  <si>
    <t>正規雇用-O--10-99人-30年以上</t>
  </si>
  <si>
    <t>正規雇用-O--10-99人-5-9年</t>
  </si>
  <si>
    <t>正規雇用-O--100-299人-</t>
  </si>
  <si>
    <t>正規雇用-O--100-299人-0年</t>
  </si>
  <si>
    <t>正規雇用-O--100-299人-1-2年</t>
  </si>
  <si>
    <t>正規雇用-O--100-299人-10-14年</t>
  </si>
  <si>
    <t>正規雇用-O--100-299人-15-19年</t>
  </si>
  <si>
    <t>正規雇用-O--100-299人-20-24年</t>
  </si>
  <si>
    <t>正規雇用-O--100-299人-25-29年</t>
  </si>
  <si>
    <t>正規雇用-O--100-299人-3-4年</t>
  </si>
  <si>
    <t>正規雇用-O--100-299人-30年以上</t>
  </si>
  <si>
    <t>正規雇用-O--100-299人-5-9年</t>
  </si>
  <si>
    <t>正規雇用-O--300-999人-</t>
  </si>
  <si>
    <t>正規雇用-O--300-999人-0年</t>
  </si>
  <si>
    <t>正規雇用-O--300-999人-1-2年</t>
  </si>
  <si>
    <t>正規雇用-O--300-999人-10-14年</t>
  </si>
  <si>
    <t>正規雇用-O--300-999人-15-19年</t>
  </si>
  <si>
    <t>正規雇用-O--300-999人-20-24年</t>
  </si>
  <si>
    <t>正規雇用-O--300-999人-25-29年</t>
  </si>
  <si>
    <t>正規雇用-O--300-999人-3-4年</t>
  </si>
  <si>
    <t>正規雇用-O--300-999人-30年以上</t>
  </si>
  <si>
    <t>正規雇用-O--300-999人-5-9年</t>
  </si>
  <si>
    <t>正規雇用-P--1,000人以上-1-2年</t>
  </si>
  <si>
    <t>正規雇用-P--1,000人以上-10-14年</t>
  </si>
  <si>
    <t>正規雇用-P--1,000人以上-15-19年</t>
  </si>
  <si>
    <t>正規雇用-P--1,000人以上-20-24年</t>
  </si>
  <si>
    <t>正規雇用-P--1,000人以上-25-29年</t>
  </si>
  <si>
    <t>正規雇用-P--1,000人以上-3-4年</t>
  </si>
  <si>
    <t>正規雇用-P--1,000人以上-5-9年</t>
  </si>
  <si>
    <t>正規雇用-P--10-99人-</t>
  </si>
  <si>
    <t>正規雇用-P--10-99人-0年</t>
  </si>
  <si>
    <t>正規雇用-P--10-99人-1-2年</t>
  </si>
  <si>
    <t>正規雇用-P--10-99人-10-14年</t>
  </si>
  <si>
    <t>正規雇用-P--10-99人-15-19年</t>
  </si>
  <si>
    <t>正規雇用-P--10-99人-20-24年</t>
  </si>
  <si>
    <t>正規雇用-P--10-99人-25-29年</t>
  </si>
  <si>
    <t>正規雇用-P--10-99人-3-4年</t>
  </si>
  <si>
    <t>正規雇用-P--10-99人-30年以上</t>
  </si>
  <si>
    <t>正規雇用-P--10-99人-5-9年</t>
  </si>
  <si>
    <t>正規雇用-P--100-299人-</t>
  </si>
  <si>
    <t>正規雇用-P--100-299人-0年</t>
  </si>
  <si>
    <t>正規雇用-P--100-299人-1-2年</t>
  </si>
  <si>
    <t>正規雇用-P--100-299人-10-14年</t>
  </si>
  <si>
    <t>正規雇用-P--100-299人-15-19年</t>
  </si>
  <si>
    <t>正規雇用-P--100-299人-20-24年</t>
  </si>
  <si>
    <t>正規雇用-P--100-299人-25-29年</t>
  </si>
  <si>
    <t>正規雇用-P--100-299人-3-4年</t>
  </si>
  <si>
    <t>正規雇用-P--100-299人-30年以上</t>
  </si>
  <si>
    <t>正規雇用-P--100-299人-5-9年</t>
  </si>
  <si>
    <t>正規雇用-P--300-999人-</t>
  </si>
  <si>
    <t>正規雇用-P--300-999人-0年</t>
  </si>
  <si>
    <t>正規雇用-P--300-999人-1-2年</t>
  </si>
  <si>
    <t>正規雇用-P--300-999人-10-14年</t>
  </si>
  <si>
    <t>正規雇用-P--300-999人-15-19年</t>
  </si>
  <si>
    <t>正規雇用-P--300-999人-20-24年</t>
  </si>
  <si>
    <t>正規雇用-P--300-999人-25-29年</t>
  </si>
  <si>
    <t>正規雇用-P--300-999人-3-4年</t>
  </si>
  <si>
    <t>正規雇用-P--300-999人-30年以上</t>
  </si>
  <si>
    <t>正規雇用-P--300-999人-5-9年</t>
  </si>
  <si>
    <t>正規雇用-Q--1,000人以上-1-2年</t>
  </si>
  <si>
    <t>正規雇用-Q--1,000人以上-10-14年</t>
  </si>
  <si>
    <t>正規雇用-Q--1,000人以上-15-19年</t>
  </si>
  <si>
    <t>正規雇用-Q--1,000人以上-20-24年</t>
  </si>
  <si>
    <t>正規雇用-Q--1,000人以上-25-29年</t>
  </si>
  <si>
    <t>正規雇用-Q--1,000人以上-3-4年</t>
  </si>
  <si>
    <t>正規雇用-Q--1,000人以上-5-9年</t>
  </si>
  <si>
    <t>正規雇用-Q--10-99人-</t>
  </si>
  <si>
    <t>正規雇用-Q--10-99人-0年</t>
  </si>
  <si>
    <t>正規雇用-Q--10-99人-1-2年</t>
  </si>
  <si>
    <t>正規雇用-Q--10-99人-10-14年</t>
  </si>
  <si>
    <t>正規雇用-Q--10-99人-15-19年</t>
  </si>
  <si>
    <t>正規雇用-Q--10-99人-20-24年</t>
  </si>
  <si>
    <t>正規雇用-Q--10-99人-25-29年</t>
  </si>
  <si>
    <t>正規雇用-Q--10-99人-3-4年</t>
  </si>
  <si>
    <t>正規雇用-Q--10-99人-30年以上</t>
  </si>
  <si>
    <t>正規雇用-Q--10-99人-5-9年</t>
  </si>
  <si>
    <t>正規雇用-Q--100-299人-</t>
  </si>
  <si>
    <t>正規雇用-Q--100-299人-0年</t>
  </si>
  <si>
    <t>正規雇用-Q--100-299人-1-2年</t>
  </si>
  <si>
    <t>正規雇用-Q--100-299人-10-14年</t>
  </si>
  <si>
    <t>正規雇用-Q--100-299人-15-19年</t>
  </si>
  <si>
    <t>正規雇用-Q--100-299人-20-24年</t>
  </si>
  <si>
    <t>正規雇用-Q--100-299人-25-29年</t>
  </si>
  <si>
    <t>正規雇用-Q--100-299人-3-4年</t>
  </si>
  <si>
    <t>正規雇用-Q--100-299人-30年以上</t>
  </si>
  <si>
    <t>正規雇用-Q--100-299人-5-9年</t>
  </si>
  <si>
    <t>正規雇用-Q--300-999人-</t>
  </si>
  <si>
    <t>正規雇用-Q--300-999人-0年</t>
  </si>
  <si>
    <t>正規雇用-Q--300-999人-1-2年</t>
  </si>
  <si>
    <t>正規雇用-Q--300-999人-10-14年</t>
  </si>
  <si>
    <t>正規雇用-Q--300-999人-15-19年</t>
  </si>
  <si>
    <t>正規雇用-Q--300-999人-20-24年</t>
  </si>
  <si>
    <t>正規雇用-Q--300-999人-25-29年</t>
  </si>
  <si>
    <t>正規雇用-Q--300-999人-3-4年</t>
  </si>
  <si>
    <t>正規雇用-Q--300-999人-30年以上</t>
  </si>
  <si>
    <t>正規雇用-Q--300-999人-5-9年</t>
  </si>
  <si>
    <t>正規雇用-R--1,000人以上-1-2年</t>
  </si>
  <si>
    <t>正規雇用-R--1,000人以上-10-14年</t>
  </si>
  <si>
    <t>正規雇用-R--1,000人以上-15-19年</t>
  </si>
  <si>
    <t>正規雇用-R--1,000人以上-20-24年</t>
  </si>
  <si>
    <t>正規雇用-R--1,000人以上-25-29年</t>
  </si>
  <si>
    <t>正規雇用-R--1,000人以上-3-4年</t>
  </si>
  <si>
    <t>正規雇用-R--1,000人以上-5-9年</t>
  </si>
  <si>
    <t>正規雇用-R--10-99人-</t>
  </si>
  <si>
    <t>正規雇用-R--10-99人-0年</t>
  </si>
  <si>
    <t>正規雇用-R--10-99人-1-2年</t>
  </si>
  <si>
    <t>正規雇用-R--10-99人-10-14年</t>
  </si>
  <si>
    <t>正規雇用-R--10-99人-15-19年</t>
  </si>
  <si>
    <t>正規雇用-R--10-99人-20-24年</t>
  </si>
  <si>
    <t>正規雇用-R--10-99人-25-29年</t>
  </si>
  <si>
    <t>正規雇用-R--10-99人-3-4年</t>
  </si>
  <si>
    <t>正規雇用-R--10-99人-30年以上</t>
  </si>
  <si>
    <t>正規雇用-R--10-99人-5-9年</t>
  </si>
  <si>
    <t>正規雇用-R--100-299人-</t>
  </si>
  <si>
    <t>正規雇用-R--100-299人-0年</t>
  </si>
  <si>
    <t>正規雇用-R--100-299人-1-2年</t>
  </si>
  <si>
    <t>正規雇用-R--100-299人-10-14年</t>
  </si>
  <si>
    <t>正規雇用-R--100-299人-15-19年</t>
  </si>
  <si>
    <t>正規雇用-R--100-299人-20-24年</t>
  </si>
  <si>
    <t>正規雇用-R--100-299人-25-29年</t>
  </si>
  <si>
    <t>正規雇用-R--100-299人-3-4年</t>
  </si>
  <si>
    <t>正規雇用-R--100-299人-30年以上</t>
  </si>
  <si>
    <t>正規雇用-R--100-299人-5-9年</t>
  </si>
  <si>
    <t>正規雇用-R--300-999人-</t>
  </si>
  <si>
    <t>正規雇用-R--300-999人-0年</t>
  </si>
  <si>
    <t>正規雇用-R--300-999人-1-2年</t>
  </si>
  <si>
    <t>正規雇用-R--300-999人-10-14年</t>
  </si>
  <si>
    <t>正規雇用-R--300-999人-15-19年</t>
  </si>
  <si>
    <t>正規雇用-R--300-999人-20-24年</t>
  </si>
  <si>
    <t>正規雇用-R--300-999人-25-29年</t>
  </si>
  <si>
    <t>正規雇用-R--300-999人-3-4年</t>
  </si>
  <si>
    <t>正規雇用-R--300-999人-30年以上</t>
  </si>
  <si>
    <t>正規雇用-R--300-999人-5-9年</t>
  </si>
  <si>
    <t>正規雇用-E-9--1-2年</t>
  </si>
  <si>
    <t>正規雇用-E-9--10-14年</t>
  </si>
  <si>
    <t>正規雇用-E-9--15-19年</t>
  </si>
  <si>
    <t>正規雇用-E-9--20-24年</t>
  </si>
  <si>
    <t>正規雇用-E-9--25-29年</t>
  </si>
  <si>
    <t>正規雇用-E-9--3-4年</t>
  </si>
  <si>
    <t>正規雇用-E-9--5-9年</t>
  </si>
  <si>
    <t>正規雇用-E-10--1-2年</t>
  </si>
  <si>
    <t>正規雇用-E-10--10-14年</t>
  </si>
  <si>
    <t>正規雇用-E-10--15-19年</t>
  </si>
  <si>
    <t>正規雇用-E-10--20-24年</t>
  </si>
  <si>
    <t>正規雇用-E-10--25-29年</t>
  </si>
  <si>
    <t>正規雇用-E-10--3-4年</t>
  </si>
  <si>
    <t>正規雇用-E-10--5-9年</t>
  </si>
  <si>
    <t>正規雇用-E-11--1-2年</t>
  </si>
  <si>
    <t>正規雇用-E-11--10-14年</t>
  </si>
  <si>
    <t>正規雇用-E-11--15-19年</t>
  </si>
  <si>
    <t>正規雇用-E-11--20-24年</t>
  </si>
  <si>
    <t>正規雇用-E-11--25-29年</t>
  </si>
  <si>
    <t>正規雇用-E-11--3-4年</t>
  </si>
  <si>
    <t>正規雇用-E-11--5-9年</t>
  </si>
  <si>
    <t>正規雇用-E-12--1-2年</t>
  </si>
  <si>
    <t>正規雇用-E-12--10-14年</t>
  </si>
  <si>
    <t>正規雇用-E-12--15-19年</t>
  </si>
  <si>
    <t>正規雇用-E-12--20-24年</t>
  </si>
  <si>
    <t>正規雇用-E-12--25-29年</t>
  </si>
  <si>
    <t>正規雇用-E-12--3-4年</t>
  </si>
  <si>
    <t>正規雇用-E-12--5-9年</t>
  </si>
  <si>
    <t>正規雇用-E-13--1-2年</t>
  </si>
  <si>
    <t>正規雇用-E-13--10-14年</t>
  </si>
  <si>
    <t>正規雇用-E-13--15-19年</t>
  </si>
  <si>
    <t>正規雇用-E-13--20-24年</t>
  </si>
  <si>
    <t>正規雇用-E-13--25-29年</t>
  </si>
  <si>
    <t>正規雇用-E-13--3-4年</t>
  </si>
  <si>
    <t>正規雇用-E-13--5-9年</t>
  </si>
  <si>
    <t>正規雇用-E-14--1-2年</t>
  </si>
  <si>
    <t>正規雇用-E-14--10-14年</t>
  </si>
  <si>
    <t>正規雇用-E-14--15-19年</t>
  </si>
  <si>
    <t>正規雇用-E-14--20-24年</t>
  </si>
  <si>
    <t>正規雇用-E-14--25-29年</t>
  </si>
  <si>
    <t>正規雇用-E-14--3-4年</t>
  </si>
  <si>
    <t>正規雇用-E-14--5-9年</t>
  </si>
  <si>
    <t>正規雇用-E-15--1-2年</t>
  </si>
  <si>
    <t>正規雇用-E-15--10-14年</t>
  </si>
  <si>
    <t>正規雇用-E-15--15-19年</t>
  </si>
  <si>
    <t>正規雇用-E-15--20-24年</t>
  </si>
  <si>
    <t>正規雇用-E-15--25-29年</t>
  </si>
  <si>
    <t>正規雇用-E-15--3-4年</t>
  </si>
  <si>
    <t>正規雇用-E-15--5-9年</t>
  </si>
  <si>
    <t>正規雇用-E-16--1-2年</t>
  </si>
  <si>
    <t>正規雇用-E-16--10-14年</t>
  </si>
  <si>
    <t>正規雇用-E-16--15-19年</t>
  </si>
  <si>
    <t>正規雇用-E-16--20-24年</t>
  </si>
  <si>
    <t>正規雇用-E-16--25-29年</t>
  </si>
  <si>
    <t>正規雇用-E-16--3-4年</t>
  </si>
  <si>
    <t>正規雇用-E-16--5-9年</t>
  </si>
  <si>
    <t>正規雇用-E-17--1-2年</t>
  </si>
  <si>
    <t>正規雇用-E-17--10-14年</t>
  </si>
  <si>
    <t>正規雇用-E-17--15-19年</t>
  </si>
  <si>
    <t>正規雇用-E-17--20-24年</t>
  </si>
  <si>
    <t>正規雇用-E-17--25-29年</t>
  </si>
  <si>
    <t>正規雇用-E-17--3-4年</t>
  </si>
  <si>
    <t>正規雇用-E-17--5-9年</t>
  </si>
  <si>
    <t>正規雇用-E-18--1-2年</t>
  </si>
  <si>
    <t>正規雇用-E-18--10-14年</t>
  </si>
  <si>
    <t>正規雇用-E-18--15-19年</t>
  </si>
  <si>
    <t>正規雇用-E-18--20-24年</t>
  </si>
  <si>
    <t>正規雇用-E-18--25-29年</t>
  </si>
  <si>
    <t>正規雇用-E-18--3-4年</t>
  </si>
  <si>
    <t>正規雇用-E-18--5-9年</t>
  </si>
  <si>
    <t>正規雇用-E-19--1-2年</t>
  </si>
  <si>
    <t>正規雇用-E-19--10-14年</t>
  </si>
  <si>
    <t>正規雇用-E-19--15-19年</t>
  </si>
  <si>
    <t>正規雇用-E-19--20-24年</t>
  </si>
  <si>
    <t>正規雇用-E-19--25-29年</t>
  </si>
  <si>
    <t>正規雇用-E-19--3-4年</t>
  </si>
  <si>
    <t>正規雇用-E-19--5-9年</t>
  </si>
  <si>
    <t>正規雇用-E-20--1-2年</t>
  </si>
  <si>
    <t>正規雇用-E-20--10-14年</t>
  </si>
  <si>
    <t>正規雇用-E-20--15-19年</t>
  </si>
  <si>
    <t>正規雇用-E-20--20-24年</t>
  </si>
  <si>
    <t>正規雇用-E-20--25-29年</t>
  </si>
  <si>
    <t>正規雇用-E-20--3-4年</t>
  </si>
  <si>
    <t>正規雇用-E-20--5-9年</t>
  </si>
  <si>
    <t>正規雇用-E-21--1-2年</t>
  </si>
  <si>
    <t>正規雇用-E-21--10-14年</t>
  </si>
  <si>
    <t>正規雇用-E-21--15-19年</t>
  </si>
  <si>
    <t>正規雇用-E-21--20-24年</t>
  </si>
  <si>
    <t>正規雇用-E-21--25-29年</t>
  </si>
  <si>
    <t>正規雇用-E-21--3-4年</t>
  </si>
  <si>
    <t>正規雇用-E-21--5-9年</t>
  </si>
  <si>
    <t>正規雇用-E-22--1-2年</t>
  </si>
  <si>
    <t>正規雇用-E-22--10-14年</t>
  </si>
  <si>
    <t>正規雇用-E-22--15-19年</t>
  </si>
  <si>
    <t>正規雇用-E-22--20-24年</t>
  </si>
  <si>
    <t>正規雇用-E-22--25-29年</t>
  </si>
  <si>
    <t>正規雇用-E-22--3-4年</t>
  </si>
  <si>
    <t>正規雇用-E-22--5-9年</t>
  </si>
  <si>
    <t>正規雇用-E-23--1-2年</t>
  </si>
  <si>
    <t>正規雇用-E-23--10-14年</t>
  </si>
  <si>
    <t>正規雇用-E-23--15-19年</t>
  </si>
  <si>
    <t>正規雇用-E-23--20-24年</t>
  </si>
  <si>
    <t>正規雇用-E-23--25-29年</t>
  </si>
  <si>
    <t>正規雇用-E-23--3-4年</t>
  </si>
  <si>
    <t>正規雇用-E-23--5-9年</t>
  </si>
  <si>
    <t>正規雇用-E-24--1-2年</t>
  </si>
  <si>
    <t>正規雇用-E-24--10-14年</t>
  </si>
  <si>
    <t>正規雇用-E-24--15-19年</t>
  </si>
  <si>
    <t>正規雇用-E-24--20-24年</t>
  </si>
  <si>
    <t>正規雇用-E-24--25-29年</t>
  </si>
  <si>
    <t>正規雇用-E-24--3-4年</t>
  </si>
  <si>
    <t>正規雇用-E-24--5-9年</t>
  </si>
  <si>
    <t>正規雇用-E-25--1-2年</t>
  </si>
  <si>
    <t>正規雇用-E-25--10-14年</t>
  </si>
  <si>
    <t>正規雇用-E-25--15-19年</t>
  </si>
  <si>
    <t>正規雇用-E-25--20-24年</t>
  </si>
  <si>
    <t>正規雇用-E-25--25-29年</t>
  </si>
  <si>
    <t>正規雇用-E-25--3-4年</t>
  </si>
  <si>
    <t>正規雇用-E-25--5-9年</t>
  </si>
  <si>
    <t>正規雇用-E-26--1-2年</t>
  </si>
  <si>
    <t>正規雇用-E-26--10-14年</t>
  </si>
  <si>
    <t>正規雇用-E-26--15-19年</t>
  </si>
  <si>
    <t>正規雇用-E-26--20-24年</t>
  </si>
  <si>
    <t>正規雇用-E-26--25-29年</t>
  </si>
  <si>
    <t>正規雇用-E-26--3-4年</t>
  </si>
  <si>
    <t>正規雇用-E-26--5-9年</t>
  </si>
  <si>
    <t>正規雇用-E-27--1-2年</t>
  </si>
  <si>
    <t>正規雇用-E-27--10-14年</t>
  </si>
  <si>
    <t>正規雇用-E-27--15-19年</t>
  </si>
  <si>
    <t>正規雇用-E-27--20-24年</t>
  </si>
  <si>
    <t>正規雇用-E-27--25-29年</t>
  </si>
  <si>
    <t>正規雇用-E-27--3-4年</t>
  </si>
  <si>
    <t>正規雇用-E-27--5-9年</t>
  </si>
  <si>
    <t>正規雇用-E-28--1-2年</t>
  </si>
  <si>
    <t>正規雇用-E-28--10-14年</t>
  </si>
  <si>
    <t>正規雇用-E-28--15-19年</t>
  </si>
  <si>
    <t>正規雇用-E-28--20-24年</t>
  </si>
  <si>
    <t>正規雇用-E-28--25-29年</t>
  </si>
  <si>
    <t>正規雇用-E-28--3-4年</t>
  </si>
  <si>
    <t>正規雇用-E-28--5-9年</t>
  </si>
  <si>
    <t>正規雇用-E-29--1-2年</t>
  </si>
  <si>
    <t>正規雇用-E-29--10-14年</t>
  </si>
  <si>
    <t>正規雇用-E-29--15-19年</t>
  </si>
  <si>
    <t>正規雇用-E-29--20-24年</t>
  </si>
  <si>
    <t>正規雇用-E-29--25-29年</t>
  </si>
  <si>
    <t>正規雇用-E-29--3-4年</t>
  </si>
  <si>
    <t>正規雇用-E-29--5-9年</t>
  </si>
  <si>
    <t>正規雇用-E-30--1-2年</t>
  </si>
  <si>
    <t>正規雇用-E-30--10-14年</t>
  </si>
  <si>
    <t>正規雇用-E-30--15-19年</t>
  </si>
  <si>
    <t>正規雇用-E-30--20-24年</t>
  </si>
  <si>
    <t>正規雇用-E-30--25-29年</t>
  </si>
  <si>
    <t>正規雇用-E-30--3-4年</t>
  </si>
  <si>
    <t>正規雇用-E-30--5-9年</t>
  </si>
  <si>
    <t>正規雇用-E-31--1-2年</t>
  </si>
  <si>
    <t>正規雇用-E-31--10-14年</t>
  </si>
  <si>
    <t>正規雇用-E-31--15-19年</t>
  </si>
  <si>
    <t>正規雇用-E-31--20-24年</t>
  </si>
  <si>
    <t>正規雇用-E-31--25-29年</t>
  </si>
  <si>
    <t>正規雇用-E-31--3-4年</t>
  </si>
  <si>
    <t>正規雇用-E-31--5-9年</t>
  </si>
  <si>
    <t>正規雇用-E-32--1-2年</t>
  </si>
  <si>
    <t>正規雇用-E-32--10-14年</t>
  </si>
  <si>
    <t>正規雇用-E-32--15-19年</t>
  </si>
  <si>
    <t>正規雇用-E-32--20-24年</t>
  </si>
  <si>
    <t>正規雇用-E-32--25-29年</t>
  </si>
  <si>
    <t>正規雇用-E-32--3-4年</t>
  </si>
  <si>
    <t>正規雇用-E-32--5-9年</t>
  </si>
  <si>
    <t>正規雇用-C---1-2年</t>
  </si>
  <si>
    <t>正規雇用-C---10-14年</t>
  </si>
  <si>
    <t>正規雇用-C---15-19年</t>
  </si>
  <si>
    <t>正規雇用-C---20-24年</t>
  </si>
  <si>
    <t>正規雇用-C---25-29年</t>
  </si>
  <si>
    <t>正規雇用-C---3-4年</t>
  </si>
  <si>
    <t>正規雇用-C---5-9年</t>
  </si>
  <si>
    <t>正規雇用-D---1-2年</t>
  </si>
  <si>
    <t>正規雇用-D---10-14年</t>
  </si>
  <si>
    <t>正規雇用-D---15-19年</t>
  </si>
  <si>
    <t>正規雇用-D---20-24年</t>
  </si>
  <si>
    <t>正規雇用-D---25-29年</t>
  </si>
  <si>
    <t>正規雇用-D---3-4年</t>
  </si>
  <si>
    <t>正規雇用-D---5-9年</t>
  </si>
  <si>
    <t>正規雇用-E---1-2年</t>
  </si>
  <si>
    <t>正規雇用-E---10-14年</t>
  </si>
  <si>
    <t>正規雇用-E---15-19年</t>
  </si>
  <si>
    <t>正規雇用-E---20-24年</t>
  </si>
  <si>
    <t>正規雇用-E---25-29年</t>
  </si>
  <si>
    <t>正規雇用-E---3-4年</t>
  </si>
  <si>
    <t>正規雇用-E---5-9年</t>
  </si>
  <si>
    <t>正規雇用-F---1-2年</t>
  </si>
  <si>
    <t>正規雇用-F---10-14年</t>
  </si>
  <si>
    <t>正規雇用-F---15-19年</t>
  </si>
  <si>
    <t>正規雇用-F---20-24年</t>
  </si>
  <si>
    <t>正規雇用-F---25-29年</t>
  </si>
  <si>
    <t>正規雇用-F---3-4年</t>
  </si>
  <si>
    <t>正規雇用-F---5-9年</t>
  </si>
  <si>
    <t>正規雇用-G---1-2年</t>
  </si>
  <si>
    <t>正規雇用-G---10-14年</t>
  </si>
  <si>
    <t>正規雇用-G---15-19年</t>
  </si>
  <si>
    <t>正規雇用-G---20-24年</t>
  </si>
  <si>
    <t>正規雇用-G---25-29年</t>
  </si>
  <si>
    <t>正規雇用-G---3-4年</t>
  </si>
  <si>
    <t>正規雇用-G---5-9年</t>
  </si>
  <si>
    <t>正規雇用-H---1-2年</t>
  </si>
  <si>
    <t>正規雇用-H---10-14年</t>
  </si>
  <si>
    <t>正規雇用-H---15-19年</t>
  </si>
  <si>
    <t>正規雇用-H---20-24年</t>
  </si>
  <si>
    <t>正規雇用-H---25-29年</t>
  </si>
  <si>
    <t>正規雇用-H---3-4年</t>
  </si>
  <si>
    <t>正規雇用-H---5-9年</t>
  </si>
  <si>
    <t>正規雇用-I---1-2年</t>
  </si>
  <si>
    <t>正規雇用-I---10-14年</t>
  </si>
  <si>
    <t>正規雇用-I---15-19年</t>
  </si>
  <si>
    <t>正規雇用-I---20-24年</t>
  </si>
  <si>
    <t>正規雇用-I---25-29年</t>
  </si>
  <si>
    <t>正規雇用-I---3-4年</t>
  </si>
  <si>
    <t>正規雇用-I---5-9年</t>
  </si>
  <si>
    <t>正規雇用-J---1-2年</t>
  </si>
  <si>
    <t>正規雇用-J---10-14年</t>
  </si>
  <si>
    <t>正規雇用-J---15-19年</t>
  </si>
  <si>
    <t>正規雇用-J---20-24年</t>
  </si>
  <si>
    <t>正規雇用-J---25-29年</t>
  </si>
  <si>
    <t>正規雇用-J---3-4年</t>
  </si>
  <si>
    <t>正規雇用-J---5-9年</t>
  </si>
  <si>
    <t>正規雇用-K---1-2年</t>
  </si>
  <si>
    <t>正規雇用-K---10-14年</t>
  </si>
  <si>
    <t>正規雇用-K---15-19年</t>
  </si>
  <si>
    <t>正規雇用-K---20-24年</t>
  </si>
  <si>
    <t>正規雇用-K---25-29年</t>
  </si>
  <si>
    <t>正規雇用-K---3-4年</t>
  </si>
  <si>
    <t>正規雇用-K---5-9年</t>
  </si>
  <si>
    <t>正規雇用-L---1-2年</t>
  </si>
  <si>
    <t>正規雇用-L---10-14年</t>
  </si>
  <si>
    <t>正規雇用-L---15-19年</t>
  </si>
  <si>
    <t>正規雇用-L---20-24年</t>
  </si>
  <si>
    <t>正規雇用-L---25-29年</t>
  </si>
  <si>
    <t>正規雇用-L---3-4年</t>
  </si>
  <si>
    <t>正規雇用-L---5-9年</t>
  </si>
  <si>
    <t>正規雇用-M---1-2年</t>
  </si>
  <si>
    <t>正規雇用-M---10-14年</t>
  </si>
  <si>
    <t>正規雇用-M---15-19年</t>
  </si>
  <si>
    <t>正規雇用-M---20-24年</t>
  </si>
  <si>
    <t>正規雇用-M---25-29年</t>
  </si>
  <si>
    <t>正規雇用-M---3-4年</t>
  </si>
  <si>
    <t>正規雇用-M---5-9年</t>
  </si>
  <si>
    <t>正規雇用-N---1-2年</t>
  </si>
  <si>
    <t>正規雇用-N---10-14年</t>
  </si>
  <si>
    <t>正規雇用-N---15-19年</t>
  </si>
  <si>
    <t>正規雇用-N---20-24年</t>
  </si>
  <si>
    <t>正規雇用-N---25-29年</t>
  </si>
  <si>
    <t>正規雇用-N---3-4年</t>
  </si>
  <si>
    <t>正規雇用-N---5-9年</t>
  </si>
  <si>
    <t>正規雇用-O---1-2年</t>
  </si>
  <si>
    <t>正規雇用-O---10-14年</t>
  </si>
  <si>
    <t>正規雇用-O---15-19年</t>
  </si>
  <si>
    <t>正規雇用-O---20-24年</t>
  </si>
  <si>
    <t>正規雇用-O---25-29年</t>
  </si>
  <si>
    <t>正規雇用-O---3-4年</t>
  </si>
  <si>
    <t>正規雇用-O---5-9年</t>
  </si>
  <si>
    <t>正規雇用-P---1-2年</t>
  </si>
  <si>
    <t>正規雇用-P---10-14年</t>
  </si>
  <si>
    <t>正規雇用-P---15-19年</t>
  </si>
  <si>
    <t>正規雇用-P---20-24年</t>
  </si>
  <si>
    <t>正規雇用-P---25-29年</t>
  </si>
  <si>
    <t>正規雇用-P---3-4年</t>
  </si>
  <si>
    <t>正規雇用-P---5-9年</t>
  </si>
  <si>
    <t>正規雇用-Q---1-2年</t>
  </si>
  <si>
    <t>正規雇用-Q---10-14年</t>
  </si>
  <si>
    <t>正規雇用-Q---15-19年</t>
  </si>
  <si>
    <t>正規雇用-Q---20-24年</t>
  </si>
  <si>
    <t>正規雇用-Q---25-29年</t>
  </si>
  <si>
    <t>正規雇用-Q---3-4年</t>
  </si>
  <si>
    <t>正規雇用-Q---5-9年</t>
  </si>
  <si>
    <t>正規雇用-R---1-2年</t>
  </si>
  <si>
    <t>正規雇用-R---10-14年</t>
  </si>
  <si>
    <t>正規雇用-R---15-19年</t>
  </si>
  <si>
    <t>正規雇用-R---20-24年</t>
  </si>
  <si>
    <t>正規雇用-R---25-29年</t>
  </si>
  <si>
    <t>正規雇用-R---3-4年</t>
  </si>
  <si>
    <t>正規雇用-R---5-9年</t>
  </si>
  <si>
    <t>正規雇用---1,000人以上-1-2年</t>
  </si>
  <si>
    <t>正規雇用---1,000人以上-10-14年</t>
  </si>
  <si>
    <t>正規雇用---1,000人以上-15-19年</t>
  </si>
  <si>
    <t>正規雇用---1,000人以上-20-24年</t>
  </si>
  <si>
    <t>正規雇用---1,000人以上-25-29年</t>
  </si>
  <si>
    <t>正規雇用---1,000人以上-3-4年</t>
  </si>
  <si>
    <t>正規雇用---1,000人以上-5-9年</t>
  </si>
  <si>
    <t>正規雇用---10-99人-</t>
  </si>
  <si>
    <t>正規雇用---10-99人-0年</t>
  </si>
  <si>
    <t>正規雇用---10-99人-1-2年</t>
  </si>
  <si>
    <t>正規雇用---10-99人-10-14年</t>
  </si>
  <si>
    <t>正規雇用---10-99人-15-19年</t>
  </si>
  <si>
    <t>正規雇用---10-99人-20-24年</t>
  </si>
  <si>
    <t>正規雇用---10-99人-25-29年</t>
  </si>
  <si>
    <t>正規雇用---10-99人-3-4年</t>
  </si>
  <si>
    <t>正規雇用---10-99人-30年以上</t>
  </si>
  <si>
    <t>正規雇用---10-99人-5-9年</t>
  </si>
  <si>
    <t>正規雇用---100-299人-</t>
  </si>
  <si>
    <t>正規雇用---100-299人-0年</t>
  </si>
  <si>
    <t>正規雇用---100-299人-1-2年</t>
  </si>
  <si>
    <t>正規雇用---100-299人-10-14年</t>
  </si>
  <si>
    <t>正規雇用---100-299人-15-19年</t>
  </si>
  <si>
    <t>正規雇用---100-299人-20-24年</t>
  </si>
  <si>
    <t>正規雇用---100-299人-25-29年</t>
  </si>
  <si>
    <t>正規雇用---100-299人-3-4年</t>
  </si>
  <si>
    <t>正規雇用---100-299人-30年以上</t>
  </si>
  <si>
    <t>正規雇用---100-299人-5-9年</t>
  </si>
  <si>
    <t>正規雇用---300-999人-</t>
  </si>
  <si>
    <t>正規雇用---300-999人-0年</t>
  </si>
  <si>
    <t>正規雇用---300-999人-1-2年</t>
  </si>
  <si>
    <t>正規雇用---300-999人-10-14年</t>
  </si>
  <si>
    <t>正規雇用---300-999人-15-19年</t>
  </si>
  <si>
    <t>正規雇用---300-999人-20-24年</t>
  </si>
  <si>
    <t>正規雇用---300-999人-25-29年</t>
  </si>
  <si>
    <t>正規雇用---300-999人-3-4年</t>
  </si>
  <si>
    <t>正規雇用---300-999人-30年以上</t>
  </si>
  <si>
    <t>正規雇用---300-999人-5-9年</t>
  </si>
  <si>
    <t>正規雇用----1-2年</t>
  </si>
  <si>
    <t>正規雇用----10-14年</t>
  </si>
  <si>
    <t>正規雇用----15-19年</t>
  </si>
  <si>
    <t>正規雇用----20-24年</t>
  </si>
  <si>
    <t>正規雇用----25-29年</t>
  </si>
  <si>
    <t>正規雇用----3-4年</t>
  </si>
  <si>
    <t>正規雇用----5-9年</t>
  </si>
  <si>
    <t>正規雇用-E-9-10-99人-101</t>
  </si>
  <si>
    <t>正規雇用-E-9-10-99人-102</t>
  </si>
  <si>
    <t>正規雇用-E-9-10-99人-103</t>
  </si>
  <si>
    <t>正規雇用-E-9-10-99人-104</t>
  </si>
  <si>
    <t>正規雇用-E-9-10-99人-105</t>
  </si>
  <si>
    <t>正規雇用-E-9-10-99人-(空白)</t>
  </si>
  <si>
    <t>正規雇用-E-9-100-299人-101</t>
  </si>
  <si>
    <t>正規雇用-E-9-100-299人-102</t>
  </si>
  <si>
    <t>正規雇用-E-9-100-299人-103</t>
  </si>
  <si>
    <t>正規雇用-E-9-100-299人-104</t>
  </si>
  <si>
    <t>正規雇用-E-9-100-299人-105</t>
  </si>
  <si>
    <t>正規雇用-E-9-100-299人-(空白)</t>
  </si>
  <si>
    <t>正規雇用-E-9-300-999人-101</t>
  </si>
  <si>
    <t>正規雇用-E-9-300-999人-102</t>
  </si>
  <si>
    <t>正規雇用-E-9-300-999人-103</t>
  </si>
  <si>
    <t>正規雇用-E-9-300-999人-104</t>
  </si>
  <si>
    <t>正規雇用-E-9-300-999人-105</t>
  </si>
  <si>
    <t>正規雇用-E-9-300-999人-(空白)</t>
  </si>
  <si>
    <t>正規雇用-E-10-10-99人-101</t>
  </si>
  <si>
    <t>正規雇用-E-10-10-99人-102</t>
  </si>
  <si>
    <t>正規雇用-E-10-10-99人-103</t>
  </si>
  <si>
    <t>正規雇用-E-10-10-99人-104</t>
  </si>
  <si>
    <t>正規雇用-E-10-10-99人-105</t>
  </si>
  <si>
    <t>正規雇用-E-10-10-99人-(空白)</t>
  </si>
  <si>
    <t>正規雇用-E-10-100-299人-101</t>
  </si>
  <si>
    <t>正規雇用-E-10-100-299人-102</t>
  </si>
  <si>
    <t>正規雇用-E-10-100-299人-103</t>
  </si>
  <si>
    <t>正規雇用-E-10-100-299人-104</t>
  </si>
  <si>
    <t>正規雇用-E-10-100-299人-105</t>
  </si>
  <si>
    <t>正規雇用-E-10-100-299人-(空白)</t>
  </si>
  <si>
    <t>正規雇用-E-10-300-999人-101</t>
  </si>
  <si>
    <t>正規雇用-E-10-300-999人-102</t>
  </si>
  <si>
    <t>正規雇用-E-10-300-999人-103</t>
  </si>
  <si>
    <t>正規雇用-E-10-300-999人-104</t>
  </si>
  <si>
    <t>正規雇用-E-10-300-999人-105</t>
  </si>
  <si>
    <t>正規雇用-E-10-300-999人-(空白)</t>
  </si>
  <si>
    <t>正規雇用-E-11-10-99人-101</t>
  </si>
  <si>
    <t>正規雇用-E-11-10-99人-102</t>
  </si>
  <si>
    <t>正規雇用-E-11-10-99人-103</t>
  </si>
  <si>
    <t>正規雇用-E-11-10-99人-104</t>
  </si>
  <si>
    <t>正規雇用-E-11-10-99人-105</t>
  </si>
  <si>
    <t>正規雇用-E-11-10-99人-(空白)</t>
  </si>
  <si>
    <t>正規雇用-E-11-100-299人-101</t>
  </si>
  <si>
    <t>正規雇用-E-11-100-299人-102</t>
  </si>
  <si>
    <t>正規雇用-E-11-100-299人-103</t>
  </si>
  <si>
    <t>正規雇用-E-11-100-299人-104</t>
  </si>
  <si>
    <t>正規雇用-E-11-100-299人-105</t>
  </si>
  <si>
    <t>正規雇用-E-11-100-299人-(空白)</t>
  </si>
  <si>
    <t>正規雇用-E-11-300-999人-101</t>
  </si>
  <si>
    <t>正規雇用-E-11-300-999人-102</t>
  </si>
  <si>
    <t>正規雇用-E-11-300-999人-103</t>
  </si>
  <si>
    <t>正規雇用-E-11-300-999人-104</t>
  </si>
  <si>
    <t>正規雇用-E-11-300-999人-105</t>
  </si>
  <si>
    <t>正規雇用-E-11-300-999人-(空白)</t>
  </si>
  <si>
    <t>正規雇用-E-12-10-99人-101</t>
  </si>
  <si>
    <t>正規雇用-E-12-10-99人-102</t>
  </si>
  <si>
    <t>正規雇用-E-12-10-99人-103</t>
  </si>
  <si>
    <t>正規雇用-E-12-10-99人-104</t>
  </si>
  <si>
    <t>正規雇用-E-12-10-99人-105</t>
  </si>
  <si>
    <t>正規雇用-E-12-10-99人-(空白)</t>
  </si>
  <si>
    <t>正規雇用-E-12-100-299人-101</t>
  </si>
  <si>
    <t>正規雇用-E-12-100-299人-102</t>
  </si>
  <si>
    <t>正規雇用-E-12-100-299人-103</t>
  </si>
  <si>
    <t>正規雇用-E-12-100-299人-104</t>
  </si>
  <si>
    <t>正規雇用-E-12-100-299人-105</t>
  </si>
  <si>
    <t>正規雇用-E-12-100-299人-(空白)</t>
  </si>
  <si>
    <t>正規雇用-E-12-300-999人-101</t>
  </si>
  <si>
    <t>正規雇用-E-12-300-999人-102</t>
  </si>
  <si>
    <t>正規雇用-E-12-300-999人-103</t>
  </si>
  <si>
    <t>正規雇用-E-12-300-999人-104</t>
  </si>
  <si>
    <t>正規雇用-E-12-300-999人-105</t>
  </si>
  <si>
    <t>正規雇用-E-12-300-999人-(空白)</t>
  </si>
  <si>
    <t>正規雇用-E-13-10-99人-101</t>
  </si>
  <si>
    <t>正規雇用-E-13-10-99人-102</t>
  </si>
  <si>
    <t>正規雇用-E-13-10-99人-103</t>
  </si>
  <si>
    <t>正規雇用-E-13-10-99人-104</t>
  </si>
  <si>
    <t>正規雇用-E-13-10-99人-105</t>
  </si>
  <si>
    <t>正規雇用-E-13-10-99人-(空白)</t>
  </si>
  <si>
    <t>正規雇用-E-13-100-299人-101</t>
  </si>
  <si>
    <t>正規雇用-E-13-100-299人-102</t>
  </si>
  <si>
    <t>正規雇用-E-13-100-299人-103</t>
  </si>
  <si>
    <t>正規雇用-E-13-100-299人-104</t>
  </si>
  <si>
    <t>正規雇用-E-13-100-299人-105</t>
  </si>
  <si>
    <t>正規雇用-E-13-100-299人-(空白)</t>
  </si>
  <si>
    <t>正規雇用-E-13-300-999人-101</t>
  </si>
  <si>
    <t>正規雇用-E-13-300-999人-102</t>
  </si>
  <si>
    <t>正規雇用-E-13-300-999人-103</t>
  </si>
  <si>
    <t>正規雇用-E-13-300-999人-104</t>
  </si>
  <si>
    <t>正規雇用-E-13-300-999人-105</t>
  </si>
  <si>
    <t>正規雇用-E-13-300-999人-(空白)</t>
  </si>
  <si>
    <t>正規雇用-E-14-10-99人-101</t>
  </si>
  <si>
    <t>正規雇用-E-14-10-99人-102</t>
  </si>
  <si>
    <t>正規雇用-E-14-10-99人-103</t>
  </si>
  <si>
    <t>正規雇用-E-14-10-99人-104</t>
  </si>
  <si>
    <t>正規雇用-E-14-10-99人-105</t>
  </si>
  <si>
    <t>正規雇用-E-14-10-99人-(空白)</t>
  </si>
  <si>
    <t>正規雇用-E-14-100-299人-101</t>
  </si>
  <si>
    <t>正規雇用-E-14-100-299人-102</t>
  </si>
  <si>
    <t>正規雇用-E-14-100-299人-103</t>
  </si>
  <si>
    <t>正規雇用-E-14-100-299人-104</t>
  </si>
  <si>
    <t>正規雇用-E-14-100-299人-105</t>
  </si>
  <si>
    <t>正規雇用-E-14-100-299人-(空白)</t>
  </si>
  <si>
    <t>正規雇用-E-14-300-999人-101</t>
  </si>
  <si>
    <t>正規雇用-E-14-300-999人-102</t>
  </si>
  <si>
    <t>正規雇用-E-14-300-999人-103</t>
  </si>
  <si>
    <t>正規雇用-E-14-300-999人-104</t>
  </si>
  <si>
    <t>正規雇用-E-14-300-999人-105</t>
  </si>
  <si>
    <t>正規雇用-E-14-300-999人-(空白)</t>
  </si>
  <si>
    <t>正規雇用-E-15-10-99人-101</t>
  </si>
  <si>
    <t>正規雇用-E-15-10-99人-102</t>
  </si>
  <si>
    <t>正規雇用-E-15-10-99人-103</t>
  </si>
  <si>
    <t>正規雇用-E-15-10-99人-104</t>
  </si>
  <si>
    <t>正規雇用-E-15-10-99人-105</t>
  </si>
  <si>
    <t>正規雇用-E-15-10-99人-(空白)</t>
  </si>
  <si>
    <t>正規雇用-E-15-100-299人-101</t>
  </si>
  <si>
    <t>正規雇用-E-15-100-299人-102</t>
  </si>
  <si>
    <t>正規雇用-E-15-100-299人-103</t>
  </si>
  <si>
    <t>正規雇用-E-15-100-299人-104</t>
  </si>
  <si>
    <t>正規雇用-E-15-100-299人-105</t>
  </si>
  <si>
    <t>正規雇用-E-15-100-299人-(空白)</t>
  </si>
  <si>
    <t>正規雇用-E-15-300-999人-101</t>
  </si>
  <si>
    <t>正規雇用-E-15-300-999人-102</t>
  </si>
  <si>
    <t>正規雇用-E-15-300-999人-103</t>
  </si>
  <si>
    <t>正規雇用-E-15-300-999人-104</t>
  </si>
  <si>
    <t>正規雇用-E-15-300-999人-105</t>
  </si>
  <si>
    <t>正規雇用-E-15-300-999人-(空白)</t>
  </si>
  <si>
    <t>正規雇用-E-16-10-99人-101</t>
  </si>
  <si>
    <t>正規雇用-E-16-10-99人-102</t>
  </si>
  <si>
    <t>正規雇用-E-16-10-99人-103</t>
  </si>
  <si>
    <t>正規雇用-E-16-10-99人-104</t>
  </si>
  <si>
    <t>正規雇用-E-16-10-99人-105</t>
  </si>
  <si>
    <t>正規雇用-E-16-10-99人-(空白)</t>
  </si>
  <si>
    <t>正規雇用-E-16-100-299人-101</t>
  </si>
  <si>
    <t>正規雇用-E-16-100-299人-102</t>
  </si>
  <si>
    <t>正規雇用-E-16-100-299人-103</t>
  </si>
  <si>
    <t>正規雇用-E-16-100-299人-104</t>
  </si>
  <si>
    <t>正規雇用-E-16-100-299人-105</t>
  </si>
  <si>
    <t>正規雇用-E-16-100-299人-(空白)</t>
  </si>
  <si>
    <t>正規雇用-E-16-300-999人-101</t>
  </si>
  <si>
    <t>正規雇用-E-16-300-999人-102</t>
  </si>
  <si>
    <t>正規雇用-E-16-300-999人-103</t>
  </si>
  <si>
    <t>正規雇用-E-16-300-999人-104</t>
  </si>
  <si>
    <t>正規雇用-E-16-300-999人-105</t>
  </si>
  <si>
    <t>正規雇用-E-16-300-999人-(空白)</t>
  </si>
  <si>
    <t>正規雇用-E-17-10-99人-101</t>
  </si>
  <si>
    <t>正規雇用-E-17-10-99人-102</t>
  </si>
  <si>
    <t>正規雇用-E-17-10-99人-103</t>
  </si>
  <si>
    <t>正規雇用-E-17-10-99人-104</t>
  </si>
  <si>
    <t>正規雇用-E-17-10-99人-105</t>
  </si>
  <si>
    <t>正規雇用-E-17-10-99人-(空白)</t>
  </si>
  <si>
    <t>正規雇用-E-17-100-299人-102</t>
  </si>
  <si>
    <t>正規雇用-E-17-100-299人-103</t>
  </si>
  <si>
    <t>正規雇用-E-17-100-299人-105</t>
  </si>
  <si>
    <t>正規雇用-E-17-100-299人-(空白)</t>
  </si>
  <si>
    <t>正規雇用-E-17-300-999人-101</t>
  </si>
  <si>
    <t>正規雇用-E-17-300-999人-102</t>
  </si>
  <si>
    <t>正規雇用-E-17-300-999人-103</t>
  </si>
  <si>
    <t>正規雇用-E-17-300-999人-104</t>
  </si>
  <si>
    <t>正規雇用-E-17-300-999人-105</t>
  </si>
  <si>
    <t>正規雇用-E-17-300-999人-(空白)</t>
  </si>
  <si>
    <t>正規雇用-E-18-10-99人-101</t>
  </si>
  <si>
    <t>正規雇用-E-18-10-99人-102</t>
  </si>
  <si>
    <t>正規雇用-E-18-10-99人-103</t>
  </si>
  <si>
    <t>正規雇用-E-18-10-99人-104</t>
  </si>
  <si>
    <t>正規雇用-E-18-10-99人-105</t>
  </si>
  <si>
    <t>正規雇用-E-18-10-99人-(空白)</t>
  </si>
  <si>
    <t>正規雇用-E-18-100-299人-101</t>
  </si>
  <si>
    <t>正規雇用-E-18-100-299人-102</t>
  </si>
  <si>
    <t>正規雇用-E-18-100-299人-103</t>
  </si>
  <si>
    <t>正規雇用-E-18-100-299人-104</t>
  </si>
  <si>
    <t>正規雇用-E-18-100-299人-105</t>
  </si>
  <si>
    <t>正規雇用-E-18-100-299人-(空白)</t>
  </si>
  <si>
    <t>正規雇用-E-18-300-999人-101</t>
  </si>
  <si>
    <t>正規雇用-E-18-300-999人-102</t>
  </si>
  <si>
    <t>正規雇用-E-18-300-999人-103</t>
  </si>
  <si>
    <t>正規雇用-E-18-300-999人-104</t>
  </si>
  <si>
    <t>正規雇用-E-18-300-999人-105</t>
  </si>
  <si>
    <t>正規雇用-E-18-300-999人-(空白)</t>
  </si>
  <si>
    <t>正規雇用-E-19-10-99人-101</t>
  </si>
  <si>
    <t>正規雇用-E-19-10-99人-102</t>
  </si>
  <si>
    <t>正規雇用-E-19-10-99人-103</t>
  </si>
  <si>
    <t>正規雇用-E-19-10-99人-104</t>
  </si>
  <si>
    <t>正規雇用-E-19-10-99人-105</t>
  </si>
  <si>
    <t>正規雇用-E-19-10-99人-(空白)</t>
  </si>
  <si>
    <t>正規雇用-E-19-100-299人-101</t>
  </si>
  <si>
    <t>正規雇用-E-19-100-299人-102</t>
  </si>
  <si>
    <t>正規雇用-E-19-100-299人-103</t>
  </si>
  <si>
    <t>正規雇用-E-19-100-299人-104</t>
  </si>
  <si>
    <t>正規雇用-E-19-100-299人-105</t>
  </si>
  <si>
    <t>正規雇用-E-19-100-299人-(空白)</t>
  </si>
  <si>
    <t>正規雇用-E-19-300-999人-101</t>
  </si>
  <si>
    <t>正規雇用-E-19-300-999人-102</t>
  </si>
  <si>
    <t>正規雇用-E-19-300-999人-103</t>
  </si>
  <si>
    <t>正規雇用-E-19-300-999人-104</t>
  </si>
  <si>
    <t>正規雇用-E-19-300-999人-105</t>
  </si>
  <si>
    <t>正規雇用-E-19-300-999人-(空白)</t>
  </si>
  <si>
    <t>正規雇用-E-20-10-99人-101</t>
  </si>
  <si>
    <t>正規雇用-E-20-10-99人-102</t>
  </si>
  <si>
    <t>正規雇用-E-20-10-99人-103</t>
  </si>
  <si>
    <t>正規雇用-E-20-10-99人-104</t>
  </si>
  <si>
    <t>正規雇用-E-20-10-99人-105</t>
  </si>
  <si>
    <t>正規雇用-E-20-10-99人-(空白)</t>
  </si>
  <si>
    <t>正規雇用-E-20-100-299人-101</t>
  </si>
  <si>
    <t>正規雇用-E-20-100-299人-102</t>
  </si>
  <si>
    <t>正規雇用-E-20-100-299人-103</t>
  </si>
  <si>
    <t>正規雇用-E-20-100-299人-104</t>
  </si>
  <si>
    <t>正規雇用-E-20-100-299人-105</t>
  </si>
  <si>
    <t>正規雇用-E-20-100-299人-(空白)</t>
  </si>
  <si>
    <t>正規雇用-E-20-300-999人-101</t>
  </si>
  <si>
    <t>正規雇用-E-20-300-999人-102</t>
  </si>
  <si>
    <t>正規雇用-E-20-300-999人-103</t>
  </si>
  <si>
    <t>正規雇用-E-20-300-999人-104</t>
  </si>
  <si>
    <t>正規雇用-E-20-300-999人-(空白)</t>
  </si>
  <si>
    <t>正規雇用-E-21-10-99人-101</t>
  </si>
  <si>
    <t>正規雇用-E-21-10-99人-102</t>
  </si>
  <si>
    <t>正規雇用-E-21-10-99人-103</t>
  </si>
  <si>
    <t>正規雇用-E-21-10-99人-104</t>
  </si>
  <si>
    <t>正規雇用-E-21-10-99人-105</t>
  </si>
  <si>
    <t>正規雇用-E-21-10-99人-(空白)</t>
  </si>
  <si>
    <t>正規雇用-E-21-100-299人-101</t>
  </si>
  <si>
    <t>正規雇用-E-21-100-299人-102</t>
  </si>
  <si>
    <t>正規雇用-E-21-100-299人-103</t>
  </si>
  <si>
    <t>正規雇用-E-21-100-299人-104</t>
  </si>
  <si>
    <t>正規雇用-E-21-100-299人-105</t>
  </si>
  <si>
    <t>正規雇用-E-21-100-299人-(空白)</t>
  </si>
  <si>
    <t>正規雇用-E-21-300-999人-101</t>
  </si>
  <si>
    <t>正規雇用-E-21-300-999人-102</t>
  </si>
  <si>
    <t>正規雇用-E-21-300-999人-103</t>
  </si>
  <si>
    <t>正規雇用-E-21-300-999人-104</t>
  </si>
  <si>
    <t>正規雇用-E-21-300-999人-105</t>
  </si>
  <si>
    <t>正規雇用-E-21-300-999人-(空白)</t>
  </si>
  <si>
    <t>正規雇用-E-22-10-99人-101</t>
  </si>
  <si>
    <t>正規雇用-E-22-10-99人-102</t>
  </si>
  <si>
    <t>正規雇用-E-22-10-99人-103</t>
  </si>
  <si>
    <t>正規雇用-E-22-10-99人-104</t>
  </si>
  <si>
    <t>正規雇用-E-22-10-99人-105</t>
  </si>
  <si>
    <t>正規雇用-E-22-10-99人-(空白)</t>
  </si>
  <si>
    <t>正規雇用-E-22-100-299人-101</t>
  </si>
  <si>
    <t>正規雇用-E-22-100-299人-102</t>
  </si>
  <si>
    <t>正規雇用-E-22-100-299人-103</t>
  </si>
  <si>
    <t>正規雇用-E-22-100-299人-104</t>
  </si>
  <si>
    <t>正規雇用-E-22-100-299人-105</t>
  </si>
  <si>
    <t>正規雇用-E-22-100-299人-(空白)</t>
  </si>
  <si>
    <t>正規雇用-E-22-300-999人-101</t>
  </si>
  <si>
    <t>正規雇用-E-22-300-999人-102</t>
  </si>
  <si>
    <t>正規雇用-E-22-300-999人-103</t>
  </si>
  <si>
    <t>正規雇用-E-22-300-999人-104</t>
  </si>
  <si>
    <t>正規雇用-E-22-300-999人-105</t>
  </si>
  <si>
    <t>正規雇用-E-22-300-999人-(空白)</t>
  </si>
  <si>
    <t>正規雇用-E-23-10-99人-101</t>
  </si>
  <si>
    <t>正規雇用-E-23-10-99人-102</t>
  </si>
  <si>
    <t>正規雇用-E-23-10-99人-103</t>
  </si>
  <si>
    <t>正規雇用-E-23-10-99人-104</t>
  </si>
  <si>
    <t>正規雇用-E-23-10-99人-105</t>
  </si>
  <si>
    <t>正規雇用-E-23-10-99人-(空白)</t>
  </si>
  <si>
    <t>正規雇用-E-23-100-299人-101</t>
  </si>
  <si>
    <t>正規雇用-E-23-100-299人-102</t>
  </si>
  <si>
    <t>正規雇用-E-23-100-299人-103</t>
  </si>
  <si>
    <t>正規雇用-E-23-100-299人-104</t>
  </si>
  <si>
    <t>正規雇用-E-23-100-299人-105</t>
  </si>
  <si>
    <t>正規雇用-E-23-100-299人-(空白)</t>
  </si>
  <si>
    <t>正規雇用-E-23-300-999人-101</t>
  </si>
  <si>
    <t>正規雇用-E-23-300-999人-102</t>
  </si>
  <si>
    <t>正規雇用-E-23-300-999人-103</t>
  </si>
  <si>
    <t>正規雇用-E-23-300-999人-104</t>
  </si>
  <si>
    <t>正規雇用-E-23-300-999人-105</t>
  </si>
  <si>
    <t>正規雇用-E-23-300-999人-(空白)</t>
  </si>
  <si>
    <t>正規雇用-E-24-10-99人-101</t>
  </si>
  <si>
    <t>正規雇用-E-24-10-99人-102</t>
  </si>
  <si>
    <t>正規雇用-E-24-10-99人-103</t>
  </si>
  <si>
    <t>正規雇用-E-24-10-99人-104</t>
  </si>
  <si>
    <t>正規雇用-E-24-10-99人-105</t>
  </si>
  <si>
    <t>正規雇用-E-24-10-99人-(空白)</t>
  </si>
  <si>
    <t>正規雇用-E-24-100-299人-101</t>
  </si>
  <si>
    <t>正規雇用-E-24-100-299人-102</t>
  </si>
  <si>
    <t>正規雇用-E-24-100-299人-103</t>
  </si>
  <si>
    <t>正規雇用-E-24-100-299人-104</t>
  </si>
  <si>
    <t>正規雇用-E-24-100-299人-105</t>
  </si>
  <si>
    <t>正規雇用-E-24-100-299人-(空白)</t>
  </si>
  <si>
    <t>正規雇用-E-24-300-999人-101</t>
  </si>
  <si>
    <t>正規雇用-E-24-300-999人-102</t>
  </si>
  <si>
    <t>正規雇用-E-24-300-999人-103</t>
  </si>
  <si>
    <t>正規雇用-E-24-300-999人-104</t>
  </si>
  <si>
    <t>正規雇用-E-24-300-999人-105</t>
  </si>
  <si>
    <t>正規雇用-E-24-300-999人-(空白)</t>
  </si>
  <si>
    <t>正規雇用-E-25-10-99人-101</t>
  </si>
  <si>
    <t>正規雇用-E-25-10-99人-102</t>
  </si>
  <si>
    <t>正規雇用-E-25-10-99人-103</t>
  </si>
  <si>
    <t>正規雇用-E-25-10-99人-104</t>
  </si>
  <si>
    <t>正規雇用-E-25-10-99人-105</t>
  </si>
  <si>
    <t>正規雇用-E-25-10-99人-(空白)</t>
  </si>
  <si>
    <t>正規雇用-E-25-100-299人-101</t>
  </si>
  <si>
    <t>正規雇用-E-25-100-299人-102</t>
  </si>
  <si>
    <t>正規雇用-E-25-100-299人-103</t>
  </si>
  <si>
    <t>正規雇用-E-25-100-299人-104</t>
  </si>
  <si>
    <t>正規雇用-E-25-100-299人-105</t>
  </si>
  <si>
    <t>正規雇用-E-25-100-299人-(空白)</t>
  </si>
  <si>
    <t>正規雇用-E-25-300-999人-101</t>
  </si>
  <si>
    <t>正規雇用-E-25-300-999人-102</t>
  </si>
  <si>
    <t>正規雇用-E-25-300-999人-103</t>
  </si>
  <si>
    <t>正規雇用-E-25-300-999人-104</t>
  </si>
  <si>
    <t>正規雇用-E-25-300-999人-105</t>
  </si>
  <si>
    <t>正規雇用-E-25-300-999人-(空白)</t>
  </si>
  <si>
    <t>正規雇用-E-26-10-99人-101</t>
  </si>
  <si>
    <t>正規雇用-E-26-10-99人-102</t>
  </si>
  <si>
    <t>正規雇用-E-26-10-99人-103</t>
  </si>
  <si>
    <t>正規雇用-E-26-10-99人-104</t>
  </si>
  <si>
    <t>正規雇用-E-26-10-99人-105</t>
  </si>
  <si>
    <t>正規雇用-E-26-10-99人-(空白)</t>
  </si>
  <si>
    <t>正規雇用-E-26-100-299人-101</t>
  </si>
  <si>
    <t>正規雇用-E-26-100-299人-102</t>
  </si>
  <si>
    <t>正規雇用-E-26-100-299人-103</t>
  </si>
  <si>
    <t>正規雇用-E-26-100-299人-104</t>
  </si>
  <si>
    <t>正規雇用-E-26-100-299人-105</t>
  </si>
  <si>
    <t>正規雇用-E-26-100-299人-(空白)</t>
  </si>
  <si>
    <t>正規雇用-E-26-300-999人-101</t>
  </si>
  <si>
    <t>正規雇用-E-26-300-999人-102</t>
  </si>
  <si>
    <t>正規雇用-E-26-300-999人-103</t>
  </si>
  <si>
    <t>正規雇用-E-26-300-999人-104</t>
  </si>
  <si>
    <t>正規雇用-E-26-300-999人-105</t>
  </si>
  <si>
    <t>正規雇用-E-26-300-999人-(空白)</t>
  </si>
  <si>
    <t>正規雇用-E-27-10-99人-101</t>
  </si>
  <si>
    <t>正規雇用-E-27-10-99人-102</t>
  </si>
  <si>
    <t>正規雇用-E-27-10-99人-103</t>
  </si>
  <si>
    <t>正規雇用-E-27-10-99人-104</t>
  </si>
  <si>
    <t>正規雇用-E-27-10-99人-105</t>
  </si>
  <si>
    <t>正規雇用-E-27-10-99人-(空白)</t>
  </si>
  <si>
    <t>正規雇用-E-27-100-299人-101</t>
  </si>
  <si>
    <t>正規雇用-E-27-100-299人-102</t>
  </si>
  <si>
    <t>正規雇用-E-27-100-299人-103</t>
  </si>
  <si>
    <t>正規雇用-E-27-100-299人-104</t>
  </si>
  <si>
    <t>正規雇用-E-27-100-299人-105</t>
  </si>
  <si>
    <t>正規雇用-E-27-100-299人-(空白)</t>
  </si>
  <si>
    <t>正規雇用-E-27-300-999人-101</t>
  </si>
  <si>
    <t>正規雇用-E-27-300-999人-102</t>
  </si>
  <si>
    <t>正規雇用-E-27-300-999人-103</t>
  </si>
  <si>
    <t>正規雇用-E-27-300-999人-104</t>
  </si>
  <si>
    <t>正規雇用-E-27-300-999人-105</t>
  </si>
  <si>
    <t>正規雇用-E-27-300-999人-(空白)</t>
  </si>
  <si>
    <t>正規雇用-E-28-10-99人-101</t>
  </si>
  <si>
    <t>正規雇用-E-28-10-99人-102</t>
  </si>
  <si>
    <t>正規雇用-E-28-10-99人-103</t>
  </si>
  <si>
    <t>正規雇用-E-28-10-99人-104</t>
  </si>
  <si>
    <t>正規雇用-E-28-10-99人-105</t>
  </si>
  <si>
    <t>正規雇用-E-28-10-99人-(空白)</t>
  </si>
  <si>
    <t>正規雇用-E-28-100-299人-101</t>
  </si>
  <si>
    <t>正規雇用-E-28-100-299人-102</t>
  </si>
  <si>
    <t>正規雇用-E-28-100-299人-103</t>
  </si>
  <si>
    <t>正規雇用-E-28-100-299人-104</t>
  </si>
  <si>
    <t>正規雇用-E-28-100-299人-105</t>
  </si>
  <si>
    <t>正規雇用-E-28-100-299人-(空白)</t>
  </si>
  <si>
    <t>正規雇用-E-28-300-999人-101</t>
  </si>
  <si>
    <t>正規雇用-E-28-300-999人-102</t>
  </si>
  <si>
    <t>正規雇用-E-28-300-999人-103</t>
  </si>
  <si>
    <t>正規雇用-E-28-300-999人-104</t>
  </si>
  <si>
    <t>正規雇用-E-28-300-999人-105</t>
  </si>
  <si>
    <t>正規雇用-E-28-300-999人-(空白)</t>
  </si>
  <si>
    <t>正規雇用-E-29-10-99人-101</t>
  </si>
  <si>
    <t>正規雇用-E-29-10-99人-102</t>
  </si>
  <si>
    <t>正規雇用-E-29-10-99人-103</t>
  </si>
  <si>
    <t>正規雇用-E-29-10-99人-104</t>
  </si>
  <si>
    <t>正規雇用-E-29-10-99人-105</t>
  </si>
  <si>
    <t>正規雇用-E-29-10-99人-(空白)</t>
  </si>
  <si>
    <t>正規雇用-E-29-100-299人-101</t>
  </si>
  <si>
    <t>正規雇用-E-29-100-299人-102</t>
  </si>
  <si>
    <t>正規雇用-E-29-100-299人-103</t>
  </si>
  <si>
    <t>正規雇用-E-29-100-299人-104</t>
  </si>
  <si>
    <t>正規雇用-E-29-100-299人-105</t>
  </si>
  <si>
    <t>正規雇用-E-29-100-299人-(空白)</t>
  </si>
  <si>
    <t>正規雇用-E-29-300-999人-101</t>
  </si>
  <si>
    <t>正規雇用-E-29-300-999人-102</t>
  </si>
  <si>
    <t>正規雇用-E-29-300-999人-103</t>
  </si>
  <si>
    <t>正規雇用-E-29-300-999人-104</t>
  </si>
  <si>
    <t>正規雇用-E-29-300-999人-105</t>
  </si>
  <si>
    <t>正規雇用-E-29-300-999人-(空白)</t>
  </si>
  <si>
    <t>正規雇用-E-30-10-99人-101</t>
  </si>
  <si>
    <t>正規雇用-E-30-10-99人-102</t>
  </si>
  <si>
    <t>正規雇用-E-30-10-99人-103</t>
  </si>
  <si>
    <t>正規雇用-E-30-10-99人-104</t>
  </si>
  <si>
    <t>正規雇用-E-30-10-99人-105</t>
  </si>
  <si>
    <t>正規雇用-E-30-10-99人-(空白)</t>
  </si>
  <si>
    <t>正規雇用-E-30-100-299人-101</t>
  </si>
  <si>
    <t>正規雇用-E-30-100-299人-102</t>
  </si>
  <si>
    <t>正規雇用-E-30-100-299人-103</t>
  </si>
  <si>
    <t>正規雇用-E-30-100-299人-104</t>
  </si>
  <si>
    <t>正規雇用-E-30-100-299人-105</t>
  </si>
  <si>
    <t>正規雇用-E-30-100-299人-(空白)</t>
  </si>
  <si>
    <t>正規雇用-E-30-300-999人-101</t>
  </si>
  <si>
    <t>正規雇用-E-30-300-999人-102</t>
  </si>
  <si>
    <t>正規雇用-E-30-300-999人-103</t>
  </si>
  <si>
    <t>正規雇用-E-30-300-999人-104</t>
  </si>
  <si>
    <t>正規雇用-E-30-300-999人-105</t>
  </si>
  <si>
    <t>正規雇用-E-30-300-999人-(空白)</t>
  </si>
  <si>
    <t>正規雇用-E-31-10-99人-101</t>
  </si>
  <si>
    <t>正規雇用-E-31-10-99人-102</t>
  </si>
  <si>
    <t>正規雇用-E-31-10-99人-103</t>
  </si>
  <si>
    <t>正規雇用-E-31-10-99人-104</t>
  </si>
  <si>
    <t>正規雇用-E-31-10-99人-105</t>
  </si>
  <si>
    <t>正規雇用-E-31-10-99人-(空白)</t>
  </si>
  <si>
    <t>正規雇用-E-31-100-299人-101</t>
  </si>
  <si>
    <t>正規雇用-E-31-100-299人-102</t>
  </si>
  <si>
    <t>正規雇用-E-31-100-299人-103</t>
  </si>
  <si>
    <t>正規雇用-E-31-100-299人-104</t>
  </si>
  <si>
    <t>正規雇用-E-31-100-299人-105</t>
  </si>
  <si>
    <t>正規雇用-E-31-100-299人-(空白)</t>
  </si>
  <si>
    <t>正規雇用-E-31-300-999人-101</t>
  </si>
  <si>
    <t>正規雇用-E-31-300-999人-102</t>
  </si>
  <si>
    <t>正規雇用-E-31-300-999人-103</t>
  </si>
  <si>
    <t>正規雇用-E-31-300-999人-104</t>
  </si>
  <si>
    <t>正規雇用-E-31-300-999人-105</t>
  </si>
  <si>
    <t>正規雇用-E-31-300-999人-(空白)</t>
  </si>
  <si>
    <t>正規雇用-E-32-10-99人-101</t>
  </si>
  <si>
    <t>正規雇用-E-32-10-99人-102</t>
  </si>
  <si>
    <t>正規雇用-E-32-10-99人-103</t>
  </si>
  <si>
    <t>正規雇用-E-32-10-99人-104</t>
  </si>
  <si>
    <t>正規雇用-E-32-10-99人-105</t>
  </si>
  <si>
    <t>正規雇用-E-32-10-99人-(空白)</t>
  </si>
  <si>
    <t>正規雇用-E-32-100-299人-101</t>
  </si>
  <si>
    <t>正規雇用-E-32-100-299人-102</t>
  </si>
  <si>
    <t>正規雇用-E-32-100-299人-103</t>
  </si>
  <si>
    <t>正規雇用-E-32-100-299人-104</t>
  </si>
  <si>
    <t>正規雇用-E-32-100-299人-105</t>
  </si>
  <si>
    <t>正規雇用-E-32-100-299人-(空白)</t>
  </si>
  <si>
    <t>正規雇用-E-32-300-999人-101</t>
  </si>
  <si>
    <t>正規雇用-E-32-300-999人-102</t>
  </si>
  <si>
    <t>正規雇用-E-32-300-999人-103</t>
  </si>
  <si>
    <t>正規雇用-E-32-300-999人-104</t>
  </si>
  <si>
    <t>正規雇用-E-32-300-999人-105</t>
  </si>
  <si>
    <t>正規雇用-E-32-300-999人-(空白)</t>
  </si>
  <si>
    <t>正規雇用-C--10-99人-101</t>
  </si>
  <si>
    <t>正規雇用-C--10-99人-102</t>
  </si>
  <si>
    <t>正規雇用-C--10-99人-103</t>
  </si>
  <si>
    <t>正規雇用-C--10-99人-104</t>
  </si>
  <si>
    <t>正規雇用-C--10-99人-105</t>
  </si>
  <si>
    <t>正規雇用-C--10-99人-(空白)</t>
  </si>
  <si>
    <t>正規雇用-C--100-299人-101</t>
  </si>
  <si>
    <t>正規雇用-C--100-299人-102</t>
  </si>
  <si>
    <t>正規雇用-C--100-299人-103</t>
  </si>
  <si>
    <t>正規雇用-C--100-299人-104</t>
  </si>
  <si>
    <t>正規雇用-C--100-299人-105</t>
  </si>
  <si>
    <t>正規雇用-C--100-299人-(空白)</t>
  </si>
  <si>
    <t>正規雇用-C--300-999人-101</t>
  </si>
  <si>
    <t>正規雇用-C--300-999人-102</t>
  </si>
  <si>
    <t>正規雇用-C--300-999人-103</t>
  </si>
  <si>
    <t>正規雇用-C--300-999人-104</t>
  </si>
  <si>
    <t>正規雇用-C--300-999人-105</t>
  </si>
  <si>
    <t>正規雇用-C--300-999人-(空白)</t>
  </si>
  <si>
    <t>正規雇用-D--10-99人-101</t>
  </si>
  <si>
    <t>正規雇用-D--10-99人-102</t>
  </si>
  <si>
    <t>正規雇用-D--10-99人-103</t>
  </si>
  <si>
    <t>正規雇用-D--10-99人-104</t>
  </si>
  <si>
    <t>正規雇用-D--10-99人-105</t>
  </si>
  <si>
    <t>正規雇用-D--10-99人-(空白)</t>
  </si>
  <si>
    <t>正規雇用-D--100-299人-101</t>
  </si>
  <si>
    <t>正規雇用-D--100-299人-102</t>
  </si>
  <si>
    <t>正規雇用-D--100-299人-103</t>
  </si>
  <si>
    <t>正規雇用-D--100-299人-104</t>
  </si>
  <si>
    <t>正規雇用-D--100-299人-105</t>
  </si>
  <si>
    <t>正規雇用-D--100-299人-(空白)</t>
  </si>
  <si>
    <t>正規雇用-D--300-999人-101</t>
  </si>
  <si>
    <t>正規雇用-D--300-999人-102</t>
  </si>
  <si>
    <t>正規雇用-D--300-999人-103</t>
  </si>
  <si>
    <t>正規雇用-D--300-999人-104</t>
  </si>
  <si>
    <t>正規雇用-D--300-999人-105</t>
  </si>
  <si>
    <t>正規雇用-D--300-999人-(空白)</t>
  </si>
  <si>
    <t>正規雇用-E--10-99人-101</t>
  </si>
  <si>
    <t>正規雇用-E--10-99人-102</t>
  </si>
  <si>
    <t>正規雇用-E--10-99人-103</t>
  </si>
  <si>
    <t>正規雇用-E--10-99人-104</t>
  </si>
  <si>
    <t>正規雇用-E--10-99人-105</t>
  </si>
  <si>
    <t>正規雇用-E--10-99人-(空白)</t>
  </si>
  <si>
    <t>正規雇用-E--100-299人-101</t>
  </si>
  <si>
    <t>正規雇用-E--100-299人-102</t>
  </si>
  <si>
    <t>正規雇用-E--100-299人-103</t>
  </si>
  <si>
    <t>正規雇用-E--100-299人-104</t>
  </si>
  <si>
    <t>正規雇用-E--100-299人-105</t>
  </si>
  <si>
    <t>正規雇用-E--100-299人-(空白)</t>
  </si>
  <si>
    <t>正規雇用-E--300-999人-101</t>
  </si>
  <si>
    <t>正規雇用-E--300-999人-102</t>
  </si>
  <si>
    <t>正規雇用-E--300-999人-103</t>
  </si>
  <si>
    <t>正規雇用-E--300-999人-104</t>
  </si>
  <si>
    <t>正規雇用-E--300-999人-105</t>
  </si>
  <si>
    <t>正規雇用-E--300-999人-(空白)</t>
  </si>
  <si>
    <t>正規雇用-F--10-99人-101</t>
  </si>
  <si>
    <t>正規雇用-F--10-99人-102</t>
  </si>
  <si>
    <t>正規雇用-F--10-99人-103</t>
  </si>
  <si>
    <t>正規雇用-F--10-99人-105</t>
  </si>
  <si>
    <t>正規雇用-F--10-99人-(空白)</t>
  </si>
  <si>
    <t>正規雇用-F--100-299人-101</t>
  </si>
  <si>
    <t>正規雇用-F--100-299人-102</t>
  </si>
  <si>
    <t>正規雇用-F--100-299人-103</t>
  </si>
  <si>
    <t>正規雇用-F--100-299人-105</t>
  </si>
  <si>
    <t>正規雇用-F--100-299人-(空白)</t>
  </si>
  <si>
    <t>正規雇用-F--300-999人-101</t>
  </si>
  <si>
    <t>正規雇用-F--300-999人-102</t>
  </si>
  <si>
    <t>正規雇用-F--300-999人-103</t>
  </si>
  <si>
    <t>正規雇用-F--300-999人-105</t>
  </si>
  <si>
    <t>正規雇用-F--300-999人-(空白)</t>
  </si>
  <si>
    <t>正規雇用-G--10-99人-101</t>
  </si>
  <si>
    <t>正規雇用-G--10-99人-102</t>
  </si>
  <si>
    <t>正規雇用-G--10-99人-103</t>
  </si>
  <si>
    <t>正規雇用-G--10-99人-105</t>
  </si>
  <si>
    <t>正規雇用-G--10-99人-(空白)</t>
  </si>
  <si>
    <t>正規雇用-G--100-299人-101</t>
  </si>
  <si>
    <t>正規雇用-G--100-299人-102</t>
  </si>
  <si>
    <t>正規雇用-G--100-299人-103</t>
  </si>
  <si>
    <t>正規雇用-G--100-299人-105</t>
  </si>
  <si>
    <t>正規雇用-G--100-299人-(空白)</t>
  </si>
  <si>
    <t>正規雇用-G--300-999人-101</t>
  </si>
  <si>
    <t>正規雇用-G--300-999人-102</t>
  </si>
  <si>
    <t>正規雇用-G--300-999人-103</t>
  </si>
  <si>
    <t>正規雇用-G--300-999人-105</t>
  </si>
  <si>
    <t>正規雇用-G--300-999人-(空白)</t>
  </si>
  <si>
    <t>正規雇用-H--10-99人-101</t>
  </si>
  <si>
    <t>正規雇用-H--10-99人-102</t>
  </si>
  <si>
    <t>正規雇用-H--10-99人-103</t>
  </si>
  <si>
    <t>正規雇用-H--10-99人-105</t>
  </si>
  <si>
    <t>正規雇用-H--10-99人-(空白)</t>
  </si>
  <si>
    <t>正規雇用-H--100-299人-101</t>
  </si>
  <si>
    <t>正規雇用-H--100-299人-102</t>
  </si>
  <si>
    <t>正規雇用-H--100-299人-103</t>
  </si>
  <si>
    <t>正規雇用-H--100-299人-105</t>
  </si>
  <si>
    <t>正規雇用-H--100-299人-(空白)</t>
  </si>
  <si>
    <t>正規雇用-H--300-999人-101</t>
  </si>
  <si>
    <t>正規雇用-H--300-999人-102</t>
  </si>
  <si>
    <t>正規雇用-H--300-999人-103</t>
  </si>
  <si>
    <t>正規雇用-H--300-999人-105</t>
  </si>
  <si>
    <t>正規雇用-H--300-999人-(空白)</t>
  </si>
  <si>
    <t>正規雇用-I--10-99人-101</t>
  </si>
  <si>
    <t>正規雇用-I--10-99人-102</t>
  </si>
  <si>
    <t>正規雇用-I--10-99人-103</t>
  </si>
  <si>
    <t>正規雇用-I--10-99人-105</t>
  </si>
  <si>
    <t>正規雇用-I--10-99人-(空白)</t>
  </si>
  <si>
    <t>正規雇用-I--100-299人-101</t>
  </si>
  <si>
    <t>正規雇用-I--100-299人-102</t>
  </si>
  <si>
    <t>正規雇用-I--100-299人-103</t>
  </si>
  <si>
    <t>正規雇用-I--100-299人-105</t>
  </si>
  <si>
    <t>正規雇用-I--100-299人-(空白)</t>
  </si>
  <si>
    <t>正規雇用-I--300-999人-101</t>
  </si>
  <si>
    <t>正規雇用-I--300-999人-102</t>
  </si>
  <si>
    <t>正規雇用-I--300-999人-103</t>
  </si>
  <si>
    <t>正規雇用-I--300-999人-105</t>
  </si>
  <si>
    <t>正規雇用-I--300-999人-(空白)</t>
  </si>
  <si>
    <t>正規雇用-J--10-99人-101</t>
  </si>
  <si>
    <t>正規雇用-J--10-99人-102</t>
  </si>
  <si>
    <t>正規雇用-J--10-99人-103</t>
  </si>
  <si>
    <t>正規雇用-J--10-99人-105</t>
  </si>
  <si>
    <t>正規雇用-J--10-99人-(空白)</t>
  </si>
  <si>
    <t>正規雇用-J--100-299人-101</t>
  </si>
  <si>
    <t>正規雇用-J--100-299人-102</t>
  </si>
  <si>
    <t>正規雇用-J--100-299人-103</t>
  </si>
  <si>
    <t>正規雇用-J--100-299人-105</t>
  </si>
  <si>
    <t>正規雇用-J--100-299人-(空白)</t>
  </si>
  <si>
    <t>正規雇用-J--300-999人-101</t>
  </si>
  <si>
    <t>正規雇用-J--300-999人-102</t>
  </si>
  <si>
    <t>正規雇用-J--300-999人-103</t>
  </si>
  <si>
    <t>正規雇用-J--300-999人-105</t>
  </si>
  <si>
    <t>正規雇用-J--300-999人-(空白)</t>
  </si>
  <si>
    <t>正規雇用-K--10-99人-101</t>
  </si>
  <si>
    <t>正規雇用-K--10-99人-102</t>
  </si>
  <si>
    <t>正規雇用-K--10-99人-103</t>
  </si>
  <si>
    <t>正規雇用-K--10-99人-105</t>
  </si>
  <si>
    <t>正規雇用-K--10-99人-(空白)</t>
  </si>
  <si>
    <t>正規雇用-K--100-299人-101</t>
  </si>
  <si>
    <t>正規雇用-K--100-299人-102</t>
  </si>
  <si>
    <t>正規雇用-K--100-299人-103</t>
  </si>
  <si>
    <t>正規雇用-K--100-299人-105</t>
  </si>
  <si>
    <t>正規雇用-K--100-299人-(空白)</t>
  </si>
  <si>
    <t>正規雇用-K--300-999人-101</t>
  </si>
  <si>
    <t>正規雇用-K--300-999人-102</t>
  </si>
  <si>
    <t>正規雇用-K--300-999人-103</t>
  </si>
  <si>
    <t>正規雇用-K--300-999人-105</t>
  </si>
  <si>
    <t>正規雇用-K--300-999人-(空白)</t>
  </si>
  <si>
    <t>正規雇用-L--10-99人-101</t>
  </si>
  <si>
    <t>正規雇用-L--10-99人-102</t>
  </si>
  <si>
    <t>正規雇用-L--10-99人-103</t>
  </si>
  <si>
    <t>正規雇用-L--10-99人-105</t>
  </si>
  <si>
    <t>正規雇用-L--10-99人-(空白)</t>
  </si>
  <si>
    <t>正規雇用-L--100-299人-101</t>
  </si>
  <si>
    <t>正規雇用-L--100-299人-102</t>
  </si>
  <si>
    <t>正規雇用-L--100-299人-103</t>
  </si>
  <si>
    <t>正規雇用-L--100-299人-105</t>
  </si>
  <si>
    <t>正規雇用-L--100-299人-(空白)</t>
  </si>
  <si>
    <t>正規雇用-L--300-999人-101</t>
  </si>
  <si>
    <t>正規雇用-L--300-999人-102</t>
  </si>
  <si>
    <t>正規雇用-L--300-999人-103</t>
  </si>
  <si>
    <t>正規雇用-L--300-999人-105</t>
  </si>
  <si>
    <t>正規雇用-L--300-999人-(空白)</t>
  </si>
  <si>
    <t>正規雇用-M--10-99人-101</t>
  </si>
  <si>
    <t>正規雇用-M--10-99人-102</t>
  </si>
  <si>
    <t>正規雇用-M--10-99人-103</t>
  </si>
  <si>
    <t>正規雇用-M--10-99人-105</t>
  </si>
  <si>
    <t>正規雇用-M--10-99人-(空白)</t>
  </si>
  <si>
    <t>正規雇用-M--100-299人-101</t>
  </si>
  <si>
    <t>正規雇用-M--100-299人-102</t>
  </si>
  <si>
    <t>正規雇用-M--100-299人-103</t>
  </si>
  <si>
    <t>正規雇用-M--100-299人-105</t>
  </si>
  <si>
    <t>正規雇用-M--100-299人-(空白)</t>
  </si>
  <si>
    <t>正規雇用-M--300-999人-101</t>
  </si>
  <si>
    <t>正規雇用-M--300-999人-102</t>
  </si>
  <si>
    <t>正規雇用-M--300-999人-103</t>
  </si>
  <si>
    <t>正規雇用-M--300-999人-105</t>
  </si>
  <si>
    <t>正規雇用-M--300-999人-(空白)</t>
  </si>
  <si>
    <t>正規雇用-N--10-99人-101</t>
  </si>
  <si>
    <t>正規雇用-N--10-99人-102</t>
  </si>
  <si>
    <t>正規雇用-N--10-99人-103</t>
  </si>
  <si>
    <t>正規雇用-N--10-99人-105</t>
  </si>
  <si>
    <t>正規雇用-N--10-99人-(空白)</t>
  </si>
  <si>
    <t>正規雇用-N--100-299人-101</t>
  </si>
  <si>
    <t>正規雇用-N--100-299人-102</t>
  </si>
  <si>
    <t>正規雇用-N--100-299人-103</t>
  </si>
  <si>
    <t>正規雇用-N--100-299人-105</t>
  </si>
  <si>
    <t>正規雇用-N--100-299人-(空白)</t>
  </si>
  <si>
    <t>正規雇用-N--300-999人-101</t>
  </si>
  <si>
    <t>正規雇用-N--300-999人-102</t>
  </si>
  <si>
    <t>正規雇用-N--300-999人-103</t>
  </si>
  <si>
    <t>正規雇用-N--300-999人-105</t>
  </si>
  <si>
    <t>正規雇用-N--300-999人-(空白)</t>
  </si>
  <si>
    <t>正規雇用-O--10-99人-101</t>
  </si>
  <si>
    <t>正規雇用-O--10-99人-102</t>
  </si>
  <si>
    <t>正規雇用-O--10-99人-103</t>
  </si>
  <si>
    <t>正規雇用-O--10-99人-105</t>
  </si>
  <si>
    <t>正規雇用-O--10-99人-(空白)</t>
  </si>
  <si>
    <t>正規雇用-O--100-299人-101</t>
  </si>
  <si>
    <t>正規雇用-O--100-299人-102</t>
  </si>
  <si>
    <t>正規雇用-O--100-299人-103</t>
  </si>
  <si>
    <t>正規雇用-O--100-299人-105</t>
  </si>
  <si>
    <t>正規雇用-O--100-299人-(空白)</t>
  </si>
  <si>
    <t>正規雇用-O--300-999人-101</t>
  </si>
  <si>
    <t>正規雇用-O--300-999人-102</t>
  </si>
  <si>
    <t>正規雇用-O--300-999人-103</t>
  </si>
  <si>
    <t>正規雇用-O--300-999人-105</t>
  </si>
  <si>
    <t>正規雇用-O--300-999人-(空白)</t>
  </si>
  <si>
    <t>正規雇用-P--10-99人-101</t>
  </si>
  <si>
    <t>正規雇用-P--10-99人-102</t>
  </si>
  <si>
    <t>正規雇用-P--10-99人-103</t>
  </si>
  <si>
    <t>正規雇用-P--10-99人-105</t>
  </si>
  <si>
    <t>正規雇用-P--10-99人-(空白)</t>
  </si>
  <si>
    <t>正規雇用-P--100-299人-101</t>
  </si>
  <si>
    <t>正規雇用-P--100-299人-102</t>
  </si>
  <si>
    <t>正規雇用-P--100-299人-103</t>
  </si>
  <si>
    <t>正規雇用-P--100-299人-105</t>
  </si>
  <si>
    <t>正規雇用-P--100-299人-(空白)</t>
  </si>
  <si>
    <t>正規雇用-P--300-999人-101</t>
  </si>
  <si>
    <t>正規雇用-P--300-999人-102</t>
  </si>
  <si>
    <t>正規雇用-P--300-999人-103</t>
  </si>
  <si>
    <t>正規雇用-P--300-999人-105</t>
  </si>
  <si>
    <t>正規雇用-P--300-999人-(空白)</t>
  </si>
  <si>
    <t>正規雇用-Q--10-99人-101</t>
  </si>
  <si>
    <t>正規雇用-Q--10-99人-102</t>
  </si>
  <si>
    <t>正規雇用-Q--10-99人-103</t>
  </si>
  <si>
    <t>正規雇用-Q--10-99人-105</t>
  </si>
  <si>
    <t>正規雇用-Q--10-99人-(空白)</t>
  </si>
  <si>
    <t>正規雇用-Q--100-299人-101</t>
  </si>
  <si>
    <t>正規雇用-Q--100-299人-102</t>
  </si>
  <si>
    <t>正規雇用-Q--100-299人-103</t>
  </si>
  <si>
    <t>正規雇用-Q--100-299人-105</t>
  </si>
  <si>
    <t>正規雇用-Q--100-299人-(空白)</t>
  </si>
  <si>
    <t>正規雇用-Q--300-999人-101</t>
  </si>
  <si>
    <t>正規雇用-Q--300-999人-102</t>
  </si>
  <si>
    <t>正規雇用-Q--300-999人-103</t>
  </si>
  <si>
    <t>正規雇用-Q--300-999人-105</t>
  </si>
  <si>
    <t>正規雇用-Q--300-999人-(空白)</t>
  </si>
  <si>
    <t>正規雇用-R--10-99人-101</t>
  </si>
  <si>
    <t>正規雇用-R--10-99人-102</t>
  </si>
  <si>
    <t>正規雇用-R--10-99人-103</t>
  </si>
  <si>
    <t>正規雇用-R--10-99人-105</t>
  </si>
  <si>
    <t>正規雇用-R--10-99人-(空白)</t>
  </si>
  <si>
    <t>正規雇用-R--100-299人-101</t>
  </si>
  <si>
    <t>正規雇用-R--100-299人-102</t>
  </si>
  <si>
    <t>正規雇用-R--100-299人-103</t>
  </si>
  <si>
    <t>正規雇用-R--100-299人-105</t>
  </si>
  <si>
    <t>正規雇用-R--100-299人-(空白)</t>
  </si>
  <si>
    <t>正規雇用-R--300-999人-101</t>
  </si>
  <si>
    <t>正規雇用-R--300-999人-102</t>
  </si>
  <si>
    <t>正規雇用-R--300-999人-103</t>
  </si>
  <si>
    <t>正規雇用-R--300-999人-105</t>
  </si>
  <si>
    <t>正規雇用-R--300-999人-(空白)</t>
  </si>
  <si>
    <t>正規雇用---10-99人-101</t>
  </si>
  <si>
    <t>正規雇用---10-99人-102</t>
  </si>
  <si>
    <t>正規雇用---10-99人-103</t>
  </si>
  <si>
    <t>正規雇用---10-99人-104</t>
  </si>
  <si>
    <t>正規雇用---10-99人-105</t>
  </si>
  <si>
    <t>正規雇用---10-99人-(空白)</t>
  </si>
  <si>
    <t>正規雇用---100-299人-101</t>
  </si>
  <si>
    <t>正規雇用---100-299人-102</t>
  </si>
  <si>
    <t>正規雇用---100-299人-103</t>
  </si>
  <si>
    <t>正規雇用---100-299人-104</t>
  </si>
  <si>
    <t>正規雇用---100-299人-105</t>
  </si>
  <si>
    <t>正規雇用---100-299人-(空白)</t>
  </si>
  <si>
    <t>正規雇用---300-999人-101</t>
  </si>
  <si>
    <t>正規雇用---300-999人-102</t>
  </si>
  <si>
    <t>正規雇用---300-999人-103</t>
  </si>
  <si>
    <t>正規雇用---300-999人-104</t>
  </si>
  <si>
    <t>正規雇用---300-999人-105</t>
  </si>
  <si>
    <t>正規雇用---300-999人-(空白)</t>
  </si>
  <si>
    <t>--10-99人-非正規雇用</t>
  </si>
  <si>
    <t>--100-299人-非正規雇用</t>
  </si>
  <si>
    <t>--300-999人-非正規雇用</t>
  </si>
  <si>
    <t>C--10-99人-非正規雇用</t>
  </si>
  <si>
    <t>C--100-299人-非正規雇用</t>
  </si>
  <si>
    <t>C--300-999人-非正規雇用</t>
  </si>
  <si>
    <t>D--10-99人-非正規雇用</t>
  </si>
  <si>
    <t>D--100-299人-非正規雇用</t>
  </si>
  <si>
    <t>D--300-999人-非正規雇用</t>
  </si>
  <si>
    <t>E--10-99人-非正規雇用</t>
  </si>
  <si>
    <t>E--100-299人-非正規雇用</t>
  </si>
  <si>
    <t>E--300-999人-非正規雇用</t>
  </si>
  <si>
    <t>E-10-10-99人-非正規雇用</t>
  </si>
  <si>
    <t>E-10-100-299人-非正規雇用</t>
  </si>
  <si>
    <t>E-10-300-999人-非正規雇用</t>
  </si>
  <si>
    <t>E-11-10-99人-非正規雇用</t>
  </si>
  <si>
    <t>E-11-100-299人-非正規雇用</t>
  </si>
  <si>
    <t>E-11-300-999人-非正規雇用</t>
  </si>
  <si>
    <t>E-12-10-99人-非正規雇用</t>
  </si>
  <si>
    <t>E-12-100-299人-非正規雇用</t>
  </si>
  <si>
    <t>E-12-300-999人-非正規雇用</t>
  </si>
  <si>
    <t>E-13-10-99人-非正規雇用</t>
  </si>
  <si>
    <t>E-13-100-299人-非正規雇用</t>
  </si>
  <si>
    <t>E-13-300-999人-非正規雇用</t>
  </si>
  <si>
    <t>E-14-10-99人-非正規雇用</t>
  </si>
  <si>
    <t>E-14-100-299人-非正規雇用</t>
  </si>
  <si>
    <t>E-14-300-999人-非正規雇用</t>
  </si>
  <si>
    <t>E-15-10-99人-非正規雇用</t>
  </si>
  <si>
    <t>E-15-100-299人-非正規雇用</t>
  </si>
  <si>
    <t>E-15-300-999人-非正規雇用</t>
  </si>
  <si>
    <t>E-16-10-99人-非正規雇用</t>
  </si>
  <si>
    <t>E-16-100-299人-非正規雇用</t>
  </si>
  <si>
    <t>E-16-300-999人-非正規雇用</t>
  </si>
  <si>
    <t>E-17-10-99人-非正規雇用</t>
  </si>
  <si>
    <t>E-17-100-299人-非正規雇用</t>
  </si>
  <si>
    <t>E-17-300-999人-非正規雇用</t>
  </si>
  <si>
    <t>E-18-10-99人-非正規雇用</t>
  </si>
  <si>
    <t>E-18-100-299人-非正規雇用</t>
  </si>
  <si>
    <t>E-18-300-999人-非正規雇用</t>
  </si>
  <si>
    <t>E-19-10-99人-非正規雇用</t>
  </si>
  <si>
    <t>E-19-100-299人-非正規雇用</t>
  </si>
  <si>
    <t>E-19-300-999人-非正規雇用</t>
  </si>
  <si>
    <t>E-20-10-99人-非正規雇用</t>
  </si>
  <si>
    <t>E-20-100-299人-非正規雇用</t>
  </si>
  <si>
    <t>E-20-300-999人-非正規雇用</t>
  </si>
  <si>
    <t>E-21-10-99人-非正規雇用</t>
  </si>
  <si>
    <t>E-21-100-299人-非正規雇用</t>
  </si>
  <si>
    <t>E-21-300-999人-非正規雇用</t>
  </si>
  <si>
    <t>E-22-10-99人-非正規雇用</t>
  </si>
  <si>
    <t>E-22-100-299人-非正規雇用</t>
  </si>
  <si>
    <t>E-22-300-999人-非正規雇用</t>
  </si>
  <si>
    <t>E-23-10-99人-非正規雇用</t>
  </si>
  <si>
    <t>E-23-100-299人-非正規雇用</t>
  </si>
  <si>
    <t>E-23-300-999人-非正規雇用</t>
  </si>
  <si>
    <t>E-24-10-99人-非正規雇用</t>
  </si>
  <si>
    <t>E-24-100-299人-非正規雇用</t>
  </si>
  <si>
    <t>E-24-300-999人-非正規雇用</t>
  </si>
  <si>
    <t>E-25-10-99人-非正規雇用</t>
  </si>
  <si>
    <t>E-25-100-299人-非正規雇用</t>
  </si>
  <si>
    <t>E-25-300-999人-非正規雇用</t>
  </si>
  <si>
    <t>E-26-10-99人-非正規雇用</t>
  </si>
  <si>
    <t>E-26-100-299人-非正規雇用</t>
  </si>
  <si>
    <t>E-26-300-999人-非正規雇用</t>
  </si>
  <si>
    <t>E-27-10-99人-非正規雇用</t>
  </si>
  <si>
    <t>E-27-100-299人-非正規雇用</t>
  </si>
  <si>
    <t>E-27-300-999人-非正規雇用</t>
  </si>
  <si>
    <t>E-28-10-99人-非正規雇用</t>
  </si>
  <si>
    <t>E-28-100-299人-非正規雇用</t>
  </si>
  <si>
    <t>E-28-300-999人-非正規雇用</t>
  </si>
  <si>
    <t>E-29-10-99人-非正規雇用</t>
  </si>
  <si>
    <t>E-29-100-299人-非正規雇用</t>
  </si>
  <si>
    <t>E-29-300-999人-非正規雇用</t>
  </si>
  <si>
    <t>E-30-10-99人-非正規雇用</t>
  </si>
  <si>
    <t>E-30-100-299人-非正規雇用</t>
  </si>
  <si>
    <t>E-30-300-999人-非正規雇用</t>
  </si>
  <si>
    <t>E-31-10-99人-非正規雇用</t>
  </si>
  <si>
    <t>E-31-100-299人-非正規雇用</t>
  </si>
  <si>
    <t>E-31-300-999人-非正規雇用</t>
  </si>
  <si>
    <t>E-32-10-99人-非正規雇用</t>
  </si>
  <si>
    <t>E-32-100-299人-非正規雇用</t>
  </si>
  <si>
    <t>E-32-300-999人-非正規雇用</t>
  </si>
  <si>
    <t>E-9-10-99人-非正規雇用</t>
  </si>
  <si>
    <t>E-9-100-299人-非正規雇用</t>
  </si>
  <si>
    <t>E-9-300-999人-非正規雇用</t>
  </si>
  <si>
    <t>F--10-99人-非正規雇用</t>
  </si>
  <si>
    <t>F--100-299人-非正規雇用</t>
  </si>
  <si>
    <t>F--300-999人-非正規雇用</t>
  </si>
  <si>
    <t>G--10-99人-非正規雇用</t>
  </si>
  <si>
    <t>G--100-299人-非正規雇用</t>
  </si>
  <si>
    <t>G--300-999人-非正規雇用</t>
  </si>
  <si>
    <t>H--10-99人-非正規雇用</t>
  </si>
  <si>
    <t>H--100-299人-非正規雇用</t>
  </si>
  <si>
    <t>H--300-999人-非正規雇用</t>
  </si>
  <si>
    <t>I--10-99人-非正規雇用</t>
  </si>
  <si>
    <t>I--100-299人-非正規雇用</t>
  </si>
  <si>
    <t>I--300-999人-非正規雇用</t>
  </si>
  <si>
    <t>J--10-99人-非正規雇用</t>
  </si>
  <si>
    <t>J--100-299人-非正規雇用</t>
  </si>
  <si>
    <t>J--300-999人-非正規雇用</t>
  </si>
  <si>
    <t>K--10-99人-非正規雇用</t>
  </si>
  <si>
    <t>K--100-299人-非正規雇用</t>
  </si>
  <si>
    <t>K--300-999人-非正規雇用</t>
  </si>
  <si>
    <t>L--10-99人-非正規雇用</t>
  </si>
  <si>
    <t>L--100-299人-非正規雇用</t>
  </si>
  <si>
    <t>L--300-999人-非正規雇用</t>
  </si>
  <si>
    <t>M--10-99人-非正規雇用</t>
  </si>
  <si>
    <t>M--100-299人-非正規雇用</t>
  </si>
  <si>
    <t>M--300-999人-非正規雇用</t>
  </si>
  <si>
    <t>N--10-99人-非正規雇用</t>
  </si>
  <si>
    <t>N--100-299人-非正規雇用</t>
  </si>
  <si>
    <t>N--300-999人-非正規雇用</t>
  </si>
  <si>
    <t>O--10-99人-非正規雇用</t>
  </si>
  <si>
    <t>O--100-299人-非正規雇用</t>
  </si>
  <si>
    <t>O--300-999人-非正規雇用</t>
  </si>
  <si>
    <t>P--10-99人-非正規雇用</t>
  </si>
  <si>
    <t>P--100-299人-非正規雇用</t>
  </si>
  <si>
    <t>P--300-999人-非正規雇用</t>
  </si>
  <si>
    <t>Q--10-99人-非正規雇用</t>
  </si>
  <si>
    <t>Q--100-299人-非正規雇用</t>
  </si>
  <si>
    <t>Q--300-999人-非正規雇用</t>
  </si>
  <si>
    <t>R--10-99人-非正規雇用</t>
  </si>
  <si>
    <t>R--100-299人-非正規雇用</t>
  </si>
  <si>
    <t>R--300-999人-非正規雇用</t>
  </si>
  <si>
    <t>300-999人</t>
  </si>
  <si>
    <t>100-299人</t>
  </si>
  <si>
    <t>10-99人</t>
  </si>
  <si>
    <t>1-2年</t>
  </si>
  <si>
    <t>3-4年</t>
  </si>
  <si>
    <t>5-9年</t>
  </si>
  <si>
    <t>10-14年</t>
  </si>
  <si>
    <t>15-19年</t>
  </si>
  <si>
    <t>20-24年</t>
  </si>
  <si>
    <t>25-29年</t>
  </si>
  <si>
    <t>(4)案内文</t>
    <rPh sb="3" eb="6">
      <t xml:space="preserve">アンナイブン </t>
    </rPh>
    <phoneticPr fontId="3"/>
  </si>
  <si>
    <t>男女間賃金差異(%)の入力欄に、貴社で算出した数値を入力してください。</t>
    <phoneticPr fontId="3"/>
  </si>
  <si>
    <t>「貴社」・「調整」欄には、参考値との比較にあたり、以下の分類を行いながら、入力又は選択してください。
　・貴社の雇用形態 ：「正規雇用」「非正規雇用」に分類
　・貴社の役職          ：「部長級」「課長級」「係長級」「非役職」に分類　
      ※（３）「基準日（例: 2025年2月15日）」から遡って1年間のうちに該当者がいない役職名については、入力しないでください。
　・貴社の性別表記 ：「男」「女」
（例…貴社の雇用形態に「無期雇用社員」がある場合：「貴社」欄に「無期雇用社員」と入力。「変換後」欄から該当する雇用形態（「非正規雇用」）を選択。）</t>
    <phoneticPr fontId="3"/>
  </si>
  <si>
    <t>データ入力完了判定</t>
    <rPh sb="5" eb="7">
      <t xml:space="preserve">カンリョウ </t>
    </rPh>
    <rPh sb="7" eb="9">
      <t xml:space="preserve">ハンテイ </t>
    </rPh>
    <phoneticPr fontId="3"/>
  </si>
  <si>
    <t>未満</t>
    <rPh sb="0" eb="2">
      <t>ミマン</t>
    </rPh>
    <phoneticPr fontId="3"/>
  </si>
  <si>
    <t>以上</t>
    <rPh sb="0" eb="2">
      <t>イジョウ</t>
    </rPh>
    <phoneticPr fontId="3"/>
  </si>
  <si>
    <t>非正規雇用-C---0年</t>
  </si>
  <si>
    <t>非正規雇用-C-5--0年</t>
  </si>
  <si>
    <t>非正規雇用-D---0年</t>
  </si>
  <si>
    <t>非正規雇用-D-6--0年</t>
  </si>
  <si>
    <t>非正規雇用-D-7--0年</t>
  </si>
  <si>
    <t>非正規雇用-D-8--0年</t>
  </si>
  <si>
    <t>非正規雇用-E---0年</t>
  </si>
  <si>
    <t>非正規雇用-E-9--0年</t>
  </si>
  <si>
    <t>非正規雇用-E-9-1,000人以上-0年</t>
  </si>
  <si>
    <t>非正規雇用-E-10--0年</t>
  </si>
  <si>
    <t>非正規雇用-E-10-1,000人以上-0年</t>
  </si>
  <si>
    <t>非正規雇用-E-11--0年</t>
  </si>
  <si>
    <t>非正規雇用-E-11-1,000人以上-0年</t>
  </si>
  <si>
    <t>非正規雇用-E-12--0年</t>
  </si>
  <si>
    <t>非正規雇用-E-12-1,000人以上-0年</t>
  </si>
  <si>
    <t>非正規雇用-E-13--0年</t>
  </si>
  <si>
    <t>非正規雇用-E-13-1,000人以上-0年</t>
  </si>
  <si>
    <t>非正規雇用-E-14--0年</t>
  </si>
  <si>
    <t>非正規雇用-E-14-1,000人以上-0年</t>
  </si>
  <si>
    <t>非正規雇用-E-15--0年</t>
  </si>
  <si>
    <t>非正規雇用-E-15-1,000人以上-0年</t>
  </si>
  <si>
    <t>非正規雇用-E-16--0年</t>
  </si>
  <si>
    <t>非正規雇用-E-16-1,000人以上-0年</t>
  </si>
  <si>
    <t>非正規雇用-E-17--0年</t>
  </si>
  <si>
    <t>非正規雇用-E-17-1,000人以上-0年</t>
  </si>
  <si>
    <t>非正規雇用-E-18--0年</t>
  </si>
  <si>
    <t>非正規雇用-E-18-1,000人以上-0年</t>
  </si>
  <si>
    <t>非正規雇用-E-19--0年</t>
  </si>
  <si>
    <t>非正規雇用-E-19-1,000人以上-0年</t>
  </si>
  <si>
    <t>非正規雇用-E-20--0年</t>
  </si>
  <si>
    <t>非正規雇用-E-20-1,000人以上-0年</t>
  </si>
  <si>
    <t>非正規雇用-E-21--0年</t>
  </si>
  <si>
    <t>非正規雇用-E-21-1,000人以上-0年</t>
  </si>
  <si>
    <t>非正規雇用-E-22--0年</t>
  </si>
  <si>
    <t>非正規雇用-E-22-1,000人以上-0年</t>
  </si>
  <si>
    <t>非正規雇用-E-23--0年</t>
  </si>
  <si>
    <t>非正規雇用-E-23-1,000人以上-0年</t>
  </si>
  <si>
    <t>非正規雇用-E-24--0年</t>
  </si>
  <si>
    <t>非正規雇用-E-24-1,000人以上-0年</t>
  </si>
  <si>
    <t>非正規雇用-E-25--0年</t>
  </si>
  <si>
    <t>非正規雇用-E-25-1,000人以上-0年</t>
  </si>
  <si>
    <t>非正規雇用-E-26--0年</t>
  </si>
  <si>
    <t>非正規雇用-E-26-1,000人以上-0年</t>
  </si>
  <si>
    <t>非正規雇用-E-27--0年</t>
  </si>
  <si>
    <t>非正規雇用-E-27-1,000人以上-0年</t>
  </si>
  <si>
    <t>非正規雇用-E-28--0年</t>
  </si>
  <si>
    <t>非正規雇用-E-28-1,000人以上-0年</t>
  </si>
  <si>
    <t>非正規雇用-E-29--0年</t>
  </si>
  <si>
    <t>非正規雇用-E-29-1,000人以上-0年</t>
  </si>
  <si>
    <t>非正規雇用-E-30--0年</t>
  </si>
  <si>
    <t>非正規雇用-E-30-1,000人以上-0年</t>
  </si>
  <si>
    <t>非正規雇用-E-31--0年</t>
  </si>
  <si>
    <t>非正規雇用-E-31-1,000人以上-0年</t>
  </si>
  <si>
    <t>非正規雇用-E-32--0年</t>
  </si>
  <si>
    <t>非正規雇用-E-32-1,000人以上-0年</t>
  </si>
  <si>
    <t>非正規雇用-F---0年</t>
  </si>
  <si>
    <t>非正規雇用-F-33--0年</t>
  </si>
  <si>
    <t>非正規雇用-F-34--0年</t>
  </si>
  <si>
    <t>非正規雇用-F-35--0年</t>
  </si>
  <si>
    <t>非正規雇用-F-36--0年</t>
  </si>
  <si>
    <t>非正規雇用-G---0年</t>
  </si>
  <si>
    <t>非正規雇用-G-37--0年</t>
  </si>
  <si>
    <t>非正規雇用-G-38--0年</t>
  </si>
  <si>
    <t>非正規雇用-G-39--0年</t>
  </si>
  <si>
    <t>非正規雇用-G-40--0年</t>
  </si>
  <si>
    <t>非正規雇用-G-41--0年</t>
  </si>
  <si>
    <t>非正規雇用-H---0年</t>
  </si>
  <si>
    <t>非正規雇用-H-42--0年</t>
  </si>
  <si>
    <t>非正規雇用-H-43--0年</t>
  </si>
  <si>
    <t>非正規雇用-H-44--0年</t>
  </si>
  <si>
    <t>非正規雇用-H-45--0年</t>
  </si>
  <si>
    <t>非正規雇用-H-46--0年</t>
  </si>
  <si>
    <t>非正規雇用-H-47--0年</t>
  </si>
  <si>
    <t>非正規雇用-H-48--0年</t>
  </si>
  <si>
    <t>非正規雇用-H-49--0年</t>
  </si>
  <si>
    <t>非正規雇用-I---0年</t>
  </si>
  <si>
    <t>非正規雇用-I-50--0年</t>
  </si>
  <si>
    <t>非正規雇用-I-51--0年</t>
  </si>
  <si>
    <t>非正規雇用-I-52--0年</t>
  </si>
  <si>
    <t>非正規雇用-I-53--0年</t>
  </si>
  <si>
    <t>非正規雇用-I-54--0年</t>
  </si>
  <si>
    <t>非正規雇用-I-55--0年</t>
  </si>
  <si>
    <t>非正規雇用-I-56--0年</t>
  </si>
  <si>
    <t>非正規雇用-I-56-1,000人以上-0年</t>
  </si>
  <si>
    <t>非正規雇用-I-57--0年</t>
  </si>
  <si>
    <t>非正規雇用-I-57-1,000人以上-0年</t>
  </si>
  <si>
    <t>非正規雇用-I-58--0年</t>
  </si>
  <si>
    <t>非正規雇用-I-58-1,000人以上-0年</t>
  </si>
  <si>
    <t>非正規雇用-I-59--0年</t>
  </si>
  <si>
    <t>非正規雇用-I-59-1,000人以上-0年</t>
  </si>
  <si>
    <t>非正規雇用-I-60--0年</t>
  </si>
  <si>
    <t>非正規雇用-I-60-1,000人以上-0年</t>
  </si>
  <si>
    <t>非正規雇用-I-61--0年</t>
  </si>
  <si>
    <t>非正規雇用-I-61-1,000人以上-0年</t>
  </si>
  <si>
    <t>非正規雇用-J---0年</t>
  </si>
  <si>
    <t>非正規雇用-J-62--0年</t>
  </si>
  <si>
    <t>非正規雇用-J-62-1,000人以上-0年</t>
  </si>
  <si>
    <t>非正規雇用-J-63--0年</t>
  </si>
  <si>
    <t>非正規雇用-J-63-1,000人以上-0年</t>
  </si>
  <si>
    <t>非正規雇用-J-64--0年</t>
  </si>
  <si>
    <t>非正規雇用-J-64-1,000人以上-0年</t>
  </si>
  <si>
    <t>非正規雇用-J-65--0年</t>
  </si>
  <si>
    <t>非正規雇用-J-65-1,000人以上-0年</t>
  </si>
  <si>
    <t>非正規雇用-J-66--0年</t>
  </si>
  <si>
    <t>非正規雇用-J-66-1,000人以上-0年</t>
  </si>
  <si>
    <t>非正規雇用-J-67--0年</t>
  </si>
  <si>
    <t>非正規雇用-J-67-1,000人以上-0年</t>
  </si>
  <si>
    <t>非正規雇用-K---0年</t>
  </si>
  <si>
    <t>非正規雇用-K-68--0年</t>
  </si>
  <si>
    <t>非正規雇用-K-68-1,000人以上-0年</t>
  </si>
  <si>
    <t>非正規雇用-K-69--0年</t>
  </si>
  <si>
    <t>非正規雇用-K-69-1,000人以上-0年</t>
  </si>
  <si>
    <t>非正規雇用-K-70--0年</t>
  </si>
  <si>
    <t>非正規雇用-K-70-1,000人以上-0年</t>
  </si>
  <si>
    <t>非正規雇用-L---0年</t>
  </si>
  <si>
    <t>非正規雇用-L-71--0年</t>
  </si>
  <si>
    <t>非正規雇用-L-71-1,000人以上-0年</t>
  </si>
  <si>
    <t>非正規雇用-L-72--0年</t>
  </si>
  <si>
    <t>非正規雇用-L-72-1,000人以上-0年</t>
  </si>
  <si>
    <t>非正規雇用-L-73--0年</t>
  </si>
  <si>
    <t>非正規雇用-L-73-1,000人以上-0年</t>
  </si>
  <si>
    <t>非正規雇用-L-74--0年</t>
  </si>
  <si>
    <t>非正規雇用-L-74-1,000人以上-0年</t>
  </si>
  <si>
    <t>非正規雇用-M---0年</t>
  </si>
  <si>
    <t>非正規雇用-M-75--0年</t>
  </si>
  <si>
    <t>非正規雇用-M-75-1,000人以上-0年</t>
  </si>
  <si>
    <t>非正規雇用-M-76--0年</t>
  </si>
  <si>
    <t>非正規雇用-M-76-1,000人以上-0年</t>
  </si>
  <si>
    <t>非正規雇用-M-77--0年</t>
  </si>
  <si>
    <t>非正規雇用-M-77-1,000人以上-0年</t>
  </si>
  <si>
    <t>非正規雇用-N---0年</t>
  </si>
  <si>
    <t>非正規雇用-N-78--0年</t>
  </si>
  <si>
    <t>非正規雇用-N-78-1,000人以上-0年</t>
  </si>
  <si>
    <t>非正規雇用-N-79--0年</t>
  </si>
  <si>
    <t>非正規雇用-N-79-1,000人以上-0年</t>
  </si>
  <si>
    <t>非正規雇用-N-80--0年</t>
  </si>
  <si>
    <t>非正規雇用-N-80-1,000人以上-0年</t>
  </si>
  <si>
    <t>非正規雇用-O---0年</t>
  </si>
  <si>
    <t>非正規雇用-O-81--0年</t>
  </si>
  <si>
    <t>非正規雇用-O-81-1,000人以上-0年</t>
  </si>
  <si>
    <t>非正規雇用-O-82--0年</t>
  </si>
  <si>
    <t>非正規雇用-O-82-1,000人以上-0年</t>
  </si>
  <si>
    <t>非正規雇用-P---0年</t>
  </si>
  <si>
    <t>非正規雇用-P-83--0年</t>
  </si>
  <si>
    <t>非正規雇用-P-83-1,000人以上-0年</t>
  </si>
  <si>
    <t>非正規雇用-P-84--0年</t>
  </si>
  <si>
    <t>非正規雇用-P-84-1,000人以上-0年</t>
  </si>
  <si>
    <t>非正規雇用-P-85--0年</t>
  </si>
  <si>
    <t>非正規雇用-P-85-1,000人以上-0年</t>
  </si>
  <si>
    <t>非正規雇用-Q---0年</t>
  </si>
  <si>
    <t>非正規雇用-Q-86--0年</t>
  </si>
  <si>
    <t>非正規雇用-Q-86-1,000人以上-0年</t>
  </si>
  <si>
    <t>非正規雇用-Q-87--0年</t>
  </si>
  <si>
    <t>非正規雇用-Q-87-1,000人以上-0年</t>
  </si>
  <si>
    <t>非正規雇用-R---0年</t>
  </si>
  <si>
    <t>非正規雇用-R-88--0年</t>
  </si>
  <si>
    <t>非正規雇用-R-88-1,000人以上-0年</t>
  </si>
  <si>
    <t>非正規雇用-R-89--0年</t>
  </si>
  <si>
    <t>非正規雇用-R-89-1,000人以上-0年</t>
  </si>
  <si>
    <t>非正規雇用-R-90--0年</t>
  </si>
  <si>
    <t>非正規雇用-R-90-1,000人以上-0年</t>
  </si>
  <si>
    <t>非正規雇用-R-91--0年</t>
  </si>
  <si>
    <t>非正規雇用-R-91-1,000人以上-0年</t>
  </si>
  <si>
    <t>非正規雇用-R-92--0年</t>
  </si>
  <si>
    <t>非正規雇用-R-92-1,000人以上-0年</t>
  </si>
  <si>
    <t>非正規雇用-R-93--0年</t>
  </si>
  <si>
    <t>非正規雇用-R-93-1,000人以上-0年</t>
  </si>
  <si>
    <t>非正規雇用-R-94--0年</t>
  </si>
  <si>
    <t>非正規雇用-R-94-1,000人以上-0年</t>
  </si>
  <si>
    <t>非正規雇用-R-95--0年</t>
  </si>
  <si>
    <t>非正規雇用-R-95-1,000人以上-0年</t>
  </si>
  <si>
    <t>非正規雇用-C--1,000人以上-0年</t>
  </si>
  <si>
    <t>非正規雇用-D--1,000人以上-0年</t>
  </si>
  <si>
    <t>非正規雇用-E--1,000人以上-0年</t>
  </si>
  <si>
    <t>非正規雇用-F--1,000人以上-0年</t>
  </si>
  <si>
    <t>非正規雇用-G--1,000人以上-0年</t>
  </si>
  <si>
    <t>非正規雇用-H--1,000人以上-0年</t>
  </si>
  <si>
    <t>非正規雇用-I--1,000人以上-0年</t>
  </si>
  <si>
    <t>非正規雇用-J--1,000人以上-0年</t>
  </si>
  <si>
    <t>非正規雇用-K--1,000人以上-0年</t>
  </si>
  <si>
    <t>非正規雇用-L--1,000人以上-0年</t>
  </si>
  <si>
    <t>非正規雇用-M--1,000人以上-0年</t>
  </si>
  <si>
    <t>非正規雇用-N--1,000人以上-0年</t>
  </si>
  <si>
    <t>非正規雇用-O--1,000人以上-0年</t>
  </si>
  <si>
    <t>非正規雇用-P--1,000人以上-0年</t>
  </si>
  <si>
    <t>非正規雇用-Q--1,000人以上-0年</t>
  </si>
  <si>
    <t>非正規雇用-R--1,000人以上-0年</t>
  </si>
  <si>
    <t>非正規雇用----0年</t>
  </si>
  <si>
    <t>非正規雇用-E-9-100-299人-0年</t>
  </si>
  <si>
    <t>非正規雇用-E-9-10-99人-0年</t>
  </si>
  <si>
    <t>非正規雇用-E-10-10-99人-0年</t>
  </si>
  <si>
    <t>非正規雇用-E-11-10-99人-0年</t>
  </si>
  <si>
    <t>非正規雇用-E-12-10-99人-0年</t>
  </si>
  <si>
    <t>非正規雇用-E-13-10-99人-0年</t>
  </si>
  <si>
    <t>非正規雇用-E-14-10-99人-0年</t>
  </si>
  <si>
    <t>非正規雇用-E-15-10-99人-0年</t>
  </si>
  <si>
    <t>非正規雇用-E-16-10-99人-0年</t>
  </si>
  <si>
    <t>非正規雇用-E-17-10-99人-0年</t>
  </si>
  <si>
    <t>非正規雇用-E-18-10-99人-0年</t>
  </si>
  <si>
    <t>非正規雇用-E-19-10-99人-0年</t>
  </si>
  <si>
    <t>非正規雇用-E-20-10-99人-0年</t>
  </si>
  <si>
    <t>非正規雇用-E-21-10-99人-0年</t>
  </si>
  <si>
    <t>非正規雇用-E-22-10-99人-0年</t>
  </si>
  <si>
    <t>非正規雇用-E-23-10-99人-0年</t>
  </si>
  <si>
    <t>非正規雇用-E-24-10-99人-0年</t>
  </si>
  <si>
    <t>非正規雇用-E-25-10-99人-0年</t>
  </si>
  <si>
    <t>非正規雇用-E-26-10-99人-0年</t>
  </si>
  <si>
    <t>非正規雇用-E-27-10-99人-0年</t>
  </si>
  <si>
    <t>非正規雇用-E-28-10-99人-0年</t>
  </si>
  <si>
    <t>非正規雇用-E-29-10-99人-0年</t>
  </si>
  <si>
    <t>非正規雇用-E-30-10-99人-0年</t>
  </si>
  <si>
    <t>非正規雇用-E-31-10-99人-0年</t>
  </si>
  <si>
    <t>非正規雇用-E-32-10-99人-0年</t>
  </si>
  <si>
    <t>非正規雇用-C--10-99人-0年</t>
  </si>
  <si>
    <t>非正規雇用-D--10-99人-0年</t>
  </si>
  <si>
    <t>非正規雇用-E--10-99人-0年</t>
  </si>
  <si>
    <t>非正規雇用-F--10-99人-0年</t>
  </si>
  <si>
    <t>非正規雇用-G--10-99人-0年</t>
  </si>
  <si>
    <t>非正規雇用-H--10-99人-0年</t>
  </si>
  <si>
    <t>非正規雇用-I--10-99人-0年</t>
  </si>
  <si>
    <t>非正規雇用-J--10-99人-0年</t>
  </si>
  <si>
    <t>非正規雇用-K--10-99人-0年</t>
  </si>
  <si>
    <t>非正規雇用-L--10-99人-0年</t>
  </si>
  <si>
    <t>非正規雇用-M--10-99人-0年</t>
  </si>
  <si>
    <t>非正規雇用-N--10-99人-0年</t>
  </si>
  <si>
    <t>非正規雇用-O--10-99人-0年</t>
  </si>
  <si>
    <t>非正規雇用-P--10-99人-0年</t>
  </si>
  <si>
    <t>非正規雇用-Q--10-99人-0年</t>
  </si>
  <si>
    <t>非正規雇用-R--10-99人-0年</t>
  </si>
  <si>
    <t>非正規雇用-I-56-10-99人-0年</t>
  </si>
  <si>
    <t>非正規雇用-I-57-10-99人-0年</t>
  </si>
  <si>
    <t>非正規雇用-I-58-10-99人-0年</t>
  </si>
  <si>
    <t>非正規雇用-I-59-10-99人-0年</t>
  </si>
  <si>
    <t>非正規雇用-I-60-10-99人-0年</t>
  </si>
  <si>
    <t>非正規雇用-I-61-10-99人-0年</t>
  </si>
  <si>
    <t>非正規雇用-J-62-10-99人-0年</t>
  </si>
  <si>
    <t>非正規雇用-J-63-10-99人-0年</t>
  </si>
  <si>
    <t>非正規雇用-J-64-10-99人-0年</t>
  </si>
  <si>
    <t>非正規雇用-J-65-10-99人-0年</t>
  </si>
  <si>
    <t>非正規雇用-J-66-10-99人-0年</t>
  </si>
  <si>
    <t>非正規雇用-J-67-10-99人-0年</t>
  </si>
  <si>
    <t>非正規雇用-K-68-10-99人-0年</t>
  </si>
  <si>
    <t>非正規雇用-K-69-10-99人-0年</t>
  </si>
  <si>
    <t>非正規雇用-K-70-10-99人-0年</t>
  </si>
  <si>
    <t>非正規雇用-L-71-10-99人-0年</t>
  </si>
  <si>
    <t>非正規雇用-L-72-10-99人-0年</t>
  </si>
  <si>
    <t>非正規雇用-L-73-10-99人-0年</t>
  </si>
  <si>
    <t>非正規雇用-L-74-10-99人-0年</t>
  </si>
  <si>
    <t>非正規雇用-M-75-10-99人-0年</t>
  </si>
  <si>
    <t>非正規雇用-M-76-10-99人-0年</t>
  </si>
  <si>
    <t>非正規雇用-M-77-10-99人-0年</t>
  </si>
  <si>
    <t>非正規雇用-N-78-10-99人-0年</t>
  </si>
  <si>
    <t>非正規雇用-N-79-10-99人-0年</t>
  </si>
  <si>
    <t>非正規雇用-N-80-10-99人-0年</t>
  </si>
  <si>
    <t>非正規雇用-O-81-10-99人-0年</t>
  </si>
  <si>
    <t>非正規雇用-O-82-10-99人-0年</t>
  </si>
  <si>
    <t>非正規雇用-P-83-10-99人-0年</t>
  </si>
  <si>
    <t>非正規雇用-P-84-10-99人-0年</t>
  </si>
  <si>
    <t>非正規雇用-P-85-10-99人-0年</t>
  </si>
  <si>
    <t>非正規雇用-Q-86-10-99人-0年</t>
  </si>
  <si>
    <t>非正規雇用-Q-87-10-99人-0年</t>
  </si>
  <si>
    <t>非正規雇用-R-88-10-99人-0年</t>
  </si>
  <si>
    <t>非正規雇用-R-89-10-99人-0年</t>
  </si>
  <si>
    <t>非正規雇用-R-90-10-99人-0年</t>
  </si>
  <si>
    <t>非正規雇用-R-91-10-99人-0年</t>
  </si>
  <si>
    <t>非正規雇用-R-92-10-99人-0年</t>
  </si>
  <si>
    <t>非正規雇用-R-93-10-99人-0年</t>
  </si>
  <si>
    <t>非正規雇用-R-94-10-99人-0年</t>
  </si>
  <si>
    <t>非正規雇用-R-95-10-99人-0年</t>
  </si>
  <si>
    <t>非正規雇用-E-9-300-999人-0年</t>
  </si>
  <si>
    <t>非正規雇用-E-10-300-999人-0年</t>
  </si>
  <si>
    <t>非正規雇用-E-11-300-999人-0年</t>
  </si>
  <si>
    <t>非正規雇用-E-12-300-999人-0年</t>
  </si>
  <si>
    <t>非正規雇用-E-13-300-999人-0年</t>
  </si>
  <si>
    <t>非正規雇用-E-14-300-999人-0年</t>
  </si>
  <si>
    <t>非正規雇用-E-15-300-999人-0年</t>
  </si>
  <si>
    <t>非正規雇用-E-16-300-999人-0年</t>
  </si>
  <si>
    <t>非正規雇用-E-17-300-999人-0年</t>
  </si>
  <si>
    <t>非正規雇用-E-18-300-999人-0年</t>
  </si>
  <si>
    <t>非正規雇用-E-19-300-999人-0年</t>
  </si>
  <si>
    <t>非正規雇用-E-21-300-999人-0年</t>
  </si>
  <si>
    <t>非正規雇用-E-22-300-999人-0年</t>
  </si>
  <si>
    <t>非正規雇用-E-23-300-999人-0年</t>
  </si>
  <si>
    <t>非正規雇用-E-24-300-999人-0年</t>
  </si>
  <si>
    <t>非正規雇用-E-25-300-999人-0年</t>
  </si>
  <si>
    <t>非正規雇用-E-26-300-999人-0年</t>
  </si>
  <si>
    <t>非正規雇用-E-27-300-999人-0年</t>
  </si>
  <si>
    <t>非正規雇用-E-28-300-999人-0年</t>
  </si>
  <si>
    <t>非正規雇用-E-29-300-999人-0年</t>
  </si>
  <si>
    <t>非正規雇用-E-30-300-999人-0年</t>
  </si>
  <si>
    <t>非正規雇用-E-31-300-999人-0年</t>
  </si>
  <si>
    <t>非正規雇用-E-32-300-999人-0年</t>
  </si>
  <si>
    <t>非正規雇用-C--300-999人-0年</t>
  </si>
  <si>
    <t>非正規雇用-D--300-999人-0年</t>
  </si>
  <si>
    <t>非正規雇用-E--300-999人-0年</t>
  </si>
  <si>
    <t>非正規雇用-F--300-999人-0年</t>
  </si>
  <si>
    <t>非正規雇用-G--300-999人-0年</t>
  </si>
  <si>
    <t>非正規雇用-H--300-999人-0年</t>
  </si>
  <si>
    <t>非正規雇用-I--300-999人-0年</t>
  </si>
  <si>
    <t>非正規雇用-J--300-999人-0年</t>
  </si>
  <si>
    <t>非正規雇用-K--300-999人-0年</t>
  </si>
  <si>
    <t>非正規雇用-L--300-999人-0年</t>
  </si>
  <si>
    <t>非正規雇用-M--300-999人-0年</t>
  </si>
  <si>
    <t>非正規雇用-N--300-999人-0年</t>
  </si>
  <si>
    <t>非正規雇用-O--300-999人-0年</t>
  </si>
  <si>
    <t>非正規雇用-P--300-999人-0年</t>
  </si>
  <si>
    <t>非正規雇用-Q--300-999人-0年</t>
  </si>
  <si>
    <t>非正規雇用-R--300-999人-0年</t>
  </si>
  <si>
    <t>非正規雇用-I-55-300-999人-0年</t>
  </si>
  <si>
    <t>非正規雇用-I-56-300-999人-0年</t>
  </si>
  <si>
    <t>非正規雇用-I-57-300-999人-0年</t>
  </si>
  <si>
    <t>非正規雇用-I-58-300-999人-0年</t>
  </si>
  <si>
    <t>非正規雇用-I-59-300-999人-0年</t>
  </si>
  <si>
    <t>非正規雇用-I-60-300-999人-0年</t>
  </si>
  <si>
    <t>非正規雇用-I-61-300-999人-0年</t>
  </si>
  <si>
    <t>非正規雇用-J-62-300-999人-0年</t>
  </si>
  <si>
    <t>非正規雇用-J-63-300-999人-0年</t>
  </si>
  <si>
    <t>非正規雇用-J-64-300-999人-0年</t>
  </si>
  <si>
    <t>非正規雇用-J-65-300-999人-0年</t>
  </si>
  <si>
    <t>非正規雇用-J-66-300-999人-0年</t>
  </si>
  <si>
    <t>非正規雇用-J-67-300-999人-0年</t>
  </si>
  <si>
    <t>非正規雇用-K-68-300-999人-0年</t>
  </si>
  <si>
    <t>非正規雇用-K-69-300-999人-0年</t>
  </si>
  <si>
    <t>非正規雇用-K-70-300-999人-0年</t>
  </si>
  <si>
    <t>非正規雇用-L-71-300-999人-0年</t>
  </si>
  <si>
    <t>非正規雇用-L-72-300-999人-0年</t>
  </si>
  <si>
    <t>非正規雇用-L-73-300-999人-0年</t>
  </si>
  <si>
    <t>非正規雇用-L-74-300-999人-0年</t>
  </si>
  <si>
    <t>非正規雇用-M-75-300-999人-0年</t>
  </si>
  <si>
    <t>非正規雇用-M-76-300-999人-0年</t>
  </si>
  <si>
    <t>非正規雇用-M-77-300-999人-0年</t>
  </si>
  <si>
    <t>非正規雇用-N-78-300-999人-0年</t>
  </si>
  <si>
    <t>非正規雇用-N-79-300-999人-0年</t>
  </si>
  <si>
    <t>非正規雇用-N-80-300-999人-0年</t>
  </si>
  <si>
    <t>非正規雇用-O-81-300-999人-0年</t>
  </si>
  <si>
    <t>非正規雇用-O-82-300-999人-0年</t>
  </si>
  <si>
    <t>非正規雇用-P-83-300-999人-0年</t>
  </si>
  <si>
    <t>非正規雇用-P-84-300-999人-0年</t>
  </si>
  <si>
    <t>非正規雇用-P-85-300-999人-0年</t>
  </si>
  <si>
    <t>非正規雇用-Q-86-300-999人-0年</t>
  </si>
  <si>
    <t>非正規雇用-Q-87-300-999人-0年</t>
  </si>
  <si>
    <t>非正規雇用-R-88-300-999人-0年</t>
  </si>
  <si>
    <t>非正規雇用-R-89-300-999人-0年</t>
  </si>
  <si>
    <t>非正規雇用-R-90-300-999人-0年</t>
  </si>
  <si>
    <t>非正規雇用-R-91-300-999人-0年</t>
  </si>
  <si>
    <t>非正規雇用-R-92-300-999人-0年</t>
  </si>
  <si>
    <t>非正規雇用-R-93-300-999人-0年</t>
  </si>
  <si>
    <t>非正規雇用-R-94-300-999人-0年</t>
  </si>
  <si>
    <t>非正規雇用-R-95-300-999人-0年</t>
  </si>
  <si>
    <t>非正規雇用-E-10-100-299人-0年</t>
  </si>
  <si>
    <t>非正規雇用-E-11-100-299人-0年</t>
  </si>
  <si>
    <t>非正規雇用-E-12-100-299人-0年</t>
  </si>
  <si>
    <t>非正規雇用-E-13-100-299人-0年</t>
  </si>
  <si>
    <t>非正規雇用-E-14-100-299人-0年</t>
  </si>
  <si>
    <t>非正規雇用-E-15-100-299人-0年</t>
  </si>
  <si>
    <t>非正規雇用-E-16-100-299人-0年</t>
  </si>
  <si>
    <t>非正規雇用-E-18-100-299人-0年</t>
  </si>
  <si>
    <t>非正規雇用-E-19-100-299人-0年</t>
  </si>
  <si>
    <t>非正規雇用-E-20-100-299人-0年</t>
  </si>
  <si>
    <t>非正規雇用-E-21-100-299人-0年</t>
  </si>
  <si>
    <t>非正規雇用-E-22-100-299人-0年</t>
  </si>
  <si>
    <t>非正規雇用-E-23-100-299人-0年</t>
  </si>
  <si>
    <t>非正規雇用-E-24-100-299人-0年</t>
  </si>
  <si>
    <t>非正規雇用-E-25-100-299人-0年</t>
  </si>
  <si>
    <t>非正規雇用-E-26-100-299人-0年</t>
  </si>
  <si>
    <t>非正規雇用-E-27-100-299人-0年</t>
  </si>
  <si>
    <t>非正規雇用-E-28-100-299人-0年</t>
  </si>
  <si>
    <t>非正規雇用-E-29-100-299人-0年</t>
  </si>
  <si>
    <t>非正規雇用-E-30-100-299人-0年</t>
  </si>
  <si>
    <t>非正規雇用-E-31-100-299人-0年</t>
  </si>
  <si>
    <t>非正規雇用-E-32-100-299人-0年</t>
  </si>
  <si>
    <t>非正規雇用-C--100-299人-0年</t>
  </si>
  <si>
    <t>非正規雇用-D--100-299人-0年</t>
  </si>
  <si>
    <t>非正規雇用-E--100-299人-0年</t>
  </si>
  <si>
    <t>非正規雇用-F--100-299人-0年</t>
  </si>
  <si>
    <t>非正規雇用-G--100-299人-0年</t>
  </si>
  <si>
    <t>非正規雇用-H--100-299人-0年</t>
  </si>
  <si>
    <t>非正規雇用-I--100-299人-0年</t>
  </si>
  <si>
    <t>非正規雇用-J--100-299人-0年</t>
  </si>
  <si>
    <t>非正規雇用-K--100-299人-0年</t>
  </si>
  <si>
    <t>非正規雇用-L--100-299人-0年</t>
  </si>
  <si>
    <t>非正規雇用-M--100-299人-0年</t>
  </si>
  <si>
    <t>非正規雇用-N--100-299人-0年</t>
  </si>
  <si>
    <t>非正規雇用-O--100-299人-0年</t>
  </si>
  <si>
    <t>非正規雇用-P--100-299人-0年</t>
  </si>
  <si>
    <t>非正規雇用-Q--100-299人-0年</t>
  </si>
  <si>
    <t>非正規雇用-R--100-299人-0年</t>
  </si>
  <si>
    <t>非正規雇用-I-56-100-299人-0年</t>
  </si>
  <si>
    <t>非正規雇用-I-57-100-299人-0年</t>
  </si>
  <si>
    <t>非正規雇用-I-58-100-299人-0年</t>
  </si>
  <si>
    <t>非正規雇用-I-59-100-299人-0年</t>
  </si>
  <si>
    <t>非正規雇用-I-60-100-299人-0年</t>
  </si>
  <si>
    <t>非正規雇用-I-61-100-299人-0年</t>
  </si>
  <si>
    <t>非正規雇用-J-62-100-299人-0年</t>
  </si>
  <si>
    <t>非正規雇用-J-63-100-299人-0年</t>
  </si>
  <si>
    <t>非正規雇用-J-64-100-299人-0年</t>
  </si>
  <si>
    <t>非正規雇用-J-65-100-299人-0年</t>
  </si>
  <si>
    <t>非正規雇用-J-66-100-299人-0年</t>
  </si>
  <si>
    <t>非正規雇用-J-67-100-299人-0年</t>
  </si>
  <si>
    <t>非正規雇用-K-68-100-299人-0年</t>
  </si>
  <si>
    <t>非正規雇用-K-69-100-299人-0年</t>
  </si>
  <si>
    <t>非正規雇用-K-70-100-299人-0年</t>
  </si>
  <si>
    <t>非正規雇用-L-71-100-299人-0年</t>
  </si>
  <si>
    <t>非正規雇用-L-72-100-299人-0年</t>
  </si>
  <si>
    <t>非正規雇用-L-73-100-299人-0年</t>
  </si>
  <si>
    <t>非正規雇用-L-74-100-299人-0年</t>
  </si>
  <si>
    <t>非正規雇用-M-75-100-299人-0年</t>
  </si>
  <si>
    <t>非正規雇用-M-76-100-299人-0年</t>
  </si>
  <si>
    <t>非正規雇用-M-77-100-299人-0年</t>
  </si>
  <si>
    <t>非正規雇用-N-78-100-299人-0年</t>
  </si>
  <si>
    <t>非正規雇用-N-79-100-299人-0年</t>
  </si>
  <si>
    <t>非正規雇用-N-80-100-299人-0年</t>
  </si>
  <si>
    <t>非正規雇用-O-81-100-299人-0年</t>
  </si>
  <si>
    <t>非正規雇用-O-82-100-299人-0年</t>
  </si>
  <si>
    <t>非正規雇用-P-83-100-299人-0年</t>
  </si>
  <si>
    <t>非正規雇用-P-84-100-299人-0年</t>
  </si>
  <si>
    <t>非正規雇用-P-85-100-299人-0年</t>
  </si>
  <si>
    <t>非正規雇用-Q-87-100-299人-0年</t>
  </si>
  <si>
    <t>非正規雇用-R-88-100-299人-0年</t>
  </si>
  <si>
    <t>非正規雇用-R-89-100-299人-0年</t>
  </si>
  <si>
    <t>非正規雇用-R-90-100-299人-0年</t>
  </si>
  <si>
    <t>非正規雇用-R-91-100-299人-0年</t>
  </si>
  <si>
    <t>非正規雇用-R-92-100-299人-0年</t>
  </si>
  <si>
    <t>非正規雇用-R-93-100-299人-0年</t>
  </si>
  <si>
    <t>非正規雇用-R-94-100-299人-0年</t>
  </si>
  <si>
    <t>非正規雇用-R-95-100-299人-0年</t>
  </si>
  <si>
    <t>項目</t>
    <rPh sb="0" eb="2">
      <t>コウモク</t>
    </rPh>
    <phoneticPr fontId="3"/>
  </si>
  <si>
    <t>女=0</t>
    <rPh sb="0" eb="1">
      <t xml:space="preserve">オンナ </t>
    </rPh>
    <phoneticPr fontId="3"/>
  </si>
  <si>
    <t>参考値</t>
    <phoneticPr fontId="3"/>
  </si>
  <si>
    <t>値=0</t>
    <phoneticPr fontId="3"/>
  </si>
  <si>
    <t>男=0</t>
    <rPh sb="0" eb="1">
      <t xml:space="preserve">オトコ </t>
    </rPh>
    <phoneticPr fontId="3"/>
  </si>
  <si>
    <t>女=0</t>
    <rPh sb="0" eb="1">
      <t>オンナ</t>
    </rPh>
    <rPh sb="1" eb="2">
      <t>アナタ</t>
    </rPh>
    <phoneticPr fontId="3"/>
  </si>
  <si>
    <t>男=0</t>
    <phoneticPr fontId="3"/>
  </si>
  <si>
    <t>貴社</t>
    <rPh sb="0" eb="2">
      <t>キシャ</t>
    </rPh>
    <phoneticPr fontId="3"/>
  </si>
  <si>
    <t>表示されない理由</t>
    <rPh sb="0" eb="2">
      <t>ヒョウジ</t>
    </rPh>
    <rPh sb="6" eb="8">
      <t>リユウ</t>
    </rPh>
    <phoneticPr fontId="3"/>
  </si>
  <si>
    <t>表示されない理由</t>
    <phoneticPr fontId="3"/>
  </si>
  <si>
    <t>(3)案内文</t>
    <rPh sb="3" eb="5">
      <t>アンナイ</t>
    </rPh>
    <rPh sb="5" eb="6">
      <t>ブン</t>
    </rPh>
    <phoneticPr fontId="3"/>
  </si>
  <si>
    <t>入力規則文1</t>
    <rPh sb="0" eb="4">
      <t>ニュウリョクキソク</t>
    </rPh>
    <rPh sb="4" eb="5">
      <t>ブン</t>
    </rPh>
    <phoneticPr fontId="3"/>
  </si>
  <si>
    <t>入力規則文2</t>
    <rPh sb="0" eb="4">
      <t>ニュウリョクキソク</t>
    </rPh>
    <rPh sb="4" eb="5">
      <t>ブン</t>
    </rPh>
    <phoneticPr fontId="3"/>
  </si>
  <si>
    <t>(1)使用用途</t>
    <rPh sb="3" eb="7">
      <t xml:space="preserve">シヨウヨウト </t>
    </rPh>
    <phoneticPr fontId="3"/>
  </si>
  <si>
    <t>(2)-1産業大分類</t>
    <rPh sb="5" eb="10">
      <t xml:space="preserve">サンギョウブンルイ </t>
    </rPh>
    <phoneticPr fontId="3"/>
  </si>
  <si>
    <t>(2)-2産業中分類</t>
    <rPh sb="5" eb="10">
      <t xml:space="preserve">サンギョウチュウブンルイ </t>
    </rPh>
    <phoneticPr fontId="3"/>
  </si>
  <si>
    <t>(2)-3企業規模</t>
    <rPh sb="5" eb="9">
      <t xml:space="preserve">キギョウキボ </t>
    </rPh>
    <phoneticPr fontId="3"/>
  </si>
  <si>
    <t>(4)-1雇用形態</t>
    <rPh sb="5" eb="9">
      <t xml:space="preserve">コヨウケイタイ </t>
    </rPh>
    <phoneticPr fontId="3"/>
  </si>
  <si>
    <t>(4)-2役職種類</t>
    <rPh sb="5" eb="7">
      <t xml:space="preserve">ヤクショク </t>
    </rPh>
    <rPh sb="7" eb="9">
      <t xml:space="preserve">シュルイ </t>
    </rPh>
    <phoneticPr fontId="3"/>
  </si>
  <si>
    <t>(3)-１入力方法</t>
    <rPh sb="5" eb="9">
      <t xml:space="preserve">ニュウリョクホウホウ </t>
    </rPh>
    <phoneticPr fontId="3"/>
  </si>
  <si>
    <t>(4)-3性別表記</t>
    <rPh sb="5" eb="9">
      <t xml:space="preserve">セイベツヒョウキ </t>
    </rPh>
    <phoneticPr fontId="3"/>
  </si>
  <si>
    <t>引用文等</t>
    <rPh sb="0" eb="2">
      <t>インヨウ</t>
    </rPh>
    <rPh sb="3" eb="4">
      <t>トウ</t>
    </rPh>
    <phoneticPr fontId="3"/>
  </si>
  <si>
    <t>([従業員の給与情報]F2)単位</t>
    <rPh sb="14" eb="16">
      <t>タンイ</t>
    </rPh>
    <phoneticPr fontId="3"/>
  </si>
  <si>
    <t>(3)-2労働者割合を使用する</t>
    <rPh sb="5" eb="8">
      <t>ロウドウシャ</t>
    </rPh>
    <rPh sb="8" eb="10">
      <t>ワリアイ</t>
    </rPh>
    <rPh sb="11" eb="13">
      <t>シヨウ</t>
    </rPh>
    <phoneticPr fontId="3"/>
  </si>
  <si>
    <t>中分類番号</t>
    <rPh sb="0" eb="3">
      <t>チュウブンルイ</t>
    </rPh>
    <rPh sb="3" eb="5">
      <t>バンゴウ</t>
    </rPh>
    <phoneticPr fontId="3"/>
  </si>
  <si>
    <t>検索キー</t>
    <rPh sb="0" eb="2">
      <t>ケンサク</t>
    </rPh>
    <phoneticPr fontId="3"/>
  </si>
  <si>
    <t>検索キー</t>
    <phoneticPr fontId="3"/>
  </si>
  <si>
    <t>変換後</t>
    <rPh sb="0" eb="3">
      <t>ヘンカンゴ</t>
    </rPh>
    <phoneticPr fontId="3"/>
  </si>
  <si>
    <t>勤続年数変換</t>
    <rPh sb="0" eb="4">
      <t xml:space="preserve">キンゾクネンスウ </t>
    </rPh>
    <rPh sb="4" eb="6">
      <t>ヘンカン</t>
    </rPh>
    <phoneticPr fontId="3"/>
  </si>
  <si>
    <t>入社年月日</t>
    <phoneticPr fontId="3"/>
  </si>
  <si>
    <t>大分類番号</t>
    <rPh sb="0" eb="3">
      <t>ダイブンルイ</t>
    </rPh>
    <rPh sb="3" eb="5">
      <t>バンゴウ</t>
    </rPh>
    <phoneticPr fontId="3"/>
  </si>
  <si>
    <t>男女間賃金差異の状況</t>
    <rPh sb="0" eb="3">
      <t>ダンジョカン</t>
    </rPh>
    <rPh sb="3" eb="7">
      <t>チンギンサイ</t>
    </rPh>
    <rPh sb="8" eb="10">
      <t>ジョウキョウ</t>
    </rPh>
    <phoneticPr fontId="3"/>
  </si>
  <si>
    <t>女性活躍のためのアドバイス1</t>
    <rPh sb="0" eb="4">
      <t>ジョセイカツヤク</t>
    </rPh>
    <phoneticPr fontId="3"/>
  </si>
  <si>
    <t>女性活躍のためのアドバイス2</t>
    <rPh sb="0" eb="4">
      <t>ジョセイカツヤク</t>
    </rPh>
    <phoneticPr fontId="3"/>
  </si>
  <si>
    <t>課題タイプ</t>
    <rPh sb="0" eb="2">
      <t>カダイ</t>
    </rPh>
    <phoneticPr fontId="3"/>
  </si>
  <si>
    <r>
      <t>※</t>
    </r>
    <r>
      <rPr>
        <b/>
        <u/>
        <sz val="11"/>
        <color theme="4"/>
        <rFont val="游ゴシック"/>
        <family val="3"/>
        <charset val="128"/>
        <scheme val="minor"/>
      </rPr>
      <t>従業員の情報が500件を超える場合</t>
    </r>
    <r>
      <rPr>
        <b/>
        <sz val="11"/>
        <color theme="4"/>
        <rFont val="游ゴシック"/>
        <family val="3"/>
        <charset val="128"/>
        <scheme val="minor"/>
      </rPr>
      <t>、
　以下の方法で各行のエラーを表示できます。
　①セル「F502」からセル「X502」までを選択してください。
　②①の状態で、カーソルをセル「X502」の右下角に合わせ、
　　下方向にドラッグしてください。</t>
    </r>
    <rPh sb="1" eb="4">
      <t>ジュウギョウ</t>
    </rPh>
    <rPh sb="19" eb="20">
      <t>イカ</t>
    </rPh>
    <rPh sb="25" eb="26">
      <t xml:space="preserve">ギョウ </t>
    </rPh>
    <rPh sb="27" eb="28">
      <t>カクギョウノ</t>
    </rPh>
    <rPh sb="33" eb="35">
      <t>ヒョウ</t>
    </rPh>
    <rPh sb="98" eb="99">
      <t xml:space="preserve">カク </t>
    </rPh>
    <rPh sb="105" eb="109">
      <t>ホウコウ</t>
    </rPh>
    <phoneticPr fontId="3"/>
  </si>
  <si>
    <t>P2502セル</t>
    <phoneticPr fontId="3"/>
  </si>
  <si>
    <r>
      <t>※</t>
    </r>
    <r>
      <rPr>
        <b/>
        <u/>
        <sz val="11"/>
        <color theme="4"/>
        <rFont val="游ゴシック"/>
        <family val="3"/>
        <charset val="128"/>
        <scheme val="minor"/>
      </rPr>
      <t>従業員の給与情報が2,500件を超える場合</t>
    </r>
    <r>
      <rPr>
        <b/>
        <sz val="11"/>
        <color theme="4"/>
        <rFont val="游ゴシック"/>
        <family val="3"/>
        <charset val="128"/>
        <scheme val="minor"/>
      </rPr>
      <t>、
　以下の方法で各行のエラーを表示できます。
　①セル「G2502」からセル「P2502」までを
　　選択してください。
　②①の状態で、カーソルをセル「P2502」の右下角に合わせ、
　　下方向にドラッグしてください。</t>
    </r>
    <rPh sb="1" eb="4">
      <t>ジュウギョウ</t>
    </rPh>
    <rPh sb="5" eb="7">
      <t xml:space="preserve">キュウヨ </t>
    </rPh>
    <rPh sb="46" eb="47">
      <t xml:space="preserve">シタニ </t>
    </rPh>
    <rPh sb="65" eb="67">
      <t xml:space="preserve">カクギョウ </t>
    </rPh>
    <rPh sb="81" eb="82">
      <t xml:space="preserve">カノウ </t>
    </rPh>
    <rPh sb="102" eb="103">
      <t xml:space="preserve">カク </t>
    </rPh>
    <rPh sb="110" eb="112">
      <t>ホウコウ</t>
    </rPh>
    <phoneticPr fontId="3"/>
  </si>
  <si>
    <t>検索キー</t>
    <rPh sb="0" eb="1">
      <t>ケンサク</t>
    </rPh>
    <phoneticPr fontId="3"/>
  </si>
  <si>
    <t>数式</t>
    <rPh sb="0" eb="2">
      <t>スウシキ</t>
    </rPh>
    <phoneticPr fontId="3"/>
  </si>
  <si>
    <t>表示文1</t>
    <rPh sb="0" eb="1">
      <t>ヒョウジ</t>
    </rPh>
    <rPh sb="1" eb="2">
      <t>ブン</t>
    </rPh>
    <phoneticPr fontId="3"/>
  </si>
  <si>
    <t>表示文2</t>
    <rPh sb="0" eb="1">
      <t>ヒョウジ</t>
    </rPh>
    <rPh sb="1" eb="2">
      <t>ブン</t>
    </rPh>
    <phoneticPr fontId="3"/>
  </si>
  <si>
    <t>赤字表示キー</t>
    <rPh sb="0" eb="2">
      <t>アカジ</t>
    </rPh>
    <rPh sb="2" eb="4">
      <t>ヒョウジ</t>
    </rPh>
    <phoneticPr fontId="3"/>
  </si>
  <si>
    <t>空白</t>
    <rPh sb="0" eb="2">
      <t>クウハク</t>
    </rPh>
    <phoneticPr fontId="3"/>
  </si>
  <si>
    <t>(3)空白有無</t>
    <rPh sb="3" eb="5">
      <t>クウハク</t>
    </rPh>
    <rPh sb="5" eb="7">
      <t>ウム</t>
    </rPh>
    <phoneticPr fontId="3"/>
  </si>
  <si>
    <t>(3)自社orツール</t>
    <rPh sb="3" eb="5">
      <t>ジシャ</t>
    </rPh>
    <phoneticPr fontId="3"/>
  </si>
  <si>
    <t>(3)エラー有無</t>
    <rPh sb="5" eb="7">
      <t>ウム</t>
    </rPh>
    <phoneticPr fontId="3"/>
  </si>
  <si>
    <t>(4)エラー有無</t>
    <rPh sb="5" eb="7">
      <t>ウム</t>
    </rPh>
    <phoneticPr fontId="3"/>
  </si>
  <si>
    <t>空白エラーのみ</t>
    <phoneticPr fontId="3"/>
  </si>
  <si>
    <t>エラー表示</t>
    <phoneticPr fontId="3"/>
  </si>
  <si>
    <t>エラー有無</t>
    <rPh sb="3" eb="5">
      <t>ウム</t>
    </rPh>
    <phoneticPr fontId="3"/>
  </si>
  <si>
    <t>表示文1</t>
    <rPh sb="0" eb="3">
      <t>ヒョウジブン</t>
    </rPh>
    <phoneticPr fontId="3"/>
  </si>
  <si>
    <t>表示文2</t>
    <rPh sb="0" eb="2">
      <t>ヒョウジ</t>
    </rPh>
    <rPh sb="2" eb="3">
      <t>ブン</t>
    </rPh>
    <phoneticPr fontId="3"/>
  </si>
  <si>
    <t>課題タイプ各項目判定基準</t>
    <rPh sb="0" eb="2">
      <t>カダイ</t>
    </rPh>
    <rPh sb="5" eb="8">
      <t>カクコウモク</t>
    </rPh>
    <rPh sb="8" eb="12">
      <t>ハンテイキジュン</t>
    </rPh>
    <phoneticPr fontId="3"/>
  </si>
  <si>
    <t>基準2
0÷0</t>
    <rPh sb="0" eb="2">
      <t xml:space="preserve">キジュン </t>
    </rPh>
    <phoneticPr fontId="3"/>
  </si>
  <si>
    <t xml:space="preserve"> ←入力方法を選択してください。</t>
    <phoneticPr fontId="3"/>
  </si>
  <si>
    <t>※未入力（空白）の項目は、"０"として集計されます。</t>
    <phoneticPr fontId="3"/>
  </si>
  <si>
    <t>※桁区切りの「,」や「、」は使用できませんので、ご注意ください。</t>
    <phoneticPr fontId="3"/>
  </si>
  <si>
    <t>欄に入力不備又は未入力（空白）があります。</t>
    <phoneticPr fontId="3"/>
  </si>
  <si>
    <t>数値以外が入力されています。</t>
    <rPh sb="0" eb="4">
      <t>スウチイガイ</t>
    </rPh>
    <rPh sb="5" eb="7">
      <t>ニュウリョク</t>
    </rPh>
    <phoneticPr fontId="3"/>
  </si>
  <si>
    <t>勤続年数</t>
    <rPh sb="0" eb="4">
      <t>キンゾクネンスウ</t>
    </rPh>
    <phoneticPr fontId="3"/>
  </si>
  <si>
    <t>雇用形態</t>
    <rPh sb="0" eb="4">
      <t>コヨウケイタイ</t>
    </rPh>
    <phoneticPr fontId="3"/>
  </si>
  <si>
    <t>数値以外判定</t>
    <phoneticPr fontId="3"/>
  </si>
  <si>
    <t>役職</t>
    <rPh sb="0" eb="2">
      <t>ヤクショク</t>
    </rPh>
    <phoneticPr fontId="3"/>
  </si>
  <si>
    <t>差異要因</t>
    <rPh sb="0" eb="2">
      <t>サイ</t>
    </rPh>
    <rPh sb="2" eb="4">
      <t>ヨウイン</t>
    </rPh>
    <phoneticPr fontId="3"/>
  </si>
  <si>
    <t xml:space="preserve">問題がなければ、シート［分析結果］を確認してください。
※「産業大分類」「企業規模」のいずれかの選択も可能です。
※未選択（空白）の場合、参考値は『産業大分類計』
　又は『企業規模計（10人以上）』で集計された値が表示されます。
※「産業大分類」で『製造業』を選択した場合、
　「産業中分類」の選択が可能になります。
</t>
    <rPh sb="1" eb="4">
      <t>ミセンタク</t>
    </rPh>
    <rPh sb="9" eb="11">
      <t>コウモク</t>
    </rPh>
    <rPh sb="48" eb="49">
      <t>マタハ</t>
    </rPh>
    <rPh sb="53" eb="58">
      <t>サンギョウ</t>
    </rPh>
    <rPh sb="70" eb="72">
      <t>サンギョウ</t>
    </rPh>
    <rPh sb="77" eb="79">
      <t>センタク</t>
    </rPh>
    <rPh sb="80" eb="82">
      <t>カノウ</t>
    </rPh>
    <phoneticPr fontId="3"/>
  </si>
  <si>
    <t>※(3)の入力方法の選択（「雇用形態別」〜
　「男女間賃金差異が生じる要因」）は必須です。
　項目ごとで入力方法を選択できますので、状況に応じて選択ください。
※(2)が未選択（空白）の場合、参考値は『産業大分類計』
　又は『企業規模計（10人以上）』で集計された値が表示されます。</t>
    <rPh sb="23" eb="24">
      <t xml:space="preserve">マタハ </t>
    </rPh>
    <rPh sb="96" eb="99">
      <t xml:space="preserve">サンコウチハ </t>
    </rPh>
    <rPh sb="128" eb="129">
      <t xml:space="preserve">スウチ </t>
    </rPh>
    <phoneticPr fontId="3"/>
  </si>
  <si>
    <t>※「基準日」は、以下項目のいずれか又は両方で『ツールを利用して計算する』を選択した場合に入力が必須となります。
　・「勤続年数階級別」
　・「男女間賃金差異が生じる要因」
※(2)が未選択（空白）の場合、参考値は『産業大分類計』
　又は『企業規模計（10人以上）』で集計された値が表示されます。</t>
    <rPh sb="24" eb="25">
      <t xml:space="preserve">マタハ </t>
    </rPh>
    <phoneticPr fontId="3"/>
  </si>
  <si>
    <t>※(3)で『自社で計算したデータを手入力する』を選択した項目の内、
　未入力（空白）の項目は、"0"として集計されます。
　問題がなければ、シート［分析結果］を確認してください。
※(2)が未選択（空白）の場合、参考値は『産業大分類計』
　又は『企業規模計（10人以上）』で集計された値が表示されます。</t>
    <rPh sb="21" eb="22">
      <t xml:space="preserve">マタハ </t>
    </rPh>
    <rPh sb="134" eb="136">
      <t xml:space="preserve">シュウケイ </t>
    </rPh>
    <phoneticPr fontId="3"/>
  </si>
  <si>
    <t>※(4)未入力（空白）の項目は、"0"として集計されます。
　問題がなければ、シート［分析結果］を確認してください。</t>
    <phoneticPr fontId="3"/>
  </si>
  <si>
    <t xml:space="preserve">※「基準日」は、以下項目のいずれか又は両方で『ツールを利用して計算する』を選択した場合に入力が必須となります。
　・「勤続年数階級別」
　・「男女間賃金差異が生じる要因」
</t>
    <rPh sb="10" eb="12">
      <t>コウモク</t>
    </rPh>
    <rPh sb="17" eb="18">
      <t>マタハ</t>
    </rPh>
    <rPh sb="19" eb="21">
      <t>リョウホウ</t>
    </rPh>
    <rPh sb="45" eb="46">
      <t>マタハ</t>
    </rPh>
    <rPh sb="47" eb="49">
      <t>リョウホウ</t>
    </rPh>
    <rPh sb="81" eb="83">
      <t>ニュウリョク</t>
    </rPh>
    <rPh sb="83" eb="85">
      <t>ヒッス</t>
    </rPh>
    <phoneticPr fontId="3"/>
  </si>
  <si>
    <t>※(3)で『自社で計算したデータを手入力する』を選択した項目の内、
　未入力（空白）の項目については、"0"として集計されます。
　また、桁区切りの「,」や「、」は使用できません。</t>
    <phoneticPr fontId="3"/>
  </si>
  <si>
    <t>(2)で比較する参考値（産業分類と企業規模）を選択してください。
(4)に入力不備があります。
(3)又は(4)にエラーが表示されていますので、内容を確認してください。</t>
    <phoneticPr fontId="3"/>
  </si>
  <si>
    <t>※(4)では、数値の桁区切り「,」や「、」は使用できません。</t>
    <phoneticPr fontId="3"/>
  </si>
  <si>
    <t xml:space="preserve">問題がなければ、［分析結果］を確認してください。
※(2)が未選択（空白）の場合、参考値は『産業大分類計』
　又は『企業規模計（10人以上）』で集計された値が表示されます。
</t>
    <rPh sb="0" eb="2">
      <t>モンダイ</t>
    </rPh>
    <rPh sb="31" eb="33">
      <t>コウモク</t>
    </rPh>
    <rPh sb="37" eb="39">
      <t>バアイ</t>
    </rPh>
    <phoneticPr fontId="3"/>
  </si>
  <si>
    <t>問題なければ、［従業員情報（給与以外）］へ移動して、
貴社の従業員情報を入力又は貼付してください。
※(2)が未選択（空白）の場合、参考値は『産業大分類計』
　又は『企業規模計（10人以上）』で集計された値が表示されます。</t>
    <rPh sb="0" eb="2">
      <t>モンダイ</t>
    </rPh>
    <rPh sb="28" eb="29">
      <t xml:space="preserve">マタハ </t>
    </rPh>
    <phoneticPr fontId="3"/>
  </si>
  <si>
    <r>
      <t>※「従業員番号」：同じ従業員は同一番号で入力してください。
※</t>
    </r>
    <r>
      <rPr>
        <b/>
        <u/>
        <sz val="9"/>
        <color theme="4"/>
        <rFont val="游ゴシック"/>
        <family val="3"/>
        <charset val="128"/>
        <scheme val="minor"/>
      </rPr>
      <t>「残業時間」：原則、時間単位で入力してください。</t>
    </r>
    <r>
      <rPr>
        <b/>
        <sz val="9"/>
        <color theme="4"/>
        <rFont val="游ゴシック"/>
        <family val="3"/>
        <charset val="128"/>
        <scheme val="minor"/>
      </rPr>
      <t xml:space="preserve">
     </t>
    </r>
    <r>
      <rPr>
        <b/>
        <u/>
        <sz val="9"/>
        <color theme="4"/>
        <rFont val="游ゴシック"/>
        <family val="3"/>
        <charset val="128"/>
        <scheme val="minor"/>
      </rPr>
      <t>分単位で入力する場合は『分で入力』を選択し、入力してください。</t>
    </r>
    <r>
      <rPr>
        <b/>
        <sz val="9"/>
        <color theme="4"/>
        <rFont val="游ゴシック"/>
        <family val="3"/>
        <charset val="128"/>
        <scheme val="minor"/>
      </rPr>
      <t xml:space="preserve">
 （例:1時間15分の場合→時間「1.25」又は分「1.15」、 
　　  2時間50分の場合→時間「2.833」又は分「2.50」）
※「,」「、」「：」は使用できませんので、ご注意ください。</t>
    </r>
    <phoneticPr fontId="3"/>
  </si>
  <si>
    <t>入シエラー再</t>
    <rPh sb="0" eb="1">
      <t>ハイ</t>
    </rPh>
    <rPh sb="5" eb="6">
      <t>サイ</t>
    </rPh>
    <phoneticPr fontId="3"/>
  </si>
  <si>
    <t>無</t>
    <rPh sb="0" eb="1">
      <t>ム</t>
    </rPh>
    <phoneticPr fontId="3"/>
  </si>
  <si>
    <t>有</t>
    <rPh sb="0" eb="1">
      <t>アリ</t>
    </rPh>
    <phoneticPr fontId="3"/>
  </si>
  <si>
    <t>エラー</t>
    <phoneticPr fontId="3"/>
  </si>
  <si>
    <t>無</t>
    <rPh sb="0" eb="1">
      <t>ナ</t>
    </rPh>
    <phoneticPr fontId="3"/>
  </si>
  <si>
    <t>着手</t>
    <rPh sb="0" eb="2">
      <t xml:space="preserve">チャクシュ </t>
    </rPh>
    <phoneticPr fontId="3"/>
  </si>
  <si>
    <t>・入力内容にエラーはありません。</t>
    <rPh sb="1" eb="2">
      <t xml:space="preserve">ニュウリョクナイヨウ ニュウリョク ズミ シャインノ キュウヨ ジョウホウ イドウ </t>
    </rPh>
    <phoneticPr fontId="3"/>
  </si>
  <si>
    <t>仕分け</t>
    <rPh sb="0" eb="2">
      <t>シワ</t>
    </rPh>
    <phoneticPr fontId="3"/>
  </si>
  <si>
    <t>従業員の給与情報</t>
    <phoneticPr fontId="3"/>
  </si>
  <si>
    <t>赤字表示キー/仕分け</t>
    <rPh sb="0" eb="2">
      <t>アカジ</t>
    </rPh>
    <rPh sb="2" eb="4">
      <t>ヒョウジ</t>
    </rPh>
    <rPh sb="7" eb="9">
      <t>シワ</t>
    </rPh>
    <phoneticPr fontId="3"/>
  </si>
  <si>
    <t>入力シート</t>
    <rPh sb="0" eb="2">
      <t>ニュウリョク</t>
    </rPh>
    <phoneticPr fontId="3"/>
  </si>
  <si>
    <t>問題なければ［従業員情報(給与以外)］へ移動して、
貴社の従業員情報を入力又は貼付してください。</t>
    <rPh sb="0" eb="2">
      <t>モンダイ</t>
    </rPh>
    <phoneticPr fontId="3"/>
  </si>
  <si>
    <t>［従業員情報(給与以外)］へ移動して、
貴社の従業員情報を入力又は貼付してください。</t>
    <phoneticPr fontId="3"/>
  </si>
  <si>
    <t>［分析結果］を確認してください。</t>
    <phoneticPr fontId="3"/>
  </si>
  <si>
    <t>全対象者の入力が完了している場合は、［分析結果］へ移動してください。</t>
    <rPh sb="0" eb="1">
      <t>スベテ</t>
    </rPh>
    <phoneticPr fontId="3"/>
  </si>
  <si>
    <t>各行に表示されているエラーを確認してください。</t>
    <phoneticPr fontId="3"/>
  </si>
  <si>
    <t>全ての対象者の情報入力が完了している場合は、［従業員の給与情報］へ移動してください。</t>
    <rPh sb="0" eb="1">
      <t>スベテ</t>
    </rPh>
    <rPh sb="7" eb="9">
      <t>ジョウホウ</t>
    </rPh>
    <phoneticPr fontId="3"/>
  </si>
  <si>
    <t>問題なければ、全対象者の入力を完了させて、［従業員の給与情報］へ移動してください。</t>
    <rPh sb="0" eb="2">
      <t>モンダイ</t>
    </rPh>
    <rPh sb="7" eb="8">
      <t>ゼン</t>
    </rPh>
    <rPh sb="8" eb="10">
      <t>タイショウ</t>
    </rPh>
    <rPh sb="10" eb="11">
      <t>シャ</t>
    </rPh>
    <rPh sb="12" eb="14">
      <t>ニュウリョク</t>
    </rPh>
    <rPh sb="15" eb="17">
      <t>カンリョウ</t>
    </rPh>
    <phoneticPr fontId="3"/>
  </si>
  <si>
    <t>・入力内容にエラーはありません。</t>
    <rPh sb="1" eb="2">
      <t xml:space="preserve">ニュウリョクナイヨウ ニュウリョク ズミ ブンセキ ケッカ イドウ </t>
    </rPh>
    <phoneticPr fontId="3"/>
  </si>
  <si>
    <t xml:space="preserve">(4)未入力（空白）の項目は、"0"として集計されます。
　 問題がなければ、シート［分析結果］を確認してください。
※(2)が未選択（空白）の場合、参考値は『産業大分類計』
　 又は『企業規模計（10人以上）』で集計された値が表示されます。
</t>
    <rPh sb="27" eb="28">
      <t xml:space="preserve">マタハ </t>
    </rPh>
    <rPh sb="64" eb="67">
      <t xml:space="preserve">ミセンタク </t>
    </rPh>
    <phoneticPr fontId="3"/>
  </si>
  <si>
    <t xml:space="preserve">※(4)では、数値の桁区切り「,」や「、」は使用できません。
　また未入力（空白）の項目は、"0"として集計されます。
※(2)が未選択（空白）の場合、参考値は『産業大分類計』
 　又は『企業規模計（10人以上）』で集計された値が表示されます。
</t>
    <rPh sb="23" eb="24">
      <t xml:space="preserve">マタハ </t>
    </rPh>
    <rPh sb="63" eb="67">
      <t>ニュウリョク</t>
    </rPh>
    <rPh sb="85" eb="87">
      <t>スウティ</t>
    </rPh>
    <phoneticPr fontId="3"/>
  </si>
  <si>
    <t>パターン番号</t>
    <rPh sb="4" eb="6">
      <t>バンゴウ</t>
    </rPh>
    <phoneticPr fontId="3"/>
  </si>
  <si>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</si>
  <si>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</si>
  <si>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</si>
  <si>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</si>
  <si>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</si>
  <si>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</si>
  <si>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</si>
  <si>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</si>
  <si>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</si>
  <si>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</si>
  <si>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</si>
  <si>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</si>
  <si>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</si>
  <si>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</si>
  <si>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</si>
  <si>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</si>
  <si>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</si>
  <si>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</si>
  <si>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</si>
  <si>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</si>
  <si>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</si>
  <si>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</si>
  <si>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</si>
  <si>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</si>
  <si>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</si>
  <si>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</si>
  <si>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</si>
  <si>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</si>
  <si>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</si>
  <si>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</si>
  <si>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</si>
  <si>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</si>
  <si>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</si>
  <si>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</si>
  <si>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</si>
  <si>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</si>
  <si>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</si>
  <si>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</si>
  <si>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</si>
  <si>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</si>
  <si>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</si>
  <si>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</si>
  <si>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</si>
  <si>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</si>
  <si>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</si>
  <si>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</si>
  <si>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</si>
  <si>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</si>
  <si>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</si>
  <si>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</si>
  <si>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</si>
  <si>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</si>
  <si>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</si>
  <si>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</si>
  <si>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</si>
  <si>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</si>
  <si>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</si>
  <si>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</si>
  <si>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</si>
  <si>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</si>
  <si>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</si>
  <si>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</si>
  <si>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</si>
  <si>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</si>
  <si>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</si>
  <si>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</si>
  <si>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</si>
  <si>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</si>
  <si>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</si>
  <si>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</si>
  <si>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</si>
  <si>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</si>
  <si>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</si>
  <si>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</si>
  <si>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</si>
  <si>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</si>
  <si>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</si>
  <si>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</si>
  <si>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</si>
  <si>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</si>
  <si>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</si>
  <si>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</si>
  <si>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</si>
  <si>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</si>
  <si>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</si>
  <si>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</si>
  <si>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</si>
  <si>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</si>
  <si>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</si>
  <si>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</si>
  <si>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</si>
  <si>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</si>
  <si>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</si>
  <si>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</si>
  <si>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</si>
  <si>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</si>
  <si>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</si>
  <si>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</si>
  <si>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</si>
  <si>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</si>
  <si>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</si>
  <si>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</si>
  <si>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</si>
  <si>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</si>
  <si>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</si>
  <si>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</si>
  <si>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</si>
  <si>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</si>
  <si>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</si>
  <si>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</si>
  <si>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</si>
  <si>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</si>
  <si>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</si>
  <si>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</si>
  <si>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</si>
  <si>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</si>
  <si>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</si>
  <si>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</si>
  <si>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</si>
  <si>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</si>
  <si>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</si>
  <si>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</si>
  <si>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</si>
  <si>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</si>
  <si>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</si>
  <si>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</si>
  <si>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</si>
  <si>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</si>
  <si>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phoneticPr fontId="3"/>
  </si>
  <si>
    <t>課題タイプ検索キー</t>
    <rPh sb="0" eb="2">
      <t>カダイ</t>
    </rPh>
    <rPh sb="5" eb="7">
      <t>ケンサク</t>
    </rPh>
    <phoneticPr fontId="3"/>
  </si>
  <si>
    <t>判定</t>
    <rPh sb="0" eb="2">
      <t>ハンテイ</t>
    </rPh>
    <phoneticPr fontId="3"/>
  </si>
  <si>
    <t>表示文</t>
    <rPh sb="0" eb="3">
      <t>ヒョウジブン</t>
    </rPh>
    <phoneticPr fontId="3"/>
  </si>
  <si>
    <t>値
ツール-採用者</t>
    <rPh sb="0" eb="1">
      <t xml:space="preserve">アタイ </t>
    </rPh>
    <phoneticPr fontId="3"/>
  </si>
  <si>
    <t>(3)貴社の『男女間賃金差異』の入力方法を選択、
　もしくは基準日を入力してください。</t>
    <rPh sb="30" eb="33">
      <t>キジュンビ</t>
    </rPh>
    <rPh sb="34" eb="36">
      <t>ニュウリョク</t>
    </rPh>
    <phoneticPr fontId="3"/>
  </si>
  <si>
    <r>
      <t>タイプ</t>
    </r>
    <r>
      <rPr>
        <b/>
        <sz val="8"/>
        <color theme="1"/>
        <rFont val="ＭＳ Ｐゴシック"/>
        <family val="3"/>
        <charset val="128"/>
      </rPr>
      <t>1</t>
    </r>
    <phoneticPr fontId="3"/>
  </si>
  <si>
    <r>
      <t>タイプ</t>
    </r>
    <r>
      <rPr>
        <b/>
        <sz val="8"/>
        <color theme="1"/>
        <rFont val="ＭＳ Ｐゴシック"/>
        <family val="3"/>
        <charset val="128"/>
      </rPr>
      <t>2</t>
    </r>
    <phoneticPr fontId="3"/>
  </si>
  <si>
    <r>
      <rPr>
        <sz val="12"/>
        <color theme="1"/>
        <rFont val="游ゴシック"/>
        <family val="3"/>
        <charset val="128"/>
        <scheme val="minor"/>
      </rPr>
      <t>本シートに表示される</t>
    </r>
    <r>
      <rPr>
        <b/>
        <sz val="12"/>
        <color theme="1"/>
        <rFont val="游ゴシック"/>
        <family val="3"/>
        <charset val="128"/>
        <scheme val="minor"/>
      </rPr>
      <t>「参考値」</t>
    </r>
    <r>
      <rPr>
        <sz val="12"/>
        <color theme="1"/>
        <rFont val="游ゴシック"/>
        <family val="3"/>
        <charset val="128"/>
        <scheme val="minor"/>
      </rPr>
      <t>は、</t>
    </r>
    <r>
      <rPr>
        <b/>
        <sz val="12"/>
        <color theme="1"/>
        <rFont val="游ゴシック"/>
        <family val="3"/>
        <charset val="128"/>
        <scheme val="minor"/>
      </rPr>
      <t xml:space="preserve">
［入力シート］（２）の選択条件に基づき表示</t>
    </r>
    <r>
      <rPr>
        <sz val="12"/>
        <color theme="1"/>
        <rFont val="游ゴシック"/>
        <family val="3"/>
        <charset val="128"/>
        <scheme val="minor"/>
      </rPr>
      <t>されています。</t>
    </r>
    <r>
      <rPr>
        <b/>
        <sz val="12"/>
        <color theme="1"/>
        <rFont val="游ゴシック"/>
        <family val="3"/>
        <charset val="128"/>
        <scheme val="minor"/>
      </rPr>
      <t xml:space="preserve">
選択された条件は、上記項目の通りです。</t>
    </r>
    <rPh sb="0" eb="1">
      <t xml:space="preserve">ホンシート </t>
    </rPh>
    <rPh sb="5" eb="7">
      <t xml:space="preserve">ヒョウジ </t>
    </rPh>
    <rPh sb="11" eb="14">
      <t xml:space="preserve">サンコウチ </t>
    </rPh>
    <rPh sb="26" eb="27">
      <t xml:space="preserve">ジョウキセンタクジョウケンノ </t>
    </rPh>
    <rPh sb="29" eb="30">
      <t>モトヅキ</t>
    </rPh>
    <rPh sb="32" eb="34">
      <t>ヒョウ</t>
    </rPh>
    <rPh sb="40" eb="44">
      <t>センタク</t>
    </rPh>
    <rPh sb="48" eb="50">
      <t>ジョウキ</t>
    </rPh>
    <rPh sb="50" eb="53">
      <t>コウモク</t>
    </rPh>
    <rPh sb="54" eb="55">
      <t>トオリ</t>
    </rPh>
    <phoneticPr fontId="3"/>
  </si>
  <si>
    <t xml:space="preserve"> (4)エラーを確認してください。</t>
    <phoneticPr fontId="3"/>
  </si>
  <si>
    <r>
      <rPr>
        <sz val="12"/>
        <rFont val="游ゴシック"/>
        <family val="3"/>
        <charset val="128"/>
        <scheme val="minor"/>
      </rPr>
      <t>「男女間賃金差異分析ツール（以下「本ツール」）」は、自社の男女間賃金差異をはじめとする労務管理の基本データを、同業種・同従業員規模の企業平均データ(参考値※)と比較することで、自社の女性活躍に関する強みや課題を明らかにすることができます。</t>
    </r>
    <r>
      <rPr>
        <sz val="13"/>
        <rFont val="游ゴシック"/>
        <family val="3"/>
        <charset val="128"/>
        <scheme val="minor"/>
      </rPr>
      <t xml:space="preserve">
</t>
    </r>
    <r>
      <rPr>
        <sz val="10"/>
        <rFont val="游ゴシック"/>
        <family val="3"/>
        <charset val="128"/>
        <scheme val="minor"/>
      </rPr>
      <t>　※厚生労働省「令和５年度賃金構造基本統計調査」「令和５年度雇用動向調査」を基にした産業分類や企業規模、または産業分類×企業規模ごと
　　の平均値のこと。賃金平均値は「賃金構造基本統計調査」の「所定内給与額」「昨年１年間の賞与、期末手当等特別給与額」「超過労働給与
　　額」を基に集計したもの。</t>
    </r>
    <rPh sb="243" eb="244">
      <t>ガク</t>
    </rPh>
    <phoneticPr fontId="3"/>
  </si>
  <si>
    <t>(2)で比較する参考値（産業分類と企業規模）を選択してください。
(4)に入力不備があります。</t>
    <phoneticPr fontId="3"/>
  </si>
  <si>
    <t>※(3)で『自社で計算したデータを手入力する』を選択した項目の内、
　未入力（空白）の項目は、"0"として集計されます。
　また、桁区切りの「,」や「、」は使用できません。
※(2)が未選択（空白）の場合、参考値は『産業大分類計』
　又は『企業規模計（10人以上）』で集計された値が表示されます。</t>
    <phoneticPr fontId="3"/>
  </si>
  <si>
    <t>(4)に入力不備があります。</t>
    <phoneticPr fontId="3"/>
  </si>
  <si>
    <t>が空白です。</t>
    <phoneticPr fontId="3"/>
  </si>
  <si>
    <t>入社年月日に「基準日」の翌日以降の日付が入力されています。</t>
    <phoneticPr fontId="3"/>
  </si>
  <si>
    <t>入社年月日に数値以外（又は1900/1/1以前の日付）が入力されています。</t>
    <phoneticPr fontId="3"/>
  </si>
  <si>
    <t>に、［入力シート］(4)「貴社」欄と異なる文言が入力されています。</t>
    <phoneticPr fontId="3"/>
  </si>
  <si>
    <t>従業員情報</t>
    <rPh sb="0" eb="5">
      <t>ジュウギョウインジョウホウ</t>
    </rPh>
    <phoneticPr fontId="3"/>
  </si>
  <si>
    <t>従業員番号が空白です。</t>
    <phoneticPr fontId="3"/>
  </si>
  <si>
    <t>この従業員番号は、［従業員情報（給与以外）］に存在しません。</t>
    <phoneticPr fontId="3"/>
  </si>
  <si>
    <t>に数値以外が入力されています。</t>
    <phoneticPr fontId="3"/>
  </si>
  <si>
    <t>「残業時間」を分単位で入力した場合、小数点以下の値は0.6未満にしてください。</t>
    <phoneticPr fontId="3"/>
  </si>
  <si>
    <t>給与情報</t>
    <rPh sb="0" eb="4">
      <t>キュウヨジョウホウ</t>
    </rPh>
    <phoneticPr fontId="3"/>
  </si>
  <si>
    <t>面積比</t>
    <rPh sb="0" eb="3">
      <t>メンセキヒ</t>
    </rPh>
    <phoneticPr fontId="3"/>
  </si>
  <si>
    <t>貴社A</t>
    <rPh sb="0" eb="2">
      <t>キシャ</t>
    </rPh>
    <phoneticPr fontId="3"/>
  </si>
  <si>
    <t>参考値A</t>
    <rPh sb="0" eb="2">
      <t>サンコウ</t>
    </rPh>
    <rPh sb="2" eb="3">
      <t>アタイ</t>
    </rPh>
    <phoneticPr fontId="3"/>
  </si>
  <si>
    <t>貴社(正規)A</t>
    <rPh sb="0" eb="2">
      <t>キシャ</t>
    </rPh>
    <rPh sb="3" eb="5">
      <t>セイキ</t>
    </rPh>
    <phoneticPr fontId="3"/>
  </si>
  <si>
    <t>参考値(正規)A</t>
    <rPh sb="0" eb="2">
      <t>サンコウ</t>
    </rPh>
    <rPh sb="2" eb="3">
      <t>アタイ</t>
    </rPh>
    <phoneticPr fontId="3"/>
  </si>
  <si>
    <t>貴社(非正規)A</t>
    <rPh sb="0" eb="2">
      <t>キシャ</t>
    </rPh>
    <rPh sb="3" eb="4">
      <t>ヒ</t>
    </rPh>
    <rPh sb="4" eb="6">
      <t>セイキ</t>
    </rPh>
    <phoneticPr fontId="3"/>
  </si>
  <si>
    <t>参考値(非正規)A</t>
    <rPh sb="0" eb="2">
      <t>サンコウ</t>
    </rPh>
    <rPh sb="2" eb="3">
      <t>アタイ</t>
    </rPh>
    <rPh sb="4" eb="5">
      <t>ヒ</t>
    </rPh>
    <phoneticPr fontId="3"/>
  </si>
  <si>
    <t>問題なければ、シート［従業員情報（給与以外）］へ移動して、
貴社の従業員情報を入力又は貼付してください。
※(3)入力方法で『自社で計算したデータを手入力する』を選択した項目
　の内、未入力（空白）の項目については、"0"として集計されます。</t>
    <rPh sb="0" eb="2">
      <t>モンダイ</t>
    </rPh>
    <rPh sb="56" eb="60">
      <t>ニュウリョク</t>
    </rPh>
    <rPh sb="80" eb="82">
      <t>センタク</t>
    </rPh>
    <phoneticPr fontId="3"/>
  </si>
  <si>
    <t>この従業員番号は、すでに他のセルで使用されています。</t>
    <rPh sb="17" eb="19">
      <t>シヨウ</t>
    </rPh>
    <phoneticPr fontId="3"/>
  </si>
  <si>
    <t>※「従業員番号」：同じ従業員は同一番号で入力してください。
　(本シートとシート［従業員の給与情報］ともに）
（例：従業員Aの番号が「0001」の場合、上記２枚のシートで共に「0001」と入力します。）</t>
    <rPh sb="31" eb="32">
      <t>ホンシ-</t>
    </rPh>
    <rPh sb="62" eb="64">
      <t>バンゴウ</t>
    </rPh>
    <rPh sb="85" eb="86">
      <t>トモ</t>
    </rPh>
    <phoneticPr fontId="3"/>
  </si>
  <si>
    <t xml:space="preserve">男 性
</t>
    <phoneticPr fontId="3"/>
  </si>
  <si>
    <t xml:space="preserve">嘱託
</t>
    <phoneticPr fontId="3"/>
  </si>
  <si>
    <t>［入力シート］の入力が完了していません。</t>
    <phoneticPr fontId="3"/>
  </si>
  <si>
    <t>このシートには情報を入力する必要はありません。</t>
    <phoneticPr fontId="3"/>
  </si>
  <si>
    <t>X502</t>
    <phoneticPr fontId="3"/>
  </si>
  <si>
    <t>［従業員情報（給与以外）］の入力が完了していません。</t>
    <phoneticPr fontId="3"/>
  </si>
  <si>
    <t>エラー有(着手後)</t>
    <rPh sb="3" eb="4">
      <t>アリ</t>
    </rPh>
    <rPh sb="5" eb="8">
      <t>チャクシュゴ</t>
    </rPh>
    <phoneticPr fontId="3"/>
  </si>
  <si>
    <t>エラー有(着手前)</t>
    <rPh sb="3" eb="4">
      <t>アリ</t>
    </rPh>
    <rPh sb="5" eb="7">
      <t>チャクシュ</t>
    </rPh>
    <rPh sb="7" eb="8">
      <t>マエ</t>
    </rPh>
    <phoneticPr fontId="3"/>
  </si>
  <si>
    <t>正社員</t>
    <rPh sb="0" eb="3">
      <t>セイシャイン</t>
    </rPh>
    <phoneticPr fontId="3"/>
  </si>
  <si>
    <t>パート</t>
    <phoneticPr fontId="3"/>
  </si>
  <si>
    <t>嘱託</t>
    <rPh sb="0" eb="2">
      <t>ショクタク</t>
    </rPh>
    <phoneticPr fontId="3"/>
  </si>
  <si>
    <t>部長</t>
    <rPh sb="0" eb="2">
      <t>ブチョウ</t>
    </rPh>
    <phoneticPr fontId="3"/>
  </si>
  <si>
    <t>次長</t>
    <rPh sb="0" eb="2">
      <t>ジチョウ</t>
    </rPh>
    <phoneticPr fontId="3"/>
  </si>
  <si>
    <t>課長</t>
    <rPh sb="0" eb="2">
      <t>カチョウ</t>
    </rPh>
    <phoneticPr fontId="3"/>
  </si>
  <si>
    <t>男性</t>
    <rPh sb="0" eb="2">
      <t>ダンセイ</t>
    </rPh>
    <phoneticPr fontId="3"/>
  </si>
  <si>
    <t>女性</t>
    <rPh sb="0" eb="2">
      <t>ジョセイ</t>
    </rPh>
    <phoneticPr fontId="3"/>
  </si>
  <si>
    <t>X503</t>
  </si>
  <si>
    <t>X504</t>
  </si>
  <si>
    <t>X505</t>
  </si>
  <si>
    <t>X506</t>
  </si>
  <si>
    <t>X507</t>
  </si>
  <si>
    <t>X508</t>
  </si>
  <si>
    <t>X509</t>
  </si>
  <si>
    <t>X510</t>
  </si>
  <si>
    <t>X511</t>
  </si>
  <si>
    <t>X512</t>
  </si>
  <si>
    <t>X513</t>
  </si>
  <si>
    <t>X514</t>
  </si>
  <si>
    <t>X515</t>
  </si>
  <si>
    <t>X516</t>
  </si>
  <si>
    <t>X517</t>
  </si>
  <si>
    <t>X518</t>
  </si>
  <si>
    <t>X519</t>
  </si>
  <si>
    <t>X520</t>
  </si>
  <si>
    <t>X521</t>
  </si>
  <si>
    <t>X522</t>
  </si>
  <si>
    <t>X523</t>
  </si>
  <si>
    <t>X524</t>
  </si>
  <si>
    <t>X525</t>
  </si>
  <si>
    <t>X526</t>
  </si>
  <si>
    <t>X527</t>
  </si>
  <si>
    <t>X528</t>
  </si>
  <si>
    <t>X529</t>
  </si>
  <si>
    <t>X530</t>
  </si>
  <si>
    <t>X531</t>
  </si>
  <si>
    <t>X532</t>
  </si>
  <si>
    <t>X533</t>
  </si>
  <si>
    <t>X534</t>
  </si>
  <si>
    <t>X535</t>
  </si>
  <si>
    <t>X536</t>
  </si>
  <si>
    <t>X537</t>
  </si>
  <si>
    <t>X538</t>
  </si>
  <si>
    <t>X539</t>
  </si>
  <si>
    <t>X540</t>
  </si>
  <si>
    <t>X541</t>
  </si>
  <si>
    <t>X542</t>
  </si>
  <si>
    <t>X543</t>
  </si>
  <si>
    <t>X544</t>
  </si>
  <si>
    <t>X545</t>
  </si>
  <si>
    <t>X546</t>
  </si>
  <si>
    <t>X547</t>
  </si>
  <si>
    <t>X548</t>
  </si>
  <si>
    <t>X549</t>
  </si>
  <si>
    <t>X550</t>
  </si>
  <si>
    <t>X551</t>
  </si>
  <si>
    <t>X552</t>
  </si>
  <si>
    <t>X553</t>
  </si>
  <si>
    <t>X554</t>
  </si>
  <si>
    <t>X555</t>
  </si>
  <si>
    <t>X556</t>
  </si>
  <si>
    <t>X557</t>
  </si>
  <si>
    <t>X558</t>
  </si>
  <si>
    <t>X559</t>
  </si>
  <si>
    <t>X560</t>
  </si>
  <si>
    <t>X561</t>
  </si>
  <si>
    <t>X562</t>
  </si>
  <si>
    <t>X563</t>
  </si>
  <si>
    <t>X564</t>
  </si>
  <si>
    <t>X565</t>
  </si>
  <si>
    <t>X566</t>
  </si>
  <si>
    <t>X567</t>
  </si>
  <si>
    <t>X568</t>
  </si>
  <si>
    <t>X569</t>
  </si>
  <si>
    <t>X570</t>
  </si>
  <si>
    <t>X571</t>
  </si>
  <si>
    <t>X572</t>
  </si>
  <si>
    <t>X573</t>
  </si>
  <si>
    <t>X574</t>
  </si>
  <si>
    <t>X575</t>
  </si>
  <si>
    <t>X576</t>
  </si>
  <si>
    <t>X577</t>
  </si>
  <si>
    <t>X578</t>
  </si>
  <si>
    <t>X579</t>
  </si>
  <si>
    <t>X580</t>
  </si>
  <si>
    <t>X581</t>
  </si>
  <si>
    <t>X582</t>
  </si>
  <si>
    <t>X583</t>
  </si>
  <si>
    <t>X584</t>
  </si>
  <si>
    <t>X585</t>
  </si>
  <si>
    <t>X586</t>
  </si>
  <si>
    <t>X587</t>
  </si>
  <si>
    <t>X588</t>
  </si>
  <si>
    <t>X589</t>
  </si>
  <si>
    <t>X590</t>
  </si>
  <si>
    <t>X591</t>
  </si>
  <si>
    <t>X592</t>
  </si>
  <si>
    <t>X593</t>
  </si>
  <si>
    <t>X594</t>
  </si>
  <si>
    <t>X595</t>
  </si>
  <si>
    <t>X596</t>
  </si>
  <si>
    <t>X597</t>
  </si>
  <si>
    <t>X598</t>
  </si>
  <si>
    <t>X599</t>
  </si>
  <si>
    <t>X600</t>
  </si>
  <si>
    <t>X601</t>
  </si>
  <si>
    <t>X602</t>
  </si>
  <si>
    <t>X603</t>
  </si>
  <si>
    <t>X604</t>
  </si>
  <si>
    <t>X605</t>
  </si>
  <si>
    <t>X606</t>
  </si>
  <si>
    <t>X607</t>
  </si>
  <si>
    <t>X608</t>
  </si>
  <si>
    <t>X609</t>
  </si>
  <si>
    <t>X610</t>
  </si>
  <si>
    <t>X611</t>
  </si>
  <si>
    <t>X612</t>
  </si>
  <si>
    <t>X613</t>
  </si>
  <si>
    <t>X614</t>
  </si>
  <si>
    <t>X615</t>
  </si>
  <si>
    <t>X616</t>
  </si>
  <si>
    <t>X617</t>
  </si>
  <si>
    <t>X618</t>
  </si>
  <si>
    <t>X619</t>
  </si>
  <si>
    <t>X620</t>
  </si>
  <si>
    <t>X621</t>
  </si>
  <si>
    <t>X622</t>
  </si>
  <si>
    <t>X623</t>
  </si>
  <si>
    <t>X624</t>
  </si>
  <si>
    <t>X625</t>
  </si>
  <si>
    <t>X626</t>
  </si>
  <si>
    <t>X627</t>
  </si>
  <si>
    <t>X628</t>
  </si>
  <si>
    <t>X629</t>
  </si>
  <si>
    <t>X630</t>
  </si>
  <si>
    <t>X631</t>
  </si>
  <si>
    <t>X632</t>
  </si>
  <si>
    <t>X633</t>
  </si>
  <si>
    <t>X634</t>
  </si>
  <si>
    <t>X635</t>
  </si>
  <si>
    <t>X636</t>
  </si>
  <si>
    <t>X637</t>
  </si>
  <si>
    <t>X638</t>
  </si>
  <si>
    <t>X639</t>
  </si>
  <si>
    <t>X640</t>
  </si>
  <si>
    <t>X641</t>
  </si>
  <si>
    <t>X642</t>
  </si>
  <si>
    <t>X643</t>
  </si>
  <si>
    <t>X644</t>
  </si>
  <si>
    <t>X645</t>
  </si>
  <si>
    <t>X646</t>
  </si>
  <si>
    <t>X647</t>
  </si>
  <si>
    <t>X648</t>
  </si>
  <si>
    <t>X649</t>
  </si>
  <si>
    <t>X650</t>
  </si>
  <si>
    <t>X651</t>
  </si>
  <si>
    <t>X652</t>
  </si>
  <si>
    <t>X653</t>
  </si>
  <si>
    <t>X654</t>
  </si>
  <si>
    <t>X655</t>
  </si>
  <si>
    <t>X656</t>
  </si>
  <si>
    <t>X657</t>
  </si>
  <si>
    <t>X658</t>
  </si>
  <si>
    <t>X659</t>
  </si>
  <si>
    <t>X660</t>
  </si>
  <si>
    <t>X661</t>
  </si>
  <si>
    <t>X662</t>
  </si>
  <si>
    <t>X663</t>
  </si>
  <si>
    <t>X664</t>
  </si>
  <si>
    <t>X665</t>
  </si>
  <si>
    <t>X666</t>
  </si>
  <si>
    <t>X667</t>
  </si>
  <si>
    <t>X668</t>
  </si>
  <si>
    <t>X669</t>
  </si>
  <si>
    <t>X670</t>
  </si>
  <si>
    <t>X671</t>
  </si>
  <si>
    <t>X672</t>
  </si>
  <si>
    <t>X673</t>
  </si>
  <si>
    <t>X674</t>
  </si>
  <si>
    <t>X675</t>
  </si>
  <si>
    <t>X676</t>
  </si>
  <si>
    <t>X677</t>
  </si>
  <si>
    <t>X678</t>
  </si>
  <si>
    <t>X679</t>
  </si>
  <si>
    <t>X680</t>
  </si>
  <si>
    <t>X681</t>
  </si>
  <si>
    <t>X682</t>
  </si>
  <si>
    <t>X683</t>
  </si>
  <si>
    <t>X684</t>
  </si>
  <si>
    <t>X685</t>
  </si>
  <si>
    <t>X686</t>
  </si>
  <si>
    <t>X687</t>
  </si>
  <si>
    <t>X688</t>
  </si>
  <si>
    <t>X689</t>
  </si>
  <si>
    <t>X690</t>
  </si>
  <si>
    <t>X691</t>
  </si>
  <si>
    <t>X692</t>
  </si>
  <si>
    <t>X693</t>
  </si>
  <si>
    <t>X694</t>
  </si>
  <si>
    <t>X695</t>
  </si>
  <si>
    <t>X696</t>
  </si>
  <si>
    <t>X697</t>
  </si>
  <si>
    <t>X698</t>
  </si>
  <si>
    <t>X699</t>
  </si>
  <si>
    <t>X700</t>
  </si>
  <si>
    <t>X701</t>
  </si>
  <si>
    <t>X702</t>
  </si>
  <si>
    <t>X703</t>
  </si>
  <si>
    <t>X704</t>
  </si>
  <si>
    <t>X705</t>
  </si>
  <si>
    <t>X706</t>
  </si>
  <si>
    <t>X707</t>
  </si>
  <si>
    <t>X708</t>
  </si>
  <si>
    <t>X709</t>
  </si>
  <si>
    <t>X710</t>
  </si>
  <si>
    <t>X711</t>
  </si>
  <si>
    <t>X712</t>
  </si>
  <si>
    <t>X713</t>
  </si>
  <si>
    <t>X714</t>
  </si>
  <si>
    <t>X715</t>
  </si>
  <si>
    <t>X716</t>
  </si>
  <si>
    <t>X717</t>
  </si>
  <si>
    <t>X718</t>
  </si>
  <si>
    <t>X719</t>
  </si>
  <si>
    <t>X720</t>
  </si>
  <si>
    <t>X721</t>
  </si>
  <si>
    <t>X722</t>
  </si>
  <si>
    <t>X723</t>
  </si>
  <si>
    <t>X724</t>
  </si>
  <si>
    <t>X725</t>
  </si>
  <si>
    <t>X726</t>
  </si>
  <si>
    <t>X727</t>
  </si>
  <si>
    <t>X728</t>
  </si>
  <si>
    <t>X729</t>
  </si>
  <si>
    <t>X730</t>
  </si>
  <si>
    <t>X731</t>
  </si>
  <si>
    <t>X732</t>
  </si>
  <si>
    <t>X733</t>
  </si>
  <si>
    <t>X734</t>
  </si>
  <si>
    <t>X735</t>
  </si>
  <si>
    <t>X736</t>
  </si>
  <si>
    <t>X737</t>
  </si>
  <si>
    <t>X738</t>
  </si>
  <si>
    <t>X739</t>
  </si>
  <si>
    <t>X740</t>
  </si>
  <si>
    <t>X741</t>
  </si>
  <si>
    <t>X742</t>
  </si>
  <si>
    <t>X743</t>
  </si>
  <si>
    <t>X744</t>
  </si>
  <si>
    <t>X745</t>
  </si>
  <si>
    <t>X746</t>
  </si>
  <si>
    <t>X747</t>
  </si>
  <si>
    <t>X748</t>
  </si>
  <si>
    <t>X749</t>
  </si>
  <si>
    <t>X750</t>
  </si>
  <si>
    <t>X751</t>
  </si>
  <si>
    <t>X752</t>
  </si>
  <si>
    <t>X753</t>
  </si>
  <si>
    <t>X754</t>
  </si>
  <si>
    <t>X755</t>
  </si>
  <si>
    <t>X756</t>
  </si>
  <si>
    <t>X757</t>
  </si>
  <si>
    <t>X758</t>
  </si>
  <si>
    <t>X759</t>
  </si>
  <si>
    <t>X760</t>
  </si>
  <si>
    <t>X761</t>
  </si>
  <si>
    <t>X762</t>
  </si>
  <si>
    <t>X763</t>
  </si>
  <si>
    <t>X764</t>
  </si>
  <si>
    <t>X765</t>
  </si>
  <si>
    <t>X766</t>
  </si>
  <si>
    <t>X767</t>
  </si>
  <si>
    <t>X768</t>
  </si>
  <si>
    <t>X769</t>
  </si>
  <si>
    <t>X770</t>
  </si>
  <si>
    <t>X771</t>
  </si>
  <si>
    <t>X772</t>
  </si>
  <si>
    <t>X773</t>
  </si>
  <si>
    <t>X774</t>
  </si>
  <si>
    <t>X775</t>
  </si>
  <si>
    <t>X776</t>
  </si>
  <si>
    <t>X777</t>
  </si>
  <si>
    <t>X778</t>
  </si>
  <si>
    <t>X779</t>
  </si>
  <si>
    <t>X780</t>
  </si>
  <si>
    <t>X781</t>
  </si>
  <si>
    <t>X782</t>
  </si>
  <si>
    <t>X783</t>
  </si>
  <si>
    <t>X784</t>
  </si>
  <si>
    <t>X785</t>
  </si>
  <si>
    <t>X786</t>
  </si>
  <si>
    <t>X787</t>
  </si>
  <si>
    <t>X788</t>
  </si>
  <si>
    <t>X789</t>
  </si>
  <si>
    <t>X790</t>
  </si>
  <si>
    <t>X791</t>
  </si>
  <si>
    <t>X792</t>
  </si>
  <si>
    <t>X793</t>
  </si>
  <si>
    <t>X794</t>
  </si>
  <si>
    <t>X795</t>
  </si>
  <si>
    <t>X796</t>
  </si>
  <si>
    <t>X797</t>
  </si>
  <si>
    <t>X798</t>
  </si>
  <si>
    <t>X799</t>
  </si>
  <si>
    <t>X800</t>
  </si>
  <si>
    <t>X801</t>
  </si>
  <si>
    <t>X802</t>
  </si>
  <si>
    <t>X803</t>
  </si>
  <si>
    <t>X804</t>
  </si>
  <si>
    <t>X805</t>
  </si>
  <si>
    <t>X806</t>
  </si>
  <si>
    <t>X807</t>
  </si>
  <si>
    <t>X808</t>
  </si>
  <si>
    <t>X809</t>
  </si>
  <si>
    <t>X810</t>
  </si>
  <si>
    <t>X811</t>
  </si>
  <si>
    <t>X812</t>
  </si>
  <si>
    <t>X813</t>
  </si>
  <si>
    <t>X814</t>
  </si>
  <si>
    <t>X815</t>
  </si>
  <si>
    <t>X816</t>
  </si>
  <si>
    <t>X817</t>
  </si>
  <si>
    <t>X818</t>
  </si>
  <si>
    <t>X819</t>
  </si>
  <si>
    <t>X820</t>
  </si>
  <si>
    <t>X821</t>
  </si>
  <si>
    <t>X822</t>
  </si>
  <si>
    <t>X823</t>
  </si>
  <si>
    <t>X824</t>
  </si>
  <si>
    <t>X825</t>
  </si>
  <si>
    <t>X826</t>
  </si>
  <si>
    <t>X827</t>
  </si>
  <si>
    <t>X828</t>
  </si>
  <si>
    <t>X829</t>
  </si>
  <si>
    <t>X830</t>
  </si>
  <si>
    <t>X831</t>
  </si>
  <si>
    <t>X832</t>
  </si>
  <si>
    <t>X833</t>
  </si>
  <si>
    <t>X834</t>
  </si>
  <si>
    <t>X835</t>
  </si>
  <si>
    <t>X836</t>
  </si>
  <si>
    <t>X837</t>
  </si>
  <si>
    <t>X838</t>
  </si>
  <si>
    <t>X839</t>
  </si>
  <si>
    <t>X840</t>
  </si>
  <si>
    <t>X841</t>
  </si>
  <si>
    <t>X842</t>
  </si>
  <si>
    <t>X843</t>
  </si>
  <si>
    <t>X844</t>
  </si>
  <si>
    <t>X845</t>
  </si>
  <si>
    <t>X846</t>
  </si>
  <si>
    <t>X847</t>
  </si>
  <si>
    <t>X848</t>
  </si>
  <si>
    <t>X849</t>
  </si>
  <si>
    <t>X850</t>
  </si>
  <si>
    <t>X851</t>
  </si>
  <si>
    <t>X852</t>
  </si>
  <si>
    <t>X853</t>
  </si>
  <si>
    <t>X854</t>
  </si>
  <si>
    <t>X855</t>
  </si>
  <si>
    <t>X856</t>
  </si>
  <si>
    <t>X857</t>
  </si>
  <si>
    <t>X858</t>
  </si>
  <si>
    <t>X859</t>
  </si>
  <si>
    <t>X860</t>
  </si>
  <si>
    <t>X861</t>
  </si>
  <si>
    <t>X862</t>
  </si>
  <si>
    <t>X863</t>
  </si>
  <si>
    <t>X864</t>
  </si>
  <si>
    <t>X865</t>
  </si>
  <si>
    <t>X866</t>
  </si>
  <si>
    <t>X867</t>
  </si>
  <si>
    <t>X868</t>
  </si>
  <si>
    <t>X869</t>
  </si>
  <si>
    <t>X870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</si>
</sst>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_);[Red]\(#,##0\)"/>
    <numFmt numFmtId="177" formatCode="#,##0_ "/>
    <numFmt numFmtId="178" formatCode="#,##0.00_);[Red]\(#,##0.00\)"/>
    <numFmt numFmtId="179" formatCode="0.0%"/>
    <numFmt numFmtId="180" formatCode="#,##0.0_ "/>
    <numFmt numFmtId="181" formatCode="#,##0.00_ "/>
    <numFmt numFmtId="182" formatCode="0_ "/>
    <numFmt numFmtId="183" formatCode="0.00&quot;倍&quot;"/>
    <numFmt numFmtId="184" formatCode="0.000_ "/>
    <numFmt numFmtId="185" formatCode="0.00_ "/>
    <numFmt numFmtId="186" formatCode="0.000%"/>
    <numFmt numFmtId="187" formatCode="#,##0&quot;人&quot;"/>
    <numFmt numFmtId="188" formatCode="#,##0.0&quot;年&quot;"/>
    <numFmt numFmtId="189" formatCode="#,##0.0&quot;h&quot;"/>
    <numFmt numFmtId="190" formatCode="##,##0.00"/>
    <numFmt numFmtId="191" formatCode="#,##0.0"/>
    <numFmt numFmtId="192" formatCode="#,##0.0_);[Red]\(#,##0.0\)"/>
    <numFmt numFmtId="193" formatCode="###,##0.0;&quot;-&quot;##,##0.0"/>
    <numFmt numFmtId="194" formatCode="h:mm;@"/>
    <numFmt numFmtId="195" formatCode="0.0_ "/>
    <numFmt numFmtId="196" formatCode="##,##0&quot;人&quot;\ "/>
    <numFmt numFmtId="197" formatCode="0.0_);[Red]\(0.0\)"/>
  </numFmts>
  <fonts count="113">
    <font>
      <sz val="12"/>
      <color theme="1"/>
      <name val="游ゴシック"/>
      <family val="2"/>
      <charset val="128"/>
      <scheme val="minor"/>
    </font>
    <font>
      <b/>
      <sz val="15"/>
      <color theme="3"/>
      <name val="游ゴシック"/>
      <family val="2"/>
      <charset val="128"/>
      <scheme val="minor"/>
    </font>
    <font>
      <sz val="11"/>
      <name val="ＭＳ Ｐゴシック"/>
      <family val="3"/>
      <charset val="128"/>
    </font>
    <font>
      <sz val="6"/>
      <name val="游ゴシック"/>
      <family val="2"/>
      <charset val="128"/>
      <scheme val="minor"/>
    </font>
    <font>
      <sz val="6"/>
      <name val="Tsukushi A Round Gothic Bold"/>
      <family val="3"/>
      <charset val="128"/>
    </font>
    <font>
      <b/>
      <sz val="8"/>
      <color theme="1"/>
      <name val="游ゴシック"/>
      <family val="3"/>
      <charset val="128"/>
      <scheme val="minor"/>
    </font>
    <font>
      <sz val="8"/>
      <color theme="1"/>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b/>
      <sz val="18"/>
      <color theme="1"/>
      <name val="游ゴシック"/>
      <family val="3"/>
      <charset val="128"/>
      <scheme val="minor"/>
    </font>
    <font>
      <b/>
      <sz val="14"/>
      <color theme="1"/>
      <name val="游ゴシック"/>
      <family val="3"/>
      <charset val="128"/>
      <scheme val="minor"/>
    </font>
    <font>
      <b/>
      <sz val="24"/>
      <color theme="1"/>
      <name val="游ゴシック"/>
      <family val="3"/>
      <charset val="128"/>
      <scheme val="minor"/>
    </font>
    <font>
      <b/>
      <sz val="16"/>
      <color theme="1"/>
      <name val="游ゴシック"/>
      <family val="3"/>
      <charset val="128"/>
      <scheme val="minor"/>
    </font>
    <font>
      <sz val="10"/>
      <color theme="1"/>
      <name val="游ゴシック"/>
      <family val="3"/>
      <charset val="128"/>
      <scheme val="minor"/>
    </font>
    <font>
      <b/>
      <sz val="12"/>
      <color rgb="FFFF0000"/>
      <name val="游ゴシック"/>
      <family val="3"/>
      <charset val="128"/>
      <scheme val="minor"/>
    </font>
    <font>
      <b/>
      <sz val="13"/>
      <color theme="1"/>
      <name val="游ゴシック"/>
      <family val="3"/>
      <charset val="128"/>
      <scheme val="minor"/>
    </font>
    <font>
      <b/>
      <sz val="12"/>
      <color rgb="FFFF5E8F"/>
      <name val="游ゴシック"/>
      <family val="3"/>
      <charset val="128"/>
      <scheme val="minor"/>
    </font>
    <font>
      <sz val="9"/>
      <color theme="1"/>
      <name val="游ゴシック"/>
      <family val="3"/>
      <charset val="128"/>
      <scheme val="minor"/>
    </font>
    <font>
      <sz val="12"/>
      <color theme="1"/>
      <name val="游ゴシック"/>
      <family val="3"/>
      <charset val="128"/>
      <scheme val="minor"/>
    </font>
    <font>
      <b/>
      <sz val="22"/>
      <color rgb="FFFF0000"/>
      <name val="游ゴシック"/>
      <family val="3"/>
      <charset val="128"/>
      <scheme val="minor"/>
    </font>
    <font>
      <sz val="6"/>
      <color theme="1"/>
      <name val="游ゴシック"/>
      <family val="3"/>
      <charset val="128"/>
      <scheme val="minor"/>
    </font>
    <font>
      <b/>
      <sz val="6"/>
      <color theme="1"/>
      <name val="游ゴシック"/>
      <family val="3"/>
      <charset val="128"/>
      <scheme val="minor"/>
    </font>
    <font>
      <b/>
      <sz val="6"/>
      <color rgb="FFFF0000"/>
      <name val="游ゴシック"/>
      <family val="3"/>
      <charset val="128"/>
      <scheme val="minor"/>
    </font>
    <font>
      <b/>
      <sz val="10"/>
      <color theme="1"/>
      <name val="游ゴシック"/>
      <family val="3"/>
      <charset val="128"/>
      <scheme val="minor"/>
    </font>
    <font>
      <b/>
      <sz val="20"/>
      <color theme="1"/>
      <name val="游ゴシック"/>
      <family val="3"/>
      <charset val="128"/>
      <scheme val="minor"/>
    </font>
    <font>
      <sz val="14"/>
      <color theme="1"/>
      <name val="游ゴシック"/>
      <family val="3"/>
      <charset val="128"/>
      <scheme val="minor"/>
    </font>
    <font>
      <b/>
      <sz val="9"/>
      <color rgb="FFFF0000"/>
      <name val="游ゴシック"/>
      <family val="3"/>
      <charset val="128"/>
      <scheme val="minor"/>
    </font>
    <font>
      <b/>
      <sz val="12"/>
      <color theme="3" tint="0.249977111117893"/>
      <name val="游ゴシック"/>
      <family val="3"/>
      <charset val="128"/>
      <scheme val="minor"/>
    </font>
    <font>
      <sz val="9"/>
      <color theme="1"/>
      <name val="游ゴシック"/>
      <family val="2"/>
      <charset val="128"/>
      <scheme val="minor"/>
    </font>
    <font>
      <sz val="8"/>
      <color theme="1"/>
      <name val="游ゴシック"/>
      <family val="3"/>
      <charset val="128"/>
    </font>
    <font>
      <b/>
      <sz val="9"/>
      <color theme="1"/>
      <name val="游ゴシック"/>
      <family val="3"/>
      <charset val="128"/>
      <scheme val="minor"/>
    </font>
    <font>
      <sz val="14"/>
      <color rgb="FFC00000"/>
      <name val="游ゴシック"/>
      <family val="3"/>
      <charset val="128"/>
      <scheme val="minor"/>
    </font>
    <font>
      <b/>
      <sz val="11"/>
      <color rgb="FF0070C0"/>
      <name val="游ゴシック"/>
      <family val="3"/>
      <charset val="128"/>
      <scheme val="minor"/>
    </font>
    <font>
      <sz val="6"/>
      <name val="ＭＳ 明朝"/>
      <family val="1"/>
      <charset val="128"/>
    </font>
    <font>
      <sz val="12"/>
      <color rgb="FFC00000"/>
      <name val="游ゴシック"/>
      <family val="3"/>
      <charset val="128"/>
      <scheme val="minor"/>
    </font>
    <font>
      <b/>
      <sz val="14"/>
      <color rgb="FFFF0000"/>
      <name val="游ゴシック"/>
      <family val="3"/>
      <charset val="128"/>
      <scheme val="minor"/>
    </font>
    <font>
      <b/>
      <sz val="24"/>
      <color theme="5"/>
      <name val="游ゴシック"/>
      <family val="3"/>
      <charset val="128"/>
      <scheme val="minor"/>
    </font>
    <font>
      <b/>
      <sz val="18"/>
      <color theme="5"/>
      <name val="游ゴシック"/>
      <family val="3"/>
      <charset val="128"/>
      <scheme val="minor"/>
    </font>
    <font>
      <b/>
      <sz val="16"/>
      <color theme="4"/>
      <name val="游ゴシック"/>
      <family val="3"/>
      <charset val="128"/>
      <scheme val="minor"/>
    </font>
    <font>
      <b/>
      <sz val="14"/>
      <color theme="1" tint="0.249977111117893"/>
      <name val="游ゴシック"/>
      <family val="3"/>
      <charset val="128"/>
      <scheme val="minor"/>
    </font>
    <font>
      <b/>
      <sz val="20"/>
      <color theme="3" tint="0.249977111117893"/>
      <name val="游ゴシック"/>
      <family val="3"/>
      <charset val="128"/>
      <scheme val="minor"/>
    </font>
    <font>
      <sz val="20"/>
      <color theme="1"/>
      <name val="游ゴシック"/>
      <family val="3"/>
      <charset val="128"/>
      <scheme val="minor"/>
    </font>
    <font>
      <b/>
      <sz val="16"/>
      <color rgb="FFC00000"/>
      <name val="游ゴシック"/>
      <family val="3"/>
      <charset val="128"/>
      <scheme val="minor"/>
    </font>
    <font>
      <b/>
      <sz val="16"/>
      <color rgb="FF44812A"/>
      <name val="游ゴシック"/>
      <family val="3"/>
      <charset val="128"/>
      <scheme val="minor"/>
    </font>
    <font>
      <b/>
      <sz val="16"/>
      <color theme="8"/>
      <name val="游ゴシック"/>
      <family val="3"/>
      <charset val="128"/>
      <scheme val="minor"/>
    </font>
    <font>
      <b/>
      <u/>
      <sz val="14"/>
      <color rgb="FFC00000"/>
      <name val="游ゴシック"/>
      <family val="3"/>
      <charset val="128"/>
      <scheme val="minor"/>
    </font>
    <font>
      <sz val="11"/>
      <color theme="1"/>
      <name val="游ゴシック"/>
      <family val="3"/>
      <charset val="128"/>
      <scheme val="minor"/>
    </font>
    <font>
      <sz val="13"/>
      <color theme="1"/>
      <name val="游ゴシック"/>
      <family val="3"/>
      <charset val="128"/>
      <scheme val="minor"/>
    </font>
    <font>
      <sz val="14"/>
      <name val="游ゴシック"/>
      <family val="3"/>
      <charset val="128"/>
      <scheme val="minor"/>
    </font>
    <font>
      <sz val="9"/>
      <color theme="1"/>
      <name val="游ゴシック"/>
      <family val="3"/>
      <charset val="128"/>
      <scheme val="minor"/>
    </font>
    <font>
      <sz val="9"/>
      <name val="游ゴシック"/>
      <family val="3"/>
      <charset val="128"/>
      <scheme val="minor"/>
    </font>
    <font>
      <b/>
      <sz val="20"/>
      <color theme="4"/>
      <name val="游ゴシック"/>
      <family val="3"/>
      <charset val="128"/>
      <scheme val="minor"/>
    </font>
    <font>
      <sz val="12"/>
      <name val="游ゴシック"/>
      <family val="3"/>
      <charset val="128"/>
      <scheme val="minor"/>
    </font>
    <font>
      <b/>
      <sz val="7"/>
      <color theme="3"/>
      <name val="游ゴシック"/>
      <family val="3"/>
      <charset val="128"/>
      <scheme val="minor"/>
    </font>
    <font>
      <b/>
      <sz val="9.5"/>
      <color theme="1"/>
      <name val="游ゴシック"/>
      <family val="3"/>
      <charset val="128"/>
      <scheme val="minor"/>
    </font>
    <font>
      <b/>
      <sz val="10"/>
      <name val="游ゴシック"/>
      <family val="3"/>
      <charset val="128"/>
      <scheme val="minor"/>
    </font>
    <font>
      <b/>
      <sz val="9"/>
      <color theme="3"/>
      <name val="游ゴシック"/>
      <family val="3"/>
      <charset val="128"/>
      <scheme val="minor"/>
    </font>
    <font>
      <u/>
      <sz val="12"/>
      <color theme="10"/>
      <name val="游ゴシック"/>
      <family val="2"/>
      <charset val="128"/>
      <scheme val="minor"/>
    </font>
    <font>
      <b/>
      <u/>
      <sz val="14"/>
      <color theme="1"/>
      <name val="游ゴシック"/>
      <family val="3"/>
      <charset val="128"/>
      <scheme val="minor"/>
    </font>
    <font>
      <b/>
      <u/>
      <sz val="12"/>
      <color theme="10"/>
      <name val="游ゴシック"/>
      <family val="3"/>
      <charset val="128"/>
      <scheme val="minor"/>
    </font>
    <font>
      <b/>
      <sz val="14"/>
      <color theme="4"/>
      <name val="游ゴシック"/>
      <family val="3"/>
      <charset val="128"/>
      <scheme val="minor"/>
    </font>
    <font>
      <b/>
      <sz val="11"/>
      <color theme="4"/>
      <name val="游ゴシック"/>
      <family val="3"/>
      <charset val="128"/>
      <scheme val="minor"/>
    </font>
    <font>
      <b/>
      <sz val="9"/>
      <color theme="4"/>
      <name val="游ゴシック"/>
      <family val="3"/>
      <charset val="128"/>
      <scheme val="minor"/>
    </font>
    <font>
      <b/>
      <sz val="14"/>
      <color rgb="FFC00000"/>
      <name val="游ゴシック"/>
      <family val="3"/>
      <charset val="128"/>
      <scheme val="minor"/>
    </font>
    <font>
      <b/>
      <sz val="24"/>
      <color theme="4"/>
      <name val="游ゴシック"/>
      <family val="3"/>
      <charset val="128"/>
      <scheme val="minor"/>
    </font>
    <font>
      <b/>
      <sz val="36"/>
      <color rgb="FFFF0000"/>
      <name val="游ゴシック"/>
      <family val="3"/>
      <charset val="128"/>
      <scheme val="minor"/>
    </font>
    <font>
      <b/>
      <sz val="20"/>
      <color rgb="FFFF0000"/>
      <name val="游ゴシック"/>
      <family val="3"/>
      <charset val="128"/>
      <scheme val="minor"/>
    </font>
    <font>
      <sz val="14"/>
      <color theme="5" tint="-0.249977111117893"/>
      <name val="游ゴシック"/>
      <family val="3"/>
      <charset val="128"/>
      <scheme val="minor"/>
    </font>
    <font>
      <sz val="10"/>
      <color rgb="FFC00000"/>
      <name val="游ゴシック"/>
      <family val="3"/>
      <charset val="128"/>
      <scheme val="minor"/>
    </font>
    <font>
      <b/>
      <sz val="10"/>
      <color rgb="FFFF0000"/>
      <name val="游ゴシック"/>
      <family val="3"/>
      <charset val="128"/>
      <scheme val="minor"/>
    </font>
    <font>
      <sz val="16"/>
      <color theme="1"/>
      <name val="游ゴシック"/>
      <family val="3"/>
      <charset val="128"/>
      <scheme val="minor"/>
    </font>
    <font>
      <sz val="14"/>
      <color rgb="FFFF0000"/>
      <name val="游ゴシック"/>
      <family val="3"/>
      <charset val="128"/>
      <scheme val="minor"/>
    </font>
    <font>
      <sz val="12"/>
      <color theme="4"/>
      <name val="游ゴシック"/>
      <family val="3"/>
      <charset val="128"/>
      <scheme val="minor"/>
    </font>
    <font>
      <b/>
      <sz val="26"/>
      <color theme="4"/>
      <name val="游ゴシック"/>
      <family val="3"/>
      <charset val="128"/>
      <scheme val="minor"/>
    </font>
    <font>
      <sz val="13"/>
      <name val="游ゴシック"/>
      <family val="3"/>
      <charset val="128"/>
      <scheme val="minor"/>
    </font>
    <font>
      <sz val="10"/>
      <name val="游ゴシック"/>
      <family val="3"/>
      <charset val="128"/>
      <scheme val="minor"/>
    </font>
    <font>
      <sz val="12"/>
      <color rgb="FFFF0000"/>
      <name val="游ゴシック"/>
      <family val="3"/>
      <charset val="128"/>
      <scheme val="minor"/>
    </font>
    <font>
      <b/>
      <i/>
      <sz val="16"/>
      <color rgb="FF0B14DA"/>
      <name val="游ゴシック"/>
      <family val="3"/>
      <charset val="128"/>
      <scheme val="minor"/>
    </font>
    <font>
      <b/>
      <sz val="7"/>
      <color rgb="FFC00000"/>
      <name val="游ゴシック"/>
      <family val="3"/>
      <charset val="128"/>
      <scheme val="minor"/>
    </font>
    <font>
      <sz val="9"/>
      <color rgb="FFFF0000"/>
      <name val="游ゴシック"/>
      <family val="3"/>
      <charset val="128"/>
      <scheme val="minor"/>
    </font>
    <font>
      <b/>
      <u/>
      <sz val="11"/>
      <color theme="4"/>
      <name val="游ゴシック"/>
      <family val="3"/>
      <charset val="128"/>
      <scheme val="minor"/>
    </font>
    <font>
      <b/>
      <sz val="10.5"/>
      <color rgb="FF44812A"/>
      <name val="游ゴシック"/>
      <family val="3"/>
      <charset val="128"/>
      <scheme val="minor"/>
    </font>
    <font>
      <b/>
      <sz val="10.5"/>
      <color theme="8"/>
      <name val="游ゴシック"/>
      <family val="3"/>
      <charset val="128"/>
      <scheme val="minor"/>
    </font>
    <font>
      <b/>
      <sz val="11"/>
      <color theme="8"/>
      <name val="游ゴシック"/>
      <family val="3"/>
      <charset val="128"/>
      <scheme val="minor"/>
    </font>
    <font>
      <b/>
      <sz val="11"/>
      <color rgb="FF44812A"/>
      <name val="游ゴシック"/>
      <family val="3"/>
      <charset val="128"/>
      <scheme val="minor"/>
    </font>
    <font>
      <sz val="10.5"/>
      <color theme="1"/>
      <name val="游ゴシック"/>
      <family val="3"/>
      <charset val="128"/>
      <scheme val="minor"/>
    </font>
    <font>
      <u/>
      <sz val="9"/>
      <color rgb="FFFF0D40"/>
      <name val="游ゴシック"/>
      <family val="3"/>
      <charset val="128"/>
      <scheme val="minor"/>
    </font>
    <font>
      <b/>
      <sz val="9"/>
      <color rgb="FFC00000"/>
      <name val="游ゴシック"/>
      <family val="3"/>
      <charset val="128"/>
      <scheme val="minor"/>
    </font>
    <font>
      <b/>
      <u/>
      <sz val="9"/>
      <color theme="4"/>
      <name val="游ゴシック"/>
      <family val="3"/>
      <charset val="128"/>
      <scheme val="minor"/>
    </font>
    <font>
      <sz val="15"/>
      <color theme="1"/>
      <name val="游ゴシック"/>
      <family val="3"/>
      <charset val="128"/>
      <scheme val="minor"/>
    </font>
    <font>
      <b/>
      <u/>
      <sz val="13"/>
      <color theme="1"/>
      <name val="游ゴシック"/>
      <family val="3"/>
      <charset val="128"/>
      <scheme val="minor"/>
    </font>
    <font>
      <sz val="11"/>
      <color theme="4"/>
      <name val="游ゴシック"/>
      <family val="3"/>
      <charset val="128"/>
      <scheme val="minor"/>
    </font>
    <font>
      <b/>
      <sz val="9"/>
      <name val="游ゴシック"/>
      <family val="3"/>
      <charset val="128"/>
      <scheme val="minor"/>
    </font>
    <font>
      <b/>
      <sz val="12"/>
      <name val="游ゴシック"/>
      <family val="3"/>
      <charset val="128"/>
      <scheme val="minor"/>
    </font>
    <font>
      <sz val="9"/>
      <name val="游ゴシック"/>
      <family val="2"/>
      <charset val="128"/>
      <scheme val="minor"/>
    </font>
    <font>
      <sz val="9"/>
      <name val="MS Mincho"/>
      <family val="2"/>
      <charset val="128"/>
    </font>
    <font>
      <sz val="8"/>
      <name val="游ゴシック"/>
      <family val="2"/>
      <charset val="128"/>
      <scheme val="minor"/>
    </font>
    <font>
      <sz val="8"/>
      <name val="游ゴシック"/>
      <family val="3"/>
      <charset val="128"/>
      <scheme val="minor"/>
    </font>
    <font>
      <b/>
      <sz val="12"/>
      <color theme="1"/>
      <name val="ＭＳ Ｐゴシック"/>
      <family val="3"/>
      <charset val="128"/>
    </font>
    <font>
      <sz val="12"/>
      <color theme="1"/>
      <name val="游ゴシック (本文)"/>
      <family val="3"/>
      <charset val="128"/>
    </font>
    <font>
      <b/>
      <sz val="8"/>
      <color theme="1"/>
      <name val="游ゴシック (本文)"/>
      <family val="3"/>
      <charset val="128"/>
    </font>
    <font>
      <b/>
      <sz val="9"/>
      <color theme="1"/>
      <name val="游ゴシック"/>
      <family val="3"/>
    </font>
    <font>
      <b/>
      <sz val="9"/>
      <color theme="1"/>
      <name val="游ゴシック"/>
      <family val="3"/>
      <charset val="128"/>
    </font>
    <font>
      <b/>
      <sz val="9"/>
      <color theme="1"/>
      <name val="游ゴシック (本文)"/>
      <family val="3"/>
      <charset val="128"/>
    </font>
    <font>
      <sz val="9"/>
      <color theme="1"/>
      <name val="游ゴシック (本文)"/>
      <family val="3"/>
      <charset val="128"/>
    </font>
    <font>
      <sz val="9"/>
      <color theme="1"/>
      <name val="游ゴシック"/>
      <family val="3"/>
    </font>
    <font>
      <sz val="9"/>
      <color theme="1"/>
      <name val="游ゴシック"/>
      <family val="3"/>
      <charset val="128"/>
    </font>
    <font>
      <b/>
      <sz val="12"/>
      <color theme="1"/>
      <name val="游ゴシック (本文)"/>
      <family val="3"/>
      <charset val="128"/>
    </font>
    <font>
      <sz val="8"/>
      <color theme="1"/>
      <name val="游ゴシック (本文)"/>
      <family val="3"/>
      <charset val="128"/>
    </font>
    <font>
      <b/>
      <sz val="8"/>
      <color theme="1"/>
      <name val="ＭＳ Ｐゴシック"/>
      <family val="3"/>
      <charset val="128"/>
    </font>
    <font>
      <b/>
      <sz val="11"/>
      <color theme="1"/>
      <name val="ＭＳ Ｐゴシック"/>
      <family val="3"/>
      <charset val="128"/>
    </font>
    <font>
      <sz val="8"/>
      <color theme="1"/>
      <name val="游ゴシック"/>
      <family val="2"/>
      <charset val="128"/>
      <scheme val="minor"/>
    </font>
    <font>
      <b/>
      <sz val="14"/>
      <name val="游ゴシック"/>
      <family val="3"/>
      <charset val="128"/>
      <scheme val="minor"/>
    </font>
  </fonts>
  <fills count="20">
    <fill>
      <patternFill patternType="none"/>
    </fill>
    <fill>
      <patternFill patternType="gray125"/>
    </fill>
    <fill>
      <patternFill patternType="solid">
        <fgColor rgb="FFFCFFCA"/>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theme="3" tint="0.749992370372631"/>
        <bgColor indexed="64"/>
      </patternFill>
    </fill>
    <fill>
      <patternFill patternType="solid">
        <fgColor rgb="FFFCFFBE"/>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BCEFF"/>
        <bgColor indexed="64"/>
      </patternFill>
    </fill>
    <fill>
      <patternFill patternType="solid">
        <fgColor rgb="FFFBEBF0"/>
        <bgColor indexed="64"/>
      </patternFill>
    </fill>
    <fill>
      <patternFill patternType="solid">
        <fgColor rgb="FF83E28E"/>
        <bgColor indexed="64"/>
      </patternFill>
    </fill>
    <fill>
      <patternFill patternType="solid">
        <fgColor rgb="FFC1F0C8"/>
        <bgColor indexed="64"/>
      </patternFill>
    </fill>
    <fill>
      <patternFill patternType="solid">
        <fgColor theme="3" tint="0.89999084444715716"/>
        <bgColor indexed="64"/>
      </patternFill>
    </fill>
    <fill>
      <patternFill patternType="solid">
        <fgColor theme="2"/>
        <bgColor indexed="64"/>
      </patternFill>
    </fill>
    <fill>
      <patternFill patternType="solid">
        <fgColor theme="0" tint="-0.14999847407452621"/>
        <bgColor indexed="64"/>
      </patternFill>
    </fill>
    <fill>
      <patternFill patternType="solid">
        <fgColor rgb="FFEAFFD4"/>
        <bgColor indexed="64"/>
      </patternFill>
    </fill>
  </fills>
  <borders count="29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style="medium">
        <color indexed="64"/>
      </top>
      <bottom/>
      <diagonal/>
    </border>
    <border>
      <left style="double">
        <color indexed="64"/>
      </left>
      <right/>
      <top/>
      <bottom style="medium">
        <color indexed="64"/>
      </bottom>
      <diagonal/>
    </border>
    <border>
      <left/>
      <right style="double">
        <color indexed="64"/>
      </right>
      <top/>
      <bottom/>
      <diagonal/>
    </border>
    <border>
      <left/>
      <right style="double">
        <color indexed="64"/>
      </right>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top/>
      <bottom style="double">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double">
        <color indexed="64"/>
      </left>
      <right/>
      <top/>
      <bottom style="double">
        <color indexed="64"/>
      </bottom>
      <diagonal/>
    </border>
    <border>
      <left/>
      <right style="medium">
        <color indexed="64"/>
      </right>
      <top/>
      <bottom style="double">
        <color indexed="64"/>
      </bottom>
      <diagonal/>
    </border>
    <border>
      <left/>
      <right/>
      <top style="double">
        <color indexed="64"/>
      </top>
      <bottom/>
      <diagonal/>
    </border>
    <border>
      <left style="double">
        <color indexed="64"/>
      </left>
      <right/>
      <top style="double">
        <color indexed="64"/>
      </top>
      <bottom/>
      <diagonal/>
    </border>
    <border>
      <left style="medium">
        <color indexed="64"/>
      </left>
      <right/>
      <top/>
      <bottom style="double">
        <color auto="1"/>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right style="medium">
        <color indexed="64"/>
      </right>
      <top style="double">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diagonal/>
    </border>
    <border>
      <left/>
      <right style="double">
        <color indexed="64"/>
      </right>
      <top style="medium">
        <color indexed="64"/>
      </top>
      <bottom/>
      <diagonal/>
    </border>
    <border>
      <left style="medium">
        <color theme="0" tint="-0.24994659260841701"/>
      </left>
      <right/>
      <top/>
      <bottom/>
      <diagonal/>
    </border>
    <border>
      <left style="medium">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medium">
        <color theme="0" tint="-0.24994659260841701"/>
      </left>
      <right style="thin">
        <color indexed="64"/>
      </right>
      <top/>
      <bottom style="thin">
        <color theme="0" tint="-0.24994659260841701"/>
      </bottom>
      <diagonal/>
    </border>
    <border>
      <left style="thin">
        <color indexed="64"/>
      </left>
      <right style="thin">
        <color indexed="64"/>
      </right>
      <top/>
      <bottom style="thin">
        <color theme="0" tint="-0.24994659260841701"/>
      </bottom>
      <diagonal/>
    </border>
    <border>
      <left style="medium">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bottom style="thin">
        <color theme="0" tint="-0.24994659260841701"/>
      </bottom>
      <diagonal/>
    </border>
    <border>
      <left style="thin">
        <color indexed="64"/>
      </left>
      <right/>
      <top style="thin">
        <color theme="0" tint="-0.24994659260841701"/>
      </top>
      <bottom style="thin">
        <color theme="0" tint="-0.24994659260841701"/>
      </bottom>
      <diagonal/>
    </border>
    <border>
      <left style="medium">
        <color theme="0" tint="-0.24994659260841701"/>
      </left>
      <right/>
      <top/>
      <bottom style="thin">
        <color theme="0" tint="-0.24994659260841701"/>
      </bottom>
      <diagonal/>
    </border>
    <border>
      <left/>
      <right/>
      <top/>
      <bottom style="thin">
        <color theme="0" tint="-0.24994659260841701"/>
      </bottom>
      <diagonal/>
    </border>
    <border>
      <left style="medium">
        <color theme="0" tint="-0.24994659260841701"/>
      </left>
      <right/>
      <top style="thin">
        <color theme="0" tint="-0.24994659260841701"/>
      </top>
      <bottom style="medium">
        <color theme="0" tint="-0.24994659260841701"/>
      </bottom>
      <diagonal/>
    </border>
    <border>
      <left/>
      <right/>
      <top style="thin">
        <color theme="0" tint="-0.24994659260841701"/>
      </top>
      <bottom style="medium">
        <color theme="0" tint="-0.24994659260841701"/>
      </bottom>
      <diagonal/>
    </border>
    <border>
      <left style="double">
        <color theme="0" tint="-0.24994659260841701"/>
      </left>
      <right/>
      <top style="thin">
        <color theme="0" tint="-0.24994659260841701"/>
      </top>
      <bottom style="thin">
        <color theme="0" tint="-0.24994659260841701"/>
      </bottom>
      <diagonal/>
    </border>
    <border>
      <left style="medium">
        <color theme="0" tint="-0.24994659260841701"/>
      </left>
      <right/>
      <top style="thin">
        <color theme="0" tint="-0.24994659260841701"/>
      </top>
      <bottom/>
      <diagonal/>
    </border>
    <border>
      <left/>
      <right/>
      <top style="thin">
        <color theme="0" tint="-0.24994659260841701"/>
      </top>
      <bottom/>
      <diagonal/>
    </border>
    <border>
      <left style="double">
        <color theme="0" tint="-0.24994659260841701"/>
      </left>
      <right/>
      <top style="thin">
        <color theme="0" tint="-0.24994659260841701"/>
      </top>
      <bottom/>
      <diagonal/>
    </border>
    <border>
      <left style="medium">
        <color theme="0" tint="-0.24994659260841701"/>
      </left>
      <right style="thin">
        <color indexed="64"/>
      </right>
      <top style="thin">
        <color theme="0" tint="-0.24994659260841701"/>
      </top>
      <bottom/>
      <diagonal/>
    </border>
    <border>
      <left style="thin">
        <color indexed="64"/>
      </left>
      <right style="thin">
        <color indexed="64"/>
      </right>
      <top style="thin">
        <color theme="0" tint="-0.24994659260841701"/>
      </top>
      <bottom/>
      <diagonal/>
    </border>
    <border>
      <left style="thin">
        <color indexed="64"/>
      </left>
      <right/>
      <top style="thin">
        <color theme="0" tint="-0.24994659260841701"/>
      </top>
      <bottom/>
      <diagonal/>
    </border>
    <border>
      <left style="double">
        <color theme="0" tint="-0.24994659260841701"/>
      </left>
      <right/>
      <top/>
      <bottom style="thin">
        <color theme="0" tint="-0.24994659260841701"/>
      </bottom>
      <diagonal/>
    </border>
    <border>
      <left style="thin">
        <color theme="0" tint="-0.24994659260841701"/>
      </left>
      <right style="thin">
        <color theme="0" tint="-0.24994659260841701"/>
      </right>
      <top style="double">
        <color theme="0" tint="-0.24994659260841701"/>
      </top>
      <bottom style="double">
        <color theme="0" tint="-0.24994659260841701"/>
      </bottom>
      <diagonal/>
    </border>
    <border>
      <left style="thin">
        <color theme="0" tint="-0.24994659260841701"/>
      </left>
      <right style="medium">
        <color theme="0" tint="-0.24994659260841701"/>
      </right>
      <top style="double">
        <color theme="0" tint="-0.24994659260841701"/>
      </top>
      <bottom style="double">
        <color theme="0" tint="-0.24994659260841701"/>
      </bottom>
      <diagonal/>
    </border>
    <border>
      <left style="double">
        <color theme="0" tint="-0.24994659260841701"/>
      </left>
      <right/>
      <top/>
      <bottom style="double">
        <color theme="0" tint="-0.24994659260841701"/>
      </bottom>
      <diagonal/>
    </border>
    <border>
      <left/>
      <right style="thin">
        <color indexed="64"/>
      </right>
      <top/>
      <bottom style="double">
        <color theme="0" tint="-0.24994659260841701"/>
      </bottom>
      <diagonal/>
    </border>
    <border>
      <left style="thin">
        <color theme="0" tint="-0.24994659260841701"/>
      </left>
      <right style="thin">
        <color theme="0" tint="-0.24994659260841701"/>
      </right>
      <top/>
      <bottom style="double">
        <color theme="0" tint="-0.24994659260841701"/>
      </bottom>
      <diagonal/>
    </border>
    <border>
      <left style="thin">
        <color theme="0" tint="-0.24994659260841701"/>
      </left>
      <right style="medium">
        <color theme="0" tint="-0.24994659260841701"/>
      </right>
      <top/>
      <bottom style="double">
        <color theme="0" tint="-0.24994659260841701"/>
      </bottom>
      <diagonal/>
    </border>
    <border>
      <left style="thin">
        <color theme="0" tint="-0.24994659260841701"/>
      </left>
      <right style="thin">
        <color theme="0" tint="-0.24994659260841701"/>
      </right>
      <top style="double">
        <color theme="0" tint="-0.24994659260841701"/>
      </top>
      <bottom style="thin">
        <color theme="0" tint="-0.24994659260841701"/>
      </bottom>
      <diagonal/>
    </border>
    <border>
      <left style="thin">
        <color theme="0" tint="-0.24994659260841701"/>
      </left>
      <right style="medium">
        <color theme="0" tint="-0.24994659260841701"/>
      </right>
      <top style="double">
        <color theme="0" tint="-0.24994659260841701"/>
      </top>
      <bottom style="thin">
        <color theme="0" tint="-0.24994659260841701"/>
      </bottom>
      <diagonal/>
    </border>
    <border>
      <left/>
      <right style="thin">
        <color theme="0" tint="-0.24994659260841701"/>
      </right>
      <top/>
      <bottom style="double">
        <color theme="0" tint="-0.24994659260841701"/>
      </bottom>
      <diagonal/>
    </border>
    <border>
      <left style="thin">
        <color indexed="64"/>
      </left>
      <right style="double">
        <color theme="0" tint="-0.24994659260841701"/>
      </right>
      <top/>
      <bottom style="double">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double">
        <color theme="0" tint="-0.24994659260841701"/>
      </left>
      <right/>
      <top style="thin">
        <color theme="0" tint="-0.24994659260841701"/>
      </top>
      <bottom style="medium">
        <color theme="0" tint="-0.24994659260841701"/>
      </bottom>
      <diagonal/>
    </border>
    <border>
      <left/>
      <right style="thin">
        <color theme="0" tint="-0.24994659260841701"/>
      </right>
      <top style="thin">
        <color theme="0" tint="-0.24994659260841701"/>
      </top>
      <bottom style="medium">
        <color theme="0" tint="-0.24994659260841701"/>
      </bottom>
      <diagonal/>
    </border>
    <border>
      <left style="medium">
        <color theme="0" tint="-0.24994659260841701"/>
      </left>
      <right/>
      <top/>
      <bottom style="double">
        <color theme="0" tint="-0.24994659260841701"/>
      </bottom>
      <diagonal/>
    </border>
    <border>
      <left/>
      <right/>
      <top style="medium">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style="medium">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medium">
        <color theme="0" tint="-0.24994659260841701"/>
      </right>
      <top style="thin">
        <color theme="0" tint="-0.24994659260841701"/>
      </top>
      <bottom/>
      <diagonal/>
    </border>
    <border>
      <left style="medium">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medium">
        <color theme="0" tint="-0.24994659260841701"/>
      </right>
      <top/>
      <bottom style="thin">
        <color theme="0" tint="-0.24994659260841701"/>
      </bottom>
      <diagonal/>
    </border>
    <border>
      <left style="medium">
        <color theme="0" tint="-0.24994659260841701"/>
      </left>
      <right style="thin">
        <color theme="0" tint="-0.24994659260841701"/>
      </right>
      <top style="double">
        <color theme="0" tint="-0.24994659260841701"/>
      </top>
      <bottom style="double">
        <color theme="0" tint="-0.24994659260841701"/>
      </bottom>
      <diagonal/>
    </border>
    <border>
      <left style="medium">
        <color theme="0" tint="-0.24994659260841701"/>
      </left>
      <right style="thin">
        <color theme="0" tint="-0.24994659260841701"/>
      </right>
      <top style="medium">
        <color theme="0" tint="-0.24994659260841701"/>
      </top>
      <bottom style="double">
        <color theme="0" tint="-0.24994659260841701"/>
      </bottom>
      <diagonal/>
    </border>
    <border>
      <left style="thin">
        <color theme="0" tint="-0.24994659260841701"/>
      </left>
      <right style="thin">
        <color theme="0" tint="-0.24994659260841701"/>
      </right>
      <top style="medium">
        <color theme="0" tint="-0.24994659260841701"/>
      </top>
      <bottom style="double">
        <color theme="0" tint="-0.24994659260841701"/>
      </bottom>
      <diagonal/>
    </border>
    <border>
      <left style="thin">
        <color theme="0" tint="-0.24994659260841701"/>
      </left>
      <right style="medium">
        <color theme="0" tint="-0.24994659260841701"/>
      </right>
      <top style="medium">
        <color theme="0" tint="-0.24994659260841701"/>
      </top>
      <bottom style="double">
        <color theme="0" tint="-0.24994659260841701"/>
      </bottom>
      <diagonal/>
    </border>
    <border>
      <left style="medium">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medium">
        <color theme="0" tint="-0.24994659260841701"/>
      </right>
      <top style="thin">
        <color theme="0" tint="-0.24994659260841701"/>
      </top>
      <bottom style="double">
        <color theme="0" tint="-0.24994659260841701"/>
      </bottom>
      <diagonal/>
    </border>
    <border>
      <left style="medium">
        <color theme="0" tint="-0.24994659260841701"/>
      </left>
      <right style="thin">
        <color theme="0" tint="-0.24994659260841701"/>
      </right>
      <top style="double">
        <color theme="0" tint="-0.24994659260841701"/>
      </top>
      <bottom style="thin">
        <color theme="0" tint="-0.24994659260841701"/>
      </bottom>
      <diagonal/>
    </border>
    <border>
      <left style="medium">
        <color theme="0" tint="-0.24994659260841701"/>
      </left>
      <right style="double">
        <color theme="0" tint="-0.24994659260841701"/>
      </right>
      <top style="medium">
        <color theme="0" tint="-0.24994659260841701"/>
      </top>
      <bottom style="thin">
        <color theme="0" tint="-0.24994659260841701"/>
      </bottom>
      <diagonal/>
    </border>
    <border>
      <left style="double">
        <color theme="0" tint="-0.24994659260841701"/>
      </left>
      <right style="double">
        <color theme="0" tint="-0.24994659260841701"/>
      </right>
      <top style="medium">
        <color theme="0" tint="-0.24994659260841701"/>
      </top>
      <bottom style="thin">
        <color theme="0" tint="-0.24994659260841701"/>
      </bottom>
      <diagonal/>
    </border>
    <border>
      <left style="medium">
        <color theme="0" tint="-0.24994659260841701"/>
      </left>
      <right style="double">
        <color theme="0" tint="-0.24994659260841701"/>
      </right>
      <top style="thin">
        <color theme="0" tint="-0.24994659260841701"/>
      </top>
      <bottom style="thin">
        <color theme="0" tint="-0.24994659260841701"/>
      </bottom>
      <diagonal/>
    </border>
    <border>
      <left style="double">
        <color theme="0" tint="-0.24994659260841701"/>
      </left>
      <right style="double">
        <color theme="0" tint="-0.24994659260841701"/>
      </right>
      <top style="thin">
        <color theme="0" tint="-0.24994659260841701"/>
      </top>
      <bottom style="thin">
        <color theme="0" tint="-0.24994659260841701"/>
      </bottom>
      <diagonal/>
    </border>
    <border>
      <left style="medium">
        <color theme="0" tint="-0.24994659260841701"/>
      </left>
      <right style="double">
        <color theme="0" tint="-0.24994659260841701"/>
      </right>
      <top style="thin">
        <color theme="0" tint="-0.24994659260841701"/>
      </top>
      <bottom style="medium">
        <color theme="0" tint="-0.24994659260841701"/>
      </bottom>
      <diagonal/>
    </border>
    <border>
      <left style="double">
        <color theme="0" tint="-0.24994659260841701"/>
      </left>
      <right style="double">
        <color theme="0" tint="-0.24994659260841701"/>
      </right>
      <top style="thin">
        <color theme="0" tint="-0.24994659260841701"/>
      </top>
      <bottom style="medium">
        <color theme="0" tint="-0.24994659260841701"/>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style="double">
        <color theme="0" tint="-0.24994659260841701"/>
      </left>
      <right/>
      <top style="medium">
        <color theme="0" tint="-0.24994659260841701"/>
      </top>
      <bottom style="thin">
        <color theme="0" tint="-0.24994659260841701"/>
      </bottom>
      <diagonal/>
    </border>
    <border>
      <left/>
      <right style="medium">
        <color theme="0" tint="-0.24994659260841701"/>
      </right>
      <top style="medium">
        <color theme="0" tint="-0.24994659260841701"/>
      </top>
      <bottom style="thin">
        <color theme="0" tint="-0.24994659260841701"/>
      </bottom>
      <diagonal/>
    </border>
    <border>
      <left/>
      <right style="medium">
        <color theme="0" tint="-0.24994659260841701"/>
      </right>
      <top style="thin">
        <color theme="0" tint="-0.24994659260841701"/>
      </top>
      <bottom style="thin">
        <color theme="0" tint="-0.24994659260841701"/>
      </bottom>
      <diagonal/>
    </border>
    <border>
      <left/>
      <right style="medium">
        <color theme="0" tint="-0.24994659260841701"/>
      </right>
      <top style="thin">
        <color theme="0" tint="-0.24994659260841701"/>
      </top>
      <bottom style="medium">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double">
        <color theme="0" tint="-0.24994659260841701"/>
      </right>
      <top style="thin">
        <color theme="0" tint="-0.24994659260841701"/>
      </top>
      <bottom style="thin">
        <color theme="0" tint="-0.24994659260841701"/>
      </bottom>
      <diagonal/>
    </border>
    <border>
      <left/>
      <right/>
      <top style="medium">
        <color theme="0" tint="-0.24994659260841701"/>
      </top>
      <bottom/>
      <diagonal/>
    </border>
    <border>
      <left/>
      <right/>
      <top/>
      <bottom style="double">
        <color theme="0" tint="-0.24994659260841701"/>
      </bottom>
      <diagonal/>
    </border>
    <border>
      <left style="medium">
        <color theme="0" tint="-0.24994659260841701"/>
      </left>
      <right/>
      <top style="double">
        <color theme="0" tint="-0.24994659260841701"/>
      </top>
      <bottom style="thin">
        <color theme="0" tint="-0.24994659260841701"/>
      </bottom>
      <diagonal/>
    </border>
    <border>
      <left/>
      <right/>
      <top style="double">
        <color theme="0" tint="-0.24994659260841701"/>
      </top>
      <bottom style="thin">
        <color theme="0" tint="-0.24994659260841701"/>
      </bottom>
      <diagonal/>
    </border>
    <border>
      <left/>
      <right style="double">
        <color theme="0" tint="-0.24994659260841701"/>
      </right>
      <top style="double">
        <color theme="0" tint="-0.24994659260841701"/>
      </top>
      <bottom style="thin">
        <color theme="0" tint="-0.24994659260841701"/>
      </bottom>
      <diagonal/>
    </border>
    <border>
      <left style="medium">
        <color theme="0" tint="-0.24994659260841701"/>
      </left>
      <right style="double">
        <color theme="0" tint="-0.24994659260841701"/>
      </right>
      <top/>
      <bottom style="medium">
        <color theme="0" tint="-0.24994659260841701"/>
      </bottom>
      <diagonal/>
    </border>
    <border>
      <left style="double">
        <color theme="0" tint="-0.24994659260841701"/>
      </left>
      <right style="double">
        <color theme="0" tint="-0.24994659260841701"/>
      </right>
      <top/>
      <bottom style="medium">
        <color theme="0" tint="-0.24994659260841701"/>
      </bottom>
      <diagonal/>
    </border>
    <border>
      <left/>
      <right/>
      <top/>
      <bottom style="thick">
        <color theme="0" tint="-0.249977111117893"/>
      </bottom>
      <diagonal/>
    </border>
    <border>
      <left/>
      <right/>
      <top/>
      <bottom style="medium">
        <color theme="0" tint="-0.24994659260841701"/>
      </bottom>
      <diagonal/>
    </border>
    <border>
      <left style="medium">
        <color theme="0" tint="-0.24994659260841701"/>
      </left>
      <right/>
      <top/>
      <bottom style="medium">
        <color theme="0" tint="-0.24994659260841701"/>
      </bottom>
      <diagonal/>
    </border>
    <border>
      <left style="double">
        <color theme="0" tint="-0.24994659260841701"/>
      </left>
      <right/>
      <top style="thin">
        <color theme="0" tint="-0.24994659260841701"/>
      </top>
      <bottom style="double">
        <color theme="0" tint="-0.24994659260841701"/>
      </bottom>
      <diagonal/>
    </border>
    <border>
      <left/>
      <right/>
      <top style="thin">
        <color theme="0" tint="-0.24994659260841701"/>
      </top>
      <bottom style="double">
        <color theme="0" tint="-0.24994659260841701"/>
      </bottom>
      <diagonal/>
    </border>
    <border>
      <left/>
      <right style="double">
        <color theme="0" tint="-0.24994659260841701"/>
      </right>
      <top style="thin">
        <color theme="0" tint="-0.24994659260841701"/>
      </top>
      <bottom style="double">
        <color theme="0" tint="-0.24994659260841701"/>
      </bottom>
      <diagonal/>
    </border>
    <border>
      <left/>
      <right style="medium">
        <color theme="0" tint="-0.24994659260841701"/>
      </right>
      <top style="thin">
        <color theme="0" tint="-0.24994659260841701"/>
      </top>
      <bottom style="double">
        <color theme="0" tint="-0.24994659260841701"/>
      </bottom>
      <diagonal/>
    </border>
    <border>
      <left style="double">
        <color theme="0" tint="-0.24994659260841701"/>
      </left>
      <right/>
      <top style="double">
        <color theme="0" tint="-0.24994659260841701"/>
      </top>
      <bottom style="double">
        <color theme="0" tint="-0.24994659260841701"/>
      </bottom>
      <diagonal/>
    </border>
    <border>
      <left/>
      <right style="thin">
        <color theme="0" tint="-0.24994659260841701"/>
      </right>
      <top style="double">
        <color theme="0" tint="-0.24994659260841701"/>
      </top>
      <bottom style="double">
        <color theme="0" tint="-0.24994659260841701"/>
      </bottom>
      <diagonal/>
    </border>
    <border>
      <left/>
      <right style="thin">
        <color indexed="64"/>
      </right>
      <top style="double">
        <color theme="0" tint="-0.24994659260841701"/>
      </top>
      <bottom style="double">
        <color theme="0" tint="-0.24994659260841701"/>
      </bottom>
      <diagonal/>
    </border>
    <border>
      <left style="thin">
        <color indexed="64"/>
      </left>
      <right style="double">
        <color theme="0" tint="-0.24994659260841701"/>
      </right>
      <top style="double">
        <color theme="0" tint="-0.24994659260841701"/>
      </top>
      <bottom style="double">
        <color theme="0" tint="-0.24994659260841701"/>
      </bottom>
      <diagonal/>
    </border>
    <border>
      <left/>
      <right style="double">
        <color theme="0" tint="-0.24994659260841701"/>
      </right>
      <top style="medium">
        <color theme="0" tint="-0.24994659260841701"/>
      </top>
      <bottom/>
      <diagonal/>
    </border>
    <border>
      <left/>
      <right style="double">
        <color theme="0" tint="-0.24994659260841701"/>
      </right>
      <top/>
      <bottom/>
      <diagonal/>
    </border>
    <border>
      <left/>
      <right style="double">
        <color theme="0" tint="-0.24994659260841701"/>
      </right>
      <top/>
      <bottom style="double">
        <color theme="0" tint="-0.24994659260841701"/>
      </bottom>
      <diagonal/>
    </border>
    <border>
      <left style="double">
        <color theme="0" tint="-0.24994659260841701"/>
      </left>
      <right/>
      <top/>
      <bottom style="medium">
        <color theme="0" tint="-0.24994659260841701"/>
      </bottom>
      <diagonal/>
    </border>
    <border>
      <left/>
      <right style="medium">
        <color theme="0" tint="-0.24994659260841701"/>
      </right>
      <top/>
      <bottom style="medium">
        <color theme="0" tint="-0.24994659260841701"/>
      </bottom>
      <diagonal/>
    </border>
    <border>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style="medium">
        <color theme="0" tint="-0.24994659260841701"/>
      </right>
      <top style="thin">
        <color theme="0" tint="-0.24994659260841701"/>
      </top>
      <bottom/>
      <diagonal/>
    </border>
    <border>
      <left/>
      <right style="medium">
        <color theme="0" tint="-0.24994659260841701"/>
      </right>
      <top style="double">
        <color theme="0" tint="-0.24994659260841701"/>
      </top>
      <bottom style="double">
        <color theme="0" tint="-0.24994659260841701"/>
      </bottom>
      <diagonal/>
    </border>
    <border>
      <left style="medium">
        <color theme="0" tint="-0.24994659260841701"/>
      </left>
      <right/>
      <top style="double">
        <color theme="0" tint="-0.24994659260841701"/>
      </top>
      <bottom style="double">
        <color theme="0" tint="-0.24994659260841701"/>
      </bottom>
      <diagonal/>
    </border>
    <border>
      <left/>
      <right/>
      <top style="double">
        <color theme="0" tint="-0.24994659260841701"/>
      </top>
      <bottom style="double">
        <color theme="0" tint="-0.24994659260841701"/>
      </bottom>
      <diagonal/>
    </border>
    <border>
      <left style="medium">
        <color indexed="64"/>
      </left>
      <right style="medium">
        <color theme="0" tint="-0.24994659260841701"/>
      </right>
      <top/>
      <bottom/>
      <diagonal/>
    </border>
    <border>
      <left style="medium">
        <color theme="0" tint="-0.24994659260841701"/>
      </left>
      <right/>
      <top style="medium">
        <color theme="0" tint="-0.24994659260841701"/>
      </top>
      <bottom style="thin">
        <color theme="0" tint="-0.24994659260841701"/>
      </bottom>
      <diagonal/>
    </border>
    <border>
      <left style="medium">
        <color theme="0" tint="-0.24994659260841701"/>
      </left>
      <right/>
      <top/>
      <bottom style="dashed">
        <color theme="0" tint="-0.24994659260841701"/>
      </bottom>
      <diagonal/>
    </border>
    <border>
      <left/>
      <right/>
      <top/>
      <bottom style="dashed">
        <color theme="0" tint="-0.24994659260841701"/>
      </bottom>
      <diagonal/>
    </border>
    <border>
      <left/>
      <right style="medium">
        <color auto="1"/>
      </right>
      <top/>
      <bottom style="dashed">
        <color theme="0" tint="-0.24994659260841701"/>
      </bottom>
      <diagonal/>
    </border>
    <border>
      <left style="thin">
        <color theme="0" tint="-0.24994659260841701"/>
      </left>
      <right/>
      <top/>
      <bottom style="thin">
        <color theme="0" tint="-0.24994659260841701"/>
      </bottom>
      <diagonal/>
    </border>
    <border>
      <left style="thin">
        <color theme="0" tint="-0.24994659260841701"/>
      </left>
      <right/>
      <top/>
      <bottom/>
      <diagonal/>
    </border>
    <border>
      <left/>
      <right style="thin">
        <color theme="0" tint="-0.24994659260841701"/>
      </right>
      <top/>
      <bottom/>
      <diagonal/>
    </border>
    <border>
      <left/>
      <right style="medium">
        <color theme="0" tint="-0.24994659260841701"/>
      </right>
      <top/>
      <bottom style="thin">
        <color theme="0" tint="-0.24994659260841701"/>
      </bottom>
      <diagonal/>
    </border>
    <border>
      <left style="double">
        <color theme="0" tint="-0.24994659260841701"/>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style="medium">
        <color theme="0" tint="-0.24994659260841701"/>
      </top>
      <bottom/>
      <diagonal/>
    </border>
    <border>
      <left/>
      <right style="double">
        <color theme="0" tint="-0.24994659260841701"/>
      </right>
      <top/>
      <bottom style="thin">
        <color theme="0" tint="-0.24994659260841701"/>
      </bottom>
      <diagonal/>
    </border>
    <border>
      <left/>
      <right style="double">
        <color theme="0" tint="-0.24994659260841701"/>
      </right>
      <top style="thin">
        <color theme="0" tint="-0.24994659260841701"/>
      </top>
      <bottom/>
      <diagonal/>
    </border>
    <border>
      <left style="medium">
        <color theme="0" tint="-0.24994659260841701"/>
      </left>
      <right/>
      <top style="dashed">
        <color theme="0" tint="-0.24994659260841701"/>
      </top>
      <bottom/>
      <diagonal/>
    </border>
    <border>
      <left/>
      <right/>
      <top style="dashed">
        <color theme="0" tint="-0.24994659260841701"/>
      </top>
      <bottom/>
      <diagonal/>
    </border>
    <border>
      <left/>
      <right style="medium">
        <color auto="1"/>
      </right>
      <top style="dashed">
        <color theme="0" tint="-0.24994659260841701"/>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2" tint="-9.9978637043366805E-2"/>
      </left>
      <right style="thin">
        <color indexed="64"/>
      </right>
      <top style="thin">
        <color indexed="64"/>
      </top>
      <bottom style="thin">
        <color indexed="64"/>
      </bottom>
      <diagonal/>
    </border>
    <border>
      <left style="thin">
        <color theme="2" tint="-9.9978637043366805E-2"/>
      </left>
      <right style="thin">
        <color theme="2" tint="-9.9978637043366805E-2"/>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theme="2" tint="-9.9978637043366805E-2"/>
      </top>
      <bottom style="thin">
        <color indexed="64"/>
      </bottom>
      <diagonal/>
    </border>
    <border>
      <left style="thin">
        <color theme="2" tint="-9.9978637043366805E-2"/>
      </left>
      <right style="thin">
        <color theme="2" tint="-9.9978637043366805E-2"/>
      </right>
      <top style="thin">
        <color indexed="64"/>
      </top>
      <bottom/>
      <diagonal/>
    </border>
    <border>
      <left style="thin">
        <color theme="2" tint="-9.9978637043366805E-2"/>
      </left>
      <right/>
      <top style="thin">
        <color theme="2" tint="-9.9978637043366805E-2"/>
      </top>
      <bottom style="thin">
        <color indexed="64"/>
      </bottom>
      <diagonal/>
    </border>
    <border>
      <left style="thin">
        <color theme="2" tint="-9.9978637043366805E-2"/>
      </left>
      <right style="thin">
        <color theme="2" tint="-9.9978637043366805E-2"/>
      </right>
      <top style="thin">
        <color indexed="64"/>
      </top>
      <bottom style="thin">
        <color theme="2" tint="-9.9978637043366805E-2"/>
      </bottom>
      <diagonal/>
    </border>
    <border>
      <left/>
      <right style="thin">
        <color indexed="64"/>
      </right>
      <top style="thin">
        <color theme="2" tint="-9.9978637043366805E-2"/>
      </top>
      <bottom style="thin">
        <color indexed="64"/>
      </bottom>
      <diagonal/>
    </border>
    <border>
      <left style="thin">
        <color theme="2" tint="-9.9978637043366805E-2"/>
      </left>
      <right style="thin">
        <color theme="2" tint="-9.9978637043366805E-2"/>
      </right>
      <top style="thin">
        <color theme="2" tint="-9.9978637043366805E-2"/>
      </top>
      <bottom style="thin">
        <color indexed="64"/>
      </bottom>
      <diagonal/>
    </border>
    <border>
      <left style="thin">
        <color indexed="64"/>
      </left>
      <right style="thin">
        <color theme="2" tint="-9.9978637043366805E-2"/>
      </right>
      <top style="thin">
        <color indexed="64"/>
      </top>
      <bottom style="thin">
        <color indexed="64"/>
      </bottom>
      <diagonal/>
    </border>
    <border>
      <left style="thin">
        <color indexed="64"/>
      </left>
      <right style="thin">
        <color theme="2" tint="-9.9978637043366805E-2"/>
      </right>
      <top style="thin">
        <color indexed="64"/>
      </top>
      <bottom/>
      <diagonal/>
    </border>
    <border>
      <left style="thin">
        <color indexed="64"/>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style="thin">
        <color theme="2" tint="-9.9978637043366805E-2"/>
      </left>
      <right style="thin">
        <color theme="2" tint="-9.9978637043366805E-2"/>
      </right>
      <top/>
      <bottom style="thin">
        <color indexed="64"/>
      </bottom>
      <diagonal/>
    </border>
    <border>
      <left style="thin">
        <color theme="2" tint="-9.9978637043366805E-2"/>
      </left>
      <right/>
      <top style="thin">
        <color indexed="64"/>
      </top>
      <bottom style="thin">
        <color indexed="64"/>
      </bottom>
      <diagonal/>
    </border>
    <border>
      <left style="thin">
        <color theme="2" tint="-9.9978637043366805E-2"/>
      </left>
      <right style="thin">
        <color indexed="64"/>
      </right>
      <top style="thin">
        <color indexed="64"/>
      </top>
      <bottom style="thin">
        <color theme="2" tint="-9.9978637043366805E-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double">
        <color theme="0" tint="-0.24994659260841701"/>
      </left>
      <right/>
      <top style="double">
        <color theme="0" tint="-0.24994659260841701"/>
      </top>
      <bottom style="thin">
        <color theme="0" tint="-0.24994659260841701"/>
      </bottom>
      <diagonal/>
    </border>
    <border>
      <left/>
      <right style="medium">
        <color theme="0" tint="-0.24994659260841701"/>
      </right>
      <top style="double">
        <color theme="0" tint="-0.24994659260841701"/>
      </top>
      <bottom style="thin">
        <color theme="0" tint="-0.24994659260841701"/>
      </bottom>
      <diagonal/>
    </border>
    <border>
      <left style="thin">
        <color theme="0" tint="-0.24994659260841701"/>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thin">
        <color theme="0" tint="-0.24994659260841701"/>
      </left>
      <right/>
      <top style="double">
        <color theme="0" tint="-0.24994659260841701"/>
      </top>
      <bottom style="thin">
        <color theme="0" tint="-0.24994659260841701"/>
      </bottom>
      <diagonal/>
    </border>
    <border>
      <left style="thin">
        <color theme="0" tint="-0.24994659260841701"/>
      </left>
      <right/>
      <top style="thin">
        <color theme="0" tint="-0.24994659260841701"/>
      </top>
      <bottom style="medium">
        <color theme="0" tint="-0.24994659260841701"/>
      </bottom>
      <diagonal/>
    </border>
    <border>
      <left style="double">
        <color theme="0" tint="-0.24994659260841701"/>
      </left>
      <right/>
      <top style="medium">
        <color theme="0" tint="-0.24994659260841701"/>
      </top>
      <bottom style="medium">
        <color theme="0" tint="-0.24994659260841701"/>
      </bottom>
      <diagonal/>
    </border>
    <border>
      <left/>
      <right style="thin">
        <color theme="0" tint="-0.24994659260841701"/>
      </right>
      <top style="medium">
        <color theme="0" tint="-0.24994659260841701"/>
      </top>
      <bottom style="medium">
        <color theme="0" tint="-0.24994659260841701"/>
      </bottom>
      <diagonal/>
    </border>
    <border>
      <left/>
      <right style="double">
        <color theme="0" tint="-0.24994659260841701"/>
      </right>
      <top style="thin">
        <color theme="0" tint="-0.24994659260841701"/>
      </top>
      <bottom style="medium">
        <color theme="0" tint="-0.24994659260841701"/>
      </bottom>
      <diagonal/>
    </border>
    <border>
      <left/>
      <right style="thin">
        <color theme="0" tint="-0.24994659260841701"/>
      </right>
      <top style="double">
        <color theme="0" tint="-0.24994659260841701"/>
      </top>
      <bottom style="thin">
        <color theme="0" tint="-0.24994659260841701"/>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double">
        <color indexed="64"/>
      </top>
      <bottom style="dotted">
        <color indexed="64"/>
      </bottom>
      <diagonal/>
    </border>
    <border>
      <left style="double">
        <color indexed="64"/>
      </left>
      <right style="thin">
        <color indexed="64"/>
      </right>
      <top style="double">
        <color indexed="64"/>
      </top>
      <bottom style="dotted">
        <color indexed="64"/>
      </bottom>
      <diagonal/>
    </border>
    <border>
      <left style="thin">
        <color indexed="64"/>
      </left>
      <right style="thin">
        <color indexed="64"/>
      </right>
      <top style="double">
        <color indexed="64"/>
      </top>
      <bottom style="dotted">
        <color indexed="64"/>
      </bottom>
      <diagonal/>
    </border>
    <border>
      <left style="thin">
        <color indexed="64"/>
      </left>
      <right style="double">
        <color indexed="64"/>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style="medium">
        <color indexed="64"/>
      </right>
      <top style="double">
        <color indexed="64"/>
      </top>
      <bottom style="dotted">
        <color indexed="64"/>
      </bottom>
      <diagonal/>
    </border>
    <border>
      <left/>
      <right style="double">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style="double">
        <color indexed="64"/>
      </left>
      <right style="thin">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double">
        <color indexed="64"/>
      </left>
      <right style="thin">
        <color indexed="64"/>
      </right>
      <top/>
      <bottom style="dotted">
        <color indexed="64"/>
      </bottom>
      <diagonal/>
    </border>
    <border>
      <left style="thin">
        <color indexed="64"/>
      </left>
      <right style="double">
        <color indexed="64"/>
      </right>
      <top/>
      <bottom style="dotted">
        <color indexed="64"/>
      </bottom>
      <diagonal/>
    </border>
    <border>
      <left/>
      <right style="thin">
        <color indexed="64"/>
      </right>
      <top/>
      <bottom style="dotted">
        <color indexed="64"/>
      </bottom>
      <diagonal/>
    </border>
    <border>
      <left style="thin">
        <color indexed="64"/>
      </left>
      <right style="medium">
        <color indexed="64"/>
      </right>
      <top/>
      <bottom style="dotted">
        <color indexed="64"/>
      </bottom>
      <diagonal/>
    </border>
    <border>
      <left style="thin">
        <color indexed="64"/>
      </left>
      <right/>
      <top style="dotted">
        <color indexed="64"/>
      </top>
      <bottom style="double">
        <color indexed="64"/>
      </bottom>
      <diagonal/>
    </border>
    <border>
      <left style="double">
        <color indexed="64"/>
      </left>
      <right style="thin">
        <color indexed="64"/>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style="double">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right/>
      <top/>
      <bottom style="dotted">
        <color indexed="64"/>
      </bottom>
      <diagonal/>
    </border>
    <border>
      <left/>
      <right/>
      <top style="dotted">
        <color indexed="64"/>
      </top>
      <bottom style="double">
        <color indexed="64"/>
      </bottom>
      <diagonal/>
    </border>
    <border>
      <left/>
      <right/>
      <top style="dotted">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double">
        <color indexed="64"/>
      </bottom>
      <diagonal/>
    </border>
    <border>
      <left/>
      <right/>
      <top style="medium">
        <color theme="0" tint="-0.14993743705557422"/>
      </top>
      <bottom style="medium">
        <color theme="0" tint="-0.14993743705557422"/>
      </bottom>
      <diagonal/>
    </border>
    <border>
      <left/>
      <right style="medium">
        <color theme="0" tint="-0.14993743705557422"/>
      </right>
      <top style="medium">
        <color theme="0" tint="-0.14993743705557422"/>
      </top>
      <bottom style="medium">
        <color theme="0" tint="-0.14993743705557422"/>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14993743705557422"/>
      </left>
      <right/>
      <top style="medium">
        <color theme="0" tint="-0.14993743705557422"/>
      </top>
      <bottom style="medium">
        <color theme="0" tint="-0.14993743705557422"/>
      </bottom>
      <diagonal/>
    </border>
    <border>
      <left/>
      <right style="medium">
        <color theme="0" tint="-0.24994659260841701"/>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thin">
        <color indexed="64"/>
      </right>
      <top style="thin">
        <color indexed="64"/>
      </top>
      <bottom style="double">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diagonal/>
    </border>
    <border>
      <left style="double">
        <color indexed="64"/>
      </left>
      <right/>
      <top style="double">
        <color indexed="64"/>
      </top>
      <bottom style="dotted">
        <color indexed="64"/>
      </bottom>
      <diagonal/>
    </border>
    <border>
      <left/>
      <right/>
      <top style="double">
        <color indexed="64"/>
      </top>
      <bottom style="dotted">
        <color indexed="64"/>
      </bottom>
      <diagonal/>
    </border>
    <border>
      <left style="medium">
        <color indexed="64"/>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style="double">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double">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double">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ouble">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double">
        <color indexed="64"/>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double">
        <color indexed="64"/>
      </bottom>
      <diagonal/>
    </border>
    <border>
      <left style="dotted">
        <color indexed="64"/>
      </left>
      <right/>
      <top/>
      <bottom style="thin">
        <color indexed="64"/>
      </bottom>
      <diagonal/>
    </border>
  </borders>
  <cellStyleXfs count="3">
    <xf numFmtId="0" fontId="0" fillId="0" borderId="0">
      <alignment vertical="center"/>
    </xf>
    <xf numFmtId="0" fontId="2" fillId="0" borderId="0">
      <alignment vertical="center"/>
    </xf>
    <xf numFmtId="0" fontId="57" fillId="0" borderId="0" applyNumberFormat="0" applyFill="0" applyBorder="0" applyAlignment="0" applyProtection="0">
      <alignment vertical="center"/>
    </xf>
  </cellStyleXfs>
  <cellXfs count="1113">
    <xf numFmtId="0" fontId="0" fillId="0" borderId="0" xfId="0">
      <alignment vertical="center"/>
    </xf>
    <xf numFmtId="0" fontId="6" fillId="0" borderId="0" xfId="0" applyFont="1" applyAlignment="1" applyProtection="1">
      <alignment horizontal="center" vertical="center"/>
      <protection locked="0"/>
    </xf>
    <xf numFmtId="0" fontId="6" fillId="0" borderId="0" xfId="0" quotePrefix="1" applyFont="1" applyAlignment="1" applyProtection="1">
      <alignment horizontal="center" vertical="center"/>
      <protection locked="0"/>
    </xf>
    <xf numFmtId="176" fontId="6" fillId="0" borderId="0" xfId="0" applyNumberFormat="1" applyFont="1" applyProtection="1">
      <alignment vertical="center"/>
      <protection locked="0"/>
    </xf>
    <xf numFmtId="0" fontId="0" fillId="0" borderId="0" xfId="0" applyAlignment="1">
      <alignment vertical="center" shrinkToFit="1"/>
    </xf>
    <xf numFmtId="0" fontId="0" fillId="0" borderId="0" xfId="0" applyAlignment="1">
      <alignment horizontal="center" vertical="center"/>
    </xf>
    <xf numFmtId="0" fontId="0" fillId="0" borderId="0" xfId="0" applyAlignment="1">
      <alignment horizontal="center" vertical="center" shrinkToFit="1"/>
    </xf>
    <xf numFmtId="0" fontId="18" fillId="0" borderId="0" xfId="0" applyFont="1">
      <alignment vertical="center"/>
    </xf>
    <xf numFmtId="178" fontId="6" fillId="0" borderId="0" xfId="0" applyNumberFormat="1" applyFont="1" applyAlignment="1" applyProtection="1">
      <alignment horizontal="center" vertical="center"/>
      <protection locked="0"/>
    </xf>
    <xf numFmtId="0" fontId="0" fillId="0" borderId="0" xfId="0" quotePrefix="1" applyAlignment="1">
      <alignment horizontal="center" vertical="center" shrinkToFit="1"/>
    </xf>
    <xf numFmtId="0" fontId="28" fillId="0" borderId="0" xfId="0" applyFont="1">
      <alignment vertical="center"/>
    </xf>
    <xf numFmtId="0" fontId="17" fillId="0" borderId="0" xfId="0" applyFont="1" applyAlignment="1">
      <alignment horizontal="center" vertical="center"/>
    </xf>
    <xf numFmtId="0" fontId="49" fillId="0" borderId="0" xfId="0" applyFont="1" applyAlignment="1" applyProtection="1">
      <alignment horizontal="center" vertical="center" shrinkToFit="1"/>
      <protection locked="0"/>
    </xf>
    <xf numFmtId="14" fontId="49" fillId="0" borderId="0" xfId="0" applyNumberFormat="1" applyFont="1" applyAlignment="1" applyProtection="1">
      <alignment horizontal="center" vertical="center" shrinkToFit="1"/>
      <protection locked="0"/>
    </xf>
    <xf numFmtId="0" fontId="6" fillId="0" borderId="0" xfId="0" applyFont="1" applyAlignment="1" applyProtection="1">
      <alignment horizontal="left" vertical="center"/>
      <protection locked="0"/>
    </xf>
    <xf numFmtId="0" fontId="18" fillId="0" borderId="0" xfId="0" applyFont="1" applyAlignment="1">
      <alignment vertical="center" shrinkToFit="1"/>
    </xf>
    <xf numFmtId="0" fontId="18" fillId="0" borderId="0" xfId="0" applyFont="1" applyProtection="1">
      <alignment vertical="center"/>
      <protection hidden="1"/>
    </xf>
    <xf numFmtId="0" fontId="24" fillId="0" borderId="0" xfId="0" applyFont="1" applyAlignment="1" applyProtection="1">
      <protection hidden="1"/>
    </xf>
    <xf numFmtId="0" fontId="14" fillId="0" borderId="0" xfId="0" applyFont="1" applyAlignment="1" applyProtection="1">
      <protection hidden="1"/>
    </xf>
    <xf numFmtId="0" fontId="14" fillId="0" borderId="0" xfId="0" applyFont="1" applyAlignment="1" applyProtection="1">
      <alignment horizontal="left" wrapText="1"/>
      <protection hidden="1"/>
    </xf>
    <xf numFmtId="179" fontId="11" fillId="0" borderId="0" xfId="0" applyNumberFormat="1" applyFont="1" applyAlignment="1" applyProtection="1">
      <alignment horizontal="center" vertical="center" wrapText="1"/>
      <protection hidden="1"/>
    </xf>
    <xf numFmtId="179" fontId="9" fillId="0" borderId="0" xfId="0" applyNumberFormat="1" applyFont="1" applyAlignment="1" applyProtection="1">
      <alignment horizontal="center" vertical="center" wrapText="1"/>
      <protection hidden="1"/>
    </xf>
    <xf numFmtId="10" fontId="43" fillId="0" borderId="0" xfId="0" applyNumberFormat="1" applyFont="1" applyAlignment="1" applyProtection="1">
      <alignment horizontal="left"/>
      <protection hidden="1"/>
    </xf>
    <xf numFmtId="10" fontId="9" fillId="0" borderId="0" xfId="0" applyNumberFormat="1" applyFont="1" applyAlignment="1" applyProtection="1">
      <alignment horizontal="center" wrapText="1"/>
      <protection hidden="1"/>
    </xf>
    <xf numFmtId="10" fontId="11" fillId="0" borderId="0" xfId="0" applyNumberFormat="1" applyFont="1" applyAlignment="1" applyProtection="1">
      <alignment horizontal="center" wrapText="1"/>
      <protection hidden="1"/>
    </xf>
    <xf numFmtId="10" fontId="44" fillId="0" borderId="0" xfId="0" applyNumberFormat="1" applyFont="1" applyAlignment="1" applyProtection="1">
      <alignment horizontal="left"/>
      <protection hidden="1"/>
    </xf>
    <xf numFmtId="10" fontId="11" fillId="0" borderId="0" xfId="0" applyNumberFormat="1" applyFont="1" applyAlignment="1" applyProtection="1">
      <alignment horizontal="center" vertical="center" wrapText="1"/>
      <protection hidden="1"/>
    </xf>
    <xf numFmtId="10" fontId="12" fillId="0" borderId="0" xfId="0" applyNumberFormat="1" applyFont="1" applyAlignment="1" applyProtection="1">
      <alignment horizontal="center" vertical="center" wrapText="1"/>
      <protection hidden="1"/>
    </xf>
    <xf numFmtId="0" fontId="20" fillId="0" borderId="0" xfId="0" applyFont="1" applyProtection="1">
      <alignment vertical="center"/>
      <protection hidden="1"/>
    </xf>
    <xf numFmtId="10" fontId="7" fillId="0" borderId="0" xfId="0" applyNumberFormat="1" applyFont="1" applyAlignment="1" applyProtection="1">
      <protection hidden="1"/>
    </xf>
    <xf numFmtId="0" fontId="21" fillId="0" borderId="0" xfId="0" applyFont="1" applyAlignment="1" applyProtection="1">
      <alignment vertical="center" shrinkToFit="1"/>
      <protection hidden="1"/>
    </xf>
    <xf numFmtId="10" fontId="8" fillId="0" borderId="0" xfId="0" applyNumberFormat="1" applyFont="1" applyAlignment="1" applyProtection="1">
      <alignment vertical="center" textRotation="255" shrinkToFit="1"/>
      <protection hidden="1"/>
    </xf>
    <xf numFmtId="185" fontId="8" fillId="0" borderId="0" xfId="0" applyNumberFormat="1" applyFont="1" applyAlignment="1" applyProtection="1">
      <alignment vertical="center" shrinkToFit="1"/>
      <protection hidden="1"/>
    </xf>
    <xf numFmtId="10" fontId="20" fillId="0" borderId="0" xfId="0" applyNumberFormat="1" applyFont="1" applyProtection="1">
      <alignment vertical="center"/>
      <protection hidden="1"/>
    </xf>
    <xf numFmtId="10" fontId="21" fillId="0" borderId="0" xfId="0" applyNumberFormat="1" applyFont="1" applyAlignment="1" applyProtection="1">
      <alignment horizontal="left" vertical="center" wrapText="1"/>
      <protection hidden="1"/>
    </xf>
    <xf numFmtId="10" fontId="21" fillId="0" borderId="0" xfId="0" applyNumberFormat="1" applyFont="1" applyAlignment="1" applyProtection="1">
      <alignment horizontal="center" vertical="center" wrapText="1"/>
      <protection hidden="1"/>
    </xf>
    <xf numFmtId="10" fontId="22" fillId="0" borderId="0" xfId="0" applyNumberFormat="1" applyFont="1" applyAlignment="1" applyProtection="1">
      <alignment vertical="center" wrapText="1"/>
      <protection hidden="1"/>
    </xf>
    <xf numFmtId="10" fontId="8" fillId="0" borderId="0" xfId="0" applyNumberFormat="1" applyFont="1" applyAlignment="1" applyProtection="1">
      <alignment vertical="center" shrinkToFit="1"/>
      <protection hidden="1"/>
    </xf>
    <xf numFmtId="10" fontId="11" fillId="0" borderId="0" xfId="0" applyNumberFormat="1" applyFont="1" applyAlignment="1" applyProtection="1">
      <alignment horizontal="left" vertical="center" wrapText="1" indent="2"/>
      <protection hidden="1"/>
    </xf>
    <xf numFmtId="10" fontId="9" fillId="0" borderId="0" xfId="0" applyNumberFormat="1" applyFont="1" applyAlignment="1" applyProtection="1">
      <alignment horizontal="center" vertical="center" wrapText="1"/>
      <protection hidden="1"/>
    </xf>
    <xf numFmtId="10" fontId="14" fillId="0" borderId="0" xfId="0" applyNumberFormat="1" applyFont="1" applyAlignment="1" applyProtection="1">
      <alignment vertical="center" wrapText="1"/>
      <protection hidden="1"/>
    </xf>
    <xf numFmtId="0" fontId="8" fillId="0" borderId="0" xfId="0" applyFont="1" applyAlignment="1" applyProtection="1">
      <alignment horizontal="left" vertical="top"/>
      <protection hidden="1"/>
    </xf>
    <xf numFmtId="0" fontId="8" fillId="0" borderId="0" xfId="0" applyFont="1" applyAlignment="1" applyProtection="1">
      <alignment vertical="top"/>
      <protection hidden="1"/>
    </xf>
    <xf numFmtId="0" fontId="21" fillId="0" borderId="0" xfId="0" applyFont="1" applyAlignment="1" applyProtection="1">
      <alignment horizontal="center" vertical="center"/>
      <protection hidden="1"/>
    </xf>
    <xf numFmtId="10" fontId="20" fillId="0" borderId="0" xfId="0" applyNumberFormat="1" applyFont="1" applyAlignment="1" applyProtection="1">
      <alignment horizontal="center" vertical="center"/>
      <protection hidden="1"/>
    </xf>
    <xf numFmtId="0" fontId="24" fillId="0" borderId="0" xfId="0" applyFont="1" applyProtection="1">
      <alignment vertical="center"/>
      <protection hidden="1"/>
    </xf>
    <xf numFmtId="0" fontId="16" fillId="0" borderId="0" xfId="0" applyFont="1" applyAlignment="1" applyProtection="1">
      <alignment shrinkToFit="1"/>
      <protection hidden="1"/>
    </xf>
    <xf numFmtId="0" fontId="8" fillId="0" borderId="8" xfId="0" applyFont="1" applyBorder="1" applyProtection="1">
      <alignment vertical="center"/>
      <protection hidden="1"/>
    </xf>
    <xf numFmtId="0" fontId="12" fillId="0" borderId="0" xfId="0" applyFont="1" applyAlignment="1" applyProtection="1">
      <alignment vertical="center" wrapText="1"/>
      <protection hidden="1"/>
    </xf>
    <xf numFmtId="181" fontId="12" fillId="0" borderId="0" xfId="0" applyNumberFormat="1" applyFont="1" applyProtection="1">
      <alignment vertical="center"/>
      <protection hidden="1"/>
    </xf>
    <xf numFmtId="0" fontId="15" fillId="0" borderId="0" xfId="0" applyFont="1" applyProtection="1">
      <alignment vertical="center"/>
      <protection hidden="1"/>
    </xf>
    <xf numFmtId="181" fontId="12" fillId="0" borderId="0" xfId="0" applyNumberFormat="1" applyFont="1" applyAlignment="1" applyProtection="1">
      <alignment vertical="center" shrinkToFit="1"/>
      <protection hidden="1"/>
    </xf>
    <xf numFmtId="183" fontId="12" fillId="0" borderId="0" xfId="0" applyNumberFormat="1" applyFont="1" applyProtection="1">
      <alignment vertical="center"/>
      <protection hidden="1"/>
    </xf>
    <xf numFmtId="10" fontId="17" fillId="0" borderId="0" xfId="0" applyNumberFormat="1" applyFont="1" applyAlignment="1" applyProtection="1">
      <alignment vertical="center" shrinkToFit="1"/>
      <protection hidden="1"/>
    </xf>
    <xf numFmtId="10" fontId="17" fillId="0" borderId="0" xfId="0" applyNumberFormat="1" applyFont="1" applyAlignment="1" applyProtection="1">
      <alignment horizontal="center" vertical="center" shrinkToFit="1"/>
      <protection hidden="1"/>
    </xf>
    <xf numFmtId="0" fontId="19" fillId="0" borderId="0" xfId="0" applyFont="1" applyProtection="1">
      <alignment vertical="center"/>
      <protection hidden="1"/>
    </xf>
    <xf numFmtId="0" fontId="52" fillId="0" borderId="0" xfId="0" applyFont="1" applyAlignment="1">
      <alignment horizontal="center" vertical="center" shrinkToFit="1"/>
    </xf>
    <xf numFmtId="0" fontId="52" fillId="0" borderId="0" xfId="0" applyFont="1">
      <alignment vertical="center"/>
    </xf>
    <xf numFmtId="0" fontId="52" fillId="0" borderId="0" xfId="0" applyFont="1" applyAlignment="1">
      <alignment vertical="center" shrinkToFit="1"/>
    </xf>
    <xf numFmtId="178" fontId="5" fillId="18" borderId="1" xfId="0" applyNumberFormat="1" applyFont="1" applyFill="1" applyBorder="1" applyAlignment="1" applyProtection="1">
      <alignment horizontal="center" vertical="center" wrapText="1"/>
      <protection locked="0"/>
    </xf>
    <xf numFmtId="0" fontId="18" fillId="0" borderId="3" xfId="0" applyFont="1" applyBorder="1" applyProtection="1">
      <alignment vertical="center"/>
      <protection hidden="1"/>
    </xf>
    <xf numFmtId="0" fontId="38" fillId="0" borderId="16" xfId="0" applyFont="1" applyBorder="1" applyProtection="1">
      <alignment vertical="center"/>
      <protection hidden="1"/>
    </xf>
    <xf numFmtId="0" fontId="18" fillId="0" borderId="16" xfId="0" applyFont="1" applyBorder="1" applyProtection="1">
      <alignment vertical="center"/>
      <protection hidden="1"/>
    </xf>
    <xf numFmtId="0" fontId="40" fillId="0" borderId="0" xfId="0" applyFont="1" applyAlignment="1" applyProtection="1">
      <protection hidden="1"/>
    </xf>
    <xf numFmtId="0" fontId="41" fillId="0" borderId="0" xfId="0" applyFont="1" applyProtection="1">
      <alignment vertical="center"/>
      <protection hidden="1"/>
    </xf>
    <xf numFmtId="0" fontId="31" fillId="0" borderId="0" xfId="0" applyFont="1" applyAlignment="1" applyProtection="1">
      <alignment vertical="center" wrapText="1"/>
      <protection hidden="1"/>
    </xf>
    <xf numFmtId="0" fontId="27" fillId="0" borderId="0" xfId="0" applyFont="1" applyAlignment="1" applyProtection="1">
      <alignment horizontal="center" vertical="top"/>
      <protection hidden="1"/>
    </xf>
    <xf numFmtId="0" fontId="23" fillId="0" borderId="16" xfId="0" applyFont="1" applyBorder="1" applyAlignment="1" applyProtection="1">
      <alignment vertical="center" shrinkToFit="1"/>
      <protection hidden="1"/>
    </xf>
    <xf numFmtId="14" fontId="13" fillId="0" borderId="16" xfId="0" applyNumberFormat="1" applyFont="1" applyBorder="1" applyAlignment="1" applyProtection="1">
      <alignment horizontal="left" vertical="center" indent="1"/>
      <protection locked="0" hidden="1"/>
    </xf>
    <xf numFmtId="0" fontId="13" fillId="0" borderId="16" xfId="0" applyFont="1" applyBorder="1" applyProtection="1">
      <alignment vertical="center"/>
      <protection hidden="1"/>
    </xf>
    <xf numFmtId="0" fontId="7" fillId="0" borderId="16" xfId="0" applyFont="1" applyBorder="1" applyAlignment="1" applyProtection="1">
      <alignment vertical="center" shrinkToFit="1"/>
      <protection hidden="1"/>
    </xf>
    <xf numFmtId="0" fontId="23" fillId="0" borderId="0" xfId="0" applyFont="1" applyAlignment="1" applyProtection="1">
      <alignment vertical="center" shrinkToFit="1"/>
      <protection hidden="1"/>
    </xf>
    <xf numFmtId="14" fontId="13" fillId="0" borderId="0" xfId="0" applyNumberFormat="1" applyFont="1" applyAlignment="1" applyProtection="1">
      <alignment horizontal="left" vertical="center" indent="1"/>
      <protection locked="0" hidden="1"/>
    </xf>
    <xf numFmtId="0" fontId="13" fillId="0" borderId="0" xfId="0" applyFont="1" applyProtection="1">
      <alignment vertical="center"/>
      <protection hidden="1"/>
    </xf>
    <xf numFmtId="0" fontId="7" fillId="0" borderId="0" xfId="0" applyFont="1" applyAlignment="1" applyProtection="1">
      <alignment vertical="center" shrinkToFit="1"/>
      <protection hidden="1"/>
    </xf>
    <xf numFmtId="0" fontId="51" fillId="0" borderId="5" xfId="0" quotePrefix="1" applyFont="1" applyBorder="1" applyAlignment="1" applyProtection="1">
      <alignment horizontal="center" vertical="center"/>
      <protection hidden="1"/>
    </xf>
    <xf numFmtId="0" fontId="40" fillId="0" borderId="0" xfId="0" applyFont="1" applyProtection="1">
      <alignment vertical="center"/>
      <protection hidden="1"/>
    </xf>
    <xf numFmtId="0" fontId="31" fillId="0" borderId="0" xfId="0" applyFont="1" applyAlignment="1" applyProtection="1">
      <alignment horizontal="left" vertical="top" wrapText="1"/>
      <protection hidden="1"/>
    </xf>
    <xf numFmtId="0" fontId="31" fillId="0" borderId="6" xfId="0" applyFont="1" applyBorder="1" applyAlignment="1" applyProtection="1">
      <alignment vertical="top" wrapText="1"/>
      <protection hidden="1"/>
    </xf>
    <xf numFmtId="0" fontId="46" fillId="0" borderId="142" xfId="0" applyFont="1" applyBorder="1" applyAlignment="1" applyProtection="1">
      <alignment vertical="top" wrapText="1"/>
      <protection hidden="1"/>
    </xf>
    <xf numFmtId="0" fontId="46" fillId="0" borderId="0" xfId="0" applyFont="1" applyAlignment="1" applyProtection="1">
      <alignment horizontal="left" vertical="top" wrapText="1"/>
      <protection hidden="1"/>
    </xf>
    <xf numFmtId="0" fontId="31" fillId="0" borderId="154" xfId="0" applyFont="1" applyBorder="1" applyAlignment="1" applyProtection="1">
      <alignment vertical="top" wrapText="1"/>
      <protection hidden="1"/>
    </xf>
    <xf numFmtId="0" fontId="31" fillId="0" borderId="154" xfId="0" applyFont="1" applyBorder="1" applyAlignment="1" applyProtection="1">
      <alignment vertical="center" wrapText="1"/>
      <protection hidden="1"/>
    </xf>
    <xf numFmtId="0" fontId="31" fillId="0" borderId="0" xfId="0" applyFont="1" applyAlignment="1" applyProtection="1">
      <alignment horizontal="left" vertical="center" wrapText="1"/>
      <protection hidden="1"/>
    </xf>
    <xf numFmtId="0" fontId="46" fillId="0" borderId="142" xfId="0" applyFont="1" applyBorder="1" applyAlignment="1" applyProtection="1">
      <alignment vertical="top" shrinkToFit="1"/>
      <protection hidden="1"/>
    </xf>
    <xf numFmtId="0" fontId="46" fillId="0" borderId="0" xfId="0" applyFont="1" applyAlignment="1" applyProtection="1">
      <alignment horizontal="left" vertical="top" shrinkToFit="1"/>
      <protection hidden="1"/>
    </xf>
    <xf numFmtId="0" fontId="47" fillId="0" borderId="154" xfId="0" applyFont="1" applyBorder="1" applyAlignment="1" applyProtection="1">
      <alignment vertical="center" wrapText="1"/>
      <protection hidden="1"/>
    </xf>
    <xf numFmtId="0" fontId="47" fillId="0" borderId="0" xfId="0" applyFont="1" applyAlignment="1" applyProtection="1">
      <alignment horizontal="left" vertical="center" wrapText="1"/>
      <protection hidden="1"/>
    </xf>
    <xf numFmtId="0" fontId="8" fillId="0" borderId="16" xfId="0" applyFont="1" applyBorder="1" applyAlignment="1" applyProtection="1">
      <alignment vertical="center" shrinkToFit="1"/>
      <protection hidden="1"/>
    </xf>
    <xf numFmtId="0" fontId="8" fillId="0" borderId="0" xfId="0" applyFont="1" applyAlignment="1" applyProtection="1">
      <alignment vertical="center" shrinkToFit="1"/>
      <protection hidden="1"/>
    </xf>
    <xf numFmtId="0" fontId="31" fillId="0" borderId="0" xfId="0" applyFont="1" applyAlignment="1" applyProtection="1">
      <alignment vertical="top" wrapText="1"/>
      <protection hidden="1"/>
    </xf>
    <xf numFmtId="0" fontId="30" fillId="0" borderId="0" xfId="0" applyFont="1" applyAlignment="1" applyProtection="1">
      <alignment vertical="top" wrapText="1"/>
      <protection hidden="1"/>
    </xf>
    <xf numFmtId="0" fontId="30" fillId="0" borderId="0" xfId="0" applyFont="1" applyAlignment="1" applyProtection="1">
      <alignment vertical="center" wrapText="1"/>
      <protection hidden="1"/>
    </xf>
    <xf numFmtId="0" fontId="5" fillId="0" borderId="6"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35" fillId="0" borderId="36" xfId="0" applyFont="1" applyBorder="1" applyAlignment="1" applyProtection="1">
      <alignment horizontal="center" vertical="top" wrapText="1"/>
      <protection hidden="1"/>
    </xf>
    <xf numFmtId="0" fontId="35" fillId="0" borderId="0" xfId="0" applyFont="1" applyAlignment="1" applyProtection="1">
      <alignment horizontal="center" vertical="top" wrapText="1"/>
      <protection hidden="1"/>
    </xf>
    <xf numFmtId="0" fontId="10" fillId="0" borderId="0" xfId="0" applyFont="1" applyAlignment="1" applyProtection="1">
      <alignment vertical="top" wrapText="1"/>
      <protection hidden="1"/>
    </xf>
    <xf numFmtId="0" fontId="10" fillId="0" borderId="0" xfId="0" applyFont="1" applyAlignment="1" applyProtection="1">
      <alignment vertical="center" wrapText="1"/>
      <protection hidden="1"/>
    </xf>
    <xf numFmtId="0" fontId="10" fillId="0" borderId="0" xfId="0" applyFont="1" applyAlignment="1" applyProtection="1">
      <alignment horizontal="left" vertical="center" wrapText="1"/>
      <protection hidden="1"/>
    </xf>
    <xf numFmtId="177" fontId="26" fillId="0" borderId="0" xfId="0" applyNumberFormat="1" applyFont="1" applyAlignment="1" applyProtection="1">
      <alignment horizontal="center" vertical="center" wrapText="1"/>
      <protection hidden="1"/>
    </xf>
    <xf numFmtId="176" fontId="50" fillId="0" borderId="0" xfId="0" applyNumberFormat="1" applyFont="1" applyAlignment="1" applyProtection="1">
      <alignment horizontal="center" vertical="center" shrinkToFit="1"/>
      <protection hidden="1"/>
    </xf>
    <xf numFmtId="176" fontId="50" fillId="0" borderId="0" xfId="0" applyNumberFormat="1" applyFont="1" applyAlignment="1" applyProtection="1">
      <alignment vertical="center" shrinkToFit="1"/>
      <protection hidden="1"/>
    </xf>
    <xf numFmtId="192" fontId="50" fillId="0" borderId="0" xfId="0" applyNumberFormat="1" applyFont="1" applyAlignment="1" applyProtection="1">
      <alignment vertical="center" shrinkToFit="1"/>
      <protection hidden="1"/>
    </xf>
    <xf numFmtId="0" fontId="45" fillId="0" borderId="0" xfId="0" applyFont="1" applyAlignment="1" applyProtection="1">
      <protection hidden="1"/>
    </xf>
    <xf numFmtId="49" fontId="6" fillId="0" borderId="0" xfId="0" applyNumberFormat="1" applyFont="1" applyAlignment="1" applyProtection="1">
      <alignment horizontal="center" vertical="center"/>
      <protection locked="0"/>
    </xf>
    <xf numFmtId="0" fontId="56" fillId="17" borderId="160" xfId="0" applyFont="1" applyFill="1" applyBorder="1" applyAlignment="1">
      <alignment horizontal="center" vertical="center" wrapText="1" shrinkToFit="1"/>
    </xf>
    <xf numFmtId="0" fontId="7" fillId="0" borderId="0" xfId="0" applyFont="1" applyAlignment="1" applyProtection="1">
      <alignment horizontal="right" vertical="center" textRotation="255"/>
      <protection hidden="1"/>
    </xf>
    <xf numFmtId="0" fontId="60" fillId="0" borderId="0" xfId="0" applyFont="1" applyAlignment="1" applyProtection="1">
      <alignment vertical="top" wrapText="1"/>
      <protection hidden="1"/>
    </xf>
    <xf numFmtId="0" fontId="18" fillId="0" borderId="0" xfId="0" applyFont="1" applyAlignment="1" applyProtection="1">
      <alignment horizontal="center" vertical="center" shrinkToFit="1"/>
      <protection hidden="1"/>
    </xf>
    <xf numFmtId="0" fontId="8" fillId="0" borderId="0" xfId="0" applyFont="1" applyProtection="1">
      <alignment vertical="center"/>
      <protection hidden="1"/>
    </xf>
    <xf numFmtId="0" fontId="18" fillId="0" borderId="0" xfId="0" applyFont="1" applyAlignment="1" applyProtection="1">
      <alignment vertical="center" shrinkToFit="1"/>
      <protection hidden="1"/>
    </xf>
    <xf numFmtId="0" fontId="18" fillId="0" borderId="0" xfId="0" applyFont="1" applyAlignment="1" applyProtection="1">
      <alignment horizontal="center" vertical="center"/>
      <protection hidden="1"/>
    </xf>
    <xf numFmtId="0" fontId="18" fillId="0" borderId="0" xfId="0" applyFont="1" applyAlignment="1" applyProtection="1">
      <alignment horizontal="left" vertical="center"/>
      <protection hidden="1"/>
    </xf>
    <xf numFmtId="10" fontId="18" fillId="0" borderId="0" xfId="0" applyNumberFormat="1" applyFont="1" applyProtection="1">
      <alignment vertical="center"/>
      <protection hidden="1"/>
    </xf>
    <xf numFmtId="0" fontId="8" fillId="0" borderId="25" xfId="0" applyFont="1" applyBorder="1" applyAlignment="1" applyProtection="1">
      <alignment horizontal="center" vertical="center"/>
      <protection hidden="1"/>
    </xf>
    <xf numFmtId="0" fontId="64" fillId="0" borderId="2" xfId="0" applyFont="1" applyBorder="1" applyAlignment="1" applyProtection="1">
      <alignment horizontal="left" vertical="center"/>
      <protection hidden="1"/>
    </xf>
    <xf numFmtId="0" fontId="65" fillId="0" borderId="3" xfId="0" applyFont="1" applyBorder="1" applyAlignment="1" applyProtection="1">
      <alignment vertical="center" shrinkToFit="1"/>
      <protection hidden="1"/>
    </xf>
    <xf numFmtId="0" fontId="18" fillId="0" borderId="4" xfId="0" applyFont="1" applyBorder="1" applyProtection="1">
      <alignment vertical="center"/>
      <protection hidden="1"/>
    </xf>
    <xf numFmtId="0" fontId="38" fillId="0" borderId="25" xfId="0" applyFont="1" applyBorder="1" applyAlignment="1" applyProtection="1">
      <alignment horizontal="left"/>
      <protection hidden="1"/>
    </xf>
    <xf numFmtId="0" fontId="65" fillId="0" borderId="16" xfId="0" applyFont="1" applyBorder="1" applyAlignment="1" applyProtection="1">
      <alignment vertical="center" shrinkToFit="1"/>
      <protection hidden="1"/>
    </xf>
    <xf numFmtId="0" fontId="18" fillId="0" borderId="22" xfId="0" applyFont="1" applyBorder="1" applyProtection="1">
      <alignment vertical="center"/>
      <protection hidden="1"/>
    </xf>
    <xf numFmtId="0" fontId="66" fillId="0" borderId="0" xfId="0" applyFont="1" applyAlignment="1" applyProtection="1">
      <alignment vertical="center" shrinkToFit="1"/>
      <protection hidden="1"/>
    </xf>
    <xf numFmtId="0" fontId="65" fillId="0" borderId="0" xfId="0" applyFont="1" applyAlignment="1" applyProtection="1">
      <alignment vertical="center" shrinkToFit="1"/>
      <protection hidden="1"/>
    </xf>
    <xf numFmtId="0" fontId="18" fillId="0" borderId="6" xfId="0" applyFont="1" applyBorder="1" applyProtection="1">
      <alignment vertical="center"/>
      <protection hidden="1"/>
    </xf>
    <xf numFmtId="0" fontId="8" fillId="0" borderId="5" xfId="0" applyFont="1" applyBorder="1" applyAlignment="1" applyProtection="1">
      <alignment horizontal="left" vertical="center"/>
      <protection hidden="1"/>
    </xf>
    <xf numFmtId="0" fontId="25" fillId="0" borderId="36" xfId="0" applyFont="1" applyBorder="1" applyProtection="1">
      <alignment vertical="center"/>
      <protection locked="0" hidden="1"/>
    </xf>
    <xf numFmtId="0" fontId="65" fillId="0" borderId="16" xfId="0" applyFont="1" applyBorder="1" applyAlignment="1" applyProtection="1">
      <alignment horizontal="left" vertical="center" shrinkToFit="1"/>
      <protection hidden="1"/>
    </xf>
    <xf numFmtId="0" fontId="8" fillId="0" borderId="5" xfId="0" applyFont="1" applyBorder="1" applyAlignment="1" applyProtection="1">
      <alignment horizontal="center" vertical="center"/>
      <protection hidden="1"/>
    </xf>
    <xf numFmtId="0" fontId="65" fillId="0" borderId="0" xfId="0" applyFont="1" applyAlignment="1" applyProtection="1">
      <alignment horizontal="left" vertical="center" shrinkToFit="1"/>
      <protection hidden="1"/>
    </xf>
    <xf numFmtId="0" fontId="18" fillId="0" borderId="5" xfId="0" applyFont="1" applyBorder="1" applyAlignment="1" applyProtection="1">
      <alignment horizontal="center" vertical="center"/>
      <protection hidden="1"/>
    </xf>
    <xf numFmtId="0" fontId="25" fillId="0" borderId="6" xfId="0" applyFont="1" applyBorder="1" applyAlignment="1" applyProtection="1">
      <alignment vertical="center" shrinkToFit="1"/>
      <protection hidden="1"/>
    </xf>
    <xf numFmtId="0" fontId="25" fillId="0" borderId="0" xfId="0" applyFont="1" applyAlignment="1" applyProtection="1">
      <alignment horizontal="left" vertical="center" shrinkToFit="1"/>
      <protection hidden="1"/>
    </xf>
    <xf numFmtId="0" fontId="18" fillId="0" borderId="25" xfId="0" applyFont="1" applyBorder="1" applyAlignment="1" applyProtection="1">
      <alignment horizontal="center" vertical="center"/>
      <protection hidden="1"/>
    </xf>
    <xf numFmtId="0" fontId="46" fillId="0" borderId="16" xfId="0" applyFont="1" applyBorder="1" applyAlignment="1" applyProtection="1">
      <alignment vertical="center" shrinkToFit="1"/>
      <protection hidden="1"/>
    </xf>
    <xf numFmtId="0" fontId="7" fillId="0" borderId="16" xfId="0" applyFont="1" applyBorder="1" applyAlignment="1" applyProtection="1">
      <alignment vertical="top" shrinkToFit="1"/>
      <protection hidden="1"/>
    </xf>
    <xf numFmtId="14" fontId="46" fillId="0" borderId="16" xfId="0" applyNumberFormat="1" applyFont="1" applyBorder="1" applyAlignment="1" applyProtection="1">
      <alignment horizontal="left" vertical="center" shrinkToFit="1"/>
      <protection locked="0" hidden="1"/>
    </xf>
    <xf numFmtId="0" fontId="46" fillId="0" borderId="0" xfId="0" applyFont="1" applyAlignment="1" applyProtection="1">
      <alignment vertical="center" shrinkToFit="1"/>
      <protection hidden="1"/>
    </xf>
    <xf numFmtId="0" fontId="7" fillId="0" borderId="0" xfId="0" applyFont="1" applyAlignment="1" applyProtection="1">
      <alignment vertical="top" shrinkToFit="1"/>
      <protection hidden="1"/>
    </xf>
    <xf numFmtId="14" fontId="46" fillId="0" borderId="0" xfId="0" applyNumberFormat="1" applyFont="1" applyAlignment="1" applyProtection="1">
      <alignment horizontal="left" vertical="center" shrinkToFit="1"/>
      <protection locked="0" hidden="1"/>
    </xf>
    <xf numFmtId="0" fontId="67" fillId="0" borderId="154" xfId="0" applyFont="1" applyBorder="1" applyAlignment="1" applyProtection="1">
      <alignment vertical="center" wrapText="1"/>
      <protection hidden="1"/>
    </xf>
    <xf numFmtId="0" fontId="67" fillId="0" borderId="0" xfId="0" applyFont="1" applyAlignment="1" applyProtection="1">
      <alignment horizontal="left" vertical="center" wrapText="1"/>
      <protection hidden="1"/>
    </xf>
    <xf numFmtId="0" fontId="46" fillId="0" borderId="0" xfId="0" applyFont="1" applyAlignment="1" applyProtection="1">
      <alignment horizontal="left" wrapText="1"/>
      <protection hidden="1"/>
    </xf>
    <xf numFmtId="0" fontId="68" fillId="0" borderId="0" xfId="0" applyFont="1" applyAlignment="1" applyProtection="1">
      <alignment horizontal="left" vertical="top" wrapText="1"/>
      <protection hidden="1"/>
    </xf>
    <xf numFmtId="14" fontId="18" fillId="0" borderId="16" xfId="0" applyNumberFormat="1" applyFont="1" applyBorder="1" applyAlignment="1" applyProtection="1">
      <alignment horizontal="left" vertical="center" indent="1"/>
      <protection locked="0" hidden="1"/>
    </xf>
    <xf numFmtId="0" fontId="69" fillId="0" borderId="16" xfId="0" applyFont="1" applyBorder="1" applyAlignment="1" applyProtection="1">
      <alignment vertical="top" wrapText="1"/>
      <protection hidden="1"/>
    </xf>
    <xf numFmtId="0" fontId="26" fillId="0" borderId="16" xfId="0" applyFont="1" applyBorder="1" applyAlignment="1" applyProtection="1">
      <alignment horizontal="left" vertical="center"/>
      <protection hidden="1"/>
    </xf>
    <xf numFmtId="0" fontId="68" fillId="0" borderId="0" xfId="0" applyFont="1" applyAlignment="1" applyProtection="1">
      <alignment vertical="top" wrapText="1"/>
      <protection hidden="1"/>
    </xf>
    <xf numFmtId="14" fontId="18" fillId="0" borderId="0" xfId="0" applyNumberFormat="1" applyFont="1" applyAlignment="1" applyProtection="1">
      <alignment horizontal="left" vertical="center" indent="1"/>
      <protection locked="0" hidden="1"/>
    </xf>
    <xf numFmtId="0" fontId="69" fillId="0" borderId="0" xfId="0" applyFont="1" applyAlignment="1" applyProtection="1">
      <alignment vertical="top" wrapText="1"/>
      <protection hidden="1"/>
    </xf>
    <xf numFmtId="0" fontId="23" fillId="0" borderId="0" xfId="0" applyFont="1" applyAlignment="1" applyProtection="1">
      <alignment horizontal="left" shrinkToFit="1"/>
      <protection hidden="1"/>
    </xf>
    <xf numFmtId="0" fontId="26" fillId="0" borderId="0" xfId="0" applyFont="1" applyAlignment="1" applyProtection="1">
      <alignment horizontal="left" vertical="center"/>
      <protection hidden="1"/>
    </xf>
    <xf numFmtId="0" fontId="24" fillId="0" borderId="5" xfId="0" quotePrefix="1" applyFont="1" applyBorder="1" applyAlignment="1" applyProtection="1">
      <alignment horizontal="center" vertical="center"/>
      <protection hidden="1"/>
    </xf>
    <xf numFmtId="0" fontId="70" fillId="0" borderId="0" xfId="0" applyFont="1" applyProtection="1">
      <alignment vertical="center"/>
      <protection hidden="1"/>
    </xf>
    <xf numFmtId="0" fontId="12" fillId="0" borderId="0" xfId="0" applyFont="1" applyAlignment="1" applyProtection="1">
      <protection hidden="1"/>
    </xf>
    <xf numFmtId="0" fontId="25" fillId="0" borderId="36" xfId="0" applyFont="1" applyBorder="1" applyProtection="1">
      <alignment vertical="center"/>
      <protection hidden="1"/>
    </xf>
    <xf numFmtId="0" fontId="17" fillId="0" borderId="0" xfId="0" applyFont="1" applyProtection="1">
      <alignment vertical="center"/>
      <protection hidden="1"/>
    </xf>
    <xf numFmtId="0" fontId="25" fillId="0" borderId="36" xfId="0" applyFont="1" applyBorder="1" applyAlignment="1" applyProtection="1">
      <alignment horizontal="center" vertical="center"/>
      <protection hidden="1"/>
    </xf>
    <xf numFmtId="0" fontId="25" fillId="0" borderId="0" xfId="0" applyFont="1" applyProtection="1">
      <alignment vertical="center"/>
      <protection hidden="1"/>
    </xf>
    <xf numFmtId="0" fontId="25" fillId="0" borderId="0" xfId="0" applyFont="1" applyAlignment="1" applyProtection="1">
      <alignment horizontal="center" vertical="center"/>
      <protection hidden="1"/>
    </xf>
    <xf numFmtId="0" fontId="17" fillId="0" borderId="0" xfId="0" applyFont="1" applyAlignment="1" applyProtection="1">
      <alignment horizontal="center" vertical="center"/>
      <protection hidden="1"/>
    </xf>
    <xf numFmtId="0" fontId="25" fillId="0" borderId="36" xfId="0" applyFont="1" applyBorder="1" applyAlignment="1" applyProtection="1">
      <alignment horizontal="center" vertical="center" shrinkToFit="1"/>
      <protection hidden="1"/>
    </xf>
    <xf numFmtId="14" fontId="35" fillId="0" borderId="36" xfId="0" applyNumberFormat="1" applyFont="1" applyBorder="1" applyAlignment="1" applyProtection="1">
      <alignment horizontal="center" vertical="center" shrinkToFit="1"/>
      <protection locked="0" hidden="1"/>
    </xf>
    <xf numFmtId="0" fontId="25" fillId="0" borderId="0" xfId="0" applyFont="1" applyAlignment="1" applyProtection="1">
      <alignment horizontal="center" vertical="center" shrinkToFit="1"/>
      <protection hidden="1"/>
    </xf>
    <xf numFmtId="14" fontId="35" fillId="0" borderId="0" xfId="0" applyNumberFormat="1" applyFont="1" applyAlignment="1" applyProtection="1">
      <alignment horizontal="center" vertical="center" shrinkToFit="1"/>
      <protection locked="0" hidden="1"/>
    </xf>
    <xf numFmtId="0" fontId="71" fillId="0" borderId="0" xfId="0" applyFont="1" applyAlignment="1" applyProtection="1">
      <alignment horizontal="center" vertical="top" wrapText="1"/>
      <protection hidden="1"/>
    </xf>
    <xf numFmtId="0" fontId="17" fillId="0" borderId="6" xfId="0" applyFont="1" applyBorder="1" applyAlignment="1" applyProtection="1">
      <alignment horizontal="center" vertical="center"/>
      <protection hidden="1"/>
    </xf>
    <xf numFmtId="0" fontId="25" fillId="0" borderId="118" xfId="0" applyFont="1" applyBorder="1" applyAlignment="1" applyProtection="1">
      <alignment horizontal="center" vertical="center"/>
      <protection hidden="1"/>
    </xf>
    <xf numFmtId="0" fontId="17" fillId="0" borderId="5" xfId="0" applyFont="1" applyBorder="1" applyAlignment="1" applyProtection="1">
      <alignment horizontal="center" vertical="center"/>
      <protection hidden="1"/>
    </xf>
    <xf numFmtId="0" fontId="17" fillId="0" borderId="5" xfId="0" applyFont="1" applyBorder="1" applyAlignment="1" applyProtection="1">
      <alignment vertical="center" wrapText="1"/>
      <protection hidden="1"/>
    </xf>
    <xf numFmtId="0" fontId="17" fillId="0" borderId="5" xfId="0" applyFont="1" applyBorder="1" applyProtection="1">
      <alignment vertical="center"/>
      <protection hidden="1"/>
    </xf>
    <xf numFmtId="0" fontId="71" fillId="0" borderId="0" xfId="0" applyFont="1" applyAlignment="1" applyProtection="1">
      <alignment vertical="top" wrapText="1"/>
      <protection hidden="1"/>
    </xf>
    <xf numFmtId="0" fontId="13" fillId="0" borderId="6" xfId="0" applyFont="1" applyBorder="1" applyProtection="1">
      <alignment vertical="center"/>
      <protection hidden="1"/>
    </xf>
    <xf numFmtId="0" fontId="35" fillId="0" borderId="0" xfId="0" applyFont="1" applyAlignment="1" applyProtection="1">
      <alignment horizontal="left" vertical="center" shrinkToFit="1"/>
      <protection hidden="1"/>
    </xf>
    <xf numFmtId="0" fontId="17" fillId="0" borderId="7" xfId="0" applyFont="1" applyBorder="1" applyProtection="1">
      <alignment vertical="center"/>
      <protection hidden="1"/>
    </xf>
    <xf numFmtId="0" fontId="18" fillId="0" borderId="8" xfId="0" applyFont="1" applyBorder="1" applyProtection="1">
      <alignment vertical="center"/>
      <protection hidden="1"/>
    </xf>
    <xf numFmtId="0" fontId="18" fillId="0" borderId="9" xfId="0" applyFont="1" applyBorder="1" applyProtection="1">
      <alignment vertical="center"/>
      <protection hidden="1"/>
    </xf>
    <xf numFmtId="0" fontId="18" fillId="0" borderId="0" xfId="0" applyFont="1" applyProtection="1">
      <alignment vertical="center"/>
      <protection locked="0" hidden="1"/>
    </xf>
    <xf numFmtId="0" fontId="52" fillId="0" borderId="0" xfId="0" applyFont="1" applyProtection="1">
      <alignment vertical="center"/>
      <protection hidden="1"/>
    </xf>
    <xf numFmtId="0" fontId="13" fillId="0" borderId="0" xfId="0" applyFont="1" applyAlignment="1" applyProtection="1">
      <alignment horizontal="center" vertical="center"/>
      <protection hidden="1"/>
    </xf>
    <xf numFmtId="0" fontId="13" fillId="0" borderId="0" xfId="0" applyFont="1" applyAlignment="1" applyProtection="1">
      <alignment vertical="center" shrinkToFit="1"/>
      <protection hidden="1"/>
    </xf>
    <xf numFmtId="0" fontId="17" fillId="0" borderId="32" xfId="0" applyFont="1" applyBorder="1" applyProtection="1">
      <alignment vertical="center"/>
      <protection hidden="1"/>
    </xf>
    <xf numFmtId="0" fontId="6" fillId="0" borderId="0" xfId="0" applyFont="1" applyAlignment="1" applyProtection="1">
      <alignment vertical="center" shrinkToFit="1"/>
      <protection hidden="1"/>
    </xf>
    <xf numFmtId="0" fontId="17" fillId="0" borderId="0" xfId="0" applyFont="1" applyAlignment="1" applyProtection="1">
      <alignment vertical="center" shrinkToFit="1"/>
      <protection hidden="1"/>
    </xf>
    <xf numFmtId="0" fontId="73" fillId="0" borderId="0" xfId="0" applyFont="1" applyProtection="1">
      <alignment vertical="center"/>
      <protection hidden="1"/>
    </xf>
    <xf numFmtId="0" fontId="46" fillId="0" borderId="0" xfId="0" applyFont="1" applyProtection="1">
      <alignment vertical="center"/>
      <protection hidden="1"/>
    </xf>
    <xf numFmtId="0" fontId="18" fillId="11" borderId="116" xfId="0" applyFont="1" applyFill="1" applyBorder="1" applyProtection="1">
      <alignment vertical="center"/>
      <protection hidden="1"/>
    </xf>
    <xf numFmtId="0" fontId="12" fillId="0" borderId="0" xfId="0" applyFont="1" applyProtection="1">
      <alignment vertical="center"/>
      <protection hidden="1"/>
    </xf>
    <xf numFmtId="0" fontId="9" fillId="0" borderId="0" xfId="0" applyFont="1" applyProtection="1">
      <alignment vertical="center"/>
      <protection hidden="1"/>
    </xf>
    <xf numFmtId="0" fontId="76" fillId="0" borderId="0" xfId="0" applyFont="1" applyAlignment="1" applyProtection="1">
      <protection hidden="1"/>
    </xf>
    <xf numFmtId="0" fontId="18" fillId="0" borderId="0" xfId="0" applyFont="1" applyAlignment="1" applyProtection="1">
      <protection hidden="1"/>
    </xf>
    <xf numFmtId="0" fontId="76" fillId="0" borderId="0" xfId="0" applyFont="1" applyProtection="1">
      <alignment vertical="center"/>
      <protection hidden="1"/>
    </xf>
    <xf numFmtId="0" fontId="10" fillId="0" borderId="0" xfId="0" applyFont="1" applyAlignment="1" applyProtection="1">
      <protection hidden="1"/>
    </xf>
    <xf numFmtId="179" fontId="46" fillId="0" borderId="3" xfId="0" applyNumberFormat="1" applyFont="1" applyBorder="1" applyAlignment="1" applyProtection="1">
      <alignment vertical="center" wrapText="1"/>
      <protection hidden="1"/>
    </xf>
    <xf numFmtId="10" fontId="43" fillId="0" borderId="0" xfId="0" applyNumberFormat="1" applyFont="1" applyAlignment="1" applyProtection="1">
      <alignment horizontal="left" vertical="top"/>
      <protection hidden="1"/>
    </xf>
    <xf numFmtId="0" fontId="18" fillId="0" borderId="0" xfId="0" applyFont="1" applyAlignment="1" applyProtection="1">
      <alignment vertical="top"/>
      <protection hidden="1"/>
    </xf>
    <xf numFmtId="10" fontId="44" fillId="0" borderId="0" xfId="0" applyNumberFormat="1" applyFont="1" applyAlignment="1" applyProtection="1">
      <alignment horizontal="left" vertical="top"/>
      <protection hidden="1"/>
    </xf>
    <xf numFmtId="0" fontId="12" fillId="0" borderId="0" xfId="0" applyFont="1" applyAlignment="1" applyProtection="1">
      <alignment horizontal="left"/>
      <protection hidden="1"/>
    </xf>
    <xf numFmtId="0" fontId="77" fillId="0" borderId="0" xfId="0" applyFont="1" applyProtection="1">
      <alignment vertical="center"/>
      <protection hidden="1"/>
    </xf>
    <xf numFmtId="0" fontId="18" fillId="0" borderId="17" xfId="0" applyFont="1" applyBorder="1" applyProtection="1">
      <alignment vertical="center"/>
      <protection hidden="1"/>
    </xf>
    <xf numFmtId="179" fontId="13" fillId="0" borderId="0" xfId="0" applyNumberFormat="1" applyFont="1" applyAlignment="1" applyProtection="1">
      <alignment vertical="center" shrinkToFit="1"/>
      <protection hidden="1"/>
    </xf>
    <xf numFmtId="10" fontId="25" fillId="0" borderId="0" xfId="0" applyNumberFormat="1" applyFont="1" applyProtection="1">
      <alignment vertical="center"/>
      <protection hidden="1"/>
    </xf>
    <xf numFmtId="0" fontId="77" fillId="0" borderId="0" xfId="0" applyFont="1" applyAlignment="1" applyProtection="1">
      <alignment horizontal="left"/>
      <protection hidden="1"/>
    </xf>
    <xf numFmtId="0" fontId="13" fillId="0" borderId="0" xfId="0" applyFont="1" applyAlignment="1" applyProtection="1">
      <alignment horizontal="center" vertical="center" shrinkToFit="1"/>
      <protection hidden="1"/>
    </xf>
    <xf numFmtId="177" fontId="17" fillId="0" borderId="0" xfId="0" applyNumberFormat="1" applyFont="1" applyAlignment="1" applyProtection="1">
      <alignment horizontal="center" vertical="center"/>
      <protection locked="0" hidden="1"/>
    </xf>
    <xf numFmtId="177" fontId="17" fillId="0" borderId="0" xfId="0" applyNumberFormat="1" applyFont="1" applyAlignment="1" applyProtection="1">
      <alignment horizontal="center" vertical="center"/>
      <protection hidden="1"/>
    </xf>
    <xf numFmtId="0" fontId="62" fillId="0" borderId="0" xfId="0" applyFont="1" applyAlignment="1" applyProtection="1">
      <alignment horizontal="left" vertical="center" wrapText="1"/>
      <protection hidden="1"/>
    </xf>
    <xf numFmtId="0" fontId="79" fillId="0" borderId="0" xfId="0" applyFont="1" applyAlignment="1" applyProtection="1">
      <alignment horizontal="center" vertical="center"/>
      <protection hidden="1"/>
    </xf>
    <xf numFmtId="0" fontId="79" fillId="0" borderId="0" xfId="0" applyFont="1" applyProtection="1">
      <alignment vertical="center"/>
      <protection hidden="1"/>
    </xf>
    <xf numFmtId="182" fontId="17" fillId="0" borderId="0" xfId="0" applyNumberFormat="1" applyFont="1" applyAlignment="1" applyProtection="1">
      <alignment horizontal="center" vertical="center"/>
      <protection hidden="1"/>
    </xf>
    <xf numFmtId="182" fontId="17" fillId="0" borderId="0" xfId="0" applyNumberFormat="1" applyFont="1" applyProtection="1">
      <alignment vertical="center"/>
      <protection hidden="1"/>
    </xf>
    <xf numFmtId="182" fontId="17" fillId="3" borderId="0" xfId="0" applyNumberFormat="1" applyFont="1" applyFill="1" applyProtection="1">
      <alignment vertical="center"/>
      <protection locked="0" hidden="1"/>
    </xf>
    <xf numFmtId="0" fontId="56" fillId="17" borderId="164" xfId="0" applyFont="1" applyFill="1" applyBorder="1" applyAlignment="1">
      <alignment horizontal="center" wrapText="1"/>
    </xf>
    <xf numFmtId="14" fontId="56" fillId="17" borderId="162" xfId="0" applyNumberFormat="1" applyFont="1" applyFill="1" applyBorder="1" applyAlignment="1">
      <alignment horizontal="center" wrapText="1"/>
    </xf>
    <xf numFmtId="178" fontId="54" fillId="0" borderId="157" xfId="0" applyNumberFormat="1" applyFont="1" applyBorder="1" applyAlignment="1" applyProtection="1">
      <alignment horizontal="center" vertical="center" wrapText="1"/>
      <protection hidden="1"/>
    </xf>
    <xf numFmtId="0" fontId="34" fillId="0" borderId="0" xfId="0" applyFont="1" applyAlignment="1" applyProtection="1">
      <alignment vertical="center" shrinkToFit="1"/>
      <protection hidden="1"/>
    </xf>
    <xf numFmtId="49" fontId="0" fillId="0" borderId="0" xfId="0" applyNumberFormat="1" applyProtection="1">
      <alignment vertical="center"/>
      <protection locked="0" hidden="1"/>
    </xf>
    <xf numFmtId="0" fontId="0" fillId="0" borderId="0" xfId="0" applyProtection="1">
      <alignment vertical="center"/>
      <protection locked="0" hidden="1"/>
    </xf>
    <xf numFmtId="176" fontId="6" fillId="0" borderId="0" xfId="0" applyNumberFormat="1" applyFont="1" applyProtection="1">
      <alignment vertical="center"/>
      <protection locked="0" hidden="1"/>
    </xf>
    <xf numFmtId="0" fontId="0" fillId="0" borderId="0" xfId="0" applyAlignment="1" applyProtection="1">
      <alignment horizontal="center" vertical="center"/>
      <protection locked="0" hidden="1"/>
    </xf>
    <xf numFmtId="177" fontId="32" fillId="0" borderId="0" xfId="0" applyNumberFormat="1" applyFont="1" applyAlignment="1" applyProtection="1">
      <alignment vertical="top" wrapText="1"/>
      <protection hidden="1"/>
    </xf>
    <xf numFmtId="177" fontId="28" fillId="0" borderId="0" xfId="0" applyNumberFormat="1" applyFont="1" applyAlignment="1" applyProtection="1">
      <alignment horizontal="center" vertical="center"/>
      <protection locked="0" hidden="1"/>
    </xf>
    <xf numFmtId="0" fontId="85" fillId="0" borderId="0" xfId="0" applyFont="1" applyAlignment="1" applyProtection="1">
      <alignment horizontal="left" vertical="center" wrapText="1"/>
      <protection hidden="1"/>
    </xf>
    <xf numFmtId="0" fontId="17" fillId="0" borderId="0" xfId="0" applyFont="1" applyAlignment="1">
      <alignment vertical="center" wrapText="1"/>
    </xf>
    <xf numFmtId="0" fontId="86" fillId="0" borderId="0" xfId="0" applyFont="1" applyAlignment="1">
      <alignment vertical="center" wrapText="1"/>
    </xf>
    <xf numFmtId="0" fontId="86" fillId="0" borderId="0" xfId="0" applyFont="1" applyAlignment="1">
      <alignment horizontal="center" vertical="center" wrapText="1"/>
    </xf>
    <xf numFmtId="0" fontId="56" fillId="17" borderId="168" xfId="0" applyFont="1" applyFill="1" applyBorder="1" applyAlignment="1" applyProtection="1">
      <alignment horizontal="center" vertical="center"/>
      <protection hidden="1"/>
    </xf>
    <xf numFmtId="0" fontId="56" fillId="17" borderId="170" xfId="0" quotePrefix="1" applyFont="1" applyFill="1" applyBorder="1" applyAlignment="1" applyProtection="1">
      <alignment horizontal="center" vertical="center" wrapText="1"/>
      <protection hidden="1"/>
    </xf>
    <xf numFmtId="176" fontId="56" fillId="17" borderId="169" xfId="0" quotePrefix="1" applyNumberFormat="1" applyFont="1" applyFill="1" applyBorder="1" applyAlignment="1" applyProtection="1">
      <alignment horizontal="center" vertical="center"/>
      <protection hidden="1"/>
    </xf>
    <xf numFmtId="176" fontId="56" fillId="17" borderId="162" xfId="0" quotePrefix="1" applyNumberFormat="1" applyFont="1" applyFill="1" applyBorder="1" applyAlignment="1" applyProtection="1">
      <alignment horizontal="center" vertical="center"/>
      <protection hidden="1"/>
    </xf>
    <xf numFmtId="176" fontId="56" fillId="17" borderId="171" xfId="0" quotePrefix="1" applyNumberFormat="1" applyFont="1" applyFill="1" applyBorder="1" applyAlignment="1" applyProtection="1">
      <alignment horizontal="center" vertical="center" wrapText="1"/>
      <protection hidden="1"/>
    </xf>
    <xf numFmtId="178" fontId="56" fillId="17" borderId="173" xfId="0" applyNumberFormat="1" applyFont="1" applyFill="1" applyBorder="1" applyAlignment="1" applyProtection="1">
      <alignment horizontal="center" wrapText="1"/>
      <protection hidden="1"/>
    </xf>
    <xf numFmtId="194" fontId="18" fillId="0" borderId="0" xfId="0" applyNumberFormat="1" applyFont="1" applyAlignment="1">
      <alignment horizontal="left" vertical="center"/>
    </xf>
    <xf numFmtId="0" fontId="18" fillId="0" borderId="0" xfId="0" applyFont="1" applyAlignment="1">
      <alignment horizontal="left" vertical="center"/>
    </xf>
    <xf numFmtId="49" fontId="18" fillId="0" borderId="0" xfId="0" applyNumberFormat="1" applyFont="1" applyProtection="1">
      <alignment vertical="center"/>
      <protection locked="0"/>
    </xf>
    <xf numFmtId="0" fontId="18" fillId="0" borderId="0" xfId="0" applyFont="1" applyProtection="1">
      <alignment vertical="center"/>
      <protection locked="0"/>
    </xf>
    <xf numFmtId="0" fontId="18" fillId="0" borderId="0" xfId="0" applyFont="1" applyAlignment="1" applyProtection="1">
      <alignment horizontal="center" vertical="center"/>
      <protection locked="0"/>
    </xf>
    <xf numFmtId="0" fontId="18" fillId="0" borderId="0" xfId="0" applyFont="1" applyAlignment="1">
      <alignment horizontal="center" vertical="center"/>
    </xf>
    <xf numFmtId="0" fontId="51" fillId="0" borderId="5" xfId="0" quotePrefix="1" applyFont="1" applyBorder="1" applyAlignment="1" applyProtection="1">
      <alignment horizontal="center" shrinkToFit="1"/>
      <protection hidden="1"/>
    </xf>
    <xf numFmtId="0" fontId="51" fillId="0" borderId="5" xfId="0" quotePrefix="1" applyFont="1" applyBorder="1" applyAlignment="1" applyProtection="1">
      <alignment horizontal="center" vertical="center" shrinkToFit="1"/>
      <protection hidden="1"/>
    </xf>
    <xf numFmtId="0" fontId="18" fillId="0" borderId="145" xfId="0" applyFont="1" applyBorder="1" applyProtection="1">
      <alignment vertical="center"/>
      <protection hidden="1"/>
    </xf>
    <xf numFmtId="0" fontId="10" fillId="5" borderId="240" xfId="0" applyFont="1" applyFill="1" applyBorder="1" applyAlignment="1" applyProtection="1">
      <alignment horizontal="center" vertical="center" wrapText="1"/>
      <protection locked="0" hidden="1"/>
    </xf>
    <xf numFmtId="0" fontId="0" fillId="0" borderId="0" xfId="0" applyAlignment="1"/>
    <xf numFmtId="0" fontId="18" fillId="0" borderId="0" xfId="0" applyFont="1" applyAlignment="1" applyProtection="1">
      <alignment horizontal="left" vertical="center" wrapText="1"/>
      <protection hidden="1"/>
    </xf>
    <xf numFmtId="193" fontId="0" fillId="0" borderId="0" xfId="0" quotePrefix="1" applyNumberFormat="1" applyAlignment="1">
      <alignment horizontal="right"/>
    </xf>
    <xf numFmtId="193" fontId="0" fillId="0" borderId="0" xfId="0" applyNumberFormat="1" applyAlignment="1">
      <alignment horizontal="right" vertical="center"/>
    </xf>
    <xf numFmtId="0" fontId="17" fillId="0" borderId="0" xfId="0" applyFont="1" applyAlignment="1" applyProtection="1">
      <alignment horizontal="center" vertical="center" shrinkToFit="1"/>
      <protection locked="0"/>
    </xf>
    <xf numFmtId="14" fontId="17" fillId="0" borderId="0" xfId="0" applyNumberFormat="1" applyFont="1" applyAlignment="1" applyProtection="1">
      <alignment horizontal="center" vertical="center" shrinkToFit="1"/>
      <protection locked="0"/>
    </xf>
    <xf numFmtId="49" fontId="75" fillId="0" borderId="0" xfId="0" applyNumberFormat="1" applyFont="1" applyAlignment="1" applyProtection="1">
      <alignment horizontal="center" shrinkToFit="1"/>
      <protection locked="0"/>
    </xf>
    <xf numFmtId="0" fontId="18" fillId="0" borderId="0" xfId="0" applyFont="1" applyAlignment="1" applyProtection="1">
      <alignment horizontal="center" shrinkToFit="1"/>
      <protection locked="0"/>
    </xf>
    <xf numFmtId="14" fontId="18" fillId="0" borderId="0" xfId="0" applyNumberFormat="1" applyFont="1" applyAlignment="1" applyProtection="1">
      <alignment horizontal="center" vertical="center" shrinkToFit="1"/>
      <protection locked="0"/>
    </xf>
    <xf numFmtId="0" fontId="18" fillId="0" borderId="0" xfId="0" applyFont="1" applyAlignment="1" applyProtection="1">
      <alignment horizontal="center" vertical="center" shrinkToFit="1"/>
      <protection locked="0"/>
    </xf>
    <xf numFmtId="0" fontId="75" fillId="0" borderId="0" xfId="0" applyFont="1" applyAlignment="1" applyProtection="1">
      <alignment horizontal="center" shrinkToFit="1"/>
      <protection locked="0"/>
    </xf>
    <xf numFmtId="49" fontId="17" fillId="0" borderId="0" xfId="0" applyNumberFormat="1" applyFont="1" applyAlignment="1" applyProtection="1">
      <alignment horizontal="center" vertical="center" shrinkToFit="1"/>
      <protection locked="0"/>
    </xf>
    <xf numFmtId="38" fontId="6" fillId="0" borderId="0" xfId="0" applyNumberFormat="1" applyFont="1" applyProtection="1">
      <alignment vertical="center"/>
      <protection locked="0"/>
    </xf>
    <xf numFmtId="40" fontId="6" fillId="0" borderId="0" xfId="0" applyNumberFormat="1" applyFont="1" applyAlignment="1" applyProtection="1">
      <alignment horizontal="center" vertical="center"/>
      <protection locked="0"/>
    </xf>
    <xf numFmtId="40" fontId="6" fillId="0" borderId="0" xfId="0" applyNumberFormat="1" applyFont="1" applyAlignment="1" applyProtection="1">
      <alignment horizontal="center" vertical="center" wrapText="1"/>
      <protection locked="0"/>
    </xf>
    <xf numFmtId="182" fontId="17" fillId="0" borderId="0" xfId="0" applyNumberFormat="1" applyFont="1" applyAlignment="1" applyProtection="1">
      <alignment vertical="center" shrinkToFit="1"/>
      <protection hidden="1"/>
    </xf>
    <xf numFmtId="49" fontId="75" fillId="0" borderId="0" xfId="0" quotePrefix="1" applyNumberFormat="1" applyFont="1" applyAlignment="1" applyProtection="1">
      <alignment horizontal="center" shrinkToFit="1"/>
      <protection locked="0"/>
    </xf>
    <xf numFmtId="0" fontId="94" fillId="0" borderId="159" xfId="0" applyFont="1" applyBorder="1" applyAlignment="1">
      <alignment vertical="center" shrinkToFit="1"/>
    </xf>
    <xf numFmtId="0" fontId="94" fillId="0" borderId="0" xfId="0" applyFont="1" applyAlignment="1">
      <alignment horizontal="center" vertical="center" shrinkToFit="1"/>
    </xf>
    <xf numFmtId="0" fontId="94" fillId="0" borderId="34" xfId="0" applyFont="1" applyBorder="1" applyAlignment="1">
      <alignment horizontal="center" vertical="center" shrinkToFit="1"/>
    </xf>
    <xf numFmtId="0" fontId="94" fillId="0" borderId="0" xfId="0" applyFont="1" applyAlignment="1">
      <alignment vertical="center" shrinkToFit="1"/>
    </xf>
    <xf numFmtId="0" fontId="94" fillId="0" borderId="243" xfId="0" applyFont="1" applyBorder="1" applyAlignment="1">
      <alignment vertical="center" shrinkToFit="1"/>
    </xf>
    <xf numFmtId="0" fontId="94" fillId="0" borderId="1" xfId="0" applyFont="1" applyBorder="1" applyAlignment="1">
      <alignment vertical="center" shrinkToFit="1"/>
    </xf>
    <xf numFmtId="0" fontId="94" fillId="0" borderId="29" xfId="0" applyFont="1" applyBorder="1" applyAlignment="1">
      <alignment vertical="center" shrinkToFit="1"/>
    </xf>
    <xf numFmtId="0" fontId="94" fillId="0" borderId="1" xfId="0" applyFont="1" applyBorder="1" applyAlignment="1">
      <alignment horizontal="center" shrinkToFit="1"/>
    </xf>
    <xf numFmtId="0" fontId="94" fillId="0" borderId="14" xfId="0" applyFont="1" applyBorder="1" applyAlignment="1">
      <alignment vertical="center" shrinkToFit="1"/>
    </xf>
    <xf numFmtId="0" fontId="95" fillId="0" borderId="1" xfId="0" applyFont="1" applyBorder="1" applyAlignment="1">
      <alignment vertical="center" shrinkToFit="1"/>
    </xf>
    <xf numFmtId="0" fontId="94" fillId="0" borderId="155" xfId="0" applyFont="1" applyBorder="1" applyAlignment="1">
      <alignment horizontal="center" vertical="center" shrinkToFit="1"/>
    </xf>
    <xf numFmtId="0" fontId="94" fillId="0" borderId="159" xfId="0" applyFont="1" applyBorder="1" applyAlignment="1">
      <alignment horizontal="center" vertical="center" shrinkToFit="1"/>
    </xf>
    <xf numFmtId="0" fontId="94" fillId="0" borderId="1" xfId="0" applyFont="1" applyBorder="1" applyAlignment="1">
      <alignment horizontal="center" vertical="center"/>
    </xf>
    <xf numFmtId="0" fontId="94" fillId="0" borderId="255" xfId="0" applyFont="1" applyBorder="1" applyAlignment="1">
      <alignment horizontal="center" shrinkToFit="1"/>
    </xf>
    <xf numFmtId="0" fontId="94" fillId="0" borderId="34" xfId="0" applyFont="1" applyBorder="1" applyAlignment="1">
      <alignment horizontal="center" shrinkToFit="1"/>
    </xf>
    <xf numFmtId="0" fontId="94" fillId="0" borderId="1" xfId="0" applyFont="1" applyBorder="1" applyAlignment="1">
      <alignment horizontal="center" vertical="center" shrinkToFit="1"/>
    </xf>
    <xf numFmtId="0" fontId="94" fillId="0" borderId="30" xfId="0" applyFont="1" applyBorder="1" applyAlignment="1">
      <alignment vertical="center" shrinkToFit="1"/>
    </xf>
    <xf numFmtId="0" fontId="94" fillId="0" borderId="1" xfId="0" applyFont="1" applyBorder="1" applyAlignment="1">
      <alignment horizontal="center" vertical="top" wrapText="1"/>
    </xf>
    <xf numFmtId="0" fontId="94" fillId="0" borderId="1" xfId="0" applyFont="1" applyBorder="1" applyAlignment="1">
      <alignment horizontal="left" vertical="center" shrinkToFit="1"/>
    </xf>
    <xf numFmtId="0" fontId="94" fillId="0" borderId="29" xfId="0" applyFont="1" applyBorder="1" applyAlignment="1">
      <alignment horizontal="center" vertical="center" shrinkToFit="1"/>
    </xf>
    <xf numFmtId="0" fontId="94" fillId="0" borderId="34" xfId="0" applyFont="1" applyBorder="1" applyAlignment="1">
      <alignment horizontal="left" vertical="center" shrinkToFit="1"/>
    </xf>
    <xf numFmtId="0" fontId="94" fillId="0" borderId="30" xfId="0" applyFont="1" applyBorder="1" applyAlignment="1">
      <alignment horizontal="center" vertical="center" shrinkToFit="1"/>
    </xf>
    <xf numFmtId="0" fontId="94" fillId="0" borderId="1" xfId="0" quotePrefix="1" applyFont="1" applyBorder="1" applyAlignment="1">
      <alignment horizontal="left" vertical="center" shrinkToFit="1"/>
    </xf>
    <xf numFmtId="0" fontId="94" fillId="0" borderId="0" xfId="0" applyFont="1" applyAlignment="1">
      <alignment horizontal="left" vertical="center" shrinkToFit="1"/>
    </xf>
    <xf numFmtId="0" fontId="50" fillId="0" borderId="0" xfId="0" applyFont="1" applyAlignment="1">
      <alignment horizontal="center" vertical="center" shrinkToFit="1"/>
    </xf>
    <xf numFmtId="0" fontId="50" fillId="0" borderId="1" xfId="0" applyFont="1" applyBorder="1" applyAlignment="1">
      <alignment vertical="center" shrinkToFit="1"/>
    </xf>
    <xf numFmtId="0" fontId="50" fillId="0" borderId="255" xfId="0" applyFont="1" applyBorder="1" applyAlignment="1">
      <alignment vertical="center" shrinkToFit="1"/>
    </xf>
    <xf numFmtId="0" fontId="50" fillId="0" borderId="31" xfId="0" applyFont="1" applyBorder="1" applyAlignment="1">
      <alignment vertical="center" shrinkToFit="1"/>
    </xf>
    <xf numFmtId="0" fontId="50" fillId="0" borderId="30" xfId="0" applyFont="1" applyBorder="1" applyAlignment="1">
      <alignment vertical="center" shrinkToFit="1"/>
    </xf>
    <xf numFmtId="0" fontId="50" fillId="0" borderId="30" xfId="0" applyFont="1" applyBorder="1" applyAlignment="1">
      <alignment horizontal="center" vertical="center" shrinkToFit="1"/>
    </xf>
    <xf numFmtId="0" fontId="50" fillId="0" borderId="34" xfId="0" applyFont="1" applyBorder="1" applyAlignment="1">
      <alignment horizontal="center" vertical="center" shrinkToFit="1"/>
    </xf>
    <xf numFmtId="0" fontId="50" fillId="0" borderId="29" xfId="0" applyFont="1" applyBorder="1" applyAlignment="1">
      <alignment vertical="center" shrinkToFit="1"/>
    </xf>
    <xf numFmtId="0" fontId="50" fillId="0" borderId="1" xfId="0" applyFont="1" applyBorder="1" applyAlignment="1">
      <alignment horizontal="center" vertical="center" shrinkToFit="1"/>
    </xf>
    <xf numFmtId="0" fontId="96" fillId="0" borderId="31" xfId="0" applyFont="1" applyBorder="1">
      <alignment vertical="center"/>
    </xf>
    <xf numFmtId="0" fontId="97" fillId="0" borderId="31" xfId="0" applyFont="1" applyBorder="1" applyAlignment="1">
      <alignment horizontal="left" vertical="center"/>
    </xf>
    <xf numFmtId="0" fontId="50" fillId="0" borderId="31" xfId="0" applyFont="1" applyBorder="1" applyAlignment="1">
      <alignment horizontal="left" vertical="center" shrinkToFit="1"/>
    </xf>
    <xf numFmtId="0" fontId="93" fillId="0" borderId="0" xfId="0" applyFont="1" applyAlignment="1">
      <alignment horizontal="left" vertical="center"/>
    </xf>
    <xf numFmtId="177" fontId="61" fillId="0" borderId="0" xfId="0" applyNumberFormat="1" applyFont="1" applyAlignment="1" applyProtection="1">
      <alignment horizontal="left" vertical="top" wrapText="1"/>
      <protection hidden="1"/>
    </xf>
    <xf numFmtId="177" fontId="28" fillId="0" borderId="0" xfId="0" applyNumberFormat="1" applyFont="1" applyAlignment="1" applyProtection="1">
      <alignment horizontal="center" vertical="center" shrinkToFit="1"/>
      <protection locked="0"/>
    </xf>
    <xf numFmtId="177" fontId="28" fillId="0" borderId="0" xfId="0" applyNumberFormat="1" applyFont="1" applyAlignment="1" applyProtection="1">
      <alignment horizontal="center" vertical="center"/>
      <protection locked="0"/>
    </xf>
    <xf numFmtId="176" fontId="50" fillId="0" borderId="0" xfId="0" applyNumberFormat="1" applyFont="1" applyAlignment="1" applyProtection="1">
      <alignment horizontal="center" vertical="center" shrinkToFit="1"/>
      <protection locked="0"/>
    </xf>
    <xf numFmtId="0" fontId="0" fillId="0" borderId="0" xfId="0" applyProtection="1">
      <alignment vertical="center"/>
      <protection locked="0"/>
    </xf>
    <xf numFmtId="0" fontId="8" fillId="0" borderId="0" xfId="0" applyFont="1" applyAlignment="1">
      <alignment horizontal="left" vertical="center"/>
    </xf>
    <xf numFmtId="0" fontId="52" fillId="0" borderId="1" xfId="0" applyFont="1" applyBorder="1" applyAlignment="1">
      <alignment horizontal="center" vertical="center" shrinkToFit="1"/>
    </xf>
    <xf numFmtId="0" fontId="52" fillId="0" borderId="1" xfId="0" applyFont="1" applyBorder="1" applyAlignment="1">
      <alignment vertical="center" shrinkToFit="1"/>
    </xf>
    <xf numFmtId="0" fontId="52" fillId="0" borderId="176" xfId="0" applyFont="1" applyBorder="1" applyAlignment="1">
      <alignment horizontal="center" vertical="center" shrinkToFit="1"/>
    </xf>
    <xf numFmtId="0" fontId="52" fillId="0" borderId="14" xfId="0" applyFont="1" applyBorder="1" applyAlignment="1">
      <alignment horizontal="center" vertical="center" shrinkToFit="1"/>
    </xf>
    <xf numFmtId="0" fontId="52" fillId="0" borderId="14" xfId="0" applyFont="1" applyBorder="1" applyAlignment="1">
      <alignment vertical="center" shrinkToFit="1"/>
    </xf>
    <xf numFmtId="0" fontId="52" fillId="0" borderId="14" xfId="0" applyFont="1" applyBorder="1">
      <alignment vertical="center"/>
    </xf>
    <xf numFmtId="0" fontId="52" fillId="0" borderId="1" xfId="0" applyFont="1" applyBorder="1">
      <alignment vertical="center"/>
    </xf>
    <xf numFmtId="0" fontId="52" fillId="0" borderId="178" xfId="0" applyFont="1" applyBorder="1" applyAlignment="1">
      <alignment horizontal="center" vertical="center" shrinkToFit="1"/>
    </xf>
    <xf numFmtId="0" fontId="0" fillId="0" borderId="1" xfId="0" applyBorder="1" applyAlignment="1">
      <alignment horizontal="center" vertical="center" shrinkToFit="1"/>
    </xf>
    <xf numFmtId="0" fontId="0" fillId="0" borderId="1" xfId="0" applyBorder="1" applyAlignment="1">
      <alignment vertical="center" shrinkToFit="1"/>
    </xf>
    <xf numFmtId="0" fontId="0" fillId="0" borderId="156" xfId="0" applyBorder="1" applyAlignment="1">
      <alignment vertical="center" shrinkToFit="1"/>
    </xf>
    <xf numFmtId="0" fontId="0" fillId="0" borderId="14" xfId="0" applyBorder="1" applyAlignment="1">
      <alignment horizontal="center" vertical="center" shrinkToFit="1"/>
    </xf>
    <xf numFmtId="0" fontId="0" fillId="0" borderId="14" xfId="0" applyBorder="1" applyAlignment="1">
      <alignment vertical="center" shrinkToFit="1"/>
    </xf>
    <xf numFmtId="0" fontId="8" fillId="0" borderId="0" xfId="0" applyFont="1">
      <alignment vertical="center"/>
    </xf>
    <xf numFmtId="0" fontId="0" fillId="0" borderId="279" xfId="0" applyBorder="1" applyAlignment="1">
      <alignment horizontal="center" vertical="center"/>
    </xf>
    <xf numFmtId="0" fontId="0" fillId="0" borderId="199" xfId="0" applyBorder="1" applyAlignment="1">
      <alignment horizontal="center" vertical="center" shrinkToFit="1"/>
    </xf>
    <xf numFmtId="0" fontId="0" fillId="0" borderId="280" xfId="0" applyBorder="1" applyAlignment="1">
      <alignment horizontal="center" vertical="center" shrinkToFit="1"/>
    </xf>
    <xf numFmtId="0" fontId="0" fillId="0" borderId="281" xfId="0" applyBorder="1" applyAlignment="1">
      <alignment horizontal="center" vertical="center" shrinkToFit="1"/>
    </xf>
    <xf numFmtId="0" fontId="0" fillId="0" borderId="281" xfId="0" applyBorder="1" applyAlignment="1">
      <alignment vertical="center" shrinkToFit="1"/>
    </xf>
    <xf numFmtId="0" fontId="0" fillId="0" borderId="30" xfId="0" applyBorder="1">
      <alignment vertical="center"/>
    </xf>
    <xf numFmtId="0" fontId="0" fillId="0" borderId="156" xfId="0" applyBorder="1">
      <alignment vertical="center"/>
    </xf>
    <xf numFmtId="0" fontId="0" fillId="0" borderId="156" xfId="0" applyBorder="1" applyAlignment="1">
      <alignment horizontal="center" vertical="center" shrinkToFit="1"/>
    </xf>
    <xf numFmtId="0" fontId="0" fillId="0" borderId="282" xfId="0" applyBorder="1" applyAlignment="1">
      <alignment horizontal="center" vertical="center" shrinkToFit="1"/>
    </xf>
    <xf numFmtId="0" fontId="0" fillId="0" borderId="30" xfId="0" applyBorder="1" applyAlignment="1">
      <alignment horizontal="center" vertical="center" shrinkToFit="1"/>
    </xf>
    <xf numFmtId="0" fontId="0" fillId="0" borderId="282" xfId="0" applyBorder="1" applyAlignment="1">
      <alignment vertical="center" shrinkToFit="1"/>
    </xf>
    <xf numFmtId="0" fontId="0" fillId="0" borderId="182" xfId="0" applyBorder="1" applyAlignment="1">
      <alignment horizontal="center" vertical="center" shrinkToFit="1"/>
    </xf>
    <xf numFmtId="0" fontId="0" fillId="0" borderId="183" xfId="0" applyBorder="1" applyAlignment="1">
      <alignment horizontal="center" vertical="center" shrinkToFit="1"/>
    </xf>
    <xf numFmtId="0" fontId="0" fillId="0" borderId="184" xfId="0" applyBorder="1" applyAlignment="1">
      <alignment horizontal="center" vertical="center" shrinkToFit="1"/>
    </xf>
    <xf numFmtId="0" fontId="8" fillId="0" borderId="283" xfId="0" quotePrefix="1" applyFont="1" applyBorder="1" applyAlignment="1">
      <alignment horizontal="center" vertical="center" shrinkToFit="1"/>
    </xf>
    <xf numFmtId="0" fontId="8" fillId="0" borderId="284" xfId="0" quotePrefix="1" applyFont="1" applyBorder="1" applyAlignment="1">
      <alignment horizontal="center" vertical="center" shrinkToFit="1"/>
    </xf>
    <xf numFmtId="0" fontId="8" fillId="0" borderId="286" xfId="0" quotePrefix="1" applyFont="1" applyBorder="1" applyAlignment="1">
      <alignment horizontal="center" vertical="center" shrinkToFit="1"/>
    </xf>
    <xf numFmtId="0" fontId="8" fillId="0" borderId="287" xfId="0" quotePrefix="1" applyFont="1" applyBorder="1" applyAlignment="1">
      <alignment horizontal="center" vertical="center" shrinkToFit="1"/>
    </xf>
    <xf numFmtId="0" fontId="8" fillId="0" borderId="284" xfId="0" applyFont="1" applyBorder="1" applyAlignment="1">
      <alignment horizontal="center" vertical="center" shrinkToFit="1"/>
    </xf>
    <xf numFmtId="0" fontId="8" fillId="0" borderId="285" xfId="0" applyFont="1" applyBorder="1" applyAlignment="1">
      <alignment horizontal="center" vertical="center" shrinkToFit="1"/>
    </xf>
    <xf numFmtId="0" fontId="18" fillId="0" borderId="178" xfId="0" applyFont="1" applyBorder="1" applyAlignment="1">
      <alignment horizontal="center" vertical="center"/>
    </xf>
    <xf numFmtId="0" fontId="18" fillId="0" borderId="176" xfId="0" applyFont="1" applyBorder="1" applyAlignment="1">
      <alignment horizontal="center" vertical="center"/>
    </xf>
    <xf numFmtId="0" fontId="18" fillId="0" borderId="176" xfId="0" applyFont="1" applyBorder="1" applyAlignment="1">
      <alignment horizontal="center" vertical="center" wrapText="1"/>
    </xf>
    <xf numFmtId="0" fontId="18" fillId="0" borderId="176" xfId="0" applyFont="1" applyBorder="1" applyAlignment="1">
      <alignment horizontal="center" vertical="center" shrinkToFit="1"/>
    </xf>
    <xf numFmtId="0" fontId="18" fillId="0" borderId="177" xfId="0" applyFont="1" applyBorder="1" applyAlignment="1">
      <alignment horizontal="center" vertical="center" shrinkToFit="1"/>
    </xf>
    <xf numFmtId="0" fontId="0" fillId="0" borderId="178" xfId="0" applyBorder="1" applyAlignment="1">
      <alignment horizontal="center" vertical="center" shrinkToFit="1"/>
    </xf>
    <xf numFmtId="0" fontId="0" fillId="0" borderId="176" xfId="0" applyBorder="1" applyAlignment="1">
      <alignment horizontal="center" vertical="center" shrinkToFit="1"/>
    </xf>
    <xf numFmtId="0" fontId="0" fillId="0" borderId="177" xfId="0" applyBorder="1" applyAlignment="1">
      <alignment horizontal="center" vertical="center" shrinkToFit="1"/>
    </xf>
    <xf numFmtId="0" fontId="50" fillId="0" borderId="159" xfId="0" applyFont="1" applyBorder="1" applyAlignment="1">
      <alignment horizontal="left" vertical="center" shrinkToFit="1"/>
    </xf>
    <xf numFmtId="0" fontId="0" fillId="0" borderId="14" xfId="0" applyBorder="1" applyAlignment="1">
      <alignment horizontal="center" vertical="center"/>
    </xf>
    <xf numFmtId="0" fontId="0" fillId="0" borderId="1" xfId="0" applyBorder="1" applyAlignment="1">
      <alignment horizontal="center" vertical="center"/>
    </xf>
    <xf numFmtId="0" fontId="0" fillId="0" borderId="281" xfId="0" applyBorder="1" applyAlignment="1">
      <alignment horizontal="center" vertical="center"/>
    </xf>
    <xf numFmtId="0" fontId="92" fillId="0" borderId="0" xfId="0" applyFont="1">
      <alignment vertical="center"/>
    </xf>
    <xf numFmtId="0" fontId="92" fillId="0" borderId="0" xfId="0" applyFont="1" applyAlignment="1">
      <alignment horizontal="left" vertical="center"/>
    </xf>
    <xf numFmtId="0" fontId="94" fillId="0" borderId="31" xfId="0" applyFont="1" applyBorder="1" applyAlignment="1">
      <alignment horizontal="left" vertical="center"/>
    </xf>
    <xf numFmtId="0" fontId="50" fillId="0" borderId="31" xfId="0" applyFont="1" applyBorder="1" applyAlignment="1">
      <alignment horizontal="left" vertical="center"/>
    </xf>
    <xf numFmtId="0" fontId="75" fillId="0" borderId="0" xfId="0" applyFont="1" applyAlignment="1" applyProtection="1">
      <alignment horizontal="center" wrapText="1" shrinkToFit="1"/>
      <protection locked="0"/>
    </xf>
    <xf numFmtId="0" fontId="50" fillId="0" borderId="255" xfId="0" applyFont="1" applyBorder="1" applyAlignment="1">
      <alignment horizontal="left" vertical="center" shrinkToFit="1"/>
    </xf>
    <xf numFmtId="0" fontId="50" fillId="0" borderId="14" xfId="0" applyFont="1" applyBorder="1" applyAlignment="1">
      <alignment horizontal="left" vertical="center" shrinkToFit="1"/>
    </xf>
    <xf numFmtId="0" fontId="50" fillId="0" borderId="243" xfId="0" applyFont="1" applyBorder="1" applyAlignment="1">
      <alignment horizontal="center" vertical="center" shrinkToFit="1"/>
    </xf>
    <xf numFmtId="0" fontId="50" fillId="0" borderId="14" xfId="0" applyFont="1" applyBorder="1" applyAlignment="1">
      <alignment horizontal="center" vertical="center" shrinkToFit="1"/>
    </xf>
    <xf numFmtId="0" fontId="50" fillId="0" borderId="1" xfId="0" applyFont="1" applyBorder="1" applyAlignment="1">
      <alignment horizontal="left" vertical="center" shrinkToFit="1"/>
    </xf>
    <xf numFmtId="0" fontId="50" fillId="0" borderId="0" xfId="0" applyFont="1" applyAlignment="1">
      <alignment horizontal="left" vertical="center" shrinkToFit="1"/>
    </xf>
    <xf numFmtId="0" fontId="50" fillId="0" borderId="243" xfId="0" applyFont="1" applyBorder="1" applyAlignment="1">
      <alignment horizontal="left" vertical="top" shrinkToFit="1"/>
    </xf>
    <xf numFmtId="0" fontId="50" fillId="0" borderId="17" xfId="0" applyFont="1" applyBorder="1" applyAlignment="1">
      <alignment horizontal="left" vertical="center" shrinkToFit="1"/>
    </xf>
    <xf numFmtId="0" fontId="50" fillId="0" borderId="243" xfId="0" applyFont="1" applyBorder="1" applyAlignment="1">
      <alignment horizontal="left" vertical="center" shrinkToFit="1"/>
    </xf>
    <xf numFmtId="0" fontId="50" fillId="0" borderId="34" xfId="0" applyFont="1" applyBorder="1" applyAlignment="1">
      <alignment horizontal="left" vertical="center" shrinkToFit="1"/>
    </xf>
    <xf numFmtId="0" fontId="52" fillId="0" borderId="246" xfId="0" applyFont="1" applyBorder="1" applyAlignment="1">
      <alignment horizontal="center" vertical="center" shrinkToFit="1"/>
    </xf>
    <xf numFmtId="0" fontId="52" fillId="0" borderId="247" xfId="0" applyFont="1" applyBorder="1" applyAlignment="1">
      <alignment horizontal="center" vertical="center" shrinkToFit="1"/>
    </xf>
    <xf numFmtId="0" fontId="52" fillId="0" borderId="248" xfId="0" applyFont="1" applyBorder="1" applyAlignment="1">
      <alignment horizontal="center" vertical="center" shrinkToFit="1"/>
    </xf>
    <xf numFmtId="0" fontId="92" fillId="0" borderId="0" xfId="0" applyFont="1" applyAlignment="1">
      <alignment horizontal="left" vertical="center" shrinkToFit="1"/>
    </xf>
    <xf numFmtId="0" fontId="92" fillId="0" borderId="0" xfId="0" applyFont="1" applyAlignment="1">
      <alignment horizontal="center" vertical="center" shrinkToFit="1"/>
    </xf>
    <xf numFmtId="0" fontId="92" fillId="0" borderId="0" xfId="0" applyFont="1" applyAlignment="1">
      <alignment vertical="center" shrinkToFit="1"/>
    </xf>
    <xf numFmtId="0" fontId="52" fillId="0" borderId="255" xfId="0" applyFont="1" applyBorder="1" applyAlignment="1">
      <alignment horizontal="center" vertical="center" shrinkToFit="1"/>
    </xf>
    <xf numFmtId="0" fontId="52" fillId="0" borderId="243" xfId="0" applyFont="1" applyBorder="1" applyAlignment="1">
      <alignment horizontal="center" vertical="center" shrinkToFit="1"/>
    </xf>
    <xf numFmtId="0" fontId="52" fillId="0" borderId="288" xfId="0" applyFont="1" applyBorder="1" applyAlignment="1">
      <alignment horizontal="center" vertical="center" shrinkToFit="1"/>
    </xf>
    <xf numFmtId="0" fontId="52" fillId="0" borderId="289" xfId="0" applyFont="1" applyBorder="1" applyAlignment="1">
      <alignment horizontal="center" vertical="center" shrinkToFit="1"/>
    </xf>
    <xf numFmtId="0" fontId="52" fillId="0" borderId="290" xfId="0" applyFont="1" applyBorder="1" applyAlignment="1">
      <alignment horizontal="center" vertical="center" shrinkToFit="1"/>
    </xf>
    <xf numFmtId="0" fontId="52" fillId="0" borderId="291" xfId="0" applyFont="1" applyBorder="1" applyAlignment="1">
      <alignment horizontal="center" vertical="center" shrinkToFit="1"/>
    </xf>
    <xf numFmtId="0" fontId="52" fillId="0" borderId="292" xfId="0" applyFont="1" applyBorder="1" applyAlignment="1">
      <alignment horizontal="center" vertical="center" shrinkToFit="1"/>
    </xf>
    <xf numFmtId="0" fontId="52" fillId="0" borderId="293" xfId="0" applyFont="1" applyBorder="1" applyAlignment="1">
      <alignment horizontal="center" vertical="center" shrinkToFit="1"/>
    </xf>
    <xf numFmtId="0" fontId="52" fillId="0" borderId="252" xfId="0" applyFont="1" applyBorder="1" applyAlignment="1">
      <alignment horizontal="center" vertical="center" shrinkToFit="1"/>
    </xf>
    <xf numFmtId="0" fontId="52" fillId="0" borderId="253" xfId="0" applyFont="1" applyBorder="1" applyAlignment="1">
      <alignment horizontal="center" vertical="center" shrinkToFit="1"/>
    </xf>
    <xf numFmtId="0" fontId="52" fillId="0" borderId="254" xfId="0" applyFont="1" applyBorder="1" applyAlignment="1">
      <alignment horizontal="center" vertical="center" shrinkToFit="1"/>
    </xf>
    <xf numFmtId="177" fontId="28" fillId="0" borderId="0" xfId="0" applyNumberFormat="1" applyFont="1" applyAlignment="1" applyProtection="1">
      <alignment horizontal="left" vertical="center"/>
      <protection locked="0" hidden="1"/>
    </xf>
    <xf numFmtId="0" fontId="10" fillId="7" borderId="0" xfId="0" applyFont="1" applyFill="1" applyAlignment="1" applyProtection="1">
      <alignment vertical="center" wrapText="1"/>
      <protection hidden="1"/>
    </xf>
    <xf numFmtId="0" fontId="93" fillId="0" borderId="0" xfId="0" applyFont="1">
      <alignment vertical="center"/>
    </xf>
    <xf numFmtId="0" fontId="93" fillId="0" borderId="0" xfId="0" applyFont="1" applyAlignment="1">
      <alignment vertical="center" shrinkToFit="1"/>
    </xf>
    <xf numFmtId="0" fontId="0" fillId="0" borderId="3" xfId="0" applyBorder="1">
      <alignment vertical="center"/>
    </xf>
    <xf numFmtId="0" fontId="0" fillId="0" borderId="3" xfId="0" applyBorder="1" applyAlignment="1">
      <alignment vertical="center" shrinkToFit="1"/>
    </xf>
    <xf numFmtId="0" fontId="8" fillId="0" borderId="286" xfId="0" applyFont="1" applyBorder="1" applyAlignment="1">
      <alignment horizontal="center" vertical="center" shrinkToFit="1"/>
    </xf>
    <xf numFmtId="0" fontId="18" fillId="0" borderId="30" xfId="0" applyFont="1" applyBorder="1" applyAlignment="1">
      <alignment horizontal="center" vertical="center"/>
    </xf>
    <xf numFmtId="0" fontId="18" fillId="0" borderId="156" xfId="0" applyFont="1" applyBorder="1" applyAlignment="1">
      <alignment horizontal="center" vertical="center"/>
    </xf>
    <xf numFmtId="0" fontId="18" fillId="0" borderId="156" xfId="0" applyFont="1" applyBorder="1" applyAlignment="1">
      <alignment horizontal="center" vertical="center" wrapText="1"/>
    </xf>
    <xf numFmtId="0" fontId="18" fillId="0" borderId="156" xfId="0" applyFont="1" applyBorder="1" applyAlignment="1">
      <alignment horizontal="center" vertical="center" shrinkToFit="1"/>
    </xf>
    <xf numFmtId="0" fontId="18" fillId="0" borderId="282" xfId="0" applyFont="1" applyBorder="1" applyAlignment="1">
      <alignment horizontal="center" vertical="center" shrinkToFit="1"/>
    </xf>
    <xf numFmtId="0" fontId="18" fillId="0" borderId="294" xfId="0" applyFont="1" applyBorder="1" applyAlignment="1">
      <alignment horizontal="center" vertical="center" wrapText="1"/>
    </xf>
    <xf numFmtId="0" fontId="93" fillId="0" borderId="283" xfId="0" applyFont="1" applyBorder="1" applyAlignment="1">
      <alignment horizontal="center" shrinkToFit="1"/>
    </xf>
    <xf numFmtId="0" fontId="93" fillId="0" borderId="284" xfId="0" applyFont="1" applyBorder="1" applyAlignment="1">
      <alignment horizontal="center" vertical="center" shrinkToFit="1"/>
    </xf>
    <xf numFmtId="0" fontId="93" fillId="0" borderId="284" xfId="0" applyFont="1" applyBorder="1" applyAlignment="1">
      <alignment vertical="center" shrinkToFit="1"/>
    </xf>
    <xf numFmtId="49" fontId="93" fillId="0" borderId="284" xfId="0" quotePrefix="1" applyNumberFormat="1" applyFont="1" applyBorder="1" applyAlignment="1">
      <alignment horizontal="center" shrinkToFit="1"/>
    </xf>
    <xf numFmtId="0" fontId="93" fillId="0" borderId="285" xfId="0" applyFont="1" applyBorder="1" applyAlignment="1">
      <alignment horizontal="center" vertical="center" shrinkToFit="1"/>
    </xf>
    <xf numFmtId="0" fontId="52" fillId="0" borderId="279" xfId="0" applyFont="1" applyBorder="1">
      <alignment vertical="center"/>
    </xf>
    <xf numFmtId="0" fontId="52" fillId="0" borderId="199" xfId="0" applyFont="1" applyBorder="1">
      <alignment vertical="center"/>
    </xf>
    <xf numFmtId="0" fontId="52" fillId="0" borderId="280" xfId="0" applyFont="1" applyBorder="1">
      <alignment vertical="center"/>
    </xf>
    <xf numFmtId="0" fontId="52" fillId="0" borderId="281" xfId="0" applyFont="1" applyBorder="1" applyAlignment="1">
      <alignment horizontal="center" vertical="center" shrinkToFit="1"/>
    </xf>
    <xf numFmtId="0" fontId="52" fillId="0" borderId="281" xfId="0" applyFont="1" applyBorder="1" applyAlignment="1">
      <alignment vertical="center" shrinkToFit="1"/>
    </xf>
    <xf numFmtId="0" fontId="52" fillId="0" borderId="281" xfId="0" applyFont="1" applyBorder="1">
      <alignment vertical="center"/>
    </xf>
    <xf numFmtId="0" fontId="52" fillId="0" borderId="177" xfId="0" applyFont="1" applyBorder="1" applyAlignment="1">
      <alignment horizontal="center" vertical="center" shrinkToFit="1"/>
    </xf>
    <xf numFmtId="0" fontId="18" fillId="0" borderId="14" xfId="0" applyFont="1" applyBorder="1">
      <alignment vertical="center"/>
    </xf>
    <xf numFmtId="0" fontId="18" fillId="0" borderId="1" xfId="0" applyFont="1" applyBorder="1">
      <alignment vertical="center"/>
    </xf>
    <xf numFmtId="0" fontId="18" fillId="0" borderId="1" xfId="0" applyFont="1" applyBorder="1" applyAlignment="1">
      <alignment horizontal="left" vertical="center"/>
    </xf>
    <xf numFmtId="0" fontId="18" fillId="0" borderId="255" xfId="0" applyFont="1" applyBorder="1">
      <alignment vertical="center"/>
    </xf>
    <xf numFmtId="0" fontId="18" fillId="0" borderId="281" xfId="0" applyFont="1" applyBorder="1">
      <alignment vertical="center"/>
    </xf>
    <xf numFmtId="0" fontId="8" fillId="0" borderId="0" xfId="0" quotePrefix="1" applyFont="1" applyAlignment="1">
      <alignment horizontal="center" vertical="center" shrinkToFit="1"/>
    </xf>
    <xf numFmtId="0" fontId="8" fillId="0" borderId="0" xfId="0" applyFont="1" applyAlignment="1">
      <alignment vertical="center" shrinkToFit="1"/>
    </xf>
    <xf numFmtId="0" fontId="0" fillId="0" borderId="3" xfId="0" applyBorder="1" applyAlignment="1">
      <alignment horizontal="center" vertical="center"/>
    </xf>
    <xf numFmtId="0" fontId="0" fillId="0" borderId="1" xfId="0" applyBorder="1">
      <alignment vertical="center"/>
    </xf>
    <xf numFmtId="0" fontId="0" fillId="0" borderId="199" xfId="0" applyBorder="1" applyAlignment="1">
      <alignment horizontal="center" vertical="center"/>
    </xf>
    <xf numFmtId="0" fontId="0" fillId="0" borderId="280" xfId="0" applyBorder="1" applyAlignment="1">
      <alignment horizontal="center" vertical="center"/>
    </xf>
    <xf numFmtId="0" fontId="0" fillId="0" borderId="281" xfId="0" applyBorder="1">
      <alignment vertical="center"/>
    </xf>
    <xf numFmtId="0" fontId="0" fillId="0" borderId="14" xfId="0" applyBorder="1">
      <alignment vertical="center"/>
    </xf>
    <xf numFmtId="0" fontId="8" fillId="0" borderId="283" xfId="0" applyFont="1" applyBorder="1" applyAlignment="1">
      <alignment horizontal="center" vertical="center" shrinkToFit="1"/>
    </xf>
    <xf numFmtId="0" fontId="18" fillId="0" borderId="1" xfId="0" applyFont="1" applyBorder="1" applyAlignment="1">
      <alignment horizontal="left" vertical="center" wrapText="1"/>
    </xf>
    <xf numFmtId="0" fontId="18" fillId="0" borderId="255" xfId="0" applyFont="1" applyBorder="1" applyAlignment="1">
      <alignment vertical="center" wrapText="1"/>
    </xf>
    <xf numFmtId="0" fontId="18" fillId="0" borderId="281" xfId="0" applyFont="1" applyBorder="1" applyAlignment="1">
      <alignment vertical="center" wrapText="1"/>
    </xf>
    <xf numFmtId="0" fontId="18" fillId="0" borderId="1" xfId="0" applyFont="1" applyBorder="1" applyAlignment="1">
      <alignment vertical="center" wrapText="1"/>
    </xf>
    <xf numFmtId="0" fontId="18" fillId="0" borderId="14" xfId="0" applyFont="1" applyBorder="1" applyAlignment="1">
      <alignment vertical="center" wrapText="1"/>
    </xf>
    <xf numFmtId="0" fontId="17" fillId="0" borderId="1" xfId="0" applyFont="1" applyBorder="1" applyAlignment="1" applyProtection="1">
      <alignment horizontal="center" vertical="center"/>
      <protection hidden="1"/>
    </xf>
    <xf numFmtId="0" fontId="17" fillId="0" borderId="0" xfId="0" applyFont="1" applyAlignment="1" applyProtection="1">
      <alignment horizontal="left" vertical="center"/>
      <protection hidden="1"/>
    </xf>
    <xf numFmtId="0" fontId="17" fillId="0" borderId="0" xfId="0" applyFont="1" applyAlignment="1" applyProtection="1">
      <alignment horizontal="center" vertical="center" shrinkToFit="1"/>
      <protection hidden="1"/>
    </xf>
    <xf numFmtId="0" fontId="30" fillId="0" borderId="244" xfId="0" applyFont="1" applyBorder="1" applyAlignment="1" applyProtection="1">
      <alignment horizontal="center" vertical="center" shrinkToFit="1"/>
      <protection hidden="1"/>
    </xf>
    <xf numFmtId="0" fontId="30" fillId="0" borderId="0" xfId="0" applyFont="1" applyAlignment="1" applyProtection="1">
      <alignment horizontal="center" vertical="center"/>
      <protection hidden="1"/>
    </xf>
    <xf numFmtId="0" fontId="17" fillId="0" borderId="1" xfId="0" applyFont="1" applyBorder="1" applyAlignment="1" applyProtection="1">
      <alignment horizontal="center" vertical="center" shrinkToFit="1"/>
      <protection hidden="1"/>
    </xf>
    <xf numFmtId="0" fontId="17" fillId="0" borderId="16" xfId="0" applyFont="1" applyBorder="1" applyAlignment="1" applyProtection="1">
      <alignment horizontal="center" vertical="center"/>
      <protection hidden="1"/>
    </xf>
    <xf numFmtId="0" fontId="17" fillId="0" borderId="16" xfId="0" applyFont="1" applyBorder="1" applyAlignment="1" applyProtection="1">
      <alignment horizontal="center" vertical="center" shrinkToFit="1"/>
      <protection hidden="1"/>
    </xf>
    <xf numFmtId="0" fontId="17" fillId="0" borderId="16" xfId="0" applyFont="1" applyBorder="1" applyProtection="1">
      <alignment vertical="center"/>
      <protection hidden="1"/>
    </xf>
    <xf numFmtId="0" fontId="17" fillId="0" borderId="16" xfId="0" applyFont="1" applyBorder="1" applyAlignment="1" applyProtection="1">
      <alignment horizontal="left" vertical="center"/>
      <protection hidden="1"/>
    </xf>
    <xf numFmtId="0" fontId="30" fillId="0" borderId="0" xfId="0" applyFont="1" applyAlignment="1" applyProtection="1">
      <alignment horizontal="left" vertical="center"/>
      <protection hidden="1"/>
    </xf>
    <xf numFmtId="184" fontId="30" fillId="0" borderId="0" xfId="0" applyNumberFormat="1" applyFont="1" applyAlignment="1" applyProtection="1">
      <alignment horizontal="center" vertical="center" shrinkToFit="1"/>
      <protection hidden="1"/>
    </xf>
    <xf numFmtId="0" fontId="30" fillId="0" borderId="0" xfId="0" applyFont="1" applyProtection="1">
      <alignment vertical="center"/>
      <protection hidden="1"/>
    </xf>
    <xf numFmtId="0" fontId="30" fillId="0" borderId="31" xfId="0" applyFont="1" applyBorder="1" applyAlignment="1" applyProtection="1">
      <alignment horizontal="center" vertical="center" shrinkToFit="1"/>
      <protection hidden="1"/>
    </xf>
    <xf numFmtId="0" fontId="30" fillId="0" borderId="17" xfId="0" applyFont="1" applyBorder="1" applyAlignment="1" applyProtection="1">
      <alignment horizontal="center" vertical="center" shrinkToFit="1"/>
      <protection hidden="1"/>
    </xf>
    <xf numFmtId="0" fontId="30" fillId="0" borderId="34" xfId="0" applyFont="1" applyBorder="1" applyAlignment="1" applyProtection="1">
      <alignment horizontal="center" vertical="center" shrinkToFit="1"/>
      <protection hidden="1"/>
    </xf>
    <xf numFmtId="10" fontId="30" fillId="0" borderId="0" xfId="0" applyNumberFormat="1" applyFont="1" applyAlignment="1" applyProtection="1">
      <alignment horizontal="center" vertical="center"/>
      <protection hidden="1"/>
    </xf>
    <xf numFmtId="0" fontId="30" fillId="0" borderId="30" xfId="0" applyFont="1" applyBorder="1" applyAlignment="1" applyProtection="1">
      <alignment horizontal="center" vertical="center" shrinkToFit="1"/>
      <protection hidden="1"/>
    </xf>
    <xf numFmtId="0" fontId="30" fillId="0" borderId="245" xfId="0" applyFont="1" applyBorder="1" applyAlignment="1" applyProtection="1">
      <alignment horizontal="center" vertical="center" shrinkToFit="1"/>
      <protection hidden="1"/>
    </xf>
    <xf numFmtId="184" fontId="17" fillId="0" borderId="0" xfId="0" applyNumberFormat="1" applyFont="1" applyAlignment="1" applyProtection="1">
      <alignment horizontal="center" vertical="center" shrinkToFit="1"/>
      <protection hidden="1"/>
    </xf>
    <xf numFmtId="177" fontId="17" fillId="0" borderId="0" xfId="0" applyNumberFormat="1" applyFont="1" applyAlignment="1" applyProtection="1">
      <alignment vertical="center" shrinkToFit="1"/>
      <protection hidden="1"/>
    </xf>
    <xf numFmtId="179" fontId="17" fillId="0" borderId="0" xfId="0" applyNumberFormat="1" applyFont="1" applyAlignment="1" applyProtection="1">
      <alignment horizontal="center" vertical="center" shrinkToFit="1"/>
      <protection hidden="1"/>
    </xf>
    <xf numFmtId="0" fontId="17" fillId="0" borderId="246" xfId="0" applyFont="1" applyBorder="1" applyAlignment="1" applyProtection="1">
      <alignment horizontal="center" vertical="center" shrinkToFit="1"/>
      <protection hidden="1"/>
    </xf>
    <xf numFmtId="0" fontId="17" fillId="0" borderId="247" xfId="0" applyFont="1" applyBorder="1" applyAlignment="1" applyProtection="1">
      <alignment horizontal="center" vertical="center" shrinkToFit="1"/>
      <protection hidden="1"/>
    </xf>
    <xf numFmtId="0" fontId="17" fillId="0" borderId="248" xfId="0" applyFont="1" applyBorder="1" applyAlignment="1" applyProtection="1">
      <alignment horizontal="center" vertical="center" shrinkToFit="1"/>
      <protection hidden="1"/>
    </xf>
    <xf numFmtId="0" fontId="17" fillId="0" borderId="249" xfId="0" applyFont="1" applyBorder="1" applyAlignment="1" applyProtection="1">
      <alignment horizontal="center" vertical="center" shrinkToFit="1"/>
      <protection hidden="1"/>
    </xf>
    <xf numFmtId="0" fontId="17" fillId="0" borderId="250" xfId="0" applyFont="1" applyBorder="1" applyAlignment="1" applyProtection="1">
      <alignment horizontal="center" vertical="center" shrinkToFit="1"/>
      <protection hidden="1"/>
    </xf>
    <xf numFmtId="0" fontId="17" fillId="0" borderId="251" xfId="0" applyFont="1" applyBorder="1" applyAlignment="1" applyProtection="1">
      <alignment horizontal="center" vertical="center" shrinkToFit="1"/>
      <protection hidden="1"/>
    </xf>
    <xf numFmtId="0" fontId="17" fillId="0" borderId="252" xfId="0" applyFont="1" applyBorder="1" applyAlignment="1" applyProtection="1">
      <alignment horizontal="center" vertical="center" shrinkToFit="1"/>
      <protection hidden="1"/>
    </xf>
    <xf numFmtId="0" fontId="17" fillId="0" borderId="253" xfId="0" applyFont="1" applyBorder="1" applyAlignment="1" applyProtection="1">
      <alignment horizontal="center" vertical="center" shrinkToFit="1"/>
      <protection hidden="1"/>
    </xf>
    <xf numFmtId="0" fontId="17" fillId="0" borderId="254" xfId="0" applyFont="1" applyBorder="1" applyAlignment="1" applyProtection="1">
      <alignment horizontal="center" vertical="center" shrinkToFit="1"/>
      <protection hidden="1"/>
    </xf>
    <xf numFmtId="0" fontId="17" fillId="0" borderId="1" xfId="0" applyFont="1" applyBorder="1" applyAlignment="1" applyProtection="1">
      <alignment horizontal="left" vertical="center" shrinkToFit="1"/>
      <protection hidden="1"/>
    </xf>
    <xf numFmtId="0" fontId="17" fillId="0" borderId="8" xfId="0" applyFont="1" applyBorder="1" applyAlignment="1" applyProtection="1">
      <alignment horizontal="center" vertical="center"/>
      <protection hidden="1"/>
    </xf>
    <xf numFmtId="0" fontId="17" fillId="0" borderId="8" xfId="0" applyFont="1" applyBorder="1" applyProtection="1">
      <alignment vertical="center"/>
      <protection hidden="1"/>
    </xf>
    <xf numFmtId="184" fontId="17" fillId="0" borderId="8" xfId="0" applyNumberFormat="1" applyFont="1" applyBorder="1" applyAlignment="1" applyProtection="1">
      <alignment horizontal="center" vertical="center" shrinkToFit="1"/>
      <protection hidden="1"/>
    </xf>
    <xf numFmtId="0" fontId="17" fillId="0" borderId="8" xfId="0" applyFont="1" applyBorder="1" applyAlignment="1" applyProtection="1">
      <alignment horizontal="left" vertical="center" shrinkToFit="1"/>
      <protection hidden="1"/>
    </xf>
    <xf numFmtId="0" fontId="17" fillId="0" borderId="8" xfId="0" applyFont="1" applyBorder="1" applyAlignment="1" applyProtection="1">
      <alignment horizontal="center" vertical="center" shrinkToFit="1"/>
      <protection hidden="1"/>
    </xf>
    <xf numFmtId="10" fontId="17" fillId="0" borderId="0" xfId="0" applyNumberFormat="1" applyFont="1" applyAlignment="1" applyProtection="1">
      <alignment horizontal="center" vertical="center"/>
      <protection hidden="1"/>
    </xf>
    <xf numFmtId="0" fontId="17" fillId="0" borderId="244" xfId="0" applyFont="1" applyBorder="1" applyAlignment="1" applyProtection="1">
      <alignment horizontal="center" vertical="center" shrinkToFit="1"/>
      <protection hidden="1"/>
    </xf>
    <xf numFmtId="180" fontId="17" fillId="0" borderId="0" xfId="0" applyNumberFormat="1" applyFont="1" applyAlignment="1" applyProtection="1">
      <alignment horizontal="center" vertical="center"/>
      <protection hidden="1"/>
    </xf>
    <xf numFmtId="10" fontId="17" fillId="0" borderId="0" xfId="0" applyNumberFormat="1" applyFont="1" applyProtection="1">
      <alignment vertical="center"/>
      <protection hidden="1"/>
    </xf>
    <xf numFmtId="180" fontId="17" fillId="0" borderId="0" xfId="0" applyNumberFormat="1" applyFont="1" applyAlignment="1" applyProtection="1">
      <alignment horizontal="left" vertical="center"/>
      <protection hidden="1"/>
    </xf>
    <xf numFmtId="0" fontId="30" fillId="0" borderId="0" xfId="0" applyFont="1" applyAlignment="1" applyProtection="1">
      <alignment horizontal="center" vertical="center" shrinkToFit="1"/>
      <protection hidden="1"/>
    </xf>
    <xf numFmtId="177" fontId="17" fillId="0" borderId="0" xfId="0" applyNumberFormat="1" applyFont="1" applyAlignment="1" applyProtection="1">
      <alignment horizontal="center" vertical="center" shrinkToFit="1"/>
      <protection hidden="1"/>
    </xf>
    <xf numFmtId="182" fontId="17" fillId="0" borderId="0" xfId="0" applyNumberFormat="1" applyFont="1" applyAlignment="1" applyProtection="1">
      <alignment horizontal="center" vertical="center" shrinkToFit="1"/>
      <protection hidden="1"/>
    </xf>
    <xf numFmtId="0" fontId="17" fillId="0" borderId="243" xfId="0" applyFont="1" applyBorder="1" applyAlignment="1" applyProtection="1">
      <alignment horizontal="center" vertical="center" shrinkToFit="1"/>
      <protection hidden="1"/>
    </xf>
    <xf numFmtId="190" fontId="17" fillId="0" borderId="0" xfId="0" applyNumberFormat="1" applyFont="1" applyAlignment="1" applyProtection="1">
      <alignment horizontal="center" vertical="center" shrinkToFit="1"/>
      <protection hidden="1"/>
    </xf>
    <xf numFmtId="191" fontId="17" fillId="0" borderId="0" xfId="0" applyNumberFormat="1" applyFont="1" applyAlignment="1" applyProtection="1">
      <alignment horizontal="center" vertical="center" shrinkToFit="1"/>
      <protection hidden="1"/>
    </xf>
    <xf numFmtId="195" fontId="17" fillId="0" borderId="0" xfId="0" applyNumberFormat="1" applyFont="1" applyAlignment="1" applyProtection="1">
      <alignment horizontal="center" vertical="center" shrinkToFit="1"/>
      <protection hidden="1"/>
    </xf>
    <xf numFmtId="0" fontId="17" fillId="0" borderId="8" xfId="0" applyFont="1" applyBorder="1" applyAlignment="1" applyProtection="1">
      <alignment horizontal="left" vertical="center"/>
      <protection hidden="1"/>
    </xf>
    <xf numFmtId="186" fontId="17" fillId="0" borderId="0" xfId="0" applyNumberFormat="1" applyFont="1" applyAlignment="1" applyProtection="1">
      <alignment horizontal="center" vertical="center"/>
      <protection hidden="1"/>
    </xf>
    <xf numFmtId="185" fontId="17" fillId="0" borderId="0" xfId="0" applyNumberFormat="1" applyFont="1" applyAlignment="1" applyProtection="1">
      <alignment horizontal="center" vertical="center" shrinkToFit="1"/>
      <protection hidden="1"/>
    </xf>
    <xf numFmtId="0" fontId="17" fillId="0" borderId="244" xfId="0" applyFont="1" applyBorder="1" applyAlignment="1" applyProtection="1">
      <alignment horizontal="center" vertical="center"/>
      <protection hidden="1"/>
    </xf>
    <xf numFmtId="0" fontId="17" fillId="0" borderId="244" xfId="0" applyFont="1" applyBorder="1" applyAlignment="1" applyProtection="1">
      <alignment horizontal="left" vertical="center"/>
      <protection hidden="1"/>
    </xf>
    <xf numFmtId="10" fontId="17" fillId="0" borderId="244" xfId="0" applyNumberFormat="1" applyFont="1" applyBorder="1" applyAlignment="1" applyProtection="1">
      <alignment horizontal="left" vertical="center"/>
      <protection hidden="1"/>
    </xf>
    <xf numFmtId="10" fontId="30" fillId="0" borderId="0" xfId="0" applyNumberFormat="1" applyFont="1" applyAlignment="1" applyProtection="1">
      <alignment horizontal="center" vertical="center" shrinkToFit="1"/>
      <protection hidden="1"/>
    </xf>
    <xf numFmtId="10" fontId="17" fillId="0" borderId="0" xfId="0" applyNumberFormat="1" applyFont="1" applyAlignment="1" applyProtection="1">
      <alignment horizontal="left" vertical="center"/>
      <protection hidden="1"/>
    </xf>
    <xf numFmtId="0" fontId="17" fillId="0" borderId="1" xfId="0" applyFont="1" applyBorder="1" applyAlignment="1" applyProtection="1">
      <alignment horizontal="center" vertical="center" wrapText="1"/>
      <protection hidden="1"/>
    </xf>
    <xf numFmtId="0" fontId="98" fillId="0" borderId="0" xfId="0" applyFont="1">
      <alignment vertical="center"/>
    </xf>
    <xf numFmtId="0" fontId="99" fillId="0" borderId="0" xfId="0" applyFont="1" applyAlignment="1">
      <alignment horizontal="center" vertical="center" shrinkToFit="1"/>
    </xf>
    <xf numFmtId="0" fontId="99" fillId="0" borderId="0" xfId="0" applyFont="1" applyAlignment="1">
      <alignment vertical="center" shrinkToFit="1"/>
    </xf>
    <xf numFmtId="0" fontId="99" fillId="0" borderId="0" xfId="0" applyFont="1">
      <alignment vertical="center"/>
    </xf>
    <xf numFmtId="0" fontId="100" fillId="0" borderId="235" xfId="0" applyFont="1" applyBorder="1" applyAlignment="1">
      <alignment horizontal="left" vertical="center"/>
    </xf>
    <xf numFmtId="0" fontId="100" fillId="0" borderId="196" xfId="0" applyFont="1" applyBorder="1" applyAlignment="1">
      <alignment horizontal="left" vertical="center"/>
    </xf>
    <xf numFmtId="0" fontId="100" fillId="0" borderId="212" xfId="0" applyFont="1" applyBorder="1" applyAlignment="1">
      <alignment horizontal="left" vertical="center"/>
    </xf>
    <xf numFmtId="0" fontId="100" fillId="0" borderId="195" xfId="0" applyFont="1" applyBorder="1" applyAlignment="1">
      <alignment horizontal="left" vertical="center"/>
    </xf>
    <xf numFmtId="0" fontId="100" fillId="0" borderId="295" xfId="0" applyFont="1" applyBorder="1" applyAlignment="1">
      <alignment horizontal="left" vertical="center"/>
    </xf>
    <xf numFmtId="0" fontId="101" fillId="0" borderId="198" xfId="0" applyFont="1" applyBorder="1" applyAlignment="1">
      <alignment horizontal="center" vertical="center" shrinkToFit="1"/>
    </xf>
    <xf numFmtId="0" fontId="101" fillId="0" borderId="201" xfId="0" applyFont="1" applyBorder="1" applyAlignment="1">
      <alignment horizontal="center" vertical="center" wrapText="1" shrinkToFit="1"/>
    </xf>
    <xf numFmtId="0" fontId="102" fillId="0" borderId="33" xfId="0" applyFont="1" applyBorder="1" applyAlignment="1">
      <alignment horizontal="center" vertical="center" shrinkToFit="1"/>
    </xf>
    <xf numFmtId="0" fontId="103" fillId="0" borderId="181" xfId="0" applyFont="1" applyBorder="1" applyAlignment="1">
      <alignment horizontal="center" vertical="center" shrinkToFit="1"/>
    </xf>
    <xf numFmtId="0" fontId="103" fillId="0" borderId="179" xfId="0" applyFont="1" applyBorder="1" applyAlignment="1">
      <alignment horizontal="center" vertical="center" wrapText="1" shrinkToFit="1"/>
    </xf>
    <xf numFmtId="0" fontId="103" fillId="19" borderId="33" xfId="0" applyFont="1" applyFill="1" applyBorder="1" applyAlignment="1">
      <alignment horizontal="center" vertical="center" shrinkToFit="1"/>
    </xf>
    <xf numFmtId="0" fontId="103" fillId="19" borderId="205" xfId="0" applyFont="1" applyFill="1" applyBorder="1" applyAlignment="1">
      <alignment horizontal="center" vertical="center" shrinkToFit="1"/>
    </xf>
    <xf numFmtId="0" fontId="103" fillId="0" borderId="204" xfId="0" applyFont="1" applyBorder="1" applyAlignment="1">
      <alignment horizontal="center" vertical="center" shrinkToFit="1"/>
    </xf>
    <xf numFmtId="0" fontId="103" fillId="19" borderId="179" xfId="0" applyFont="1" applyFill="1" applyBorder="1" applyAlignment="1">
      <alignment horizontal="center" vertical="center" wrapText="1" shrinkToFit="1"/>
    </xf>
    <xf numFmtId="0" fontId="103" fillId="19" borderId="180" xfId="0" applyFont="1" applyFill="1" applyBorder="1" applyAlignment="1">
      <alignment horizontal="center" vertical="center" wrapText="1" shrinkToFit="1"/>
    </xf>
    <xf numFmtId="0" fontId="17" fillId="0" borderId="232" xfId="0" applyFont="1" applyBorder="1" applyAlignment="1">
      <alignment horizontal="center" vertical="center" shrinkToFit="1"/>
    </xf>
    <xf numFmtId="0" fontId="30" fillId="0" borderId="206" xfId="0" applyFont="1" applyBorder="1" applyAlignment="1">
      <alignment vertical="center" shrinkToFit="1"/>
    </xf>
    <xf numFmtId="0" fontId="104" fillId="0" borderId="207" xfId="0" applyFont="1" applyBorder="1" applyAlignment="1">
      <alignment vertical="center" shrinkToFit="1"/>
    </xf>
    <xf numFmtId="0" fontId="104" fillId="0" borderId="208" xfId="0" applyFont="1" applyBorder="1" applyAlignment="1">
      <alignment vertical="center" shrinkToFit="1"/>
    </xf>
    <xf numFmtId="0" fontId="104" fillId="19" borderId="206" xfId="0" applyFont="1" applyFill="1" applyBorder="1" applyAlignment="1">
      <alignment vertical="center" shrinkToFit="1"/>
    </xf>
    <xf numFmtId="0" fontId="104" fillId="19" borderId="209" xfId="0" applyFont="1" applyFill="1" applyBorder="1" applyAlignment="1">
      <alignment vertical="center" shrinkToFit="1"/>
    </xf>
    <xf numFmtId="0" fontId="104" fillId="0" borderId="210" xfId="0" applyFont="1" applyBorder="1" applyAlignment="1">
      <alignment vertical="center" shrinkToFit="1"/>
    </xf>
    <xf numFmtId="0" fontId="104" fillId="19" borderId="208" xfId="0" applyFont="1" applyFill="1" applyBorder="1" applyAlignment="1">
      <alignment vertical="center" shrinkToFit="1"/>
    </xf>
    <xf numFmtId="0" fontId="104" fillId="19" borderId="211" xfId="0" applyFont="1" applyFill="1" applyBorder="1" applyAlignment="1">
      <alignment vertical="center" shrinkToFit="1"/>
    </xf>
    <xf numFmtId="0" fontId="105" fillId="0" borderId="233" xfId="0" applyFont="1" applyBorder="1" applyAlignment="1">
      <alignment horizontal="center" vertical="center" shrinkToFit="1"/>
    </xf>
    <xf numFmtId="0" fontId="103" fillId="0" borderId="226" xfId="0" applyFont="1" applyBorder="1" applyAlignment="1">
      <alignment vertical="center" shrinkToFit="1"/>
    </xf>
    <xf numFmtId="0" fontId="104" fillId="0" borderId="227" xfId="0" applyFont="1" applyBorder="1" applyAlignment="1">
      <alignment vertical="center" shrinkToFit="1"/>
    </xf>
    <xf numFmtId="0" fontId="104" fillId="0" borderId="228" xfId="0" applyFont="1" applyBorder="1" applyAlignment="1">
      <alignment vertical="center" shrinkToFit="1"/>
    </xf>
    <xf numFmtId="0" fontId="104" fillId="19" borderId="226" xfId="0" applyFont="1" applyFill="1" applyBorder="1" applyAlignment="1">
      <alignment vertical="center" shrinkToFit="1"/>
    </xf>
    <xf numFmtId="0" fontId="104" fillId="19" borderId="229" xfId="0" applyFont="1" applyFill="1" applyBorder="1" applyAlignment="1">
      <alignment vertical="center" shrinkToFit="1"/>
    </xf>
    <xf numFmtId="0" fontId="104" fillId="0" borderId="230" xfId="0" applyFont="1" applyBorder="1" applyAlignment="1">
      <alignment vertical="center" shrinkToFit="1"/>
    </xf>
    <xf numFmtId="0" fontId="104" fillId="19" borderId="228" xfId="0" applyFont="1" applyFill="1" applyBorder="1" applyAlignment="1">
      <alignment vertical="center" shrinkToFit="1"/>
    </xf>
    <xf numFmtId="0" fontId="104" fillId="19" borderId="231" xfId="0" applyFont="1" applyFill="1" applyBorder="1" applyAlignment="1">
      <alignment vertical="center" shrinkToFit="1"/>
    </xf>
    <xf numFmtId="0" fontId="30" fillId="0" borderId="221" xfId="0" applyFont="1" applyBorder="1" applyAlignment="1">
      <alignment vertical="center" shrinkToFit="1"/>
    </xf>
    <xf numFmtId="0" fontId="104" fillId="0" borderId="222" xfId="0" applyFont="1" applyBorder="1" applyAlignment="1">
      <alignment vertical="center" shrinkToFit="1"/>
    </xf>
    <xf numFmtId="0" fontId="104" fillId="0" borderId="220" xfId="0" applyFont="1" applyBorder="1" applyAlignment="1">
      <alignment vertical="center" shrinkToFit="1"/>
    </xf>
    <xf numFmtId="0" fontId="104" fillId="19" borderId="221" xfId="0" applyFont="1" applyFill="1" applyBorder="1" applyAlignment="1">
      <alignment vertical="center" shrinkToFit="1"/>
    </xf>
    <xf numFmtId="0" fontId="104" fillId="19" borderId="223" xfId="0" applyFont="1" applyFill="1" applyBorder="1" applyAlignment="1">
      <alignment vertical="center" shrinkToFit="1"/>
    </xf>
    <xf numFmtId="0" fontId="104" fillId="0" borderId="224" xfId="0" applyFont="1" applyBorder="1" applyAlignment="1">
      <alignment vertical="center" shrinkToFit="1"/>
    </xf>
    <xf numFmtId="0" fontId="104" fillId="19" borderId="220" xfId="0" applyFont="1" applyFill="1" applyBorder="1" applyAlignment="1">
      <alignment vertical="center" shrinkToFit="1"/>
    </xf>
    <xf numFmtId="0" fontId="104" fillId="19" borderId="225" xfId="0" applyFont="1" applyFill="1" applyBorder="1" applyAlignment="1">
      <alignment vertical="center" shrinkToFit="1"/>
    </xf>
    <xf numFmtId="0" fontId="104" fillId="0" borderId="233" xfId="0" applyFont="1" applyBorder="1" applyAlignment="1">
      <alignment horizontal="center" vertical="center" shrinkToFit="1"/>
    </xf>
    <xf numFmtId="0" fontId="17" fillId="19" borderId="225" xfId="0" applyFont="1" applyFill="1" applyBorder="1" applyAlignment="1">
      <alignment vertical="center" shrinkToFit="1"/>
    </xf>
    <xf numFmtId="0" fontId="17" fillId="19" borderId="231" xfId="0" applyFont="1" applyFill="1" applyBorder="1" applyAlignment="1">
      <alignment vertical="center" shrinkToFit="1"/>
    </xf>
    <xf numFmtId="0" fontId="104" fillId="0" borderId="232" xfId="0" applyFont="1" applyBorder="1" applyAlignment="1">
      <alignment horizontal="center" vertical="center" shrinkToFit="1"/>
    </xf>
    <xf numFmtId="0" fontId="103" fillId="0" borderId="221" xfId="0" applyFont="1" applyBorder="1" applyAlignment="1">
      <alignment vertical="center" shrinkToFit="1"/>
    </xf>
    <xf numFmtId="0" fontId="17" fillId="0" borderId="233" xfId="0" applyFont="1" applyBorder="1" applyAlignment="1">
      <alignment horizontal="center" vertical="center" shrinkToFit="1"/>
    </xf>
    <xf numFmtId="0" fontId="30" fillId="0" borderId="226" xfId="0" applyFont="1" applyBorder="1" applyAlignment="1">
      <alignment vertical="center" shrinkToFit="1"/>
    </xf>
    <xf numFmtId="0" fontId="106" fillId="0" borderId="234" xfId="0" applyFont="1" applyBorder="1" applyAlignment="1">
      <alignment horizontal="center" vertical="center" shrinkToFit="1"/>
    </xf>
    <xf numFmtId="0" fontId="103" fillId="0" borderId="215" xfId="0" applyFont="1" applyBorder="1" applyAlignment="1">
      <alignment vertical="center" shrinkToFit="1"/>
    </xf>
    <xf numFmtId="0" fontId="104" fillId="0" borderId="216" xfId="0" applyFont="1" applyBorder="1" applyAlignment="1">
      <alignment vertical="center" shrinkToFit="1"/>
    </xf>
    <xf numFmtId="0" fontId="104" fillId="0" borderId="214" xfId="0" applyFont="1" applyBorder="1" applyAlignment="1">
      <alignment vertical="center" shrinkToFit="1"/>
    </xf>
    <xf numFmtId="0" fontId="104" fillId="19" borderId="215" xfId="0" applyFont="1" applyFill="1" applyBorder="1" applyAlignment="1">
      <alignment vertical="center" shrinkToFit="1"/>
    </xf>
    <xf numFmtId="0" fontId="104" fillId="19" borderId="217" xfId="0" applyFont="1" applyFill="1" applyBorder="1" applyAlignment="1">
      <alignment vertical="center" shrinkToFit="1"/>
    </xf>
    <xf numFmtId="0" fontId="104" fillId="0" borderId="218" xfId="0" applyFont="1" applyBorder="1" applyAlignment="1">
      <alignment vertical="center" shrinkToFit="1"/>
    </xf>
    <xf numFmtId="0" fontId="104" fillId="19" borderId="214" xfId="0" applyFont="1" applyFill="1" applyBorder="1" applyAlignment="1">
      <alignment vertical="center" shrinkToFit="1"/>
    </xf>
    <xf numFmtId="0" fontId="104" fillId="19" borderId="219" xfId="0" applyFont="1" applyFill="1" applyBorder="1" applyAlignment="1">
      <alignment vertical="center" shrinkToFit="1"/>
    </xf>
    <xf numFmtId="0" fontId="99" fillId="7" borderId="0" xfId="0" applyFont="1" applyFill="1">
      <alignment vertical="center"/>
    </xf>
    <xf numFmtId="0" fontId="98" fillId="0" borderId="0" xfId="0" applyFont="1" applyAlignment="1">
      <alignment horizontal="center" vertical="center" shrinkToFit="1"/>
    </xf>
    <xf numFmtId="0" fontId="107" fillId="7" borderId="0" xfId="0" applyFont="1" applyFill="1" applyAlignment="1">
      <alignment horizontal="center" vertical="center" shrinkToFit="1"/>
    </xf>
    <xf numFmtId="0" fontId="99" fillId="7" borderId="0" xfId="0" applyFont="1" applyFill="1" applyAlignment="1">
      <alignment vertical="center" shrinkToFit="1"/>
    </xf>
    <xf numFmtId="0" fontId="108" fillId="7" borderId="0" xfId="0" applyFont="1" applyFill="1" applyAlignment="1">
      <alignment vertical="center" wrapText="1"/>
    </xf>
    <xf numFmtId="0" fontId="109" fillId="0" borderId="0" xfId="0" applyFont="1" applyAlignment="1">
      <alignment horizontal="center" vertical="center" shrinkToFit="1"/>
    </xf>
    <xf numFmtId="0" fontId="100" fillId="7" borderId="0" xfId="0" applyFont="1" applyFill="1" applyAlignment="1">
      <alignment horizontal="center" vertical="center" shrinkToFit="1"/>
    </xf>
    <xf numFmtId="0" fontId="100" fillId="7" borderId="0" xfId="0" applyFont="1" applyFill="1" applyAlignment="1">
      <alignment vertical="center" shrinkToFit="1"/>
    </xf>
    <xf numFmtId="0" fontId="110" fillId="7" borderId="0" xfId="0" applyFont="1" applyFill="1">
      <alignment vertical="center"/>
    </xf>
    <xf numFmtId="0" fontId="108" fillId="0" borderId="0" xfId="0" applyFont="1" applyAlignment="1">
      <alignment horizontal="center" vertical="center" shrinkToFit="1"/>
    </xf>
    <xf numFmtId="0" fontId="108" fillId="0" borderId="0" xfId="0" applyFont="1" applyAlignment="1">
      <alignment vertical="center" shrinkToFit="1"/>
    </xf>
    <xf numFmtId="0" fontId="29" fillId="0" borderId="0" xfId="0" applyFont="1" applyAlignment="1">
      <alignment horizontal="center" vertical="center" shrinkToFit="1"/>
    </xf>
    <xf numFmtId="0" fontId="111" fillId="0" borderId="0" xfId="0" applyFont="1" applyAlignment="1">
      <alignment vertical="center" shrinkToFit="1"/>
    </xf>
    <xf numFmtId="0" fontId="29" fillId="0" borderId="0" xfId="0" applyFont="1" applyAlignment="1">
      <alignment vertical="center" shrinkToFit="1"/>
    </xf>
    <xf numFmtId="0" fontId="111" fillId="0" borderId="0" xfId="0" applyFont="1" applyAlignment="1">
      <alignment horizontal="center" vertical="center" shrinkToFit="1"/>
    </xf>
    <xf numFmtId="0" fontId="17" fillId="0" borderId="296" xfId="0" applyFont="1" applyBorder="1" applyAlignment="1" applyProtection="1">
      <alignment horizontal="center" vertical="center" shrinkToFit="1"/>
      <protection hidden="1"/>
    </xf>
    <xf numFmtId="0" fontId="17" fillId="0" borderId="297" xfId="0" applyFont="1" applyBorder="1" applyAlignment="1" applyProtection="1">
      <alignment horizontal="center" vertical="center" shrinkToFit="1"/>
      <protection hidden="1"/>
    </xf>
    <xf numFmtId="0" fontId="17" fillId="0" borderId="298" xfId="0" applyFont="1" applyBorder="1" applyAlignment="1" applyProtection="1">
      <alignment horizontal="center" vertical="center" shrinkToFit="1"/>
      <protection hidden="1"/>
    </xf>
    <xf numFmtId="0" fontId="17" fillId="0" borderId="29" xfId="0" applyFont="1" applyBorder="1" applyAlignment="1" applyProtection="1">
      <alignment horizontal="center" vertical="center" shrinkToFit="1"/>
      <protection hidden="1"/>
    </xf>
    <xf numFmtId="0" fontId="30" fillId="0" borderId="29" xfId="0" applyFont="1" applyBorder="1" applyAlignment="1" applyProtection="1">
      <alignment horizontal="center" vertical="center" shrinkToFit="1"/>
      <protection hidden="1"/>
    </xf>
    <xf numFmtId="0" fontId="18" fillId="0" borderId="46" xfId="0" applyFont="1" applyBorder="1" applyProtection="1">
      <alignment vertical="center"/>
      <protection hidden="1"/>
    </xf>
    <xf numFmtId="0" fontId="50" fillId="0" borderId="245" xfId="0" applyFont="1" applyBorder="1" applyAlignment="1">
      <alignment horizontal="left" vertical="center" shrinkToFit="1"/>
    </xf>
    <xf numFmtId="0" fontId="50" fillId="0" borderId="29" xfId="0" applyFont="1" applyBorder="1" applyAlignment="1">
      <alignment horizontal="center" vertical="center" shrinkToFit="1"/>
    </xf>
    <xf numFmtId="0" fontId="18" fillId="0" borderId="143" xfId="0" applyFont="1" applyBorder="1" applyAlignment="1" applyProtection="1">
      <alignment horizontal="left" vertical="center" wrapText="1"/>
      <protection hidden="1"/>
    </xf>
    <xf numFmtId="0" fontId="18" fillId="0" borderId="46" xfId="0" applyFont="1" applyBorder="1" applyAlignment="1" applyProtection="1">
      <alignment horizontal="left" vertical="center" wrapText="1"/>
      <protection hidden="1"/>
    </xf>
    <xf numFmtId="197" fontId="17" fillId="0" borderId="0" xfId="0" applyNumberFormat="1" applyFont="1" applyProtection="1">
      <alignment vertical="center"/>
      <protection hidden="1"/>
    </xf>
    <xf numFmtId="185" fontId="17" fillId="0" borderId="0" xfId="0" applyNumberFormat="1" applyFont="1" applyProtection="1">
      <alignment vertical="center"/>
      <protection hidden="1"/>
    </xf>
    <xf numFmtId="185" fontId="17" fillId="0" borderId="0" xfId="0" applyNumberFormat="1" applyFont="1" applyAlignment="1" applyProtection="1">
      <alignment vertical="center" shrinkToFit="1"/>
      <protection hidden="1"/>
    </xf>
    <xf numFmtId="195" fontId="17" fillId="0" borderId="0" xfId="0" applyNumberFormat="1" applyFont="1" applyAlignment="1" applyProtection="1">
      <alignment horizontal="center" vertical="center"/>
      <protection hidden="1"/>
    </xf>
    <xf numFmtId="195" fontId="17" fillId="0" borderId="0" xfId="0" applyNumberFormat="1" applyFont="1" applyProtection="1">
      <alignment vertical="center"/>
      <protection hidden="1"/>
    </xf>
    <xf numFmtId="0" fontId="56" fillId="17" borderId="165" xfId="0" applyFont="1" applyFill="1" applyBorder="1" applyAlignment="1">
      <alignment horizontal="center" wrapText="1" shrinkToFit="1"/>
    </xf>
    <xf numFmtId="0" fontId="56" fillId="17" borderId="162" xfId="0" applyFont="1" applyFill="1" applyBorder="1" applyAlignment="1">
      <alignment horizontal="center" wrapText="1" shrinkToFit="1"/>
    </xf>
    <xf numFmtId="182" fontId="17" fillId="3" borderId="0" xfId="0" applyNumberFormat="1" applyFont="1" applyFill="1" applyProtection="1">
      <alignment vertical="center"/>
      <protection locked="0"/>
    </xf>
    <xf numFmtId="182" fontId="17" fillId="0" borderId="0" xfId="0" applyNumberFormat="1" applyFont="1" applyAlignment="1" applyProtection="1">
      <alignment horizontal="center" vertical="center"/>
      <protection locked="0"/>
    </xf>
    <xf numFmtId="0" fontId="17" fillId="0" borderId="0" xfId="0" applyFont="1" applyProtection="1">
      <alignment vertical="center"/>
      <protection locked="0"/>
    </xf>
    <xf numFmtId="182" fontId="17" fillId="0" borderId="0" xfId="0" applyNumberFormat="1" applyFont="1" applyProtection="1">
      <alignment vertical="center"/>
      <protection locked="0"/>
    </xf>
    <xf numFmtId="176" fontId="50" fillId="0" borderId="0" xfId="0" applyNumberFormat="1" applyFont="1" applyAlignment="1" applyProtection="1">
      <alignment vertical="center" shrinkToFit="1"/>
      <protection locked="0"/>
    </xf>
    <xf numFmtId="192" fontId="50" fillId="0" borderId="0" xfId="0" applyNumberFormat="1" applyFont="1" applyAlignment="1" applyProtection="1">
      <alignment vertical="center" shrinkToFit="1"/>
      <protection locked="0"/>
    </xf>
    <xf numFmtId="0" fontId="28" fillId="0" borderId="0" xfId="0" applyFont="1" applyProtection="1">
      <alignment vertical="center"/>
      <protection locked="0"/>
    </xf>
    <xf numFmtId="182" fontId="17" fillId="0" borderId="0" xfId="0" applyNumberFormat="1" applyFont="1" applyAlignment="1" applyProtection="1">
      <alignment vertical="center" shrinkToFit="1"/>
      <protection locked="0"/>
    </xf>
    <xf numFmtId="0" fontId="26" fillId="0" borderId="0" xfId="0" applyFont="1" applyProtection="1">
      <alignment vertical="center"/>
      <protection locked="0"/>
    </xf>
    <xf numFmtId="0" fontId="34" fillId="0" borderId="0" xfId="0" applyFont="1" applyAlignment="1" applyProtection="1">
      <alignment vertical="center" shrinkToFit="1"/>
      <protection locked="0" hidden="1"/>
    </xf>
    <xf numFmtId="0" fontId="6" fillId="0" borderId="0" xfId="0" applyFont="1" applyAlignment="1" applyProtection="1">
      <alignment horizontal="center" vertical="center"/>
      <protection locked="0" hidden="1"/>
    </xf>
    <xf numFmtId="178" fontId="6" fillId="0" borderId="0" xfId="0" applyNumberFormat="1" applyFont="1" applyAlignment="1" applyProtection="1">
      <alignment horizontal="center" vertical="center"/>
      <protection locked="0" hidden="1"/>
    </xf>
    <xf numFmtId="0" fontId="76" fillId="0" borderId="0" xfId="0" applyFont="1" applyProtection="1">
      <alignment vertical="center"/>
      <protection locked="0" hidden="1"/>
    </xf>
    <xf numFmtId="0" fontId="34" fillId="0" borderId="0" xfId="0" applyFont="1" applyAlignment="1" applyProtection="1">
      <alignment vertical="center" shrinkToFit="1"/>
      <protection locked="0"/>
    </xf>
    <xf numFmtId="0" fontId="50" fillId="0" borderId="17" xfId="0" applyFont="1" applyBorder="1" applyAlignment="1">
      <alignment horizontal="center" vertical="center" shrinkToFit="1"/>
    </xf>
    <xf numFmtId="0" fontId="112" fillId="0" borderId="0" xfId="0" applyFont="1" applyAlignment="1" applyProtection="1">
      <alignment horizontal="left" vertical="center" wrapText="1"/>
      <protection hidden="1"/>
    </xf>
    <xf numFmtId="0" fontId="90" fillId="0" borderId="149" xfId="0" applyFont="1" applyBorder="1" applyAlignment="1">
      <alignment horizontal="left" vertical="center" wrapText="1"/>
    </xf>
    <xf numFmtId="0" fontId="90" fillId="0" borderId="109" xfId="0" applyFont="1" applyBorder="1" applyAlignment="1">
      <alignment horizontal="left" vertical="center" wrapText="1"/>
    </xf>
    <xf numFmtId="0" fontId="90" fillId="0" borderId="148" xfId="0" applyFont="1" applyBorder="1" applyAlignment="1">
      <alignment horizontal="left" vertical="center" wrapText="1"/>
    </xf>
    <xf numFmtId="0" fontId="15" fillId="4" borderId="10" xfId="0" applyFont="1" applyFill="1" applyBorder="1" applyAlignment="1" applyProtection="1">
      <alignment horizontal="center" vertical="center" wrapText="1"/>
      <protection hidden="1"/>
    </xf>
    <xf numFmtId="0" fontId="15" fillId="4" borderId="3" xfId="0" applyFont="1" applyFill="1" applyBorder="1" applyAlignment="1" applyProtection="1">
      <alignment horizontal="center" vertical="center" wrapText="1"/>
      <protection hidden="1"/>
    </xf>
    <xf numFmtId="0" fontId="15" fillId="4" borderId="4" xfId="0" applyFont="1" applyFill="1" applyBorder="1" applyAlignment="1" applyProtection="1">
      <alignment horizontal="center" vertical="center" wrapText="1"/>
      <protection hidden="1"/>
    </xf>
    <xf numFmtId="0" fontId="18" fillId="0" borderId="36" xfId="0" applyFont="1" applyBorder="1" applyAlignment="1" applyProtection="1">
      <alignment horizontal="center" vertical="center" shrinkToFit="1"/>
      <protection hidden="1"/>
    </xf>
    <xf numFmtId="0" fontId="18" fillId="0" borderId="0" xfId="0" applyFont="1" applyAlignment="1" applyProtection="1">
      <alignment horizontal="center" vertical="center" shrinkToFit="1"/>
      <protection hidden="1"/>
    </xf>
    <xf numFmtId="0" fontId="18" fillId="0" borderId="242" xfId="0" applyFont="1" applyBorder="1" applyAlignment="1" applyProtection="1">
      <alignment horizontal="center" vertical="center" shrinkToFit="1"/>
      <protection hidden="1"/>
    </xf>
    <xf numFmtId="0" fontId="72" fillId="0" borderId="0" xfId="0" applyFont="1" applyAlignment="1" applyProtection="1">
      <alignment horizontal="left" vertical="top" wrapText="1"/>
      <protection hidden="1"/>
    </xf>
    <xf numFmtId="0" fontId="30" fillId="0" borderId="8" xfId="0" applyFont="1" applyBorder="1" applyAlignment="1" applyProtection="1">
      <alignment horizontal="center" vertical="center" wrapText="1"/>
      <protection hidden="1"/>
    </xf>
    <xf numFmtId="0" fontId="52" fillId="0" borderId="0" xfId="0" applyFont="1" applyAlignment="1">
      <alignment horizontal="left" vertical="top" wrapText="1"/>
    </xf>
    <xf numFmtId="0" fontId="47" fillId="0" borderId="0" xfId="0" applyFont="1" applyAlignment="1">
      <alignment horizontal="left" vertical="center" wrapText="1"/>
    </xf>
    <xf numFmtId="189" fontId="18" fillId="0" borderId="277" xfId="0" applyNumberFormat="1" applyFont="1" applyBorder="1" applyAlignment="1" applyProtection="1">
      <alignment horizontal="center" vertical="center" shrinkToFit="1"/>
      <protection hidden="1"/>
    </xf>
    <xf numFmtId="189" fontId="18" fillId="0" borderId="234" xfId="0" applyNumberFormat="1" applyFont="1" applyBorder="1" applyAlignment="1" applyProtection="1">
      <alignment horizontal="center" vertical="center" shrinkToFit="1"/>
      <protection hidden="1"/>
    </xf>
    <xf numFmtId="189" fontId="18" fillId="0" borderId="218" xfId="0" applyNumberFormat="1" applyFont="1" applyBorder="1" applyAlignment="1" applyProtection="1">
      <alignment horizontal="center" vertical="center" shrinkToFit="1"/>
      <protection hidden="1"/>
    </xf>
    <xf numFmtId="0" fontId="8" fillId="4" borderId="200" xfId="0" applyFont="1" applyFill="1" applyBorder="1" applyAlignment="1" applyProtection="1">
      <alignment horizontal="center" vertical="center" shrinkToFit="1"/>
      <protection hidden="1"/>
    </xf>
    <xf numFmtId="0" fontId="8" fillId="4" borderId="201" xfId="0" applyFont="1" applyFill="1" applyBorder="1" applyAlignment="1" applyProtection="1">
      <alignment horizontal="center" vertical="center" shrinkToFit="1"/>
      <protection hidden="1"/>
    </xf>
    <xf numFmtId="0" fontId="8" fillId="4" borderId="202" xfId="0" applyFont="1" applyFill="1" applyBorder="1" applyAlignment="1" applyProtection="1">
      <alignment horizontal="center" vertical="center" shrinkToFit="1"/>
      <protection hidden="1"/>
    </xf>
    <xf numFmtId="187" fontId="18" fillId="0" borderId="256" xfId="0" applyNumberFormat="1" applyFont="1" applyBorder="1" applyAlignment="1" applyProtection="1">
      <alignment horizontal="center" vertical="center" shrinkToFit="1"/>
      <protection hidden="1"/>
    </xf>
    <xf numFmtId="187" fontId="18" fillId="0" borderId="257" xfId="0" applyNumberFormat="1" applyFont="1" applyBorder="1" applyAlignment="1" applyProtection="1">
      <alignment horizontal="center" vertical="center" shrinkToFit="1"/>
      <protection hidden="1"/>
    </xf>
    <xf numFmtId="187" fontId="18" fillId="0" borderId="210" xfId="0" applyNumberFormat="1" applyFont="1" applyBorder="1" applyAlignment="1" applyProtection="1">
      <alignment horizontal="center" vertical="center" shrinkToFit="1"/>
      <protection hidden="1"/>
    </xf>
    <xf numFmtId="187" fontId="18" fillId="0" borderId="261" xfId="0" applyNumberFormat="1" applyFont="1" applyBorder="1" applyAlignment="1" applyProtection="1">
      <alignment horizontal="center" vertical="center" shrinkToFit="1"/>
      <protection hidden="1"/>
    </xf>
    <xf numFmtId="187" fontId="18" fillId="0" borderId="262" xfId="0" applyNumberFormat="1" applyFont="1" applyBorder="1" applyAlignment="1" applyProtection="1">
      <alignment horizontal="center" vertical="center" shrinkToFit="1"/>
      <protection hidden="1"/>
    </xf>
    <xf numFmtId="187" fontId="18" fillId="0" borderId="263" xfId="0" applyNumberFormat="1" applyFont="1" applyBorder="1" applyAlignment="1" applyProtection="1">
      <alignment horizontal="center" vertical="center" shrinkToFit="1"/>
      <protection hidden="1"/>
    </xf>
    <xf numFmtId="188" fontId="18" fillId="0" borderId="271" xfId="0" applyNumberFormat="1" applyFont="1" applyBorder="1" applyAlignment="1" applyProtection="1">
      <alignment horizontal="center" vertical="center" shrinkToFit="1"/>
      <protection hidden="1"/>
    </xf>
    <xf numFmtId="188" fontId="18" fillId="0" borderId="270" xfId="0" applyNumberFormat="1" applyFont="1" applyBorder="1" applyAlignment="1" applyProtection="1">
      <alignment horizontal="center" vertical="center" shrinkToFit="1"/>
      <protection hidden="1"/>
    </xf>
    <xf numFmtId="188" fontId="18" fillId="0" borderId="272" xfId="0" applyNumberFormat="1" applyFont="1" applyBorder="1" applyAlignment="1" applyProtection="1">
      <alignment horizontal="center" vertical="center" shrinkToFit="1"/>
      <protection hidden="1"/>
    </xf>
    <xf numFmtId="188" fontId="18" fillId="0" borderId="261" xfId="0" applyNumberFormat="1" applyFont="1" applyBorder="1" applyAlignment="1" applyProtection="1">
      <alignment horizontal="center" vertical="center" shrinkToFit="1"/>
      <protection hidden="1"/>
    </xf>
    <xf numFmtId="188" fontId="18" fillId="0" borderId="262" xfId="0" applyNumberFormat="1" applyFont="1" applyBorder="1" applyAlignment="1" applyProtection="1">
      <alignment horizontal="center" vertical="center" shrinkToFit="1"/>
      <protection hidden="1"/>
    </xf>
    <xf numFmtId="188" fontId="18" fillId="0" borderId="263" xfId="0" applyNumberFormat="1" applyFont="1" applyBorder="1" applyAlignment="1" applyProtection="1">
      <alignment horizontal="center" vertical="center" shrinkToFit="1"/>
      <protection hidden="1"/>
    </xf>
    <xf numFmtId="187" fontId="18" fillId="0" borderId="203" xfId="0" applyNumberFormat="1" applyFont="1" applyBorder="1" applyAlignment="1" applyProtection="1">
      <alignment horizontal="center" vertical="center" shrinkToFit="1"/>
      <protection hidden="1"/>
    </xf>
    <xf numFmtId="187" fontId="18" fillId="0" borderId="155" xfId="0" applyNumberFormat="1" applyFont="1" applyBorder="1" applyAlignment="1" applyProtection="1">
      <alignment horizontal="center" vertical="center" shrinkToFit="1"/>
      <protection hidden="1"/>
    </xf>
    <xf numFmtId="187" fontId="18" fillId="0" borderId="159" xfId="0" applyNumberFormat="1" applyFont="1" applyBorder="1" applyAlignment="1" applyProtection="1">
      <alignment horizontal="center" vertical="center" shrinkToFit="1"/>
      <protection hidden="1"/>
    </xf>
    <xf numFmtId="189" fontId="18" fillId="0" borderId="271" xfId="0" applyNumberFormat="1" applyFont="1" applyBorder="1" applyAlignment="1" applyProtection="1">
      <alignment horizontal="center" vertical="center" shrinkToFit="1"/>
      <protection hidden="1"/>
    </xf>
    <xf numFmtId="189" fontId="18" fillId="0" borderId="270" xfId="0" applyNumberFormat="1" applyFont="1" applyBorder="1" applyAlignment="1" applyProtection="1">
      <alignment horizontal="center" vertical="center" shrinkToFit="1"/>
      <protection hidden="1"/>
    </xf>
    <xf numFmtId="189" fontId="18" fillId="0" borderId="272" xfId="0" applyNumberFormat="1" applyFont="1" applyBorder="1" applyAlignment="1" applyProtection="1">
      <alignment horizontal="center" vertical="center" shrinkToFit="1"/>
      <protection hidden="1"/>
    </xf>
    <xf numFmtId="179" fontId="13" fillId="0" borderId="222" xfId="0" applyNumberFormat="1" applyFont="1" applyBorder="1" applyAlignment="1" applyProtection="1">
      <alignment horizontal="center" vertical="center"/>
      <protection hidden="1"/>
    </xf>
    <xf numFmtId="179" fontId="13" fillId="0" borderId="220" xfId="0" applyNumberFormat="1" applyFont="1" applyBorder="1" applyAlignment="1" applyProtection="1">
      <alignment horizontal="center" vertical="center"/>
      <protection hidden="1"/>
    </xf>
    <xf numFmtId="179" fontId="13" fillId="0" borderId="221" xfId="0" applyNumberFormat="1" applyFont="1" applyBorder="1" applyAlignment="1" applyProtection="1">
      <alignment horizontal="center" vertical="center"/>
      <protection hidden="1"/>
    </xf>
    <xf numFmtId="0" fontId="47" fillId="0" borderId="118" xfId="0" applyFont="1" applyBorder="1" applyAlignment="1">
      <alignment horizontal="left" vertical="top" wrapText="1"/>
    </xf>
    <xf numFmtId="0" fontId="47" fillId="0" borderId="117" xfId="0" applyFont="1" applyBorder="1" applyAlignment="1">
      <alignment horizontal="left" vertical="top" wrapText="1"/>
    </xf>
    <xf numFmtId="0" fontId="47" fillId="0" borderId="131" xfId="0" applyFont="1" applyBorder="1" applyAlignment="1">
      <alignment horizontal="left" vertical="top" wrapText="1"/>
    </xf>
    <xf numFmtId="0" fontId="91" fillId="0" borderId="0" xfId="0" applyFont="1" applyAlignment="1" applyProtection="1">
      <alignment horizontal="left" vertical="center" wrapText="1"/>
      <protection hidden="1"/>
    </xf>
    <xf numFmtId="179" fontId="13" fillId="0" borderId="278" xfId="0" applyNumberFormat="1" applyFont="1" applyBorder="1" applyAlignment="1" applyProtection="1">
      <alignment horizontal="center" vertical="center" shrinkToFit="1"/>
      <protection hidden="1"/>
    </xf>
    <xf numFmtId="179" fontId="13" fillId="0" borderId="214" xfId="0" applyNumberFormat="1" applyFont="1" applyBorder="1" applyAlignment="1" applyProtection="1">
      <alignment horizontal="center" vertical="center" shrinkToFit="1"/>
      <protection hidden="1"/>
    </xf>
    <xf numFmtId="179" fontId="13" fillId="0" borderId="219" xfId="0" applyNumberFormat="1" applyFont="1" applyBorder="1" applyAlignment="1" applyProtection="1">
      <alignment horizontal="center" vertical="center" shrinkToFit="1"/>
      <protection hidden="1"/>
    </xf>
    <xf numFmtId="188" fontId="18" fillId="0" borderId="273" xfId="0" applyNumberFormat="1" applyFont="1" applyBorder="1" applyAlignment="1" applyProtection="1">
      <alignment horizontal="center" vertical="center" shrinkToFit="1"/>
      <protection hidden="1"/>
    </xf>
    <xf numFmtId="188" fontId="18" fillId="0" borderId="269" xfId="0" applyNumberFormat="1" applyFont="1" applyBorder="1" applyAlignment="1" applyProtection="1">
      <alignment horizontal="center" vertical="center" shrinkToFit="1"/>
      <protection hidden="1"/>
    </xf>
    <xf numFmtId="0" fontId="8" fillId="0" borderId="26" xfId="0" applyFont="1" applyBorder="1" applyAlignment="1" applyProtection="1">
      <alignment horizontal="center" vertical="center" shrinkToFit="1"/>
      <protection hidden="1"/>
    </xf>
    <xf numFmtId="0" fontId="8" fillId="0" borderId="15" xfId="0" applyFont="1" applyBorder="1" applyAlignment="1" applyProtection="1">
      <alignment horizontal="center" vertical="center" shrinkToFit="1"/>
      <protection hidden="1"/>
    </xf>
    <xf numFmtId="0" fontId="8" fillId="0" borderId="19" xfId="0" applyFont="1" applyBorder="1" applyAlignment="1" applyProtection="1">
      <alignment horizontal="center" vertical="center" shrinkToFit="1"/>
      <protection hidden="1"/>
    </xf>
    <xf numFmtId="0" fontId="8" fillId="0" borderId="18" xfId="0" applyFont="1" applyBorder="1" applyAlignment="1" applyProtection="1">
      <alignment horizontal="center" vertical="center"/>
      <protection hidden="1"/>
    </xf>
    <xf numFmtId="0" fontId="8" fillId="0" borderId="15" xfId="0" applyFont="1" applyBorder="1" applyAlignment="1" applyProtection="1">
      <alignment horizontal="center" vertical="center"/>
      <protection hidden="1"/>
    </xf>
    <xf numFmtId="0" fontId="8" fillId="0" borderId="100" xfId="0" applyFont="1" applyBorder="1" applyAlignment="1" applyProtection="1">
      <alignment horizontal="center" vertical="center"/>
      <protection hidden="1"/>
    </xf>
    <xf numFmtId="0" fontId="10" fillId="8" borderId="10" xfId="0" applyFont="1" applyFill="1" applyBorder="1" applyAlignment="1" applyProtection="1">
      <alignment horizontal="center" vertical="center" wrapText="1"/>
      <protection hidden="1"/>
    </xf>
    <xf numFmtId="0" fontId="10" fillId="8" borderId="3" xfId="0" applyFont="1" applyFill="1" applyBorder="1" applyAlignment="1" applyProtection="1">
      <alignment horizontal="center" vertical="center" wrapText="1"/>
      <protection hidden="1"/>
    </xf>
    <xf numFmtId="0" fontId="10" fillId="8" borderId="4" xfId="0" applyFont="1" applyFill="1" applyBorder="1" applyAlignment="1" applyProtection="1">
      <alignment horizontal="center" vertical="center" wrapText="1"/>
      <protection hidden="1"/>
    </xf>
    <xf numFmtId="0" fontId="74" fillId="0" borderId="0" xfId="0" applyFont="1" applyAlignment="1" applyProtection="1">
      <alignment horizontal="left" vertical="top" wrapText="1"/>
      <protection hidden="1"/>
    </xf>
    <xf numFmtId="0" fontId="60" fillId="0" borderId="0" xfId="0" applyFont="1" applyAlignment="1" applyProtection="1">
      <alignment horizontal="left" vertical="top" wrapText="1"/>
      <protection hidden="1"/>
    </xf>
    <xf numFmtId="0" fontId="9" fillId="11" borderId="116" xfId="0" applyFont="1" applyFill="1" applyBorder="1" applyAlignment="1" applyProtection="1">
      <alignment horizontal="left" vertical="top" wrapText="1"/>
      <protection hidden="1"/>
    </xf>
    <xf numFmtId="10" fontId="10" fillId="4" borderId="2" xfId="0" applyNumberFormat="1" applyFont="1" applyFill="1" applyBorder="1" applyAlignment="1" applyProtection="1">
      <alignment horizontal="center" vertical="center" wrapText="1"/>
      <protection hidden="1"/>
    </xf>
    <xf numFmtId="10" fontId="10" fillId="4" borderId="3" xfId="0" applyNumberFormat="1" applyFont="1" applyFill="1" applyBorder="1" applyAlignment="1" applyProtection="1">
      <alignment horizontal="center" vertical="center" wrapText="1"/>
      <protection hidden="1"/>
    </xf>
    <xf numFmtId="10" fontId="10" fillId="4" borderId="35" xfId="0" applyNumberFormat="1" applyFont="1" applyFill="1" applyBorder="1" applyAlignment="1" applyProtection="1">
      <alignment horizontal="center" vertical="center" wrapText="1"/>
      <protection hidden="1"/>
    </xf>
    <xf numFmtId="10" fontId="10" fillId="8" borderId="2" xfId="0" applyNumberFormat="1" applyFont="1" applyFill="1" applyBorder="1" applyAlignment="1" applyProtection="1">
      <alignment horizontal="center" vertical="center" wrapText="1"/>
      <protection hidden="1"/>
    </xf>
    <xf numFmtId="10" fontId="10" fillId="8" borderId="3" xfId="0" applyNumberFormat="1" applyFont="1" applyFill="1" applyBorder="1" applyAlignment="1" applyProtection="1">
      <alignment horizontal="center" vertical="center" wrapText="1"/>
      <protection hidden="1"/>
    </xf>
    <xf numFmtId="10" fontId="10" fillId="8" borderId="35" xfId="0" applyNumberFormat="1" applyFont="1" applyFill="1" applyBorder="1" applyAlignment="1" applyProtection="1">
      <alignment horizontal="center" vertical="center" wrapText="1"/>
      <protection hidden="1"/>
    </xf>
    <xf numFmtId="0" fontId="8" fillId="0" borderId="0" xfId="0" applyFont="1" applyAlignment="1" applyProtection="1">
      <alignment horizontal="left" vertical="top" wrapText="1"/>
      <protection hidden="1"/>
    </xf>
    <xf numFmtId="0" fontId="8" fillId="0" borderId="0" xfId="0" applyFont="1" applyAlignment="1" applyProtection="1">
      <alignment horizontal="left" vertical="top"/>
      <protection hidden="1"/>
    </xf>
    <xf numFmtId="0" fontId="14" fillId="0" borderId="0" xfId="0" applyFont="1" applyAlignment="1" applyProtection="1">
      <alignment horizontal="left" wrapText="1"/>
      <protection hidden="1"/>
    </xf>
    <xf numFmtId="179" fontId="12" fillId="7" borderId="21" xfId="0" applyNumberFormat="1" applyFont="1" applyFill="1" applyBorder="1" applyAlignment="1" applyProtection="1">
      <alignment horizontal="center" vertical="center"/>
      <protection hidden="1"/>
    </xf>
    <xf numFmtId="179" fontId="12" fillId="7" borderId="16" xfId="0" applyNumberFormat="1" applyFont="1" applyFill="1" applyBorder="1" applyAlignment="1" applyProtection="1">
      <alignment horizontal="center" vertical="center"/>
      <protection hidden="1"/>
    </xf>
    <xf numFmtId="179" fontId="12" fillId="7" borderId="22" xfId="0" applyNumberFormat="1" applyFont="1" applyFill="1" applyBorder="1" applyAlignment="1" applyProtection="1">
      <alignment horizontal="center" vertical="center"/>
      <protection hidden="1"/>
    </xf>
    <xf numFmtId="0" fontId="15" fillId="8" borderId="24" xfId="0" applyFont="1" applyFill="1" applyBorder="1" applyAlignment="1" applyProtection="1">
      <alignment horizontal="center" vertical="center" wrapText="1" shrinkToFit="1"/>
      <protection hidden="1"/>
    </xf>
    <xf numFmtId="0" fontId="15" fillId="8" borderId="23" xfId="0" applyFont="1" applyFill="1" applyBorder="1" applyAlignment="1" applyProtection="1">
      <alignment horizontal="center" vertical="center" shrinkToFit="1"/>
      <protection hidden="1"/>
    </xf>
    <xf numFmtId="0" fontId="15" fillId="8" borderId="28" xfId="0" applyFont="1" applyFill="1" applyBorder="1" applyAlignment="1" applyProtection="1">
      <alignment horizontal="center" vertical="center" shrinkToFit="1"/>
      <protection hidden="1"/>
    </xf>
    <xf numFmtId="0" fontId="8" fillId="9" borderId="269" xfId="0" applyFont="1" applyFill="1" applyBorder="1" applyAlignment="1" applyProtection="1">
      <alignment horizontal="center" vertical="center" wrapText="1"/>
      <protection hidden="1"/>
    </xf>
    <xf numFmtId="0" fontId="8" fillId="9" borderId="270" xfId="0" applyFont="1" applyFill="1" applyBorder="1" applyAlignment="1" applyProtection="1">
      <alignment horizontal="center" vertical="center"/>
      <protection hidden="1"/>
    </xf>
    <xf numFmtId="0" fontId="10" fillId="0" borderId="101" xfId="0" applyFont="1" applyBorder="1" applyAlignment="1" applyProtection="1">
      <alignment horizontal="center" vertical="center" shrinkToFit="1"/>
      <protection hidden="1"/>
    </xf>
    <xf numFmtId="0" fontId="10" fillId="0" borderId="102" xfId="0" applyFont="1" applyBorder="1" applyAlignment="1" applyProtection="1">
      <alignment horizontal="center" vertical="center" shrinkToFit="1"/>
      <protection hidden="1"/>
    </xf>
    <xf numFmtId="0" fontId="10" fillId="0" borderId="188" xfId="0" applyFont="1" applyBorder="1" applyAlignment="1" applyProtection="1">
      <alignment horizontal="center" vertical="center" shrinkToFit="1"/>
      <protection hidden="1"/>
    </xf>
    <xf numFmtId="0" fontId="18" fillId="0" borderId="0" xfId="0" applyFont="1" applyAlignment="1" applyProtection="1">
      <alignment horizontal="center" vertical="center" wrapText="1"/>
      <protection hidden="1"/>
    </xf>
    <xf numFmtId="0" fontId="8" fillId="9" borderId="221" xfId="0" applyFont="1" applyFill="1" applyBorder="1" applyAlignment="1" applyProtection="1">
      <alignment horizontal="center" vertical="center" wrapText="1"/>
      <protection hidden="1"/>
    </xf>
    <xf numFmtId="0" fontId="8" fillId="9" borderId="232" xfId="0" applyFont="1" applyFill="1" applyBorder="1" applyAlignment="1" applyProtection="1">
      <alignment horizontal="center" vertical="center"/>
      <protection hidden="1"/>
    </xf>
    <xf numFmtId="0" fontId="8" fillId="10" borderId="259" xfId="0" applyFont="1" applyFill="1" applyBorder="1" applyAlignment="1" applyProtection="1">
      <alignment horizontal="center" vertical="center" wrapText="1"/>
      <protection hidden="1"/>
    </xf>
    <xf numFmtId="0" fontId="8" fillId="10" borderId="260" xfId="0" applyFont="1" applyFill="1" applyBorder="1" applyAlignment="1" applyProtection="1">
      <alignment horizontal="center" vertical="center"/>
      <protection hidden="1"/>
    </xf>
    <xf numFmtId="0" fontId="15" fillId="0" borderId="20" xfId="0" applyFont="1" applyBorder="1" applyAlignment="1" applyProtection="1">
      <alignment horizontal="center" vertical="center" wrapText="1"/>
      <protection hidden="1"/>
    </xf>
    <xf numFmtId="0" fontId="15" fillId="0" borderId="17" xfId="0" applyFont="1" applyBorder="1" applyAlignment="1" applyProtection="1">
      <alignment horizontal="center" vertical="center" wrapText="1"/>
      <protection hidden="1"/>
    </xf>
    <xf numFmtId="0" fontId="15" fillId="0" borderId="34" xfId="0" applyFont="1" applyBorder="1" applyAlignment="1" applyProtection="1">
      <alignment horizontal="center" vertical="center" wrapText="1"/>
      <protection hidden="1"/>
    </xf>
    <xf numFmtId="0" fontId="15" fillId="0" borderId="5"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32" xfId="0" applyFont="1" applyBorder="1" applyAlignment="1" applyProtection="1">
      <alignment horizontal="center" vertical="center" wrapText="1"/>
      <protection hidden="1"/>
    </xf>
    <xf numFmtId="0" fontId="47" fillId="0" borderId="18" xfId="0" applyFont="1" applyBorder="1" applyAlignment="1">
      <alignment horizontal="left" vertical="top" wrapText="1"/>
    </xf>
    <xf numFmtId="0" fontId="47" fillId="0" borderId="15" xfId="0" applyFont="1" applyBorder="1" applyAlignment="1">
      <alignment horizontal="left" vertical="top" wrapText="1"/>
    </xf>
    <xf numFmtId="0" fontId="47" fillId="0" borderId="19" xfId="0" applyFont="1" applyBorder="1" applyAlignment="1">
      <alignment horizontal="left" vertical="top" wrapText="1"/>
    </xf>
    <xf numFmtId="0" fontId="8" fillId="0" borderId="2" xfId="0" applyFont="1" applyBorder="1" applyAlignment="1" applyProtection="1">
      <alignment horizontal="center" vertical="center"/>
      <protection hidden="1"/>
    </xf>
    <xf numFmtId="0" fontId="8" fillId="0" borderId="3" xfId="0" applyFont="1" applyBorder="1" applyAlignment="1" applyProtection="1">
      <alignment horizontal="center" vertical="center"/>
      <protection hidden="1"/>
    </xf>
    <xf numFmtId="0" fontId="8" fillId="0" borderId="25" xfId="0" applyFont="1" applyBorder="1" applyAlignment="1" applyProtection="1">
      <alignment horizontal="center" vertical="center"/>
      <protection hidden="1"/>
    </xf>
    <xf numFmtId="0" fontId="8" fillId="0" borderId="16" xfId="0" applyFont="1" applyBorder="1" applyAlignment="1" applyProtection="1">
      <alignment horizontal="center" vertical="center"/>
      <protection hidden="1"/>
    </xf>
    <xf numFmtId="0" fontId="15" fillId="8" borderId="197" xfId="0" applyFont="1" applyFill="1" applyBorder="1" applyAlignment="1" applyProtection="1">
      <alignment horizontal="center" vertical="center" wrapText="1" shrinkToFit="1"/>
      <protection hidden="1"/>
    </xf>
    <xf numFmtId="0" fontId="15" fillId="8" borderId="174" xfId="0" applyFont="1" applyFill="1" applyBorder="1" applyAlignment="1" applyProtection="1">
      <alignment horizontal="center" vertical="center" shrinkToFit="1"/>
      <protection hidden="1"/>
    </xf>
    <xf numFmtId="0" fontId="15" fillId="8" borderId="175" xfId="0" applyFont="1" applyFill="1" applyBorder="1" applyAlignment="1" applyProtection="1">
      <alignment horizontal="center" vertical="center" shrinkToFit="1"/>
      <protection hidden="1"/>
    </xf>
    <xf numFmtId="187" fontId="18" fillId="0" borderId="220" xfId="0" applyNumberFormat="1" applyFont="1" applyBorder="1" applyAlignment="1" applyProtection="1">
      <alignment horizontal="center" vertical="center" shrinkToFit="1"/>
      <protection hidden="1"/>
    </xf>
    <xf numFmtId="187" fontId="18" fillId="0" borderId="221" xfId="0" applyNumberFormat="1" applyFont="1" applyBorder="1" applyAlignment="1" applyProtection="1">
      <alignment horizontal="center" vertical="center" shrinkToFit="1"/>
      <protection hidden="1"/>
    </xf>
    <xf numFmtId="0" fontId="8" fillId="4" borderId="181" xfId="0" applyFont="1" applyFill="1" applyBorder="1" applyAlignment="1" applyProtection="1">
      <alignment horizontal="center" vertical="center" shrinkToFit="1"/>
      <protection hidden="1"/>
    </xf>
    <xf numFmtId="0" fontId="8" fillId="4" borderId="179" xfId="0" applyFont="1" applyFill="1" applyBorder="1" applyAlignment="1" applyProtection="1">
      <alignment horizontal="center" vertical="center" shrinkToFit="1"/>
      <protection hidden="1"/>
    </xf>
    <xf numFmtId="0" fontId="8" fillId="4" borderId="33" xfId="0" applyFont="1" applyFill="1" applyBorder="1" applyAlignment="1" applyProtection="1">
      <alignment horizontal="center" vertical="center" shrinkToFit="1"/>
      <protection hidden="1"/>
    </xf>
    <xf numFmtId="0" fontId="15" fillId="4" borderId="195" xfId="0" applyFont="1" applyFill="1" applyBorder="1" applyAlignment="1" applyProtection="1">
      <alignment horizontal="center" vertical="center" wrapText="1"/>
      <protection hidden="1"/>
    </xf>
    <xf numFmtId="0" fontId="12" fillId="4" borderId="196" xfId="0" applyFont="1" applyFill="1" applyBorder="1" applyAlignment="1" applyProtection="1">
      <alignment horizontal="center" vertical="center"/>
      <protection hidden="1"/>
    </xf>
    <xf numFmtId="187" fontId="18" fillId="0" borderId="264" xfId="0" applyNumberFormat="1" applyFont="1" applyBorder="1" applyAlignment="1" applyProtection="1">
      <alignment horizontal="center" vertical="center" shrinkToFit="1"/>
      <protection hidden="1"/>
    </xf>
    <xf numFmtId="187" fontId="18" fillId="0" borderId="265" xfId="0" applyNumberFormat="1" applyFont="1" applyBorder="1" applyAlignment="1" applyProtection="1">
      <alignment horizontal="center" vertical="center" shrinkToFit="1"/>
      <protection hidden="1"/>
    </xf>
    <xf numFmtId="179" fontId="37" fillId="7" borderId="11" xfId="0" applyNumberFormat="1" applyFont="1" applyFill="1" applyBorder="1" applyAlignment="1" applyProtection="1">
      <alignment horizontal="center" vertical="center" shrinkToFit="1"/>
      <protection hidden="1"/>
    </xf>
    <xf numFmtId="179" fontId="37" fillId="7" borderId="8" xfId="0" applyNumberFormat="1" applyFont="1" applyFill="1" applyBorder="1" applyAlignment="1" applyProtection="1">
      <alignment horizontal="center" vertical="center" shrinkToFit="1"/>
      <protection hidden="1"/>
    </xf>
    <xf numFmtId="179" fontId="37" fillId="7" borderId="9" xfId="0" applyNumberFormat="1" applyFont="1" applyFill="1" applyBorder="1" applyAlignment="1" applyProtection="1">
      <alignment horizontal="center" vertical="center" shrinkToFit="1"/>
      <protection hidden="1"/>
    </xf>
    <xf numFmtId="10" fontId="42" fillId="0" borderId="0" xfId="0" applyNumberFormat="1" applyFont="1" applyAlignment="1" applyProtection="1">
      <alignment horizontal="left" wrapText="1"/>
      <protection hidden="1"/>
    </xf>
    <xf numFmtId="179" fontId="36" fillId="7" borderId="5" xfId="0" applyNumberFormat="1" applyFont="1" applyFill="1" applyBorder="1" applyAlignment="1" applyProtection="1">
      <alignment horizontal="center" vertical="center" shrinkToFit="1"/>
      <protection hidden="1"/>
    </xf>
    <xf numFmtId="179" fontId="36" fillId="7" borderId="0" xfId="0" applyNumberFormat="1" applyFont="1" applyFill="1" applyAlignment="1" applyProtection="1">
      <alignment horizontal="center" vertical="center" shrinkToFit="1"/>
      <protection hidden="1"/>
    </xf>
    <xf numFmtId="179" fontId="36" fillId="7" borderId="12" xfId="0" applyNumberFormat="1" applyFont="1" applyFill="1" applyBorder="1" applyAlignment="1" applyProtection="1">
      <alignment horizontal="center" vertical="center" shrinkToFit="1"/>
      <protection hidden="1"/>
    </xf>
    <xf numFmtId="179" fontId="36" fillId="7" borderId="7" xfId="0" applyNumberFormat="1" applyFont="1" applyFill="1" applyBorder="1" applyAlignment="1" applyProtection="1">
      <alignment horizontal="center" vertical="center" shrinkToFit="1"/>
      <protection hidden="1"/>
    </xf>
    <xf numFmtId="179" fontId="36" fillId="7" borderId="8" xfId="0" applyNumberFormat="1" applyFont="1" applyFill="1" applyBorder="1" applyAlignment="1" applyProtection="1">
      <alignment horizontal="center" vertical="center" shrinkToFit="1"/>
      <protection hidden="1"/>
    </xf>
    <xf numFmtId="179" fontId="36" fillId="7" borderId="13" xfId="0" applyNumberFormat="1" applyFont="1" applyFill="1" applyBorder="1" applyAlignment="1" applyProtection="1">
      <alignment horizontal="center" vertical="center" shrinkToFit="1"/>
      <protection hidden="1"/>
    </xf>
    <xf numFmtId="179" fontId="37" fillId="7" borderId="21" xfId="0" applyNumberFormat="1" applyFont="1" applyFill="1" applyBorder="1" applyAlignment="1" applyProtection="1">
      <alignment horizontal="center" vertical="center" shrinkToFit="1"/>
      <protection hidden="1"/>
    </xf>
    <xf numFmtId="179" fontId="37" fillId="7" borderId="16" xfId="0" applyNumberFormat="1" applyFont="1" applyFill="1" applyBorder="1" applyAlignment="1" applyProtection="1">
      <alignment horizontal="center" vertical="center" shrinkToFit="1"/>
      <protection hidden="1"/>
    </xf>
    <xf numFmtId="179" fontId="37" fillId="7" borderId="22" xfId="0" applyNumberFormat="1" applyFont="1" applyFill="1" applyBorder="1" applyAlignment="1" applyProtection="1">
      <alignment horizontal="center" vertical="center" shrinkToFit="1"/>
      <protection hidden="1"/>
    </xf>
    <xf numFmtId="0" fontId="15" fillId="4" borderId="24" xfId="0" applyFont="1" applyFill="1" applyBorder="1" applyAlignment="1" applyProtection="1">
      <alignment horizontal="center" vertical="center" shrinkToFit="1"/>
      <protection hidden="1"/>
    </xf>
    <xf numFmtId="0" fontId="15" fillId="4" borderId="23" xfId="0" applyFont="1" applyFill="1" applyBorder="1" applyAlignment="1" applyProtection="1">
      <alignment horizontal="center" vertical="center" shrinkToFit="1"/>
      <protection hidden="1"/>
    </xf>
    <xf numFmtId="0" fontId="15" fillId="4" borderId="28" xfId="0" applyFont="1" applyFill="1" applyBorder="1" applyAlignment="1" applyProtection="1">
      <alignment horizontal="center" vertical="center" shrinkToFit="1"/>
      <protection hidden="1"/>
    </xf>
    <xf numFmtId="179" fontId="13" fillId="0" borderId="275" xfId="0" applyNumberFormat="1" applyFont="1" applyBorder="1" applyAlignment="1" applyProtection="1">
      <alignment horizontal="center" vertical="center" shrinkToFit="1"/>
      <protection hidden="1"/>
    </xf>
    <xf numFmtId="179" fontId="13" fillId="0" borderId="273" xfId="0" applyNumberFormat="1" applyFont="1" applyBorder="1" applyAlignment="1" applyProtection="1">
      <alignment horizontal="center" vertical="center" shrinkToFit="1"/>
      <protection hidden="1"/>
    </xf>
    <xf numFmtId="179" fontId="13" fillId="0" borderId="276" xfId="0" applyNumberFormat="1" applyFont="1" applyBorder="1" applyAlignment="1" applyProtection="1">
      <alignment horizontal="center" vertical="center" shrinkToFit="1"/>
      <protection hidden="1"/>
    </xf>
    <xf numFmtId="0" fontId="8" fillId="9" borderId="31" xfId="0" applyFont="1" applyFill="1" applyBorder="1" applyAlignment="1" applyProtection="1">
      <alignment horizontal="center" vertical="center" wrapText="1"/>
      <protection hidden="1"/>
    </xf>
    <xf numFmtId="0" fontId="8" fillId="9" borderId="17" xfId="0" applyFont="1" applyFill="1" applyBorder="1" applyAlignment="1" applyProtection="1">
      <alignment horizontal="center" vertical="center"/>
      <protection hidden="1"/>
    </xf>
    <xf numFmtId="188" fontId="18" fillId="0" borderId="264" xfId="0" applyNumberFormat="1" applyFont="1" applyBorder="1" applyAlignment="1" applyProtection="1">
      <alignment horizontal="center" vertical="center" shrinkToFit="1"/>
      <protection hidden="1"/>
    </xf>
    <xf numFmtId="188" fontId="18" fillId="0" borderId="265" xfId="0" applyNumberFormat="1" applyFont="1" applyBorder="1" applyAlignment="1" applyProtection="1">
      <alignment horizontal="center" vertical="center" shrinkToFit="1"/>
      <protection hidden="1"/>
    </xf>
    <xf numFmtId="0" fontId="18" fillId="0" borderId="133" xfId="0" applyFont="1" applyBorder="1" applyAlignment="1" applyProtection="1">
      <alignment horizontal="left" vertical="top" wrapText="1"/>
      <protection hidden="1"/>
    </xf>
    <xf numFmtId="0" fontId="18" fillId="0" borderId="51" xfId="0" applyFont="1" applyBorder="1" applyAlignment="1" applyProtection="1">
      <alignment horizontal="left" vertical="top" wrapText="1"/>
      <protection hidden="1"/>
    </xf>
    <xf numFmtId="0" fontId="18" fillId="0" borderId="132" xfId="0" applyFont="1" applyBorder="1" applyAlignment="1" applyProtection="1">
      <alignment horizontal="left" vertical="top" wrapText="1"/>
      <protection hidden="1"/>
    </xf>
    <xf numFmtId="0" fontId="18" fillId="0" borderId="144" xfId="0" applyFont="1" applyBorder="1" applyAlignment="1" applyProtection="1">
      <alignment horizontal="left" vertical="top" wrapText="1"/>
      <protection hidden="1"/>
    </xf>
    <xf numFmtId="0" fontId="18" fillId="0" borderId="0" xfId="0" applyFont="1" applyAlignment="1" applyProtection="1">
      <alignment horizontal="left" vertical="top" wrapText="1"/>
      <protection hidden="1"/>
    </xf>
    <xf numFmtId="0" fontId="18" fillId="0" borderId="145" xfId="0" applyFont="1" applyBorder="1" applyAlignment="1" applyProtection="1">
      <alignment horizontal="left" vertical="top" wrapText="1"/>
      <protection hidden="1"/>
    </xf>
    <xf numFmtId="0" fontId="18" fillId="0" borderId="143" xfId="0" applyFont="1" applyBorder="1" applyAlignment="1" applyProtection="1">
      <alignment horizontal="left" vertical="top" wrapText="1"/>
      <protection hidden="1"/>
    </xf>
    <xf numFmtId="0" fontId="18" fillId="0" borderId="46" xfId="0" applyFont="1" applyBorder="1" applyAlignment="1" applyProtection="1">
      <alignment horizontal="left" vertical="top" wrapText="1"/>
      <protection hidden="1"/>
    </xf>
    <xf numFmtId="0" fontId="18" fillId="0" borderId="67" xfId="0" applyFont="1" applyBorder="1" applyAlignment="1" applyProtection="1">
      <alignment horizontal="left" vertical="top" wrapText="1"/>
      <protection hidden="1"/>
    </xf>
    <xf numFmtId="0" fontId="18" fillId="0" borderId="133" xfId="0" applyFont="1" applyBorder="1" applyAlignment="1" applyProtection="1">
      <alignment horizontal="left" vertical="center" wrapText="1"/>
      <protection hidden="1"/>
    </xf>
    <xf numFmtId="0" fontId="18" fillId="0" borderId="51" xfId="0" applyFont="1" applyBorder="1" applyAlignment="1" applyProtection="1">
      <alignment horizontal="left" vertical="center" wrapText="1"/>
      <protection hidden="1"/>
    </xf>
    <xf numFmtId="0" fontId="18" fillId="0" borderId="144" xfId="0" applyFont="1" applyBorder="1" applyAlignment="1" applyProtection="1">
      <alignment horizontal="left" vertical="center" wrapText="1"/>
      <protection hidden="1"/>
    </xf>
    <xf numFmtId="0" fontId="18" fillId="0" borderId="0" xfId="0" applyFont="1" applyAlignment="1" applyProtection="1">
      <alignment horizontal="left" vertical="center" wrapText="1"/>
      <protection hidden="1"/>
    </xf>
    <xf numFmtId="0" fontId="18" fillId="0" borderId="143" xfId="0" applyFont="1" applyBorder="1" applyAlignment="1" applyProtection="1">
      <alignment horizontal="left" vertical="center" wrapText="1"/>
      <protection hidden="1"/>
    </xf>
    <xf numFmtId="0" fontId="18" fillId="0" borderId="46" xfId="0" applyFont="1" applyBorder="1" applyAlignment="1" applyProtection="1">
      <alignment horizontal="left" vertical="center" wrapText="1"/>
      <protection hidden="1"/>
    </xf>
    <xf numFmtId="0" fontId="7" fillId="0" borderId="0" xfId="0" applyFont="1" applyAlignment="1" applyProtection="1">
      <alignment horizontal="right" vertical="center" textRotation="255"/>
      <protection hidden="1"/>
    </xf>
    <xf numFmtId="0" fontId="7" fillId="0" borderId="6" xfId="0" applyFont="1" applyBorder="1" applyAlignment="1" applyProtection="1">
      <alignment horizontal="right" vertical="center" textRotation="255"/>
      <protection hidden="1"/>
    </xf>
    <xf numFmtId="0" fontId="15" fillId="0" borderId="7" xfId="0" applyFont="1" applyBorder="1" applyAlignment="1" applyProtection="1">
      <alignment horizontal="center" vertical="center" wrapText="1"/>
      <protection hidden="1"/>
    </xf>
    <xf numFmtId="0" fontId="15" fillId="0" borderId="8"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2" xfId="0" applyFont="1" applyBorder="1" applyAlignment="1" applyProtection="1">
      <alignment horizontal="center" vertical="center" wrapText="1"/>
      <protection hidden="1"/>
    </xf>
    <xf numFmtId="0" fontId="15" fillId="0" borderId="3" xfId="0" applyFont="1" applyBorder="1" applyAlignment="1" applyProtection="1">
      <alignment horizontal="center" vertical="center" wrapText="1"/>
      <protection hidden="1"/>
    </xf>
    <xf numFmtId="0" fontId="15" fillId="0" borderId="99" xfId="0" applyFont="1" applyBorder="1" applyAlignment="1" applyProtection="1">
      <alignment horizontal="center" vertical="center" wrapText="1"/>
      <protection hidden="1"/>
    </xf>
    <xf numFmtId="0" fontId="8" fillId="10" borderId="215" xfId="0" applyFont="1" applyFill="1" applyBorder="1" applyAlignment="1" applyProtection="1">
      <alignment horizontal="center" vertical="center" wrapText="1"/>
      <protection hidden="1"/>
    </xf>
    <xf numFmtId="0" fontId="8" fillId="10" borderId="234" xfId="0" applyFont="1" applyFill="1" applyBorder="1" applyAlignment="1" applyProtection="1">
      <alignment horizontal="center" vertical="center"/>
      <protection hidden="1"/>
    </xf>
    <xf numFmtId="0" fontId="47" fillId="0" borderId="3" xfId="0" applyFont="1" applyBorder="1" applyAlignment="1" applyProtection="1">
      <alignment horizontal="left" vertical="top" wrapText="1"/>
      <protection hidden="1"/>
    </xf>
    <xf numFmtId="179" fontId="13" fillId="0" borderId="199" xfId="0" applyNumberFormat="1" applyFont="1" applyBorder="1" applyAlignment="1" applyProtection="1">
      <alignment horizontal="center" vertical="center" shrinkToFit="1"/>
      <protection hidden="1"/>
    </xf>
    <xf numFmtId="179" fontId="13" fillId="0" borderId="1" xfId="0" applyNumberFormat="1" applyFont="1" applyBorder="1" applyAlignment="1" applyProtection="1">
      <alignment horizontal="center" vertical="center" shrinkToFit="1"/>
      <protection hidden="1"/>
    </xf>
    <xf numFmtId="179" fontId="13" fillId="0" borderId="176" xfId="0" applyNumberFormat="1" applyFont="1" applyBorder="1" applyAlignment="1" applyProtection="1">
      <alignment horizontal="center" vertical="center" shrinkToFit="1"/>
      <protection hidden="1"/>
    </xf>
    <xf numFmtId="179" fontId="13" fillId="0" borderId="267" xfId="0" applyNumberFormat="1" applyFont="1" applyBorder="1" applyAlignment="1" applyProtection="1">
      <alignment horizontal="center" vertical="center" shrinkToFit="1"/>
      <protection hidden="1"/>
    </xf>
    <xf numFmtId="179" fontId="13" fillId="0" borderId="264" xfId="0" applyNumberFormat="1" applyFont="1" applyBorder="1" applyAlignment="1" applyProtection="1">
      <alignment horizontal="center" vertical="center" shrinkToFit="1"/>
      <protection hidden="1"/>
    </xf>
    <xf numFmtId="179" fontId="13" fillId="0" borderId="268" xfId="0" applyNumberFormat="1" applyFont="1" applyBorder="1" applyAlignment="1" applyProtection="1">
      <alignment horizontal="center" vertical="center" shrinkToFit="1"/>
      <protection hidden="1"/>
    </xf>
    <xf numFmtId="189" fontId="18" fillId="0" borderId="214" xfId="0" applyNumberFormat="1" applyFont="1" applyBorder="1" applyAlignment="1" applyProtection="1">
      <alignment horizontal="center" vertical="center" shrinkToFit="1"/>
      <protection hidden="1"/>
    </xf>
    <xf numFmtId="189" fontId="18" fillId="0" borderId="215" xfId="0" applyNumberFormat="1" applyFont="1" applyBorder="1" applyAlignment="1" applyProtection="1">
      <alignment horizontal="center" vertical="center" shrinkToFit="1"/>
      <protection hidden="1"/>
    </xf>
    <xf numFmtId="189" fontId="18" fillId="0" borderId="273" xfId="0" applyNumberFormat="1" applyFont="1" applyBorder="1" applyAlignment="1" applyProtection="1">
      <alignment horizontal="center" vertical="center" shrinkToFit="1"/>
      <protection hidden="1"/>
    </xf>
    <xf numFmtId="189" fontId="18" fillId="0" borderId="269" xfId="0" applyNumberFormat="1" applyFont="1" applyBorder="1" applyAlignment="1" applyProtection="1">
      <alignment horizontal="center" vertical="center" shrinkToFit="1"/>
      <protection hidden="1"/>
    </xf>
    <xf numFmtId="187" fontId="18" fillId="0" borderId="1" xfId="0" applyNumberFormat="1" applyFont="1" applyBorder="1" applyAlignment="1" applyProtection="1">
      <alignment horizontal="center" vertical="center" shrinkToFit="1"/>
      <protection hidden="1"/>
    </xf>
    <xf numFmtId="187" fontId="18" fillId="0" borderId="156" xfId="0" applyNumberFormat="1" applyFont="1" applyBorder="1" applyAlignment="1" applyProtection="1">
      <alignment horizontal="center" vertical="center" shrinkToFit="1"/>
      <protection hidden="1"/>
    </xf>
    <xf numFmtId="0" fontId="18" fillId="0" borderId="107" xfId="0" applyFont="1" applyBorder="1" applyAlignment="1" applyProtection="1">
      <alignment horizontal="left" vertical="center" wrapText="1"/>
      <protection hidden="1"/>
    </xf>
    <xf numFmtId="0" fontId="18" fillId="0" borderId="38" xfId="0" applyFont="1" applyBorder="1" applyAlignment="1" applyProtection="1">
      <alignment horizontal="left" vertical="center" wrapText="1"/>
      <protection hidden="1"/>
    </xf>
    <xf numFmtId="0" fontId="15" fillId="4" borderId="196" xfId="0" applyFont="1" applyFill="1" applyBorder="1" applyAlignment="1" applyProtection="1">
      <alignment horizontal="center" vertical="center"/>
      <protection hidden="1"/>
    </xf>
    <xf numFmtId="0" fontId="8" fillId="8" borderId="198" xfId="0" applyFont="1" applyFill="1" applyBorder="1" applyAlignment="1" applyProtection="1">
      <alignment horizontal="center" vertical="center" shrinkToFit="1"/>
      <protection hidden="1"/>
    </xf>
    <xf numFmtId="0" fontId="8" fillId="8" borderId="179" xfId="0" applyFont="1" applyFill="1" applyBorder="1" applyAlignment="1" applyProtection="1">
      <alignment horizontal="center" vertical="center" shrinkToFit="1"/>
      <protection hidden="1"/>
    </xf>
    <xf numFmtId="0" fontId="8" fillId="8" borderId="180" xfId="0" applyFont="1" applyFill="1" applyBorder="1" applyAlignment="1" applyProtection="1">
      <alignment horizontal="center" vertical="center" shrinkToFit="1"/>
      <protection hidden="1"/>
    </xf>
    <xf numFmtId="0" fontId="18" fillId="0" borderId="132" xfId="0" applyFont="1" applyBorder="1" applyAlignment="1" applyProtection="1">
      <alignment horizontal="left" vertical="center" wrapText="1"/>
      <protection hidden="1"/>
    </xf>
    <xf numFmtId="0" fontId="18" fillId="0" borderId="145" xfId="0" applyFont="1" applyBorder="1" applyAlignment="1" applyProtection="1">
      <alignment horizontal="left" vertical="center" wrapText="1"/>
      <protection hidden="1"/>
    </xf>
    <xf numFmtId="0" fontId="18" fillId="0" borderId="67" xfId="0" applyFont="1" applyBorder="1" applyAlignment="1" applyProtection="1">
      <alignment horizontal="left" vertical="center" wrapText="1"/>
      <protection hidden="1"/>
    </xf>
    <xf numFmtId="179" fontId="11" fillId="7" borderId="5" xfId="0" applyNumberFormat="1" applyFont="1" applyFill="1" applyBorder="1" applyAlignment="1" applyProtection="1">
      <alignment horizontal="center" vertical="center" wrapText="1"/>
      <protection hidden="1"/>
    </xf>
    <xf numFmtId="179" fontId="11" fillId="7" borderId="0" xfId="0" applyNumberFormat="1" applyFont="1" applyFill="1" applyAlignment="1" applyProtection="1">
      <alignment horizontal="center" vertical="center" wrapText="1"/>
      <protection hidden="1"/>
    </xf>
    <xf numFmtId="179" fontId="11" fillId="7" borderId="12" xfId="0" applyNumberFormat="1" applyFont="1" applyFill="1" applyBorder="1" applyAlignment="1" applyProtection="1">
      <alignment horizontal="center" vertical="center" wrapText="1"/>
      <protection hidden="1"/>
    </xf>
    <xf numFmtId="179" fontId="11" fillId="7" borderId="7" xfId="0" applyNumberFormat="1" applyFont="1" applyFill="1" applyBorder="1" applyAlignment="1" applyProtection="1">
      <alignment horizontal="center" vertical="center" wrapText="1"/>
      <protection hidden="1"/>
    </xf>
    <xf numFmtId="179" fontId="11" fillId="7" borderId="8" xfId="0" applyNumberFormat="1" applyFont="1" applyFill="1" applyBorder="1" applyAlignment="1" applyProtection="1">
      <alignment horizontal="center" vertical="center" wrapText="1"/>
      <protection hidden="1"/>
    </xf>
    <xf numFmtId="179" fontId="11" fillId="7" borderId="13" xfId="0" applyNumberFormat="1" applyFont="1" applyFill="1" applyBorder="1" applyAlignment="1" applyProtection="1">
      <alignment horizontal="center" vertical="center" wrapText="1"/>
      <protection hidden="1"/>
    </xf>
    <xf numFmtId="179" fontId="13" fillId="0" borderId="258" xfId="0" applyNumberFormat="1" applyFont="1" applyBorder="1" applyAlignment="1" applyProtection="1">
      <alignment horizontal="center" vertical="center" shrinkToFit="1"/>
      <protection hidden="1"/>
    </xf>
    <xf numFmtId="179" fontId="13" fillId="0" borderId="220" xfId="0" applyNumberFormat="1" applyFont="1" applyBorder="1" applyAlignment="1" applyProtection="1">
      <alignment horizontal="center" vertical="center" shrinkToFit="1"/>
      <protection hidden="1"/>
    </xf>
    <xf numFmtId="179" fontId="13" fillId="0" borderId="225" xfId="0" applyNumberFormat="1" applyFont="1" applyBorder="1" applyAlignment="1" applyProtection="1">
      <alignment horizontal="center" vertical="center" shrinkToFit="1"/>
      <protection hidden="1"/>
    </xf>
    <xf numFmtId="179" fontId="13" fillId="0" borderId="216" xfId="0" applyNumberFormat="1" applyFont="1" applyBorder="1" applyAlignment="1" applyProtection="1">
      <alignment horizontal="center" vertical="center"/>
      <protection hidden="1"/>
    </xf>
    <xf numFmtId="179" fontId="13" fillId="0" borderId="214" xfId="0" applyNumberFormat="1" applyFont="1" applyBorder="1" applyAlignment="1" applyProtection="1">
      <alignment horizontal="center" vertical="center"/>
      <protection hidden="1"/>
    </xf>
    <xf numFmtId="179" fontId="13" fillId="0" borderId="215" xfId="0" applyNumberFormat="1" applyFont="1" applyBorder="1" applyAlignment="1" applyProtection="1">
      <alignment horizontal="center" vertical="center"/>
      <protection hidden="1"/>
    </xf>
    <xf numFmtId="179" fontId="13" fillId="0" borderId="274" xfId="0" applyNumberFormat="1" applyFont="1" applyBorder="1" applyAlignment="1" applyProtection="1">
      <alignment horizontal="center" vertical="center"/>
      <protection hidden="1"/>
    </xf>
    <xf numFmtId="179" fontId="13" fillId="0" borderId="273" xfId="0" applyNumberFormat="1" applyFont="1" applyBorder="1" applyAlignment="1" applyProtection="1">
      <alignment horizontal="center" vertical="center"/>
      <protection hidden="1"/>
    </xf>
    <xf numFmtId="179" fontId="13" fillId="0" borderId="269" xfId="0" applyNumberFormat="1" applyFont="1" applyBorder="1" applyAlignment="1" applyProtection="1">
      <alignment horizontal="center" vertical="center"/>
      <protection hidden="1"/>
    </xf>
    <xf numFmtId="179" fontId="13" fillId="0" borderId="183" xfId="0" applyNumberFormat="1" applyFont="1" applyBorder="1" applyAlignment="1" applyProtection="1">
      <alignment horizontal="center" vertical="center"/>
      <protection hidden="1"/>
    </xf>
    <xf numFmtId="179" fontId="13" fillId="0" borderId="1" xfId="0" applyNumberFormat="1" applyFont="1" applyBorder="1" applyAlignment="1" applyProtection="1">
      <alignment horizontal="center" vertical="center"/>
      <protection hidden="1"/>
    </xf>
    <xf numFmtId="179" fontId="13" fillId="0" borderId="156" xfId="0" applyNumberFormat="1" applyFont="1" applyBorder="1" applyAlignment="1" applyProtection="1">
      <alignment horizontal="center" vertical="center"/>
      <protection hidden="1"/>
    </xf>
    <xf numFmtId="179" fontId="13" fillId="0" borderId="266" xfId="0" applyNumberFormat="1" applyFont="1" applyBorder="1" applyAlignment="1" applyProtection="1">
      <alignment horizontal="center" vertical="center"/>
      <protection hidden="1"/>
    </xf>
    <xf numFmtId="179" fontId="13" fillId="0" borderId="264" xfId="0" applyNumberFormat="1" applyFont="1" applyBorder="1" applyAlignment="1" applyProtection="1">
      <alignment horizontal="center" vertical="center"/>
      <protection hidden="1"/>
    </xf>
    <xf numFmtId="179" fontId="13" fillId="0" borderId="265" xfId="0" applyNumberFormat="1" applyFont="1" applyBorder="1" applyAlignment="1" applyProtection="1">
      <alignment horizontal="center" vertical="center"/>
      <protection hidden="1"/>
    </xf>
    <xf numFmtId="179" fontId="12" fillId="7" borderId="11" xfId="0" applyNumberFormat="1" applyFont="1" applyFill="1" applyBorder="1" applyAlignment="1" applyProtection="1">
      <alignment horizontal="center" vertical="center" wrapText="1"/>
      <protection hidden="1"/>
    </xf>
    <xf numFmtId="179" fontId="12" fillId="7" borderId="8" xfId="0" applyNumberFormat="1" applyFont="1" applyFill="1" applyBorder="1" applyAlignment="1" applyProtection="1">
      <alignment horizontal="center" vertical="center" wrapText="1"/>
      <protection hidden="1"/>
    </xf>
    <xf numFmtId="179" fontId="12" fillId="7" borderId="9" xfId="0" applyNumberFormat="1" applyFont="1" applyFill="1" applyBorder="1" applyAlignment="1" applyProtection="1">
      <alignment horizontal="center" vertical="center" wrapText="1"/>
      <protection hidden="1"/>
    </xf>
    <xf numFmtId="0" fontId="8" fillId="4" borderId="181" xfId="0" applyFont="1" applyFill="1" applyBorder="1" applyAlignment="1" applyProtection="1">
      <alignment horizontal="center" vertical="center"/>
      <protection hidden="1"/>
    </xf>
    <xf numFmtId="0" fontId="8" fillId="4" borderId="179" xfId="0" applyFont="1" applyFill="1" applyBorder="1" applyAlignment="1" applyProtection="1">
      <alignment horizontal="center" vertical="center"/>
      <protection hidden="1"/>
    </xf>
    <xf numFmtId="0" fontId="8" fillId="4" borderId="33" xfId="0" applyFont="1" applyFill="1" applyBorder="1" applyAlignment="1" applyProtection="1">
      <alignment horizontal="center" vertical="center"/>
      <protection hidden="1"/>
    </xf>
    <xf numFmtId="0" fontId="18" fillId="0" borderId="46" xfId="0" applyFont="1" applyBorder="1" applyAlignment="1" applyProtection="1">
      <alignment horizontal="center" vertical="center"/>
      <protection hidden="1"/>
    </xf>
    <xf numFmtId="0" fontId="10" fillId="11" borderId="95" xfId="0" applyFont="1" applyFill="1" applyBorder="1" applyAlignment="1" applyProtection="1">
      <alignment horizontal="center" vertical="center" shrinkToFit="1"/>
      <protection hidden="1"/>
    </xf>
    <xf numFmtId="0" fontId="10" fillId="11" borderId="96" xfId="0" applyFont="1" applyFill="1" applyBorder="1" applyAlignment="1" applyProtection="1">
      <alignment horizontal="center" vertical="center" shrinkToFit="1"/>
      <protection hidden="1"/>
    </xf>
    <xf numFmtId="0" fontId="25" fillId="0" borderId="74" xfId="0" applyFont="1" applyBorder="1" applyAlignment="1" applyProtection="1">
      <alignment horizontal="center" vertical="center" shrinkToFit="1"/>
      <protection locked="0"/>
    </xf>
    <xf numFmtId="0" fontId="25" fillId="0" borderId="75" xfId="0" applyFont="1" applyBorder="1" applyAlignment="1" applyProtection="1">
      <alignment horizontal="center" vertical="center" shrinkToFit="1"/>
      <protection locked="0"/>
    </xf>
    <xf numFmtId="0" fontId="25" fillId="10" borderId="73" xfId="0" applyFont="1" applyFill="1" applyBorder="1" applyAlignment="1" applyProtection="1">
      <alignment horizontal="center" vertical="center" shrinkToFit="1"/>
      <protection locked="0"/>
    </xf>
    <xf numFmtId="0" fontId="25" fillId="10" borderId="74" xfId="0" applyFont="1" applyFill="1" applyBorder="1" applyAlignment="1" applyProtection="1">
      <alignment horizontal="center" vertical="center" shrinkToFit="1"/>
      <protection locked="0"/>
    </xf>
    <xf numFmtId="0" fontId="39" fillId="17" borderId="79" xfId="0" applyFont="1" applyFill="1" applyBorder="1" applyAlignment="1" applyProtection="1">
      <alignment horizontal="center" vertical="center" shrinkToFit="1"/>
      <protection hidden="1"/>
    </xf>
    <xf numFmtId="0" fontId="39" fillId="17" borderId="80" xfId="0" applyFont="1" applyFill="1" applyBorder="1" applyAlignment="1" applyProtection="1">
      <alignment horizontal="center" vertical="center" shrinkToFit="1"/>
      <protection hidden="1"/>
    </xf>
    <xf numFmtId="0" fontId="39" fillId="17" borderId="73" xfId="0" applyFont="1" applyFill="1" applyBorder="1" applyAlignment="1" applyProtection="1">
      <alignment horizontal="center" vertical="center" shrinkToFit="1"/>
      <protection hidden="1"/>
    </xf>
    <xf numFmtId="0" fontId="39" fillId="17" borderId="74" xfId="0" applyFont="1" applyFill="1" applyBorder="1" applyAlignment="1" applyProtection="1">
      <alignment horizontal="center" vertical="center" shrinkToFit="1"/>
      <protection hidden="1"/>
    </xf>
    <xf numFmtId="0" fontId="39" fillId="17" borderId="82" xfId="0" applyFont="1" applyFill="1" applyBorder="1" applyAlignment="1" applyProtection="1">
      <alignment horizontal="center" vertical="center" shrinkToFit="1"/>
      <protection hidden="1"/>
    </xf>
    <xf numFmtId="0" fontId="39" fillId="17" borderId="83" xfId="0" applyFont="1" applyFill="1" applyBorder="1" applyAlignment="1" applyProtection="1">
      <alignment horizontal="center" vertical="center" shrinkToFit="1"/>
      <protection hidden="1"/>
    </xf>
    <xf numFmtId="0" fontId="39" fillId="17" borderId="84" xfId="0" applyFont="1" applyFill="1" applyBorder="1" applyAlignment="1" applyProtection="1">
      <alignment horizontal="center" vertical="center" shrinkToFit="1"/>
      <protection hidden="1"/>
    </xf>
    <xf numFmtId="0" fontId="39" fillId="17" borderId="81" xfId="0" applyFont="1" applyFill="1" applyBorder="1" applyAlignment="1" applyProtection="1">
      <alignment horizontal="center" vertical="center" shrinkToFit="1"/>
      <protection hidden="1"/>
    </xf>
    <xf numFmtId="0" fontId="39" fillId="17" borderId="75" xfId="0" applyFont="1" applyFill="1" applyBorder="1" applyAlignment="1" applyProtection="1">
      <alignment horizontal="center" vertical="center" shrinkToFit="1"/>
      <protection hidden="1"/>
    </xf>
    <xf numFmtId="0" fontId="39" fillId="17" borderId="85" xfId="0" applyFont="1" applyFill="1" applyBorder="1" applyAlignment="1" applyProtection="1">
      <alignment horizontal="center" vertical="center" shrinkToFit="1"/>
      <protection hidden="1"/>
    </xf>
    <xf numFmtId="0" fontId="39" fillId="17" borderId="57" xfId="0" applyFont="1" applyFill="1" applyBorder="1" applyAlignment="1" applyProtection="1">
      <alignment horizontal="center" vertical="center" shrinkToFit="1"/>
      <protection hidden="1"/>
    </xf>
    <xf numFmtId="0" fontId="48" fillId="2" borderId="73" xfId="0" applyFont="1" applyFill="1" applyBorder="1" applyAlignment="1" applyProtection="1">
      <alignment horizontal="center" vertical="center" shrinkToFit="1"/>
      <protection locked="0"/>
    </xf>
    <xf numFmtId="0" fontId="48" fillId="2" borderId="74" xfId="0" applyFont="1" applyFill="1" applyBorder="1" applyAlignment="1" applyProtection="1">
      <alignment horizontal="center" vertical="center" shrinkToFit="1"/>
      <protection locked="0"/>
    </xf>
    <xf numFmtId="187" fontId="10" fillId="17" borderId="60" xfId="0" applyNumberFormat="1" applyFont="1" applyFill="1" applyBorder="1" applyAlignment="1" applyProtection="1">
      <alignment horizontal="center" vertical="center" shrinkToFit="1"/>
      <protection hidden="1"/>
    </xf>
    <xf numFmtId="187" fontId="10" fillId="17" borderId="66" xfId="0" applyNumberFormat="1" applyFont="1" applyFill="1" applyBorder="1" applyAlignment="1" applyProtection="1">
      <alignment horizontal="center" vertical="center" shrinkToFit="1"/>
      <protection hidden="1"/>
    </xf>
    <xf numFmtId="0" fontId="25" fillId="2" borderId="73" xfId="0" applyFont="1" applyFill="1" applyBorder="1" applyAlignment="1" applyProtection="1">
      <alignment horizontal="center" vertical="center" shrinkToFit="1"/>
      <protection locked="0"/>
    </xf>
    <xf numFmtId="0" fontId="25" fillId="2" borderId="74" xfId="0" applyFont="1" applyFill="1" applyBorder="1" applyAlignment="1" applyProtection="1">
      <alignment horizontal="center" vertical="center" shrinkToFit="1"/>
      <protection locked="0"/>
    </xf>
    <xf numFmtId="0" fontId="25" fillId="0" borderId="107" xfId="0" applyFont="1" applyBorder="1" applyAlignment="1" applyProtection="1">
      <alignment horizontal="center" vertical="center" shrinkToFit="1"/>
      <protection locked="0"/>
    </xf>
    <xf numFmtId="0" fontId="25" fillId="0" borderId="38" xfId="0" applyFont="1" applyBorder="1" applyAlignment="1" applyProtection="1">
      <alignment horizontal="center" vertical="center" shrinkToFit="1"/>
      <protection locked="0"/>
    </xf>
    <xf numFmtId="0" fontId="25" fillId="0" borderId="105" xfId="0" applyFont="1" applyBorder="1" applyAlignment="1" applyProtection="1">
      <alignment horizontal="center" vertical="center" shrinkToFit="1"/>
      <protection locked="0"/>
    </xf>
    <xf numFmtId="187" fontId="10" fillId="8" borderId="119" xfId="0" applyNumberFormat="1" applyFont="1" applyFill="1" applyBorder="1" applyAlignment="1" applyProtection="1">
      <alignment horizontal="center" vertical="center" shrinkToFit="1"/>
      <protection hidden="1"/>
    </xf>
    <xf numFmtId="187" fontId="10" fillId="8" borderId="120" xfId="0" applyNumberFormat="1" applyFont="1" applyFill="1" applyBorder="1" applyAlignment="1" applyProtection="1">
      <alignment horizontal="center" vertical="center" shrinkToFit="1"/>
      <protection hidden="1"/>
    </xf>
    <xf numFmtId="187" fontId="10" fillId="8" borderId="122" xfId="0" applyNumberFormat="1" applyFont="1" applyFill="1" applyBorder="1" applyAlignment="1" applyProtection="1">
      <alignment horizontal="center" vertical="center" shrinkToFit="1"/>
      <protection hidden="1"/>
    </xf>
    <xf numFmtId="0" fontId="25" fillId="0" borderId="152" xfId="0" applyFont="1" applyBorder="1" applyAlignment="1" applyProtection="1">
      <alignment horizontal="left" vertical="center" wrapText="1"/>
      <protection hidden="1"/>
    </xf>
    <xf numFmtId="0" fontId="25" fillId="0" borderId="153" xfId="0" applyFont="1" applyBorder="1" applyAlignment="1" applyProtection="1">
      <alignment horizontal="left" vertical="center" wrapText="1"/>
      <protection hidden="1"/>
    </xf>
    <xf numFmtId="0" fontId="7" fillId="0" borderId="140" xfId="0" applyFont="1" applyBorder="1" applyAlignment="1" applyProtection="1">
      <alignment horizontal="left" vertical="top" wrapText="1"/>
      <protection hidden="1"/>
    </xf>
    <xf numFmtId="0" fontId="7" fillId="0" borderId="141" xfId="0" applyFont="1" applyBorder="1" applyAlignment="1" applyProtection="1">
      <alignment horizontal="left" vertical="top" wrapText="1"/>
      <protection hidden="1"/>
    </xf>
    <xf numFmtId="0" fontId="31" fillId="0" borderId="152" xfId="0" applyFont="1" applyBorder="1" applyAlignment="1" applyProtection="1">
      <alignment horizontal="left" vertical="top" wrapText="1"/>
      <protection hidden="1"/>
    </xf>
    <xf numFmtId="0" fontId="31" fillId="0" borderId="153" xfId="0" applyFont="1" applyBorder="1" applyAlignment="1" applyProtection="1">
      <alignment horizontal="left" vertical="top" wrapText="1"/>
      <protection hidden="1"/>
    </xf>
    <xf numFmtId="0" fontId="31" fillId="0" borderId="36" xfId="0" applyFont="1" applyBorder="1" applyAlignment="1" applyProtection="1">
      <alignment horizontal="left" vertical="top" wrapText="1"/>
      <protection hidden="1"/>
    </xf>
    <xf numFmtId="0" fontId="31" fillId="0" borderId="0" xfId="0" applyFont="1" applyAlignment="1" applyProtection="1">
      <alignment horizontal="left" vertical="top" wrapText="1"/>
      <protection hidden="1"/>
    </xf>
    <xf numFmtId="0" fontId="12" fillId="0" borderId="133" xfId="0" applyFont="1" applyBorder="1" applyAlignment="1" applyProtection="1">
      <alignment horizontal="left" vertical="top" wrapText="1"/>
      <protection hidden="1"/>
    </xf>
    <xf numFmtId="0" fontId="12" fillId="0" borderId="51" xfId="0" applyFont="1" applyBorder="1" applyAlignment="1" applyProtection="1">
      <alignment horizontal="left" vertical="top" wrapText="1"/>
      <protection hidden="1"/>
    </xf>
    <xf numFmtId="0" fontId="12" fillId="0" borderId="132" xfId="0" applyFont="1" applyBorder="1" applyAlignment="1" applyProtection="1">
      <alignment horizontal="left" vertical="top" wrapText="1"/>
      <protection hidden="1"/>
    </xf>
    <xf numFmtId="0" fontId="12" fillId="0" borderId="143" xfId="0" applyFont="1" applyBorder="1" applyAlignment="1" applyProtection="1">
      <alignment horizontal="left" vertical="top" wrapText="1"/>
      <protection hidden="1"/>
    </xf>
    <xf numFmtId="0" fontId="12" fillId="0" borderId="46" xfId="0" applyFont="1" applyBorder="1" applyAlignment="1" applyProtection="1">
      <alignment horizontal="left" vertical="top" wrapText="1"/>
      <protection hidden="1"/>
    </xf>
    <xf numFmtId="0" fontId="12" fillId="0" borderId="67" xfId="0" applyFont="1" applyBorder="1" applyAlignment="1" applyProtection="1">
      <alignment horizontal="left" vertical="top" wrapText="1"/>
      <protection hidden="1"/>
    </xf>
    <xf numFmtId="0" fontId="10" fillId="12" borderId="136" xfId="0" applyFont="1" applyFill="1" applyBorder="1" applyAlignment="1" applyProtection="1">
      <alignment horizontal="center" vertical="center" shrinkToFit="1"/>
      <protection hidden="1"/>
    </xf>
    <xf numFmtId="0" fontId="10" fillId="12" borderId="137" xfId="0" applyFont="1" applyFill="1" applyBorder="1" applyAlignment="1" applyProtection="1">
      <alignment horizontal="center" vertical="center" shrinkToFit="1"/>
      <protection hidden="1"/>
    </xf>
    <xf numFmtId="0" fontId="10" fillId="12" borderId="135" xfId="0" applyFont="1" applyFill="1" applyBorder="1" applyAlignment="1" applyProtection="1">
      <alignment horizontal="center" vertical="center" shrinkToFit="1"/>
      <protection hidden="1"/>
    </xf>
    <xf numFmtId="0" fontId="10" fillId="11" borderId="50" xfId="0" applyFont="1" applyFill="1" applyBorder="1" applyAlignment="1" applyProtection="1">
      <alignment horizontal="center" vertical="center" shrinkToFit="1"/>
      <protection hidden="1"/>
    </xf>
    <xf numFmtId="0" fontId="10" fillId="11" borderId="51" xfId="0" applyFont="1" applyFill="1" applyBorder="1" applyAlignment="1" applyProtection="1">
      <alignment horizontal="center" vertical="center" shrinkToFit="1"/>
      <protection hidden="1"/>
    </xf>
    <xf numFmtId="0" fontId="10" fillId="11" borderId="151" xfId="0" applyFont="1" applyFill="1" applyBorder="1" applyAlignment="1" applyProtection="1">
      <alignment horizontal="center" vertical="center" shrinkToFit="1"/>
      <protection hidden="1"/>
    </xf>
    <xf numFmtId="0" fontId="10" fillId="11" borderId="45" xfId="0" applyFont="1" applyFill="1" applyBorder="1" applyAlignment="1" applyProtection="1">
      <alignment horizontal="center" vertical="center" shrinkToFit="1"/>
      <protection hidden="1"/>
    </xf>
    <xf numFmtId="0" fontId="10" fillId="11" borderId="46" xfId="0" applyFont="1" applyFill="1" applyBorder="1" applyAlignment="1" applyProtection="1">
      <alignment horizontal="center" vertical="center" shrinkToFit="1"/>
      <protection hidden="1"/>
    </xf>
    <xf numFmtId="0" fontId="10" fillId="11" borderId="150" xfId="0" applyFont="1" applyFill="1" applyBorder="1" applyAlignment="1" applyProtection="1">
      <alignment horizontal="center" vertical="center" shrinkToFit="1"/>
      <protection hidden="1"/>
    </xf>
    <xf numFmtId="0" fontId="31" fillId="0" borderId="36" xfId="0" applyFont="1" applyBorder="1" applyAlignment="1" applyProtection="1">
      <alignment horizontal="left" vertical="center" shrinkToFit="1"/>
      <protection hidden="1"/>
    </xf>
    <xf numFmtId="0" fontId="31" fillId="0" borderId="0" xfId="0" applyFont="1" applyAlignment="1" applyProtection="1">
      <alignment horizontal="left" vertical="center" shrinkToFit="1"/>
      <protection hidden="1"/>
    </xf>
    <xf numFmtId="14" fontId="10" fillId="0" borderId="147" xfId="0" applyNumberFormat="1" applyFont="1" applyBorder="1" applyAlignment="1" applyProtection="1">
      <alignment horizontal="center" vertical="center" shrinkToFit="1"/>
      <protection locked="0"/>
    </xf>
    <xf numFmtId="14" fontId="10" fillId="0" borderId="109" xfId="0" applyNumberFormat="1" applyFont="1" applyBorder="1" applyAlignment="1" applyProtection="1">
      <alignment horizontal="center" vertical="center" shrinkToFit="1"/>
      <protection locked="0"/>
    </xf>
    <xf numFmtId="14" fontId="10" fillId="0" borderId="148" xfId="0" applyNumberFormat="1" applyFont="1" applyBorder="1" applyAlignment="1" applyProtection="1">
      <alignment horizontal="center" vertical="center" shrinkToFit="1"/>
      <protection locked="0"/>
    </xf>
    <xf numFmtId="14" fontId="10" fillId="0" borderId="56" xfId="0" applyNumberFormat="1" applyFont="1" applyBorder="1" applyAlignment="1" applyProtection="1">
      <alignment horizontal="center" vertical="center" shrinkToFit="1"/>
      <protection locked="0"/>
    </xf>
    <xf numFmtId="14" fontId="10" fillId="0" borderId="46" xfId="0" applyNumberFormat="1" applyFont="1" applyBorder="1" applyAlignment="1" applyProtection="1">
      <alignment horizontal="center" vertical="center" shrinkToFit="1"/>
      <protection locked="0"/>
    </xf>
    <xf numFmtId="14" fontId="10" fillId="0" borderId="146" xfId="0" applyNumberFormat="1" applyFont="1" applyBorder="1" applyAlignment="1" applyProtection="1">
      <alignment horizontal="center" vertical="center" shrinkToFit="1"/>
      <protection locked="0"/>
    </xf>
    <xf numFmtId="0" fontId="25" fillId="0" borderId="69" xfId="0" applyFont="1" applyBorder="1" applyAlignment="1" applyProtection="1">
      <alignment horizontal="center" vertical="center" shrinkToFit="1"/>
      <protection locked="0"/>
    </xf>
    <xf numFmtId="0" fontId="25" fillId="0" borderId="48" xfId="0" applyFont="1" applyBorder="1" applyAlignment="1" applyProtection="1">
      <alignment horizontal="center" vertical="center" shrinkToFit="1"/>
      <protection locked="0"/>
    </xf>
    <xf numFmtId="0" fontId="25" fillId="0" borderId="106" xfId="0" applyFont="1" applyBorder="1" applyAlignment="1" applyProtection="1">
      <alignment horizontal="center" vertical="center" shrinkToFit="1"/>
      <protection locked="0"/>
    </xf>
    <xf numFmtId="179" fontId="25" fillId="0" borderId="119" xfId="0" applyNumberFormat="1" applyFont="1" applyBorder="1" applyAlignment="1" applyProtection="1">
      <alignment horizontal="center" vertical="center"/>
      <protection locked="0"/>
    </xf>
    <xf numFmtId="179" fontId="25" fillId="0" borderId="120" xfId="0" applyNumberFormat="1" applyFont="1" applyBorder="1" applyAlignment="1" applyProtection="1">
      <alignment horizontal="center" vertical="center"/>
      <protection locked="0"/>
    </xf>
    <xf numFmtId="179" fontId="25" fillId="0" borderId="122" xfId="0" applyNumberFormat="1" applyFont="1" applyBorder="1" applyAlignment="1" applyProtection="1">
      <alignment horizontal="center" vertical="center"/>
      <protection locked="0"/>
    </xf>
    <xf numFmtId="0" fontId="25" fillId="0" borderId="49" xfId="0" applyFont="1" applyBorder="1" applyAlignment="1" applyProtection="1">
      <alignment horizontal="center" vertical="center" shrinkToFit="1"/>
      <protection locked="0"/>
    </xf>
    <xf numFmtId="0" fontId="25" fillId="0" borderId="103" xfId="0" applyFont="1" applyBorder="1" applyAlignment="1" applyProtection="1">
      <alignment horizontal="center" vertical="center" shrinkToFit="1"/>
      <protection locked="0"/>
    </xf>
    <xf numFmtId="0" fontId="25" fillId="0" borderId="72" xfId="0" applyFont="1" applyBorder="1" applyAlignment="1" applyProtection="1">
      <alignment horizontal="center" vertical="center" shrinkToFit="1"/>
      <protection locked="0"/>
    </xf>
    <xf numFmtId="0" fontId="25" fillId="0" borderId="104" xfId="0" applyFont="1" applyBorder="1" applyAlignment="1" applyProtection="1">
      <alignment horizontal="center" vertical="center" shrinkToFit="1"/>
      <protection locked="0"/>
    </xf>
    <xf numFmtId="0" fontId="10" fillId="11" borderId="50" xfId="0" applyFont="1" applyFill="1" applyBorder="1" applyAlignment="1" applyProtection="1">
      <alignment horizontal="center" vertical="center" wrapText="1" shrinkToFit="1"/>
      <protection hidden="1"/>
    </xf>
    <xf numFmtId="0" fontId="10" fillId="11" borderId="51" xfId="0" applyFont="1" applyFill="1" applyBorder="1" applyAlignment="1" applyProtection="1">
      <alignment horizontal="center" vertical="center" wrapText="1" shrinkToFit="1"/>
      <protection hidden="1"/>
    </xf>
    <xf numFmtId="0" fontId="10" fillId="11" borderId="151" xfId="0" applyFont="1" applyFill="1" applyBorder="1" applyAlignment="1" applyProtection="1">
      <alignment horizontal="center" vertical="center" wrapText="1" shrinkToFit="1"/>
      <protection hidden="1"/>
    </xf>
    <xf numFmtId="0" fontId="10" fillId="11" borderId="45" xfId="0" applyFont="1" applyFill="1" applyBorder="1" applyAlignment="1" applyProtection="1">
      <alignment horizontal="center" vertical="center" wrapText="1" shrinkToFit="1"/>
      <protection hidden="1"/>
    </xf>
    <xf numFmtId="0" fontId="10" fillId="11" borderId="46" xfId="0" applyFont="1" applyFill="1" applyBorder="1" applyAlignment="1" applyProtection="1">
      <alignment horizontal="center" vertical="center" wrapText="1" shrinkToFit="1"/>
      <protection hidden="1"/>
    </xf>
    <xf numFmtId="0" fontId="10" fillId="11" borderId="150" xfId="0" applyFont="1" applyFill="1" applyBorder="1" applyAlignment="1" applyProtection="1">
      <alignment horizontal="center" vertical="center" wrapText="1" shrinkToFit="1"/>
      <protection hidden="1"/>
    </xf>
    <xf numFmtId="14" fontId="25" fillId="0" borderId="52" xfId="0" applyNumberFormat="1" applyFont="1" applyBorder="1" applyAlignment="1" applyProtection="1">
      <alignment horizontal="center" vertical="center" shrinkToFit="1"/>
      <protection locked="0"/>
    </xf>
    <xf numFmtId="14" fontId="25" fillId="0" borderId="51" xfId="0" applyNumberFormat="1" applyFont="1" applyBorder="1" applyAlignment="1" applyProtection="1">
      <alignment horizontal="center" vertical="center" shrinkToFit="1"/>
      <protection locked="0"/>
    </xf>
    <xf numFmtId="14" fontId="25" fillId="0" borderId="134" xfId="0" applyNumberFormat="1" applyFont="1" applyBorder="1" applyAlignment="1" applyProtection="1">
      <alignment horizontal="center" vertical="center" shrinkToFit="1"/>
      <protection locked="0"/>
    </xf>
    <xf numFmtId="14" fontId="25" fillId="0" borderId="56" xfId="0" applyNumberFormat="1" applyFont="1" applyBorder="1" applyAlignment="1" applyProtection="1">
      <alignment horizontal="center" vertical="center" shrinkToFit="1"/>
      <protection locked="0"/>
    </xf>
    <xf numFmtId="14" fontId="25" fillId="0" borderId="46" xfId="0" applyNumberFormat="1" applyFont="1" applyBorder="1" applyAlignment="1" applyProtection="1">
      <alignment horizontal="center" vertical="center" shrinkToFit="1"/>
      <protection locked="0"/>
    </xf>
    <xf numFmtId="14" fontId="25" fillId="0" borderId="146" xfId="0" applyNumberFormat="1" applyFont="1" applyBorder="1" applyAlignment="1" applyProtection="1">
      <alignment horizontal="center" vertical="center" shrinkToFit="1"/>
      <protection locked="0"/>
    </xf>
    <xf numFmtId="0" fontId="10" fillId="11" borderId="114" xfId="0" applyFont="1" applyFill="1" applyBorder="1" applyAlignment="1" applyProtection="1">
      <alignment horizontal="center" vertical="center" shrinkToFit="1"/>
      <protection hidden="1"/>
    </xf>
    <xf numFmtId="0" fontId="10" fillId="11" borderId="115" xfId="0" applyFont="1" applyFill="1" applyBorder="1" applyAlignment="1" applyProtection="1">
      <alignment horizontal="center" vertical="center" shrinkToFit="1"/>
      <protection hidden="1"/>
    </xf>
    <xf numFmtId="0" fontId="10" fillId="2" borderId="45" xfId="0" applyFont="1" applyFill="1" applyBorder="1" applyAlignment="1" applyProtection="1">
      <alignment horizontal="center" vertical="center"/>
      <protection hidden="1"/>
    </xf>
    <xf numFmtId="0" fontId="10" fillId="2" borderId="46" xfId="0" applyFont="1" applyFill="1" applyBorder="1" applyAlignment="1" applyProtection="1">
      <alignment horizontal="center" vertical="center"/>
      <protection hidden="1"/>
    </xf>
    <xf numFmtId="0" fontId="23" fillId="0" borderId="16" xfId="0" applyFont="1" applyBorder="1" applyAlignment="1" applyProtection="1">
      <alignment horizontal="left" shrinkToFit="1"/>
      <protection hidden="1"/>
    </xf>
    <xf numFmtId="179" fontId="25" fillId="0" borderId="49" xfId="0" applyNumberFormat="1" applyFont="1" applyBorder="1" applyAlignment="1" applyProtection="1">
      <alignment horizontal="center" vertical="center"/>
      <protection locked="0"/>
    </xf>
    <xf numFmtId="179" fontId="25" fillId="0" borderId="38" xfId="0" applyNumberFormat="1" applyFont="1" applyBorder="1" applyAlignment="1" applyProtection="1">
      <alignment horizontal="center" vertical="center"/>
      <protection locked="0"/>
    </xf>
    <xf numFmtId="179" fontId="25" fillId="0" borderId="105" xfId="0" applyNumberFormat="1" applyFont="1" applyBorder="1" applyAlignment="1" applyProtection="1">
      <alignment horizontal="center" vertical="center"/>
      <protection locked="0"/>
    </xf>
    <xf numFmtId="0" fontId="47" fillId="0" borderId="152" xfId="0" applyFont="1" applyBorder="1" applyAlignment="1" applyProtection="1">
      <alignment horizontal="left" vertical="center" wrapText="1"/>
      <protection hidden="1"/>
    </xf>
    <xf numFmtId="0" fontId="47" fillId="0" borderId="153" xfId="0" applyFont="1" applyBorder="1" applyAlignment="1" applyProtection="1">
      <alignment horizontal="left" vertical="center" wrapText="1"/>
      <protection hidden="1"/>
    </xf>
    <xf numFmtId="0" fontId="7" fillId="0" borderId="140" xfId="0" applyFont="1" applyBorder="1" applyAlignment="1" applyProtection="1">
      <alignment horizontal="left" vertical="top" shrinkToFit="1"/>
      <protection hidden="1"/>
    </xf>
    <xf numFmtId="0" fontId="7" fillId="0" borderId="141" xfId="0" applyFont="1" applyBorder="1" applyAlignment="1" applyProtection="1">
      <alignment horizontal="left" vertical="top" shrinkToFit="1"/>
      <protection hidden="1"/>
    </xf>
    <xf numFmtId="0" fontId="25" fillId="0" borderId="83" xfId="0" applyFont="1" applyBorder="1" applyAlignment="1" applyProtection="1">
      <alignment horizontal="center" vertical="center"/>
      <protection locked="0"/>
    </xf>
    <xf numFmtId="0" fontId="25" fillId="0" borderId="84" xfId="0" applyFont="1" applyBorder="1" applyAlignment="1" applyProtection="1">
      <alignment horizontal="center" vertical="center"/>
      <protection locked="0"/>
    </xf>
    <xf numFmtId="0" fontId="10" fillId="6" borderId="87" xfId="0" applyFont="1" applyFill="1" applyBorder="1" applyAlignment="1" applyProtection="1">
      <alignment horizontal="center" vertical="center" shrinkToFit="1"/>
      <protection hidden="1"/>
    </xf>
    <xf numFmtId="0" fontId="10" fillId="6" borderId="88" xfId="0" applyFont="1" applyFill="1" applyBorder="1" applyAlignment="1" applyProtection="1">
      <alignment horizontal="center" vertical="center" shrinkToFit="1"/>
      <protection hidden="1"/>
    </xf>
    <xf numFmtId="0" fontId="25" fillId="6" borderId="76" xfId="0" applyFont="1" applyFill="1" applyBorder="1" applyAlignment="1" applyProtection="1">
      <alignment horizontal="center" vertical="center" shrinkToFit="1"/>
      <protection locked="0"/>
    </xf>
    <xf numFmtId="0" fontId="25" fillId="6" borderId="77" xfId="0" applyFont="1" applyFill="1" applyBorder="1" applyAlignment="1" applyProtection="1">
      <alignment horizontal="center" vertical="center" shrinkToFit="1"/>
      <protection locked="0"/>
    </xf>
    <xf numFmtId="0" fontId="25" fillId="6" borderId="111" xfId="0" applyFont="1" applyFill="1" applyBorder="1" applyAlignment="1" applyProtection="1">
      <alignment horizontal="center" vertical="center" shrinkToFit="1"/>
      <protection locked="0"/>
    </xf>
    <xf numFmtId="0" fontId="25" fillId="6" borderId="112" xfId="0" applyFont="1" applyFill="1" applyBorder="1" applyAlignment="1" applyProtection="1">
      <alignment horizontal="center" vertical="center" shrinkToFit="1"/>
      <protection locked="0"/>
    </xf>
    <xf numFmtId="0" fontId="25" fillId="6" borderId="194" xfId="0" applyFont="1" applyFill="1" applyBorder="1" applyAlignment="1" applyProtection="1">
      <alignment horizontal="center" vertical="center" shrinkToFit="1"/>
      <protection locked="0"/>
    </xf>
    <xf numFmtId="0" fontId="25" fillId="0" borderId="77" xfId="0" applyFont="1" applyBorder="1" applyAlignment="1" applyProtection="1">
      <alignment horizontal="center" vertical="center"/>
      <protection locked="0"/>
    </xf>
    <xf numFmtId="0" fontId="25" fillId="0" borderId="78" xfId="0" applyFont="1" applyBorder="1" applyAlignment="1" applyProtection="1">
      <alignment horizontal="center" vertical="center"/>
      <protection locked="0"/>
    </xf>
    <xf numFmtId="0" fontId="10" fillId="2" borderId="86" xfId="0" applyFont="1" applyFill="1" applyBorder="1" applyAlignment="1" applyProtection="1">
      <alignment horizontal="center" vertical="center" shrinkToFit="1"/>
      <protection hidden="1"/>
    </xf>
    <xf numFmtId="0" fontId="10" fillId="2" borderId="87" xfId="0" applyFont="1" applyFill="1" applyBorder="1" applyAlignment="1" applyProtection="1">
      <alignment horizontal="center" vertical="center" shrinkToFit="1"/>
      <protection hidden="1"/>
    </xf>
    <xf numFmtId="0" fontId="39" fillId="17" borderId="89" xfId="0" applyFont="1" applyFill="1" applyBorder="1" applyAlignment="1" applyProtection="1">
      <alignment horizontal="center" vertical="center"/>
      <protection hidden="1"/>
    </xf>
    <xf numFmtId="0" fontId="39" fillId="17" borderId="90" xfId="0" applyFont="1" applyFill="1" applyBorder="1" applyAlignment="1" applyProtection="1">
      <alignment horizontal="center" vertical="center"/>
      <protection hidden="1"/>
    </xf>
    <xf numFmtId="0" fontId="39" fillId="17" borderId="73" xfId="0" applyFont="1" applyFill="1" applyBorder="1" applyAlignment="1" applyProtection="1">
      <alignment horizontal="center" vertical="center"/>
      <protection hidden="1"/>
    </xf>
    <xf numFmtId="0" fontId="39" fillId="17" borderId="74" xfId="0" applyFont="1" applyFill="1" applyBorder="1" applyAlignment="1" applyProtection="1">
      <alignment horizontal="center" vertical="center"/>
      <protection hidden="1"/>
    </xf>
    <xf numFmtId="0" fontId="39" fillId="17" borderId="92" xfId="0" applyFont="1" applyFill="1" applyBorder="1" applyAlignment="1" applyProtection="1">
      <alignment horizontal="center" vertical="center"/>
      <protection hidden="1"/>
    </xf>
    <xf numFmtId="0" fontId="39" fillId="17" borderId="63" xfId="0" applyFont="1" applyFill="1" applyBorder="1" applyAlignment="1" applyProtection="1">
      <alignment horizontal="center" vertical="center"/>
      <protection hidden="1"/>
    </xf>
    <xf numFmtId="0" fontId="39" fillId="17" borderId="64" xfId="0" applyFont="1" applyFill="1" applyBorder="1" applyAlignment="1" applyProtection="1">
      <alignment horizontal="center" vertical="center"/>
      <protection hidden="1"/>
    </xf>
    <xf numFmtId="0" fontId="10" fillId="6" borderId="86" xfId="0" applyFont="1" applyFill="1" applyBorder="1" applyAlignment="1" applyProtection="1">
      <alignment horizontal="center" vertical="center" shrinkToFit="1"/>
      <protection hidden="1"/>
    </xf>
    <xf numFmtId="0" fontId="10" fillId="2" borderId="88" xfId="0" applyFont="1" applyFill="1" applyBorder="1" applyAlignment="1" applyProtection="1">
      <alignment horizontal="center" vertical="center" shrinkToFit="1"/>
      <protection hidden="1"/>
    </xf>
    <xf numFmtId="0" fontId="25" fillId="2" borderId="82" xfId="0" applyFont="1" applyFill="1" applyBorder="1" applyAlignment="1" applyProtection="1">
      <alignment horizontal="center" vertical="center" shrinkToFit="1"/>
      <protection locked="0"/>
    </xf>
    <xf numFmtId="0" fontId="25" fillId="2" borderId="83" xfId="0" applyFont="1" applyFill="1" applyBorder="1" applyAlignment="1" applyProtection="1">
      <alignment horizontal="center" vertical="center" shrinkToFit="1"/>
      <protection locked="0"/>
    </xf>
    <xf numFmtId="0" fontId="45" fillId="0" borderId="0" xfId="0" applyFont="1" applyAlignment="1" applyProtection="1">
      <alignment horizontal="center" vertical="center" wrapText="1"/>
      <protection hidden="1"/>
    </xf>
    <xf numFmtId="0" fontId="39" fillId="17" borderId="75" xfId="0" applyFont="1" applyFill="1" applyBorder="1" applyAlignment="1" applyProtection="1">
      <alignment horizontal="center" vertical="center"/>
      <protection hidden="1"/>
    </xf>
    <xf numFmtId="0" fontId="39" fillId="17" borderId="91" xfId="0" applyFont="1" applyFill="1" applyBorder="1" applyAlignment="1" applyProtection="1">
      <alignment horizontal="center" vertical="center"/>
      <protection hidden="1"/>
    </xf>
    <xf numFmtId="0" fontId="12" fillId="0" borderId="0" xfId="0" applyFont="1" applyAlignment="1" applyProtection="1">
      <alignment horizontal="left" wrapText="1"/>
      <protection hidden="1"/>
    </xf>
    <xf numFmtId="0" fontId="39" fillId="17" borderId="58" xfId="0" applyFont="1" applyFill="1" applyBorder="1" applyAlignment="1" applyProtection="1">
      <alignment horizontal="center" vertical="center" shrinkToFit="1"/>
      <protection hidden="1"/>
    </xf>
    <xf numFmtId="0" fontId="63" fillId="0" borderId="0" xfId="0" applyFont="1" applyAlignment="1" applyProtection="1">
      <alignment horizontal="left" vertical="center" shrinkToFit="1"/>
      <protection hidden="1"/>
    </xf>
    <xf numFmtId="0" fontId="25" fillId="0" borderId="101" xfId="0" applyFont="1" applyBorder="1" applyAlignment="1" applyProtection="1">
      <alignment horizontal="center" vertical="center"/>
      <protection locked="0"/>
    </xf>
    <xf numFmtId="0" fontId="25" fillId="0" borderId="102" xfId="0" applyFont="1" applyBorder="1" applyAlignment="1" applyProtection="1">
      <alignment horizontal="center" vertical="center"/>
      <protection locked="0"/>
    </xf>
    <xf numFmtId="0" fontId="27" fillId="0" borderId="16" xfId="0" applyFont="1" applyBorder="1" applyAlignment="1" applyProtection="1">
      <alignment horizontal="center" vertical="top"/>
      <protection hidden="1"/>
    </xf>
    <xf numFmtId="0" fontId="10" fillId="2" borderId="50" xfId="0" applyFont="1" applyFill="1" applyBorder="1" applyAlignment="1" applyProtection="1">
      <alignment horizontal="center" vertical="center"/>
      <protection hidden="1"/>
    </xf>
    <xf numFmtId="0" fontId="10" fillId="2" borderId="51" xfId="0" applyFont="1" applyFill="1" applyBorder="1" applyAlignment="1" applyProtection="1">
      <alignment horizontal="center" vertical="center"/>
      <protection hidden="1"/>
    </xf>
    <xf numFmtId="0" fontId="10" fillId="11" borderId="93" xfId="0" applyFont="1" applyFill="1" applyBorder="1" applyAlignment="1" applyProtection="1">
      <alignment horizontal="center" vertical="center"/>
      <protection hidden="1"/>
    </xf>
    <xf numFmtId="0" fontId="10" fillId="11" borderId="94" xfId="0" applyFont="1" applyFill="1" applyBorder="1" applyAlignment="1" applyProtection="1">
      <alignment horizontal="center" vertical="center"/>
      <protection hidden="1"/>
    </xf>
    <xf numFmtId="0" fontId="10" fillId="11" borderId="97" xfId="0" applyFont="1" applyFill="1" applyBorder="1" applyAlignment="1" applyProtection="1">
      <alignment horizontal="center" vertical="center" shrinkToFit="1"/>
      <protection hidden="1"/>
    </xf>
    <xf numFmtId="0" fontId="10" fillId="11" borderId="98" xfId="0" applyFont="1" applyFill="1" applyBorder="1" applyAlignment="1" applyProtection="1">
      <alignment horizontal="center" vertical="center" shrinkToFit="1"/>
      <protection hidden="1"/>
    </xf>
    <xf numFmtId="0" fontId="25" fillId="0" borderId="36" xfId="0" applyFont="1" applyBorder="1" applyAlignment="1" applyProtection="1">
      <alignment horizontal="left" vertical="center" shrinkToFit="1"/>
      <protection hidden="1"/>
    </xf>
    <xf numFmtId="0" fontId="25" fillId="0" borderId="0" xfId="0" applyFont="1" applyAlignment="1" applyProtection="1">
      <alignment horizontal="left" vertical="center" shrinkToFit="1"/>
      <protection hidden="1"/>
    </xf>
    <xf numFmtId="0" fontId="10" fillId="11" borderId="149" xfId="0" applyFont="1" applyFill="1" applyBorder="1" applyAlignment="1" applyProtection="1">
      <alignment horizontal="center" vertical="center" shrinkToFit="1"/>
      <protection hidden="1"/>
    </xf>
    <xf numFmtId="0" fontId="10" fillId="11" borderId="109" xfId="0" applyFont="1" applyFill="1" applyBorder="1" applyAlignment="1" applyProtection="1">
      <alignment horizontal="center" vertical="center" shrinkToFit="1"/>
      <protection hidden="1"/>
    </xf>
    <xf numFmtId="0" fontId="10" fillId="11" borderId="127" xfId="0" applyFont="1" applyFill="1" applyBorder="1" applyAlignment="1" applyProtection="1">
      <alignment horizontal="center" vertical="center" shrinkToFit="1"/>
      <protection hidden="1"/>
    </xf>
    <xf numFmtId="0" fontId="89" fillId="0" borderId="133" xfId="0" applyFont="1" applyBorder="1" applyAlignment="1" applyProtection="1">
      <alignment horizontal="left" vertical="top" wrapText="1"/>
      <protection hidden="1"/>
    </xf>
    <xf numFmtId="0" fontId="89" fillId="0" borderId="51" xfId="0" applyFont="1" applyBorder="1" applyAlignment="1" applyProtection="1">
      <alignment horizontal="left" vertical="top" wrapText="1"/>
      <protection hidden="1"/>
    </xf>
    <xf numFmtId="0" fontId="89" fillId="0" borderId="132" xfId="0" applyFont="1" applyBorder="1" applyAlignment="1" applyProtection="1">
      <alignment horizontal="left" vertical="top" wrapText="1"/>
      <protection hidden="1"/>
    </xf>
    <xf numFmtId="0" fontId="89" fillId="0" borderId="144" xfId="0" applyFont="1" applyBorder="1" applyAlignment="1" applyProtection="1">
      <alignment horizontal="left" vertical="top" wrapText="1"/>
      <protection hidden="1"/>
    </xf>
    <xf numFmtId="0" fontId="89" fillId="0" borderId="0" xfId="0" applyFont="1" applyAlignment="1" applyProtection="1">
      <alignment horizontal="left" vertical="top" wrapText="1"/>
      <protection hidden="1"/>
    </xf>
    <xf numFmtId="0" fontId="89" fillId="0" borderId="145" xfId="0" applyFont="1" applyBorder="1" applyAlignment="1" applyProtection="1">
      <alignment horizontal="left" vertical="top" wrapText="1"/>
      <protection hidden="1"/>
    </xf>
    <xf numFmtId="0" fontId="89" fillId="0" borderId="143" xfId="0" applyFont="1" applyBorder="1" applyAlignment="1" applyProtection="1">
      <alignment horizontal="left" vertical="top" wrapText="1"/>
      <protection hidden="1"/>
    </xf>
    <xf numFmtId="0" fontId="89" fillId="0" borderId="46" xfId="0" applyFont="1" applyBorder="1" applyAlignment="1" applyProtection="1">
      <alignment horizontal="left" vertical="top" wrapText="1"/>
      <protection hidden="1"/>
    </xf>
    <xf numFmtId="0" fontId="89" fillId="0" borderId="67" xfId="0" applyFont="1" applyBorder="1" applyAlignment="1" applyProtection="1">
      <alignment horizontal="left" vertical="top" wrapText="1"/>
      <protection hidden="1"/>
    </xf>
    <xf numFmtId="0" fontId="60" fillId="0" borderId="6" xfId="0" applyFont="1" applyBorder="1" applyAlignment="1" applyProtection="1">
      <alignment horizontal="left" vertical="top" wrapText="1"/>
      <protection hidden="1"/>
    </xf>
    <xf numFmtId="14" fontId="10" fillId="0" borderId="130" xfId="0" applyNumberFormat="1" applyFont="1" applyBorder="1" applyAlignment="1" applyProtection="1">
      <alignment horizontal="center" vertical="center" shrinkToFit="1"/>
      <protection locked="0"/>
    </xf>
    <xf numFmtId="14" fontId="10" fillId="0" borderId="117" xfId="0" applyNumberFormat="1" applyFont="1" applyBorder="1" applyAlignment="1" applyProtection="1">
      <alignment horizontal="center" vertical="center" shrinkToFit="1"/>
      <protection locked="0"/>
    </xf>
    <xf numFmtId="14" fontId="10" fillId="0" borderId="131" xfId="0" applyNumberFormat="1" applyFont="1" applyBorder="1" applyAlignment="1" applyProtection="1">
      <alignment horizontal="center" vertical="center" shrinkToFit="1"/>
      <protection locked="0"/>
    </xf>
    <xf numFmtId="0" fontId="61" fillId="0" borderId="241" xfId="0" applyFont="1" applyBorder="1" applyAlignment="1" applyProtection="1">
      <alignment horizontal="left" vertical="center" wrapText="1"/>
      <protection hidden="1"/>
    </xf>
    <xf numFmtId="0" fontId="61" fillId="0" borderId="238" xfId="0" applyFont="1" applyBorder="1" applyAlignment="1" applyProtection="1">
      <alignment horizontal="left" vertical="center" wrapText="1"/>
      <protection hidden="1"/>
    </xf>
    <xf numFmtId="0" fontId="61" fillId="0" borderId="239" xfId="0" applyFont="1" applyBorder="1" applyAlignment="1" applyProtection="1">
      <alignment horizontal="left" vertical="center" wrapText="1"/>
      <protection hidden="1"/>
    </xf>
    <xf numFmtId="0" fontId="10" fillId="2" borderId="37" xfId="0" applyFont="1" applyFill="1" applyBorder="1" applyAlignment="1" applyProtection="1">
      <alignment horizontal="center" vertical="center"/>
      <protection hidden="1"/>
    </xf>
    <xf numFmtId="0" fontId="10" fillId="2" borderId="38" xfId="0" applyFont="1" applyFill="1" applyBorder="1" applyAlignment="1" applyProtection="1">
      <alignment horizontal="center" vertical="center"/>
      <protection hidden="1"/>
    </xf>
    <xf numFmtId="0" fontId="8" fillId="7" borderId="0" xfId="0" applyFont="1" applyFill="1" applyAlignment="1" applyProtection="1">
      <alignment horizontal="left" vertical="top" wrapText="1"/>
      <protection hidden="1"/>
    </xf>
    <xf numFmtId="0" fontId="17" fillId="0" borderId="156" xfId="0" applyFont="1" applyBorder="1" applyAlignment="1" applyProtection="1">
      <alignment horizontal="left" vertical="center"/>
      <protection hidden="1"/>
    </xf>
    <xf numFmtId="0" fontId="17" fillId="0" borderId="155" xfId="0" applyFont="1" applyBorder="1" applyAlignment="1" applyProtection="1">
      <alignment horizontal="left" vertical="center"/>
      <protection hidden="1"/>
    </xf>
    <xf numFmtId="0" fontId="17" fillId="0" borderId="159" xfId="0" applyFont="1" applyBorder="1" applyAlignment="1" applyProtection="1">
      <alignment horizontal="left" vertical="center"/>
      <protection hidden="1"/>
    </xf>
    <xf numFmtId="0" fontId="17" fillId="0" borderId="1" xfId="0" applyFont="1" applyBorder="1" applyAlignment="1" applyProtection="1">
      <alignment horizontal="left" vertical="center"/>
      <protection hidden="1"/>
    </xf>
    <xf numFmtId="0" fontId="25" fillId="10" borderId="47" xfId="0" applyFont="1" applyFill="1" applyBorder="1" applyAlignment="1" applyProtection="1">
      <alignment horizontal="center" vertical="center" shrinkToFit="1"/>
      <protection locked="0"/>
    </xf>
    <xf numFmtId="0" fontId="25" fillId="10" borderId="48" xfId="0" applyFont="1" applyFill="1" applyBorder="1" applyAlignment="1" applyProtection="1">
      <alignment horizontal="center" vertical="center" shrinkToFit="1"/>
      <protection locked="0"/>
    </xf>
    <xf numFmtId="0" fontId="25" fillId="10" borderId="70" xfId="0" applyFont="1" applyFill="1" applyBorder="1" applyAlignment="1" applyProtection="1">
      <alignment horizontal="center" vertical="center" shrinkToFit="1"/>
      <protection locked="0"/>
    </xf>
    <xf numFmtId="0" fontId="25" fillId="10" borderId="37" xfId="0" applyFont="1" applyFill="1" applyBorder="1" applyAlignment="1" applyProtection="1">
      <alignment horizontal="center" vertical="center" shrinkToFit="1"/>
      <protection locked="0"/>
    </xf>
    <xf numFmtId="0" fontId="25" fillId="10" borderId="38" xfId="0" applyFont="1" applyFill="1" applyBorder="1" applyAlignment="1" applyProtection="1">
      <alignment horizontal="center" vertical="center" shrinkToFit="1"/>
      <protection locked="0"/>
    </xf>
    <xf numFmtId="0" fontId="25" fillId="10" borderId="68" xfId="0" applyFont="1" applyFill="1" applyBorder="1" applyAlignment="1" applyProtection="1">
      <alignment horizontal="center" vertical="center" shrinkToFit="1"/>
      <protection locked="0"/>
    </xf>
    <xf numFmtId="0" fontId="15" fillId="0" borderId="0" xfId="0" applyFont="1" applyAlignment="1" applyProtection="1">
      <alignment horizontal="left" vertical="top" wrapText="1"/>
      <protection hidden="1"/>
    </xf>
    <xf numFmtId="0" fontId="25" fillId="2" borderId="47" xfId="0" applyFont="1" applyFill="1" applyBorder="1" applyAlignment="1" applyProtection="1">
      <alignment horizontal="center" vertical="center" shrinkToFit="1"/>
      <protection locked="0"/>
    </xf>
    <xf numFmtId="0" fontId="25" fillId="2" borderId="48" xfId="0" applyFont="1" applyFill="1" applyBorder="1" applyAlignment="1" applyProtection="1">
      <alignment horizontal="center" vertical="center" shrinkToFit="1"/>
      <protection locked="0"/>
    </xf>
    <xf numFmtId="0" fontId="25" fillId="2" borderId="70" xfId="0" applyFont="1" applyFill="1" applyBorder="1" applyAlignment="1" applyProtection="1">
      <alignment horizontal="center" vertical="center" shrinkToFit="1"/>
      <protection locked="0"/>
    </xf>
    <xf numFmtId="0" fontId="25" fillId="0" borderId="77" xfId="0" applyFont="1" applyBorder="1" applyAlignment="1" applyProtection="1">
      <alignment horizontal="center" vertical="center" shrinkToFit="1"/>
      <protection locked="0"/>
    </xf>
    <xf numFmtId="0" fontId="25" fillId="0" borderId="78" xfId="0" applyFont="1" applyBorder="1" applyAlignment="1" applyProtection="1">
      <alignment horizontal="center" vertical="center" shrinkToFit="1"/>
      <protection locked="0"/>
    </xf>
    <xf numFmtId="0" fontId="17" fillId="0" borderId="1" xfId="0" applyFont="1" applyBorder="1" applyAlignment="1" applyProtection="1">
      <alignment horizontal="center" vertical="center"/>
      <protection hidden="1"/>
    </xf>
    <xf numFmtId="0" fontId="15" fillId="10" borderId="0" xfId="0" applyFont="1" applyFill="1" applyAlignment="1" applyProtection="1">
      <alignment horizontal="left" vertical="top" wrapText="1"/>
      <protection hidden="1"/>
    </xf>
    <xf numFmtId="0" fontId="48" fillId="10" borderId="73" xfId="0" applyFont="1" applyFill="1" applyBorder="1" applyAlignment="1" applyProtection="1">
      <alignment horizontal="center" vertical="center" shrinkToFit="1"/>
      <protection locked="0"/>
    </xf>
    <xf numFmtId="0" fontId="48" fillId="10" borderId="74" xfId="0" applyFont="1" applyFill="1" applyBorder="1" applyAlignment="1" applyProtection="1">
      <alignment horizontal="center" vertical="center" shrinkToFit="1"/>
      <protection locked="0"/>
    </xf>
    <xf numFmtId="0" fontId="25" fillId="10" borderId="82" xfId="0" applyFont="1" applyFill="1" applyBorder="1" applyAlignment="1" applyProtection="1">
      <alignment horizontal="center" vertical="center" shrinkToFit="1"/>
      <protection locked="0"/>
    </xf>
    <xf numFmtId="0" fontId="25" fillId="10" borderId="83" xfId="0" applyFont="1" applyFill="1" applyBorder="1" applyAlignment="1" applyProtection="1">
      <alignment horizontal="center" vertical="center" shrinkToFit="1"/>
      <protection locked="0"/>
    </xf>
    <xf numFmtId="179" fontId="25" fillId="0" borderId="185" xfId="0" applyNumberFormat="1" applyFont="1" applyBorder="1" applyAlignment="1" applyProtection="1">
      <alignment horizontal="center" vertical="center"/>
      <protection locked="0"/>
    </xf>
    <xf numFmtId="179" fontId="25" fillId="0" borderId="112" xfId="0" applyNumberFormat="1" applyFont="1" applyBorder="1" applyAlignment="1" applyProtection="1">
      <alignment horizontal="center" vertical="center"/>
      <protection locked="0"/>
    </xf>
    <xf numFmtId="179" fontId="25" fillId="0" borderId="186" xfId="0" applyNumberFormat="1" applyFont="1" applyBorder="1" applyAlignment="1" applyProtection="1">
      <alignment horizontal="center" vertical="center"/>
      <protection locked="0"/>
    </xf>
    <xf numFmtId="0" fontId="10" fillId="13" borderId="41" xfId="0" applyFont="1" applyFill="1" applyBorder="1" applyAlignment="1" applyProtection="1">
      <alignment horizontal="center" vertical="center" shrinkToFit="1"/>
      <protection hidden="1"/>
    </xf>
    <xf numFmtId="0" fontId="10" fillId="13" borderId="42" xfId="0" applyFont="1" applyFill="1" applyBorder="1" applyAlignment="1" applyProtection="1">
      <alignment horizontal="center" vertical="center" shrinkToFit="1"/>
      <protection hidden="1"/>
    </xf>
    <xf numFmtId="0" fontId="10" fillId="13" borderId="44" xfId="0" applyFont="1" applyFill="1" applyBorder="1" applyAlignment="1" applyProtection="1">
      <alignment horizontal="center" vertical="center" shrinkToFit="1"/>
      <protection hidden="1"/>
    </xf>
    <xf numFmtId="10" fontId="10" fillId="15" borderId="39" xfId="0" applyNumberFormat="1" applyFont="1" applyFill="1" applyBorder="1" applyAlignment="1" applyProtection="1">
      <alignment horizontal="center" vertical="center"/>
      <protection hidden="1"/>
    </xf>
    <xf numFmtId="0" fontId="10" fillId="15" borderId="40" xfId="0" applyFont="1" applyFill="1" applyBorder="1" applyAlignment="1" applyProtection="1">
      <alignment horizontal="center" vertical="center"/>
      <protection hidden="1"/>
    </xf>
    <xf numFmtId="0" fontId="10" fillId="15" borderId="43" xfId="0" applyFont="1" applyFill="1" applyBorder="1" applyAlignment="1" applyProtection="1">
      <alignment horizontal="center" vertical="center"/>
      <protection hidden="1"/>
    </xf>
    <xf numFmtId="0" fontId="10" fillId="16" borderId="111" xfId="0" applyFont="1" applyFill="1" applyBorder="1" applyAlignment="1" applyProtection="1">
      <alignment horizontal="center" vertical="center" shrinkToFit="1"/>
      <protection hidden="1"/>
    </xf>
    <xf numFmtId="0" fontId="10" fillId="16" borderId="112" xfId="0" applyFont="1" applyFill="1" applyBorder="1" applyAlignment="1" applyProtection="1">
      <alignment horizontal="center" vertical="center" shrinkToFit="1"/>
      <protection hidden="1"/>
    </xf>
    <xf numFmtId="0" fontId="10" fillId="16" borderId="113" xfId="0" applyFont="1" applyFill="1" applyBorder="1" applyAlignment="1" applyProtection="1">
      <alignment horizontal="center" vertical="center" shrinkToFit="1"/>
      <protection hidden="1"/>
    </xf>
    <xf numFmtId="188" fontId="25" fillId="0" borderId="107" xfId="0" applyNumberFormat="1" applyFont="1" applyBorder="1" applyAlignment="1" applyProtection="1">
      <alignment horizontal="center" vertical="center" shrinkToFit="1"/>
      <protection locked="0"/>
    </xf>
    <xf numFmtId="188" fontId="25" fillId="0" borderId="108" xfId="0" applyNumberFormat="1" applyFont="1" applyBorder="1" applyAlignment="1" applyProtection="1">
      <alignment horizontal="center" vertical="center" shrinkToFit="1"/>
      <protection locked="0"/>
    </xf>
    <xf numFmtId="196" fontId="25" fillId="0" borderId="185" xfId="0" applyNumberFormat="1" applyFont="1" applyBorder="1" applyAlignment="1" applyProtection="1">
      <alignment horizontal="center" vertical="center" shrinkToFit="1"/>
      <protection locked="0"/>
    </xf>
    <xf numFmtId="196" fontId="25" fillId="0" borderId="194" xfId="0" applyNumberFormat="1" applyFont="1" applyBorder="1" applyAlignment="1" applyProtection="1">
      <alignment horizontal="center" vertical="center" shrinkToFit="1"/>
      <protection locked="0"/>
    </xf>
    <xf numFmtId="0" fontId="10" fillId="8" borderId="125" xfId="0" applyFont="1" applyFill="1" applyBorder="1" applyAlignment="1" applyProtection="1">
      <alignment horizontal="center" vertical="center" shrinkToFit="1"/>
      <protection hidden="1"/>
    </xf>
    <xf numFmtId="0" fontId="10" fillId="8" borderId="126" xfId="0" applyFont="1" applyFill="1" applyBorder="1" applyAlignment="1" applyProtection="1">
      <alignment horizontal="center" vertical="center" shrinkToFit="1"/>
      <protection hidden="1"/>
    </xf>
    <xf numFmtId="0" fontId="10" fillId="8" borderId="123" xfId="0" applyFont="1" applyFill="1" applyBorder="1" applyAlignment="1" applyProtection="1">
      <alignment horizontal="center" vertical="center" shrinkToFit="1"/>
      <protection hidden="1"/>
    </xf>
    <xf numFmtId="0" fontId="10" fillId="8" borderId="124" xfId="0" applyFont="1" applyFill="1" applyBorder="1" applyAlignment="1" applyProtection="1">
      <alignment horizontal="center" vertical="center" shrinkToFit="1"/>
      <protection hidden="1"/>
    </xf>
    <xf numFmtId="0" fontId="10" fillId="8" borderId="57" xfId="0" applyFont="1" applyFill="1" applyBorder="1" applyAlignment="1" applyProtection="1">
      <alignment horizontal="center" vertical="center" shrinkToFit="1"/>
      <protection hidden="1"/>
    </xf>
    <xf numFmtId="0" fontId="10" fillId="8" borderId="58" xfId="0" applyFont="1" applyFill="1" applyBorder="1" applyAlignment="1" applyProtection="1">
      <alignment horizontal="center" vertical="center" shrinkToFit="1"/>
      <protection hidden="1"/>
    </xf>
    <xf numFmtId="187" fontId="10" fillId="17" borderId="65" xfId="0" applyNumberFormat="1" applyFont="1" applyFill="1" applyBorder="1" applyAlignment="1" applyProtection="1">
      <alignment horizontal="center" vertical="center" shrinkToFit="1"/>
      <protection hidden="1"/>
    </xf>
    <xf numFmtId="187" fontId="10" fillId="17" borderId="61" xfId="0" applyNumberFormat="1" applyFont="1" applyFill="1" applyBorder="1" applyAlignment="1" applyProtection="1">
      <alignment horizontal="center" vertical="center" shrinkToFit="1"/>
      <protection hidden="1"/>
    </xf>
    <xf numFmtId="187" fontId="10" fillId="17" borderId="62" xfId="0" applyNumberFormat="1" applyFont="1" applyFill="1" applyBorder="1" applyAlignment="1" applyProtection="1">
      <alignment horizontal="center" vertical="center" shrinkToFit="1"/>
      <protection hidden="1"/>
    </xf>
    <xf numFmtId="0" fontId="10" fillId="17" borderId="109" xfId="0" applyFont="1" applyFill="1" applyBorder="1" applyAlignment="1" applyProtection="1">
      <alignment horizontal="right" wrapText="1" shrinkToFit="1"/>
      <protection hidden="1"/>
    </xf>
    <xf numFmtId="0" fontId="10" fillId="17" borderId="127" xfId="0" applyFont="1" applyFill="1" applyBorder="1" applyAlignment="1" applyProtection="1">
      <alignment horizontal="right" wrapText="1" shrinkToFit="1"/>
      <protection hidden="1"/>
    </xf>
    <xf numFmtId="0" fontId="8" fillId="8" borderId="36" xfId="0" applyFont="1" applyFill="1" applyBorder="1" applyAlignment="1" applyProtection="1">
      <alignment horizontal="center" vertical="center" wrapText="1" shrinkToFit="1"/>
      <protection hidden="1"/>
    </xf>
    <xf numFmtId="0" fontId="8" fillId="8" borderId="0" xfId="0" applyFont="1" applyFill="1" applyAlignment="1" applyProtection="1">
      <alignment horizontal="center" vertical="center" wrapText="1" shrinkToFit="1"/>
      <protection hidden="1"/>
    </xf>
    <xf numFmtId="0" fontId="8" fillId="8" borderId="128" xfId="0" applyFont="1" applyFill="1" applyBorder="1" applyAlignment="1" applyProtection="1">
      <alignment horizontal="center" vertical="center" wrapText="1" shrinkToFit="1"/>
      <protection hidden="1"/>
    </xf>
    <xf numFmtId="0" fontId="8" fillId="8" borderId="71" xfId="0" applyFont="1" applyFill="1" applyBorder="1" applyAlignment="1" applyProtection="1">
      <alignment horizontal="center" vertical="center" wrapText="1" shrinkToFit="1"/>
      <protection hidden="1"/>
    </xf>
    <xf numFmtId="0" fontId="8" fillId="8" borderId="110" xfId="0" applyFont="1" applyFill="1" applyBorder="1" applyAlignment="1" applyProtection="1">
      <alignment horizontal="center" vertical="center" wrapText="1" shrinkToFit="1"/>
      <protection hidden="1"/>
    </xf>
    <xf numFmtId="0" fontId="8" fillId="8" borderId="129" xfId="0" applyFont="1" applyFill="1" applyBorder="1" applyAlignment="1" applyProtection="1">
      <alignment horizontal="center" vertical="center" wrapText="1" shrinkToFit="1"/>
      <protection hidden="1"/>
    </xf>
    <xf numFmtId="187" fontId="25" fillId="0" borderId="102" xfId="0" applyNumberFormat="1" applyFont="1" applyBorder="1" applyAlignment="1" applyProtection="1">
      <alignment horizontal="center" vertical="center" shrinkToFit="1"/>
      <protection hidden="1"/>
    </xf>
    <xf numFmtId="187" fontId="25" fillId="0" borderId="49" xfId="0" applyNumberFormat="1" applyFont="1" applyBorder="1" applyAlignment="1" applyProtection="1">
      <alignment horizontal="center" vertical="center" shrinkToFit="1"/>
      <protection locked="0"/>
    </xf>
    <xf numFmtId="187" fontId="25" fillId="0" borderId="68" xfId="0" applyNumberFormat="1" applyFont="1" applyBorder="1" applyAlignment="1" applyProtection="1">
      <alignment horizontal="center" vertical="center" shrinkToFit="1"/>
      <protection locked="0"/>
    </xf>
    <xf numFmtId="188" fontId="25" fillId="0" borderId="69" xfId="0" applyNumberFormat="1" applyFont="1" applyBorder="1" applyAlignment="1" applyProtection="1">
      <alignment horizontal="center" vertical="center" shrinkToFit="1"/>
      <protection locked="0"/>
    </xf>
    <xf numFmtId="188" fontId="25" fillId="0" borderId="70" xfId="0" applyNumberFormat="1" applyFont="1" applyBorder="1" applyAlignment="1" applyProtection="1">
      <alignment horizontal="center" vertical="center" shrinkToFit="1"/>
      <protection locked="0"/>
    </xf>
    <xf numFmtId="187" fontId="25" fillId="0" borderId="101" xfId="0" applyNumberFormat="1" applyFont="1" applyBorder="1" applyAlignment="1" applyProtection="1">
      <alignment horizontal="center" vertical="center" shrinkToFit="1"/>
      <protection hidden="1"/>
    </xf>
    <xf numFmtId="188" fontId="25" fillId="0" borderId="49" xfId="0" applyNumberFormat="1" applyFont="1" applyBorder="1" applyAlignment="1" applyProtection="1">
      <alignment horizontal="center" vertical="center" shrinkToFit="1"/>
      <protection locked="0"/>
    </xf>
    <xf numFmtId="188" fontId="25" fillId="0" borderId="68" xfId="0" applyNumberFormat="1" applyFont="1" applyBorder="1" applyAlignment="1" applyProtection="1">
      <alignment horizontal="center" vertical="center" shrinkToFit="1"/>
      <protection locked="0"/>
    </xf>
    <xf numFmtId="187" fontId="25" fillId="0" borderId="107" xfId="0" applyNumberFormat="1" applyFont="1" applyBorder="1" applyAlignment="1" applyProtection="1">
      <alignment horizontal="center" vertical="center" shrinkToFit="1"/>
      <protection locked="0"/>
    </xf>
    <xf numFmtId="187" fontId="25" fillId="0" borderId="105" xfId="0" applyNumberFormat="1" applyFont="1" applyBorder="1" applyAlignment="1" applyProtection="1">
      <alignment horizontal="center" vertical="center" shrinkToFit="1"/>
      <protection locked="0"/>
    </xf>
    <xf numFmtId="0" fontId="10" fillId="16" borderId="37" xfId="0" applyFont="1" applyFill="1" applyBorder="1" applyAlignment="1" applyProtection="1">
      <alignment horizontal="center" vertical="center" shrinkToFit="1"/>
      <protection hidden="1"/>
    </xf>
    <xf numFmtId="0" fontId="10" fillId="16" borderId="38" xfId="0" applyFont="1" applyFill="1" applyBorder="1" applyAlignment="1" applyProtection="1">
      <alignment horizontal="center" vertical="center" shrinkToFit="1"/>
      <protection hidden="1"/>
    </xf>
    <xf numFmtId="0" fontId="10" fillId="16" borderId="108" xfId="0" applyFont="1" applyFill="1" applyBorder="1" applyAlignment="1" applyProtection="1">
      <alignment horizontal="center" vertical="center" shrinkToFit="1"/>
      <protection hidden="1"/>
    </xf>
    <xf numFmtId="187" fontId="10" fillId="8" borderId="121" xfId="0" applyNumberFormat="1" applyFont="1" applyFill="1" applyBorder="1" applyAlignment="1" applyProtection="1">
      <alignment horizontal="center" vertical="center" shrinkToFit="1"/>
      <protection hidden="1"/>
    </xf>
    <xf numFmtId="179" fontId="25" fillId="0" borderId="69" xfId="0" applyNumberFormat="1" applyFont="1" applyBorder="1" applyAlignment="1" applyProtection="1">
      <alignment horizontal="center" vertical="center"/>
      <protection locked="0"/>
    </xf>
    <xf numFmtId="179" fontId="25" fillId="0" borderId="48" xfId="0" applyNumberFormat="1" applyFont="1" applyBorder="1" applyAlignment="1" applyProtection="1">
      <alignment horizontal="center" vertical="center"/>
      <protection locked="0"/>
    </xf>
    <xf numFmtId="179" fontId="25" fillId="0" borderId="106" xfId="0" applyNumberFormat="1" applyFont="1" applyBorder="1" applyAlignment="1" applyProtection="1">
      <alignment horizontal="center" vertical="center"/>
      <protection locked="0"/>
    </xf>
    <xf numFmtId="187" fontId="10" fillId="17" borderId="59" xfId="0" applyNumberFormat="1" applyFont="1" applyFill="1" applyBorder="1" applyAlignment="1" applyProtection="1">
      <alignment horizontal="center" vertical="center" shrinkToFit="1"/>
      <protection hidden="1"/>
    </xf>
    <xf numFmtId="0" fontId="12" fillId="17" borderId="138" xfId="0" quotePrefix="1" applyFont="1" applyFill="1" applyBorder="1" applyAlignment="1" applyProtection="1">
      <alignment horizontal="center" vertical="center" textRotation="255"/>
      <protection hidden="1"/>
    </xf>
    <xf numFmtId="0" fontId="10" fillId="3" borderId="139" xfId="0" applyFont="1" applyFill="1" applyBorder="1" applyAlignment="1" applyProtection="1">
      <alignment horizontal="center" vertical="center" shrinkToFit="1"/>
      <protection hidden="1"/>
    </xf>
    <xf numFmtId="0" fontId="10" fillId="3" borderId="72" xfId="0" applyFont="1" applyFill="1" applyBorder="1" applyAlignment="1" applyProtection="1">
      <alignment horizontal="center" vertical="center" shrinkToFit="1"/>
      <protection hidden="1"/>
    </xf>
    <xf numFmtId="0" fontId="10" fillId="3" borderId="104" xfId="0" applyFont="1" applyFill="1" applyBorder="1" applyAlignment="1" applyProtection="1">
      <alignment horizontal="center" vertical="center" shrinkToFit="1"/>
      <protection hidden="1"/>
    </xf>
    <xf numFmtId="0" fontId="10" fillId="14" borderId="136" xfId="0" applyFont="1" applyFill="1" applyBorder="1" applyAlignment="1" applyProtection="1">
      <alignment horizontal="center" vertical="center" shrinkToFit="1"/>
      <protection hidden="1"/>
    </xf>
    <xf numFmtId="0" fontId="10" fillId="14" borderId="137" xfId="0" applyFont="1" applyFill="1" applyBorder="1" applyAlignment="1" applyProtection="1">
      <alignment horizontal="center" vertical="center" shrinkToFit="1"/>
      <protection hidden="1"/>
    </xf>
    <xf numFmtId="0" fontId="10" fillId="14" borderId="135" xfId="0" applyFont="1" applyFill="1" applyBorder="1" applyAlignment="1" applyProtection="1">
      <alignment horizontal="center" vertical="center" shrinkToFit="1"/>
      <protection hidden="1"/>
    </xf>
    <xf numFmtId="0" fontId="25" fillId="2" borderId="37" xfId="0" applyFont="1" applyFill="1" applyBorder="1" applyAlignment="1" applyProtection="1">
      <alignment horizontal="center" vertical="center" shrinkToFit="1"/>
      <protection locked="0"/>
    </xf>
    <xf numFmtId="0" fontId="25" fillId="2" borderId="38" xfId="0" applyFont="1" applyFill="1" applyBorder="1" applyAlignment="1" applyProtection="1">
      <alignment horizontal="center" vertical="center" shrinkToFit="1"/>
      <protection locked="0"/>
    </xf>
    <xf numFmtId="0" fontId="25" fillId="2" borderId="68" xfId="0" applyFont="1" applyFill="1" applyBorder="1" applyAlignment="1" applyProtection="1">
      <alignment horizontal="center" vertical="center" shrinkToFit="1"/>
      <protection locked="0"/>
    </xf>
    <xf numFmtId="0" fontId="10" fillId="15" borderId="41" xfId="0" applyFont="1" applyFill="1" applyBorder="1" applyAlignment="1" applyProtection="1">
      <alignment horizontal="center" vertical="center"/>
      <protection hidden="1"/>
    </xf>
    <xf numFmtId="0" fontId="10" fillId="15" borderId="42" xfId="0" applyFont="1" applyFill="1" applyBorder="1" applyAlignment="1" applyProtection="1">
      <alignment horizontal="center" vertical="center"/>
      <protection hidden="1"/>
    </xf>
    <xf numFmtId="0" fontId="10" fillId="15" borderId="44" xfId="0" applyFont="1" applyFill="1" applyBorder="1" applyAlignment="1" applyProtection="1">
      <alignment horizontal="center" vertical="center"/>
      <protection hidden="1"/>
    </xf>
    <xf numFmtId="0" fontId="10" fillId="13" borderId="53" xfId="0" applyFont="1" applyFill="1" applyBorder="1" applyAlignment="1" applyProtection="1">
      <alignment horizontal="center" vertical="center" shrinkToFit="1"/>
      <protection hidden="1"/>
    </xf>
    <xf numFmtId="0" fontId="10" fillId="13" borderId="54" xfId="0" applyFont="1" applyFill="1" applyBorder="1" applyAlignment="1" applyProtection="1">
      <alignment horizontal="center" vertical="center" shrinkToFit="1"/>
      <protection hidden="1"/>
    </xf>
    <xf numFmtId="0" fontId="10" fillId="13" borderId="55" xfId="0" applyFont="1" applyFill="1" applyBorder="1" applyAlignment="1" applyProtection="1">
      <alignment horizontal="center" vertical="center" shrinkToFit="1"/>
      <protection hidden="1"/>
    </xf>
    <xf numFmtId="0" fontId="10" fillId="15" borderId="50" xfId="0" applyFont="1" applyFill="1" applyBorder="1" applyAlignment="1" applyProtection="1">
      <alignment horizontal="center" vertical="center"/>
      <protection hidden="1"/>
    </xf>
    <xf numFmtId="0" fontId="10" fillId="15" borderId="51" xfId="0" applyFont="1" applyFill="1" applyBorder="1" applyAlignment="1" applyProtection="1">
      <alignment horizontal="center" vertical="center"/>
      <protection hidden="1"/>
    </xf>
    <xf numFmtId="0" fontId="13" fillId="0" borderId="109" xfId="0" applyFont="1" applyBorder="1" applyAlignment="1" applyProtection="1">
      <alignment horizontal="center" vertical="center"/>
      <protection hidden="1"/>
    </xf>
    <xf numFmtId="0" fontId="58" fillId="0" borderId="51" xfId="0" applyFont="1" applyBorder="1" applyAlignment="1" applyProtection="1">
      <alignment horizontal="center" wrapText="1"/>
      <protection hidden="1"/>
    </xf>
    <xf numFmtId="0" fontId="58" fillId="0" borderId="0" xfId="0" applyFont="1" applyAlignment="1" applyProtection="1">
      <alignment horizontal="center" wrapText="1"/>
      <protection hidden="1"/>
    </xf>
    <xf numFmtId="0" fontId="59" fillId="0" borderId="143" xfId="2" applyFont="1" applyBorder="1" applyAlignment="1" applyProtection="1">
      <alignment horizontal="left" vertical="top" wrapText="1"/>
    </xf>
    <xf numFmtId="0" fontId="59" fillId="0" borderId="46" xfId="2" applyFont="1" applyBorder="1" applyAlignment="1" applyProtection="1">
      <alignment horizontal="left" vertical="top" wrapText="1"/>
    </xf>
    <xf numFmtId="0" fontId="59" fillId="0" borderId="67" xfId="2" applyFont="1" applyBorder="1" applyAlignment="1" applyProtection="1">
      <alignment horizontal="left" vertical="top" wrapText="1"/>
    </xf>
    <xf numFmtId="0" fontId="58" fillId="0" borderId="0" xfId="0" applyFont="1" applyAlignment="1" applyProtection="1">
      <alignment horizontal="center"/>
      <protection hidden="1"/>
    </xf>
    <xf numFmtId="0" fontId="61" fillId="0" borderId="0" xfId="0" applyFont="1" applyAlignment="1" applyProtection="1">
      <alignment horizontal="left" vertical="top" wrapText="1"/>
      <protection hidden="1"/>
    </xf>
    <xf numFmtId="0" fontId="72" fillId="0" borderId="8" xfId="0" applyFont="1" applyBorder="1" applyAlignment="1" applyProtection="1">
      <alignment horizontal="left" vertical="top" wrapText="1"/>
      <protection hidden="1"/>
    </xf>
    <xf numFmtId="0" fontId="10" fillId="13" borderId="39" xfId="0" applyFont="1" applyFill="1" applyBorder="1" applyAlignment="1" applyProtection="1">
      <alignment horizontal="center" vertical="center" shrinkToFit="1"/>
      <protection hidden="1"/>
    </xf>
    <xf numFmtId="0" fontId="10" fillId="13" borderId="40" xfId="0" applyFont="1" applyFill="1" applyBorder="1" applyAlignment="1" applyProtection="1">
      <alignment horizontal="center" vertical="center" shrinkToFit="1"/>
      <protection hidden="1"/>
    </xf>
    <xf numFmtId="0" fontId="10" fillId="13" borderId="43" xfId="0" applyFont="1" applyFill="1" applyBorder="1" applyAlignment="1" applyProtection="1">
      <alignment horizontal="center" vertical="center" shrinkToFit="1"/>
      <protection hidden="1"/>
    </xf>
    <xf numFmtId="0" fontId="10" fillId="10" borderId="86" xfId="0" applyFont="1" applyFill="1" applyBorder="1" applyAlignment="1" applyProtection="1">
      <alignment horizontal="center" vertical="center" shrinkToFit="1"/>
      <protection hidden="1"/>
    </xf>
    <xf numFmtId="0" fontId="10" fillId="10" borderId="87" xfId="0" applyFont="1" applyFill="1" applyBorder="1" applyAlignment="1" applyProtection="1">
      <alignment horizontal="center" vertical="center" shrinkToFit="1"/>
      <protection hidden="1"/>
    </xf>
    <xf numFmtId="0" fontId="10" fillId="11" borderId="117" xfId="0" applyFont="1" applyFill="1" applyBorder="1" applyAlignment="1" applyProtection="1">
      <alignment horizontal="center" vertical="center" wrapText="1" shrinkToFit="1"/>
      <protection hidden="1"/>
    </xf>
    <xf numFmtId="0" fontId="10" fillId="11" borderId="117" xfId="0" applyFont="1" applyFill="1" applyBorder="1" applyAlignment="1" applyProtection="1">
      <alignment horizontal="center" vertical="center" shrinkToFit="1"/>
      <protection hidden="1"/>
    </xf>
    <xf numFmtId="0" fontId="10" fillId="10" borderId="88" xfId="0" applyFont="1" applyFill="1" applyBorder="1" applyAlignment="1" applyProtection="1">
      <alignment horizontal="center" vertical="center" shrinkToFit="1"/>
      <protection hidden="1"/>
    </xf>
    <xf numFmtId="0" fontId="10" fillId="16" borderId="47" xfId="0" applyFont="1" applyFill="1" applyBorder="1" applyAlignment="1" applyProtection="1">
      <alignment horizontal="center" vertical="center" shrinkToFit="1"/>
      <protection hidden="1"/>
    </xf>
    <xf numFmtId="0" fontId="10" fillId="16" borderId="48" xfId="0" applyFont="1" applyFill="1" applyBorder="1" applyAlignment="1" applyProtection="1">
      <alignment horizontal="center" vertical="center" shrinkToFit="1"/>
      <protection hidden="1"/>
    </xf>
    <xf numFmtId="189" fontId="25" fillId="0" borderId="190" xfId="0" applyNumberFormat="1" applyFont="1" applyBorder="1" applyAlignment="1" applyProtection="1">
      <alignment horizontal="center" vertical="center" shrinkToFit="1"/>
      <protection locked="0"/>
    </xf>
    <xf numFmtId="189" fontId="25" fillId="0" borderId="193" xfId="0" applyNumberFormat="1" applyFont="1" applyBorder="1" applyAlignment="1" applyProtection="1">
      <alignment horizontal="center" vertical="center" shrinkToFit="1"/>
      <protection locked="0"/>
    </xf>
    <xf numFmtId="196" fontId="25" fillId="0" borderId="189" xfId="0" applyNumberFormat="1" applyFont="1" applyBorder="1" applyAlignment="1" applyProtection="1">
      <alignment horizontal="center" vertical="center" shrinkToFit="1"/>
      <protection locked="0"/>
    </xf>
    <xf numFmtId="196" fontId="25" fillId="0" borderId="113" xfId="0" applyNumberFormat="1" applyFont="1" applyBorder="1" applyAlignment="1" applyProtection="1">
      <alignment horizontal="center" vertical="center" shrinkToFit="1"/>
      <protection locked="0"/>
    </xf>
    <xf numFmtId="189" fontId="25" fillId="0" borderId="191" xfId="0" applyNumberFormat="1" applyFont="1" applyBorder="1" applyAlignment="1" applyProtection="1">
      <alignment horizontal="center" vertical="center" shrinkToFit="1"/>
      <protection locked="0"/>
    </xf>
    <xf numFmtId="189" fontId="25" fillId="0" borderId="192" xfId="0" applyNumberFormat="1" applyFont="1" applyBorder="1" applyAlignment="1" applyProtection="1">
      <alignment horizontal="center" vertical="center" shrinkToFit="1"/>
      <protection locked="0"/>
    </xf>
    <xf numFmtId="189" fontId="25" fillId="0" borderId="69" xfId="0" applyNumberFormat="1" applyFont="1" applyBorder="1" applyAlignment="1" applyProtection="1">
      <alignment horizontal="center" vertical="center" shrinkToFit="1"/>
      <protection locked="0"/>
    </xf>
    <xf numFmtId="189" fontId="25" fillId="0" borderId="70" xfId="0" applyNumberFormat="1" applyFont="1" applyBorder="1" applyAlignment="1" applyProtection="1">
      <alignment horizontal="center" vertical="center" shrinkToFit="1"/>
      <protection locked="0"/>
    </xf>
    <xf numFmtId="188" fontId="25" fillId="0" borderId="190" xfId="0" applyNumberFormat="1" applyFont="1" applyBorder="1" applyAlignment="1" applyProtection="1">
      <alignment horizontal="center" vertical="center" shrinkToFit="1"/>
      <protection locked="0"/>
    </xf>
    <xf numFmtId="188" fontId="25" fillId="0" borderId="106" xfId="0" applyNumberFormat="1" applyFont="1" applyBorder="1" applyAlignment="1" applyProtection="1">
      <alignment horizontal="center" vertical="center" shrinkToFit="1"/>
      <protection locked="0"/>
    </xf>
    <xf numFmtId="196" fontId="25" fillId="0" borderId="186" xfId="0" applyNumberFormat="1" applyFont="1" applyBorder="1" applyAlignment="1" applyProtection="1">
      <alignment horizontal="center" vertical="center" shrinkToFit="1"/>
      <protection locked="0"/>
    </xf>
    <xf numFmtId="189" fontId="25" fillId="0" borderId="187" xfId="0" applyNumberFormat="1" applyFont="1" applyBorder="1" applyAlignment="1" applyProtection="1">
      <alignment horizontal="center" vertical="center" shrinkToFit="1"/>
      <protection locked="0"/>
    </xf>
    <xf numFmtId="189" fontId="25" fillId="0" borderId="188" xfId="0" applyNumberFormat="1" applyFont="1" applyBorder="1" applyAlignment="1" applyProtection="1">
      <alignment horizontal="center" vertical="center" shrinkToFit="1"/>
      <protection locked="0"/>
    </xf>
    <xf numFmtId="176" fontId="5" fillId="0" borderId="0" xfId="0" applyNumberFormat="1" applyFont="1" applyAlignment="1" applyProtection="1">
      <alignment horizontal="center" vertical="center" shrinkToFit="1"/>
      <protection hidden="1"/>
    </xf>
    <xf numFmtId="0" fontId="23" fillId="0" borderId="158" xfId="0" applyFont="1" applyBorder="1" applyAlignment="1">
      <alignment horizontal="center" vertical="center" shrinkToFit="1"/>
    </xf>
    <xf numFmtId="0" fontId="23" fillId="0" borderId="161" xfId="0" applyFont="1" applyBorder="1" applyAlignment="1">
      <alignment horizontal="center" vertical="center" shrinkToFit="1"/>
    </xf>
    <xf numFmtId="0" fontId="8" fillId="0" borderId="0" xfId="0" applyFont="1" applyAlignment="1" applyProtection="1">
      <alignment horizontal="center" vertical="center" shrinkToFit="1"/>
      <protection hidden="1"/>
    </xf>
    <xf numFmtId="177" fontId="61" fillId="0" borderId="0" xfId="0" applyNumberFormat="1" applyFont="1" applyAlignment="1" applyProtection="1">
      <alignment horizontal="left" vertical="top" wrapText="1"/>
      <protection hidden="1"/>
    </xf>
    <xf numFmtId="49" fontId="55" fillId="0" borderId="156" xfId="0" applyNumberFormat="1" applyFont="1" applyBorder="1" applyAlignment="1">
      <alignment horizontal="center" vertical="center" wrapText="1" shrinkToFit="1"/>
    </xf>
    <xf numFmtId="49" fontId="55" fillId="0" borderId="31" xfId="0" applyNumberFormat="1" applyFont="1" applyBorder="1" applyAlignment="1">
      <alignment horizontal="center" vertical="center" wrapText="1" shrinkToFit="1"/>
    </xf>
    <xf numFmtId="0" fontId="23" fillId="0" borderId="159" xfId="0" applyFont="1" applyBorder="1" applyAlignment="1">
      <alignment horizontal="center" vertical="center" shrinkToFit="1"/>
    </xf>
    <xf numFmtId="0" fontId="23" fillId="0" borderId="34" xfId="0" applyFont="1" applyBorder="1" applyAlignment="1">
      <alignment horizontal="center" vertical="center" shrinkToFit="1"/>
    </xf>
    <xf numFmtId="0" fontId="23" fillId="0" borderId="163" xfId="0" applyFont="1" applyBorder="1" applyAlignment="1">
      <alignment horizontal="center" vertical="center" shrinkToFit="1"/>
    </xf>
    <xf numFmtId="14" fontId="55" fillId="0" borderId="155" xfId="0" applyNumberFormat="1" applyFont="1" applyBorder="1" applyAlignment="1">
      <alignment horizontal="center" vertical="center" shrinkToFit="1"/>
    </xf>
    <xf numFmtId="14" fontId="55" fillId="0" borderId="17" xfId="0" applyNumberFormat="1" applyFont="1" applyBorder="1" applyAlignment="1">
      <alignment horizontal="center" vertical="center" shrinkToFit="1"/>
    </xf>
    <xf numFmtId="176" fontId="23" fillId="0" borderId="158" xfId="0" applyNumberFormat="1" applyFont="1" applyBorder="1" applyAlignment="1" applyProtection="1">
      <alignment horizontal="center" vertical="center" wrapText="1"/>
      <protection hidden="1"/>
    </xf>
    <xf numFmtId="176" fontId="23" fillId="0" borderId="163" xfId="0" applyNumberFormat="1" applyFont="1" applyBorder="1" applyAlignment="1" applyProtection="1">
      <alignment horizontal="center" vertical="center" wrapText="1"/>
      <protection hidden="1"/>
    </xf>
    <xf numFmtId="0" fontId="23" fillId="0" borderId="155" xfId="0" applyFont="1" applyBorder="1" applyAlignment="1" applyProtection="1">
      <alignment horizontal="center" vertical="center" wrapText="1"/>
      <protection hidden="1"/>
    </xf>
    <xf numFmtId="0" fontId="23" fillId="0" borderId="17" xfId="0" applyFont="1" applyBorder="1" applyAlignment="1" applyProtection="1">
      <alignment horizontal="center" vertical="center" wrapText="1"/>
      <protection hidden="1"/>
    </xf>
    <xf numFmtId="0" fontId="23" fillId="0" borderId="166" xfId="0" applyFont="1" applyBorder="1" applyAlignment="1" applyProtection="1">
      <alignment horizontal="center" vertical="center" wrapText="1"/>
      <protection hidden="1"/>
    </xf>
    <xf numFmtId="0" fontId="5" fillId="0" borderId="167" xfId="0" applyFont="1" applyBorder="1" applyAlignment="1" applyProtection="1">
      <alignment horizontal="center" vertical="center" wrapText="1"/>
      <protection hidden="1"/>
    </xf>
    <xf numFmtId="177" fontId="61" fillId="0" borderId="0" xfId="0" applyNumberFormat="1" applyFont="1" applyAlignment="1">
      <alignment horizontal="left" vertical="top" wrapText="1"/>
    </xf>
    <xf numFmtId="176" fontId="23" fillId="0" borderId="172" xfId="0" applyNumberFormat="1" applyFont="1" applyBorder="1" applyAlignment="1" applyProtection="1">
      <alignment horizontal="center" vertical="center" wrapText="1"/>
      <protection hidden="1"/>
    </xf>
    <xf numFmtId="176" fontId="23" fillId="0" borderId="173" xfId="0" applyNumberFormat="1" applyFont="1" applyBorder="1" applyAlignment="1" applyProtection="1">
      <alignment horizontal="center" vertical="center" wrapText="1"/>
      <protection hidden="1"/>
    </xf>
    <xf numFmtId="0" fontId="0" fillId="0" borderId="0" xfId="0" applyAlignment="1">
      <alignment horizontal="center" vertical="center" wrapText="1"/>
    </xf>
    <xf numFmtId="10" fontId="17" fillId="0" borderId="156" xfId="0" applyNumberFormat="1" applyFont="1" applyBorder="1" applyAlignment="1" applyProtection="1">
      <alignment horizontal="left" vertical="center" wrapText="1"/>
      <protection hidden="1"/>
    </xf>
    <xf numFmtId="10" fontId="17" fillId="0" borderId="155" xfId="0" applyNumberFormat="1" applyFont="1" applyBorder="1" applyAlignment="1" applyProtection="1">
      <alignment horizontal="left" vertical="center" wrapText="1"/>
      <protection hidden="1"/>
    </xf>
    <xf numFmtId="10" fontId="17" fillId="0" borderId="159" xfId="0" applyNumberFormat="1" applyFont="1" applyBorder="1" applyAlignment="1" applyProtection="1">
      <alignment horizontal="left" vertical="center" wrapText="1"/>
      <protection hidden="1"/>
    </xf>
    <xf numFmtId="0" fontId="17" fillId="0" borderId="156" xfId="0" applyFont="1" applyBorder="1" applyAlignment="1" applyProtection="1">
      <alignment horizontal="left" vertical="center" wrapText="1"/>
      <protection hidden="1"/>
    </xf>
    <xf numFmtId="0" fontId="17" fillId="0" borderId="155" xfId="0" applyFont="1" applyBorder="1" applyAlignment="1" applyProtection="1">
      <alignment horizontal="left" vertical="center" wrapText="1"/>
      <protection hidden="1"/>
    </xf>
    <xf numFmtId="0" fontId="17" fillId="0" borderId="159" xfId="0" applyFont="1" applyBorder="1" applyAlignment="1" applyProtection="1">
      <alignment horizontal="left" vertical="center" wrapText="1"/>
      <protection hidden="1"/>
    </xf>
    <xf numFmtId="0" fontId="17" fillId="0" borderId="236" xfId="0" applyFont="1" applyBorder="1" applyAlignment="1">
      <alignment horizontal="center" vertical="center" shrinkToFit="1"/>
    </xf>
    <xf numFmtId="0" fontId="17" fillId="0" borderId="237" xfId="0" applyFont="1" applyBorder="1" applyAlignment="1">
      <alignment horizontal="center" vertical="center" shrinkToFit="1"/>
    </xf>
    <xf numFmtId="0" fontId="106" fillId="0" borderId="236" xfId="0" applyFont="1" applyBorder="1" applyAlignment="1">
      <alignment horizontal="center" vertical="center" shrinkToFit="1"/>
    </xf>
    <xf numFmtId="0" fontId="104" fillId="0" borderId="237" xfId="0" applyFont="1" applyBorder="1" applyAlignment="1">
      <alignment horizontal="center" vertical="center" shrinkToFit="1"/>
    </xf>
    <xf numFmtId="0" fontId="17" fillId="0" borderId="213" xfId="0" applyFont="1" applyBorder="1" applyAlignment="1">
      <alignment horizontal="center" vertical="center" shrinkToFit="1"/>
    </xf>
  </cellXfs>
  <cellStyles count="3">
    <cellStyle name="ハイパーリンク" xfId="2" builtinId="8"/>
    <cellStyle name="標準" xfId="0" builtinId="0"/>
    <cellStyle name="標準 10" xfId="1" xr:uid="{E13432BC-4869-9A48-AF50-96158FB5F4C6}"/>
  </cellStyles>
  <dxfs count="43">
    <dxf>
      <border>
        <left/>
        <right/>
        <top/>
        <bottom/>
        <vertical/>
        <horizontal/>
      </border>
    </dxf>
    <dxf>
      <font>
        <color rgb="FFC00000"/>
      </font>
    </dxf>
    <dxf>
      <font>
        <color rgb="FFC00000"/>
      </font>
    </dxf>
    <dxf>
      <font>
        <color theme="0" tint="-0.24994659260841701"/>
      </font>
      <fill>
        <patternFill patternType="lightGray">
          <fgColor theme="0" tint="-0.24994659260841701"/>
          <bgColor theme="0" tint="-0.24994659260841701"/>
        </patternFill>
      </fill>
    </dxf>
    <dxf>
      <font>
        <color theme="0" tint="-0.24994659260841701"/>
      </font>
      <fill>
        <patternFill>
          <bgColor theme="0" tint="-0.24994659260841701"/>
        </patternFill>
      </fill>
    </dxf>
    <dxf>
      <font>
        <color rgb="FFC00000"/>
      </font>
      <fill>
        <patternFill patternType="none">
          <bgColor auto="1"/>
        </patternFill>
      </fill>
    </dxf>
    <dxf>
      <font>
        <color rgb="FFC00000"/>
      </font>
    </dxf>
    <dxf>
      <font>
        <color theme="0" tint="-0.14996795556505021"/>
      </font>
      <fill>
        <patternFill>
          <bgColor theme="0" tint="-0.14996795556505021"/>
        </patternFill>
      </fill>
    </dxf>
    <dxf>
      <font>
        <color rgb="FFC00000"/>
      </font>
    </dxf>
    <dxf>
      <font>
        <color theme="0" tint="-0.14996795556505021"/>
      </font>
      <fill>
        <patternFill>
          <bgColor theme="0" tint="-0.14996795556505021"/>
        </patternFill>
      </fill>
    </dxf>
    <dxf>
      <font>
        <color rgb="FFC00000"/>
      </font>
    </dxf>
    <dxf>
      <font>
        <color theme="0" tint="-0.14996795556505021"/>
      </font>
      <fill>
        <patternFill>
          <bgColor theme="0" tint="-0.14996795556505021"/>
        </patternFill>
      </fill>
    </dxf>
    <dxf>
      <font>
        <color rgb="FFC00000"/>
      </font>
    </dxf>
    <dxf>
      <font>
        <color theme="1"/>
      </font>
    </dxf>
    <dxf>
      <fill>
        <patternFill patternType="none">
          <bgColor auto="1"/>
        </patternFill>
      </fill>
    </dxf>
    <dxf>
      <fill>
        <patternFill>
          <bgColor theme="6" tint="0.79998168889431442"/>
        </patternFill>
      </fill>
    </dxf>
    <dxf>
      <fill>
        <patternFill patternType="none">
          <bgColor auto="1"/>
        </patternFill>
      </fill>
    </dxf>
    <dxf>
      <fill>
        <patternFill>
          <fgColor rgb="FFC00000"/>
        </patternFill>
      </fill>
    </dxf>
    <dxf>
      <font>
        <color theme="0" tint="-0.24994659260841701"/>
      </font>
      <fill>
        <patternFill>
          <bgColor theme="0" tint="-0.24994659260841701"/>
        </patternFill>
      </fill>
      <border>
        <left/>
        <right/>
        <top/>
        <bottom/>
      </border>
    </dxf>
    <dxf>
      <fill>
        <patternFill>
          <fgColor auto="1"/>
          <bgColor rgb="FFFCFFBE"/>
        </patternFill>
      </fill>
    </dxf>
    <dxf>
      <fill>
        <patternFill patternType="none">
          <fgColor auto="1"/>
          <bgColor auto="1"/>
        </patternFill>
      </fill>
    </dxf>
    <dxf>
      <font>
        <color rgb="FFC00000"/>
      </font>
    </dxf>
    <dxf>
      <font>
        <color rgb="FFC00000"/>
      </font>
    </dxf>
    <dxf>
      <font>
        <color theme="1"/>
      </font>
    </dxf>
    <dxf>
      <font>
        <color theme="1"/>
      </font>
    </dxf>
    <dxf>
      <font>
        <color theme="1"/>
      </font>
    </dxf>
    <dxf>
      <font>
        <color auto="1"/>
      </font>
    </dxf>
    <dxf>
      <font>
        <color theme="1"/>
      </font>
    </dxf>
    <dxf>
      <font>
        <color theme="0" tint="-0.24994659260841701"/>
      </font>
      <fill>
        <patternFill>
          <bgColor theme="0" tint="-0.24994659260841701"/>
        </patternFill>
      </fill>
      <border>
        <left/>
        <right/>
        <top/>
        <bottom/>
        <vertical/>
        <horizontal/>
      </border>
    </dxf>
    <dxf>
      <font>
        <color theme="0" tint="-0.24994659260841701"/>
      </font>
      <fill>
        <patternFill>
          <bgColor theme="0" tint="-0.24994659260841701"/>
        </patternFill>
      </fill>
      <border>
        <left/>
        <right/>
        <top/>
        <bottom/>
      </border>
    </dxf>
    <dxf>
      <font>
        <b/>
        <i val="0"/>
        <color theme="0"/>
      </font>
    </dxf>
    <dxf>
      <font>
        <color theme="0" tint="-0.24994659260841701"/>
      </font>
      <fill>
        <patternFill>
          <bgColor theme="0" tint="-0.24994659260841701"/>
        </patternFill>
      </fill>
      <border>
        <left/>
        <right/>
        <top/>
        <bottom/>
      </border>
    </dxf>
    <dxf>
      <font>
        <color theme="0" tint="-0.14996795556505021"/>
      </font>
      <fill>
        <patternFill>
          <bgColor theme="0" tint="-0.14996795556505021"/>
        </patternFill>
      </fill>
      <border>
        <left/>
        <right/>
        <top/>
        <bottom/>
      </border>
    </dxf>
    <dxf>
      <font>
        <color theme="0" tint="-0.24994659260841701"/>
      </font>
      <fill>
        <patternFill>
          <bgColor theme="0" tint="-0.24994659260841701"/>
        </patternFill>
      </fill>
      <border>
        <left/>
        <right/>
        <top/>
        <bottom/>
      </border>
    </dxf>
    <dxf>
      <font>
        <color theme="0" tint="-0.24994659260841701"/>
      </font>
      <fill>
        <patternFill>
          <bgColor theme="0" tint="-0.24994659260841701"/>
        </patternFill>
      </fill>
      <border>
        <left/>
        <right/>
        <top/>
        <bottom/>
      </border>
    </dxf>
    <dxf>
      <font>
        <color theme="0" tint="-0.24994659260841701"/>
      </font>
      <fill>
        <patternFill>
          <bgColor theme="0" tint="-0.24994659260841701"/>
        </patternFill>
      </fill>
      <border>
        <left/>
        <right/>
        <top/>
        <bottom/>
      </border>
    </dxf>
    <dxf>
      <font>
        <color theme="0" tint="-0.24994659260841701"/>
      </font>
      <fill>
        <patternFill>
          <bgColor theme="0" tint="-0.24994659260841701"/>
        </patternFill>
      </fill>
      <border>
        <left/>
        <right/>
        <top/>
        <bottom/>
      </border>
    </dxf>
    <dxf>
      <font>
        <color theme="0" tint="-0.24994659260841701"/>
      </font>
      <fill>
        <patternFill>
          <bgColor theme="0" tint="-0.24994659260841701"/>
        </patternFill>
      </fill>
      <border>
        <left/>
        <right/>
        <top/>
        <bottom/>
      </border>
    </dxf>
    <dxf>
      <font>
        <color theme="0" tint="-0.24994659260841701"/>
      </font>
      <fill>
        <patternFill>
          <bgColor theme="0" tint="-0.24994659260841701"/>
        </patternFill>
      </fill>
      <border>
        <left/>
        <right/>
        <top/>
        <bottom/>
      </border>
    </dxf>
    <dxf>
      <font>
        <color theme="0"/>
      </font>
      <fill>
        <patternFill>
          <bgColor theme="0"/>
        </patternFill>
      </fill>
    </dxf>
    <dxf>
      <font>
        <color theme="0"/>
      </font>
      <fill>
        <patternFill>
          <bgColor theme="0"/>
        </patternFill>
      </fill>
    </dxf>
    <dxf>
      <font>
        <color theme="0"/>
      </font>
      <fill>
        <patternFill>
          <bgColor theme="0"/>
        </patternFill>
      </fill>
    </dxf>
    <dxf>
      <font>
        <b val="0"/>
        <i val="0"/>
        <strike val="0"/>
      </font>
    </dxf>
  </dxfs>
  <tableStyles count="0" defaultTableStyle="TableStyleMedium2" defaultPivotStyle="PivotStyleLight16"/>
  <colors>
    <mruColors>
      <color rgb="FFFF6600"/>
      <color rgb="FF539EEB"/>
      <color rgb="FFEAFFD4"/>
      <color rgb="FF4F95DA"/>
      <color rgb="FFFCFFCA"/>
      <color rgb="FFFFF176"/>
      <color rgb="FFFDFD8A"/>
      <color rgb="FFFCFFBE"/>
      <color rgb="FFC1F0C8"/>
      <color rgb="FF83E2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1" Target="worksheets/sheet1.xml" Type="http://schemas.openxmlformats.org/officeDocument/2006/relationships/worksheet" />
  <Relationship Id="rId10" Target="theme/theme1.xml" Type="http://schemas.openxmlformats.org/officeDocument/2006/relationships/theme" />
  <Relationship Id="rId11" Target="styles.xml" Type="http://schemas.openxmlformats.org/officeDocument/2006/relationships/styles" />
  <Relationship Id="rId12" Target="sharedStrings.xml" Type="http://schemas.openxmlformats.org/officeDocument/2006/relationships/sharedStrings" />
  <Relationship Id="rId13" Target="metadata.xml" Type="http://schemas.openxmlformats.org/officeDocument/2006/relationships/sheetMetadata" />
  <Relationship Id="rId14" Target="calcChain.xml" Type="http://schemas.openxmlformats.org/officeDocument/2006/relationships/calcChain" />
  <Relationship Id="rId15" Target="../customXml/item1.xml" Type="http://schemas.openxmlformats.org/officeDocument/2006/relationships/customXml" />
  <Relationship Id="rId16" Target="../customXml/item2.xml" Type="http://schemas.openxmlformats.org/officeDocument/2006/relationships/customXml" />
  <Relationship Id="rId17" Target="../customXml/item3.xml" Type="http://schemas.openxmlformats.org/officeDocument/2006/relationships/customXml" />
  <Relationship Id="rId2" Target="worksheets/sheet2.xml" Type="http://schemas.openxmlformats.org/officeDocument/2006/relationships/worksheet" />
  <Relationship Id="rId3" Target="worksheets/sheet3.xml" Type="http://schemas.openxmlformats.org/officeDocument/2006/relationships/worksheet" />
  <Relationship Id="rId4" Target="worksheets/sheet4.xml" Type="http://schemas.openxmlformats.org/officeDocument/2006/relationships/worksheet" />
  <Relationship Id="rId5" Target="worksheets/sheet5.xml" Type="http://schemas.openxmlformats.org/officeDocument/2006/relationships/worksheet" />
  <Relationship Id="rId6" Target="worksheets/sheet6.xml" Type="http://schemas.openxmlformats.org/officeDocument/2006/relationships/worksheet" />
  <Relationship Id="rId7" Target="worksheets/sheet7.xml" Type="http://schemas.openxmlformats.org/officeDocument/2006/relationships/worksheet" />
  <Relationship Id="rId8" Target="worksheets/sheet8.xml" Type="http://schemas.openxmlformats.org/officeDocument/2006/relationships/worksheet" />
  <Relationship Id="rId9" Target="worksheets/sheet9.xml" Type="http://schemas.openxmlformats.org/officeDocument/2006/relationships/worksheet" />
</Relationships>
</file>

<file path=xl/charts/_rels/chart1.xml.rels>&#65279;<?xml version="1.0" encoding="utf-8" standalone="yes"?>
<Relationships xmlns="http://schemas.openxmlformats.org/package/2006/relationships">
  <Relationship Id="rId1" Target="style1.xml" Type="http://schemas.microsoft.com/office/2011/relationships/chartStyle" />
  <Relationship Id="rId2" Target="colors1.xml" Type="http://schemas.microsoft.com/office/2011/relationships/chartColorStyle" />
</Relationships>
</file>

<file path=xl/charts/_rels/chart2.xml.rels>&#65279;<?xml version="1.0" encoding="utf-8" standalone="yes"?>
<Relationships xmlns="http://schemas.openxmlformats.org/package/2006/relationships">
  <Relationship Id="rId1" Target="style2.xml" Type="http://schemas.microsoft.com/office/2011/relationships/chartStyle" />
  <Relationship Id="rId2" Target="colors2.xml" Type="http://schemas.microsoft.com/office/2011/relationships/chartColorStyle" />
</Relationships>
</file>

<file path=xl/charts/_rels/chart3.xml.rels>&#65279;<?xml version="1.0" encoding="utf-8" standalone="yes"?>
<Relationships xmlns="http://schemas.openxmlformats.org/package/2006/relationships">
  <Relationship Id="rId1" Target="style3.xml" Type="http://schemas.microsoft.com/office/2011/relationships/chartStyle" />
  <Relationship Id="rId2" Target="colors3.xml" Type="http://schemas.microsoft.com/office/2011/relationships/chartColorStyle" />
</Relationships>
</file>

<file path=xl/charts/_rels/chart4.xml.rels>&#65279;<?xml version="1.0" encoding="utf-8" standalone="yes"?>
<Relationships xmlns="http://schemas.openxmlformats.org/package/2006/relationships">
  <Relationship Id="rId1" Target="style4.xml" Type="http://schemas.microsoft.com/office/2011/relationships/chartStyle" />
  <Relationship Id="rId2" Target="colors4.xml" Type="http://schemas.microsoft.com/office/2011/relationships/chartColorStyle" />
</Relationships>
</file>

<file path=xl/charts/_rels/chart5.xml.rels>&#65279;<?xml version="1.0" encoding="utf-8" standalone="yes"?>
<Relationships xmlns="http://schemas.openxmlformats.org/package/2006/relationships">
  <Relationship Id="rId1" Target="style5.xml" Type="http://schemas.microsoft.com/office/2011/relationships/chartStyle" />
  <Relationship Id="rId2" Target="colors5.xml" Type="http://schemas.microsoft.com/office/2011/relationships/chartColorStyle" />
  <Relationship Id="rId3" Target="../drawings/drawing2.xml" Type="http://schemas.openxmlformats.org/officeDocument/2006/relationships/chartUserShapes" />
</Relationships>
</file>

<file path=xl/charts/_rels/chart6.xml.rels>&#65279;<?xml version="1.0" encoding="utf-8" standalone="yes"?>
<Relationships xmlns="http://schemas.openxmlformats.org/package/2006/relationships">
  <Relationship Id="rId1" Target="style6.xml" Type="http://schemas.microsoft.com/office/2011/relationships/chartStyle" />
  <Relationship Id="rId2" Target="colors6.xml" Type="http://schemas.microsoft.com/office/2011/relationships/chartColorStyle" />
</Relationships>
</file>

<file path=xl/charts/_rels/chart7.xml.rels>&#65279;<?xml version="1.0" encoding="utf-8" standalone="yes"?>
<Relationships xmlns="http://schemas.openxmlformats.org/package/2006/relationships">
  <Relationship Id="rId1" Target="style7.xml" Type="http://schemas.microsoft.com/office/2011/relationships/chartStyle" />
  <Relationship Id="rId2" Target="colors7.xml" Type="http://schemas.microsoft.com/office/2011/relationships/chartColorStyle"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35748792270531"/>
          <c:y val="8.6021505376344093E-2"/>
          <c:w val="0.76811594202898559"/>
          <c:h val="0.85483870967741948"/>
        </c:manualLayout>
      </c:layout>
      <c:radarChart>
        <c:radarStyle val="marker"/>
        <c:varyColors val="0"/>
        <c:ser>
          <c:idx val="0"/>
          <c:order val="0"/>
          <c:tx>
            <c:v>貴社</c:v>
          </c:tx>
          <c:spPr>
            <a:ln w="28575" cap="rnd">
              <a:solidFill>
                <a:schemeClr val="accent2"/>
              </a:solidFill>
              <a:round/>
            </a:ln>
            <a:effectLst/>
          </c:spPr>
          <c:marker>
            <c:symbol val="none"/>
          </c:marker>
          <c:cat>
            <c:strRef>
              <c:f>計算!$B$19:$B$27</c:f>
              <c:strCache>
                <c:ptCount val="9"/>
                <c:pt idx="0">
                  <c:v>0年</c:v>
                </c:pt>
                <c:pt idx="1">
                  <c:v>1-2年</c:v>
                </c:pt>
                <c:pt idx="2">
                  <c:v>3-4年</c:v>
                </c:pt>
                <c:pt idx="3">
                  <c:v>5-9年</c:v>
                </c:pt>
                <c:pt idx="4">
                  <c:v>10-14年</c:v>
                </c:pt>
                <c:pt idx="5">
                  <c:v>15-19年</c:v>
                </c:pt>
                <c:pt idx="6">
                  <c:v>20-24年</c:v>
                </c:pt>
                <c:pt idx="7">
                  <c:v>25-29年</c:v>
                </c:pt>
                <c:pt idx="8">
                  <c:v>30年以上</c:v>
                </c:pt>
              </c:strCache>
            </c:strRef>
          </c:cat>
          <c:val>
            <c:numRef>
              <c:f>計算!$H$19:$H$27</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4D21-EC44-A696-90377D0F222A}"/>
            </c:ext>
          </c:extLst>
        </c:ser>
        <c:ser>
          <c:idx val="1"/>
          <c:order val="1"/>
          <c:tx>
            <c:v>賃構</c:v>
          </c:tx>
          <c:spPr>
            <a:ln w="28575" cap="rnd">
              <a:solidFill>
                <a:srgbClr val="4F95DA"/>
              </a:solidFill>
              <a:round/>
            </a:ln>
            <a:effectLst/>
          </c:spPr>
          <c:marker>
            <c:symbol val="none"/>
          </c:marker>
          <c:cat>
            <c:strRef>
              <c:f>計算!$B$19:$B$27</c:f>
              <c:strCache>
                <c:ptCount val="9"/>
                <c:pt idx="0">
                  <c:v>0年</c:v>
                </c:pt>
                <c:pt idx="1">
                  <c:v>1-2年</c:v>
                </c:pt>
                <c:pt idx="2">
                  <c:v>3-4年</c:v>
                </c:pt>
                <c:pt idx="3">
                  <c:v>5-9年</c:v>
                </c:pt>
                <c:pt idx="4">
                  <c:v>10-14年</c:v>
                </c:pt>
                <c:pt idx="5">
                  <c:v>15-19年</c:v>
                </c:pt>
                <c:pt idx="6">
                  <c:v>20-24年</c:v>
                </c:pt>
                <c:pt idx="7">
                  <c:v>25-29年</c:v>
                </c:pt>
                <c:pt idx="8">
                  <c:v>30年以上</c:v>
                </c:pt>
              </c:strCache>
            </c:strRef>
          </c:cat>
          <c:val>
            <c:numRef>
              <c:f>計算!$I$19:$I$27</c:f>
              <c:numCache>
                <c:formatCode>0.0%</c:formatCode>
                <c:ptCount val="9"/>
                <c:pt idx="0">
                  <c:v>0.81463129908822973</c:v>
                </c:pt>
                <c:pt idx="1">
                  <c:v>0.82856900702664193</c:v>
                </c:pt>
                <c:pt idx="2">
                  <c:v>0.81303918340467562</c:v>
                </c:pt>
                <c:pt idx="3">
                  <c:v>0.80184659412513193</c:v>
                </c:pt>
                <c:pt idx="4">
                  <c:v>0.77043257771692275</c:v>
                </c:pt>
                <c:pt idx="5">
                  <c:v>0.75119732844954146</c:v>
                </c:pt>
                <c:pt idx="6">
                  <c:v>0.74460040443862896</c:v>
                </c:pt>
                <c:pt idx="7">
                  <c:v>0.7624099767753546</c:v>
                </c:pt>
                <c:pt idx="8">
                  <c:v>0.76638123322940221</c:v>
                </c:pt>
              </c:numCache>
            </c:numRef>
          </c:val>
          <c:extLst>
            <c:ext xmlns:c16="http://schemas.microsoft.com/office/drawing/2014/chart" uri="{C3380CC4-5D6E-409C-BE32-E72D297353CC}">
              <c16:uniqueId val="{00000001-4D21-EC44-A696-90377D0F222A}"/>
            </c:ext>
          </c:extLst>
        </c:ser>
        <c:dLbls>
          <c:showLegendKey val="0"/>
          <c:showVal val="0"/>
          <c:showCatName val="0"/>
          <c:showSerName val="0"/>
          <c:showPercent val="0"/>
          <c:showBubbleSize val="0"/>
        </c:dLbls>
        <c:axId val="1955027311"/>
        <c:axId val="1146308143"/>
      </c:radarChart>
      <c:catAx>
        <c:axId val="1955027311"/>
        <c:scaling>
          <c:orientation val="minMax"/>
        </c:scaling>
        <c:delete val="1"/>
        <c:axPos val="b"/>
        <c:numFmt formatCode="General" sourceLinked="1"/>
        <c:majorTickMark val="none"/>
        <c:minorTickMark val="none"/>
        <c:tickLblPos val="nextTo"/>
        <c:crossAx val="1146308143"/>
        <c:crosses val="autoZero"/>
        <c:auto val="1"/>
        <c:lblAlgn val="ctr"/>
        <c:lblOffset val="100"/>
        <c:noMultiLvlLbl val="0"/>
      </c:catAx>
      <c:valAx>
        <c:axId val="114630814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955027311"/>
        <c:crosses val="autoZero"/>
        <c:crossBetween val="between"/>
        <c:minorUnit val="0.5"/>
      </c:valAx>
      <c:spPr>
        <a:solidFill>
          <a:schemeClr val="bg1"/>
        </a:solidFill>
        <a:ln>
          <a:noFill/>
        </a:ln>
        <a:effectLst/>
      </c:spPr>
    </c:plotArea>
    <c:plotVisOnly val="0"/>
    <c:dispBlanksAs val="span"/>
    <c:extLst>
      <c:ext xmlns:c16r3="http://schemas.microsoft.com/office/drawing/2017/03/chart" uri="{56B9EC1D-385E-4148-901F-78D8002777C0}">
        <c16r3:dataDisplayOptions16>
          <c16r3:dispNaAsBlank val="1"/>
        </c16r3:dataDisplayOptions16>
      </c:ext>
    </c:extLst>
    <c:showDLblsOverMax val="0"/>
  </c:chart>
  <c:spPr>
    <a:solidFill>
      <a:schemeClr val="accent5">
        <a:lumMod val="20000"/>
        <a:lumOff val="80000"/>
      </a:schemeClr>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700958990295704"/>
          <c:y val="0.12020397051432401"/>
          <c:w val="0.71575451373663035"/>
          <c:h val="0.78189688390015077"/>
        </c:manualLayout>
      </c:layout>
      <c:radarChart>
        <c:radarStyle val="marker"/>
        <c:varyColors val="0"/>
        <c:ser>
          <c:idx val="0"/>
          <c:order val="0"/>
          <c:tx>
            <c:v>貴社</c:v>
          </c:tx>
          <c:spPr>
            <a:ln w="28575" cap="rnd">
              <a:solidFill>
                <a:srgbClr val="FF6600"/>
              </a:solidFill>
              <a:round/>
            </a:ln>
            <a:effectLst/>
          </c:spPr>
          <c:marker>
            <c:symbol val="none"/>
          </c:marker>
          <c:val>
            <c:numRef>
              <c:f>計算!$H$34:$H$37</c:f>
              <c:numCache>
                <c:formatCode>0.0%</c:formatCode>
                <c:ptCount val="4"/>
                <c:pt idx="0">
                  <c:v>0</c:v>
                </c:pt>
                <c:pt idx="1">
                  <c:v>0</c:v>
                </c:pt>
                <c:pt idx="2">
                  <c:v>0</c:v>
                </c:pt>
                <c:pt idx="3">
                  <c:v>0</c:v>
                </c:pt>
              </c:numCache>
            </c:numRef>
          </c:val>
          <c:extLst>
            <c:ext xmlns:c15="http://schemas.microsoft.com/office/drawing/2012/chart" uri="{02D57815-91ED-43cb-92C2-25804820EDAC}">
              <c15:filteredCategoryTitle>
                <c15:cat>
                  <c:strRef>
                    <c:extLst>
                      <c:ext uri="{02D57815-91ED-43cb-92C2-25804820EDAC}">
                        <c15:formulaRef>
                          <c15:sqref>計算!$B$34:$B$37</c15:sqref>
                        </c15:formulaRef>
                      </c:ext>
                    </c:extLst>
                    <c:strCache>
                      <c:ptCount val="4"/>
                      <c:pt idx="0">
                        <c:v>非役職</c:v>
                      </c:pt>
                      <c:pt idx="1">
                        <c:v>係長級</c:v>
                      </c:pt>
                      <c:pt idx="2">
                        <c:v>課長級</c:v>
                      </c:pt>
                      <c:pt idx="3">
                        <c:v>部長級</c:v>
                      </c:pt>
                    </c:strCache>
                  </c:strRef>
                </c15:cat>
              </c15:filteredCategoryTitle>
            </c:ext>
            <c:ext xmlns:c16="http://schemas.microsoft.com/office/drawing/2014/chart" uri="{C3380CC4-5D6E-409C-BE32-E72D297353CC}">
              <c16:uniqueId val="{00000000-4298-FC48-AE67-ED6CBF2A00AF}"/>
            </c:ext>
          </c:extLst>
        </c:ser>
        <c:ser>
          <c:idx val="1"/>
          <c:order val="1"/>
          <c:tx>
            <c:v>賃構</c:v>
          </c:tx>
          <c:spPr>
            <a:ln w="28575" cap="rnd">
              <a:solidFill>
                <a:srgbClr val="539EEB"/>
              </a:solidFill>
              <a:round/>
            </a:ln>
            <a:effectLst/>
          </c:spPr>
          <c:marker>
            <c:symbol val="none"/>
          </c:marker>
          <c:val>
            <c:numRef>
              <c:f>計算!$I$34:$I$37</c:f>
              <c:numCache>
                <c:formatCode>0.0%</c:formatCode>
                <c:ptCount val="4"/>
                <c:pt idx="0">
                  <c:v>0.79314849256182274</c:v>
                </c:pt>
                <c:pt idx="1">
                  <c:v>0.83781321600379743</c:v>
                </c:pt>
                <c:pt idx="2">
                  <c:v>0.83478639481398997</c:v>
                </c:pt>
                <c:pt idx="3">
                  <c:v>0.81821436107677936</c:v>
                </c:pt>
              </c:numCache>
            </c:numRef>
          </c:val>
          <c:extLst>
            <c:ext xmlns:c15="http://schemas.microsoft.com/office/drawing/2012/chart" uri="{02D57815-91ED-43cb-92C2-25804820EDAC}">
              <c15:filteredCategoryTitle>
                <c15:cat>
                  <c:strRef>
                    <c:extLst>
                      <c:ext uri="{02D57815-91ED-43cb-92C2-25804820EDAC}">
                        <c15:formulaRef>
                          <c15:sqref>計算!$B$34:$B$37</c15:sqref>
                        </c15:formulaRef>
                      </c:ext>
                    </c:extLst>
                    <c:strCache>
                      <c:ptCount val="4"/>
                      <c:pt idx="0">
                        <c:v>非役職</c:v>
                      </c:pt>
                      <c:pt idx="1">
                        <c:v>係長級</c:v>
                      </c:pt>
                      <c:pt idx="2">
                        <c:v>課長級</c:v>
                      </c:pt>
                      <c:pt idx="3">
                        <c:v>部長級</c:v>
                      </c:pt>
                    </c:strCache>
                  </c:strRef>
                </c15:cat>
              </c15:filteredCategoryTitle>
            </c:ext>
            <c:ext xmlns:c16="http://schemas.microsoft.com/office/drawing/2014/chart" uri="{C3380CC4-5D6E-409C-BE32-E72D297353CC}">
              <c16:uniqueId val="{00000001-4298-FC48-AE67-ED6CBF2A00AF}"/>
            </c:ext>
          </c:extLst>
        </c:ser>
        <c:dLbls>
          <c:showLegendKey val="0"/>
          <c:showVal val="0"/>
          <c:showCatName val="0"/>
          <c:showSerName val="0"/>
          <c:showPercent val="0"/>
          <c:showBubbleSize val="0"/>
        </c:dLbls>
        <c:axId val="2012675375"/>
        <c:axId val="1143468255"/>
      </c:radarChart>
      <c:catAx>
        <c:axId val="2012675375"/>
        <c:scaling>
          <c:orientation val="minMax"/>
        </c:scaling>
        <c:delete val="1"/>
        <c:axPos val="b"/>
        <c:numFmt formatCode="General" sourceLinked="1"/>
        <c:majorTickMark val="none"/>
        <c:minorTickMark val="none"/>
        <c:tickLblPos val="nextTo"/>
        <c:crossAx val="1143468255"/>
        <c:crosses val="autoZero"/>
        <c:auto val="1"/>
        <c:lblAlgn val="ctr"/>
        <c:lblOffset val="100"/>
        <c:noMultiLvlLbl val="0"/>
      </c:catAx>
      <c:valAx>
        <c:axId val="114346825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012675375"/>
        <c:crosses val="autoZero"/>
        <c:crossBetween val="between"/>
        <c:minorUnit val="0.5"/>
      </c:valAx>
      <c:spPr>
        <a:solidFill>
          <a:schemeClr val="bg1"/>
        </a:solid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6">
        <a:lumMod val="40000"/>
        <a:lumOff val="60000"/>
      </a:schemeClr>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61210674457548"/>
          <c:y val="6.5088757396449703E-2"/>
          <c:w val="0.7993313618603104"/>
          <c:h val="0.82770255789032288"/>
        </c:manualLayout>
      </c:layout>
      <c:barChart>
        <c:barDir val="bar"/>
        <c:grouping val="clustered"/>
        <c:varyColors val="0"/>
        <c:ser>
          <c:idx val="0"/>
          <c:order val="0"/>
          <c:tx>
            <c:v>貴社</c:v>
          </c:tx>
          <c:spPr>
            <a:solidFill>
              <a:schemeClr val="accent2"/>
            </a:solidFill>
            <a:ln>
              <a:noFill/>
            </a:ln>
            <a:effectLst/>
          </c:spPr>
          <c:invertIfNegative val="0"/>
          <c:cat>
            <c:strRef>
              <c:f>計算!$B$34:$B$37</c:f>
              <c:strCache>
                <c:ptCount val="4"/>
                <c:pt idx="0">
                  <c:v>非役職</c:v>
                </c:pt>
                <c:pt idx="1">
                  <c:v>係長級</c:v>
                </c:pt>
                <c:pt idx="2">
                  <c:v>課長級</c:v>
                </c:pt>
                <c:pt idx="3">
                  <c:v>部長級</c:v>
                </c:pt>
              </c:strCache>
            </c:strRef>
          </c:cat>
          <c:val>
            <c:numRef>
              <c:f>計算!$H$34:$H$37</c:f>
              <c:numCache>
                <c:formatCode>0.0%</c:formatCode>
                <c:ptCount val="4"/>
                <c:pt idx="0">
                  <c:v>0</c:v>
                </c:pt>
                <c:pt idx="1">
                  <c:v>0</c:v>
                </c:pt>
                <c:pt idx="2">
                  <c:v>0</c:v>
                </c:pt>
                <c:pt idx="3">
                  <c:v>0</c:v>
                </c:pt>
              </c:numCache>
            </c:numRef>
          </c:val>
          <c:extLst>
            <c:ext xmlns:c16="http://schemas.microsoft.com/office/drawing/2014/chart" uri="{C3380CC4-5D6E-409C-BE32-E72D297353CC}">
              <c16:uniqueId val="{00000000-29E6-FC4D-B232-E597175AC0A7}"/>
            </c:ext>
          </c:extLst>
        </c:ser>
        <c:ser>
          <c:idx val="1"/>
          <c:order val="1"/>
          <c:tx>
            <c:v>賃構</c:v>
          </c:tx>
          <c:spPr>
            <a:solidFill>
              <a:schemeClr val="tx2">
                <a:lumMod val="50000"/>
                <a:lumOff val="50000"/>
              </a:schemeClr>
            </a:solidFill>
            <a:ln>
              <a:noFill/>
            </a:ln>
            <a:effectLst/>
          </c:spPr>
          <c:invertIfNegative val="0"/>
          <c:cat>
            <c:strRef>
              <c:f>計算!$B$34:$B$37</c:f>
              <c:strCache>
                <c:ptCount val="4"/>
                <c:pt idx="0">
                  <c:v>非役職</c:v>
                </c:pt>
                <c:pt idx="1">
                  <c:v>係長級</c:v>
                </c:pt>
                <c:pt idx="2">
                  <c:v>課長級</c:v>
                </c:pt>
                <c:pt idx="3">
                  <c:v>部長級</c:v>
                </c:pt>
              </c:strCache>
            </c:strRef>
          </c:cat>
          <c:val>
            <c:numRef>
              <c:f>計算!$I$34:$I$37</c:f>
              <c:numCache>
                <c:formatCode>0.0%</c:formatCode>
                <c:ptCount val="4"/>
                <c:pt idx="0">
                  <c:v>0.79314849256182274</c:v>
                </c:pt>
                <c:pt idx="1">
                  <c:v>0.83781321600379743</c:v>
                </c:pt>
                <c:pt idx="2">
                  <c:v>0.83478639481398997</c:v>
                </c:pt>
                <c:pt idx="3">
                  <c:v>0.81821436107677936</c:v>
                </c:pt>
              </c:numCache>
            </c:numRef>
          </c:val>
          <c:extLst>
            <c:ext xmlns:c16="http://schemas.microsoft.com/office/drawing/2014/chart" uri="{C3380CC4-5D6E-409C-BE32-E72D297353CC}">
              <c16:uniqueId val="{00000001-29E6-FC4D-B232-E597175AC0A7}"/>
            </c:ext>
          </c:extLst>
        </c:ser>
        <c:dLbls>
          <c:showLegendKey val="0"/>
          <c:showVal val="0"/>
          <c:showCatName val="0"/>
          <c:showSerName val="0"/>
          <c:showPercent val="0"/>
          <c:showBubbleSize val="0"/>
        </c:dLbls>
        <c:gapWidth val="182"/>
        <c:axId val="1455555423"/>
        <c:axId val="241758032"/>
      </c:barChart>
      <c:catAx>
        <c:axId val="1455555423"/>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bg2">
                    <a:lumMod val="10000"/>
                  </a:schemeClr>
                </a:solidFill>
                <a:latin typeface="+mn-lt"/>
                <a:ea typeface="+mn-ea"/>
                <a:cs typeface="+mn-cs"/>
              </a:defRPr>
            </a:pPr>
            <a:endParaRPr lang="ja-JP"/>
          </a:p>
        </c:txPr>
        <c:crossAx val="241758032"/>
        <c:crosses val="autoZero"/>
        <c:auto val="1"/>
        <c:lblAlgn val="ctr"/>
        <c:lblOffset val="100"/>
        <c:noMultiLvlLbl val="0"/>
      </c:catAx>
      <c:valAx>
        <c:axId val="241758032"/>
        <c:scaling>
          <c:orientation val="minMax"/>
        </c:scaling>
        <c:delete val="0"/>
        <c:axPos val="t"/>
        <c:majorGridlines>
          <c:spPr>
            <a:ln w="12700" cap="flat" cmpd="sng" algn="ctr">
              <a:solidFill>
                <a:schemeClr val="bg1">
                  <a:lumMod val="85000"/>
                </a:schemeClr>
              </a:solidFill>
              <a:round/>
            </a:ln>
            <a:effectLst/>
          </c:spPr>
        </c:majorGridlines>
        <c:minorGridlines>
          <c:spPr>
            <a:ln w="12700" cap="flat" cmpd="sng" algn="ctr">
              <a:solidFill>
                <a:schemeClr val="bg1">
                  <a:lumMod val="85000"/>
                </a:schemeClr>
              </a:solidFill>
              <a:round/>
            </a:ln>
            <a:effectLst/>
          </c:spPr>
        </c:minorGridlines>
        <c:numFmt formatCode="0.0%" sourceLinked="1"/>
        <c:majorTickMark val="none"/>
        <c:minorTickMark val="none"/>
        <c:tickLblPos val="high"/>
        <c:spPr>
          <a:noFill/>
          <a:ln w="12700">
            <a:solidFill>
              <a:schemeClr val="tx1">
                <a:lumMod val="15000"/>
                <a:lumOff val="8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ja-JP"/>
          </a:p>
        </c:txPr>
        <c:crossAx val="1455555423"/>
        <c:crosses val="autoZero"/>
        <c:crossBetween val="between"/>
        <c:minorUnit val="0.5"/>
      </c:valAx>
      <c:spPr>
        <a:noFill/>
        <a:ln>
          <a:solidFill>
            <a:schemeClr val="bg1">
              <a:lumMod val="85000"/>
            </a:schemeClr>
          </a:solid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v>貴社</c:v>
          </c:tx>
          <c:spPr>
            <a:solidFill>
              <a:schemeClr val="accent2"/>
            </a:solidFill>
            <a:ln>
              <a:noFill/>
            </a:ln>
            <a:effectLst/>
          </c:spPr>
          <c:invertIfNegative val="0"/>
          <c:cat>
            <c:strRef>
              <c:f>計算!$B$19:$B$27</c:f>
              <c:strCache>
                <c:ptCount val="9"/>
                <c:pt idx="0">
                  <c:v>0年</c:v>
                </c:pt>
                <c:pt idx="1">
                  <c:v>1-2年</c:v>
                </c:pt>
                <c:pt idx="2">
                  <c:v>3-4年</c:v>
                </c:pt>
                <c:pt idx="3">
                  <c:v>5-9年</c:v>
                </c:pt>
                <c:pt idx="4">
                  <c:v>10-14年</c:v>
                </c:pt>
                <c:pt idx="5">
                  <c:v>15-19年</c:v>
                </c:pt>
                <c:pt idx="6">
                  <c:v>20-24年</c:v>
                </c:pt>
                <c:pt idx="7">
                  <c:v>25-29年</c:v>
                </c:pt>
                <c:pt idx="8">
                  <c:v>30年以上</c:v>
                </c:pt>
              </c:strCache>
            </c:strRef>
          </c:cat>
          <c:val>
            <c:numRef>
              <c:f>計算!$H$19:$H$27</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F4DA-1E4A-883C-06735A8A666E}"/>
            </c:ext>
          </c:extLst>
        </c:ser>
        <c:ser>
          <c:idx val="1"/>
          <c:order val="1"/>
          <c:tx>
            <c:v>賃構</c:v>
          </c:tx>
          <c:spPr>
            <a:solidFill>
              <a:srgbClr val="4F95DA"/>
            </a:solidFill>
            <a:ln>
              <a:noFill/>
            </a:ln>
            <a:effectLst/>
          </c:spPr>
          <c:invertIfNegative val="0"/>
          <c:cat>
            <c:strRef>
              <c:f>計算!$B$19:$B$27</c:f>
              <c:strCache>
                <c:ptCount val="9"/>
                <c:pt idx="0">
                  <c:v>0年</c:v>
                </c:pt>
                <c:pt idx="1">
                  <c:v>1-2年</c:v>
                </c:pt>
                <c:pt idx="2">
                  <c:v>3-4年</c:v>
                </c:pt>
                <c:pt idx="3">
                  <c:v>5-9年</c:v>
                </c:pt>
                <c:pt idx="4">
                  <c:v>10-14年</c:v>
                </c:pt>
                <c:pt idx="5">
                  <c:v>15-19年</c:v>
                </c:pt>
                <c:pt idx="6">
                  <c:v>20-24年</c:v>
                </c:pt>
                <c:pt idx="7">
                  <c:v>25-29年</c:v>
                </c:pt>
                <c:pt idx="8">
                  <c:v>30年以上</c:v>
                </c:pt>
              </c:strCache>
            </c:strRef>
          </c:cat>
          <c:val>
            <c:numRef>
              <c:f>計算!$I$19:$I$27</c:f>
              <c:numCache>
                <c:formatCode>0.0%</c:formatCode>
                <c:ptCount val="9"/>
                <c:pt idx="0">
                  <c:v>0.81463129908822973</c:v>
                </c:pt>
                <c:pt idx="1">
                  <c:v>0.82856900702664193</c:v>
                </c:pt>
                <c:pt idx="2">
                  <c:v>0.81303918340467562</c:v>
                </c:pt>
                <c:pt idx="3">
                  <c:v>0.80184659412513193</c:v>
                </c:pt>
                <c:pt idx="4">
                  <c:v>0.77043257771692275</c:v>
                </c:pt>
                <c:pt idx="5">
                  <c:v>0.75119732844954146</c:v>
                </c:pt>
                <c:pt idx="6">
                  <c:v>0.74460040443862896</c:v>
                </c:pt>
                <c:pt idx="7">
                  <c:v>0.7624099767753546</c:v>
                </c:pt>
                <c:pt idx="8">
                  <c:v>0.76638123322940221</c:v>
                </c:pt>
              </c:numCache>
            </c:numRef>
          </c:val>
          <c:extLst>
            <c:ext xmlns:c16="http://schemas.microsoft.com/office/drawing/2014/chart" uri="{C3380CC4-5D6E-409C-BE32-E72D297353CC}">
              <c16:uniqueId val="{00000001-F4DA-1E4A-883C-06735A8A666E}"/>
            </c:ext>
          </c:extLst>
        </c:ser>
        <c:dLbls>
          <c:showLegendKey val="0"/>
          <c:showVal val="0"/>
          <c:showCatName val="0"/>
          <c:showSerName val="0"/>
          <c:showPercent val="0"/>
          <c:showBubbleSize val="0"/>
        </c:dLbls>
        <c:gapWidth val="50"/>
        <c:axId val="1455673679"/>
        <c:axId val="1548857056"/>
      </c:barChart>
      <c:catAx>
        <c:axId val="145567367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bg2">
                    <a:lumMod val="10000"/>
                  </a:schemeClr>
                </a:solidFill>
                <a:latin typeface="+mn-lt"/>
                <a:ea typeface="+mn-ea"/>
                <a:cs typeface="+mn-cs"/>
              </a:defRPr>
            </a:pPr>
            <a:endParaRPr lang="ja-JP"/>
          </a:p>
        </c:txPr>
        <c:crossAx val="1548857056"/>
        <c:crossesAt val="0"/>
        <c:auto val="1"/>
        <c:lblAlgn val="ctr"/>
        <c:lblOffset val="100"/>
        <c:noMultiLvlLbl val="0"/>
      </c:catAx>
      <c:valAx>
        <c:axId val="1548857056"/>
        <c:scaling>
          <c:orientation val="minMax"/>
        </c:scaling>
        <c:delete val="0"/>
        <c:axPos val="t"/>
        <c:majorGridlines>
          <c:spPr>
            <a:ln w="9525" cap="flat" cmpd="sng" algn="ctr">
              <a:solidFill>
                <a:schemeClr val="tx1">
                  <a:lumMod val="15000"/>
                  <a:lumOff val="85000"/>
                </a:schemeClr>
              </a:solidFill>
              <a:round/>
            </a:ln>
            <a:effectLst/>
          </c:spPr>
        </c:majorGridlines>
        <c:minorGridlines>
          <c:spPr>
            <a:ln w="9525" cap="flat" cmpd="sng" algn="ctr">
              <a:solidFill>
                <a:schemeClr val="bg1">
                  <a:lumMod val="75000"/>
                </a:schemeClr>
              </a:solidFill>
              <a:round/>
            </a:ln>
            <a:effectLst/>
          </c:spPr>
        </c:minorGridlines>
        <c:numFmt formatCode="0.0%" sourceLinked="1"/>
        <c:majorTickMark val="out"/>
        <c:minorTickMark val="none"/>
        <c:tickLblPos val="high"/>
        <c:spPr>
          <a:noFill/>
          <a:ln>
            <a:solidFill>
              <a:schemeClr val="tx1">
                <a:lumMod val="15000"/>
                <a:lumOff val="8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ja-JP"/>
          </a:p>
        </c:txPr>
        <c:crossAx val="1455673679"/>
        <c:crosses val="autoZero"/>
        <c:crossBetween val="between"/>
        <c:minorUnit val="0.5"/>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194444444444445"/>
          <c:y val="8.9229623324111523E-2"/>
          <c:w val="0.75462962962962965"/>
          <c:h val="0.88108108108108107"/>
        </c:manualLayout>
      </c:layout>
      <c:radarChart>
        <c:radarStyle val="marker"/>
        <c:varyColors val="0"/>
        <c:ser>
          <c:idx val="0"/>
          <c:order val="0"/>
          <c:spPr>
            <a:ln w="28575" cap="rnd">
              <a:solidFill>
                <a:schemeClr val="accent2"/>
              </a:solidFill>
              <a:round/>
            </a:ln>
            <a:effectLst/>
          </c:spPr>
          <c:marker>
            <c:symbol val="none"/>
          </c:marker>
          <c:cat>
            <c:strRef>
              <c:f>計算!$B$10:$B$12</c:f>
              <c:strCache>
                <c:ptCount val="3"/>
                <c:pt idx="0">
                  <c:v>全労働者</c:v>
                </c:pt>
                <c:pt idx="1">
                  <c:v>正規雇用労働者</c:v>
                </c:pt>
                <c:pt idx="2">
                  <c:v>非正規雇用労働者</c:v>
                </c:pt>
              </c:strCache>
            </c:strRef>
          </c:cat>
          <c:val>
            <c:numRef>
              <c:f>計算!$H$10:$H$12</c:f>
              <c:numCache>
                <c:formatCode>0.0%</c:formatCode>
                <c:ptCount val="3"/>
                <c:pt idx="0">
                  <c:v>0</c:v>
                </c:pt>
                <c:pt idx="1">
                  <c:v>0</c:v>
                </c:pt>
                <c:pt idx="2">
                  <c:v>0</c:v>
                </c:pt>
              </c:numCache>
            </c:numRef>
          </c:val>
          <c:extLst>
            <c:ext xmlns:c16="http://schemas.microsoft.com/office/drawing/2014/chart" uri="{C3380CC4-5D6E-409C-BE32-E72D297353CC}">
              <c16:uniqueId val="{00000000-0A96-144F-9A2F-428BAE8DF01E}"/>
            </c:ext>
          </c:extLst>
        </c:ser>
        <c:ser>
          <c:idx val="1"/>
          <c:order val="1"/>
          <c:spPr>
            <a:ln w="28575" cap="rnd">
              <a:solidFill>
                <a:srgbClr val="4F95DA"/>
              </a:solidFill>
              <a:round/>
            </a:ln>
            <a:effectLst/>
          </c:spPr>
          <c:marker>
            <c:symbol val="none"/>
          </c:marker>
          <c:cat>
            <c:strRef>
              <c:f>計算!$B$10:$B$12</c:f>
              <c:strCache>
                <c:ptCount val="3"/>
                <c:pt idx="0">
                  <c:v>全労働者</c:v>
                </c:pt>
                <c:pt idx="1">
                  <c:v>正規雇用労働者</c:v>
                </c:pt>
                <c:pt idx="2">
                  <c:v>非正規雇用労働者</c:v>
                </c:pt>
              </c:strCache>
            </c:strRef>
          </c:cat>
          <c:val>
            <c:numRef>
              <c:f>計算!$I$10:$I$12</c:f>
              <c:numCache>
                <c:formatCode>0.0%</c:formatCode>
                <c:ptCount val="3"/>
                <c:pt idx="0">
                  <c:v>0.55844621590657462</c:v>
                </c:pt>
                <c:pt idx="1">
                  <c:v>0.73106087917898432</c:v>
                </c:pt>
                <c:pt idx="2">
                  <c:v>0.69120164327285172</c:v>
                </c:pt>
              </c:numCache>
            </c:numRef>
          </c:val>
          <c:extLst>
            <c:ext xmlns:c16="http://schemas.microsoft.com/office/drawing/2014/chart" uri="{C3380CC4-5D6E-409C-BE32-E72D297353CC}">
              <c16:uniqueId val="{00000001-0A96-144F-9A2F-428BAE8DF01E}"/>
            </c:ext>
          </c:extLst>
        </c:ser>
        <c:dLbls>
          <c:showLegendKey val="0"/>
          <c:showVal val="0"/>
          <c:showCatName val="0"/>
          <c:showSerName val="0"/>
          <c:showPercent val="0"/>
          <c:showBubbleSize val="0"/>
        </c:dLbls>
        <c:axId val="1130134383"/>
        <c:axId val="1129840687"/>
      </c:radarChart>
      <c:catAx>
        <c:axId val="1130134383"/>
        <c:scaling>
          <c:orientation val="minMax"/>
        </c:scaling>
        <c:delete val="1"/>
        <c:axPos val="b"/>
        <c:numFmt formatCode="General" sourceLinked="1"/>
        <c:majorTickMark val="none"/>
        <c:minorTickMark val="none"/>
        <c:tickLblPos val="nextTo"/>
        <c:crossAx val="1129840687"/>
        <c:crosses val="autoZero"/>
        <c:auto val="1"/>
        <c:lblAlgn val="ctr"/>
        <c:lblOffset val="100"/>
        <c:noMultiLvlLbl val="0"/>
      </c:catAx>
      <c:valAx>
        <c:axId val="11298406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130134383"/>
        <c:crosses val="autoZero"/>
        <c:crossBetween val="between"/>
        <c:minorUnit val="0.5"/>
      </c:valAx>
      <c:spPr>
        <a:solidFill>
          <a:schemeClr val="bg1"/>
        </a:solid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rgbClr val="FFF176"/>
    </a:solidFill>
    <a:ln w="9525" cap="flat" cmpd="sng" algn="ctr">
      <a:solidFill>
        <a:srgbClr val="FDFD8A"/>
      </a:solidFill>
      <a:round/>
    </a:ln>
    <a:effectLst/>
  </c:spPr>
  <c:txPr>
    <a:bodyPr/>
    <a:lstStyle/>
    <a:p>
      <a:pPr>
        <a:defRPr/>
      </a:pPr>
      <a:endParaRPr lang="ja-JP"/>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14752832645404"/>
          <c:y val="0.13386542947888116"/>
          <c:w val="0.67203646000417383"/>
          <c:h val="0.78393784897579377"/>
        </c:manualLayout>
      </c:layout>
      <c:radarChart>
        <c:radarStyle val="marker"/>
        <c:varyColors val="0"/>
        <c:ser>
          <c:idx val="0"/>
          <c:order val="0"/>
          <c:tx>
            <c:v>会社</c:v>
          </c:tx>
          <c:spPr>
            <a:ln w="28575" cap="rnd">
              <a:solidFill>
                <a:schemeClr val="accent2"/>
              </a:solidFill>
              <a:round/>
            </a:ln>
            <a:effectLst/>
          </c:spPr>
          <c:marker>
            <c:symbol val="none"/>
          </c:marker>
          <c:val>
            <c:numRef>
              <c:f>計算!$H$44:$H$47</c:f>
              <c:numCache>
                <c:formatCode>0.00%</c:formatCode>
                <c:ptCount val="4"/>
                <c:pt idx="0">
                  <c:v>0</c:v>
                </c:pt>
                <c:pt idx="1">
                  <c:v>0</c:v>
                </c:pt>
                <c:pt idx="2">
                  <c:v>0</c:v>
                </c:pt>
                <c:pt idx="3">
                  <c:v>0</c:v>
                </c:pt>
              </c:numCache>
            </c:numRef>
          </c:val>
          <c:extLst>
            <c:ext xmlns:c15="http://schemas.microsoft.com/office/drawing/2012/chart" uri="{02D57815-91ED-43cb-92C2-25804820EDAC}">
              <c15:filteredCategoryTitle>
                <c15:cat>
                  <c:strRef>
                    <c:extLst>
                      <c:ext uri="{02D57815-91ED-43cb-92C2-25804820EDAC}">
                        <c15:formulaRef>
                          <c15:sqref>計算!$B$44:$B$47</c15:sqref>
                        </c15:formulaRef>
                      </c:ext>
                    </c:extLst>
                    <c:strCache>
                      <c:ptCount val="4"/>
                      <c:pt idx="0">
                        <c:v>(正規)直近1年間の採用者数</c:v>
                      </c:pt>
                      <c:pt idx="1">
                        <c:v>(正規)平均勤続年数</c:v>
                      </c:pt>
                      <c:pt idx="2">
                        <c:v>管理職数</c:v>
                      </c:pt>
                      <c:pt idx="3">
                        <c:v>(正規)一月当たりの平均残業時間</c:v>
                      </c:pt>
                    </c:strCache>
                  </c:strRef>
                </c15:cat>
              </c15:filteredCategoryTitle>
            </c:ext>
            <c:ext xmlns:c16="http://schemas.microsoft.com/office/drawing/2014/chart" uri="{C3380CC4-5D6E-409C-BE32-E72D297353CC}">
              <c16:uniqueId val="{00000000-A4D8-D944-A7F5-6BA0EE2C5F63}"/>
            </c:ext>
          </c:extLst>
        </c:ser>
        <c:ser>
          <c:idx val="1"/>
          <c:order val="1"/>
          <c:tx>
            <c:v>賃金センサス</c:v>
          </c:tx>
          <c:spPr>
            <a:ln w="28575" cap="rnd">
              <a:solidFill>
                <a:schemeClr val="tx2">
                  <a:lumMod val="50000"/>
                  <a:lumOff val="50000"/>
                </a:schemeClr>
              </a:solidFill>
              <a:round/>
            </a:ln>
            <a:effectLst/>
          </c:spPr>
          <c:marker>
            <c:symbol val="none"/>
          </c:marker>
          <c:val>
            <c:numRef>
              <c:f>計算!$I$44:$I$47</c:f>
              <c:numCache>
                <c:formatCode>0.0%</c:formatCode>
                <c:ptCount val="4"/>
                <c:pt idx="0">
                  <c:v>0.8097466960352423</c:v>
                </c:pt>
                <c:pt idx="1">
                  <c:v>0.72992700729927007</c:v>
                </c:pt>
                <c:pt idx="2">
                  <c:v>0.14618585924982538</c:v>
                </c:pt>
                <c:pt idx="3">
                  <c:v>0.54225352112676062</c:v>
                </c:pt>
              </c:numCache>
            </c:numRef>
          </c:val>
          <c:extLst>
            <c:ext xmlns:c15="http://schemas.microsoft.com/office/drawing/2012/chart" uri="{02D57815-91ED-43cb-92C2-25804820EDAC}">
              <c15:filteredCategoryTitle>
                <c15:cat>
                  <c:strRef>
                    <c:extLst>
                      <c:ext uri="{02D57815-91ED-43cb-92C2-25804820EDAC}">
                        <c15:formulaRef>
                          <c15:sqref>計算!$B$44:$B$47</c15:sqref>
                        </c15:formulaRef>
                      </c:ext>
                    </c:extLst>
                    <c:strCache>
                      <c:ptCount val="4"/>
                      <c:pt idx="0">
                        <c:v>(正規)直近1年間の採用者数</c:v>
                      </c:pt>
                      <c:pt idx="1">
                        <c:v>(正規)平均勤続年数</c:v>
                      </c:pt>
                      <c:pt idx="2">
                        <c:v>管理職数</c:v>
                      </c:pt>
                      <c:pt idx="3">
                        <c:v>(正規)一月当たりの平均残業時間</c:v>
                      </c:pt>
                    </c:strCache>
                  </c:strRef>
                </c15:cat>
              </c15:filteredCategoryTitle>
            </c:ext>
            <c:ext xmlns:c16="http://schemas.microsoft.com/office/drawing/2014/chart" uri="{C3380CC4-5D6E-409C-BE32-E72D297353CC}">
              <c16:uniqueId val="{00000001-A4D8-D944-A7F5-6BA0EE2C5F63}"/>
            </c:ext>
          </c:extLst>
        </c:ser>
        <c:dLbls>
          <c:showLegendKey val="0"/>
          <c:showVal val="0"/>
          <c:showCatName val="0"/>
          <c:showSerName val="0"/>
          <c:showPercent val="0"/>
          <c:showBubbleSize val="0"/>
        </c:dLbls>
        <c:axId val="916493279"/>
        <c:axId val="916494991"/>
      </c:radarChart>
      <c:catAx>
        <c:axId val="916493279"/>
        <c:scaling>
          <c:orientation val="minMax"/>
        </c:scaling>
        <c:delete val="1"/>
        <c:axPos val="b"/>
        <c:numFmt formatCode="General" sourceLinked="1"/>
        <c:majorTickMark val="none"/>
        <c:minorTickMark val="none"/>
        <c:tickLblPos val="nextTo"/>
        <c:crossAx val="916494991"/>
        <c:crosses val="autoZero"/>
        <c:auto val="1"/>
        <c:lblAlgn val="ctr"/>
        <c:lblOffset val="100"/>
        <c:noMultiLvlLbl val="0"/>
      </c:catAx>
      <c:valAx>
        <c:axId val="916494991"/>
        <c:scaling>
          <c:orientation val="minMax"/>
        </c:scaling>
        <c:delete val="0"/>
        <c:axPos val="l"/>
        <c:majorGridlines>
          <c:spPr>
            <a:ln w="9525" cap="flat" cmpd="sng" algn="ctr">
              <a:solidFill>
                <a:schemeClr val="bg1">
                  <a:lumMod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16493279"/>
        <c:crosses val="autoZero"/>
        <c:crossBetween val="between"/>
        <c:minorUnit val="0.5"/>
      </c:valAx>
      <c:spPr>
        <a:solidFill>
          <a:schemeClr val="bg1"/>
        </a:solid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rgbClr val="FFF176"/>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14752832645404"/>
          <c:y val="0.13386542947888116"/>
          <c:w val="0.67203646000417383"/>
          <c:h val="0.78393784897579377"/>
        </c:manualLayout>
      </c:layout>
      <c:radarChart>
        <c:radarStyle val="marker"/>
        <c:varyColors val="0"/>
        <c:ser>
          <c:idx val="0"/>
          <c:order val="0"/>
          <c:tx>
            <c:v>貴社</c:v>
          </c:tx>
          <c:spPr>
            <a:ln w="28575" cap="rnd">
              <a:solidFill>
                <a:schemeClr val="accent2"/>
              </a:solidFill>
              <a:round/>
            </a:ln>
            <a:effectLst/>
          </c:spPr>
          <c:marker>
            <c:symbol val="none"/>
          </c:marker>
          <c:val>
            <c:numRef>
              <c:f>計算!$H$48:$H$50</c:f>
              <c:numCache>
                <c:formatCode>0.00%</c:formatCode>
                <c:ptCount val="3"/>
                <c:pt idx="0">
                  <c:v>0</c:v>
                </c:pt>
                <c:pt idx="1">
                  <c:v>0</c:v>
                </c:pt>
                <c:pt idx="2">
                  <c:v>0</c:v>
                </c:pt>
              </c:numCache>
            </c:numRef>
          </c:val>
          <c:extLst>
            <c:ext xmlns:c15="http://schemas.microsoft.com/office/drawing/2012/chart" uri="{02D57815-91ED-43cb-92C2-25804820EDAC}">
              <c15:filteredCategoryTitle>
                <c15:cat>
                  <c:strRef>
                    <c:extLst>
                      <c:ext uri="{02D57815-91ED-43cb-92C2-25804820EDAC}">
                        <c15:formulaRef>
                          <c15:sqref>計算!$B$44:$B$47</c15:sqref>
                        </c15:formulaRef>
                      </c:ext>
                    </c:extLst>
                    <c:strCache>
                      <c:ptCount val="4"/>
                      <c:pt idx="0">
                        <c:v>(正規)直近1年間の採用者数</c:v>
                      </c:pt>
                      <c:pt idx="1">
                        <c:v>(正規)平均勤続年数</c:v>
                      </c:pt>
                      <c:pt idx="2">
                        <c:v>管理職数</c:v>
                      </c:pt>
                      <c:pt idx="3">
                        <c:v>(正規)一月当たりの平均残業時間</c:v>
                      </c:pt>
                    </c:strCache>
                  </c:strRef>
                </c15:cat>
              </c15:filteredCategoryTitle>
            </c:ext>
            <c:ext xmlns:c16="http://schemas.microsoft.com/office/drawing/2014/chart" uri="{C3380CC4-5D6E-409C-BE32-E72D297353CC}">
              <c16:uniqueId val="{00000000-3848-C24A-BA1A-E34E9D3CB20C}"/>
            </c:ext>
          </c:extLst>
        </c:ser>
        <c:ser>
          <c:idx val="1"/>
          <c:order val="1"/>
          <c:tx>
            <c:v>賃金センサス</c:v>
          </c:tx>
          <c:spPr>
            <a:ln w="28575" cap="rnd">
              <a:solidFill>
                <a:schemeClr val="tx2">
                  <a:lumMod val="50000"/>
                  <a:lumOff val="50000"/>
                </a:schemeClr>
              </a:solidFill>
              <a:round/>
            </a:ln>
            <a:effectLst/>
          </c:spPr>
          <c:marker>
            <c:symbol val="none"/>
          </c:marker>
          <c:val>
            <c:numRef>
              <c:f>計算!$I$48:$I$50</c:f>
              <c:numCache>
                <c:formatCode>0.0%</c:formatCode>
                <c:ptCount val="3"/>
                <c:pt idx="0">
                  <c:v>1</c:v>
                </c:pt>
                <c:pt idx="1">
                  <c:v>0.8904109589041096</c:v>
                </c:pt>
                <c:pt idx="2">
                  <c:v>0.48148148148148145</c:v>
                </c:pt>
              </c:numCache>
            </c:numRef>
          </c:val>
          <c:extLst>
            <c:ext xmlns:c15="http://schemas.microsoft.com/office/drawing/2012/chart" uri="{02D57815-91ED-43cb-92C2-25804820EDAC}">
              <c15:filteredCategoryTitle>
                <c15:cat>
                  <c:strRef>
                    <c:extLst>
                      <c:ext uri="{02D57815-91ED-43cb-92C2-25804820EDAC}">
                        <c15:formulaRef>
                          <c15:sqref>計算!$B$44:$B$47</c15:sqref>
                        </c15:formulaRef>
                      </c:ext>
                    </c:extLst>
                    <c:strCache>
                      <c:ptCount val="4"/>
                      <c:pt idx="0">
                        <c:v>(正規)直近1年間の採用者数</c:v>
                      </c:pt>
                      <c:pt idx="1">
                        <c:v>(正規)平均勤続年数</c:v>
                      </c:pt>
                      <c:pt idx="2">
                        <c:v>管理職数</c:v>
                      </c:pt>
                      <c:pt idx="3">
                        <c:v>(正規)一月当たりの平均残業時間</c:v>
                      </c:pt>
                    </c:strCache>
                  </c:strRef>
                </c15:cat>
              </c15:filteredCategoryTitle>
            </c:ext>
            <c:ext xmlns:c16="http://schemas.microsoft.com/office/drawing/2014/chart" uri="{C3380CC4-5D6E-409C-BE32-E72D297353CC}">
              <c16:uniqueId val="{00000001-3848-C24A-BA1A-E34E9D3CB20C}"/>
            </c:ext>
          </c:extLst>
        </c:ser>
        <c:dLbls>
          <c:showLegendKey val="0"/>
          <c:showVal val="0"/>
          <c:showCatName val="0"/>
          <c:showSerName val="0"/>
          <c:showPercent val="0"/>
          <c:showBubbleSize val="0"/>
        </c:dLbls>
        <c:axId val="916493279"/>
        <c:axId val="916494991"/>
      </c:radarChart>
      <c:catAx>
        <c:axId val="916493279"/>
        <c:scaling>
          <c:orientation val="minMax"/>
        </c:scaling>
        <c:delete val="1"/>
        <c:axPos val="b"/>
        <c:numFmt formatCode="General" sourceLinked="1"/>
        <c:majorTickMark val="none"/>
        <c:minorTickMark val="none"/>
        <c:tickLblPos val="nextTo"/>
        <c:crossAx val="916494991"/>
        <c:crosses val="autoZero"/>
        <c:auto val="1"/>
        <c:lblAlgn val="ctr"/>
        <c:lblOffset val="100"/>
        <c:noMultiLvlLbl val="0"/>
      </c:catAx>
      <c:valAx>
        <c:axId val="916494991"/>
        <c:scaling>
          <c:orientation val="minMax"/>
        </c:scaling>
        <c:delete val="0"/>
        <c:axPos val="l"/>
        <c:majorGridlines>
          <c:spPr>
            <a:ln w="9525" cap="flat" cmpd="sng" algn="ctr">
              <a:solidFill>
                <a:schemeClr val="bg1">
                  <a:lumMod val="85000"/>
                </a:schemeClr>
              </a:solidFill>
              <a:round/>
            </a:ln>
            <a:effectLst/>
          </c:spPr>
        </c:majorGridlines>
        <c:numFmt formatCode="0%" sourceLinked="0"/>
        <c:majorTickMark val="none"/>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16493279"/>
        <c:crosses val="autoZero"/>
        <c:crossBetween val="between"/>
        <c:minorUnit val="0.5"/>
      </c:valAx>
      <c:spPr>
        <a:solidFill>
          <a:schemeClr val="bg1"/>
        </a:solid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6">
        <a:lumMod val="40000"/>
        <a:lumOff val="60000"/>
      </a:schemeClr>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&#65279;<?xml version="1.0" encoding="utf-8" standalone="yes"?>
<Relationships xmlns="http://schemas.openxmlformats.org/package/2006/relationships">
  <Relationship Id="rId1" Target="../charts/chart1.xml" Type="http://schemas.openxmlformats.org/officeDocument/2006/relationships/chart" />
  <Relationship Id="rId2" Target="../charts/chart2.xml" Type="http://schemas.openxmlformats.org/officeDocument/2006/relationships/chart" />
  <Relationship Id="rId3" Target="../charts/chart3.xml" Type="http://schemas.openxmlformats.org/officeDocument/2006/relationships/chart" />
  <Relationship Id="rId4" Target="../charts/chart4.xml" Type="http://schemas.openxmlformats.org/officeDocument/2006/relationships/chart" />
  <Relationship Id="rId5" Target="../charts/chart5.xml" Type="http://schemas.openxmlformats.org/officeDocument/2006/relationships/chart" />
  <Relationship Id="rId6" Target="#'%E7%A4%BE%E5%93%A1%E3%81%AE%E6%83%85%E5%A0%B1(%E7%B5%A6%E4%B8%8E%E4%BB%A5%E5%A4%96)'!A1" Type="http://schemas.openxmlformats.org/officeDocument/2006/relationships/hyperlink" />
  <Relationship Id="rId7" Target="#%E5%88%86%E6%9E%90%E7%B5%90%E6%9E%9C!A1" Type="http://schemas.openxmlformats.org/officeDocument/2006/relationships/hyperlink" />
  <Relationship Id="rId8" Target="../charts/chart6.xml" Type="http://schemas.openxmlformats.org/officeDocument/2006/relationships/chart" />
  <Relationship Id="rId9" Target="../charts/chart7.xml" Type="http://schemas.openxmlformats.org/officeDocument/2006/relationships/chart" />
</Relationships>
</file>

<file path=xl/drawings/drawing1.xml><?xml version="1.0" encoding="utf-8"?>
<xdr:wsDr xmlns:xdr="http://schemas.openxmlformats.org/drawingml/2006/spreadsheetDrawing" xmlns:a="http://schemas.openxmlformats.org/drawingml/2006/main">
  <xdr:twoCellAnchor editAs="absolute">
    <xdr:from>
      <xdr:col>38</xdr:col>
      <xdr:colOff>141651</xdr:colOff>
      <xdr:row>11</xdr:row>
      <xdr:rowOff>239915</xdr:rowOff>
    </xdr:from>
    <xdr:to>
      <xdr:col>58</xdr:col>
      <xdr:colOff>281390</xdr:colOff>
      <xdr:row>27</xdr:row>
      <xdr:rowOff>276072</xdr:rowOff>
    </xdr:to>
    <xdr:grpSp>
      <xdr:nvGrpSpPr>
        <xdr:cNvPr id="25" name="グループ化 24">
          <a:extLst>
            <a:ext uri="{FF2B5EF4-FFF2-40B4-BE49-F238E27FC236}">
              <a16:creationId xmlns:a16="http://schemas.microsoft.com/office/drawing/2014/main" id="{66C50A76-B91B-F367-7B29-86E7C915C737}"/>
            </a:ext>
          </a:extLst>
        </xdr:cNvPr>
        <xdr:cNvGrpSpPr/>
      </xdr:nvGrpSpPr>
      <xdr:grpSpPr>
        <a:xfrm>
          <a:off x="5620431" y="10968875"/>
          <a:ext cx="3020099" cy="3076537"/>
          <a:chOff x="5912845" y="10984858"/>
          <a:chExt cx="3109877" cy="3058958"/>
        </a:xfrm>
      </xdr:grpSpPr>
      <xdr:graphicFrame macro="">
        <xdr:nvGraphicFramePr>
          <xdr:cNvPr id="88" name="グラフ 87">
            <a:extLst>
              <a:ext uri="{FF2B5EF4-FFF2-40B4-BE49-F238E27FC236}">
                <a16:creationId xmlns:a16="http://schemas.microsoft.com/office/drawing/2014/main" id="{C2CE7D81-C168-2924-7ED6-737E1AAEB98F}"/>
              </a:ext>
            </a:extLst>
          </xdr:cNvPr>
          <xdr:cNvGraphicFramePr/>
        </xdr:nvGraphicFramePr>
        <xdr:xfrm>
          <a:off x="6196651" y="11256776"/>
          <a:ext cx="2697480" cy="2359800"/>
        </xdr:xfrm>
        <a:graphic>
          <a:graphicData uri="http://schemas.openxmlformats.org/drawingml/2006/chart">
            <c:chart xmlns:c="http://schemas.openxmlformats.org/drawingml/2006/chart" xmlns:r="http://schemas.openxmlformats.org/officeDocument/2006/relationships" r:id="rId1"/>
          </a:graphicData>
        </a:graphic>
      </xdr:graphicFrame>
      <xdr:grpSp>
        <xdr:nvGrpSpPr>
          <xdr:cNvPr id="87" name="グループ化 86">
            <a:extLst>
              <a:ext uri="{FF2B5EF4-FFF2-40B4-BE49-F238E27FC236}">
                <a16:creationId xmlns:a16="http://schemas.microsoft.com/office/drawing/2014/main" id="{4D383DD2-B35E-201B-FC71-3E5E717CFEAD}"/>
              </a:ext>
            </a:extLst>
          </xdr:cNvPr>
          <xdr:cNvGrpSpPr/>
        </xdr:nvGrpSpPr>
        <xdr:grpSpPr>
          <a:xfrm>
            <a:off x="5912845" y="10984858"/>
            <a:ext cx="3109877" cy="3058958"/>
            <a:chOff x="5959707" y="10590406"/>
            <a:chExt cx="3163458" cy="3081823"/>
          </a:xfrm>
        </xdr:grpSpPr>
        <xdr:sp macro="" textlink="">
          <xdr:nvSpPr>
            <xdr:cNvPr id="46" name="正方形/長方形 45">
              <a:extLst>
                <a:ext uri="{FF2B5EF4-FFF2-40B4-BE49-F238E27FC236}">
                  <a16:creationId xmlns:a16="http://schemas.microsoft.com/office/drawing/2014/main" id="{845675E9-434C-3B49-B448-BB2866E0FE36}"/>
                </a:ext>
              </a:extLst>
            </xdr:cNvPr>
            <xdr:cNvSpPr/>
          </xdr:nvSpPr>
          <xdr:spPr>
            <a:xfrm>
              <a:off x="7221240" y="10799359"/>
              <a:ext cx="932376" cy="32986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000" b="1" kern="1200">
                  <a:solidFill>
                    <a:schemeClr val="tx1"/>
                  </a:solidFill>
                  <a:latin typeface="+mj-ea"/>
                  <a:ea typeface="+mj-ea"/>
                </a:rPr>
                <a:t>0</a:t>
              </a:r>
              <a:r>
                <a:rPr kumimoji="1" lang="ja-JP" altLang="en-US" sz="1000" b="1" kern="1200">
                  <a:solidFill>
                    <a:schemeClr val="tx1"/>
                  </a:solidFill>
                  <a:latin typeface="+mj-ea"/>
                  <a:ea typeface="+mj-ea"/>
                </a:rPr>
                <a:t>年</a:t>
              </a:r>
            </a:p>
          </xdr:txBody>
        </xdr:sp>
        <xdr:sp macro="" textlink="">
          <xdr:nvSpPr>
            <xdr:cNvPr id="47" name="正方形/長方形 46">
              <a:extLst>
                <a:ext uri="{FF2B5EF4-FFF2-40B4-BE49-F238E27FC236}">
                  <a16:creationId xmlns:a16="http://schemas.microsoft.com/office/drawing/2014/main" id="{63BC90ED-B80B-864D-9B09-37F17A41D0B7}"/>
                </a:ext>
              </a:extLst>
            </xdr:cNvPr>
            <xdr:cNvSpPr/>
          </xdr:nvSpPr>
          <xdr:spPr>
            <a:xfrm rot="18761204">
              <a:off x="8041821" y="10960425"/>
              <a:ext cx="899144" cy="34205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000" b="1" kern="1200">
                  <a:solidFill>
                    <a:schemeClr val="tx1"/>
                  </a:solidFill>
                  <a:latin typeface="+mj-ea"/>
                  <a:ea typeface="+mj-ea"/>
                </a:rPr>
                <a:t>1-2</a:t>
              </a:r>
              <a:r>
                <a:rPr kumimoji="1" lang="ja-JP" altLang="en-US" sz="1000" b="1" kern="1200">
                  <a:solidFill>
                    <a:schemeClr val="tx1"/>
                  </a:solidFill>
                  <a:latin typeface="+mj-ea"/>
                  <a:ea typeface="+mj-ea"/>
                </a:rPr>
                <a:t>年</a:t>
              </a:r>
              <a:endParaRPr kumimoji="1" lang="en-US" altLang="ja-JP" sz="1000" b="1" kern="1200">
                <a:solidFill>
                  <a:schemeClr val="tx1"/>
                </a:solidFill>
                <a:latin typeface="+mj-ea"/>
                <a:ea typeface="+mj-ea"/>
              </a:endParaRPr>
            </a:p>
            <a:p>
              <a:pPr algn="ctr"/>
              <a:endParaRPr kumimoji="1" lang="ja-JP" altLang="en-US" sz="1000" b="1" kern="1200">
                <a:solidFill>
                  <a:schemeClr val="tx1"/>
                </a:solidFill>
                <a:latin typeface="+mj-ea"/>
                <a:ea typeface="+mj-ea"/>
              </a:endParaRPr>
            </a:p>
          </xdr:txBody>
        </xdr:sp>
        <xdr:sp macro="" textlink="">
          <xdr:nvSpPr>
            <xdr:cNvPr id="48" name="正方形/長方形 47">
              <a:extLst>
                <a:ext uri="{FF2B5EF4-FFF2-40B4-BE49-F238E27FC236}">
                  <a16:creationId xmlns:a16="http://schemas.microsoft.com/office/drawing/2014/main" id="{B9BF8443-B24C-A64D-B6EF-8B6B03FF5A0B}"/>
                </a:ext>
              </a:extLst>
            </xdr:cNvPr>
            <xdr:cNvSpPr/>
          </xdr:nvSpPr>
          <xdr:spPr>
            <a:xfrm>
              <a:off x="8585265" y="11755295"/>
              <a:ext cx="537900" cy="62014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000" b="1" kern="1200">
                  <a:solidFill>
                    <a:schemeClr val="tx1"/>
                  </a:solidFill>
                  <a:latin typeface="+mj-ea"/>
                  <a:ea typeface="+mj-ea"/>
                </a:rPr>
                <a:t>3-4</a:t>
              </a:r>
              <a:r>
                <a:rPr kumimoji="1" lang="ja-JP" altLang="en-US" sz="1000" b="1" kern="1200">
                  <a:solidFill>
                    <a:schemeClr val="tx1"/>
                  </a:solidFill>
                  <a:latin typeface="+mj-ea"/>
                  <a:ea typeface="+mj-ea"/>
                </a:rPr>
                <a:t>年</a:t>
              </a:r>
            </a:p>
          </xdr:txBody>
        </xdr:sp>
        <xdr:sp macro="" textlink="">
          <xdr:nvSpPr>
            <xdr:cNvPr id="49" name="正方形/長方形 48">
              <a:extLst>
                <a:ext uri="{FF2B5EF4-FFF2-40B4-BE49-F238E27FC236}">
                  <a16:creationId xmlns:a16="http://schemas.microsoft.com/office/drawing/2014/main" id="{BF119246-03EB-C14E-86DC-C82F4B0EF160}"/>
                </a:ext>
              </a:extLst>
            </xdr:cNvPr>
            <xdr:cNvSpPr/>
          </xdr:nvSpPr>
          <xdr:spPr>
            <a:xfrm rot="2243493">
              <a:off x="8228146" y="12571762"/>
              <a:ext cx="876340" cy="3795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000" b="1" kern="1200">
                  <a:solidFill>
                    <a:schemeClr val="tx1"/>
                  </a:solidFill>
                  <a:latin typeface="+mj-ea"/>
                  <a:ea typeface="+mj-ea"/>
                </a:rPr>
                <a:t>5-9</a:t>
              </a:r>
              <a:r>
                <a:rPr kumimoji="1" lang="ja-JP" altLang="en-US" sz="1000" b="1" kern="1200">
                  <a:solidFill>
                    <a:schemeClr val="tx1"/>
                  </a:solidFill>
                  <a:latin typeface="+mj-ea"/>
                  <a:ea typeface="+mj-ea"/>
                </a:rPr>
                <a:t>年</a:t>
              </a:r>
            </a:p>
          </xdr:txBody>
        </xdr:sp>
        <xdr:sp macro="" textlink="">
          <xdr:nvSpPr>
            <xdr:cNvPr id="50" name="正方形/長方形 49">
              <a:extLst>
                <a:ext uri="{FF2B5EF4-FFF2-40B4-BE49-F238E27FC236}">
                  <a16:creationId xmlns:a16="http://schemas.microsoft.com/office/drawing/2014/main" id="{CBE8A849-AAA7-DA49-8058-5D6354A33049}"/>
                </a:ext>
              </a:extLst>
            </xdr:cNvPr>
            <xdr:cNvSpPr/>
          </xdr:nvSpPr>
          <xdr:spPr>
            <a:xfrm rot="3217650">
              <a:off x="7653090" y="13038449"/>
              <a:ext cx="940568" cy="32699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900" b="1" kern="1200">
                  <a:solidFill>
                    <a:schemeClr val="tx1"/>
                  </a:solidFill>
                  <a:latin typeface="+mj-ea"/>
                  <a:ea typeface="+mj-ea"/>
                </a:rPr>
                <a:t>10-14</a:t>
              </a:r>
              <a:r>
                <a:rPr kumimoji="1" lang="ja-JP" altLang="en-US" sz="900" b="1" kern="1200">
                  <a:solidFill>
                    <a:schemeClr val="tx1"/>
                  </a:solidFill>
                  <a:latin typeface="+mj-ea"/>
                  <a:ea typeface="+mj-ea"/>
                </a:rPr>
                <a:t>年</a:t>
              </a:r>
            </a:p>
          </xdr:txBody>
        </xdr:sp>
        <xdr:sp macro="" textlink="">
          <xdr:nvSpPr>
            <xdr:cNvPr id="51" name="正方形/長方形 50">
              <a:extLst>
                <a:ext uri="{FF2B5EF4-FFF2-40B4-BE49-F238E27FC236}">
                  <a16:creationId xmlns:a16="http://schemas.microsoft.com/office/drawing/2014/main" id="{020308D4-70DF-6849-B8DF-709BA42855BE}"/>
                </a:ext>
              </a:extLst>
            </xdr:cNvPr>
            <xdr:cNvSpPr/>
          </xdr:nvSpPr>
          <xdr:spPr>
            <a:xfrm rot="19221533">
              <a:off x="6589241" y="12966869"/>
              <a:ext cx="1005448" cy="30589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900" b="1" kern="1200">
                  <a:solidFill>
                    <a:schemeClr val="tx1"/>
                  </a:solidFill>
                  <a:latin typeface="+mj-ea"/>
                  <a:ea typeface="+mj-ea"/>
                </a:rPr>
                <a:t>15-19</a:t>
              </a:r>
              <a:r>
                <a:rPr kumimoji="1" lang="ja-JP" altLang="en-US" sz="900" b="1" kern="1200">
                  <a:solidFill>
                    <a:schemeClr val="tx1"/>
                  </a:solidFill>
                  <a:latin typeface="+mj-ea"/>
                  <a:ea typeface="+mj-ea"/>
                </a:rPr>
                <a:t>年</a:t>
              </a:r>
            </a:p>
          </xdr:txBody>
        </xdr:sp>
        <xdr:sp macro="" textlink="">
          <xdr:nvSpPr>
            <xdr:cNvPr id="52" name="正方形/長方形 51">
              <a:extLst>
                <a:ext uri="{FF2B5EF4-FFF2-40B4-BE49-F238E27FC236}">
                  <a16:creationId xmlns:a16="http://schemas.microsoft.com/office/drawing/2014/main" id="{0F989D45-66C5-3A4D-BB71-3E8444CBA07E}"/>
                </a:ext>
              </a:extLst>
            </xdr:cNvPr>
            <xdr:cNvSpPr/>
          </xdr:nvSpPr>
          <xdr:spPr>
            <a:xfrm rot="20033707">
              <a:off x="6157306" y="12562029"/>
              <a:ext cx="745543" cy="41253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900" b="1" kern="1200">
                  <a:solidFill>
                    <a:schemeClr val="tx1"/>
                  </a:solidFill>
                  <a:latin typeface="+mj-ea"/>
                  <a:ea typeface="+mj-ea"/>
                </a:rPr>
                <a:t>20-24</a:t>
              </a:r>
              <a:r>
                <a:rPr kumimoji="1" lang="ja-JP" altLang="en-US" sz="900" b="1" kern="1200">
                  <a:solidFill>
                    <a:schemeClr val="tx1"/>
                  </a:solidFill>
                  <a:latin typeface="+mj-ea"/>
                  <a:ea typeface="+mj-ea"/>
                </a:rPr>
                <a:t>年</a:t>
              </a:r>
              <a:endParaRPr kumimoji="1" lang="en-US" altLang="ja-JP" sz="900" b="1" kern="1200">
                <a:solidFill>
                  <a:schemeClr val="tx1"/>
                </a:solidFill>
                <a:latin typeface="+mj-ea"/>
                <a:ea typeface="+mj-ea"/>
              </a:endParaRPr>
            </a:p>
          </xdr:txBody>
        </xdr:sp>
        <xdr:sp macro="" textlink="">
          <xdr:nvSpPr>
            <xdr:cNvPr id="53" name="正方形/長方形 52">
              <a:extLst>
                <a:ext uri="{FF2B5EF4-FFF2-40B4-BE49-F238E27FC236}">
                  <a16:creationId xmlns:a16="http://schemas.microsoft.com/office/drawing/2014/main" id="{1018F5D5-017A-084E-9E84-50DE1B64CE1A}"/>
                </a:ext>
              </a:extLst>
            </xdr:cNvPr>
            <xdr:cNvSpPr/>
          </xdr:nvSpPr>
          <xdr:spPr>
            <a:xfrm>
              <a:off x="5959707" y="11773557"/>
              <a:ext cx="777823" cy="12062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900" b="1" kern="1200">
                  <a:solidFill>
                    <a:schemeClr val="tx1"/>
                  </a:solidFill>
                  <a:latin typeface="+mj-ea"/>
                  <a:ea typeface="+mj-ea"/>
                </a:rPr>
                <a:t>25-29</a:t>
              </a:r>
              <a:r>
                <a:rPr kumimoji="1" lang="ja-JP" altLang="en-US" sz="900" b="1" kern="1200">
                  <a:solidFill>
                    <a:schemeClr val="tx1"/>
                  </a:solidFill>
                  <a:latin typeface="+mj-ea"/>
                  <a:ea typeface="+mj-ea"/>
                </a:rPr>
                <a:t>年</a:t>
              </a:r>
            </a:p>
          </xdr:txBody>
        </xdr:sp>
        <xdr:sp macro="" textlink="">
          <xdr:nvSpPr>
            <xdr:cNvPr id="54" name="正方形/長方形 53">
              <a:extLst>
                <a:ext uri="{FF2B5EF4-FFF2-40B4-BE49-F238E27FC236}">
                  <a16:creationId xmlns:a16="http://schemas.microsoft.com/office/drawing/2014/main" id="{A4901C36-9B24-E143-BBD0-1028531D9D50}"/>
                </a:ext>
              </a:extLst>
            </xdr:cNvPr>
            <xdr:cNvSpPr/>
          </xdr:nvSpPr>
          <xdr:spPr>
            <a:xfrm rot="2736387">
              <a:off x="6167875" y="10922524"/>
              <a:ext cx="1046879" cy="38264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900" b="1" kern="1200">
                  <a:solidFill>
                    <a:schemeClr val="tx1"/>
                  </a:solidFill>
                  <a:latin typeface="+mj-ea"/>
                  <a:ea typeface="+mj-ea"/>
                </a:rPr>
                <a:t>30</a:t>
              </a:r>
              <a:r>
                <a:rPr kumimoji="1" lang="ja-JP" altLang="en-US" sz="900" b="1" kern="1200">
                  <a:solidFill>
                    <a:schemeClr val="tx1"/>
                  </a:solidFill>
                  <a:latin typeface="+mj-ea"/>
                  <a:ea typeface="+mj-ea"/>
                </a:rPr>
                <a:t>年以上</a:t>
              </a:r>
            </a:p>
          </xdr:txBody>
        </xdr:sp>
      </xdr:grpSp>
    </xdr:grpSp>
    <xdr:clientData/>
  </xdr:twoCellAnchor>
  <xdr:twoCellAnchor editAs="absolute">
    <xdr:from>
      <xdr:col>21</xdr:col>
      <xdr:colOff>43232</xdr:colOff>
      <xdr:row>11</xdr:row>
      <xdr:rowOff>496368</xdr:rowOff>
    </xdr:from>
    <xdr:to>
      <xdr:col>39</xdr:col>
      <xdr:colOff>55932</xdr:colOff>
      <xdr:row>25</xdr:row>
      <xdr:rowOff>305021</xdr:rowOff>
    </xdr:to>
    <xdr:graphicFrame macro="">
      <xdr:nvGraphicFramePr>
        <xdr:cNvPr id="85" name="グラフ 84">
          <a:extLst>
            <a:ext uri="{FF2B5EF4-FFF2-40B4-BE49-F238E27FC236}">
              <a16:creationId xmlns:a16="http://schemas.microsoft.com/office/drawing/2014/main" id="{83E0CBC8-D011-91E5-C9E4-672528A5556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41768</xdr:colOff>
      <xdr:row>21</xdr:row>
      <xdr:rowOff>4486</xdr:rowOff>
    </xdr:from>
    <xdr:to>
      <xdr:col>25</xdr:col>
      <xdr:colOff>77329</xdr:colOff>
      <xdr:row>23</xdr:row>
      <xdr:rowOff>173033</xdr:rowOff>
    </xdr:to>
    <xdr:sp macro="" textlink="">
      <xdr:nvSpPr>
        <xdr:cNvPr id="37" name="正方形/長方形 36">
          <a:extLst>
            <a:ext uri="{FF2B5EF4-FFF2-40B4-BE49-F238E27FC236}">
              <a16:creationId xmlns:a16="http://schemas.microsoft.com/office/drawing/2014/main" id="{8DF7F74B-A5E1-FA9E-934B-60E3C178269B}"/>
            </a:ext>
          </a:extLst>
        </xdr:cNvPr>
        <xdr:cNvSpPr/>
      </xdr:nvSpPr>
      <xdr:spPr>
        <a:xfrm>
          <a:off x="2769728" y="12280306"/>
          <a:ext cx="904241" cy="39714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kern="1200">
              <a:solidFill>
                <a:schemeClr val="tx1"/>
              </a:solidFill>
            </a:rPr>
            <a:t>部長級</a:t>
          </a:r>
        </a:p>
      </xdr:txBody>
    </xdr:sp>
    <xdr:clientData/>
  </xdr:twoCellAnchor>
  <xdr:twoCellAnchor>
    <xdr:from>
      <xdr:col>35</xdr:col>
      <xdr:colOff>43775</xdr:colOff>
      <xdr:row>21</xdr:row>
      <xdr:rowOff>18856</xdr:rowOff>
    </xdr:from>
    <xdr:to>
      <xdr:col>41</xdr:col>
      <xdr:colOff>93380</xdr:colOff>
      <xdr:row>23</xdr:row>
      <xdr:rowOff>187403</xdr:rowOff>
    </xdr:to>
    <xdr:sp macro="" textlink="">
      <xdr:nvSpPr>
        <xdr:cNvPr id="38" name="正方形/長方形 37">
          <a:extLst>
            <a:ext uri="{FF2B5EF4-FFF2-40B4-BE49-F238E27FC236}">
              <a16:creationId xmlns:a16="http://schemas.microsoft.com/office/drawing/2014/main" id="{BF03913B-6DFE-7E43-B1FF-483EE84EA2EA}"/>
            </a:ext>
          </a:extLst>
        </xdr:cNvPr>
        <xdr:cNvSpPr/>
      </xdr:nvSpPr>
      <xdr:spPr>
        <a:xfrm>
          <a:off x="5088215" y="12294676"/>
          <a:ext cx="903045" cy="39714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kern="1200">
              <a:solidFill>
                <a:schemeClr val="tx1"/>
              </a:solidFill>
            </a:rPr>
            <a:t>係長級</a:t>
          </a:r>
        </a:p>
      </xdr:txBody>
    </xdr:sp>
    <xdr:clientData/>
  </xdr:twoCellAnchor>
  <xdr:twoCellAnchor>
    <xdr:from>
      <xdr:col>28</xdr:col>
      <xdr:colOff>36589</xdr:colOff>
      <xdr:row>11</xdr:row>
      <xdr:rowOff>427738</xdr:rowOff>
    </xdr:from>
    <xdr:to>
      <xdr:col>33</xdr:col>
      <xdr:colOff>3323</xdr:colOff>
      <xdr:row>15</xdr:row>
      <xdr:rowOff>67136</xdr:rowOff>
    </xdr:to>
    <xdr:sp macro="" textlink="">
      <xdr:nvSpPr>
        <xdr:cNvPr id="40" name="正方形/長方形 39">
          <a:extLst>
            <a:ext uri="{FF2B5EF4-FFF2-40B4-BE49-F238E27FC236}">
              <a16:creationId xmlns:a16="http://schemas.microsoft.com/office/drawing/2014/main" id="{5EFFCCCF-F38C-974C-BC27-FDCF9881DF49}"/>
            </a:ext>
          </a:extLst>
        </xdr:cNvPr>
        <xdr:cNvSpPr/>
      </xdr:nvSpPr>
      <xdr:spPr>
        <a:xfrm rot="5400000">
          <a:off x="4223617" y="11074310"/>
          <a:ext cx="492838" cy="677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kumimoji="1" lang="ja-JP" altLang="en-US" sz="1100" b="1" kern="1200">
              <a:solidFill>
                <a:schemeClr val="tx1"/>
              </a:solidFill>
            </a:rPr>
            <a:t>非役職</a:t>
          </a:r>
        </a:p>
      </xdr:txBody>
    </xdr:sp>
    <xdr:clientData/>
  </xdr:twoCellAnchor>
  <xdr:twoCellAnchor>
    <xdr:from>
      <xdr:col>28</xdr:col>
      <xdr:colOff>19509</xdr:colOff>
      <xdr:row>24</xdr:row>
      <xdr:rowOff>384267</xdr:rowOff>
    </xdr:from>
    <xdr:to>
      <xdr:col>33</xdr:col>
      <xdr:colOff>141416</xdr:colOff>
      <xdr:row>27</xdr:row>
      <xdr:rowOff>237983</xdr:rowOff>
    </xdr:to>
    <xdr:sp macro="" textlink="">
      <xdr:nvSpPr>
        <xdr:cNvPr id="39" name="正方形/長方形 38">
          <a:extLst>
            <a:ext uri="{FF2B5EF4-FFF2-40B4-BE49-F238E27FC236}">
              <a16:creationId xmlns:a16="http://schemas.microsoft.com/office/drawing/2014/main" id="{71EC31D3-FA94-314C-A13C-78DDADE57240}"/>
            </a:ext>
          </a:extLst>
        </xdr:cNvPr>
        <xdr:cNvSpPr/>
      </xdr:nvSpPr>
      <xdr:spPr>
        <a:xfrm rot="16200000">
          <a:off x="4248085" y="13153371"/>
          <a:ext cx="564916" cy="83310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ctr"/>
          <a:r>
            <a:rPr kumimoji="1" lang="ja-JP" altLang="en-US" sz="1100" b="1" kern="1200">
              <a:solidFill>
                <a:schemeClr val="tx1"/>
              </a:solidFill>
            </a:rPr>
            <a:t>課長級</a:t>
          </a:r>
        </a:p>
      </xdr:txBody>
    </xdr:sp>
    <xdr:clientData/>
  </xdr:twoCellAnchor>
  <xdr:twoCellAnchor>
    <xdr:from>
      <xdr:col>0</xdr:col>
      <xdr:colOff>194733</xdr:colOff>
      <xdr:row>2</xdr:row>
      <xdr:rowOff>1015999</xdr:rowOff>
    </xdr:from>
    <xdr:to>
      <xdr:col>15</xdr:col>
      <xdr:colOff>117554</xdr:colOff>
      <xdr:row>2</xdr:row>
      <xdr:rowOff>1638299</xdr:rowOff>
    </xdr:to>
    <xdr:sp macro="" textlink="">
      <xdr:nvSpPr>
        <xdr:cNvPr id="73" name="正方形/長方形 72">
          <a:extLst>
            <a:ext uri="{FF2B5EF4-FFF2-40B4-BE49-F238E27FC236}">
              <a16:creationId xmlns:a16="http://schemas.microsoft.com/office/drawing/2014/main" id="{D86CFEDD-B041-294F-A6D3-11295F4F91E4}"/>
            </a:ext>
          </a:extLst>
        </xdr:cNvPr>
        <xdr:cNvSpPr/>
      </xdr:nvSpPr>
      <xdr:spPr>
        <a:xfrm>
          <a:off x="194733" y="3291839"/>
          <a:ext cx="2239301" cy="62230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lIns="46800" tIns="0" rIns="46800" bIns="0" rtlCol="0" anchor="ctr"/>
        <a:lstStyle/>
        <a:p>
          <a:pPr algn="ctr"/>
          <a:r>
            <a:rPr kumimoji="1" lang="en-US" altLang="ja-JP" sz="1200" b="1" kern="1200"/>
            <a:t>①</a:t>
          </a:r>
          <a:r>
            <a:rPr kumimoji="1" lang="ja-JP" altLang="en-US" sz="1200" b="1" u="none" kern="1200">
              <a:solidFill>
                <a:schemeClr val="tx1"/>
              </a:solidFill>
            </a:rPr>
            <a:t>［</a:t>
          </a:r>
          <a:r>
            <a:rPr kumimoji="1" lang="ja-JP" altLang="en-US" sz="1200" b="1" u="none" kern="1200">
              <a:solidFill>
                <a:schemeClr val="accent1">
                  <a:lumMod val="60000"/>
                  <a:lumOff val="40000"/>
                </a:schemeClr>
              </a:solidFill>
            </a:rPr>
            <a:t>入力シート</a:t>
          </a:r>
          <a:r>
            <a:rPr kumimoji="1" lang="ja-JP" altLang="en-US" sz="1200" b="1" u="none" kern="1200">
              <a:solidFill>
                <a:schemeClr val="tx1"/>
              </a:solidFill>
            </a:rPr>
            <a:t>］</a:t>
          </a:r>
        </a:p>
      </xdr:txBody>
    </xdr:sp>
    <xdr:clientData/>
  </xdr:twoCellAnchor>
  <xdr:twoCellAnchor>
    <xdr:from>
      <xdr:col>17</xdr:col>
      <xdr:colOff>101600</xdr:colOff>
      <xdr:row>2</xdr:row>
      <xdr:rowOff>190499</xdr:rowOff>
    </xdr:from>
    <xdr:to>
      <xdr:col>58</xdr:col>
      <xdr:colOff>203200</xdr:colOff>
      <xdr:row>2</xdr:row>
      <xdr:rowOff>2476499</xdr:rowOff>
    </xdr:to>
    <xdr:sp macro="" textlink="">
      <xdr:nvSpPr>
        <xdr:cNvPr id="74" name="正方形/長方形 73">
          <a:extLst>
            <a:ext uri="{FF2B5EF4-FFF2-40B4-BE49-F238E27FC236}">
              <a16:creationId xmlns:a16="http://schemas.microsoft.com/office/drawing/2014/main" id="{75FB4F15-30C0-BB44-B572-FF90695EFABF}"/>
            </a:ext>
          </a:extLst>
        </xdr:cNvPr>
        <xdr:cNvSpPr/>
      </xdr:nvSpPr>
      <xdr:spPr>
        <a:xfrm>
          <a:off x="2641600" y="2466339"/>
          <a:ext cx="5902960" cy="2286000"/>
        </a:xfrm>
        <a:prstGeom prst="rect">
          <a:avLst/>
        </a:prstGeom>
        <a:ln>
          <a:solidFill>
            <a:schemeClr val="tx1"/>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kern="1200">
              <a:latin typeface="+mn-ea"/>
              <a:ea typeface="+mn-ea"/>
            </a:rPr>
            <a:t>　本ツールの使用用途を選択することから始めます。</a:t>
          </a:r>
          <a:r>
            <a:rPr kumimoji="1" lang="ja-JP" altLang="en-US" sz="1100">
              <a:latin typeface="+mn-ea"/>
              <a:ea typeface="+mn-ea"/>
            </a:rPr>
            <a:t>必要な手順を進めることで、貴社数値と参考値を照合し、</a:t>
          </a:r>
          <a:r>
            <a:rPr kumimoji="1" lang="ja-JP" altLang="en-US" sz="1100" dirty="0">
              <a:solidFill>
                <a:schemeClr val="tx1"/>
              </a:solidFill>
              <a:latin typeface="+mn-ea"/>
              <a:ea typeface="+mn-ea"/>
            </a:rPr>
            <a:t>貴社の男女間賃金差異の状況やアドバイス等が表示されます。</a:t>
          </a:r>
          <a:endParaRPr kumimoji="1" lang="en-US" altLang="ja-JP" sz="1100" dirty="0">
            <a:solidFill>
              <a:schemeClr val="tx1"/>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sng" kern="1200">
              <a:latin typeface="+mn-ea"/>
              <a:ea typeface="+mn-ea"/>
            </a:rPr>
            <a:t>自社と同業他社の平均値（参考値）を比較したい場合</a:t>
          </a:r>
          <a:r>
            <a:rPr kumimoji="1" lang="ja-JP" altLang="en-US" sz="1100" b="0" u="none" kern="1200">
              <a:latin typeface="+mn-ea"/>
              <a:ea typeface="+mn-ea"/>
            </a:rPr>
            <a:t>：シート内</a:t>
          </a:r>
          <a:r>
            <a:rPr kumimoji="1" lang="ja-JP" altLang="en-US" sz="1100" kern="1200">
              <a:latin typeface="+mn-ea"/>
              <a:ea typeface="+mn-ea"/>
            </a:rPr>
            <a:t>（１）</a:t>
          </a:r>
          <a:r>
            <a:rPr kumimoji="1" lang="en-US" altLang="ja-JP" sz="1100" kern="1200">
              <a:latin typeface="+mn-ea"/>
              <a:ea typeface="+mn-ea"/>
            </a:rPr>
            <a:t>〜</a:t>
          </a:r>
          <a:r>
            <a:rPr kumimoji="1" lang="ja-JP" altLang="en-US" sz="1100" kern="1200">
              <a:latin typeface="+mn-ea"/>
              <a:ea typeface="+mn-ea"/>
            </a:rPr>
            <a:t>（４）の入力・選択</a:t>
          </a:r>
          <a:endParaRPr kumimoji="1" lang="en-US" altLang="ja-JP" sz="1100" kern="1200">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50" b="1" u="none" kern="1200">
              <a:solidFill>
                <a:srgbClr val="C00000"/>
              </a:solidFill>
              <a:latin typeface="+mn-ea"/>
              <a:ea typeface="+mn-ea"/>
            </a:rPr>
            <a:t>『</a:t>
          </a:r>
          <a:r>
            <a:rPr kumimoji="1" lang="ja-JP" altLang="en-US" sz="1050" b="1" u="none" kern="1200">
              <a:solidFill>
                <a:srgbClr val="C00000"/>
              </a:solidFill>
              <a:latin typeface="+mn-ea"/>
              <a:ea typeface="+mn-ea"/>
            </a:rPr>
            <a:t>ツールを使用して計算する場合</a:t>
          </a:r>
          <a:r>
            <a:rPr kumimoji="1" lang="en-US" altLang="ja-JP" sz="1050" b="1" u="none" kern="1200">
              <a:solidFill>
                <a:srgbClr val="C00000"/>
              </a:solidFill>
              <a:latin typeface="+mn-ea"/>
              <a:ea typeface="+mn-ea"/>
            </a:rPr>
            <a:t>』</a:t>
          </a:r>
          <a:r>
            <a:rPr kumimoji="1" lang="ja-JP" altLang="en-US" sz="1050" u="none" kern="1200">
              <a:solidFill>
                <a:schemeClr val="dk1"/>
              </a:solidFill>
              <a:latin typeface="+mn-ea"/>
              <a:ea typeface="+mn-ea"/>
            </a:rPr>
            <a:t>：</a:t>
          </a:r>
          <a:r>
            <a:rPr kumimoji="1" lang="ja-JP" altLang="en-US" sz="1050" kern="1200">
              <a:latin typeface="+mn-ea"/>
              <a:ea typeface="+mn-ea"/>
            </a:rPr>
            <a:t>（４）において、</a:t>
          </a:r>
          <a:r>
            <a:rPr lang="ja-JP" altLang="en-US" sz="1050">
              <a:solidFill>
                <a:schemeClr val="dk1"/>
              </a:solidFill>
              <a:effectLst/>
              <a:latin typeface="+mn-ea"/>
              <a:ea typeface="+mn-ea"/>
              <a:cs typeface="+mn-cs"/>
            </a:rPr>
            <a:t>貴社の雇用形態等を入力・選択します。</a:t>
          </a:r>
          <a:endParaRPr lang="en-US" altLang="ja-JP" sz="1050">
            <a:solidFill>
              <a:schemeClr val="dk1"/>
            </a:solidFill>
            <a:effectLst/>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50" b="1" u="none" kern="1200">
              <a:solidFill>
                <a:srgbClr val="C00000"/>
              </a:solidFill>
              <a:latin typeface="+mn-ea"/>
              <a:ea typeface="+mn-ea"/>
            </a:rPr>
            <a:t>『</a:t>
          </a:r>
          <a:r>
            <a:rPr kumimoji="1" lang="ja-JP" altLang="en-US" sz="1050" b="1" u="none">
              <a:solidFill>
                <a:srgbClr val="C00000"/>
              </a:solidFill>
              <a:latin typeface="+mn-ea"/>
              <a:ea typeface="+mn-ea"/>
            </a:rPr>
            <a:t>自社で計算したデータを手入力する場合</a:t>
          </a:r>
          <a:r>
            <a:rPr kumimoji="1" lang="en-US" altLang="ja-JP" sz="1050" b="1" u="none" kern="1200">
              <a:solidFill>
                <a:srgbClr val="C00000"/>
              </a:solidFill>
              <a:latin typeface="+mn-ea"/>
              <a:ea typeface="+mn-ea"/>
            </a:rPr>
            <a:t>』</a:t>
          </a:r>
          <a:r>
            <a:rPr kumimoji="1" lang="ja-JP" altLang="en-US" sz="1050" b="0" u="none">
              <a:solidFill>
                <a:schemeClr val="tx1"/>
              </a:solidFill>
              <a:latin typeface="+mn-ea"/>
              <a:ea typeface="+mn-ea"/>
            </a:rPr>
            <a:t>：</a:t>
          </a:r>
          <a:r>
            <a:rPr kumimoji="1" lang="en-US" altLang="ja-JP" sz="1050" b="0" u="none">
              <a:solidFill>
                <a:schemeClr val="tx1"/>
              </a:solidFill>
              <a:latin typeface="+mn-ea"/>
              <a:ea typeface="+mn-ea"/>
            </a:rPr>
            <a:t>【</a:t>
          </a:r>
          <a:r>
            <a:rPr kumimoji="1" lang="ja-JP" altLang="en-US" sz="1050" b="0" u="none">
              <a:solidFill>
                <a:schemeClr val="tx1"/>
              </a:solidFill>
              <a:latin typeface="+mn-ea"/>
              <a:ea typeface="+mn-ea"/>
            </a:rPr>
            <a:t>事前準備</a:t>
          </a:r>
          <a:r>
            <a:rPr kumimoji="1" lang="en-US" altLang="ja-JP" sz="1050" b="0" u="none">
              <a:solidFill>
                <a:schemeClr val="tx1"/>
              </a:solidFill>
              <a:latin typeface="+mn-ea"/>
              <a:ea typeface="+mn-ea"/>
            </a:rPr>
            <a:t>】</a:t>
          </a:r>
          <a:r>
            <a:rPr kumimoji="1" lang="ja-JP" altLang="en-US" sz="1050" b="0" u="none">
              <a:solidFill>
                <a:schemeClr val="tx1"/>
              </a:solidFill>
              <a:latin typeface="+mn-ea"/>
              <a:ea typeface="+mn-ea"/>
            </a:rPr>
            <a:t>として、</a:t>
          </a:r>
          <a:r>
            <a:rPr kumimoji="1" lang="ja-JP" altLang="en-US" sz="1050" b="1" u="none" kern="1200">
              <a:solidFill>
                <a:sysClr val="windowText" lastClr="000000"/>
              </a:solidFill>
              <a:latin typeface="+mn-ea"/>
              <a:ea typeface="+mn-ea"/>
            </a:rPr>
            <a:t>直近１事業年度の賃金・人事データを基に数値の算出</a:t>
          </a:r>
          <a:r>
            <a:rPr kumimoji="1" lang="ja-JP" altLang="en-US" sz="1050" b="0" u="none" kern="1200">
              <a:solidFill>
                <a:sysClr val="windowText" lastClr="000000"/>
              </a:solidFill>
              <a:latin typeface="+mn-ea"/>
              <a:ea typeface="+mn-ea"/>
            </a:rPr>
            <a:t>をする必要があります。</a:t>
          </a:r>
          <a:endParaRPr kumimoji="1" lang="en-US" altLang="ja-JP" sz="1050" b="0" u="none" kern="1200">
            <a:solidFill>
              <a:sysClr val="windowText" lastClr="000000"/>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sng" kern="1200">
              <a:latin typeface="+mn-ea"/>
              <a:ea typeface="+mn-ea"/>
            </a:rPr>
            <a:t>同業他社の平均値（参考値）を確認したい場合</a:t>
          </a:r>
          <a:r>
            <a:rPr kumimoji="1" lang="ja-JP" altLang="en-US" sz="1050" u="none" kern="1200">
              <a:latin typeface="+mn-ea"/>
              <a:ea typeface="+mn-ea"/>
            </a:rPr>
            <a:t>：</a:t>
          </a:r>
          <a:r>
            <a:rPr kumimoji="1" lang="ja-JP" altLang="en-US" sz="1050" b="0" u="none" kern="1200">
              <a:latin typeface="+mn-ea"/>
              <a:ea typeface="+mn-ea"/>
            </a:rPr>
            <a:t>シート内</a:t>
          </a:r>
          <a:r>
            <a:rPr kumimoji="1" lang="ja-JP" altLang="en-US" sz="1050" u="none" kern="1200">
              <a:latin typeface="+mn-ea"/>
              <a:ea typeface="+mn-ea"/>
            </a:rPr>
            <a:t>（</a:t>
          </a:r>
          <a:r>
            <a:rPr kumimoji="1" lang="ja-JP" altLang="en-US" sz="1050" kern="1200">
              <a:latin typeface="+mn-ea"/>
              <a:ea typeface="+mn-ea"/>
            </a:rPr>
            <a:t>１）（２）の選択</a:t>
          </a:r>
          <a:endParaRPr kumimoji="1" lang="en-US" altLang="ja-JP" sz="1050" kern="1200">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kern="1200">
              <a:latin typeface="+mn-ea"/>
              <a:ea typeface="+mn-ea"/>
            </a:rPr>
            <a:t>その後、利用手順「</a:t>
          </a:r>
          <a:r>
            <a:rPr kumimoji="1" lang="en-US" altLang="ja-JP" sz="1050" kern="1200">
              <a:latin typeface="+mn-ea"/>
              <a:ea typeface="+mn-ea"/>
            </a:rPr>
            <a:t>③</a:t>
          </a:r>
          <a:r>
            <a:rPr kumimoji="1" lang="ja-JP" altLang="en-US" sz="1050" kern="1200">
              <a:latin typeface="+mn-ea"/>
              <a:ea typeface="+mn-ea"/>
            </a:rPr>
            <a:t>シート［分析結果］」へ移動して、参考値を確認してください。</a:t>
          </a:r>
          <a:endParaRPr kumimoji="1" lang="en-US" altLang="ja-JP" sz="1050" kern="1200">
            <a:latin typeface="+mn-ea"/>
            <a:ea typeface="+mn-ea"/>
          </a:endParaRPr>
        </a:p>
      </xdr:txBody>
    </xdr:sp>
    <xdr:clientData/>
  </xdr:twoCellAnchor>
  <xdr:twoCellAnchor>
    <xdr:from>
      <xdr:col>16</xdr:col>
      <xdr:colOff>25400</xdr:colOff>
      <xdr:row>2</xdr:row>
      <xdr:rowOff>1181099</xdr:rowOff>
    </xdr:from>
    <xdr:to>
      <xdr:col>17</xdr:col>
      <xdr:colOff>109539</xdr:colOff>
      <xdr:row>2</xdr:row>
      <xdr:rowOff>1481137</xdr:rowOff>
    </xdr:to>
    <xdr:sp macro="" textlink="">
      <xdr:nvSpPr>
        <xdr:cNvPr id="75" name="二等辺三角形 12">
          <a:extLst>
            <a:ext uri="{FF2B5EF4-FFF2-40B4-BE49-F238E27FC236}">
              <a16:creationId xmlns:a16="http://schemas.microsoft.com/office/drawing/2014/main" id="{F40B58B6-9189-5340-B4C1-65DBA1C2FDD1}"/>
            </a:ext>
          </a:extLst>
        </xdr:cNvPr>
        <xdr:cNvSpPr/>
      </xdr:nvSpPr>
      <xdr:spPr>
        <a:xfrm rot="16200000">
          <a:off x="2416811" y="3524248"/>
          <a:ext cx="300038" cy="165419"/>
        </a:xfrm>
        <a:prstGeom prst="triangle">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177800</xdr:colOff>
      <xdr:row>2</xdr:row>
      <xdr:rowOff>2622486</xdr:rowOff>
    </xdr:from>
    <xdr:to>
      <xdr:col>15</xdr:col>
      <xdr:colOff>63500</xdr:colOff>
      <xdr:row>2</xdr:row>
      <xdr:rowOff>3721099</xdr:rowOff>
    </xdr:to>
    <xdr:sp macro="" textlink="">
      <xdr:nvSpPr>
        <xdr:cNvPr id="76" name="正方形/長方形 75">
          <a:extLst>
            <a:ext uri="{FF2B5EF4-FFF2-40B4-BE49-F238E27FC236}">
              <a16:creationId xmlns:a16="http://schemas.microsoft.com/office/drawing/2014/main" id="{E9F5D83C-F5B8-5B40-A292-B0C0A60366E8}"/>
            </a:ext>
          </a:extLst>
        </xdr:cNvPr>
        <xdr:cNvSpPr/>
      </xdr:nvSpPr>
      <xdr:spPr>
        <a:xfrm>
          <a:off x="177800" y="4898326"/>
          <a:ext cx="2202180" cy="1098613"/>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lIns="46800" tIns="0" rIns="46800" bIns="0"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kumimoji="1" lang="en-US" altLang="ja-JP" sz="1200" b="1" kern="1200"/>
            <a:t>②</a:t>
          </a:r>
          <a:r>
            <a:rPr kumimoji="1" lang="ja-JP" altLang="en-US" sz="1200" b="1" kern="1200"/>
            <a:t>シート</a:t>
          </a:r>
          <a:endParaRPr kumimoji="1" lang="en-US" altLang="ja-JP" sz="1200" b="1" kern="1200"/>
        </a:p>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en-US" sz="1200" b="1" u="none" kern="1200">
              <a:solidFill>
                <a:sysClr val="windowText" lastClr="000000"/>
              </a:solidFill>
            </a:rPr>
            <a:t>［</a:t>
          </a:r>
          <a:r>
            <a:rPr kumimoji="1" lang="ja-JP" altLang="en-US" sz="1200" b="1" u="none" kern="1200">
              <a:solidFill>
                <a:schemeClr val="accent1">
                  <a:lumMod val="60000"/>
                  <a:lumOff val="40000"/>
                </a:schemeClr>
              </a:solidFill>
            </a:rPr>
            <a:t>従業員情報</a:t>
          </a:r>
          <a:r>
            <a:rPr kumimoji="1" lang="en-US" altLang="ja-JP" sz="1200" b="1" u="none" kern="1200">
              <a:solidFill>
                <a:schemeClr val="accent1">
                  <a:lumMod val="60000"/>
                  <a:lumOff val="40000"/>
                </a:schemeClr>
              </a:solidFill>
            </a:rPr>
            <a:t>(</a:t>
          </a:r>
          <a:r>
            <a:rPr kumimoji="1" lang="ja-JP" altLang="en-US" sz="1200" b="1" u="none" kern="1200">
              <a:solidFill>
                <a:schemeClr val="accent1">
                  <a:lumMod val="60000"/>
                  <a:lumOff val="40000"/>
                </a:schemeClr>
              </a:solidFill>
            </a:rPr>
            <a:t>給与以外</a:t>
          </a:r>
          <a:r>
            <a:rPr kumimoji="1" lang="en-US" altLang="ja-JP" sz="1200" b="1" u="none" kern="1200">
              <a:solidFill>
                <a:schemeClr val="accent1">
                  <a:lumMod val="60000"/>
                  <a:lumOff val="40000"/>
                </a:schemeClr>
              </a:solidFill>
            </a:rPr>
            <a:t>) </a:t>
          </a:r>
          <a:r>
            <a:rPr kumimoji="1" lang="ja-JP" altLang="en-US" sz="1200" b="1" u="none" kern="1200">
              <a:solidFill>
                <a:schemeClr val="tx1"/>
              </a:solidFill>
            </a:rPr>
            <a:t>］</a:t>
          </a:r>
          <a:endParaRPr kumimoji="1" lang="en-US" altLang="ja-JP" sz="1200" b="1" u="none" kern="1200">
            <a:solidFill>
              <a:schemeClr val="tx1"/>
            </a:solidFill>
          </a:endParaRPr>
        </a:p>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en-US" sz="1200" b="1" u="none" kern="1200">
              <a:solidFill>
                <a:sysClr val="windowText" lastClr="000000"/>
              </a:solidFill>
            </a:rPr>
            <a:t>［</a:t>
          </a:r>
          <a:r>
            <a:rPr kumimoji="1" lang="ja-JP" altLang="en-US" sz="1200" b="1" u="none" kern="1200">
              <a:solidFill>
                <a:schemeClr val="accent1">
                  <a:lumMod val="60000"/>
                  <a:lumOff val="40000"/>
                </a:schemeClr>
              </a:solidFill>
            </a:rPr>
            <a:t>従業員の給与情報</a:t>
          </a:r>
          <a:r>
            <a:rPr kumimoji="1" lang="ja-JP" altLang="en-US" sz="1200" b="1" u="none" kern="1200">
              <a:solidFill>
                <a:schemeClr val="tx1"/>
              </a:solidFill>
            </a:rPr>
            <a:t>］</a:t>
          </a:r>
          <a:endParaRPr kumimoji="1" lang="en-US" altLang="ja-JP" sz="1200" b="1" u="none" kern="1200">
            <a:solidFill>
              <a:schemeClr val="tx1"/>
            </a:solidFill>
          </a:endParaRPr>
        </a:p>
      </xdr:txBody>
    </xdr:sp>
    <xdr:clientData/>
  </xdr:twoCellAnchor>
  <xdr:twoCellAnchor>
    <xdr:from>
      <xdr:col>17</xdr:col>
      <xdr:colOff>114300</xdr:colOff>
      <xdr:row>2</xdr:row>
      <xdr:rowOff>2624453</xdr:rowOff>
    </xdr:from>
    <xdr:to>
      <xdr:col>58</xdr:col>
      <xdr:colOff>177800</xdr:colOff>
      <xdr:row>2</xdr:row>
      <xdr:rowOff>3721099</xdr:rowOff>
    </xdr:to>
    <xdr:sp macro="" textlink="">
      <xdr:nvSpPr>
        <xdr:cNvPr id="77" name="正方形/長方形 76">
          <a:extLst>
            <a:ext uri="{FF2B5EF4-FFF2-40B4-BE49-F238E27FC236}">
              <a16:creationId xmlns:a16="http://schemas.microsoft.com/office/drawing/2014/main" id="{A2C5A6ED-F409-894B-A8E1-A6659B6FC8E6}"/>
            </a:ext>
          </a:extLst>
        </xdr:cNvPr>
        <xdr:cNvSpPr/>
      </xdr:nvSpPr>
      <xdr:spPr>
        <a:xfrm>
          <a:off x="2654300" y="4900293"/>
          <a:ext cx="5864860" cy="1096646"/>
        </a:xfrm>
        <a:prstGeom prst="rect">
          <a:avLst/>
        </a:prstGeom>
        <a:ln>
          <a:solidFill>
            <a:schemeClr val="tx1"/>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latin typeface="+mn-ea"/>
              <a:ea typeface="+mn-ea"/>
            </a:rPr>
            <a:t>　シート［入力シート］の「（３）貴社の</a:t>
          </a:r>
          <a:r>
            <a:rPr kumimoji="1" lang="en-US" altLang="ja-JP" sz="1100" dirty="0">
              <a:latin typeface="+mn-ea"/>
              <a:ea typeface="+mn-ea"/>
            </a:rPr>
            <a:t>『</a:t>
          </a:r>
          <a:r>
            <a:rPr kumimoji="1" lang="ja-JP" altLang="en-US" sz="1100">
              <a:latin typeface="+mn-ea"/>
              <a:ea typeface="+mn-ea"/>
            </a:rPr>
            <a:t>男女間賃金差異</a:t>
          </a:r>
          <a:r>
            <a:rPr kumimoji="1" lang="en-US" altLang="ja-JP" sz="1100" dirty="0">
              <a:latin typeface="+mn-ea"/>
              <a:ea typeface="+mn-ea"/>
            </a:rPr>
            <a:t>』</a:t>
          </a:r>
          <a:r>
            <a:rPr kumimoji="1" lang="ja-JP" altLang="en-US" sz="1100">
              <a:latin typeface="+mn-ea"/>
              <a:ea typeface="+mn-ea"/>
            </a:rPr>
            <a:t>の入力方法の選択」で、</a:t>
          </a:r>
          <a:r>
            <a:rPr kumimoji="1" lang="en-US" altLang="ja-JP" sz="1100" b="1" u="none" kern="0">
              <a:solidFill>
                <a:srgbClr val="C00000"/>
              </a:solidFill>
              <a:latin typeface="+mn-ea"/>
              <a:ea typeface="+mn-ea"/>
            </a:rPr>
            <a:t>『</a:t>
          </a:r>
          <a:r>
            <a:rPr kumimoji="1" lang="ja-JP" altLang="en-US" sz="1100" b="1" u="none">
              <a:solidFill>
                <a:srgbClr val="C00000"/>
              </a:solidFill>
              <a:latin typeface="+mn-ea"/>
              <a:ea typeface="+mn-ea"/>
            </a:rPr>
            <a:t>ツールを利用して計算する</a:t>
          </a:r>
          <a:r>
            <a:rPr kumimoji="1" lang="en-US" altLang="ja-JP" sz="1100" b="1" u="none">
              <a:solidFill>
                <a:srgbClr val="C00000"/>
              </a:solidFill>
              <a:latin typeface="+mn-ea"/>
              <a:ea typeface="+mn-ea"/>
            </a:rPr>
            <a:t>』</a:t>
          </a:r>
          <a:r>
            <a:rPr kumimoji="1" lang="ja-JP" altLang="en-US" sz="1100" b="1">
              <a:solidFill>
                <a:srgbClr val="C00000"/>
              </a:solidFill>
              <a:latin typeface="+mn-ea"/>
              <a:ea typeface="+mn-ea"/>
            </a:rPr>
            <a:t>を選択した場合のみ</a:t>
          </a:r>
          <a:r>
            <a:rPr kumimoji="1" lang="ja-JP" altLang="en-US" sz="1100">
              <a:latin typeface="+mn-ea"/>
              <a:ea typeface="+mn-ea"/>
            </a:rPr>
            <a:t>使用します。</a:t>
          </a:r>
          <a:endParaRPr kumimoji="1" lang="en-US" altLang="ja-JP" sz="1100">
            <a:latin typeface="+mn-ea"/>
            <a:ea typeface="+mn-ea"/>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b="0" u="none">
              <a:solidFill>
                <a:schemeClr val="tx1"/>
              </a:solidFill>
              <a:latin typeface="+mn-ea"/>
              <a:ea typeface="+mn-ea"/>
            </a:rPr>
            <a:t>【</a:t>
          </a:r>
          <a:r>
            <a:rPr kumimoji="1" lang="ja-JP" altLang="en-US" sz="1100" b="0" u="none">
              <a:solidFill>
                <a:schemeClr val="tx1"/>
              </a:solidFill>
              <a:latin typeface="+mn-ea"/>
              <a:ea typeface="+mn-ea"/>
            </a:rPr>
            <a:t>事前準備</a:t>
          </a:r>
          <a:r>
            <a:rPr kumimoji="1" lang="en-US" altLang="ja-JP" sz="1100" b="0" u="none">
              <a:solidFill>
                <a:schemeClr val="tx1"/>
              </a:solidFill>
              <a:latin typeface="+mn-ea"/>
              <a:ea typeface="+mn-ea"/>
            </a:rPr>
            <a:t>】</a:t>
          </a:r>
          <a:r>
            <a:rPr kumimoji="1" lang="ja-JP" altLang="en-US" sz="1100" b="0" u="none">
              <a:solidFill>
                <a:schemeClr val="tx1"/>
              </a:solidFill>
              <a:latin typeface="+mn-ea"/>
              <a:ea typeface="+mn-ea"/>
            </a:rPr>
            <a:t>として、</a:t>
          </a:r>
          <a:r>
            <a:rPr kumimoji="1" lang="ja-JP" altLang="en-US" sz="1100" b="1">
              <a:solidFill>
                <a:schemeClr val="tx1"/>
              </a:solidFill>
              <a:latin typeface="+mn-ea"/>
              <a:ea typeface="+mn-ea"/>
            </a:rPr>
            <a:t>自社の役職名および雇用形態名称（パート、嘱託等）の洗い出しや直近１事業年度の自社の賃金・人事データ</a:t>
          </a:r>
          <a:r>
            <a:rPr kumimoji="1" lang="ja-JP" altLang="en-US" sz="1100">
              <a:latin typeface="+mn-ea"/>
              <a:ea typeface="+mn-ea"/>
            </a:rPr>
            <a:t>を</a:t>
          </a:r>
          <a:r>
            <a:rPr kumimoji="1" lang="ja-JP" altLang="en-US" sz="1100" kern="1200">
              <a:latin typeface="+mn-ea"/>
              <a:ea typeface="+mn-ea"/>
            </a:rPr>
            <a:t>準備する必要があります。</a:t>
          </a:r>
        </a:p>
      </xdr:txBody>
    </xdr:sp>
    <xdr:clientData/>
  </xdr:twoCellAnchor>
  <xdr:twoCellAnchor>
    <xdr:from>
      <xdr:col>15</xdr:col>
      <xdr:colOff>130413</xdr:colOff>
      <xdr:row>2</xdr:row>
      <xdr:rowOff>2971799</xdr:rowOff>
    </xdr:from>
    <xdr:to>
      <xdr:col>17</xdr:col>
      <xdr:colOff>93426</xdr:colOff>
      <xdr:row>2</xdr:row>
      <xdr:rowOff>3271837</xdr:rowOff>
    </xdr:to>
    <xdr:sp macro="" textlink="">
      <xdr:nvSpPr>
        <xdr:cNvPr id="78" name="二等辺三角形 12">
          <a:extLst>
            <a:ext uri="{FF2B5EF4-FFF2-40B4-BE49-F238E27FC236}">
              <a16:creationId xmlns:a16="http://schemas.microsoft.com/office/drawing/2014/main" id="{A49B16BE-BA05-4343-A448-26439724F599}"/>
            </a:ext>
          </a:extLst>
        </xdr:cNvPr>
        <xdr:cNvSpPr/>
      </xdr:nvSpPr>
      <xdr:spPr>
        <a:xfrm rot="16200000">
          <a:off x="2390141" y="5304391"/>
          <a:ext cx="300038" cy="186533"/>
        </a:xfrm>
        <a:prstGeom prst="triangle">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18</xdr:col>
      <xdr:colOff>12700</xdr:colOff>
      <xdr:row>2</xdr:row>
      <xdr:rowOff>4052192</xdr:rowOff>
    </xdr:from>
    <xdr:to>
      <xdr:col>58</xdr:col>
      <xdr:colOff>152400</xdr:colOff>
      <xdr:row>2</xdr:row>
      <xdr:rowOff>5028307</xdr:rowOff>
    </xdr:to>
    <xdr:sp macro="" textlink="">
      <xdr:nvSpPr>
        <xdr:cNvPr id="80" name="正方形/長方形 79">
          <a:extLst>
            <a:ext uri="{FF2B5EF4-FFF2-40B4-BE49-F238E27FC236}">
              <a16:creationId xmlns:a16="http://schemas.microsoft.com/office/drawing/2014/main" id="{2A8AA61B-6D3F-D149-A762-009A01CEC766}"/>
            </a:ext>
          </a:extLst>
        </xdr:cNvPr>
        <xdr:cNvSpPr/>
      </xdr:nvSpPr>
      <xdr:spPr>
        <a:xfrm>
          <a:off x="2694940" y="6328032"/>
          <a:ext cx="5798820" cy="976115"/>
        </a:xfrm>
        <a:prstGeom prst="rect">
          <a:avLst/>
        </a:prstGeom>
        <a:ln>
          <a:solidFill>
            <a:schemeClr val="tx1"/>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kern="1200">
              <a:latin typeface="+mn-ea"/>
              <a:ea typeface="+mn-ea"/>
            </a:rPr>
            <a:t>　上記</a:t>
          </a:r>
          <a:r>
            <a:rPr kumimoji="1" lang="en-US" altLang="ja-JP" sz="1100" kern="1200">
              <a:latin typeface="+mn-ea"/>
              <a:ea typeface="+mn-ea"/>
            </a:rPr>
            <a:t>①</a:t>
          </a:r>
          <a:r>
            <a:rPr kumimoji="1" lang="ja-JP" altLang="en-US" sz="1100" kern="1200">
              <a:latin typeface="+mn-ea"/>
              <a:ea typeface="+mn-ea"/>
            </a:rPr>
            <a:t>および</a:t>
          </a:r>
          <a:r>
            <a:rPr kumimoji="1" lang="en-US" altLang="ja-JP" sz="1100" kern="1200">
              <a:latin typeface="+mn-ea"/>
              <a:ea typeface="+mn-ea"/>
            </a:rPr>
            <a:t>②</a:t>
          </a:r>
          <a:r>
            <a:rPr kumimoji="1" lang="ja-JP" altLang="en-US" sz="1100" kern="1200">
              <a:latin typeface="+mn-ea"/>
              <a:ea typeface="+mn-ea"/>
            </a:rPr>
            <a:t>で入力した使用用途に応じて、分析結果が表示されます。</a:t>
          </a:r>
          <a:endParaRPr kumimoji="1" lang="en-US" altLang="ja-JP" sz="1100" kern="1200">
            <a:latin typeface="+mn-ea"/>
            <a:ea typeface="+mn-ea"/>
          </a:endParaRPr>
        </a:p>
        <a:p>
          <a:pPr>
            <a:lnSpc>
              <a:spcPts val="1640"/>
            </a:lnSpc>
          </a:pPr>
          <a:r>
            <a:rPr kumimoji="1" lang="ja-JP" altLang="en-US" sz="1100">
              <a:solidFill>
                <a:sysClr val="windowText" lastClr="000000"/>
              </a:solidFill>
              <a:latin typeface="+mn-ea"/>
              <a:ea typeface="+mn-ea"/>
            </a:rPr>
            <a:t>「</a:t>
          </a:r>
          <a:r>
            <a:rPr kumimoji="1" lang="ja-JP" altLang="en-US" sz="1100" dirty="0">
              <a:solidFill>
                <a:sysClr val="windowText" lastClr="000000"/>
              </a:solidFill>
              <a:latin typeface="+mn-ea"/>
              <a:ea typeface="+mn-ea"/>
            </a:rPr>
            <a:t>男女間賃金差異の状況」「女性活躍のためのアドバイス</a:t>
          </a:r>
          <a:r>
            <a:rPr kumimoji="1" lang="ja-JP" altLang="en-US" sz="1100">
              <a:solidFill>
                <a:sysClr val="windowText" lastClr="000000"/>
              </a:solidFill>
              <a:latin typeface="+mn-ea"/>
              <a:ea typeface="+mn-ea"/>
            </a:rPr>
            <a:t>」欄等に表示された結果は、</a:t>
          </a:r>
          <a:r>
            <a:rPr kumimoji="1" lang="ja-JP" altLang="en-US" sz="1100" dirty="0">
              <a:solidFill>
                <a:sysClr val="windowText" lastClr="000000"/>
              </a:solidFill>
              <a:latin typeface="+mn-ea"/>
              <a:ea typeface="+mn-ea"/>
            </a:rPr>
            <a:t>これまでに何</a:t>
          </a:r>
          <a:r>
            <a:rPr kumimoji="1" lang="ja-JP" altLang="en-US" sz="1100">
              <a:solidFill>
                <a:sysClr val="windowText" lastClr="000000"/>
              </a:solidFill>
              <a:latin typeface="+mn-ea"/>
              <a:ea typeface="+mn-ea"/>
            </a:rPr>
            <a:t>となく賃金差異の要因</a:t>
          </a:r>
          <a:r>
            <a:rPr kumimoji="1" lang="ja-JP" altLang="en-US" sz="1100" dirty="0">
              <a:solidFill>
                <a:sysClr val="windowText" lastClr="000000"/>
              </a:solidFill>
              <a:latin typeface="+mn-ea"/>
              <a:ea typeface="+mn-ea"/>
            </a:rPr>
            <a:t>と考えてきたものに一定の根拠を与えるものとなります</a:t>
          </a:r>
          <a:r>
            <a:rPr kumimoji="1" lang="ja-JP" altLang="en-US" sz="1100">
              <a:solidFill>
                <a:sysClr val="windowText" lastClr="000000"/>
              </a:solidFill>
              <a:latin typeface="+mn-ea"/>
              <a:ea typeface="+mn-ea"/>
            </a:rPr>
            <a:t>ので、 男女間賃金差異に関する情報公表などを行う際に、ご活用ください。 </a:t>
          </a:r>
          <a:endParaRPr kumimoji="1" lang="en-US" altLang="ja-JP" sz="1100" dirty="0">
            <a:solidFill>
              <a:sysClr val="windowText" lastClr="000000"/>
            </a:solidFill>
            <a:latin typeface="+mn-ea"/>
            <a:ea typeface="+mn-ea"/>
          </a:endParaRPr>
        </a:p>
      </xdr:txBody>
    </xdr:sp>
    <xdr:clientData/>
  </xdr:twoCellAnchor>
  <xdr:twoCellAnchor>
    <xdr:from>
      <xdr:col>16</xdr:col>
      <xdr:colOff>63500</xdr:colOff>
      <xdr:row>2</xdr:row>
      <xdr:rowOff>4381499</xdr:rowOff>
    </xdr:from>
    <xdr:to>
      <xdr:col>18</xdr:col>
      <xdr:colOff>7939</xdr:colOff>
      <xdr:row>2</xdr:row>
      <xdr:rowOff>4681537</xdr:rowOff>
    </xdr:to>
    <xdr:sp macro="" textlink="">
      <xdr:nvSpPr>
        <xdr:cNvPr id="81" name="二等辺三角形 12">
          <a:extLst>
            <a:ext uri="{FF2B5EF4-FFF2-40B4-BE49-F238E27FC236}">
              <a16:creationId xmlns:a16="http://schemas.microsoft.com/office/drawing/2014/main" id="{A125224C-BDE9-A848-9C5B-98F95BF63D7A}"/>
            </a:ext>
          </a:extLst>
        </xdr:cNvPr>
        <xdr:cNvSpPr/>
      </xdr:nvSpPr>
      <xdr:spPr>
        <a:xfrm rot="16200000">
          <a:off x="2456181" y="6723378"/>
          <a:ext cx="300038" cy="167959"/>
        </a:xfrm>
        <a:prstGeom prst="triangle">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7</xdr:col>
      <xdr:colOff>76200</xdr:colOff>
      <xdr:row>2</xdr:row>
      <xdr:rowOff>1657643</xdr:rowOff>
    </xdr:from>
    <xdr:to>
      <xdr:col>7</xdr:col>
      <xdr:colOff>76200</xdr:colOff>
      <xdr:row>2</xdr:row>
      <xdr:rowOff>2509590</xdr:rowOff>
    </xdr:to>
    <xdr:cxnSp macro="">
      <xdr:nvCxnSpPr>
        <xdr:cNvPr id="82" name="直線矢印コネクタ 81">
          <a:extLst>
            <a:ext uri="{FF2B5EF4-FFF2-40B4-BE49-F238E27FC236}">
              <a16:creationId xmlns:a16="http://schemas.microsoft.com/office/drawing/2014/main" id="{B53EA4C7-D9D0-5D48-A402-F66FDB971E27}"/>
            </a:ext>
          </a:extLst>
        </xdr:cNvPr>
        <xdr:cNvCxnSpPr/>
      </xdr:nvCxnSpPr>
      <xdr:spPr>
        <a:xfrm>
          <a:off x="1254760" y="3933483"/>
          <a:ext cx="0" cy="851947"/>
        </a:xfrm>
        <a:prstGeom prst="straightConnector1">
          <a:avLst/>
        </a:prstGeom>
        <a:ln w="44450">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38100</xdr:colOff>
      <xdr:row>2</xdr:row>
      <xdr:rowOff>3695699</xdr:rowOff>
    </xdr:from>
    <xdr:to>
      <xdr:col>7</xdr:col>
      <xdr:colOff>38100</xdr:colOff>
      <xdr:row>2</xdr:row>
      <xdr:rowOff>4086224</xdr:rowOff>
    </xdr:to>
    <xdr:cxnSp macro="">
      <xdr:nvCxnSpPr>
        <xdr:cNvPr id="83" name="直線矢印コネクタ 82">
          <a:extLst>
            <a:ext uri="{FF2B5EF4-FFF2-40B4-BE49-F238E27FC236}">
              <a16:creationId xmlns:a16="http://schemas.microsoft.com/office/drawing/2014/main" id="{5D156AE3-B48A-9543-89CD-F49DEC11333E}"/>
            </a:ext>
          </a:extLst>
        </xdr:cNvPr>
        <xdr:cNvCxnSpPr/>
      </xdr:nvCxnSpPr>
      <xdr:spPr>
        <a:xfrm>
          <a:off x="1216660" y="5971539"/>
          <a:ext cx="0" cy="390525"/>
        </a:xfrm>
        <a:prstGeom prst="straightConnector1">
          <a:avLst/>
        </a:prstGeom>
        <a:ln w="44450">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31750</xdr:colOff>
      <xdr:row>27</xdr:row>
      <xdr:rowOff>368299</xdr:rowOff>
    </xdr:from>
    <xdr:to>
      <xdr:col>30</xdr:col>
      <xdr:colOff>50800</xdr:colOff>
      <xdr:row>28</xdr:row>
      <xdr:rowOff>114299</xdr:rowOff>
    </xdr:to>
    <xdr:graphicFrame macro="">
      <xdr:nvGraphicFramePr>
        <xdr:cNvPr id="55" name="グラフ 54">
          <a:extLst>
            <a:ext uri="{FF2B5EF4-FFF2-40B4-BE49-F238E27FC236}">
              <a16:creationId xmlns:a16="http://schemas.microsoft.com/office/drawing/2014/main" id="{52CE24A5-7E83-BDB5-FA04-BAA2A981B4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xdr:col>
      <xdr:colOff>31750</xdr:colOff>
      <xdr:row>27</xdr:row>
      <xdr:rowOff>380999</xdr:rowOff>
    </xdr:from>
    <xdr:to>
      <xdr:col>58</xdr:col>
      <xdr:colOff>139700</xdr:colOff>
      <xdr:row>28</xdr:row>
      <xdr:rowOff>139699</xdr:rowOff>
    </xdr:to>
    <xdr:graphicFrame macro="">
      <xdr:nvGraphicFramePr>
        <xdr:cNvPr id="57" name="グラフ 56">
          <a:extLst>
            <a:ext uri="{FF2B5EF4-FFF2-40B4-BE49-F238E27FC236}">
              <a16:creationId xmlns:a16="http://schemas.microsoft.com/office/drawing/2014/main" id="{C2D63B13-AB70-B25B-0B5A-33A183D1AB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0</xdr:colOff>
      <xdr:row>11</xdr:row>
      <xdr:rowOff>500602</xdr:rowOff>
    </xdr:from>
    <xdr:to>
      <xdr:col>20</xdr:col>
      <xdr:colOff>50800</xdr:colOff>
      <xdr:row>25</xdr:row>
      <xdr:rowOff>299942</xdr:rowOff>
    </xdr:to>
    <xdr:graphicFrame macro="">
      <xdr:nvGraphicFramePr>
        <xdr:cNvPr id="84" name="グラフ 83">
          <a:extLst>
            <a:ext uri="{FF2B5EF4-FFF2-40B4-BE49-F238E27FC236}">
              <a16:creationId xmlns:a16="http://schemas.microsoft.com/office/drawing/2014/main" id="{607D268F-D6C5-AA54-1334-D628813D3F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228600</xdr:colOff>
      <xdr:row>2</xdr:row>
      <xdr:rowOff>4364566</xdr:rowOff>
    </xdr:from>
    <xdr:to>
      <xdr:col>14</xdr:col>
      <xdr:colOff>127000</xdr:colOff>
      <xdr:row>2</xdr:row>
      <xdr:rowOff>4631266</xdr:rowOff>
    </xdr:to>
    <xdr:sp macro="" textlink="">
      <xdr:nvSpPr>
        <xdr:cNvPr id="6" name="正方形/長方形 5">
          <a:hlinkClick xmlns:r="http://schemas.openxmlformats.org/officeDocument/2006/relationships" r:id="rId6"/>
          <a:extLst>
            <a:ext uri="{FF2B5EF4-FFF2-40B4-BE49-F238E27FC236}">
              <a16:creationId xmlns:a16="http://schemas.microsoft.com/office/drawing/2014/main" id="{3FD0422B-CF75-4D2B-2034-600B067707CF}"/>
            </a:ext>
          </a:extLst>
        </xdr:cNvPr>
        <xdr:cNvSpPr/>
      </xdr:nvSpPr>
      <xdr:spPr>
        <a:xfrm>
          <a:off x="462280" y="6640406"/>
          <a:ext cx="1838960" cy="266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59267</xdr:colOff>
      <xdr:row>2</xdr:row>
      <xdr:rowOff>4635499</xdr:rowOff>
    </xdr:from>
    <xdr:to>
      <xdr:col>15</xdr:col>
      <xdr:colOff>0</xdr:colOff>
      <xdr:row>2</xdr:row>
      <xdr:rowOff>4961467</xdr:rowOff>
    </xdr:to>
    <xdr:sp macro="" textlink="">
      <xdr:nvSpPr>
        <xdr:cNvPr id="10" name="正方形/長方形 9">
          <a:hlinkClick xmlns:r="http://schemas.openxmlformats.org/officeDocument/2006/relationships" r:id="rId7"/>
          <a:extLst>
            <a:ext uri="{FF2B5EF4-FFF2-40B4-BE49-F238E27FC236}">
              <a16:creationId xmlns:a16="http://schemas.microsoft.com/office/drawing/2014/main" id="{82FF0EAE-6A60-984A-972A-7674C32878FE}"/>
            </a:ext>
          </a:extLst>
        </xdr:cNvPr>
        <xdr:cNvSpPr/>
      </xdr:nvSpPr>
      <xdr:spPr>
        <a:xfrm>
          <a:off x="292947" y="6911339"/>
          <a:ext cx="2023533" cy="32596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xdr:col>
      <xdr:colOff>44325</xdr:colOff>
      <xdr:row>42</xdr:row>
      <xdr:rowOff>70784</xdr:rowOff>
    </xdr:from>
    <xdr:to>
      <xdr:col>52</xdr:col>
      <xdr:colOff>133223</xdr:colOff>
      <xdr:row>46</xdr:row>
      <xdr:rowOff>1865212</xdr:rowOff>
    </xdr:to>
    <xdr:grpSp>
      <xdr:nvGrpSpPr>
        <xdr:cNvPr id="3" name="グループ化 2">
          <a:extLst>
            <a:ext uri="{FF2B5EF4-FFF2-40B4-BE49-F238E27FC236}">
              <a16:creationId xmlns:a16="http://schemas.microsoft.com/office/drawing/2014/main" id="{897A9A44-2A14-9850-7028-EE070DF61B24}"/>
            </a:ext>
          </a:extLst>
        </xdr:cNvPr>
        <xdr:cNvGrpSpPr/>
      </xdr:nvGrpSpPr>
      <xdr:grpSpPr>
        <a:xfrm>
          <a:off x="516765" y="25704464"/>
          <a:ext cx="7106918" cy="2967908"/>
          <a:chOff x="872069" y="24345451"/>
          <a:chExt cx="7454898" cy="2958231"/>
        </a:xfrm>
      </xdr:grpSpPr>
      <xdr:grpSp>
        <xdr:nvGrpSpPr>
          <xdr:cNvPr id="70" name="グループ化 69">
            <a:extLst>
              <a:ext uri="{FF2B5EF4-FFF2-40B4-BE49-F238E27FC236}">
                <a16:creationId xmlns:a16="http://schemas.microsoft.com/office/drawing/2014/main" id="{9BB8FB9A-50DC-6E86-EF07-991058C0DAA1}"/>
              </a:ext>
            </a:extLst>
          </xdr:cNvPr>
          <xdr:cNvGrpSpPr/>
        </xdr:nvGrpSpPr>
        <xdr:grpSpPr>
          <a:xfrm>
            <a:off x="872069" y="24345451"/>
            <a:ext cx="3407834" cy="2953417"/>
            <a:chOff x="6408269" y="11834261"/>
            <a:chExt cx="2601758" cy="3004365"/>
          </a:xfrm>
        </xdr:grpSpPr>
        <xdr:grpSp>
          <xdr:nvGrpSpPr>
            <xdr:cNvPr id="58" name="グループ化 57">
              <a:extLst>
                <a:ext uri="{FF2B5EF4-FFF2-40B4-BE49-F238E27FC236}">
                  <a16:creationId xmlns:a16="http://schemas.microsoft.com/office/drawing/2014/main" id="{65AD7A15-FAF1-2052-285E-F8A20F1E3215}"/>
                </a:ext>
              </a:extLst>
            </xdr:cNvPr>
            <xdr:cNvGrpSpPr/>
          </xdr:nvGrpSpPr>
          <xdr:grpSpPr>
            <a:xfrm>
              <a:off x="6408269" y="12220482"/>
              <a:ext cx="2601758" cy="2618144"/>
              <a:chOff x="6408269" y="14850129"/>
              <a:chExt cx="2601758" cy="2618144"/>
            </a:xfrm>
          </xdr:grpSpPr>
          <xdr:graphicFrame macro="">
            <xdr:nvGraphicFramePr>
              <xdr:cNvPr id="5" name="グラフ 4">
                <a:extLst>
                  <a:ext uri="{FF2B5EF4-FFF2-40B4-BE49-F238E27FC236}">
                    <a16:creationId xmlns:a16="http://schemas.microsoft.com/office/drawing/2014/main" id="{7DA082BD-EB7A-20C7-B030-8763EB19CBCA}"/>
                  </a:ext>
                </a:extLst>
              </xdr:cNvPr>
              <xdr:cNvGraphicFramePr/>
            </xdr:nvGraphicFramePr>
            <xdr:xfrm>
              <a:off x="6491773" y="14850129"/>
              <a:ext cx="2447158" cy="2618144"/>
            </xdr:xfrm>
            <a:graphic>
              <a:graphicData uri="http://schemas.openxmlformats.org/drawingml/2006/chart">
                <c:chart xmlns:c="http://schemas.openxmlformats.org/drawingml/2006/chart" xmlns:r="http://schemas.openxmlformats.org/officeDocument/2006/relationships" r:id="rId8"/>
              </a:graphicData>
            </a:graphic>
          </xdr:graphicFrame>
          <xdr:sp macro="" textlink="">
            <xdr:nvSpPr>
              <xdr:cNvPr id="29" name="正方形/長方形 28">
                <a:extLst>
                  <a:ext uri="{FF2B5EF4-FFF2-40B4-BE49-F238E27FC236}">
                    <a16:creationId xmlns:a16="http://schemas.microsoft.com/office/drawing/2014/main" id="{EDB3D468-63F1-2C49-92B3-C6D2AD502B30}"/>
                  </a:ext>
                </a:extLst>
              </xdr:cNvPr>
              <xdr:cNvSpPr/>
            </xdr:nvSpPr>
            <xdr:spPr>
              <a:xfrm>
                <a:off x="8485479" y="15830970"/>
                <a:ext cx="524548" cy="81891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100" b="1" kern="1200">
                    <a:solidFill>
                      <a:schemeClr val="tx1"/>
                    </a:solidFill>
                  </a:rPr>
                  <a:t>平均</a:t>
                </a:r>
                <a:endParaRPr kumimoji="1" lang="en-US" altLang="ja-JP" sz="1100" b="1" kern="1200">
                  <a:solidFill>
                    <a:schemeClr val="tx1"/>
                  </a:solidFill>
                </a:endParaRPr>
              </a:p>
              <a:p>
                <a:pPr algn="ctr"/>
                <a:r>
                  <a:rPr kumimoji="1" lang="ja-JP" altLang="en-US" sz="1100" b="1" kern="1200">
                    <a:solidFill>
                      <a:schemeClr val="tx1"/>
                    </a:solidFill>
                  </a:rPr>
                  <a:t>継続勤務</a:t>
                </a:r>
                <a:endParaRPr kumimoji="1" lang="en-US" altLang="ja-JP" sz="1100" b="1" kern="1200">
                  <a:solidFill>
                    <a:schemeClr val="tx1"/>
                  </a:solidFill>
                </a:endParaRPr>
              </a:p>
              <a:p>
                <a:pPr algn="ctr"/>
                <a:r>
                  <a:rPr kumimoji="1" lang="ja-JP" altLang="en-US" sz="1100" b="1" kern="1200">
                    <a:solidFill>
                      <a:schemeClr val="tx1"/>
                    </a:solidFill>
                  </a:rPr>
                  <a:t>年数</a:t>
                </a:r>
              </a:p>
            </xdr:txBody>
          </xdr:sp>
          <xdr:sp macro="" textlink="">
            <xdr:nvSpPr>
              <xdr:cNvPr id="30" name="正方形/長方形 29">
                <a:extLst>
                  <a:ext uri="{FF2B5EF4-FFF2-40B4-BE49-F238E27FC236}">
                    <a16:creationId xmlns:a16="http://schemas.microsoft.com/office/drawing/2014/main" id="{45040D3B-9F57-8044-B2E6-3FC60BF08B93}"/>
                  </a:ext>
                </a:extLst>
              </xdr:cNvPr>
              <xdr:cNvSpPr/>
            </xdr:nvSpPr>
            <xdr:spPr>
              <a:xfrm>
                <a:off x="6850933" y="17249009"/>
                <a:ext cx="1847758" cy="20789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100" b="1" kern="1200">
                    <a:solidFill>
                      <a:schemeClr val="tx1"/>
                    </a:solidFill>
                  </a:rPr>
                  <a:t>女性管理職</a:t>
                </a:r>
                <a:r>
                  <a:rPr kumimoji="1" lang="en-US" altLang="ja-JP" sz="900" b="1" kern="1200">
                    <a:solidFill>
                      <a:schemeClr val="tx1"/>
                    </a:solidFill>
                  </a:rPr>
                  <a:t>※</a:t>
                </a:r>
                <a:r>
                  <a:rPr kumimoji="1" lang="ja-JP" altLang="en-US" sz="900" b="1" kern="1200">
                    <a:solidFill>
                      <a:schemeClr val="tx1"/>
                    </a:solidFill>
                  </a:rPr>
                  <a:t>正規雇用労働者のみ</a:t>
                </a:r>
              </a:p>
            </xdr:txBody>
          </xdr:sp>
          <xdr:sp macro="" textlink="">
            <xdr:nvSpPr>
              <xdr:cNvPr id="32" name="正方形/長方形 31">
                <a:extLst>
                  <a:ext uri="{FF2B5EF4-FFF2-40B4-BE49-F238E27FC236}">
                    <a16:creationId xmlns:a16="http://schemas.microsoft.com/office/drawing/2014/main" id="{A06949CC-2F60-FD4E-BA59-961AD074D5EC}"/>
                  </a:ext>
                </a:extLst>
              </xdr:cNvPr>
              <xdr:cNvSpPr/>
            </xdr:nvSpPr>
            <xdr:spPr>
              <a:xfrm>
                <a:off x="6408269" y="15947531"/>
                <a:ext cx="482584" cy="62547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100" b="1" kern="1200">
                    <a:solidFill>
                      <a:schemeClr val="tx1"/>
                    </a:solidFill>
                  </a:rPr>
                  <a:t>平均残業</a:t>
                </a:r>
                <a:endParaRPr kumimoji="1" lang="en-US" altLang="ja-JP" sz="1100" b="1" kern="1200">
                  <a:solidFill>
                    <a:schemeClr val="tx1"/>
                  </a:solidFill>
                </a:endParaRPr>
              </a:p>
              <a:p>
                <a:pPr algn="ctr"/>
                <a:r>
                  <a:rPr kumimoji="1" lang="ja-JP" altLang="en-US" sz="1100" b="1" kern="1200">
                    <a:solidFill>
                      <a:schemeClr val="tx1"/>
                    </a:solidFill>
                  </a:rPr>
                  <a:t>時間</a:t>
                </a:r>
                <a:r>
                  <a:rPr kumimoji="1" lang="en-US" altLang="ja-JP" sz="1100" b="1" kern="1200">
                    <a:solidFill>
                      <a:schemeClr val="tx1"/>
                    </a:solidFill>
                  </a:rPr>
                  <a:t>/</a:t>
                </a:r>
                <a:r>
                  <a:rPr kumimoji="1" lang="ja-JP" altLang="en-US" sz="1100" b="1" kern="1200">
                    <a:solidFill>
                      <a:schemeClr val="tx1"/>
                    </a:solidFill>
                  </a:rPr>
                  <a:t>月</a:t>
                </a:r>
              </a:p>
            </xdr:txBody>
          </xdr:sp>
        </xdr:grpSp>
        <xdr:sp macro="" textlink="">
          <xdr:nvSpPr>
            <xdr:cNvPr id="65" name="正方形/長方形 64">
              <a:extLst>
                <a:ext uri="{FF2B5EF4-FFF2-40B4-BE49-F238E27FC236}">
                  <a16:creationId xmlns:a16="http://schemas.microsoft.com/office/drawing/2014/main" id="{D8812366-4B92-5E46-B243-1CFF5D4D70E0}"/>
                </a:ext>
              </a:extLst>
            </xdr:cNvPr>
            <xdr:cNvSpPr/>
          </xdr:nvSpPr>
          <xdr:spPr>
            <a:xfrm>
              <a:off x="6450096" y="11834261"/>
              <a:ext cx="1755426" cy="41372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kern="1200">
                  <a:solidFill>
                    <a:srgbClr val="C00000"/>
                  </a:solidFill>
                </a:rPr>
                <a:t>正規雇用労働者</a:t>
              </a:r>
              <a:endParaRPr kumimoji="1" lang="en-US" altLang="ja-JP" sz="1600" b="1" kern="1200">
                <a:solidFill>
                  <a:srgbClr val="C00000"/>
                </a:solidFill>
              </a:endParaRPr>
            </a:p>
          </xdr:txBody>
        </xdr:sp>
      </xdr:grpSp>
      <xdr:grpSp>
        <xdr:nvGrpSpPr>
          <xdr:cNvPr id="17" name="グループ化 16">
            <a:extLst>
              <a:ext uri="{FF2B5EF4-FFF2-40B4-BE49-F238E27FC236}">
                <a16:creationId xmlns:a16="http://schemas.microsoft.com/office/drawing/2014/main" id="{8F359325-73D5-A0CB-52B4-26454F723079}"/>
              </a:ext>
            </a:extLst>
          </xdr:cNvPr>
          <xdr:cNvGrpSpPr/>
        </xdr:nvGrpSpPr>
        <xdr:grpSpPr>
          <a:xfrm>
            <a:off x="4419600" y="24379909"/>
            <a:ext cx="3907367" cy="2923773"/>
            <a:chOff x="5885021" y="24739830"/>
            <a:chExt cx="2977163" cy="2906754"/>
          </a:xfrm>
        </xdr:grpSpPr>
        <xdr:grpSp>
          <xdr:nvGrpSpPr>
            <xdr:cNvPr id="67" name="グループ化 66">
              <a:extLst>
                <a:ext uri="{FF2B5EF4-FFF2-40B4-BE49-F238E27FC236}">
                  <a16:creationId xmlns:a16="http://schemas.microsoft.com/office/drawing/2014/main" id="{F330BA66-26E9-BD82-76BA-4E9790870F75}"/>
                </a:ext>
              </a:extLst>
            </xdr:cNvPr>
            <xdr:cNvGrpSpPr/>
          </xdr:nvGrpSpPr>
          <xdr:grpSpPr>
            <a:xfrm>
              <a:off x="5885021" y="24739830"/>
              <a:ext cx="2977163" cy="2906754"/>
              <a:chOff x="5969649" y="17430994"/>
              <a:chExt cx="2919849" cy="3053706"/>
            </a:xfrm>
          </xdr:grpSpPr>
          <xdr:graphicFrame macro="">
            <xdr:nvGraphicFramePr>
              <xdr:cNvPr id="59" name="グラフ 58">
                <a:extLst>
                  <a:ext uri="{FF2B5EF4-FFF2-40B4-BE49-F238E27FC236}">
                    <a16:creationId xmlns:a16="http://schemas.microsoft.com/office/drawing/2014/main" id="{3F666769-8829-B442-8F46-F8C9B3604B81}"/>
                  </a:ext>
                </a:extLst>
              </xdr:cNvPr>
              <xdr:cNvGraphicFramePr>
                <a:graphicFrameLocks/>
              </xdr:cNvGraphicFramePr>
            </xdr:nvGraphicFramePr>
            <xdr:xfrm>
              <a:off x="6320118" y="17794942"/>
              <a:ext cx="2530233" cy="2689758"/>
            </xdr:xfrm>
            <a:graphic>
              <a:graphicData uri="http://schemas.openxmlformats.org/drawingml/2006/chart">
                <c:chart xmlns:c="http://schemas.openxmlformats.org/drawingml/2006/chart" xmlns:r="http://schemas.openxmlformats.org/officeDocument/2006/relationships" r:id="rId9"/>
              </a:graphicData>
            </a:graphic>
          </xdr:graphicFrame>
          <xdr:sp macro="" textlink="">
            <xdr:nvSpPr>
              <xdr:cNvPr id="62" name="正方形/長方形 61">
                <a:extLst>
                  <a:ext uri="{FF2B5EF4-FFF2-40B4-BE49-F238E27FC236}">
                    <a16:creationId xmlns:a16="http://schemas.microsoft.com/office/drawing/2014/main" id="{7F62D341-C54F-D240-8A09-8D0622D34268}"/>
                  </a:ext>
                </a:extLst>
              </xdr:cNvPr>
              <xdr:cNvSpPr/>
            </xdr:nvSpPr>
            <xdr:spPr>
              <a:xfrm>
                <a:off x="8299316" y="19552440"/>
                <a:ext cx="590182" cy="89361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rIns="0" bIns="0" rtlCol="0" anchor="ctr" anchorCtr="0"/>
              <a:lstStyle/>
              <a:p>
                <a:pPr algn="ctr"/>
                <a:r>
                  <a:rPr kumimoji="1" lang="ja-JP" altLang="en-US" sz="1100" b="1" kern="1200">
                    <a:solidFill>
                      <a:schemeClr val="tx1"/>
                    </a:solidFill>
                  </a:rPr>
                  <a:t>平均</a:t>
                </a:r>
                <a:endParaRPr kumimoji="1" lang="en-US" altLang="ja-JP" sz="1100" b="1" kern="1200">
                  <a:solidFill>
                    <a:schemeClr val="tx1"/>
                  </a:solidFill>
                </a:endParaRPr>
              </a:p>
              <a:p>
                <a:pPr algn="ctr"/>
                <a:r>
                  <a:rPr kumimoji="1" lang="ja-JP" altLang="en-US" sz="1100" b="1" kern="1200">
                    <a:solidFill>
                      <a:schemeClr val="tx1"/>
                    </a:solidFill>
                  </a:rPr>
                  <a:t>継続勤務</a:t>
                </a:r>
                <a:endParaRPr kumimoji="1" lang="en-US" altLang="ja-JP" sz="1100" b="1" kern="1200">
                  <a:solidFill>
                    <a:schemeClr val="tx1"/>
                  </a:solidFill>
                </a:endParaRPr>
              </a:p>
              <a:p>
                <a:pPr algn="ctr"/>
                <a:r>
                  <a:rPr kumimoji="1" lang="ja-JP" altLang="en-US" sz="1100" b="1" kern="1200">
                    <a:solidFill>
                      <a:schemeClr val="tx1"/>
                    </a:solidFill>
                  </a:rPr>
                  <a:t>年数</a:t>
                </a:r>
              </a:p>
            </xdr:txBody>
          </xdr:sp>
          <xdr:sp macro="" textlink="">
            <xdr:nvSpPr>
              <xdr:cNvPr id="66" name="正方形/長方形 65">
                <a:extLst>
                  <a:ext uri="{FF2B5EF4-FFF2-40B4-BE49-F238E27FC236}">
                    <a16:creationId xmlns:a16="http://schemas.microsoft.com/office/drawing/2014/main" id="{A4887CF7-0CFE-474B-802C-02AF5EADE69C}"/>
                  </a:ext>
                </a:extLst>
              </xdr:cNvPr>
              <xdr:cNvSpPr/>
            </xdr:nvSpPr>
            <xdr:spPr>
              <a:xfrm>
                <a:off x="5969649" y="17430994"/>
                <a:ext cx="1981316" cy="41372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b="1" kern="1200">
                    <a:solidFill>
                      <a:srgbClr val="44812A"/>
                    </a:solidFill>
                  </a:rPr>
                  <a:t>非正規雇用労働者</a:t>
                </a:r>
                <a:endParaRPr kumimoji="1" lang="en-US" altLang="ja-JP" sz="1600" b="1" kern="1200">
                  <a:solidFill>
                    <a:srgbClr val="44812A"/>
                  </a:solidFill>
                </a:endParaRPr>
              </a:p>
            </xdr:txBody>
          </xdr:sp>
        </xdr:grpSp>
        <xdr:sp macro="" textlink="">
          <xdr:nvSpPr>
            <xdr:cNvPr id="69" name="正方形/長方形 68">
              <a:extLst>
                <a:ext uri="{FF2B5EF4-FFF2-40B4-BE49-F238E27FC236}">
                  <a16:creationId xmlns:a16="http://schemas.microsoft.com/office/drawing/2014/main" id="{6F04D6F1-205E-CF47-A393-95D0DA877521}"/>
                </a:ext>
              </a:extLst>
            </xdr:cNvPr>
            <xdr:cNvSpPr/>
          </xdr:nvSpPr>
          <xdr:spPr>
            <a:xfrm>
              <a:off x="6464046" y="25110143"/>
              <a:ext cx="2186992" cy="2390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100" b="1" kern="1200">
                  <a:solidFill>
                    <a:schemeClr val="tx1"/>
                  </a:solidFill>
                </a:rPr>
                <a:t>（直近１年間の）採用者数又は労働者数</a:t>
              </a:r>
            </a:p>
          </xdr:txBody>
        </xdr:sp>
        <xdr:sp macro="" textlink="">
          <xdr:nvSpPr>
            <xdr:cNvPr id="71" name="正方形/長方形 70">
              <a:extLst>
                <a:ext uri="{FF2B5EF4-FFF2-40B4-BE49-F238E27FC236}">
                  <a16:creationId xmlns:a16="http://schemas.microsoft.com/office/drawing/2014/main" id="{06F9AF4B-9D19-F04A-A8FC-74C27DB51C0F}"/>
                </a:ext>
              </a:extLst>
            </xdr:cNvPr>
            <xdr:cNvSpPr/>
          </xdr:nvSpPr>
          <xdr:spPr>
            <a:xfrm>
              <a:off x="6212298" y="26949400"/>
              <a:ext cx="538423" cy="609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100" b="1" kern="1200">
                  <a:solidFill>
                    <a:schemeClr val="tx1"/>
                  </a:solidFill>
                </a:rPr>
                <a:t>平均残業</a:t>
              </a:r>
              <a:endParaRPr kumimoji="1" lang="en-US" altLang="ja-JP" sz="1100" b="1" kern="1200">
                <a:solidFill>
                  <a:schemeClr val="tx1"/>
                </a:solidFill>
              </a:endParaRPr>
            </a:p>
            <a:p>
              <a:pPr algn="ctr"/>
              <a:r>
                <a:rPr kumimoji="1" lang="ja-JP" altLang="en-US" sz="1100" b="1" kern="1200">
                  <a:solidFill>
                    <a:schemeClr val="tx1"/>
                  </a:solidFill>
                </a:rPr>
                <a:t>時間</a:t>
              </a:r>
              <a:r>
                <a:rPr kumimoji="1" lang="en-US" altLang="ja-JP" sz="1100" b="1" kern="1200">
                  <a:solidFill>
                    <a:schemeClr val="tx1"/>
                  </a:solidFill>
                </a:rPr>
                <a:t>/</a:t>
              </a:r>
              <a:r>
                <a:rPr kumimoji="1" lang="ja-JP" altLang="en-US" sz="1100" b="1" kern="1200">
                  <a:solidFill>
                    <a:schemeClr val="tx1"/>
                  </a:solidFill>
                </a:rPr>
                <a:t>月</a:t>
              </a:r>
            </a:p>
          </xdr:txBody>
        </xdr:sp>
      </xdr:grpSp>
      <xdr:sp macro="" textlink="">
        <xdr:nvSpPr>
          <xdr:cNvPr id="2" name="正方形/長方形 1">
            <a:extLst>
              <a:ext uri="{FF2B5EF4-FFF2-40B4-BE49-F238E27FC236}">
                <a16:creationId xmlns:a16="http://schemas.microsoft.com/office/drawing/2014/main" id="{17691A6E-3362-E248-8936-87B91A368977}"/>
              </a:ext>
            </a:extLst>
          </xdr:cNvPr>
          <xdr:cNvSpPr/>
        </xdr:nvSpPr>
        <xdr:spPr>
          <a:xfrm>
            <a:off x="1159417" y="24727146"/>
            <a:ext cx="2819915" cy="2688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100" b="1" kern="1200">
                <a:solidFill>
                  <a:schemeClr val="tx1"/>
                </a:solidFill>
              </a:rPr>
              <a:t>（直近１年間の）採用者数又は労働者数</a:t>
            </a:r>
          </a:p>
        </xdr:txBody>
      </xdr:sp>
    </xdr:grpSp>
    <xdr:clientData/>
  </xdr:twoCellAnchor>
  <xdr:twoCellAnchor>
    <xdr:from>
      <xdr:col>38</xdr:col>
      <xdr:colOff>16934</xdr:colOff>
      <xdr:row>31</xdr:row>
      <xdr:rowOff>281092</xdr:rowOff>
    </xdr:from>
    <xdr:to>
      <xdr:col>58</xdr:col>
      <xdr:colOff>254002</xdr:colOff>
      <xdr:row>32</xdr:row>
      <xdr:rowOff>104985</xdr:rowOff>
    </xdr:to>
    <xdr:sp macro="" textlink="">
      <xdr:nvSpPr>
        <xdr:cNvPr id="16" name="正方形/長方形 15">
          <a:extLst>
            <a:ext uri="{FF2B5EF4-FFF2-40B4-BE49-F238E27FC236}">
              <a16:creationId xmlns:a16="http://schemas.microsoft.com/office/drawing/2014/main" id="{D0F778E4-2F6E-C64B-B064-16DDCF332D35}"/>
            </a:ext>
          </a:extLst>
        </xdr:cNvPr>
        <xdr:cNvSpPr/>
      </xdr:nvSpPr>
      <xdr:spPr>
        <a:xfrm>
          <a:off x="5533814" y="20916052"/>
          <a:ext cx="3061548" cy="36237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en-US" altLang="ja-JP" sz="1000" b="1" kern="1200">
              <a:solidFill>
                <a:sysClr val="windowText" lastClr="000000"/>
              </a:solidFill>
            </a:rPr>
            <a:t>※</a:t>
          </a:r>
          <a:r>
            <a:rPr kumimoji="1" lang="ja-JP" altLang="en-US" sz="1000" b="1" kern="1200">
              <a:solidFill>
                <a:sysClr val="windowText" lastClr="000000"/>
              </a:solidFill>
            </a:rPr>
            <a:t>男性に対する女性の割合（％）＝</a:t>
          </a:r>
          <a:r>
            <a:rPr kumimoji="1" lang="ja-JP" altLang="en-US" sz="1000" b="1" kern="1200">
              <a:solidFill>
                <a:schemeClr val="tx1"/>
              </a:solidFill>
            </a:rPr>
            <a:t>女性値</a:t>
          </a:r>
          <a:r>
            <a:rPr kumimoji="1" lang="en-US" altLang="ja-JP" sz="1000" b="1" kern="1200">
              <a:solidFill>
                <a:schemeClr val="tx1"/>
              </a:solidFill>
            </a:rPr>
            <a:t>÷</a:t>
          </a:r>
          <a:r>
            <a:rPr kumimoji="1" lang="ja-JP" altLang="en-US" sz="1000" b="1" kern="1200">
              <a:solidFill>
                <a:schemeClr val="tx1"/>
              </a:solidFill>
            </a:rPr>
            <a:t>男性値</a:t>
          </a:r>
        </a:p>
      </xdr:txBody>
    </xdr:sp>
    <xdr:clientData/>
  </xdr:twoCellAnchor>
  <xdr:twoCellAnchor>
    <xdr:from>
      <xdr:col>0</xdr:col>
      <xdr:colOff>169333</xdr:colOff>
      <xdr:row>2</xdr:row>
      <xdr:rowOff>4081705</xdr:rowOff>
    </xdr:from>
    <xdr:to>
      <xdr:col>15</xdr:col>
      <xdr:colOff>79454</xdr:colOff>
      <xdr:row>2</xdr:row>
      <xdr:rowOff>4991099</xdr:rowOff>
    </xdr:to>
    <xdr:sp macro="" textlink="">
      <xdr:nvSpPr>
        <xdr:cNvPr id="79" name="正方形/長方形 78">
          <a:extLst>
            <a:ext uri="{FF2B5EF4-FFF2-40B4-BE49-F238E27FC236}">
              <a16:creationId xmlns:a16="http://schemas.microsoft.com/office/drawing/2014/main" id="{CA77EFDB-03DA-AD4C-8166-4ABFB6887F44}"/>
            </a:ext>
          </a:extLst>
        </xdr:cNvPr>
        <xdr:cNvSpPr/>
      </xdr:nvSpPr>
      <xdr:spPr>
        <a:xfrm>
          <a:off x="169333" y="6357545"/>
          <a:ext cx="2226601" cy="909394"/>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lIns="46800" tIns="0" rIns="46800" bIns="0" rtlCol="0" anchor="ctr"/>
        <a:lstStyle/>
        <a:p>
          <a:pPr algn="ctr"/>
          <a:r>
            <a:rPr kumimoji="1" lang="en-US" altLang="ja-JP" sz="1200" b="1" kern="1200">
              <a:latin typeface="+mn-ea"/>
              <a:ea typeface="+mn-ea"/>
            </a:rPr>
            <a:t>③</a:t>
          </a:r>
          <a:r>
            <a:rPr kumimoji="1" lang="ja-JP" altLang="en-US" sz="1200" b="1" u="none" kern="1200">
              <a:solidFill>
                <a:schemeClr val="tx1"/>
              </a:solidFill>
              <a:latin typeface="+mn-ea"/>
              <a:ea typeface="+mn-ea"/>
            </a:rPr>
            <a:t>シート［分析結果］</a:t>
          </a:r>
          <a:endParaRPr kumimoji="1" lang="en-US" altLang="ja-JP" sz="1200" b="1" u="none" kern="1200">
            <a:solidFill>
              <a:schemeClr val="tx1"/>
            </a:solidFill>
            <a:latin typeface="+mn-ea"/>
            <a:ea typeface="+mn-ea"/>
          </a:endParaRPr>
        </a:p>
        <a:p>
          <a:pPr algn="ctr"/>
          <a:r>
            <a:rPr kumimoji="1" lang="en-US" altLang="ja-JP" sz="1200" b="1" u="none" kern="1200" baseline="0">
              <a:solidFill>
                <a:schemeClr val="tx1"/>
              </a:solidFill>
              <a:latin typeface="+mn-ea"/>
              <a:ea typeface="+mn-ea"/>
            </a:rPr>
            <a:t>  </a:t>
          </a:r>
          <a:r>
            <a:rPr kumimoji="1" lang="ja-JP" altLang="en-US" sz="1200" b="1" u="none" kern="1200" baseline="0">
              <a:solidFill>
                <a:schemeClr val="accent4"/>
              </a:solidFill>
              <a:latin typeface="+mn-ea"/>
              <a:ea typeface="+mn-ea"/>
            </a:rPr>
            <a:t>１</a:t>
          </a:r>
          <a:r>
            <a:rPr kumimoji="1" lang="en-US" altLang="ja-JP" sz="1200" b="1" u="none" kern="1200" baseline="0">
              <a:solidFill>
                <a:schemeClr val="accent4"/>
              </a:solidFill>
              <a:latin typeface="+mn-ea"/>
              <a:ea typeface="+mn-ea"/>
            </a:rPr>
            <a:t>,</a:t>
          </a:r>
          <a:r>
            <a:rPr kumimoji="1" lang="ja-JP" altLang="en-US" sz="1200" b="1" u="none" kern="1200">
              <a:solidFill>
                <a:schemeClr val="accent4"/>
              </a:solidFill>
              <a:latin typeface="+mn-ea"/>
              <a:ea typeface="+mn-ea"/>
            </a:rPr>
            <a:t>男女間賃金差異</a:t>
          </a:r>
          <a:endParaRPr kumimoji="1" lang="en-US" altLang="ja-JP" sz="1200" b="1" u="none" kern="1200">
            <a:solidFill>
              <a:schemeClr val="accent4"/>
            </a:solidFill>
            <a:latin typeface="+mn-ea"/>
            <a:ea typeface="+mn-ea"/>
          </a:endParaRPr>
        </a:p>
        <a:p>
          <a:pPr algn="ctr"/>
          <a:r>
            <a:rPr kumimoji="1" lang="en-US" altLang="ja-JP" sz="1200" b="1" u="none" kern="1200">
              <a:solidFill>
                <a:schemeClr val="accent4"/>
              </a:solidFill>
              <a:latin typeface="+mn-ea"/>
              <a:ea typeface="+mn-ea"/>
            </a:rPr>
            <a:t>  </a:t>
          </a:r>
          <a:r>
            <a:rPr kumimoji="1" lang="ja-JP" altLang="en-US" sz="1200" b="1" u="none" kern="1200">
              <a:solidFill>
                <a:schemeClr val="accent4"/>
              </a:solidFill>
              <a:latin typeface="+mn-ea"/>
              <a:ea typeface="+mn-ea"/>
            </a:rPr>
            <a:t>２</a:t>
          </a:r>
          <a:r>
            <a:rPr kumimoji="1" lang="en-US" altLang="ja-JP" sz="1200" b="1" u="none" kern="1200">
              <a:solidFill>
                <a:schemeClr val="accent4"/>
              </a:solidFill>
              <a:latin typeface="+mn-ea"/>
              <a:ea typeface="+mn-ea"/>
            </a:rPr>
            <a:t>.</a:t>
          </a:r>
          <a:r>
            <a:rPr kumimoji="1" lang="ja-JP" altLang="en-US" sz="1200" b="1" u="none" kern="1200">
              <a:solidFill>
                <a:schemeClr val="accent4"/>
              </a:solidFill>
              <a:latin typeface="+mn-ea"/>
              <a:ea typeface="+mn-ea"/>
            </a:rPr>
            <a:t>男女間賃金菜が生じる要因</a:t>
          </a:r>
          <a:endParaRPr kumimoji="1" lang="en-US" altLang="ja-JP" sz="1200" b="1" u="none" kern="1200">
            <a:solidFill>
              <a:schemeClr val="accent4"/>
            </a:solidFill>
            <a:latin typeface="+mn-ea"/>
            <a:ea typeface="+mn-ea"/>
          </a:endParaRPr>
        </a:p>
      </xdr:txBody>
    </xdr:sp>
    <xdr:clientData/>
  </xdr:twoCellAnchor>
  <xdr:twoCellAnchor>
    <xdr:from>
      <xdr:col>41</xdr:col>
      <xdr:colOff>78646</xdr:colOff>
      <xdr:row>46</xdr:row>
      <xdr:rowOff>1864359</xdr:rowOff>
    </xdr:from>
    <xdr:to>
      <xdr:col>57</xdr:col>
      <xdr:colOff>129397</xdr:colOff>
      <xdr:row>47</xdr:row>
      <xdr:rowOff>96369</xdr:rowOff>
    </xdr:to>
    <xdr:grpSp>
      <xdr:nvGrpSpPr>
        <xdr:cNvPr id="13" name="グループ化 12">
          <a:extLst>
            <a:ext uri="{FF2B5EF4-FFF2-40B4-BE49-F238E27FC236}">
              <a16:creationId xmlns:a16="http://schemas.microsoft.com/office/drawing/2014/main" id="{DC731614-53EF-7644-699F-92463D7174F1}"/>
            </a:ext>
          </a:extLst>
        </xdr:cNvPr>
        <xdr:cNvGrpSpPr/>
      </xdr:nvGrpSpPr>
      <xdr:grpSpPr>
        <a:xfrm>
          <a:off x="5976526" y="28671519"/>
          <a:ext cx="2367231" cy="388470"/>
          <a:chOff x="6727826" y="28105099"/>
          <a:chExt cx="2482846" cy="391010"/>
        </a:xfrm>
      </xdr:grpSpPr>
      <xdr:cxnSp macro="">
        <xdr:nvCxnSpPr>
          <xdr:cNvPr id="28" name="直線コネクタ 27">
            <a:extLst>
              <a:ext uri="{FF2B5EF4-FFF2-40B4-BE49-F238E27FC236}">
                <a16:creationId xmlns:a16="http://schemas.microsoft.com/office/drawing/2014/main" id="{63D0DC71-8469-4283-A0E2-0D2ABD0521DD}"/>
              </a:ext>
            </a:extLst>
          </xdr:cNvPr>
          <xdr:cNvCxnSpPr/>
        </xdr:nvCxnSpPr>
        <xdr:spPr>
          <a:xfrm flipV="1">
            <a:off x="6727826" y="28320875"/>
            <a:ext cx="335098" cy="4368"/>
          </a:xfrm>
          <a:prstGeom prst="line">
            <a:avLst/>
          </a:prstGeom>
          <a:ln w="117475">
            <a:solidFill>
              <a:schemeClr val="accent2"/>
            </a:solidFill>
          </a:ln>
        </xdr:spPr>
        <xdr:style>
          <a:lnRef idx="2">
            <a:schemeClr val="accent1"/>
          </a:lnRef>
          <a:fillRef idx="0">
            <a:schemeClr val="accent1"/>
          </a:fillRef>
          <a:effectRef idx="1">
            <a:schemeClr val="accent1"/>
          </a:effectRef>
          <a:fontRef idx="minor">
            <a:schemeClr val="tx1"/>
          </a:fontRef>
        </xdr:style>
      </xdr:cxnSp>
      <xdr:sp macro="" textlink="">
        <xdr:nvSpPr>
          <xdr:cNvPr id="33" name="正方形/長方形 32">
            <a:extLst>
              <a:ext uri="{FF2B5EF4-FFF2-40B4-BE49-F238E27FC236}">
                <a16:creationId xmlns:a16="http://schemas.microsoft.com/office/drawing/2014/main" id="{7B664B2D-C734-4962-9669-F5E3E4727449}"/>
              </a:ext>
            </a:extLst>
          </xdr:cNvPr>
          <xdr:cNvSpPr/>
        </xdr:nvSpPr>
        <xdr:spPr>
          <a:xfrm>
            <a:off x="7061108" y="28105099"/>
            <a:ext cx="794601" cy="39101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chemeClr val="tx2"/>
                </a:solidFill>
              </a:rPr>
              <a:t>貴社</a:t>
            </a:r>
          </a:p>
        </xdr:txBody>
      </xdr:sp>
      <xdr:sp macro="" textlink="">
        <xdr:nvSpPr>
          <xdr:cNvPr id="41" name="正方形/長方形 40">
            <a:extLst>
              <a:ext uri="{FF2B5EF4-FFF2-40B4-BE49-F238E27FC236}">
                <a16:creationId xmlns:a16="http://schemas.microsoft.com/office/drawing/2014/main" id="{6E1FADE2-A59F-4278-91DE-476E180CF9B7}"/>
              </a:ext>
            </a:extLst>
          </xdr:cNvPr>
          <xdr:cNvSpPr/>
        </xdr:nvSpPr>
        <xdr:spPr>
          <a:xfrm>
            <a:off x="8280396" y="28108585"/>
            <a:ext cx="930276" cy="3748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chemeClr val="tx2"/>
                </a:solidFill>
              </a:rPr>
              <a:t>参考値</a:t>
            </a:r>
          </a:p>
        </xdr:txBody>
      </xdr:sp>
      <xdr:cxnSp macro="">
        <xdr:nvCxnSpPr>
          <xdr:cNvPr id="42" name="直線コネクタ 41">
            <a:extLst>
              <a:ext uri="{FF2B5EF4-FFF2-40B4-BE49-F238E27FC236}">
                <a16:creationId xmlns:a16="http://schemas.microsoft.com/office/drawing/2014/main" id="{723CB5C3-D2D6-4C10-BD14-1F2A000E27B4}"/>
              </a:ext>
            </a:extLst>
          </xdr:cNvPr>
          <xdr:cNvCxnSpPr/>
        </xdr:nvCxnSpPr>
        <xdr:spPr>
          <a:xfrm>
            <a:off x="7962900" y="28329464"/>
            <a:ext cx="277200" cy="4273"/>
          </a:xfrm>
          <a:prstGeom prst="line">
            <a:avLst/>
          </a:prstGeom>
          <a:ln w="117475">
            <a:solidFill>
              <a:schemeClr val="tx2">
                <a:lumMod val="50000"/>
                <a:lumOff val="50000"/>
              </a:schemeClr>
            </a:solidFill>
          </a:ln>
        </xdr:spPr>
        <xdr:style>
          <a:lnRef idx="2">
            <a:schemeClr val="accent1"/>
          </a:lnRef>
          <a:fillRef idx="0">
            <a:schemeClr val="accent1"/>
          </a:fillRef>
          <a:effectRef idx="1">
            <a:schemeClr val="accent1"/>
          </a:effectRef>
          <a:fontRef idx="minor">
            <a:schemeClr val="tx1"/>
          </a:fontRef>
        </xdr:style>
      </xdr:cxnSp>
    </xdr:grpSp>
    <xdr:clientData/>
  </xdr:twoCellAnchor>
  <xdr:twoCellAnchor>
    <xdr:from>
      <xdr:col>42</xdr:col>
      <xdr:colOff>105980</xdr:colOff>
      <xdr:row>28</xdr:row>
      <xdr:rowOff>63499</xdr:rowOff>
    </xdr:from>
    <xdr:to>
      <xdr:col>57</xdr:col>
      <xdr:colOff>138974</xdr:colOff>
      <xdr:row>28</xdr:row>
      <xdr:rowOff>454509</xdr:rowOff>
    </xdr:to>
    <xdr:grpSp>
      <xdr:nvGrpSpPr>
        <xdr:cNvPr id="8" name="グループ化 7">
          <a:extLst>
            <a:ext uri="{FF2B5EF4-FFF2-40B4-BE49-F238E27FC236}">
              <a16:creationId xmlns:a16="http://schemas.microsoft.com/office/drawing/2014/main" id="{0DAB94EB-16BD-6EB4-3C76-EF4C9204E134}"/>
            </a:ext>
          </a:extLst>
        </xdr:cNvPr>
        <xdr:cNvGrpSpPr/>
      </xdr:nvGrpSpPr>
      <xdr:grpSpPr>
        <a:xfrm>
          <a:off x="6148640" y="16233139"/>
          <a:ext cx="2204694" cy="391010"/>
          <a:chOff x="6806252" y="16179799"/>
          <a:chExt cx="2328220" cy="391010"/>
        </a:xfrm>
      </xdr:grpSpPr>
      <xdr:cxnSp macro="">
        <xdr:nvCxnSpPr>
          <xdr:cNvPr id="44" name="直線コネクタ 43">
            <a:extLst>
              <a:ext uri="{FF2B5EF4-FFF2-40B4-BE49-F238E27FC236}">
                <a16:creationId xmlns:a16="http://schemas.microsoft.com/office/drawing/2014/main" id="{70141A97-A871-4EA8-A60B-5C73CA8FCAAD}"/>
              </a:ext>
            </a:extLst>
          </xdr:cNvPr>
          <xdr:cNvCxnSpPr/>
        </xdr:nvCxnSpPr>
        <xdr:spPr>
          <a:xfrm flipV="1">
            <a:off x="6806252" y="16397031"/>
            <a:ext cx="277200" cy="2911"/>
          </a:xfrm>
          <a:prstGeom prst="line">
            <a:avLst/>
          </a:prstGeom>
          <a:ln w="117475">
            <a:solidFill>
              <a:schemeClr val="accent2"/>
            </a:solidFill>
          </a:ln>
        </xdr:spPr>
        <xdr:style>
          <a:lnRef idx="2">
            <a:schemeClr val="accent1"/>
          </a:lnRef>
          <a:fillRef idx="0">
            <a:schemeClr val="accent1"/>
          </a:fillRef>
          <a:effectRef idx="1">
            <a:schemeClr val="accent1"/>
          </a:effectRef>
          <a:fontRef idx="minor">
            <a:schemeClr val="tx1"/>
          </a:fontRef>
        </xdr:style>
      </xdr:cxnSp>
      <xdr:sp macro="" textlink="">
        <xdr:nvSpPr>
          <xdr:cNvPr id="60" name="正方形/長方形 59">
            <a:extLst>
              <a:ext uri="{FF2B5EF4-FFF2-40B4-BE49-F238E27FC236}">
                <a16:creationId xmlns:a16="http://schemas.microsoft.com/office/drawing/2014/main" id="{09284C1A-34FB-44DE-8F17-01AC70380117}"/>
              </a:ext>
            </a:extLst>
          </xdr:cNvPr>
          <xdr:cNvSpPr/>
        </xdr:nvSpPr>
        <xdr:spPr>
          <a:xfrm>
            <a:off x="7088739" y="16179799"/>
            <a:ext cx="756235" cy="39101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chemeClr val="tx2"/>
                </a:solidFill>
              </a:rPr>
              <a:t>貴社</a:t>
            </a:r>
          </a:p>
        </xdr:txBody>
      </xdr:sp>
      <xdr:sp macro="" textlink="">
        <xdr:nvSpPr>
          <xdr:cNvPr id="61" name="正方形/長方形 60">
            <a:extLst>
              <a:ext uri="{FF2B5EF4-FFF2-40B4-BE49-F238E27FC236}">
                <a16:creationId xmlns:a16="http://schemas.microsoft.com/office/drawing/2014/main" id="{AD55518B-1E9E-48A2-A66C-585BE61C9949}"/>
              </a:ext>
            </a:extLst>
          </xdr:cNvPr>
          <xdr:cNvSpPr/>
        </xdr:nvSpPr>
        <xdr:spPr>
          <a:xfrm>
            <a:off x="8191496" y="16183285"/>
            <a:ext cx="942976" cy="3748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chemeClr val="tx2"/>
                </a:solidFill>
              </a:rPr>
              <a:t>参考値</a:t>
            </a:r>
          </a:p>
        </xdr:txBody>
      </xdr:sp>
      <xdr:cxnSp macro="">
        <xdr:nvCxnSpPr>
          <xdr:cNvPr id="63" name="直線コネクタ 62">
            <a:extLst>
              <a:ext uri="{FF2B5EF4-FFF2-40B4-BE49-F238E27FC236}">
                <a16:creationId xmlns:a16="http://schemas.microsoft.com/office/drawing/2014/main" id="{BA31E4AF-9B73-4D63-9FE6-70D660EC54F0}"/>
              </a:ext>
            </a:extLst>
          </xdr:cNvPr>
          <xdr:cNvCxnSpPr/>
        </xdr:nvCxnSpPr>
        <xdr:spPr>
          <a:xfrm>
            <a:off x="7899400" y="16404164"/>
            <a:ext cx="277200" cy="4273"/>
          </a:xfrm>
          <a:prstGeom prst="line">
            <a:avLst/>
          </a:prstGeom>
          <a:ln w="117475">
            <a:solidFill>
              <a:schemeClr val="tx2">
                <a:lumMod val="50000"/>
                <a:lumOff val="50000"/>
              </a:schemeClr>
            </a:solidFill>
          </a:ln>
        </xdr:spPr>
        <xdr:style>
          <a:lnRef idx="2">
            <a:schemeClr val="accent1"/>
          </a:lnRef>
          <a:fillRef idx="0">
            <a:schemeClr val="accent1"/>
          </a:fillRef>
          <a:effectRef idx="1">
            <a:schemeClr val="accent1"/>
          </a:effectRef>
          <a:fontRef idx="minor">
            <a:schemeClr val="tx1"/>
          </a:fontRef>
        </xdr:style>
      </xdr:cxnSp>
    </xdr:grpSp>
    <xdr:clientData/>
  </xdr:twoCellAnchor>
  <xdr:twoCellAnchor>
    <xdr:from>
      <xdr:col>44</xdr:col>
      <xdr:colOff>2314</xdr:colOff>
      <xdr:row>10</xdr:row>
      <xdr:rowOff>315806</xdr:rowOff>
    </xdr:from>
    <xdr:to>
      <xdr:col>58</xdr:col>
      <xdr:colOff>182299</xdr:colOff>
      <xdr:row>11</xdr:row>
      <xdr:rowOff>204666</xdr:rowOff>
    </xdr:to>
    <xdr:grpSp>
      <xdr:nvGrpSpPr>
        <xdr:cNvPr id="4" name="グループ化 3">
          <a:extLst>
            <a:ext uri="{FF2B5EF4-FFF2-40B4-BE49-F238E27FC236}">
              <a16:creationId xmlns:a16="http://schemas.microsoft.com/office/drawing/2014/main" id="{57B3528B-B857-ED40-4F69-78CB8F300E13}"/>
            </a:ext>
          </a:extLst>
        </xdr:cNvPr>
        <xdr:cNvGrpSpPr>
          <a:grpSpLocks noChangeAspect="1"/>
        </xdr:cNvGrpSpPr>
      </xdr:nvGrpSpPr>
      <xdr:grpSpPr>
        <a:xfrm>
          <a:off x="6334534" y="10564706"/>
          <a:ext cx="2206905" cy="368920"/>
          <a:chOff x="6759803" y="10515599"/>
          <a:chExt cx="2451761" cy="391010"/>
        </a:xfrm>
      </xdr:grpSpPr>
      <xdr:cxnSp macro="">
        <xdr:nvCxnSpPr>
          <xdr:cNvPr id="64" name="直線コネクタ 63">
            <a:extLst>
              <a:ext uri="{FF2B5EF4-FFF2-40B4-BE49-F238E27FC236}">
                <a16:creationId xmlns:a16="http://schemas.microsoft.com/office/drawing/2014/main" id="{09A07D45-B74A-46B1-A726-75367C129EA8}"/>
              </a:ext>
            </a:extLst>
          </xdr:cNvPr>
          <xdr:cNvCxnSpPr/>
        </xdr:nvCxnSpPr>
        <xdr:spPr>
          <a:xfrm flipV="1">
            <a:off x="6759803" y="10732831"/>
            <a:ext cx="292099" cy="2911"/>
          </a:xfrm>
          <a:prstGeom prst="line">
            <a:avLst/>
          </a:prstGeom>
          <a:ln w="117475">
            <a:solidFill>
              <a:schemeClr val="accent2"/>
            </a:solidFill>
          </a:ln>
        </xdr:spPr>
        <xdr:style>
          <a:lnRef idx="2">
            <a:schemeClr val="accent1"/>
          </a:lnRef>
          <a:fillRef idx="0">
            <a:schemeClr val="accent1"/>
          </a:fillRef>
          <a:effectRef idx="1">
            <a:schemeClr val="accent1"/>
          </a:effectRef>
          <a:fontRef idx="minor">
            <a:schemeClr val="tx1"/>
          </a:fontRef>
        </xdr:style>
      </xdr:cxnSp>
      <xdr:sp macro="" textlink="">
        <xdr:nvSpPr>
          <xdr:cNvPr id="68" name="正方形/長方形 67">
            <a:extLst>
              <a:ext uri="{FF2B5EF4-FFF2-40B4-BE49-F238E27FC236}">
                <a16:creationId xmlns:a16="http://schemas.microsoft.com/office/drawing/2014/main" id="{484D9AD0-DA88-4EFD-9081-54A7977C542E}"/>
              </a:ext>
            </a:extLst>
          </xdr:cNvPr>
          <xdr:cNvSpPr/>
        </xdr:nvSpPr>
        <xdr:spPr>
          <a:xfrm>
            <a:off x="7079730" y="10515599"/>
            <a:ext cx="771856" cy="39101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chemeClr val="tx2"/>
                </a:solidFill>
              </a:rPr>
              <a:t>貴社</a:t>
            </a:r>
          </a:p>
        </xdr:txBody>
      </xdr:sp>
      <xdr:sp macro="" textlink="">
        <xdr:nvSpPr>
          <xdr:cNvPr id="72" name="正方形/長方形 71">
            <a:extLst>
              <a:ext uri="{FF2B5EF4-FFF2-40B4-BE49-F238E27FC236}">
                <a16:creationId xmlns:a16="http://schemas.microsoft.com/office/drawing/2014/main" id="{477828E2-2DF0-42F7-9719-4D70744025C8}"/>
              </a:ext>
            </a:extLst>
          </xdr:cNvPr>
          <xdr:cNvSpPr/>
        </xdr:nvSpPr>
        <xdr:spPr>
          <a:xfrm>
            <a:off x="8277055" y="10519085"/>
            <a:ext cx="934509" cy="3748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chemeClr val="tx2"/>
                </a:solidFill>
              </a:rPr>
              <a:t>参考値</a:t>
            </a:r>
          </a:p>
        </xdr:txBody>
      </xdr:sp>
      <xdr:cxnSp macro="">
        <xdr:nvCxnSpPr>
          <xdr:cNvPr id="86" name="直線コネクタ 85">
            <a:extLst>
              <a:ext uri="{FF2B5EF4-FFF2-40B4-BE49-F238E27FC236}">
                <a16:creationId xmlns:a16="http://schemas.microsoft.com/office/drawing/2014/main" id="{BC0A320C-5F75-4A1B-9C7D-85406DC2A5F2}"/>
              </a:ext>
            </a:extLst>
          </xdr:cNvPr>
          <xdr:cNvCxnSpPr/>
        </xdr:nvCxnSpPr>
        <xdr:spPr>
          <a:xfrm>
            <a:off x="7978943" y="10739964"/>
            <a:ext cx="291790" cy="4273"/>
          </a:xfrm>
          <a:prstGeom prst="line">
            <a:avLst/>
          </a:prstGeom>
          <a:ln w="117475">
            <a:solidFill>
              <a:schemeClr val="tx2">
                <a:lumMod val="50000"/>
                <a:lumOff val="50000"/>
              </a:schemeClr>
            </a:solidFill>
          </a:ln>
        </xdr:spPr>
        <xdr:style>
          <a:lnRef idx="2">
            <a:schemeClr val="accent1"/>
          </a:lnRef>
          <a:fillRef idx="0">
            <a:schemeClr val="accent1"/>
          </a:fillRef>
          <a:effectRef idx="1">
            <a:schemeClr val="accent1"/>
          </a:effectRef>
          <a:fontRef idx="minor">
            <a:schemeClr val="tx1"/>
          </a:fontRef>
        </xdr:style>
      </xdr:cxnSp>
    </xdr:grpSp>
    <xdr:clientData/>
  </xdr:twoCellAnchor>
  <xdr:twoCellAnchor>
    <xdr:from>
      <xdr:col>63</xdr:col>
      <xdr:colOff>10285</xdr:colOff>
      <xdr:row>2</xdr:row>
      <xdr:rowOff>4369950</xdr:rowOff>
    </xdr:from>
    <xdr:to>
      <xdr:col>98</xdr:col>
      <xdr:colOff>116541</xdr:colOff>
      <xdr:row>5</xdr:row>
      <xdr:rowOff>215154</xdr:rowOff>
    </xdr:to>
    <xdr:sp macro="" textlink="">
      <xdr:nvSpPr>
        <xdr:cNvPr id="9" name="吹き出し: 四角形 8">
          <a:extLst>
            <a:ext uri="{FF2B5EF4-FFF2-40B4-BE49-F238E27FC236}">
              <a16:creationId xmlns:a16="http://schemas.microsoft.com/office/drawing/2014/main" id="{FC9EF95A-9091-2E2C-62D8-F8C4CA294D3B}"/>
            </a:ext>
          </a:extLst>
        </xdr:cNvPr>
        <xdr:cNvSpPr/>
      </xdr:nvSpPr>
      <xdr:spPr>
        <a:xfrm rot="5400000">
          <a:off x="10666246" y="4937801"/>
          <a:ext cx="1627439" cy="5063738"/>
        </a:xfrm>
        <a:prstGeom prst="wedgeRectCallout">
          <a:avLst>
            <a:gd name="adj1" fmla="val 63280"/>
            <a:gd name="adj2" fmla="val 88371"/>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270" rtlCol="0" anchor="t"/>
        <a:lstStyle/>
        <a:p>
          <a:pPr algn="l" eaLnBrk="1" fontAlgn="auto" latinLnBrk="0" hangingPunct="1"/>
          <a:r>
            <a:rPr lang="en-US" altLang="ja-JP" sz="1100">
              <a:solidFill>
                <a:sysClr val="windowText" lastClr="000000"/>
              </a:solidFill>
              <a:effectLst/>
              <a:latin typeface="+mn-lt"/>
              <a:ea typeface="+mn-ea"/>
              <a:cs typeface="+mn-cs"/>
            </a:rPr>
            <a:t>※</a:t>
          </a:r>
          <a:r>
            <a:rPr kumimoji="1" lang="ja-JP" altLang="ja-JP" sz="1100" b="1">
              <a:solidFill>
                <a:sysClr val="windowText" lastClr="000000"/>
              </a:solidFill>
              <a:effectLst/>
              <a:latin typeface="+mn-lt"/>
              <a:ea typeface="+mn-ea"/>
              <a:cs typeface="+mn-cs"/>
            </a:rPr>
            <a:t>初期値</a:t>
          </a:r>
          <a:r>
            <a:rPr kumimoji="1" lang="ja-JP" altLang="ja-JP" sz="1100">
              <a:solidFill>
                <a:sysClr val="windowText" lastClr="000000"/>
              </a:solidFill>
              <a:effectLst/>
              <a:latin typeface="+mn-lt"/>
              <a:ea typeface="+mn-ea"/>
              <a:cs typeface="+mn-cs"/>
            </a:rPr>
            <a:t>は、</a:t>
          </a:r>
          <a:r>
            <a:rPr kumimoji="1" lang="ja-JP" altLang="ja-JP" sz="1100" b="1">
              <a:solidFill>
                <a:sysClr val="windowText" lastClr="000000"/>
              </a:solidFill>
              <a:effectLst/>
              <a:latin typeface="+mn-lt"/>
              <a:ea typeface="+mn-ea"/>
              <a:cs typeface="+mn-cs"/>
            </a:rPr>
            <a:t>「産業大分類計」「企業規模計」の数値が表示</a:t>
          </a:r>
          <a:r>
            <a:rPr kumimoji="1" lang="ja-JP" altLang="ja-JP" sz="1100">
              <a:solidFill>
                <a:sysClr val="windowText" lastClr="000000"/>
              </a:solidFill>
              <a:effectLst/>
              <a:latin typeface="+mn-lt"/>
              <a:ea typeface="+mn-ea"/>
              <a:cs typeface="+mn-cs"/>
            </a:rPr>
            <a:t>されています。</a:t>
          </a:r>
          <a:endParaRPr lang="ja-JP" altLang="ja-JP">
            <a:solidFill>
              <a:sysClr val="windowText" lastClr="000000"/>
            </a:solidFill>
            <a:effectLst/>
          </a:endParaRPr>
        </a:p>
        <a:p>
          <a:pPr algn="l" eaLnBrk="1" fontAlgn="auto" latinLnBrk="0" hangingPunct="1"/>
          <a:r>
            <a:rPr kumimoji="1" lang="ja-JP" altLang="ja-JP" sz="1100">
              <a:solidFill>
                <a:sysClr val="windowText" lastClr="000000"/>
              </a:solidFill>
              <a:effectLst/>
              <a:latin typeface="+mn-lt"/>
              <a:ea typeface="+mn-ea"/>
              <a:cs typeface="+mn-cs"/>
            </a:rPr>
            <a:t>　</a:t>
          </a:r>
          <a:r>
            <a:rPr kumimoji="1" lang="en-US" altLang="ja-JP" sz="1100">
              <a:solidFill>
                <a:sysClr val="windowText" lastClr="000000"/>
              </a:solidFill>
              <a:effectLst/>
              <a:latin typeface="+mn-lt"/>
              <a:ea typeface="+mn-ea"/>
              <a:cs typeface="+mn-cs"/>
            </a:rPr>
            <a:t>①</a:t>
          </a:r>
          <a:r>
            <a:rPr kumimoji="1" lang="ja-JP" altLang="ja-JP" sz="1100">
              <a:solidFill>
                <a:sysClr val="windowText" lastClr="000000"/>
              </a:solidFill>
              <a:effectLst/>
              <a:latin typeface="+mn-lt"/>
              <a:ea typeface="+mn-ea"/>
              <a:cs typeface="+mn-cs"/>
            </a:rPr>
            <a:t>シート「入力シート」で、自社が該当する産業分類や企業規模を選択</a:t>
          </a:r>
          <a:endParaRPr lang="ja-JP" altLang="ja-JP">
            <a:solidFill>
              <a:sysClr val="windowText" lastClr="000000"/>
            </a:solidFill>
            <a:effectLst/>
          </a:endParaRPr>
        </a:p>
        <a:p>
          <a:pPr algn="l" eaLnBrk="1" fontAlgn="auto" latinLnBrk="0" hangingPunct="1"/>
          <a:r>
            <a:rPr kumimoji="1" lang="ja-JP" altLang="ja-JP" sz="1100">
              <a:solidFill>
                <a:sysClr val="windowText" lastClr="000000"/>
              </a:solidFill>
              <a:effectLst/>
              <a:latin typeface="+mn-lt"/>
              <a:ea typeface="+mn-ea"/>
              <a:cs typeface="+mn-cs"/>
            </a:rPr>
            <a:t>　すると、表示される数値は切り替わります。</a:t>
          </a:r>
          <a:endParaRPr lang="ja-JP" altLang="ja-JP">
            <a:solidFill>
              <a:sysClr val="windowText" lastClr="000000"/>
            </a:solidFill>
            <a:effectLst/>
          </a:endParaRPr>
        </a:p>
        <a:p>
          <a:pPr algn="l" eaLnBrk="1" fontAlgn="auto" latinLnBrk="0" hangingPunct="1"/>
          <a:r>
            <a:rPr lang="en-US" altLang="ja-JP" sz="1100">
              <a:solidFill>
                <a:sysClr val="windowText" lastClr="000000"/>
              </a:solidFill>
              <a:effectLst/>
              <a:latin typeface="+mn-lt"/>
              <a:ea typeface="+mn-ea"/>
              <a:cs typeface="+mn-cs"/>
            </a:rPr>
            <a:t>※</a:t>
          </a:r>
          <a:r>
            <a:rPr lang="ja-JP" altLang="ja-JP" sz="1100">
              <a:solidFill>
                <a:sysClr val="windowText" lastClr="000000"/>
              </a:solidFill>
              <a:effectLst/>
              <a:latin typeface="+mn-lt"/>
              <a:ea typeface="+mn-ea"/>
              <a:cs typeface="+mn-cs"/>
            </a:rPr>
            <a:t>国内の全事業所が調査対象ではないため、</a:t>
          </a:r>
          <a:r>
            <a:rPr lang="ja-JP" altLang="ja-JP" sz="1100" b="1">
              <a:solidFill>
                <a:sysClr val="windowText" lastClr="000000"/>
              </a:solidFill>
              <a:effectLst/>
              <a:latin typeface="+mn-lt"/>
              <a:ea typeface="+mn-ea"/>
              <a:cs typeface="+mn-cs"/>
            </a:rPr>
            <a:t>選択条件（産業分類・企業</a:t>
          </a:r>
          <a:r>
            <a:rPr lang="ja-JP" altLang="ja-JP" sz="1100" b="1" baseline="0">
              <a:solidFill>
                <a:sysClr val="windowText" lastClr="000000"/>
              </a:solidFill>
              <a:effectLst/>
              <a:latin typeface="+mn-lt"/>
              <a:ea typeface="+mn-ea"/>
              <a:cs typeface="+mn-cs"/>
            </a:rPr>
            <a:t>    </a:t>
          </a:r>
          <a:br>
            <a:rPr lang="en-US" altLang="ja-JP" sz="1100" b="1" baseline="0">
              <a:solidFill>
                <a:sysClr val="windowText" lastClr="000000"/>
              </a:solidFill>
              <a:effectLst/>
              <a:latin typeface="+mn-lt"/>
              <a:ea typeface="+mn-ea"/>
              <a:cs typeface="+mn-cs"/>
            </a:rPr>
          </a:br>
          <a:r>
            <a:rPr lang="ja-JP" altLang="ja-JP" sz="1100" b="1" baseline="0">
              <a:solidFill>
                <a:sysClr val="windowText" lastClr="000000"/>
              </a:solidFill>
              <a:effectLst/>
              <a:latin typeface="+mn-lt"/>
              <a:ea typeface="+mn-ea"/>
              <a:cs typeface="+mn-cs"/>
            </a:rPr>
            <a:t>　</a:t>
          </a:r>
          <a:r>
            <a:rPr lang="ja-JP" altLang="ja-JP" sz="1100" b="1">
              <a:solidFill>
                <a:sysClr val="windowText" lastClr="000000"/>
              </a:solidFill>
              <a:effectLst/>
              <a:latin typeface="+mn-lt"/>
              <a:ea typeface="+mn-ea"/>
              <a:cs typeface="+mn-cs"/>
            </a:rPr>
            <a:t>模）によっては、データが存在せず「</a:t>
          </a:r>
          <a:r>
            <a:rPr lang="en-US" altLang="ja-JP" sz="1100" b="1">
              <a:solidFill>
                <a:sysClr val="windowText" lastClr="000000"/>
              </a:solidFill>
              <a:effectLst/>
              <a:latin typeface="+mn-lt"/>
              <a:ea typeface="+mn-ea"/>
              <a:cs typeface="+mn-cs"/>
            </a:rPr>
            <a:t>-</a:t>
          </a:r>
          <a:r>
            <a:rPr lang="ja-JP" altLang="ja-JP" sz="1100" b="1">
              <a:solidFill>
                <a:sysClr val="windowText" lastClr="000000"/>
              </a:solidFill>
              <a:effectLst/>
              <a:latin typeface="+mn-lt"/>
              <a:ea typeface="+mn-ea"/>
              <a:cs typeface="+mn-cs"/>
            </a:rPr>
            <a:t>」と表記される場合があります。　　　</a:t>
          </a:r>
          <a:br>
            <a:rPr lang="en-US" altLang="ja-JP" sz="1100" b="1">
              <a:solidFill>
                <a:sysClr val="windowText" lastClr="000000"/>
              </a:solidFill>
              <a:effectLst/>
              <a:latin typeface="+mn-lt"/>
              <a:ea typeface="+mn-ea"/>
              <a:cs typeface="+mn-cs"/>
            </a:rPr>
          </a:br>
          <a:r>
            <a:rPr lang="ja-JP" altLang="ja-JP" sz="1100" b="1">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あくまで参考情報としてご覧ください。</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twoCellAnchor editAs="absolute">
    <xdr:from>
      <xdr:col>1</xdr:col>
      <xdr:colOff>182880</xdr:colOff>
      <xdr:row>25</xdr:row>
      <xdr:rowOff>220980</xdr:rowOff>
    </xdr:from>
    <xdr:to>
      <xdr:col>18</xdr:col>
      <xdr:colOff>34810</xdr:colOff>
      <xdr:row>27</xdr:row>
      <xdr:rowOff>38100</xdr:rowOff>
    </xdr:to>
    <xdr:sp macro="" textlink="計算!C14">
      <xdr:nvSpPr>
        <xdr:cNvPr id="11" name="正方形/長方形 10">
          <a:extLst>
            <a:ext uri="{FF2B5EF4-FFF2-40B4-BE49-F238E27FC236}">
              <a16:creationId xmlns:a16="http://schemas.microsoft.com/office/drawing/2014/main" id="{E2C04F4F-AD1F-4A32-95E1-50E6FAF3CC77}"/>
            </a:ext>
          </a:extLst>
        </xdr:cNvPr>
        <xdr:cNvSpPr/>
      </xdr:nvSpPr>
      <xdr:spPr>
        <a:xfrm>
          <a:off x="281940" y="13525500"/>
          <a:ext cx="2336050" cy="2819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fld id="{9060F9F5-9E4D-44EB-B35F-D92CB30E7BD3}" type="TxLink">
            <a:rPr kumimoji="1" lang="ja-JP" altLang="en-US" sz="900" b="0" i="0" u="none" strike="noStrike">
              <a:solidFill>
                <a:srgbClr val="000000"/>
              </a:solidFill>
              <a:latin typeface="游ゴシック"/>
              <a:ea typeface="游ゴシック"/>
            </a:rPr>
            <a:pPr algn="l"/>
            <a:t> </a:t>
          </a:fld>
          <a:endParaRPr kumimoji="1" lang="ja-JP" altLang="en-US" sz="800"/>
        </a:p>
      </xdr:txBody>
    </xdr:sp>
    <xdr:clientData/>
  </xdr:twoCellAnchor>
  <xdr:twoCellAnchor editAs="absolute">
    <xdr:from>
      <xdr:col>20</xdr:col>
      <xdr:colOff>129540</xdr:colOff>
      <xdr:row>25</xdr:row>
      <xdr:rowOff>236220</xdr:rowOff>
    </xdr:from>
    <xdr:to>
      <xdr:col>36</xdr:col>
      <xdr:colOff>24852</xdr:colOff>
      <xdr:row>27</xdr:row>
      <xdr:rowOff>53340</xdr:rowOff>
    </xdr:to>
    <xdr:sp macro="" textlink="計算!C39">
      <xdr:nvSpPr>
        <xdr:cNvPr id="15" name="正方形/長方形 14">
          <a:extLst>
            <a:ext uri="{FF2B5EF4-FFF2-40B4-BE49-F238E27FC236}">
              <a16:creationId xmlns:a16="http://schemas.microsoft.com/office/drawing/2014/main" id="{CC9C3364-0FD9-4B42-B0F6-22E19D01FA60}"/>
            </a:ext>
          </a:extLst>
        </xdr:cNvPr>
        <xdr:cNvSpPr/>
      </xdr:nvSpPr>
      <xdr:spPr>
        <a:xfrm>
          <a:off x="3002280" y="13540740"/>
          <a:ext cx="2211792" cy="2819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fld id="{C344A332-CE21-480F-B0B2-05DA625A97ED}" type="TxLink">
            <a:rPr kumimoji="1" lang="ja-JP" altLang="en-US" sz="900" b="0" i="0" u="none" strike="noStrike">
              <a:solidFill>
                <a:srgbClr val="000000"/>
              </a:solidFill>
              <a:latin typeface="游ゴシック"/>
              <a:ea typeface="游ゴシック"/>
            </a:rPr>
            <a:pPr algn="l"/>
            <a:t> </a:t>
          </a:fld>
          <a:endParaRPr kumimoji="1" lang="ja-JP" altLang="en-US" sz="800"/>
        </a:p>
      </xdr:txBody>
    </xdr:sp>
    <xdr:clientData/>
  </xdr:twoCellAnchor>
  <xdr:twoCellAnchor editAs="absolute">
    <xdr:from>
      <xdr:col>40</xdr:col>
      <xdr:colOff>15240</xdr:colOff>
      <xdr:row>25</xdr:row>
      <xdr:rowOff>259080</xdr:rowOff>
    </xdr:from>
    <xdr:to>
      <xdr:col>55</xdr:col>
      <xdr:colOff>45720</xdr:colOff>
      <xdr:row>27</xdr:row>
      <xdr:rowOff>76200</xdr:rowOff>
    </xdr:to>
    <xdr:sp macro="" textlink="計算!C29">
      <xdr:nvSpPr>
        <xdr:cNvPr id="18" name="正方形/長方形 17">
          <a:extLst>
            <a:ext uri="{FF2B5EF4-FFF2-40B4-BE49-F238E27FC236}">
              <a16:creationId xmlns:a16="http://schemas.microsoft.com/office/drawing/2014/main" id="{0BE6DF98-C080-4CB9-BBAC-67CD30A74E0A}"/>
            </a:ext>
          </a:extLst>
        </xdr:cNvPr>
        <xdr:cNvSpPr/>
      </xdr:nvSpPr>
      <xdr:spPr>
        <a:xfrm>
          <a:off x="5783580" y="13563600"/>
          <a:ext cx="2186940" cy="2819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fld id="{3F62316F-7537-4DF4-AA60-FB5035C77297}" type="TxLink">
            <a:rPr kumimoji="1" lang="ja-JP" altLang="en-US" sz="900" b="0" i="0" u="none" strike="noStrike">
              <a:solidFill>
                <a:srgbClr val="000000"/>
              </a:solidFill>
              <a:latin typeface="游ゴシック"/>
              <a:ea typeface="游ゴシック"/>
            </a:rPr>
            <a:pPr algn="l"/>
            <a:t> </a:t>
          </a:fld>
          <a:endParaRPr kumimoji="1" lang="ja-JP" altLang="en-US" sz="800"/>
        </a:p>
      </xdr:txBody>
    </xdr:sp>
    <xdr:clientData/>
  </xdr:twoCellAnchor>
  <xdr:twoCellAnchor editAs="absolute">
    <xdr:from>
      <xdr:col>3</xdr:col>
      <xdr:colOff>99059</xdr:colOff>
      <xdr:row>46</xdr:row>
      <xdr:rowOff>1790700</xdr:rowOff>
    </xdr:from>
    <xdr:to>
      <xdr:col>18</xdr:col>
      <xdr:colOff>135752</xdr:colOff>
      <xdr:row>46</xdr:row>
      <xdr:rowOff>2072640</xdr:rowOff>
    </xdr:to>
    <xdr:sp macro="" textlink="計算!C52">
      <xdr:nvSpPr>
        <xdr:cNvPr id="19" name="正方形/長方形 18">
          <a:extLst>
            <a:ext uri="{FF2B5EF4-FFF2-40B4-BE49-F238E27FC236}">
              <a16:creationId xmlns:a16="http://schemas.microsoft.com/office/drawing/2014/main" id="{69F06023-0492-4DE9-AB69-90CBF5BE14DB}"/>
            </a:ext>
          </a:extLst>
        </xdr:cNvPr>
        <xdr:cNvSpPr/>
      </xdr:nvSpPr>
      <xdr:spPr>
        <a:xfrm>
          <a:off x="571499" y="28597860"/>
          <a:ext cx="2147433" cy="2819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fld id="{A7A53A20-E902-4E7D-BCA6-06683BC535EC}" type="TxLink">
            <a:rPr kumimoji="1" lang="ja-JP" altLang="en-US" sz="900" b="0" i="0" u="none" strike="noStrike">
              <a:solidFill>
                <a:srgbClr val="000000"/>
              </a:solidFill>
              <a:latin typeface="游ゴシック"/>
              <a:ea typeface="游ゴシック"/>
            </a:rPr>
            <a:pPr algn="l"/>
            <a:t> </a:t>
          </a:fld>
          <a:endParaRPr kumimoji="1" lang="ja-JP" altLang="en-US" sz="800"/>
        </a:p>
      </xdr:txBody>
    </xdr:sp>
    <xdr:clientData/>
  </xdr:twoCellAnchor>
  <xdr:twoCellAnchor editAs="absolute">
    <xdr:from>
      <xdr:col>29</xdr:col>
      <xdr:colOff>106680</xdr:colOff>
      <xdr:row>46</xdr:row>
      <xdr:rowOff>1798320</xdr:rowOff>
    </xdr:from>
    <xdr:to>
      <xdr:col>44</xdr:col>
      <xdr:colOff>114300</xdr:colOff>
      <xdr:row>46</xdr:row>
      <xdr:rowOff>2080260</xdr:rowOff>
    </xdr:to>
    <xdr:sp macro="" textlink="計算!F52">
      <xdr:nvSpPr>
        <xdr:cNvPr id="20" name="正方形/長方形 19">
          <a:extLst>
            <a:ext uri="{FF2B5EF4-FFF2-40B4-BE49-F238E27FC236}">
              <a16:creationId xmlns:a16="http://schemas.microsoft.com/office/drawing/2014/main" id="{3BABFF8A-EF88-431A-ACA3-58C5391DE46B}"/>
            </a:ext>
          </a:extLst>
        </xdr:cNvPr>
        <xdr:cNvSpPr/>
      </xdr:nvSpPr>
      <xdr:spPr>
        <a:xfrm>
          <a:off x="4282440" y="28605480"/>
          <a:ext cx="2164080" cy="2819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fld id="{01A62DBB-F695-46F4-B124-DE1EEF2F3754}" type="TxLink">
            <a:rPr kumimoji="1" lang="ja-JP" altLang="en-US" sz="900" b="0" i="0" u="none" strike="noStrike">
              <a:solidFill>
                <a:srgbClr val="000000"/>
              </a:solidFill>
              <a:latin typeface="游ゴシック"/>
              <a:ea typeface="游ゴシック"/>
            </a:rPr>
            <a:pPr algn="l"/>
            <a:t> </a:t>
          </a:fld>
          <a:endParaRPr kumimoji="1" lang="ja-JP" altLang="en-US" sz="800"/>
        </a:p>
      </xdr:txBody>
    </xdr:sp>
    <xdr:clientData/>
  </xdr:twoCellAnchor>
</xdr:wsDr>
</file>

<file path=xl/drawings/drawing2.xml><?xml version="1.0" encoding="utf-8"?>
<c:userShapes xmlns:c="http://schemas.openxmlformats.org/drawingml/2006/chart">
  <cdr:relSizeAnchor xmlns:cdr="http://schemas.openxmlformats.org/drawingml/2006/chartDrawing">
    <cdr:from>
      <cdr:x>0</cdr:x>
      <cdr:y>0</cdr:y>
    </cdr:from>
    <cdr:to>
      <cdr:x>1</cdr:x>
      <cdr:y>0.8737</cdr:y>
    </cdr:to>
    <cdr:grpSp>
      <cdr:nvGrpSpPr>
        <cdr:cNvPr id="5" name="グループ化 4">
          <a:extLst xmlns:a="http://schemas.openxmlformats.org/drawingml/2006/main">
            <a:ext uri="{FF2B5EF4-FFF2-40B4-BE49-F238E27FC236}">
              <a16:creationId xmlns:a16="http://schemas.microsoft.com/office/drawing/2014/main" id="{2F7C37F7-07BB-4B07-983D-7A37293412AA}"/>
            </a:ext>
          </a:extLst>
        </cdr:cNvPr>
        <cdr:cNvGrpSpPr/>
      </cdr:nvGrpSpPr>
      <cdr:grpSpPr>
        <a:xfrm xmlns:a="http://schemas.openxmlformats.org/drawingml/2006/main">
          <a:off x="0" y="0"/>
          <a:ext cx="2595880" cy="2074950"/>
          <a:chOff x="50800" y="0"/>
          <a:chExt cx="2743204" cy="2052764"/>
        </a:xfrm>
      </cdr:grpSpPr>
      <cdr:sp macro="" textlink="">
        <cdr:nvSpPr>
          <cdr:cNvPr id="2" name="正方形/長方形 1">
            <a:extLst xmlns:a="http://schemas.openxmlformats.org/drawingml/2006/main">
              <a:ext uri="{FF2B5EF4-FFF2-40B4-BE49-F238E27FC236}">
                <a16:creationId xmlns:a16="http://schemas.microsoft.com/office/drawing/2014/main" id="{08421136-0F61-544F-8E7D-3E7C28A08F03}"/>
              </a:ext>
            </a:extLst>
          </cdr:cNvPr>
          <cdr:cNvSpPr/>
        </cdr:nvSpPr>
        <cdr:spPr>
          <a:xfrm xmlns:a="http://schemas.openxmlformats.org/drawingml/2006/main">
            <a:off x="1211659" y="0"/>
            <a:ext cx="844204" cy="266141"/>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kumimoji="1" lang="ja-JP" altLang="en-US" sz="1100" b="1" kern="1200">
                <a:solidFill>
                  <a:schemeClr val="tx1"/>
                </a:solidFill>
              </a:rPr>
              <a:t>全労働者</a:t>
            </a:r>
          </a:p>
        </cdr:txBody>
      </cdr:sp>
      <cdr:sp macro="" textlink="">
        <cdr:nvSpPr>
          <cdr:cNvPr id="3" name="正方形/長方形 2">
            <a:extLst xmlns:a="http://schemas.openxmlformats.org/drawingml/2006/main">
              <a:ext uri="{FF2B5EF4-FFF2-40B4-BE49-F238E27FC236}">
                <a16:creationId xmlns:a16="http://schemas.microsoft.com/office/drawing/2014/main" id="{664B06D4-D728-A841-BAAA-338B18B58D5C}"/>
              </a:ext>
            </a:extLst>
          </cdr:cNvPr>
          <cdr:cNvSpPr/>
        </cdr:nvSpPr>
        <cdr:spPr>
          <a:xfrm xmlns:a="http://schemas.openxmlformats.org/drawingml/2006/main">
            <a:off x="50800" y="1719510"/>
            <a:ext cx="1273469" cy="333254"/>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kumimoji="1" lang="ja-JP" altLang="en-US" sz="1100" b="1" kern="1200">
                <a:solidFill>
                  <a:schemeClr val="tx1"/>
                </a:solidFill>
              </a:rPr>
              <a:t>非正規雇用</a:t>
            </a:r>
          </a:p>
        </cdr:txBody>
      </cdr:sp>
      <cdr:sp macro="" textlink="">
        <cdr:nvSpPr>
          <cdr:cNvPr id="4" name="正方形/長方形 3">
            <a:extLst xmlns:a="http://schemas.openxmlformats.org/drawingml/2006/main">
              <a:ext uri="{FF2B5EF4-FFF2-40B4-BE49-F238E27FC236}">
                <a16:creationId xmlns:a16="http://schemas.microsoft.com/office/drawing/2014/main" id="{603B5DB0-444A-0449-BA5A-2B20ACF0C9F8}"/>
              </a:ext>
            </a:extLst>
          </cdr:cNvPr>
          <cdr:cNvSpPr/>
        </cdr:nvSpPr>
        <cdr:spPr>
          <a:xfrm xmlns:a="http://schemas.openxmlformats.org/drawingml/2006/main">
            <a:off x="1501314" y="1734588"/>
            <a:ext cx="1292690" cy="272946"/>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kumimoji="1" lang="ja-JP" altLang="en-US" sz="1100" b="1" kern="1200">
                <a:solidFill>
                  <a:schemeClr val="tx1"/>
                </a:solidFill>
              </a:rPr>
              <a:t>正規雇用</a:t>
            </a:r>
          </a:p>
        </cdr:txBody>
      </cdr:sp>
    </cdr:grp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
  <Relationship Id="rId2" Target="../drawings/drawing1.xml" Type="http://schemas.openxmlformats.org/officeDocument/2006/relationships/drawing" />
</Relationships>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591C9-9E4C-FC4D-91A2-4E295042253A}">
  <dimension ref="A1:CV55"/>
  <sheetViews>
    <sheetView showGridLines="0" tabSelected="1" view="pageBreakPreview" zoomScaleNormal="100" zoomScaleSheetLayoutView="100" workbookViewId="0">
      <pane ySplit="1" topLeftCell="A2" activePane="bottomLeft" state="frozen"/>
      <selection pane="bottomLeft" activeCell="A2" sqref="A2:BG2"/>
    </sheetView>
  </sheetViews>
  <sheetFormatPr defaultColWidth="1.7265625" defaultRowHeight="19.8"/>
  <cols>
    <col min="1" max="1" width="1.1796875" style="16" customWidth="1"/>
    <col min="2" max="2" width="2.7265625" style="16" customWidth="1"/>
    <col min="3" max="16" width="1.7265625" style="16" customWidth="1"/>
    <col min="17" max="17" width="1" style="16" customWidth="1"/>
    <col min="18" max="40" width="1.7265625" style="16" customWidth="1"/>
    <col min="41" max="41" width="1.54296875" style="16" customWidth="1"/>
    <col min="42" max="58" width="1.7265625" style="16" customWidth="1"/>
    <col min="59" max="59" width="3.54296875" style="16" customWidth="1"/>
    <col min="60" max="60" width="0.90625" style="16" customWidth="1"/>
    <col min="61" max="61" width="1.54296875" style="16" hidden="1" customWidth="1"/>
    <col min="62" max="62" width="1.7265625" style="16" customWidth="1"/>
    <col min="63" max="63" width="34.1796875" style="16" hidden="1" customWidth="1"/>
    <col min="64" max="69" width="1.7265625" style="16" customWidth="1"/>
    <col min="70" max="70" width="0.7265625" style="16" customWidth="1"/>
    <col min="71" max="73" width="1.7265625" style="16" customWidth="1"/>
    <col min="74" max="74" width="0.90625" style="16" customWidth="1"/>
    <col min="75" max="75" width="1.7265625" style="16" customWidth="1"/>
    <col min="76" max="76" width="0.81640625" style="16" customWidth="1"/>
    <col min="77" max="77" width="8.1796875" style="16" bestFit="1" customWidth="1"/>
    <col min="78" max="82" width="1.7265625" style="16" customWidth="1"/>
    <col min="83" max="83" width="1.08984375" style="16" customWidth="1"/>
    <col min="84" max="84" width="1" style="16" customWidth="1"/>
    <col min="85" max="87" width="1.7265625" style="16" customWidth="1"/>
    <col min="88" max="88" width="1.1796875" style="16" customWidth="1"/>
    <col min="89" max="93" width="1.7265625" style="16" customWidth="1"/>
    <col min="94" max="94" width="1.1796875" style="16" customWidth="1"/>
    <col min="95" max="96" width="0.81640625" style="16" customWidth="1"/>
    <col min="97" max="97" width="1.7265625" style="16" customWidth="1"/>
    <col min="98" max="98" width="1.1796875" style="16" customWidth="1"/>
    <col min="99" max="100" width="1.7265625" style="16" customWidth="1"/>
    <col min="101" max="16384" width="1.7265625" style="16"/>
  </cols>
  <sheetData>
    <row r="1" spans="1:100" ht="58.05" customHeight="1" thickBot="1">
      <c r="A1" s="184" t="s">
        <v>111</v>
      </c>
      <c r="X1" s="185"/>
      <c r="BJ1" s="643" t="s">
        <v>31</v>
      </c>
      <c r="BK1" s="644"/>
      <c r="BL1" s="644"/>
      <c r="BM1" s="644"/>
      <c r="BN1" s="644"/>
      <c r="BO1" s="644"/>
      <c r="BP1" s="645"/>
      <c r="BQ1" s="640" t="str">
        <f>IF(入力シート!J9="","未選択",入力シート!J9)</f>
        <v>未選択</v>
      </c>
      <c r="BR1" s="641"/>
      <c r="BS1" s="641"/>
      <c r="BT1" s="641"/>
      <c r="BU1" s="641"/>
      <c r="BV1" s="641"/>
      <c r="BW1" s="642"/>
      <c r="BY1" s="643" t="s">
        <v>37</v>
      </c>
      <c r="BZ1" s="644"/>
      <c r="CA1" s="644"/>
      <c r="CB1" s="644"/>
      <c r="CC1" s="640" t="str">
        <f>IF(入力シート!$J$9&lt;&gt;入力リスト!$C$9,"-",IF(OR(入力シート!$J$9="",入力シート!$J$9&lt;&gt;入力リスト!$C$9),"-",IF(入力シート!J10="","未選択",入力シート!J10)))</f>
        <v>-</v>
      </c>
      <c r="CD1" s="641"/>
      <c r="CE1" s="641"/>
      <c r="CF1" s="641"/>
      <c r="CG1" s="641"/>
      <c r="CH1" s="641"/>
      <c r="CI1" s="642"/>
      <c r="CK1" s="643" t="s">
        <v>32</v>
      </c>
      <c r="CL1" s="644"/>
      <c r="CM1" s="644"/>
      <c r="CN1" s="644"/>
      <c r="CO1" s="644"/>
      <c r="CP1" s="640" t="str">
        <f>IF(入力シート!J11="","未選択",入力シート!J11)</f>
        <v>未選択</v>
      </c>
      <c r="CQ1" s="641"/>
      <c r="CR1" s="641"/>
      <c r="CS1" s="641"/>
      <c r="CT1" s="641"/>
      <c r="CU1" s="641"/>
      <c r="CV1" s="642"/>
    </row>
    <row r="2" spans="1:100" ht="121.8" customHeight="1">
      <c r="A2" s="649" t="s">
        <v>5202</v>
      </c>
      <c r="B2" s="650"/>
      <c r="C2" s="650"/>
      <c r="D2" s="650"/>
      <c r="E2" s="650"/>
      <c r="F2" s="650"/>
      <c r="G2" s="650"/>
      <c r="H2" s="650"/>
      <c r="I2" s="650"/>
      <c r="J2" s="650"/>
      <c r="K2" s="650"/>
      <c r="L2" s="650"/>
      <c r="M2" s="650"/>
      <c r="N2" s="650"/>
      <c r="O2" s="650"/>
      <c r="P2" s="650"/>
      <c r="Q2" s="650"/>
      <c r="R2" s="650"/>
      <c r="S2" s="650"/>
      <c r="T2" s="650"/>
      <c r="U2" s="650"/>
      <c r="V2" s="650"/>
      <c r="W2" s="650"/>
      <c r="X2" s="650"/>
      <c r="Y2" s="650"/>
      <c r="Z2" s="650"/>
      <c r="AA2" s="650"/>
      <c r="AB2" s="650"/>
      <c r="AC2" s="650"/>
      <c r="AD2" s="650"/>
      <c r="AE2" s="650"/>
      <c r="AF2" s="650"/>
      <c r="AG2" s="650"/>
      <c r="AH2" s="650"/>
      <c r="AI2" s="650"/>
      <c r="AJ2" s="650"/>
      <c r="AK2" s="650"/>
      <c r="AL2" s="650"/>
      <c r="AM2" s="650"/>
      <c r="AN2" s="650"/>
      <c r="AO2" s="650"/>
      <c r="AP2" s="650"/>
      <c r="AQ2" s="650"/>
      <c r="AR2" s="650"/>
      <c r="AS2" s="650"/>
      <c r="AT2" s="650"/>
      <c r="AU2" s="650"/>
      <c r="AV2" s="650"/>
      <c r="AW2" s="650"/>
      <c r="AX2" s="650"/>
      <c r="AY2" s="650"/>
      <c r="AZ2" s="650"/>
      <c r="BA2" s="650"/>
      <c r="BB2" s="650"/>
      <c r="BC2" s="650"/>
      <c r="BD2" s="650"/>
      <c r="BE2" s="650"/>
      <c r="BF2" s="650"/>
      <c r="BG2" s="650"/>
      <c r="BJ2" s="658" t="s">
        <v>5200</v>
      </c>
      <c r="BK2" s="659"/>
      <c r="BL2" s="659"/>
      <c r="BM2" s="659"/>
      <c r="BN2" s="659"/>
      <c r="BO2" s="659"/>
      <c r="BP2" s="659"/>
      <c r="BQ2" s="659"/>
      <c r="BR2" s="659"/>
      <c r="BS2" s="659"/>
      <c r="BT2" s="659"/>
      <c r="BU2" s="659"/>
      <c r="BV2" s="659"/>
      <c r="BW2" s="659"/>
      <c r="BX2" s="659"/>
      <c r="BY2" s="659"/>
      <c r="BZ2" s="659"/>
      <c r="CA2" s="659"/>
      <c r="CB2" s="659"/>
      <c r="CC2" s="659"/>
      <c r="CD2" s="659"/>
      <c r="CE2" s="659"/>
      <c r="CF2" s="659"/>
      <c r="CG2" s="659"/>
      <c r="CH2" s="659"/>
      <c r="CI2" s="659"/>
      <c r="CJ2" s="659"/>
      <c r="CK2" s="659"/>
      <c r="CL2" s="659"/>
      <c r="CM2" s="659"/>
      <c r="CN2" s="659"/>
      <c r="CO2" s="659"/>
      <c r="CP2" s="659"/>
      <c r="CQ2" s="659"/>
      <c r="CR2" s="659"/>
      <c r="CS2" s="659"/>
      <c r="CT2" s="659"/>
      <c r="CU2" s="659"/>
      <c r="CV2" s="659"/>
    </row>
    <row r="3" spans="1:100" ht="409.5" customHeight="1" thickBot="1">
      <c r="A3" s="651" t="s">
        <v>408</v>
      </c>
      <c r="B3" s="651"/>
      <c r="C3" s="651"/>
      <c r="D3" s="651"/>
      <c r="E3" s="651"/>
      <c r="F3" s="651"/>
      <c r="G3" s="651"/>
      <c r="H3" s="651"/>
      <c r="I3" s="651"/>
      <c r="J3" s="651"/>
      <c r="K3" s="651"/>
      <c r="L3" s="651"/>
      <c r="M3" s="651"/>
      <c r="N3" s="651"/>
      <c r="O3" s="651"/>
      <c r="P3" s="651"/>
      <c r="Q3" s="651"/>
      <c r="R3" s="651"/>
      <c r="S3" s="651"/>
      <c r="T3" s="651"/>
      <c r="U3" s="651"/>
      <c r="V3" s="651"/>
      <c r="W3" s="651"/>
      <c r="X3" s="651"/>
      <c r="Y3" s="651"/>
      <c r="Z3" s="651"/>
      <c r="AA3" s="651"/>
      <c r="AB3" s="651"/>
      <c r="AC3" s="651"/>
      <c r="AD3" s="651"/>
      <c r="AE3" s="651"/>
      <c r="AF3" s="651"/>
      <c r="AG3" s="651"/>
      <c r="AH3" s="651"/>
      <c r="AI3" s="651"/>
      <c r="AJ3" s="651"/>
      <c r="AK3" s="651"/>
      <c r="AL3" s="651"/>
      <c r="AM3" s="651"/>
      <c r="AN3" s="651"/>
      <c r="AO3" s="651"/>
      <c r="AP3" s="651"/>
      <c r="AQ3" s="651"/>
      <c r="AR3" s="651"/>
      <c r="AS3" s="651"/>
      <c r="AT3" s="651"/>
      <c r="AU3" s="651"/>
      <c r="AV3" s="651"/>
      <c r="AW3" s="651"/>
      <c r="AX3" s="651"/>
      <c r="AY3" s="651"/>
      <c r="AZ3" s="651"/>
      <c r="BA3" s="651"/>
      <c r="BB3" s="651"/>
      <c r="BC3" s="651"/>
      <c r="BD3" s="651"/>
      <c r="BE3" s="651"/>
      <c r="BF3" s="651"/>
      <c r="BG3" s="186"/>
    </row>
    <row r="4" spans="1:100" ht="4.95" customHeight="1" thickTop="1">
      <c r="A4" s="110"/>
      <c r="X4" s="185"/>
    </row>
    <row r="5" spans="1:100" ht="40.799999999999997" customHeight="1">
      <c r="B5" s="17" t="s">
        <v>83</v>
      </c>
      <c r="C5" s="187"/>
      <c r="D5" s="188"/>
      <c r="S5" s="18"/>
      <c r="Y5" s="189"/>
      <c r="Z5" s="190"/>
      <c r="AA5" s="190"/>
      <c r="AB5" s="190"/>
      <c r="AC5" s="190"/>
      <c r="AD5" s="190"/>
      <c r="AE5" s="190"/>
      <c r="AF5" s="190"/>
      <c r="AG5" s="190"/>
      <c r="AH5" s="190"/>
      <c r="AI5" s="189"/>
      <c r="AJ5" s="190"/>
      <c r="AK5" s="190"/>
      <c r="AL5" s="190"/>
      <c r="AM5" s="190"/>
      <c r="AN5" s="190"/>
      <c r="AO5" s="190"/>
      <c r="AP5" s="190"/>
      <c r="AQ5" s="190"/>
      <c r="AR5" s="190"/>
      <c r="AS5" s="190"/>
      <c r="AV5" s="660"/>
      <c r="AW5" s="660"/>
      <c r="AX5" s="660"/>
      <c r="AY5" s="660"/>
      <c r="AZ5" s="660"/>
      <c r="BA5" s="660"/>
      <c r="BB5" s="660"/>
      <c r="BC5" s="660"/>
      <c r="BD5" s="660"/>
      <c r="BE5" s="660"/>
      <c r="BF5" s="660"/>
      <c r="BG5" s="660"/>
      <c r="BS5" s="191"/>
    </row>
    <row r="6" spans="1:100" ht="33" customHeight="1" thickBot="1">
      <c r="B6" s="17"/>
      <c r="C6" s="192" t="s">
        <v>1151</v>
      </c>
      <c r="D6" s="188"/>
      <c r="S6" s="18"/>
      <c r="Y6" s="189"/>
      <c r="Z6" s="190"/>
      <c r="AA6" s="190"/>
      <c r="AB6" s="190"/>
      <c r="AC6" s="190"/>
      <c r="AD6" s="190"/>
      <c r="AE6" s="190"/>
      <c r="AF6" s="192" t="s">
        <v>138</v>
      </c>
      <c r="AG6" s="190"/>
      <c r="AH6" s="190"/>
      <c r="AI6" s="189"/>
      <c r="AJ6" s="190"/>
      <c r="AK6" s="190"/>
      <c r="AL6" s="190"/>
      <c r="AM6" s="190"/>
      <c r="AN6" s="190"/>
      <c r="AO6" s="190"/>
      <c r="AP6" s="190"/>
      <c r="AQ6" s="190"/>
      <c r="AR6" s="190"/>
      <c r="AS6" s="190"/>
      <c r="AV6" s="19"/>
      <c r="AW6" s="19"/>
      <c r="AX6" s="19"/>
      <c r="AY6" s="19"/>
      <c r="AZ6" s="19"/>
      <c r="BA6" s="19"/>
      <c r="BB6" s="19"/>
      <c r="BC6" s="19"/>
      <c r="BD6" s="19"/>
      <c r="BE6" s="19"/>
      <c r="BF6" s="19"/>
      <c r="BG6" s="19"/>
      <c r="BS6" s="191"/>
    </row>
    <row r="7" spans="1:100" ht="39" customHeight="1">
      <c r="C7" s="652" t="s">
        <v>92</v>
      </c>
      <c r="D7" s="653"/>
      <c r="E7" s="653"/>
      <c r="F7" s="653"/>
      <c r="G7" s="653"/>
      <c r="H7" s="653"/>
      <c r="I7" s="653"/>
      <c r="J7" s="653"/>
      <c r="K7" s="653"/>
      <c r="L7" s="653"/>
      <c r="M7" s="653"/>
      <c r="N7" s="653"/>
      <c r="O7" s="654"/>
      <c r="P7" s="594" t="s">
        <v>113</v>
      </c>
      <c r="Q7" s="595"/>
      <c r="R7" s="595"/>
      <c r="S7" s="595"/>
      <c r="T7" s="595"/>
      <c r="U7" s="595"/>
      <c r="V7" s="595"/>
      <c r="W7" s="595"/>
      <c r="X7" s="595"/>
      <c r="Y7" s="595"/>
      <c r="Z7" s="595"/>
      <c r="AA7" s="595"/>
      <c r="AB7" s="595"/>
      <c r="AC7" s="596"/>
      <c r="AF7" s="655" t="s">
        <v>92</v>
      </c>
      <c r="AG7" s="656"/>
      <c r="AH7" s="656"/>
      <c r="AI7" s="656"/>
      <c r="AJ7" s="656"/>
      <c r="AK7" s="656"/>
      <c r="AL7" s="656"/>
      <c r="AM7" s="656"/>
      <c r="AN7" s="656"/>
      <c r="AO7" s="656"/>
      <c r="AP7" s="656"/>
      <c r="AQ7" s="656"/>
      <c r="AR7" s="657"/>
      <c r="AS7" s="646" t="s">
        <v>1200</v>
      </c>
      <c r="AT7" s="647"/>
      <c r="AU7" s="647"/>
      <c r="AV7" s="647"/>
      <c r="AW7" s="647"/>
      <c r="AX7" s="647"/>
      <c r="AY7" s="647"/>
      <c r="AZ7" s="647"/>
      <c r="BA7" s="647"/>
      <c r="BB7" s="647"/>
      <c r="BC7" s="647"/>
      <c r="BD7" s="647"/>
      <c r="BE7" s="647"/>
      <c r="BF7" s="648"/>
      <c r="BJ7" s="725" t="str">
        <f>IF(計算!C3="データ未","貴社データの入力が未完了です。",計算!J14&amp;IF(AND(計算!K14="",計算!L14="",計算!M14=""),"",CHAR(10)&amp;"貴社データ")&amp;計算!K14&amp;計算!L14&amp;計算!M14&amp;IF(AND(計算!N14="",計算!O14=""),"",CHAR(10)&amp;"参考値データ")&amp;計算!N14&amp;計算!O14)</f>
        <v>貴社データの入力が未完了です。</v>
      </c>
      <c r="BK7" s="726"/>
      <c r="BL7" s="726"/>
      <c r="BM7" s="726"/>
      <c r="BN7" s="726"/>
      <c r="BO7" s="726"/>
      <c r="BP7" s="726"/>
      <c r="BQ7" s="726"/>
      <c r="BR7" s="726"/>
      <c r="BS7" s="726"/>
      <c r="BT7" s="726"/>
      <c r="BU7" s="726"/>
      <c r="BV7" s="726"/>
      <c r="BW7" s="726"/>
      <c r="BX7" s="726"/>
      <c r="BY7" s="726"/>
      <c r="BZ7" s="726"/>
      <c r="CA7" s="726"/>
      <c r="CB7" s="726"/>
      <c r="CC7" s="726"/>
      <c r="CD7" s="726"/>
      <c r="CE7" s="726"/>
      <c r="CF7" s="726"/>
      <c r="CG7" s="726"/>
      <c r="CH7" s="726"/>
      <c r="CI7" s="726"/>
      <c r="CJ7" s="726"/>
      <c r="CK7" s="726"/>
      <c r="CL7" s="726"/>
      <c r="CM7" s="726"/>
      <c r="CN7" s="726"/>
      <c r="CO7" s="726"/>
      <c r="CP7" s="726"/>
      <c r="CQ7" s="726"/>
      <c r="CR7" s="726"/>
      <c r="CS7" s="726"/>
      <c r="CT7" s="726"/>
      <c r="CU7" s="726"/>
      <c r="CV7" s="727"/>
    </row>
    <row r="8" spans="1:100" ht="30" customHeight="1" thickBot="1">
      <c r="C8" s="706" t="str">
        <f>IF(入力シート!$C$5=入力リスト!$C$4,"-",IF(計算!$C$3=入力リスト!$K$2,入力リスト!$K$2,IF(入力シート!$J$16=入力リスト!$H$10,計算!$H$10,IF(ISERROR(計算!$E10),入力リスト!$K$3,IF(計算!$E10=0,入力リスト!$K$3,計算!H10)))))</f>
        <v>データ未</v>
      </c>
      <c r="D8" s="707"/>
      <c r="E8" s="707"/>
      <c r="F8" s="707"/>
      <c r="G8" s="707"/>
      <c r="H8" s="707"/>
      <c r="I8" s="707"/>
      <c r="J8" s="707"/>
      <c r="K8" s="707"/>
      <c r="L8" s="707"/>
      <c r="M8" s="707"/>
      <c r="N8" s="707"/>
      <c r="O8" s="708"/>
      <c r="P8" s="712" t="str">
        <f>IF(入力シート!$C$5=入力リスト!$C$4,"-",IF(計算!$C$3=入力リスト!$K$2,入力リスト!$K$2,IF(入力シート!$J$16=入力リスト!$H$10,計算!$H$11,IF(ISERROR(計算!$E11),入力リスト!$K$3,IF(計算!$E11=0,入力リスト!$K$3,計算!H11)))))</f>
        <v>データ未</v>
      </c>
      <c r="Q8" s="713"/>
      <c r="R8" s="713"/>
      <c r="S8" s="713"/>
      <c r="T8" s="713"/>
      <c r="U8" s="713"/>
      <c r="V8" s="713"/>
      <c r="W8" s="713"/>
      <c r="X8" s="713"/>
      <c r="Y8" s="713"/>
      <c r="Z8" s="713"/>
      <c r="AA8" s="713"/>
      <c r="AB8" s="713"/>
      <c r="AC8" s="714"/>
      <c r="AF8" s="772">
        <f>IF(計算!G10=0,入力リスト!$K$3,IF(ISERROR(計算!I10),"-",計算!I10))</f>
        <v>0.55844621590657462</v>
      </c>
      <c r="AG8" s="773"/>
      <c r="AH8" s="773"/>
      <c r="AI8" s="773"/>
      <c r="AJ8" s="773"/>
      <c r="AK8" s="773"/>
      <c r="AL8" s="773"/>
      <c r="AM8" s="773"/>
      <c r="AN8" s="773"/>
      <c r="AO8" s="773"/>
      <c r="AP8" s="773"/>
      <c r="AQ8" s="773"/>
      <c r="AR8" s="774"/>
      <c r="AS8" s="661">
        <f>IF(計算!G11=0,入力リスト!$K$3,IF(ISERROR(計算!I11),"-",計算!I11))</f>
        <v>0.73106087917898432</v>
      </c>
      <c r="AT8" s="662"/>
      <c r="AU8" s="662"/>
      <c r="AV8" s="662"/>
      <c r="AW8" s="662"/>
      <c r="AX8" s="662"/>
      <c r="AY8" s="662"/>
      <c r="AZ8" s="662"/>
      <c r="BA8" s="662"/>
      <c r="BB8" s="662"/>
      <c r="BC8" s="662"/>
      <c r="BD8" s="662"/>
      <c r="BE8" s="662"/>
      <c r="BF8" s="663"/>
      <c r="BJ8" s="728"/>
      <c r="BK8" s="729"/>
      <c r="BL8" s="729"/>
      <c r="BM8" s="729"/>
      <c r="BN8" s="729"/>
      <c r="BO8" s="729"/>
      <c r="BP8" s="729"/>
      <c r="BQ8" s="729"/>
      <c r="BR8" s="729"/>
      <c r="BS8" s="729"/>
      <c r="BT8" s="729"/>
      <c r="BU8" s="729"/>
      <c r="BV8" s="729"/>
      <c r="BW8" s="729"/>
      <c r="BX8" s="729"/>
      <c r="BY8" s="729"/>
      <c r="BZ8" s="729"/>
      <c r="CA8" s="729"/>
      <c r="CB8" s="729"/>
      <c r="CC8" s="729"/>
      <c r="CD8" s="729"/>
      <c r="CE8" s="729"/>
      <c r="CF8" s="729"/>
      <c r="CG8" s="729"/>
      <c r="CH8" s="729"/>
      <c r="CI8" s="729"/>
      <c r="CJ8" s="729"/>
      <c r="CK8" s="729"/>
      <c r="CL8" s="729"/>
      <c r="CM8" s="729"/>
      <c r="CN8" s="729"/>
      <c r="CO8" s="729"/>
      <c r="CP8" s="729"/>
      <c r="CQ8" s="729"/>
      <c r="CR8" s="729"/>
      <c r="CS8" s="729"/>
      <c r="CT8" s="729"/>
      <c r="CU8" s="729"/>
      <c r="CV8" s="730"/>
    </row>
    <row r="9" spans="1:100" ht="40.950000000000003" customHeight="1" thickTop="1">
      <c r="C9" s="706"/>
      <c r="D9" s="707"/>
      <c r="E9" s="707"/>
      <c r="F9" s="707"/>
      <c r="G9" s="707"/>
      <c r="H9" s="707"/>
      <c r="I9" s="707"/>
      <c r="J9" s="707"/>
      <c r="K9" s="707"/>
      <c r="L9" s="707"/>
      <c r="M9" s="707"/>
      <c r="N9" s="707"/>
      <c r="O9" s="708"/>
      <c r="P9" s="715" t="s">
        <v>117</v>
      </c>
      <c r="Q9" s="716"/>
      <c r="R9" s="716"/>
      <c r="S9" s="716"/>
      <c r="T9" s="716"/>
      <c r="U9" s="716"/>
      <c r="V9" s="716"/>
      <c r="W9" s="716"/>
      <c r="X9" s="716"/>
      <c r="Y9" s="716"/>
      <c r="Z9" s="716"/>
      <c r="AA9" s="716"/>
      <c r="AB9" s="716"/>
      <c r="AC9" s="717"/>
      <c r="AF9" s="772"/>
      <c r="AG9" s="773"/>
      <c r="AH9" s="773"/>
      <c r="AI9" s="773"/>
      <c r="AJ9" s="773"/>
      <c r="AK9" s="773"/>
      <c r="AL9" s="773"/>
      <c r="AM9" s="773"/>
      <c r="AN9" s="773"/>
      <c r="AO9" s="773"/>
      <c r="AP9" s="773"/>
      <c r="AQ9" s="773"/>
      <c r="AR9" s="774"/>
      <c r="AS9" s="664" t="s">
        <v>1201</v>
      </c>
      <c r="AT9" s="665"/>
      <c r="AU9" s="665"/>
      <c r="AV9" s="665"/>
      <c r="AW9" s="665"/>
      <c r="AX9" s="665"/>
      <c r="AY9" s="665"/>
      <c r="AZ9" s="665"/>
      <c r="BA9" s="665"/>
      <c r="BB9" s="665"/>
      <c r="BC9" s="665"/>
      <c r="BD9" s="665"/>
      <c r="BE9" s="665"/>
      <c r="BF9" s="666"/>
      <c r="BJ9" s="728"/>
      <c r="BK9" s="729"/>
      <c r="BL9" s="729"/>
      <c r="BM9" s="729"/>
      <c r="BN9" s="729"/>
      <c r="BO9" s="729"/>
      <c r="BP9" s="729"/>
      <c r="BQ9" s="729"/>
      <c r="BR9" s="729"/>
      <c r="BS9" s="729"/>
      <c r="BT9" s="729"/>
      <c r="BU9" s="729"/>
      <c r="BV9" s="729"/>
      <c r="BW9" s="729"/>
      <c r="BX9" s="729"/>
      <c r="BY9" s="729"/>
      <c r="BZ9" s="729"/>
      <c r="CA9" s="729"/>
      <c r="CB9" s="729"/>
      <c r="CC9" s="729"/>
      <c r="CD9" s="729"/>
      <c r="CE9" s="729"/>
      <c r="CF9" s="729"/>
      <c r="CG9" s="729"/>
      <c r="CH9" s="729"/>
      <c r="CI9" s="729"/>
      <c r="CJ9" s="729"/>
      <c r="CK9" s="729"/>
      <c r="CL9" s="729"/>
      <c r="CM9" s="729"/>
      <c r="CN9" s="729"/>
      <c r="CO9" s="729"/>
      <c r="CP9" s="729"/>
      <c r="CQ9" s="729"/>
      <c r="CR9" s="729"/>
      <c r="CS9" s="729"/>
      <c r="CT9" s="729"/>
      <c r="CU9" s="729"/>
      <c r="CV9" s="730"/>
    </row>
    <row r="10" spans="1:100" ht="30" customHeight="1" thickBot="1">
      <c r="C10" s="709"/>
      <c r="D10" s="710"/>
      <c r="E10" s="710"/>
      <c r="F10" s="710"/>
      <c r="G10" s="710"/>
      <c r="H10" s="710"/>
      <c r="I10" s="710"/>
      <c r="J10" s="710"/>
      <c r="K10" s="710"/>
      <c r="L10" s="710"/>
      <c r="M10" s="710"/>
      <c r="N10" s="710"/>
      <c r="O10" s="711"/>
      <c r="P10" s="702" t="str">
        <f>IF(入力シート!$C$5=入力リスト!$C$4,"-",IF(計算!$C$3=入力リスト!$K$2,入力リスト!$K$2,IF(入力シート!$J$16=入力リスト!$H$10,計算!$H$12,IF(ISERROR(計算!$E12),入力リスト!$K$3,IF(計算!$E12=0,入力リスト!$K$3,計算!H12)))))</f>
        <v>データ未</v>
      </c>
      <c r="Q10" s="703"/>
      <c r="R10" s="703"/>
      <c r="S10" s="703"/>
      <c r="T10" s="703"/>
      <c r="U10" s="703"/>
      <c r="V10" s="703"/>
      <c r="W10" s="703"/>
      <c r="X10" s="703"/>
      <c r="Y10" s="703"/>
      <c r="Z10" s="703"/>
      <c r="AA10" s="703"/>
      <c r="AB10" s="703"/>
      <c r="AC10" s="704"/>
      <c r="AF10" s="775"/>
      <c r="AG10" s="776"/>
      <c r="AH10" s="776"/>
      <c r="AI10" s="776"/>
      <c r="AJ10" s="776"/>
      <c r="AK10" s="776"/>
      <c r="AL10" s="776"/>
      <c r="AM10" s="776"/>
      <c r="AN10" s="776"/>
      <c r="AO10" s="776"/>
      <c r="AP10" s="776"/>
      <c r="AQ10" s="776"/>
      <c r="AR10" s="777"/>
      <c r="AS10" s="793">
        <f>IF(計算!G12=0,入力リスト!$K$3,IF(ISERROR(計算!I12),"-",計算!I12))</f>
        <v>0.69120164327285172</v>
      </c>
      <c r="AT10" s="794"/>
      <c r="AU10" s="794"/>
      <c r="AV10" s="794"/>
      <c r="AW10" s="794"/>
      <c r="AX10" s="794"/>
      <c r="AY10" s="794"/>
      <c r="AZ10" s="794"/>
      <c r="BA10" s="794"/>
      <c r="BB10" s="794"/>
      <c r="BC10" s="794"/>
      <c r="BD10" s="794"/>
      <c r="BE10" s="794"/>
      <c r="BF10" s="795"/>
      <c r="BJ10" s="731"/>
      <c r="BK10" s="732"/>
      <c r="BL10" s="732"/>
      <c r="BM10" s="732"/>
      <c r="BN10" s="732"/>
      <c r="BO10" s="732"/>
      <c r="BP10" s="732"/>
      <c r="BQ10" s="732"/>
      <c r="BR10" s="732"/>
      <c r="BS10" s="732"/>
      <c r="BT10" s="732"/>
      <c r="BU10" s="732"/>
      <c r="BV10" s="732"/>
      <c r="BW10" s="732"/>
      <c r="BX10" s="732"/>
      <c r="BY10" s="732"/>
      <c r="BZ10" s="732"/>
      <c r="CA10" s="732"/>
      <c r="CB10" s="732"/>
      <c r="CC10" s="732"/>
      <c r="CD10" s="732"/>
      <c r="CE10" s="732"/>
      <c r="CF10" s="732"/>
      <c r="CG10" s="732"/>
      <c r="CH10" s="732"/>
      <c r="CI10" s="732"/>
      <c r="CJ10" s="732"/>
      <c r="CK10" s="732"/>
      <c r="CL10" s="732"/>
      <c r="CM10" s="732"/>
      <c r="CN10" s="732"/>
      <c r="CO10" s="732"/>
      <c r="CP10" s="732"/>
      <c r="CQ10" s="732"/>
      <c r="CR10" s="732"/>
      <c r="CS10" s="732"/>
      <c r="CT10" s="732"/>
      <c r="CU10" s="732"/>
      <c r="CV10" s="733"/>
    </row>
    <row r="11" spans="1:100" ht="37.799999999999997" customHeight="1">
      <c r="C11" s="20"/>
      <c r="D11" s="20"/>
      <c r="E11" s="20"/>
      <c r="F11" s="20"/>
      <c r="G11" s="20"/>
      <c r="H11" s="20"/>
      <c r="I11" s="20"/>
      <c r="J11" s="20"/>
      <c r="K11" s="20"/>
      <c r="L11" s="20"/>
      <c r="M11" s="20"/>
      <c r="N11" s="20"/>
      <c r="O11" s="20"/>
      <c r="P11" s="21"/>
      <c r="Q11" s="21"/>
      <c r="R11" s="21"/>
      <c r="S11" s="21"/>
      <c r="T11" s="21"/>
      <c r="U11" s="21"/>
      <c r="V11" s="21"/>
      <c r="W11" s="21"/>
      <c r="X11" s="21"/>
      <c r="Y11" s="21"/>
      <c r="Z11" s="21"/>
      <c r="AA11" s="21"/>
      <c r="AB11" s="21"/>
      <c r="AC11" s="21"/>
      <c r="AF11" s="193"/>
      <c r="AG11" s="193"/>
      <c r="AH11" s="193"/>
      <c r="AI11" s="193"/>
      <c r="AJ11" s="193"/>
      <c r="AK11" s="193"/>
      <c r="AL11" s="193"/>
      <c r="AM11" s="193"/>
      <c r="AN11" s="193"/>
      <c r="AO11" s="193"/>
      <c r="AP11" s="193"/>
      <c r="AQ11" s="193"/>
      <c r="AR11" s="193"/>
      <c r="AS11" s="193"/>
      <c r="AT11" s="193"/>
      <c r="AU11" s="193"/>
      <c r="AV11" s="193"/>
      <c r="AW11" s="193"/>
      <c r="AX11" s="193"/>
      <c r="AY11" s="193"/>
      <c r="AZ11" s="193"/>
      <c r="BA11" s="193"/>
      <c r="BB11" s="193"/>
      <c r="BC11" s="193"/>
      <c r="BD11" s="193"/>
      <c r="BE11" s="193"/>
      <c r="BF11" s="193"/>
    </row>
    <row r="12" spans="1:100" ht="40.950000000000003" customHeight="1">
      <c r="C12" s="705" t="s">
        <v>35</v>
      </c>
      <c r="D12" s="705"/>
      <c r="E12" s="705"/>
      <c r="F12" s="705"/>
      <c r="G12" s="705"/>
      <c r="H12" s="705"/>
      <c r="I12" s="705"/>
      <c r="J12" s="705"/>
      <c r="K12" s="705"/>
      <c r="L12" s="705"/>
      <c r="M12" s="705"/>
      <c r="N12" s="705"/>
      <c r="O12" s="705"/>
      <c r="P12" s="705"/>
      <c r="Q12" s="705"/>
      <c r="R12" s="705"/>
      <c r="S12" s="705"/>
      <c r="T12" s="705"/>
      <c r="U12" s="22" t="s">
        <v>1226</v>
      </c>
      <c r="V12" s="22"/>
      <c r="X12" s="23"/>
      <c r="Z12" s="23"/>
      <c r="AA12" s="23"/>
      <c r="AB12" s="23"/>
      <c r="AC12" s="23"/>
      <c r="AD12" s="190"/>
      <c r="AE12" s="190"/>
      <c r="AF12" s="24"/>
      <c r="AG12" s="24"/>
      <c r="AH12" s="24"/>
      <c r="AI12" s="24"/>
      <c r="AJ12" s="24"/>
      <c r="AK12" s="24"/>
      <c r="AL12" s="24"/>
      <c r="AM12" s="24"/>
      <c r="AN12" s="25" t="s">
        <v>1227</v>
      </c>
      <c r="AO12" s="25"/>
      <c r="AQ12" s="26"/>
      <c r="AR12" s="26"/>
      <c r="AS12" s="27"/>
      <c r="AT12" s="27"/>
      <c r="AU12" s="27"/>
      <c r="AV12" s="27"/>
      <c r="AW12" s="27"/>
      <c r="AX12" s="27"/>
      <c r="AY12" s="27"/>
      <c r="AZ12" s="27"/>
      <c r="BA12" s="27"/>
      <c r="BB12" s="27"/>
      <c r="BC12" s="27"/>
      <c r="BD12" s="27"/>
      <c r="BE12" s="27"/>
      <c r="BF12" s="27"/>
    </row>
    <row r="13" spans="1:100" s="28" customFormat="1" ht="9" customHeight="1">
      <c r="Q13" s="29"/>
      <c r="R13" s="29"/>
      <c r="S13" s="29"/>
      <c r="T13" s="29"/>
      <c r="U13" s="29"/>
      <c r="W13" s="29"/>
      <c r="AA13" s="30"/>
      <c r="AB13" s="30"/>
      <c r="AJ13" s="29"/>
      <c r="AK13" s="29"/>
      <c r="AL13" s="29"/>
      <c r="AM13" s="29"/>
      <c r="AN13" s="29"/>
      <c r="AW13" s="30"/>
      <c r="AX13" s="30"/>
      <c r="AY13" s="30"/>
      <c r="AZ13" s="30"/>
      <c r="BA13" s="30"/>
      <c r="BB13" s="29"/>
      <c r="BC13" s="29"/>
      <c r="BD13" s="29"/>
      <c r="BE13" s="29"/>
      <c r="BF13" s="29"/>
      <c r="BJ13" s="734" t="str">
        <f>IF(計算!C3="データ未","貴社データの入力が未完了です。",計算!J39&amp;IF(AND(計算!K39="",計算!L39="",計算!M39=""),"",CHAR(10)&amp;"貴社データ")&amp;計算!K39&amp;計算!L39&amp;計算!M39&amp;IF(AND(計算!N39="",計算!O39=""),"",CHAR(10)&amp;"参考値データ")&amp;計算!N39&amp;計算!O39)</f>
        <v>貴社データの入力が未完了です。</v>
      </c>
      <c r="BK13" s="735"/>
      <c r="BL13" s="735"/>
      <c r="BM13" s="735"/>
      <c r="BN13" s="735"/>
      <c r="BO13" s="735"/>
      <c r="BP13" s="735"/>
      <c r="BQ13" s="735"/>
      <c r="BR13" s="735"/>
      <c r="BS13" s="735"/>
      <c r="BT13" s="735"/>
      <c r="BU13" s="735"/>
      <c r="BV13" s="735"/>
      <c r="BW13" s="735"/>
      <c r="BX13" s="735"/>
      <c r="BY13" s="735"/>
      <c r="BZ13" s="735"/>
      <c r="CA13" s="735"/>
      <c r="CB13" s="735"/>
      <c r="CC13" s="735"/>
      <c r="CD13" s="735"/>
      <c r="CE13" s="735"/>
      <c r="CF13" s="735"/>
      <c r="CG13" s="735"/>
      <c r="CH13" s="735"/>
      <c r="CI13" s="735"/>
      <c r="CJ13" s="735"/>
      <c r="CK13" s="735"/>
      <c r="CL13" s="735"/>
      <c r="CM13" s="735"/>
      <c r="CN13" s="735"/>
      <c r="CO13" s="735"/>
      <c r="CP13" s="735"/>
      <c r="CQ13" s="735"/>
      <c r="CR13" s="735"/>
      <c r="CS13" s="735"/>
      <c r="CT13" s="735"/>
      <c r="CU13" s="735"/>
      <c r="CV13" s="735"/>
    </row>
    <row r="14" spans="1:100" s="28" customFormat="1" ht="9" customHeight="1">
      <c r="Q14" s="29"/>
      <c r="R14" s="29"/>
      <c r="S14" s="29"/>
      <c r="T14" s="29"/>
      <c r="U14" s="29"/>
      <c r="W14" s="29"/>
      <c r="AA14" s="30"/>
      <c r="AB14" s="30"/>
      <c r="AJ14" s="29"/>
      <c r="AK14" s="29"/>
      <c r="AL14" s="29"/>
      <c r="AM14" s="29"/>
      <c r="AN14" s="29"/>
      <c r="AW14" s="30"/>
      <c r="AX14" s="30"/>
      <c r="AY14" s="30"/>
      <c r="AZ14" s="30"/>
      <c r="BA14" s="30"/>
      <c r="BB14" s="29"/>
      <c r="BC14" s="29"/>
      <c r="BD14" s="29"/>
      <c r="BE14" s="29"/>
      <c r="BF14" s="29"/>
      <c r="BJ14" s="736"/>
      <c r="BK14" s="737"/>
      <c r="BL14" s="737"/>
      <c r="BM14" s="737"/>
      <c r="BN14" s="737"/>
      <c r="BO14" s="737"/>
      <c r="BP14" s="737"/>
      <c r="BQ14" s="737"/>
      <c r="BR14" s="737"/>
      <c r="BS14" s="737"/>
      <c r="BT14" s="737"/>
      <c r="BU14" s="737"/>
      <c r="BV14" s="737"/>
      <c r="BW14" s="737"/>
      <c r="BX14" s="737"/>
      <c r="BY14" s="737"/>
      <c r="BZ14" s="737"/>
      <c r="CA14" s="737"/>
      <c r="CB14" s="737"/>
      <c r="CC14" s="737"/>
      <c r="CD14" s="737"/>
      <c r="CE14" s="737"/>
      <c r="CF14" s="737"/>
      <c r="CG14" s="737"/>
      <c r="CH14" s="737"/>
      <c r="CI14" s="737"/>
      <c r="CJ14" s="737"/>
      <c r="CK14" s="737"/>
      <c r="CL14" s="737"/>
      <c r="CM14" s="737"/>
      <c r="CN14" s="737"/>
      <c r="CO14" s="737"/>
      <c r="CP14" s="737"/>
      <c r="CQ14" s="737"/>
      <c r="CR14" s="737"/>
      <c r="CS14" s="737"/>
      <c r="CT14" s="737"/>
      <c r="CU14" s="737"/>
      <c r="CV14" s="737"/>
    </row>
    <row r="15" spans="1:100" s="28" customFormat="1" ht="9" customHeight="1">
      <c r="Q15" s="31"/>
      <c r="R15" s="31"/>
      <c r="S15" s="32"/>
      <c r="T15" s="32"/>
      <c r="U15" s="32"/>
      <c r="AA15" s="33"/>
      <c r="AB15" s="33"/>
      <c r="AJ15" s="31"/>
      <c r="AK15" s="31"/>
      <c r="AL15" s="32"/>
      <c r="AM15" s="32"/>
      <c r="AN15" s="32"/>
      <c r="AW15" s="30"/>
      <c r="AX15" s="30"/>
      <c r="AY15" s="30"/>
      <c r="AZ15" s="30"/>
      <c r="BA15" s="30"/>
      <c r="BB15" s="31"/>
      <c r="BC15" s="31"/>
      <c r="BD15" s="32"/>
      <c r="BE15" s="32"/>
      <c r="BF15" s="32"/>
      <c r="BJ15" s="736"/>
      <c r="BK15" s="737"/>
      <c r="BL15" s="737"/>
      <c r="BM15" s="737"/>
      <c r="BN15" s="737"/>
      <c r="BO15" s="737"/>
      <c r="BP15" s="737"/>
      <c r="BQ15" s="737"/>
      <c r="BR15" s="737"/>
      <c r="BS15" s="737"/>
      <c r="BT15" s="737"/>
      <c r="BU15" s="737"/>
      <c r="BV15" s="737"/>
      <c r="BW15" s="737"/>
      <c r="BX15" s="737"/>
      <c r="BY15" s="737"/>
      <c r="BZ15" s="737"/>
      <c r="CA15" s="737"/>
      <c r="CB15" s="737"/>
      <c r="CC15" s="737"/>
      <c r="CD15" s="737"/>
      <c r="CE15" s="737"/>
      <c r="CF15" s="737"/>
      <c r="CG15" s="737"/>
      <c r="CH15" s="737"/>
      <c r="CI15" s="737"/>
      <c r="CJ15" s="737"/>
      <c r="CK15" s="737"/>
      <c r="CL15" s="737"/>
      <c r="CM15" s="737"/>
      <c r="CN15" s="737"/>
      <c r="CO15" s="737"/>
      <c r="CP15" s="737"/>
      <c r="CQ15" s="737"/>
      <c r="CR15" s="737"/>
      <c r="CS15" s="737"/>
      <c r="CT15" s="737"/>
      <c r="CU15" s="737"/>
      <c r="CV15" s="737"/>
    </row>
    <row r="16" spans="1:100" s="28" customFormat="1" ht="9" customHeight="1">
      <c r="Q16" s="31"/>
      <c r="R16" s="31"/>
      <c r="S16" s="32"/>
      <c r="T16" s="32"/>
      <c r="U16" s="32"/>
      <c r="AA16" s="33"/>
      <c r="AB16" s="33"/>
      <c r="AJ16" s="31"/>
      <c r="AK16" s="31"/>
      <c r="AL16" s="32"/>
      <c r="AM16" s="32"/>
      <c r="AN16" s="32"/>
      <c r="AW16" s="30"/>
      <c r="AX16" s="30"/>
      <c r="AY16" s="30"/>
      <c r="AZ16" s="30"/>
      <c r="BA16" s="30"/>
      <c r="BB16" s="31"/>
      <c r="BC16" s="31"/>
      <c r="BD16" s="32"/>
      <c r="BE16" s="32"/>
      <c r="BF16" s="32"/>
      <c r="BJ16" s="736"/>
      <c r="BK16" s="737"/>
      <c r="BL16" s="737"/>
      <c r="BM16" s="737"/>
      <c r="BN16" s="737"/>
      <c r="BO16" s="737"/>
      <c r="BP16" s="737"/>
      <c r="BQ16" s="737"/>
      <c r="BR16" s="737"/>
      <c r="BS16" s="737"/>
      <c r="BT16" s="737"/>
      <c r="BU16" s="737"/>
      <c r="BV16" s="737"/>
      <c r="BW16" s="737"/>
      <c r="BX16" s="737"/>
      <c r="BY16" s="737"/>
      <c r="BZ16" s="737"/>
      <c r="CA16" s="737"/>
      <c r="CB16" s="737"/>
      <c r="CC16" s="737"/>
      <c r="CD16" s="737"/>
      <c r="CE16" s="737"/>
      <c r="CF16" s="737"/>
      <c r="CG16" s="737"/>
      <c r="CH16" s="737"/>
      <c r="CI16" s="737"/>
      <c r="CJ16" s="737"/>
      <c r="CK16" s="737"/>
      <c r="CL16" s="737"/>
      <c r="CM16" s="737"/>
      <c r="CN16" s="737"/>
      <c r="CO16" s="737"/>
      <c r="CP16" s="737"/>
      <c r="CQ16" s="737"/>
      <c r="CR16" s="737"/>
      <c r="CS16" s="737"/>
      <c r="CT16" s="737"/>
      <c r="CU16" s="737"/>
      <c r="CV16" s="737"/>
    </row>
    <row r="17" spans="1:100" s="28" customFormat="1" ht="9" customHeight="1">
      <c r="Q17" s="31"/>
      <c r="R17" s="31"/>
      <c r="S17" s="32"/>
      <c r="T17" s="32"/>
      <c r="U17" s="32"/>
      <c r="AB17" s="33"/>
      <c r="AJ17" s="31"/>
      <c r="AK17" s="31"/>
      <c r="AL17" s="32"/>
      <c r="AM17" s="32"/>
      <c r="AN17" s="32"/>
      <c r="AW17" s="30"/>
      <c r="AX17" s="30"/>
      <c r="AY17" s="30"/>
      <c r="AZ17" s="30"/>
      <c r="BA17" s="30"/>
      <c r="BB17" s="31"/>
      <c r="BC17" s="31"/>
      <c r="BD17" s="32"/>
      <c r="BE17" s="32"/>
      <c r="BF17" s="32"/>
      <c r="BJ17" s="736"/>
      <c r="BK17" s="737"/>
      <c r="BL17" s="737"/>
      <c r="BM17" s="737"/>
      <c r="BN17" s="737"/>
      <c r="BO17" s="737"/>
      <c r="BP17" s="737"/>
      <c r="BQ17" s="737"/>
      <c r="BR17" s="737"/>
      <c r="BS17" s="737"/>
      <c r="BT17" s="737"/>
      <c r="BU17" s="737"/>
      <c r="BV17" s="737"/>
      <c r="BW17" s="737"/>
      <c r="BX17" s="737"/>
      <c r="BY17" s="737"/>
      <c r="BZ17" s="737"/>
      <c r="CA17" s="737"/>
      <c r="CB17" s="737"/>
      <c r="CC17" s="737"/>
      <c r="CD17" s="737"/>
      <c r="CE17" s="737"/>
      <c r="CF17" s="737"/>
      <c r="CG17" s="737"/>
      <c r="CH17" s="737"/>
      <c r="CI17" s="737"/>
      <c r="CJ17" s="737"/>
      <c r="CK17" s="737"/>
      <c r="CL17" s="737"/>
      <c r="CM17" s="737"/>
      <c r="CN17" s="737"/>
      <c r="CO17" s="737"/>
      <c r="CP17" s="737"/>
      <c r="CQ17" s="737"/>
      <c r="CR17" s="737"/>
      <c r="CS17" s="737"/>
      <c r="CT17" s="737"/>
      <c r="CU17" s="737"/>
      <c r="CV17" s="737"/>
    </row>
    <row r="18" spans="1:100" s="28" customFormat="1" ht="9" customHeight="1">
      <c r="Q18" s="31"/>
      <c r="R18" s="31"/>
      <c r="S18" s="32"/>
      <c r="T18" s="32"/>
      <c r="U18" s="32"/>
      <c r="AB18" s="33"/>
      <c r="AJ18" s="31"/>
      <c r="AK18" s="31"/>
      <c r="AL18" s="32"/>
      <c r="AM18" s="32"/>
      <c r="AN18" s="32"/>
      <c r="AW18" s="30"/>
      <c r="AX18" s="30"/>
      <c r="AY18" s="30"/>
      <c r="AZ18" s="30"/>
      <c r="BA18" s="30"/>
      <c r="BB18" s="31"/>
      <c r="BC18" s="31"/>
      <c r="BD18" s="32"/>
      <c r="BE18" s="32"/>
      <c r="BF18" s="32"/>
      <c r="BJ18" s="736"/>
      <c r="BK18" s="737"/>
      <c r="BL18" s="737"/>
      <c r="BM18" s="737"/>
      <c r="BN18" s="737"/>
      <c r="BO18" s="737"/>
      <c r="BP18" s="737"/>
      <c r="BQ18" s="737"/>
      <c r="BR18" s="737"/>
      <c r="BS18" s="737"/>
      <c r="BT18" s="737"/>
      <c r="BU18" s="737"/>
      <c r="BV18" s="737"/>
      <c r="BW18" s="737"/>
      <c r="BX18" s="737"/>
      <c r="BY18" s="737"/>
      <c r="BZ18" s="737"/>
      <c r="CA18" s="737"/>
      <c r="CB18" s="737"/>
      <c r="CC18" s="737"/>
      <c r="CD18" s="737"/>
      <c r="CE18" s="737"/>
      <c r="CF18" s="737"/>
      <c r="CG18" s="737"/>
      <c r="CH18" s="737"/>
      <c r="CI18" s="737"/>
      <c r="CJ18" s="737"/>
      <c r="CK18" s="737"/>
      <c r="CL18" s="737"/>
      <c r="CM18" s="737"/>
      <c r="CN18" s="737"/>
      <c r="CO18" s="737"/>
      <c r="CP18" s="737"/>
      <c r="CQ18" s="737"/>
      <c r="CR18" s="737"/>
      <c r="CS18" s="737"/>
      <c r="CT18" s="737"/>
      <c r="CU18" s="737"/>
      <c r="CV18" s="737"/>
    </row>
    <row r="19" spans="1:100" s="28" customFormat="1" ht="9" customHeight="1">
      <c r="Q19" s="31"/>
      <c r="R19" s="31"/>
      <c r="S19" s="32"/>
      <c r="T19" s="32"/>
      <c r="U19" s="32"/>
      <c r="AB19" s="33"/>
      <c r="AJ19" s="31"/>
      <c r="AK19" s="31"/>
      <c r="AL19" s="32"/>
      <c r="AM19" s="32"/>
      <c r="AN19" s="32"/>
      <c r="AW19" s="30"/>
      <c r="AX19" s="30"/>
      <c r="AY19" s="30"/>
      <c r="AZ19" s="30"/>
      <c r="BA19" s="30"/>
      <c r="BB19" s="31"/>
      <c r="BC19" s="31"/>
      <c r="BD19" s="32"/>
      <c r="BE19" s="32"/>
      <c r="BF19" s="32"/>
      <c r="BJ19" s="736"/>
      <c r="BK19" s="737"/>
      <c r="BL19" s="737"/>
      <c r="BM19" s="737"/>
      <c r="BN19" s="737"/>
      <c r="BO19" s="737"/>
      <c r="BP19" s="737"/>
      <c r="BQ19" s="737"/>
      <c r="BR19" s="737"/>
      <c r="BS19" s="737"/>
      <c r="BT19" s="737"/>
      <c r="BU19" s="737"/>
      <c r="BV19" s="737"/>
      <c r="BW19" s="737"/>
      <c r="BX19" s="737"/>
      <c r="BY19" s="737"/>
      <c r="BZ19" s="737"/>
      <c r="CA19" s="737"/>
      <c r="CB19" s="737"/>
      <c r="CC19" s="737"/>
      <c r="CD19" s="737"/>
      <c r="CE19" s="737"/>
      <c r="CF19" s="737"/>
      <c r="CG19" s="737"/>
      <c r="CH19" s="737"/>
      <c r="CI19" s="737"/>
      <c r="CJ19" s="737"/>
      <c r="CK19" s="737"/>
      <c r="CL19" s="737"/>
      <c r="CM19" s="737"/>
      <c r="CN19" s="737"/>
      <c r="CO19" s="737"/>
      <c r="CP19" s="737"/>
      <c r="CQ19" s="737"/>
      <c r="CR19" s="737"/>
      <c r="CS19" s="737"/>
      <c r="CT19" s="737"/>
      <c r="CU19" s="737"/>
      <c r="CV19" s="737"/>
    </row>
    <row r="20" spans="1:100" s="28" customFormat="1" ht="9" customHeight="1">
      <c r="Q20" s="31"/>
      <c r="R20" s="31"/>
      <c r="S20" s="32"/>
      <c r="T20" s="32"/>
      <c r="U20" s="32"/>
      <c r="AB20" s="33"/>
      <c r="AJ20" s="31"/>
      <c r="AK20" s="31"/>
      <c r="AL20" s="32"/>
      <c r="AM20" s="32"/>
      <c r="AN20" s="32"/>
      <c r="AW20" s="30"/>
      <c r="AX20" s="30"/>
      <c r="AY20" s="30"/>
      <c r="AZ20" s="30"/>
      <c r="BA20" s="30"/>
      <c r="BB20" s="31"/>
      <c r="BC20" s="31"/>
      <c r="BD20" s="32"/>
      <c r="BE20" s="32"/>
      <c r="BF20" s="32"/>
      <c r="BJ20" s="736"/>
      <c r="BK20" s="737"/>
      <c r="BL20" s="737"/>
      <c r="BM20" s="737"/>
      <c r="BN20" s="737"/>
      <c r="BO20" s="737"/>
      <c r="BP20" s="737"/>
      <c r="BQ20" s="737"/>
      <c r="BR20" s="737"/>
      <c r="BS20" s="737"/>
      <c r="BT20" s="737"/>
      <c r="BU20" s="737"/>
      <c r="BV20" s="737"/>
      <c r="BW20" s="737"/>
      <c r="BX20" s="737"/>
      <c r="BY20" s="737"/>
      <c r="BZ20" s="737"/>
      <c r="CA20" s="737"/>
      <c r="CB20" s="737"/>
      <c r="CC20" s="737"/>
      <c r="CD20" s="737"/>
      <c r="CE20" s="737"/>
      <c r="CF20" s="737"/>
      <c r="CG20" s="737"/>
      <c r="CH20" s="737"/>
      <c r="CI20" s="737"/>
      <c r="CJ20" s="737"/>
      <c r="CK20" s="737"/>
      <c r="CL20" s="737"/>
      <c r="CM20" s="737"/>
      <c r="CN20" s="737"/>
      <c r="CO20" s="737"/>
      <c r="CP20" s="737"/>
      <c r="CQ20" s="737"/>
      <c r="CR20" s="737"/>
      <c r="CS20" s="737"/>
      <c r="CT20" s="737"/>
      <c r="CU20" s="737"/>
      <c r="CV20" s="737"/>
    </row>
    <row r="21" spans="1:100" s="28" customFormat="1" ht="9" customHeight="1">
      <c r="Q21" s="31"/>
      <c r="R21" s="31"/>
      <c r="S21" s="32"/>
      <c r="T21" s="32"/>
      <c r="U21" s="32"/>
      <c r="AB21" s="33"/>
      <c r="AJ21" s="31"/>
      <c r="AK21" s="31"/>
      <c r="AL21" s="32"/>
      <c r="AM21" s="32"/>
      <c r="AN21" s="32"/>
      <c r="AW21" s="30"/>
      <c r="AX21" s="30"/>
      <c r="AY21" s="30"/>
      <c r="AZ21" s="30"/>
      <c r="BA21" s="30"/>
      <c r="BB21" s="31"/>
      <c r="BC21" s="31"/>
      <c r="BD21" s="32"/>
      <c r="BE21" s="32"/>
      <c r="BF21" s="32"/>
      <c r="BJ21" s="736"/>
      <c r="BK21" s="737"/>
      <c r="BL21" s="737"/>
      <c r="BM21" s="737"/>
      <c r="BN21" s="737"/>
      <c r="BO21" s="737"/>
      <c r="BP21" s="737"/>
      <c r="BQ21" s="737"/>
      <c r="BR21" s="737"/>
      <c r="BS21" s="737"/>
      <c r="BT21" s="737"/>
      <c r="BU21" s="737"/>
      <c r="BV21" s="737"/>
      <c r="BW21" s="737"/>
      <c r="BX21" s="737"/>
      <c r="BY21" s="737"/>
      <c r="BZ21" s="737"/>
      <c r="CA21" s="737"/>
      <c r="CB21" s="737"/>
      <c r="CC21" s="737"/>
      <c r="CD21" s="737"/>
      <c r="CE21" s="737"/>
      <c r="CF21" s="737"/>
      <c r="CG21" s="737"/>
      <c r="CH21" s="737"/>
      <c r="CI21" s="737"/>
      <c r="CJ21" s="737"/>
      <c r="CK21" s="737"/>
      <c r="CL21" s="737"/>
      <c r="CM21" s="737"/>
      <c r="CN21" s="737"/>
      <c r="CO21" s="737"/>
      <c r="CP21" s="737"/>
      <c r="CQ21" s="737"/>
      <c r="CR21" s="737"/>
      <c r="CS21" s="737"/>
      <c r="CT21" s="737"/>
      <c r="CU21" s="737"/>
      <c r="CV21" s="737"/>
    </row>
    <row r="22" spans="1:100" s="28" customFormat="1" ht="9" customHeight="1">
      <c r="Q22" s="31"/>
      <c r="R22" s="31"/>
      <c r="S22" s="32"/>
      <c r="T22" s="32"/>
      <c r="U22" s="32"/>
      <c r="AB22" s="33"/>
      <c r="AJ22" s="31"/>
      <c r="AK22" s="31"/>
      <c r="AL22" s="32"/>
      <c r="AM22" s="32"/>
      <c r="AN22" s="32"/>
      <c r="AW22" s="30"/>
      <c r="AX22" s="30"/>
      <c r="AY22" s="30"/>
      <c r="AZ22" s="30"/>
      <c r="BA22" s="30"/>
      <c r="BB22" s="31"/>
      <c r="BC22" s="31"/>
      <c r="BD22" s="32"/>
      <c r="BE22" s="32"/>
      <c r="BF22" s="32"/>
      <c r="BJ22" s="736"/>
      <c r="BK22" s="737"/>
      <c r="BL22" s="737"/>
      <c r="BM22" s="737"/>
      <c r="BN22" s="737"/>
      <c r="BO22" s="737"/>
      <c r="BP22" s="737"/>
      <c r="BQ22" s="737"/>
      <c r="BR22" s="737"/>
      <c r="BS22" s="737"/>
      <c r="BT22" s="737"/>
      <c r="BU22" s="737"/>
      <c r="BV22" s="737"/>
      <c r="BW22" s="737"/>
      <c r="BX22" s="737"/>
      <c r="BY22" s="737"/>
      <c r="BZ22" s="737"/>
      <c r="CA22" s="737"/>
      <c r="CB22" s="737"/>
      <c r="CC22" s="737"/>
      <c r="CD22" s="737"/>
      <c r="CE22" s="737"/>
      <c r="CF22" s="737"/>
      <c r="CG22" s="737"/>
      <c r="CH22" s="737"/>
      <c r="CI22" s="737"/>
      <c r="CJ22" s="737"/>
      <c r="CK22" s="737"/>
      <c r="CL22" s="737"/>
      <c r="CM22" s="737"/>
      <c r="CN22" s="737"/>
      <c r="CO22" s="737"/>
      <c r="CP22" s="737"/>
      <c r="CQ22" s="737"/>
      <c r="CR22" s="737"/>
      <c r="CS22" s="737"/>
      <c r="CT22" s="737"/>
      <c r="CU22" s="737"/>
      <c r="CV22" s="737"/>
    </row>
    <row r="23" spans="1:100" s="28" customFormat="1" ht="9" customHeight="1">
      <c r="I23" s="34"/>
      <c r="J23" s="34"/>
      <c r="K23" s="34"/>
      <c r="L23" s="34"/>
      <c r="M23" s="34"/>
      <c r="N23" s="35"/>
      <c r="O23" s="36"/>
      <c r="Q23" s="31"/>
      <c r="R23" s="31"/>
      <c r="S23" s="37"/>
      <c r="T23" s="37"/>
      <c r="U23" s="37"/>
      <c r="AJ23" s="31"/>
      <c r="AK23" s="31"/>
      <c r="AL23" s="37"/>
      <c r="AM23" s="37"/>
      <c r="AN23" s="37"/>
      <c r="AW23" s="30"/>
      <c r="AX23" s="30"/>
      <c r="AY23" s="30"/>
      <c r="AZ23" s="30"/>
      <c r="BA23" s="30"/>
      <c r="BB23" s="31"/>
      <c r="BC23" s="31"/>
      <c r="BD23" s="37"/>
      <c r="BE23" s="37"/>
      <c r="BF23" s="37"/>
      <c r="BJ23" s="736"/>
      <c r="BK23" s="737"/>
      <c r="BL23" s="737"/>
      <c r="BM23" s="737"/>
      <c r="BN23" s="737"/>
      <c r="BO23" s="737"/>
      <c r="BP23" s="737"/>
      <c r="BQ23" s="737"/>
      <c r="BR23" s="737"/>
      <c r="BS23" s="737"/>
      <c r="BT23" s="737"/>
      <c r="BU23" s="737"/>
      <c r="BV23" s="737"/>
      <c r="BW23" s="737"/>
      <c r="BX23" s="737"/>
      <c r="BY23" s="737"/>
      <c r="BZ23" s="737"/>
      <c r="CA23" s="737"/>
      <c r="CB23" s="737"/>
      <c r="CC23" s="737"/>
      <c r="CD23" s="737"/>
      <c r="CE23" s="737"/>
      <c r="CF23" s="737"/>
      <c r="CG23" s="737"/>
      <c r="CH23" s="737"/>
      <c r="CI23" s="737"/>
      <c r="CJ23" s="737"/>
      <c r="CK23" s="737"/>
      <c r="CL23" s="737"/>
      <c r="CM23" s="737"/>
      <c r="CN23" s="737"/>
      <c r="CO23" s="737"/>
      <c r="CP23" s="737"/>
      <c r="CQ23" s="737"/>
      <c r="CR23" s="737"/>
      <c r="CS23" s="737"/>
      <c r="CT23" s="737"/>
      <c r="CU23" s="737"/>
      <c r="CV23" s="737"/>
    </row>
    <row r="24" spans="1:100" ht="33" customHeight="1">
      <c r="C24" s="672"/>
      <c r="D24" s="672"/>
      <c r="E24" s="672"/>
      <c r="F24" s="672"/>
      <c r="G24" s="672"/>
      <c r="H24" s="672"/>
      <c r="I24" s="38"/>
      <c r="J24" s="38"/>
      <c r="K24" s="38"/>
      <c r="L24" s="38"/>
      <c r="M24" s="38"/>
      <c r="N24" s="39"/>
      <c r="O24" s="40"/>
      <c r="Q24" s="31"/>
      <c r="R24" s="31"/>
      <c r="S24" s="37"/>
      <c r="T24" s="37"/>
      <c r="U24" s="37"/>
      <c r="AJ24" s="31"/>
      <c r="AK24" s="31"/>
      <c r="AL24" s="37"/>
      <c r="AM24" s="37"/>
      <c r="AN24" s="37"/>
      <c r="AP24" s="114"/>
      <c r="AQ24" s="114"/>
      <c r="AR24" s="114"/>
      <c r="AS24" s="114"/>
      <c r="AT24" s="114"/>
      <c r="AU24" s="114"/>
      <c r="AV24" s="114"/>
      <c r="AW24" s="114"/>
      <c r="AX24" s="114"/>
      <c r="AY24" s="114"/>
      <c r="AZ24" s="114"/>
      <c r="BA24" s="114"/>
      <c r="BB24" s="31"/>
      <c r="BC24" s="31"/>
      <c r="BD24" s="37"/>
      <c r="BE24" s="37"/>
      <c r="BF24" s="37"/>
      <c r="BJ24" s="736"/>
      <c r="BK24" s="737"/>
      <c r="BL24" s="737"/>
      <c r="BM24" s="737"/>
      <c r="BN24" s="737"/>
      <c r="BO24" s="737"/>
      <c r="BP24" s="737"/>
      <c r="BQ24" s="737"/>
      <c r="BR24" s="737"/>
      <c r="BS24" s="737"/>
      <c r="BT24" s="737"/>
      <c r="BU24" s="737"/>
      <c r="BV24" s="737"/>
      <c r="BW24" s="737"/>
      <c r="BX24" s="737"/>
      <c r="BY24" s="737"/>
      <c r="BZ24" s="737"/>
      <c r="CA24" s="737"/>
      <c r="CB24" s="737"/>
      <c r="CC24" s="737"/>
      <c r="CD24" s="737"/>
      <c r="CE24" s="737"/>
      <c r="CF24" s="737"/>
      <c r="CG24" s="737"/>
      <c r="CH24" s="737"/>
      <c r="CI24" s="737"/>
      <c r="CJ24" s="737"/>
      <c r="CK24" s="737"/>
      <c r="CL24" s="737"/>
      <c r="CM24" s="737"/>
      <c r="CN24" s="737"/>
      <c r="CO24" s="737"/>
      <c r="CP24" s="737"/>
      <c r="CQ24" s="737"/>
      <c r="CR24" s="737"/>
      <c r="CS24" s="737"/>
      <c r="CT24" s="737"/>
      <c r="CU24" s="737"/>
      <c r="CV24" s="737"/>
    </row>
    <row r="25" spans="1:100" ht="30" customHeight="1">
      <c r="P25" s="31"/>
      <c r="AI25" s="31"/>
      <c r="BB25" s="31"/>
      <c r="BC25" s="31"/>
      <c r="BD25" s="37"/>
      <c r="BE25" s="37"/>
      <c r="BF25" s="37"/>
      <c r="BJ25" s="736"/>
      <c r="BK25" s="737"/>
      <c r="BL25" s="737"/>
      <c r="BM25" s="737"/>
      <c r="BN25" s="737"/>
      <c r="BO25" s="737"/>
      <c r="BP25" s="737"/>
      <c r="BQ25" s="737"/>
      <c r="BR25" s="737"/>
      <c r="BS25" s="737"/>
      <c r="BT25" s="737"/>
      <c r="BU25" s="737"/>
      <c r="BV25" s="737"/>
      <c r="BW25" s="737"/>
      <c r="BX25" s="737"/>
      <c r="BY25" s="737"/>
      <c r="BZ25" s="737"/>
      <c r="CA25" s="737"/>
      <c r="CB25" s="737"/>
      <c r="CC25" s="737"/>
      <c r="CD25" s="737"/>
      <c r="CE25" s="737"/>
      <c r="CF25" s="737"/>
      <c r="CG25" s="737"/>
      <c r="CH25" s="737"/>
      <c r="CI25" s="737"/>
      <c r="CJ25" s="737"/>
      <c r="CK25" s="737"/>
      <c r="CL25" s="737"/>
      <c r="CM25" s="737"/>
      <c r="CN25" s="737"/>
      <c r="CO25" s="737"/>
      <c r="CP25" s="737"/>
      <c r="CQ25" s="737"/>
      <c r="CR25" s="737"/>
      <c r="CS25" s="737"/>
      <c r="CT25" s="737"/>
      <c r="CU25" s="737"/>
      <c r="CV25" s="737"/>
    </row>
    <row r="26" spans="1:100" ht="25.95" customHeight="1">
      <c r="BJ26" s="738"/>
      <c r="BK26" s="739"/>
      <c r="BL26" s="739"/>
      <c r="BM26" s="739"/>
      <c r="BN26" s="739"/>
      <c r="BO26" s="739"/>
      <c r="BP26" s="739"/>
      <c r="BQ26" s="739"/>
      <c r="BR26" s="739"/>
      <c r="BS26" s="739"/>
      <c r="BT26" s="739"/>
      <c r="BU26" s="739"/>
      <c r="BV26" s="739"/>
      <c r="BW26" s="739"/>
      <c r="BX26" s="739"/>
      <c r="BY26" s="739"/>
      <c r="BZ26" s="739"/>
      <c r="CA26" s="739"/>
      <c r="CB26" s="739"/>
      <c r="CC26" s="739"/>
      <c r="CD26" s="739"/>
      <c r="CE26" s="739"/>
      <c r="CF26" s="739"/>
      <c r="CG26" s="739"/>
      <c r="CH26" s="739"/>
      <c r="CI26" s="739"/>
      <c r="CJ26" s="739"/>
      <c r="CK26" s="739"/>
      <c r="CL26" s="739"/>
      <c r="CM26" s="739"/>
      <c r="CN26" s="739"/>
      <c r="CO26" s="739"/>
      <c r="CP26" s="739"/>
      <c r="CQ26" s="739"/>
      <c r="CR26" s="739"/>
      <c r="CS26" s="739"/>
      <c r="CT26" s="739"/>
      <c r="CU26" s="739"/>
      <c r="CV26" s="739"/>
    </row>
    <row r="27" spans="1:100" ht="10.8" customHeight="1">
      <c r="BJ27" s="566"/>
      <c r="BK27" s="567"/>
      <c r="BL27" s="567"/>
      <c r="BM27" s="567"/>
      <c r="BN27" s="567"/>
      <c r="BO27" s="567"/>
      <c r="BP27" s="567"/>
      <c r="BQ27" s="567"/>
      <c r="BR27" s="567"/>
      <c r="BS27" s="567"/>
      <c r="BT27" s="567"/>
      <c r="BU27" s="567"/>
      <c r="BV27" s="567"/>
      <c r="BW27" s="567"/>
      <c r="BX27" s="567"/>
      <c r="BY27" s="567"/>
      <c r="BZ27" s="567"/>
      <c r="CA27" s="567"/>
      <c r="CB27" s="567"/>
      <c r="CC27" s="567"/>
      <c r="CD27" s="567"/>
      <c r="CE27" s="567"/>
      <c r="CF27" s="567"/>
      <c r="CG27" s="567"/>
      <c r="CH27" s="567"/>
      <c r="CI27" s="567"/>
      <c r="CJ27" s="567"/>
      <c r="CK27" s="567"/>
      <c r="CL27" s="567"/>
      <c r="CM27" s="567"/>
      <c r="CN27" s="567"/>
      <c r="CO27" s="567"/>
      <c r="CP27" s="567"/>
      <c r="CQ27" s="567"/>
      <c r="CR27" s="567"/>
      <c r="CS27" s="567"/>
      <c r="CT27" s="567"/>
      <c r="CU27" s="567"/>
      <c r="CV27" s="567"/>
    </row>
    <row r="28" spans="1:100" ht="189" customHeight="1">
      <c r="C28" s="194" t="s">
        <v>1229</v>
      </c>
      <c r="D28" s="41"/>
      <c r="E28" s="41"/>
      <c r="F28" s="41"/>
      <c r="G28" s="41"/>
      <c r="H28" s="41"/>
      <c r="I28" s="41"/>
      <c r="J28" s="41"/>
      <c r="K28" s="41"/>
      <c r="L28" s="195"/>
      <c r="M28" s="195"/>
      <c r="N28" s="195"/>
      <c r="O28" s="195"/>
      <c r="P28" s="195"/>
      <c r="Q28" s="195"/>
      <c r="R28" s="195"/>
      <c r="S28" s="195"/>
      <c r="T28" s="195"/>
      <c r="U28" s="195"/>
      <c r="V28" s="195"/>
      <c r="W28" s="42"/>
      <c r="X28" s="42"/>
      <c r="Y28" s="42"/>
      <c r="Z28" s="42"/>
      <c r="AA28" s="42"/>
      <c r="AB28" s="42"/>
      <c r="AC28" s="42"/>
      <c r="AD28" s="42"/>
      <c r="AE28" s="195"/>
      <c r="AF28" s="196" t="s">
        <v>1228</v>
      </c>
      <c r="AG28" s="195"/>
      <c r="AH28" s="195"/>
      <c r="AI28" s="195"/>
      <c r="AJ28" s="195"/>
      <c r="AK28" s="195"/>
      <c r="AL28" s="195"/>
      <c r="AM28" s="195"/>
      <c r="AN28" s="195"/>
      <c r="AO28" s="195"/>
      <c r="AP28" s="42"/>
      <c r="AQ28" s="42"/>
      <c r="AR28" s="42"/>
      <c r="AS28" s="42"/>
      <c r="AT28" s="42"/>
      <c r="AU28" s="42"/>
      <c r="AV28" s="42"/>
      <c r="AW28" s="42"/>
      <c r="AX28" s="42"/>
      <c r="AY28" s="42"/>
      <c r="AZ28" s="42"/>
      <c r="BA28" s="42"/>
      <c r="BB28" s="42"/>
      <c r="BC28" s="42"/>
      <c r="BD28" s="42"/>
      <c r="BE28" s="42"/>
      <c r="BF28" s="42"/>
      <c r="BJ28" s="763" t="str">
        <f>IF(計算!C3="データ未","貴社データの入力が未完了です。",計算!J29&amp;IF(AND(計算!K29="",計算!L29="",計算!M29=""),"",CHAR(10)&amp;"貴社データ")&amp;計算!K29&amp;計算!L29&amp;計算!M29&amp;IF(AND(計算!N29="",計算!O29=""),"",CHAR(10)&amp;"参考値データ")&amp;計算!N29&amp;計算!O29)</f>
        <v>貴社データの入力が未完了です。</v>
      </c>
      <c r="BK28" s="764"/>
      <c r="BL28" s="764"/>
      <c r="BM28" s="764"/>
      <c r="BN28" s="764"/>
      <c r="BO28" s="764"/>
      <c r="BP28" s="764"/>
      <c r="BQ28" s="764"/>
      <c r="BR28" s="764"/>
      <c r="BS28" s="764"/>
      <c r="BT28" s="764"/>
      <c r="BU28" s="764"/>
      <c r="BV28" s="764"/>
      <c r="BW28" s="764"/>
      <c r="BX28" s="764"/>
      <c r="BY28" s="764"/>
      <c r="BZ28" s="764"/>
      <c r="CA28" s="764"/>
      <c r="CB28" s="764"/>
      <c r="CC28" s="764"/>
      <c r="CD28" s="764"/>
      <c r="CE28" s="764"/>
      <c r="CF28" s="764"/>
      <c r="CG28" s="764"/>
      <c r="CH28" s="764"/>
      <c r="CI28" s="764"/>
      <c r="CJ28" s="764"/>
      <c r="CK28" s="764"/>
      <c r="CL28" s="764"/>
      <c r="CM28" s="764"/>
      <c r="CN28" s="764"/>
      <c r="CO28" s="764"/>
      <c r="CP28" s="764"/>
      <c r="CQ28" s="764"/>
      <c r="CR28" s="764"/>
      <c r="CS28" s="764"/>
      <c r="CT28" s="764"/>
      <c r="CU28" s="764"/>
      <c r="CV28" s="764"/>
    </row>
    <row r="29" spans="1:100" ht="40.950000000000003" customHeight="1" thickBot="1">
      <c r="C29" s="197" t="s">
        <v>107</v>
      </c>
      <c r="D29" s="198"/>
      <c r="E29" s="198"/>
      <c r="F29" s="198"/>
      <c r="G29" s="198"/>
      <c r="H29" s="198"/>
      <c r="I29" s="198"/>
      <c r="J29" s="198"/>
      <c r="K29" s="198"/>
      <c r="L29" s="198"/>
      <c r="M29" s="198"/>
      <c r="N29" s="198"/>
      <c r="O29" s="198"/>
      <c r="P29" s="198"/>
      <c r="Q29" s="198"/>
      <c r="R29" s="198"/>
      <c r="S29" s="198"/>
      <c r="T29" s="198"/>
      <c r="U29" s="601"/>
      <c r="V29" s="601"/>
      <c r="W29" s="601"/>
      <c r="X29" s="601"/>
      <c r="Y29" s="199"/>
      <c r="Z29" s="199"/>
      <c r="AA29" s="199"/>
      <c r="AB29" s="199"/>
      <c r="AC29" s="199"/>
      <c r="AD29" s="199"/>
      <c r="AG29" s="199"/>
      <c r="AH29" s="199"/>
      <c r="AP29" s="43"/>
      <c r="AQ29" s="43"/>
      <c r="AR29" s="43"/>
      <c r="AS29" s="44"/>
      <c r="AT29" s="44"/>
      <c r="AU29" s="44"/>
      <c r="AV29" s="44"/>
      <c r="AW29" s="44"/>
      <c r="AX29" s="44"/>
      <c r="AY29" s="30"/>
      <c r="AZ29" s="30"/>
      <c r="BA29" s="30"/>
      <c r="BB29" s="30"/>
      <c r="BC29" s="30"/>
      <c r="BD29" s="30"/>
      <c r="BE29" s="30"/>
      <c r="BF29" s="30"/>
    </row>
    <row r="30" spans="1:100" ht="249.6" customHeight="1" thickBot="1">
      <c r="A30" s="740"/>
      <c r="B30" s="741"/>
      <c r="C30" s="683" t="str">
        <f>IF(入力シート!$C$5=入力リスト!$C$4,"",IF(計算!C3="データ未","貴社のデータ入力が未完了です。",計算!C78))</f>
        <v>貴社のデータ入力が未完了です。</v>
      </c>
      <c r="D30" s="684"/>
      <c r="E30" s="684"/>
      <c r="F30" s="684"/>
      <c r="G30" s="684"/>
      <c r="H30" s="684"/>
      <c r="I30" s="684"/>
      <c r="J30" s="684"/>
      <c r="K30" s="684"/>
      <c r="L30" s="684"/>
      <c r="M30" s="684"/>
      <c r="N30" s="684"/>
      <c r="O30" s="684"/>
      <c r="P30" s="684"/>
      <c r="Q30" s="684"/>
      <c r="R30" s="684"/>
      <c r="S30" s="684"/>
      <c r="T30" s="684"/>
      <c r="U30" s="684"/>
      <c r="V30" s="684"/>
      <c r="W30" s="684"/>
      <c r="X30" s="684"/>
      <c r="Y30" s="684"/>
      <c r="Z30" s="684"/>
      <c r="AA30" s="684"/>
      <c r="AB30" s="684"/>
      <c r="AC30" s="684"/>
      <c r="AD30" s="684"/>
      <c r="AE30" s="684"/>
      <c r="AF30" s="684"/>
      <c r="AG30" s="684"/>
      <c r="AH30" s="684"/>
      <c r="AI30" s="684"/>
      <c r="AJ30" s="684"/>
      <c r="AK30" s="684"/>
      <c r="AL30" s="684"/>
      <c r="AM30" s="684"/>
      <c r="AN30" s="684"/>
      <c r="AO30" s="684"/>
      <c r="AP30" s="684"/>
      <c r="AQ30" s="684"/>
      <c r="AR30" s="684"/>
      <c r="AS30" s="684"/>
      <c r="AT30" s="684"/>
      <c r="AU30" s="684"/>
      <c r="AV30" s="684"/>
      <c r="AW30" s="684"/>
      <c r="AX30" s="684"/>
      <c r="AY30" s="684"/>
      <c r="AZ30" s="684"/>
      <c r="BA30" s="684"/>
      <c r="BB30" s="684"/>
      <c r="BC30" s="684"/>
      <c r="BD30" s="684"/>
      <c r="BE30" s="684"/>
      <c r="BF30" s="685"/>
      <c r="BK30" s="114"/>
      <c r="BY30" s="190"/>
    </row>
    <row r="31" spans="1:100" ht="73.95" customHeight="1">
      <c r="C31" s="602" t="str">
        <f>IF(入力シート!$C$5=入力リスト!$C$4,"",IF(計算!C3="データ未","",計算!B129))</f>
        <v/>
      </c>
      <c r="D31" s="602"/>
      <c r="E31" s="602"/>
      <c r="F31" s="602"/>
      <c r="G31" s="602"/>
      <c r="H31" s="602"/>
      <c r="I31" s="602"/>
      <c r="J31" s="602"/>
      <c r="K31" s="602"/>
      <c r="L31" s="602"/>
      <c r="M31" s="602"/>
      <c r="N31" s="602"/>
      <c r="O31" s="602"/>
      <c r="P31" s="602"/>
      <c r="Q31" s="602"/>
      <c r="R31" s="602"/>
      <c r="S31" s="602"/>
      <c r="T31" s="602"/>
      <c r="U31" s="602"/>
      <c r="V31" s="602"/>
      <c r="W31" s="602"/>
      <c r="X31" s="602"/>
      <c r="Y31" s="602"/>
      <c r="Z31" s="602"/>
      <c r="AA31" s="602"/>
      <c r="AB31" s="602"/>
      <c r="AC31" s="602"/>
      <c r="AD31" s="602"/>
      <c r="AE31" s="602"/>
      <c r="AF31" s="602"/>
      <c r="AG31" s="602"/>
      <c r="AH31" s="602"/>
      <c r="AI31" s="602"/>
      <c r="AJ31" s="602"/>
      <c r="AK31" s="602"/>
      <c r="AL31" s="602"/>
      <c r="AM31" s="602"/>
      <c r="AN31" s="602"/>
      <c r="AO31" s="602"/>
      <c r="AP31" s="602"/>
      <c r="AQ31" s="602"/>
      <c r="AR31" s="602"/>
      <c r="AS31" s="602"/>
      <c r="AT31" s="602"/>
      <c r="AU31" s="602"/>
      <c r="AV31" s="602"/>
      <c r="AW31" s="602"/>
      <c r="AX31" s="602"/>
      <c r="AY31" s="602"/>
      <c r="AZ31" s="602"/>
      <c r="BA31" s="602"/>
      <c r="BB31" s="602"/>
      <c r="BC31" s="602"/>
      <c r="BD31" s="602"/>
      <c r="BE31" s="602"/>
      <c r="BF31" s="602"/>
    </row>
    <row r="32" spans="1:100" ht="42" customHeight="1" thickBot="1">
      <c r="B32" s="45" t="s">
        <v>109</v>
      </c>
      <c r="C32" s="188"/>
      <c r="D32" s="188"/>
      <c r="T32" s="46"/>
      <c r="U32" s="46"/>
      <c r="V32" s="46"/>
      <c r="W32" s="46"/>
      <c r="X32" s="46"/>
      <c r="Y32" s="46"/>
      <c r="Z32" s="46"/>
      <c r="AA32" s="46"/>
      <c r="AB32" s="46"/>
      <c r="AC32" s="46"/>
      <c r="AD32" s="46"/>
      <c r="AE32" s="46"/>
      <c r="AF32" s="46"/>
      <c r="AG32" s="46"/>
      <c r="AH32" s="46"/>
      <c r="AI32" s="46"/>
      <c r="AJ32" s="46"/>
      <c r="AK32" s="46"/>
      <c r="AL32" s="46"/>
      <c r="AM32" s="46"/>
      <c r="AN32" s="46"/>
      <c r="BJ32" s="799"/>
      <c r="BK32" s="799"/>
      <c r="BL32" s="799"/>
      <c r="BM32" s="799"/>
      <c r="BN32" s="799"/>
      <c r="BO32" s="799"/>
      <c r="BP32" s="563"/>
      <c r="BQ32" s="563"/>
    </row>
    <row r="33" spans="3:98" ht="43.05" customHeight="1">
      <c r="M33" s="686" t="s">
        <v>3</v>
      </c>
      <c r="N33" s="687"/>
      <c r="O33" s="687"/>
      <c r="P33" s="687"/>
      <c r="Q33" s="687"/>
      <c r="R33" s="687"/>
      <c r="S33" s="687"/>
      <c r="T33" s="698" t="s">
        <v>1202</v>
      </c>
      <c r="U33" s="699"/>
      <c r="V33" s="699"/>
      <c r="W33" s="699"/>
      <c r="X33" s="699"/>
      <c r="Y33" s="699"/>
      <c r="Z33" s="699"/>
      <c r="AA33" s="699"/>
      <c r="AB33" s="699"/>
      <c r="AC33" s="699"/>
      <c r="AD33" s="699"/>
      <c r="AE33" s="699"/>
      <c r="AF33" s="699"/>
      <c r="AG33" s="699"/>
      <c r="AH33" s="699"/>
      <c r="AI33" s="699"/>
      <c r="AJ33" s="699"/>
      <c r="AK33" s="699"/>
      <c r="AL33" s="699"/>
      <c r="AM33" s="699"/>
      <c r="AN33" s="699"/>
      <c r="AO33" s="699"/>
      <c r="AP33" s="698" t="s">
        <v>1155</v>
      </c>
      <c r="AQ33" s="765"/>
      <c r="AR33" s="765"/>
      <c r="AS33" s="765"/>
      <c r="AT33" s="765"/>
      <c r="AU33" s="765"/>
      <c r="AV33" s="765"/>
      <c r="AW33" s="765"/>
      <c r="AX33" s="765"/>
      <c r="AY33" s="690" t="s">
        <v>1156</v>
      </c>
      <c r="AZ33" s="691"/>
      <c r="BA33" s="691"/>
      <c r="BB33" s="691"/>
      <c r="BC33" s="691"/>
      <c r="BD33" s="691"/>
      <c r="BE33" s="691"/>
      <c r="BF33" s="692"/>
      <c r="BJ33" s="734" t="str">
        <f>IF(計算!C3="データ未","貴社データの入力が未完了です。",計算!J52&amp;IF(AND(計算!K52="",計算!L52=""),"",CHAR(10)&amp;"貴社データ")&amp;計算!K52&amp;計算!L52&amp;IF(AND(計算!N52="",計算!O52=""),"",CHAR(10)&amp;"参考値データ")&amp;計算!N52&amp;計算!O52)</f>
        <v>貴社データの入力が未完了です。</v>
      </c>
      <c r="BK33" s="735"/>
      <c r="BL33" s="735"/>
      <c r="BM33" s="735"/>
      <c r="BN33" s="735"/>
      <c r="BO33" s="735"/>
      <c r="BP33" s="735"/>
      <c r="BQ33" s="735"/>
      <c r="BR33" s="735"/>
      <c r="BS33" s="735"/>
      <c r="BT33" s="735"/>
      <c r="BU33" s="735"/>
      <c r="BV33" s="735"/>
      <c r="BW33" s="735"/>
      <c r="BX33" s="735"/>
      <c r="BY33" s="735"/>
      <c r="BZ33" s="735"/>
      <c r="CA33" s="735"/>
      <c r="CB33" s="735"/>
      <c r="CC33" s="735"/>
      <c r="CD33" s="735"/>
      <c r="CE33" s="735"/>
      <c r="CF33" s="735"/>
      <c r="CG33" s="735"/>
      <c r="CH33" s="735"/>
      <c r="CI33" s="735"/>
      <c r="CJ33" s="735"/>
      <c r="CK33" s="735"/>
      <c r="CL33" s="735"/>
      <c r="CM33" s="735"/>
      <c r="CN33" s="735"/>
      <c r="CO33" s="735"/>
      <c r="CP33" s="735"/>
      <c r="CQ33" s="735"/>
      <c r="CR33" s="735"/>
      <c r="CS33" s="735"/>
      <c r="CT33" s="769"/>
    </row>
    <row r="34" spans="3:98" ht="16.95" customHeight="1" thickBot="1">
      <c r="K34" s="47"/>
      <c r="L34" s="47"/>
      <c r="M34" s="688"/>
      <c r="N34" s="689"/>
      <c r="O34" s="689"/>
      <c r="P34" s="689"/>
      <c r="Q34" s="689"/>
      <c r="R34" s="689"/>
      <c r="S34" s="689"/>
      <c r="T34" s="607" t="s">
        <v>1203</v>
      </c>
      <c r="U34" s="608"/>
      <c r="V34" s="608"/>
      <c r="W34" s="608"/>
      <c r="X34" s="608"/>
      <c r="Y34" s="608"/>
      <c r="Z34" s="608"/>
      <c r="AA34" s="608"/>
      <c r="AB34" s="608"/>
      <c r="AC34" s="608"/>
      <c r="AD34" s="609"/>
      <c r="AE34" s="695" t="s">
        <v>1204</v>
      </c>
      <c r="AF34" s="696"/>
      <c r="AG34" s="696"/>
      <c r="AH34" s="696"/>
      <c r="AI34" s="696"/>
      <c r="AJ34" s="696"/>
      <c r="AK34" s="696"/>
      <c r="AL34" s="696"/>
      <c r="AM34" s="696"/>
      <c r="AN34" s="696"/>
      <c r="AO34" s="697"/>
      <c r="AP34" s="796" t="s">
        <v>1157</v>
      </c>
      <c r="AQ34" s="797"/>
      <c r="AR34" s="797"/>
      <c r="AS34" s="797"/>
      <c r="AT34" s="797"/>
      <c r="AU34" s="797"/>
      <c r="AV34" s="797"/>
      <c r="AW34" s="797"/>
      <c r="AX34" s="798"/>
      <c r="AY34" s="766" t="s">
        <v>1157</v>
      </c>
      <c r="AZ34" s="767"/>
      <c r="BA34" s="767"/>
      <c r="BB34" s="767"/>
      <c r="BC34" s="767"/>
      <c r="BD34" s="767"/>
      <c r="BE34" s="767"/>
      <c r="BF34" s="768"/>
      <c r="BG34" s="89"/>
      <c r="BJ34" s="736"/>
      <c r="BK34" s="737"/>
      <c r="BL34" s="737"/>
      <c r="BM34" s="737"/>
      <c r="BN34" s="737"/>
      <c r="BO34" s="737"/>
      <c r="BP34" s="737"/>
      <c r="BQ34" s="737"/>
      <c r="BR34" s="737"/>
      <c r="BS34" s="737"/>
      <c r="BT34" s="737"/>
      <c r="BU34" s="737"/>
      <c r="BV34" s="737"/>
      <c r="BW34" s="737"/>
      <c r="BX34" s="737"/>
      <c r="BY34" s="737"/>
      <c r="BZ34" s="737"/>
      <c r="CA34" s="737"/>
      <c r="CB34" s="737"/>
      <c r="CC34" s="737"/>
      <c r="CD34" s="737"/>
      <c r="CE34" s="737"/>
      <c r="CF34" s="737"/>
      <c r="CG34" s="737"/>
      <c r="CH34" s="737"/>
      <c r="CI34" s="737"/>
      <c r="CJ34" s="737"/>
      <c r="CK34" s="737"/>
      <c r="CL34" s="737"/>
      <c r="CM34" s="737"/>
      <c r="CN34" s="737"/>
      <c r="CO34" s="737"/>
      <c r="CP34" s="737"/>
      <c r="CQ34" s="737"/>
      <c r="CR34" s="737"/>
      <c r="CS34" s="737"/>
      <c r="CT34" s="770"/>
    </row>
    <row r="35" spans="3:98" ht="19.95" customHeight="1" thickTop="1">
      <c r="D35" s="745" t="str">
        <f>IF(入力シート!$J$26&lt;&gt;入力リスト!$H$12,LEFT(入力シート!C54,6)&amp;CHAR(10)&amp;MID(入力シート!C54,7,100),入力リスト!$K$5)</f>
        <v>直近1年間の
採用者数</v>
      </c>
      <c r="E35" s="746"/>
      <c r="F35" s="746"/>
      <c r="G35" s="746"/>
      <c r="H35" s="746"/>
      <c r="I35" s="746"/>
      <c r="J35" s="746"/>
      <c r="K35" s="746"/>
      <c r="L35" s="747"/>
      <c r="M35" s="673" t="s">
        <v>114</v>
      </c>
      <c r="N35" s="674"/>
      <c r="O35" s="674"/>
      <c r="P35" s="674"/>
      <c r="Q35" s="674"/>
      <c r="R35" s="674"/>
      <c r="S35" s="674"/>
      <c r="T35" s="610" t="str">
        <f>IF(入力シート!$C$5=入力リスト!$C$4,"-",IF(計算!C3="データ未","データ未",IF(ISERROR(計算!D44),"-",計算!D44)))</f>
        <v>データ未</v>
      </c>
      <c r="U35" s="611"/>
      <c r="V35" s="611"/>
      <c r="W35" s="611"/>
      <c r="X35" s="611"/>
      <c r="Y35" s="611"/>
      <c r="Z35" s="611"/>
      <c r="AA35" s="611"/>
      <c r="AB35" s="611"/>
      <c r="AC35" s="611"/>
      <c r="AD35" s="612"/>
      <c r="AE35" s="693" t="str">
        <f>IF(入力シート!$C$5=入力リスト!$C$4,"-",IF(計算!C3="データ未","データ未",IF(ISERROR(計算!E44),"-",計算!E44)))</f>
        <v>データ未</v>
      </c>
      <c r="AF35" s="693"/>
      <c r="AG35" s="693"/>
      <c r="AH35" s="693"/>
      <c r="AI35" s="693"/>
      <c r="AJ35" s="693"/>
      <c r="AK35" s="693"/>
      <c r="AL35" s="693"/>
      <c r="AM35" s="693"/>
      <c r="AN35" s="693"/>
      <c r="AO35" s="694"/>
      <c r="AP35" s="628" t="str">
        <f>IF(入力シート!$C$5=入力リスト!$C$4,"-",IF(計算!$C$3=入力リスト!$K$2,入力リスト!$K$2,IF(計算!E44=0,入力リスト!$K$3,IF(ISERROR(計算!D44/計算!E44),"-",計算!H44))))</f>
        <v>データ未</v>
      </c>
      <c r="AQ35" s="629"/>
      <c r="AR35" s="629"/>
      <c r="AS35" s="629"/>
      <c r="AT35" s="629"/>
      <c r="AU35" s="629"/>
      <c r="AV35" s="629"/>
      <c r="AW35" s="629"/>
      <c r="AX35" s="630"/>
      <c r="AY35" s="778">
        <f>IF(ISERROR(計算!$G$44),入力リスト!$K$3,IF(計算!$G$44=0,入力リスト!$K$3,IF(ISERROR(計算!I44),"-",計算!I44)))</f>
        <v>0.8097466960352423</v>
      </c>
      <c r="AZ35" s="779"/>
      <c r="BA35" s="779"/>
      <c r="BB35" s="779"/>
      <c r="BC35" s="779"/>
      <c r="BD35" s="779"/>
      <c r="BE35" s="779"/>
      <c r="BF35" s="780"/>
      <c r="BG35" s="200"/>
      <c r="BJ35" s="736"/>
      <c r="BK35" s="737"/>
      <c r="BL35" s="737"/>
      <c r="BM35" s="737"/>
      <c r="BN35" s="737"/>
      <c r="BO35" s="737"/>
      <c r="BP35" s="737"/>
      <c r="BQ35" s="737"/>
      <c r="BR35" s="737"/>
      <c r="BS35" s="737"/>
      <c r="BT35" s="737"/>
      <c r="BU35" s="737"/>
      <c r="BV35" s="737"/>
      <c r="BW35" s="737"/>
      <c r="BX35" s="737"/>
      <c r="BY35" s="737"/>
      <c r="BZ35" s="737"/>
      <c r="CA35" s="737"/>
      <c r="CB35" s="737"/>
      <c r="CC35" s="737"/>
      <c r="CD35" s="737"/>
      <c r="CE35" s="737"/>
      <c r="CF35" s="737"/>
      <c r="CG35" s="737"/>
      <c r="CH35" s="737"/>
      <c r="CI35" s="737"/>
      <c r="CJ35" s="737"/>
      <c r="CK35" s="737"/>
      <c r="CL35" s="737"/>
      <c r="CM35" s="737"/>
      <c r="CN35" s="737"/>
      <c r="CO35" s="737"/>
      <c r="CP35" s="737"/>
      <c r="CQ35" s="737"/>
      <c r="CR35" s="737"/>
      <c r="CS35" s="737"/>
      <c r="CT35" s="770"/>
    </row>
    <row r="36" spans="3:98" ht="19.95" customHeight="1">
      <c r="D36" s="680"/>
      <c r="E36" s="681"/>
      <c r="F36" s="681"/>
      <c r="G36" s="681"/>
      <c r="H36" s="681"/>
      <c r="I36" s="681"/>
      <c r="J36" s="681"/>
      <c r="K36" s="681"/>
      <c r="L36" s="682"/>
      <c r="M36" s="675" t="s">
        <v>115</v>
      </c>
      <c r="N36" s="676"/>
      <c r="O36" s="676"/>
      <c r="P36" s="676"/>
      <c r="Q36" s="676"/>
      <c r="R36" s="676"/>
      <c r="S36" s="676"/>
      <c r="T36" s="613" t="str">
        <f>IF(入力シート!$C$5=入力リスト!$C$4,"-",IF(計算!C3="データ未","データ未",IF(ISERROR(計算!D48),"-",計算!D48)))</f>
        <v>データ未</v>
      </c>
      <c r="U36" s="614"/>
      <c r="V36" s="614"/>
      <c r="W36" s="614"/>
      <c r="X36" s="614"/>
      <c r="Y36" s="614"/>
      <c r="Z36" s="614"/>
      <c r="AA36" s="614"/>
      <c r="AB36" s="614"/>
      <c r="AC36" s="614"/>
      <c r="AD36" s="615"/>
      <c r="AE36" s="700" t="str">
        <f>IF(入力シート!$C$5=入力リスト!$C$4,"-",IF(計算!C3="データ未","データ未",IF(ISERROR(計算!E48),"-",計算!E48)))</f>
        <v>データ未</v>
      </c>
      <c r="AF36" s="700"/>
      <c r="AG36" s="700"/>
      <c r="AH36" s="700"/>
      <c r="AI36" s="700"/>
      <c r="AJ36" s="700"/>
      <c r="AK36" s="700"/>
      <c r="AL36" s="700"/>
      <c r="AM36" s="700"/>
      <c r="AN36" s="700"/>
      <c r="AO36" s="701"/>
      <c r="AP36" s="790" t="str">
        <f>IF(入力シート!$C$5=入力リスト!$C$4,"-",IF(入力シート!$C$5=入力リスト!$C$4,"-",IF(計算!$C$3=入力リスト!$K$2,入力リスト!$K$2,IF(計算!E48=0,入力リスト!$K$3,IF(ISERROR(計算!D48/計算!E48),"-",計算!H48)))))</f>
        <v>データ未</v>
      </c>
      <c r="AQ36" s="791"/>
      <c r="AR36" s="791"/>
      <c r="AS36" s="791"/>
      <c r="AT36" s="791"/>
      <c r="AU36" s="791"/>
      <c r="AV36" s="791"/>
      <c r="AW36" s="791"/>
      <c r="AX36" s="792"/>
      <c r="AY36" s="754">
        <f>IF(ISERROR(計算!$G$48),入力リスト!$K$3,IF(計算!$G$48=0,入力リスト!$K$3,IF(ISERROR(計算!I48),"-",計算!I48)))</f>
        <v>1</v>
      </c>
      <c r="AZ36" s="755"/>
      <c r="BA36" s="755"/>
      <c r="BB36" s="755"/>
      <c r="BC36" s="755"/>
      <c r="BD36" s="755"/>
      <c r="BE36" s="755"/>
      <c r="BF36" s="756"/>
      <c r="BG36" s="200"/>
      <c r="BJ36" s="736"/>
      <c r="BK36" s="737"/>
      <c r="BL36" s="737"/>
      <c r="BM36" s="737"/>
      <c r="BN36" s="737"/>
      <c r="BO36" s="737"/>
      <c r="BP36" s="737"/>
      <c r="BQ36" s="737"/>
      <c r="BR36" s="737"/>
      <c r="BS36" s="737"/>
      <c r="BT36" s="737"/>
      <c r="BU36" s="737"/>
      <c r="BV36" s="737"/>
      <c r="BW36" s="737"/>
      <c r="BX36" s="737"/>
      <c r="BY36" s="737"/>
      <c r="BZ36" s="737"/>
      <c r="CA36" s="737"/>
      <c r="CB36" s="737"/>
      <c r="CC36" s="737"/>
      <c r="CD36" s="737"/>
      <c r="CE36" s="737"/>
      <c r="CF36" s="737"/>
      <c r="CG36" s="737"/>
      <c r="CH36" s="737"/>
      <c r="CI36" s="737"/>
      <c r="CJ36" s="737"/>
      <c r="CK36" s="737"/>
      <c r="CL36" s="737"/>
      <c r="CM36" s="737"/>
      <c r="CN36" s="737"/>
      <c r="CO36" s="737"/>
      <c r="CP36" s="737"/>
      <c r="CQ36" s="737"/>
      <c r="CR36" s="737"/>
      <c r="CS36" s="737"/>
      <c r="CT36" s="770"/>
    </row>
    <row r="37" spans="3:98" ht="19.95" customHeight="1">
      <c r="D37" s="677" t="str">
        <f>入力シート!C55</f>
        <v>平均勤続年数</v>
      </c>
      <c r="E37" s="678"/>
      <c r="F37" s="678"/>
      <c r="G37" s="678"/>
      <c r="H37" s="678"/>
      <c r="I37" s="678"/>
      <c r="J37" s="678"/>
      <c r="K37" s="678"/>
      <c r="L37" s="679"/>
      <c r="M37" s="667" t="s">
        <v>116</v>
      </c>
      <c r="N37" s="668"/>
      <c r="O37" s="668"/>
      <c r="P37" s="668"/>
      <c r="Q37" s="668"/>
      <c r="R37" s="668"/>
      <c r="S37" s="668"/>
      <c r="T37" s="616" t="str">
        <f>IF(入力シート!$C$5=入力リスト!$C$4,"",IF(計算!C3="データ未","データ未",TEXT(ROUND(IF(ISERROR(計算!D45),"-",計算!D45),1),"0.0")&amp;"年"))&amp;"("&amp;TEXT(IF(ISERROR(計算!F45),"-",計算!F45),"0.0")&amp;"年)"</f>
        <v>データ未(10.0年)</v>
      </c>
      <c r="U37" s="617"/>
      <c r="V37" s="617"/>
      <c r="W37" s="617"/>
      <c r="X37" s="617"/>
      <c r="Y37" s="617"/>
      <c r="Z37" s="617"/>
      <c r="AA37" s="617"/>
      <c r="AB37" s="617"/>
      <c r="AC37" s="617"/>
      <c r="AD37" s="618"/>
      <c r="AE37" s="638" t="str">
        <f>IF(入力シート!$C$5=入力リスト!$C$4,"",IF(計算!C3="データ未","データ未",TEXT(ROUND(IF(ISERROR(計算!E45),"-",計算!E45),1),"0.0")&amp;"年"))&amp;"("&amp;TEXT(IF(ISERROR(計算!G45),"-",計算!G45),"0.0")&amp;"年)"</f>
        <v>データ未(13.7年)</v>
      </c>
      <c r="AF37" s="638"/>
      <c r="AG37" s="638"/>
      <c r="AH37" s="638"/>
      <c r="AI37" s="638"/>
      <c r="AJ37" s="638"/>
      <c r="AK37" s="638"/>
      <c r="AL37" s="638"/>
      <c r="AM37" s="638"/>
      <c r="AN37" s="638"/>
      <c r="AO37" s="639"/>
      <c r="AP37" s="784" t="str">
        <f>IF(入力シート!$C$5=入力リスト!$C$4,"-",IF(計算!$C$3=入力リスト!$K$2,入力リスト!$K$2,IF(計算!E45=0,入力リスト!$K$3,IF(ISERROR(計算!D45/計算!E45),"-",計算!H45))))</f>
        <v>データ未</v>
      </c>
      <c r="AQ37" s="785"/>
      <c r="AR37" s="785"/>
      <c r="AS37" s="785"/>
      <c r="AT37" s="785"/>
      <c r="AU37" s="785"/>
      <c r="AV37" s="785"/>
      <c r="AW37" s="785"/>
      <c r="AX37" s="786"/>
      <c r="AY37" s="718">
        <f>IF(ISERROR(計算!$G$45),入力リスト!$K$3,IF(計算!$G$45=0,入力リスト!$K$3,IF(ISERROR(計算!I45),"-",計算!I45)))</f>
        <v>0.72992700729927007</v>
      </c>
      <c r="AZ37" s="719"/>
      <c r="BA37" s="719"/>
      <c r="BB37" s="719"/>
      <c r="BC37" s="719"/>
      <c r="BD37" s="719"/>
      <c r="BE37" s="719"/>
      <c r="BF37" s="720"/>
      <c r="BG37" s="200"/>
      <c r="BJ37" s="736"/>
      <c r="BK37" s="737"/>
      <c r="BL37" s="737"/>
      <c r="BM37" s="737"/>
      <c r="BN37" s="737"/>
      <c r="BO37" s="737"/>
      <c r="BP37" s="737"/>
      <c r="BQ37" s="737"/>
      <c r="BR37" s="737"/>
      <c r="BS37" s="737"/>
      <c r="BT37" s="737"/>
      <c r="BU37" s="737"/>
      <c r="BV37" s="737"/>
      <c r="BW37" s="737"/>
      <c r="BX37" s="737"/>
      <c r="BY37" s="737"/>
      <c r="BZ37" s="737"/>
      <c r="CA37" s="737"/>
      <c r="CB37" s="737"/>
      <c r="CC37" s="737"/>
      <c r="CD37" s="737"/>
      <c r="CE37" s="737"/>
      <c r="CF37" s="737"/>
      <c r="CG37" s="737"/>
      <c r="CH37" s="737"/>
      <c r="CI37" s="737"/>
      <c r="CJ37" s="737"/>
      <c r="CK37" s="737"/>
      <c r="CL37" s="737"/>
      <c r="CM37" s="737"/>
      <c r="CN37" s="737"/>
      <c r="CO37" s="737"/>
      <c r="CP37" s="737"/>
      <c r="CQ37" s="737"/>
      <c r="CR37" s="737"/>
      <c r="CS37" s="737"/>
      <c r="CT37" s="770"/>
    </row>
    <row r="38" spans="3:98" ht="19.95" customHeight="1">
      <c r="D38" s="680"/>
      <c r="E38" s="681"/>
      <c r="F38" s="681"/>
      <c r="G38" s="681"/>
      <c r="H38" s="681"/>
      <c r="I38" s="681"/>
      <c r="J38" s="681"/>
      <c r="K38" s="681"/>
      <c r="L38" s="682"/>
      <c r="M38" s="675" t="s">
        <v>115</v>
      </c>
      <c r="N38" s="676"/>
      <c r="O38" s="676"/>
      <c r="P38" s="676"/>
      <c r="Q38" s="676"/>
      <c r="R38" s="676"/>
      <c r="S38" s="676"/>
      <c r="T38" s="619" t="str">
        <f>IF(入力シート!$C$5=入力リスト!$C$4,"",IF(計算!C3="データ未","データ未",TEXT(ROUND(IF(ISERROR(計算!D49),"-",計算!D49),1),"0.0")&amp;"年"))&amp;"("&amp;TEXT(IF(ISERROR(計算!F49),"-",計算!F49),"0.0")&amp;"年)"</f>
        <v>データ未(6.5年)</v>
      </c>
      <c r="U38" s="620"/>
      <c r="V38" s="620"/>
      <c r="W38" s="620"/>
      <c r="X38" s="620"/>
      <c r="Y38" s="620"/>
      <c r="Z38" s="620"/>
      <c r="AA38" s="620"/>
      <c r="AB38" s="620"/>
      <c r="AC38" s="620"/>
      <c r="AD38" s="621"/>
      <c r="AE38" s="723" t="str">
        <f>IF(入力シート!$C$5=入力リスト!$C$4,"",IF(計算!C3="データ未","データ未",TEXT(ROUND(IF(ISERROR(計算!E49),"-",計算!E49),1),"0.0")&amp;"年"))&amp;"("&amp;TEXT(IF(ISERROR(計算!G49),"-",計算!G49),"0.0")&amp;"年)"</f>
        <v>データ未(7.3年)</v>
      </c>
      <c r="AF38" s="723"/>
      <c r="AG38" s="723"/>
      <c r="AH38" s="723"/>
      <c r="AI38" s="723"/>
      <c r="AJ38" s="723"/>
      <c r="AK38" s="723"/>
      <c r="AL38" s="723"/>
      <c r="AM38" s="723"/>
      <c r="AN38" s="723"/>
      <c r="AO38" s="724"/>
      <c r="AP38" s="790" t="str">
        <f>IF(入力シート!$C$5=入力リスト!$C$4,"-",IF(計算!$C$3=入力リスト!$K$2,入力リスト!$K$2,IF(計算!E49=0,入力リスト!$K$3,IF(ISERROR(計算!D49/計算!E49),"-",計算!H49))))</f>
        <v>データ未</v>
      </c>
      <c r="AQ38" s="791"/>
      <c r="AR38" s="791"/>
      <c r="AS38" s="791"/>
      <c r="AT38" s="791"/>
      <c r="AU38" s="791"/>
      <c r="AV38" s="791"/>
      <c r="AW38" s="791"/>
      <c r="AX38" s="792"/>
      <c r="AY38" s="754">
        <f>IF(ISERROR(計算!$G$49),入力リスト!$K$3,IF(計算!$G$49=0,入力リスト!$K$3,IF(ISERROR(計算!I49),"-",計算!I49)))</f>
        <v>0.8904109589041096</v>
      </c>
      <c r="AZ38" s="755"/>
      <c r="BA38" s="755"/>
      <c r="BB38" s="755"/>
      <c r="BC38" s="755"/>
      <c r="BD38" s="755"/>
      <c r="BE38" s="755"/>
      <c r="BF38" s="756"/>
      <c r="BG38" s="200"/>
      <c r="BJ38" s="736"/>
      <c r="BK38" s="737"/>
      <c r="BL38" s="737"/>
      <c r="BM38" s="737"/>
      <c r="BN38" s="737"/>
      <c r="BO38" s="737"/>
      <c r="BP38" s="737"/>
      <c r="BQ38" s="737"/>
      <c r="BR38" s="737"/>
      <c r="BS38" s="737"/>
      <c r="BT38" s="737"/>
      <c r="BU38" s="737"/>
      <c r="BV38" s="737"/>
      <c r="BW38" s="737"/>
      <c r="BX38" s="737"/>
      <c r="BY38" s="737"/>
      <c r="BZ38" s="737"/>
      <c r="CA38" s="737"/>
      <c r="CB38" s="737"/>
      <c r="CC38" s="737"/>
      <c r="CD38" s="737"/>
      <c r="CE38" s="737"/>
      <c r="CF38" s="737"/>
      <c r="CG38" s="737"/>
      <c r="CH38" s="737"/>
      <c r="CI38" s="737"/>
      <c r="CJ38" s="737"/>
      <c r="CK38" s="737"/>
      <c r="CL38" s="737"/>
      <c r="CM38" s="737"/>
      <c r="CN38" s="737"/>
      <c r="CO38" s="737"/>
      <c r="CP38" s="737"/>
      <c r="CQ38" s="737"/>
      <c r="CR38" s="737"/>
      <c r="CS38" s="737"/>
      <c r="CT38" s="770"/>
    </row>
    <row r="39" spans="3:98" ht="19.95" customHeight="1">
      <c r="D39" s="677" t="str">
        <f>入力シート!C56</f>
        <v>管理職数</v>
      </c>
      <c r="E39" s="678"/>
      <c r="F39" s="678"/>
      <c r="G39" s="678"/>
      <c r="H39" s="678"/>
      <c r="I39" s="678"/>
      <c r="J39" s="678"/>
      <c r="K39" s="678"/>
      <c r="L39" s="679"/>
      <c r="M39" s="721" t="s">
        <v>116</v>
      </c>
      <c r="N39" s="722"/>
      <c r="O39" s="722"/>
      <c r="P39" s="722"/>
      <c r="Q39" s="722"/>
      <c r="R39" s="722"/>
      <c r="S39" s="722"/>
      <c r="T39" s="622" t="str">
        <f>IF(入力シート!$C$5=入力リスト!$C$4,"-",IF(計算!C3="データ未","データ未",IF(ISERROR(計算!D46),"-",計算!D46)))</f>
        <v>データ未</v>
      </c>
      <c r="U39" s="623"/>
      <c r="V39" s="623"/>
      <c r="W39" s="623"/>
      <c r="X39" s="623"/>
      <c r="Y39" s="623"/>
      <c r="Z39" s="623"/>
      <c r="AA39" s="623"/>
      <c r="AB39" s="623"/>
      <c r="AC39" s="623"/>
      <c r="AD39" s="624"/>
      <c r="AE39" s="761" t="str">
        <f>IF(入力シート!$C$5=入力リスト!$C$4,"-",IF(計算!C3="データ未","データ未",IF(ISERROR(計算!E46),"-",計算!E46)))</f>
        <v>データ未</v>
      </c>
      <c r="AF39" s="761"/>
      <c r="AG39" s="761"/>
      <c r="AH39" s="761"/>
      <c r="AI39" s="761"/>
      <c r="AJ39" s="761"/>
      <c r="AK39" s="761"/>
      <c r="AL39" s="761"/>
      <c r="AM39" s="761"/>
      <c r="AN39" s="761"/>
      <c r="AO39" s="762"/>
      <c r="AP39" s="787" t="str">
        <f>IF(入力シート!$C$5=入力リスト!$C$4,"-",IF(計算!$C$3=入力リスト!$K$2,入力リスト!$K$2,IF(計算!E46=0,入力リスト!$K$3,IF(ISERROR(計算!D46/計算!E46),"-",計算!H46))))</f>
        <v>データ未</v>
      </c>
      <c r="AQ39" s="788"/>
      <c r="AR39" s="788"/>
      <c r="AS39" s="788"/>
      <c r="AT39" s="788"/>
      <c r="AU39" s="788"/>
      <c r="AV39" s="788"/>
      <c r="AW39" s="788"/>
      <c r="AX39" s="789"/>
      <c r="AY39" s="751">
        <f>IF(ISERROR(計算!$G$46),入力リスト!$K$3,IF(計算!$G$46=0,入力リスト!$K$3,IF(ISERROR(計算!I46),"-",計算!I46)))</f>
        <v>0.14618585924982538</v>
      </c>
      <c r="AZ39" s="752"/>
      <c r="BA39" s="752"/>
      <c r="BB39" s="752"/>
      <c r="BC39" s="752"/>
      <c r="BD39" s="752"/>
      <c r="BE39" s="752"/>
      <c r="BF39" s="753"/>
      <c r="BG39" s="200"/>
      <c r="BJ39" s="736"/>
      <c r="BK39" s="737"/>
      <c r="BL39" s="737"/>
      <c r="BM39" s="737"/>
      <c r="BN39" s="737"/>
      <c r="BO39" s="737"/>
      <c r="BP39" s="737"/>
      <c r="BQ39" s="737"/>
      <c r="BR39" s="737"/>
      <c r="BS39" s="737"/>
      <c r="BT39" s="737"/>
      <c r="BU39" s="737"/>
      <c r="BV39" s="737"/>
      <c r="BW39" s="737"/>
      <c r="BX39" s="737"/>
      <c r="BY39" s="737"/>
      <c r="BZ39" s="737"/>
      <c r="CA39" s="737"/>
      <c r="CB39" s="737"/>
      <c r="CC39" s="737"/>
      <c r="CD39" s="737"/>
      <c r="CE39" s="737"/>
      <c r="CF39" s="737"/>
      <c r="CG39" s="737"/>
      <c r="CH39" s="737"/>
      <c r="CI39" s="737"/>
      <c r="CJ39" s="737"/>
      <c r="CK39" s="737"/>
      <c r="CL39" s="737"/>
      <c r="CM39" s="737"/>
      <c r="CN39" s="737"/>
      <c r="CO39" s="737"/>
      <c r="CP39" s="737"/>
      <c r="CQ39" s="737"/>
      <c r="CR39" s="737"/>
      <c r="CS39" s="737"/>
      <c r="CT39" s="770"/>
    </row>
    <row r="40" spans="3:98" ht="19.95" customHeight="1">
      <c r="D40" s="677" t="s">
        <v>1166</v>
      </c>
      <c r="E40" s="678"/>
      <c r="F40" s="678"/>
      <c r="G40" s="678"/>
      <c r="H40" s="678"/>
      <c r="I40" s="678"/>
      <c r="J40" s="678"/>
      <c r="K40" s="678"/>
      <c r="L40" s="679"/>
      <c r="M40" s="667" t="s">
        <v>116</v>
      </c>
      <c r="N40" s="668"/>
      <c r="O40" s="668"/>
      <c r="P40" s="668"/>
      <c r="Q40" s="668"/>
      <c r="R40" s="668"/>
      <c r="S40" s="668"/>
      <c r="T40" s="625" t="str">
        <f>IF(入力シート!$C$5=入力リスト!$C$4,"",IF(計算!C3="データ未","データ未",TEXT(ROUND(IF(ISERROR(計算!D47),"-",計算!D47),1),"0.0")&amp;"時間"))&amp;"("&amp;TEXT(IF(ISERROR(計算!F47),"-",計算!F47),"0.0")&amp;"時間)"</f>
        <v>データ未(7.7時間)</v>
      </c>
      <c r="U40" s="626"/>
      <c r="V40" s="626"/>
      <c r="W40" s="626"/>
      <c r="X40" s="626"/>
      <c r="Y40" s="626"/>
      <c r="Z40" s="626"/>
      <c r="AA40" s="626"/>
      <c r="AB40" s="626"/>
      <c r="AC40" s="626"/>
      <c r="AD40" s="627"/>
      <c r="AE40" s="759" t="str">
        <f>IF(入力シート!$C$5=入力リスト!$C$4,"",IF(計算!C3="データ未","データ未",TEXT(ROUND(IF(ISERROR(計算!E47),"-",計算!E47),1),"0.0")&amp;"時間"))&amp;"("&amp;TEXT(IF(ISERROR(計算!G47),"-",計算!G47),"0.0")&amp;"時間)"</f>
        <v>データ未(14.2時間)</v>
      </c>
      <c r="AF40" s="759"/>
      <c r="AG40" s="759"/>
      <c r="AH40" s="759"/>
      <c r="AI40" s="759"/>
      <c r="AJ40" s="759"/>
      <c r="AK40" s="759"/>
      <c r="AL40" s="759"/>
      <c r="AM40" s="759"/>
      <c r="AN40" s="759"/>
      <c r="AO40" s="760"/>
      <c r="AP40" s="784" t="str">
        <f>IF(入力シート!$C$5=入力リスト!$C$4,"-",IF(計算!$C$3=入力リスト!$K$2,入力リスト!$K$2,IF(計算!E47=0,入力リスト!$K$3,IF(ISERROR(計算!D47/計算!E47),"-",計算!H47))))</f>
        <v>データ未</v>
      </c>
      <c r="AQ40" s="785"/>
      <c r="AR40" s="785"/>
      <c r="AS40" s="785"/>
      <c r="AT40" s="785"/>
      <c r="AU40" s="785"/>
      <c r="AV40" s="785"/>
      <c r="AW40" s="785"/>
      <c r="AX40" s="786"/>
      <c r="AY40" s="718">
        <f>IF(ISERROR(計算!$G$47),入力リスト!$K$3,IF(計算!$G$47=0,入力リスト!$K$3,IF(ISERROR(計算!I47),"-",計算!I47)))</f>
        <v>0.54225352112676062</v>
      </c>
      <c r="AZ40" s="719"/>
      <c r="BA40" s="719"/>
      <c r="BB40" s="719"/>
      <c r="BC40" s="719"/>
      <c r="BD40" s="719"/>
      <c r="BE40" s="719"/>
      <c r="BF40" s="720"/>
      <c r="BG40" s="200"/>
      <c r="BJ40" s="736"/>
      <c r="BK40" s="737"/>
      <c r="BL40" s="737"/>
      <c r="BM40" s="737"/>
      <c r="BN40" s="737"/>
      <c r="BO40" s="737"/>
      <c r="BP40" s="737"/>
      <c r="BQ40" s="737"/>
      <c r="BR40" s="737"/>
      <c r="BS40" s="737"/>
      <c r="BT40" s="737"/>
      <c r="BU40" s="737"/>
      <c r="BV40" s="737"/>
      <c r="BW40" s="737"/>
      <c r="BX40" s="737"/>
      <c r="BY40" s="737"/>
      <c r="BZ40" s="737"/>
      <c r="CA40" s="737"/>
      <c r="CB40" s="737"/>
      <c r="CC40" s="737"/>
      <c r="CD40" s="737"/>
      <c r="CE40" s="737"/>
      <c r="CF40" s="737"/>
      <c r="CG40" s="737"/>
      <c r="CH40" s="737"/>
      <c r="CI40" s="737"/>
      <c r="CJ40" s="737"/>
      <c r="CK40" s="737"/>
      <c r="CL40" s="737"/>
      <c r="CM40" s="737"/>
      <c r="CN40" s="737"/>
      <c r="CO40" s="737"/>
      <c r="CP40" s="737"/>
      <c r="CQ40" s="737"/>
      <c r="CR40" s="737"/>
      <c r="CS40" s="737"/>
      <c r="CT40" s="770"/>
    </row>
    <row r="41" spans="3:98" ht="19.95" customHeight="1" thickBot="1">
      <c r="D41" s="742"/>
      <c r="E41" s="743"/>
      <c r="F41" s="743"/>
      <c r="G41" s="743"/>
      <c r="H41" s="743"/>
      <c r="I41" s="743"/>
      <c r="J41" s="743"/>
      <c r="K41" s="743"/>
      <c r="L41" s="744"/>
      <c r="M41" s="748" t="s">
        <v>115</v>
      </c>
      <c r="N41" s="749"/>
      <c r="O41" s="749"/>
      <c r="P41" s="749"/>
      <c r="Q41" s="749"/>
      <c r="R41" s="749"/>
      <c r="S41" s="749"/>
      <c r="T41" s="604" t="str">
        <f>IF(入力シート!$C$5=入力リスト!$C$4,"",IF(計算!C3="データ未","データ未",TEXT(ROUND(IF(ISERROR(計算!D50),"-",計算!D50),1),"0.0"&amp;"時間")))&amp;"("&amp;TEXT(IF(ISERROR(計算!F50),"-",計算!F50),"0.0")&amp;"時間)"</f>
        <v>データ未(2.6時間)</v>
      </c>
      <c r="U41" s="605"/>
      <c r="V41" s="605"/>
      <c r="W41" s="605"/>
      <c r="X41" s="605"/>
      <c r="Y41" s="605"/>
      <c r="Z41" s="605"/>
      <c r="AA41" s="605"/>
      <c r="AB41" s="605"/>
      <c r="AC41" s="605"/>
      <c r="AD41" s="606"/>
      <c r="AE41" s="757" t="str">
        <f>IF(入力シート!$C$5=入力リスト!$C$4,"",IF(計算!C3="データ未","データ未",TEXT(ROUND(IF(ISERROR(計算!E50),"-",計算!E50),1),"0.0")&amp;"時間"))&amp;"("&amp;TEXT(IF(ISERROR(計算!G50),"-",計算!G50),"0.0")&amp;"時間)"</f>
        <v>データ未(5.4時間)</v>
      </c>
      <c r="AF41" s="757"/>
      <c r="AG41" s="757"/>
      <c r="AH41" s="757"/>
      <c r="AI41" s="757"/>
      <c r="AJ41" s="757"/>
      <c r="AK41" s="757"/>
      <c r="AL41" s="757"/>
      <c r="AM41" s="757"/>
      <c r="AN41" s="757"/>
      <c r="AO41" s="758"/>
      <c r="AP41" s="781" t="str">
        <f>IF(入力シート!$C$5=入力リスト!$C$4,"-",IF(計算!$C$3=入力リスト!$K$2,入力リスト!$K$2,IF(計算!E50=0,入力リスト!$K$3,IF(ISERROR(計算!D50/計算!E50),"-",計算!H50))))</f>
        <v>データ未</v>
      </c>
      <c r="AQ41" s="782"/>
      <c r="AR41" s="782"/>
      <c r="AS41" s="782"/>
      <c r="AT41" s="782"/>
      <c r="AU41" s="782"/>
      <c r="AV41" s="782"/>
      <c r="AW41" s="782"/>
      <c r="AX41" s="783"/>
      <c r="AY41" s="635">
        <f>IF(ISERROR(計算!$G$50),入力リスト!$K$3,IF(計算!$G$50=0,入力リスト!$K$3,IF(ISERROR(計算!I50),"-",計算!I50)))</f>
        <v>0.48148148148148145</v>
      </c>
      <c r="AZ41" s="636"/>
      <c r="BA41" s="636"/>
      <c r="BB41" s="636"/>
      <c r="BC41" s="636"/>
      <c r="BD41" s="636"/>
      <c r="BE41" s="636"/>
      <c r="BF41" s="637"/>
      <c r="BG41" s="200"/>
      <c r="BJ41" s="738"/>
      <c r="BK41" s="739"/>
      <c r="BL41" s="739"/>
      <c r="BM41" s="739"/>
      <c r="BN41" s="739"/>
      <c r="BO41" s="739"/>
      <c r="BP41" s="739"/>
      <c r="BQ41" s="739"/>
      <c r="BR41" s="739"/>
      <c r="BS41" s="739"/>
      <c r="BT41" s="739"/>
      <c r="BU41" s="739"/>
      <c r="BV41" s="739"/>
      <c r="BW41" s="739"/>
      <c r="BX41" s="739"/>
      <c r="BY41" s="739"/>
      <c r="BZ41" s="739"/>
      <c r="CA41" s="739"/>
      <c r="CB41" s="739"/>
      <c r="CC41" s="739"/>
      <c r="CD41" s="739"/>
      <c r="CE41" s="739"/>
      <c r="CF41" s="739"/>
      <c r="CG41" s="739"/>
      <c r="CH41" s="739"/>
      <c r="CI41" s="739"/>
      <c r="CJ41" s="739"/>
      <c r="CK41" s="739"/>
      <c r="CL41" s="739"/>
      <c r="CM41" s="739"/>
      <c r="CN41" s="739"/>
      <c r="CO41" s="739"/>
      <c r="CP41" s="739"/>
      <c r="CQ41" s="739"/>
      <c r="CR41" s="739"/>
      <c r="CS41" s="739"/>
      <c r="CT41" s="771"/>
    </row>
    <row r="42" spans="3:98" ht="141" customHeight="1">
      <c r="D42" s="750" t="str">
        <f>IF(入力シート!$J$26=入力リスト!$H$12,"",IF(OR(入力シート!$J$10=入力リスト!$C$24,入力シート!$J$10=入力リスト!$C$25),"※直近1年間の採用者数は産業中分類「"&amp;入力リスト!$C$24&amp;"」と「"&amp;入力リスト!$C$25&amp;"」の合計が表示されています。"&amp;CHAR(10),"")&amp;IF(OR(入力シート!$J$10=入力リスト!$C$31,入力シート!$J$10=入力リスト!$C$32),"※直近1年間の採用者数は産業中分類「"&amp;入力リスト!$C$31&amp;"」と「"&amp;入力リスト!$C$32&amp;"」の合計が表示されています。"&amp;CHAR(10),"")&amp;IF(OR(入力シート!$J$10=入力リスト!$C$35,入力シート!$J$10=入力リスト!$C$47),"※直近1年間の採用者数は産業中分類「"&amp;入力リスト!$C$35&amp;"」と「"&amp;入力リスト!$C$47&amp;"」の合計が表示されています。"&amp;CHAR(10),""))&amp;"※「平均勤続年数」および「一月当たりの平均残業時間」の参考値は、該当の産業分類・企業規模の
　企業に属する労働者の平均値であり、１事業所ごとの平均値ではありません。
※「一月当たりの平均残業時間」に表示されている値はあくまで「女性値÷男性値」です。
　残業時間数についても参考値(カッコ内)と比較してみましょう。"</f>
        <v>※「平均勤続年数」および「一月当たりの平均残業時間」の参考値は、該当の産業分類・企業規模の
　企業に属する労働者の平均値であり、１事業所ごとの平均値ではありません。
※「一月当たりの平均残業時間」に表示されている値はあくまで「女性値÷男性値」です。
　残業時間数についても参考値(カッコ内)と比較してみましょう。</v>
      </c>
      <c r="E42" s="750"/>
      <c r="F42" s="750"/>
      <c r="G42" s="750"/>
      <c r="H42" s="750"/>
      <c r="I42" s="750"/>
      <c r="J42" s="750"/>
      <c r="K42" s="750"/>
      <c r="L42" s="750"/>
      <c r="M42" s="750"/>
      <c r="N42" s="750"/>
      <c r="O42" s="750"/>
      <c r="P42" s="750"/>
      <c r="Q42" s="750"/>
      <c r="R42" s="750"/>
      <c r="S42" s="750"/>
      <c r="T42" s="750"/>
      <c r="U42" s="750"/>
      <c r="V42" s="750"/>
      <c r="W42" s="750"/>
      <c r="X42" s="750"/>
      <c r="Y42" s="750"/>
      <c r="Z42" s="750"/>
      <c r="AA42" s="750"/>
      <c r="AB42" s="750"/>
      <c r="AC42" s="750"/>
      <c r="AD42" s="750"/>
      <c r="AE42" s="750"/>
      <c r="AF42" s="750"/>
      <c r="AG42" s="750"/>
      <c r="AH42" s="750"/>
      <c r="AI42" s="750"/>
      <c r="AJ42" s="750"/>
      <c r="AK42" s="750"/>
      <c r="AL42" s="750"/>
      <c r="AM42" s="750"/>
      <c r="AN42" s="750"/>
      <c r="AO42" s="750"/>
      <c r="AP42" s="750"/>
      <c r="AQ42" s="750"/>
      <c r="AR42" s="750"/>
      <c r="AS42" s="750"/>
      <c r="AT42" s="750"/>
      <c r="AU42" s="750"/>
      <c r="AV42" s="750"/>
      <c r="AW42" s="750"/>
      <c r="AX42" s="750"/>
      <c r="AY42" s="750"/>
      <c r="AZ42" s="750"/>
      <c r="BA42" s="750"/>
      <c r="BB42" s="750"/>
      <c r="BC42" s="750"/>
      <c r="BD42" s="750"/>
      <c r="BE42" s="750"/>
      <c r="BF42" s="750"/>
      <c r="BG42" s="200"/>
      <c r="BJ42" s="243"/>
      <c r="BK42" s="243"/>
      <c r="BL42" s="243"/>
      <c r="BM42" s="243"/>
      <c r="BN42" s="243"/>
      <c r="BO42" s="243"/>
      <c r="BP42" s="243"/>
      <c r="BQ42" s="243"/>
      <c r="BR42" s="243"/>
      <c r="BS42" s="243"/>
      <c r="BT42" s="243"/>
      <c r="BU42" s="243"/>
      <c r="BV42" s="243"/>
      <c r="BW42" s="243"/>
      <c r="BX42" s="243"/>
      <c r="BY42" s="243"/>
      <c r="BZ42" s="243"/>
      <c r="CA42" s="243"/>
      <c r="CB42" s="243"/>
      <c r="CC42" s="243"/>
      <c r="CD42" s="243"/>
      <c r="CE42" s="243"/>
      <c r="CF42" s="243"/>
      <c r="CG42" s="243"/>
      <c r="CH42" s="243"/>
      <c r="CI42" s="243"/>
      <c r="CJ42" s="243"/>
      <c r="CK42" s="243"/>
      <c r="CL42" s="243"/>
      <c r="CM42" s="243"/>
      <c r="CN42" s="243"/>
      <c r="CO42" s="243"/>
      <c r="CP42" s="243"/>
      <c r="CQ42" s="243"/>
      <c r="CR42" s="243"/>
      <c r="CS42" s="243"/>
      <c r="CT42" s="243"/>
    </row>
    <row r="43" spans="3:98" ht="22.95" customHeight="1">
      <c r="C43" s="48"/>
      <c r="D43" s="48"/>
      <c r="E43" s="48"/>
      <c r="F43" s="48"/>
      <c r="G43" s="48"/>
      <c r="H43" s="48"/>
      <c r="I43" s="48"/>
      <c r="J43" s="48"/>
      <c r="K43" s="49"/>
      <c r="L43" s="49"/>
      <c r="M43" s="49"/>
      <c r="N43" s="49"/>
      <c r="O43" s="49"/>
      <c r="P43" s="49"/>
      <c r="Q43" s="49"/>
      <c r="R43" s="49"/>
      <c r="S43" s="49"/>
      <c r="T43" s="50"/>
      <c r="U43" s="48"/>
      <c r="V43" s="48"/>
      <c r="W43" s="48"/>
      <c r="X43" s="48"/>
      <c r="Y43" s="48"/>
      <c r="Z43" s="48"/>
      <c r="AA43" s="48"/>
      <c r="AB43" s="48"/>
      <c r="AC43" s="49"/>
      <c r="AD43" s="49"/>
      <c r="AE43" s="49"/>
      <c r="AF43" s="49"/>
      <c r="AG43" s="49"/>
      <c r="AH43" s="49"/>
      <c r="AI43" s="49"/>
      <c r="AJ43" s="49"/>
      <c r="AK43" s="49"/>
      <c r="BK43" s="201"/>
      <c r="BL43" s="201"/>
      <c r="BM43" s="201"/>
    </row>
    <row r="44" spans="3:98" ht="19.95" customHeight="1">
      <c r="C44" s="48"/>
      <c r="D44" s="48"/>
      <c r="E44" s="48"/>
      <c r="F44" s="48"/>
      <c r="G44" s="48"/>
      <c r="H44" s="48"/>
      <c r="I44" s="48"/>
      <c r="J44" s="48"/>
      <c r="K44" s="51"/>
      <c r="L44" s="51"/>
      <c r="M44" s="51"/>
      <c r="N44" s="51"/>
      <c r="O44" s="51"/>
      <c r="P44" s="51"/>
      <c r="Q44" s="51"/>
      <c r="R44" s="51"/>
      <c r="S44" s="51"/>
      <c r="T44" s="50"/>
      <c r="U44" s="48"/>
      <c r="V44" s="48"/>
      <c r="W44" s="48"/>
      <c r="X44" s="48"/>
      <c r="Y44" s="48"/>
      <c r="Z44" s="48"/>
      <c r="AA44" s="48"/>
      <c r="AB44" s="48"/>
      <c r="AC44" s="51"/>
      <c r="AD44" s="51"/>
      <c r="AE44" s="51"/>
      <c r="AF44" s="51"/>
      <c r="AG44" s="51"/>
      <c r="AH44" s="51"/>
      <c r="AI44" s="51"/>
      <c r="AJ44" s="51"/>
      <c r="AK44" s="51"/>
      <c r="BK44" s="201"/>
      <c r="BL44" s="201"/>
      <c r="BM44" s="201"/>
      <c r="BN44" s="201"/>
      <c r="BO44" s="201"/>
      <c r="BP44" s="201"/>
      <c r="BQ44" s="201"/>
      <c r="BR44" s="201"/>
    </row>
    <row r="45" spans="3:98" ht="19.95" customHeight="1">
      <c r="C45" s="48"/>
      <c r="D45" s="48"/>
      <c r="E45" s="48"/>
      <c r="F45" s="48"/>
      <c r="G45" s="48"/>
      <c r="H45" s="48"/>
      <c r="I45" s="48"/>
      <c r="J45" s="48"/>
      <c r="K45" s="52"/>
      <c r="L45" s="52"/>
      <c r="M45" s="52"/>
      <c r="N45" s="52"/>
      <c r="O45" s="52"/>
      <c r="P45" s="52"/>
      <c r="Q45" s="52"/>
      <c r="R45" s="52"/>
      <c r="S45" s="52"/>
      <c r="T45" s="50"/>
      <c r="U45" s="48"/>
      <c r="V45" s="48"/>
      <c r="W45" s="48"/>
      <c r="X45" s="48"/>
      <c r="Y45" s="48"/>
      <c r="Z45" s="48"/>
      <c r="AA45" s="48"/>
      <c r="AB45" s="48"/>
      <c r="AC45" s="52"/>
      <c r="AD45" s="52"/>
      <c r="AE45" s="52"/>
      <c r="AF45" s="52"/>
      <c r="AG45" s="52"/>
      <c r="AH45" s="52"/>
      <c r="AI45" s="52"/>
      <c r="AJ45" s="52"/>
      <c r="AK45" s="52"/>
      <c r="BK45" s="53"/>
      <c r="BL45" s="53"/>
      <c r="BM45" s="53"/>
      <c r="BN45" s="53"/>
      <c r="BO45" s="53"/>
      <c r="BP45" s="53"/>
      <c r="BQ45" s="53"/>
      <c r="BR45" s="53"/>
    </row>
    <row r="46" spans="3:98" ht="30" customHeight="1">
      <c r="C46" s="48"/>
      <c r="D46" s="48"/>
      <c r="E46" s="48"/>
      <c r="F46" s="48"/>
      <c r="G46" s="48"/>
      <c r="H46" s="48"/>
      <c r="I46" s="48"/>
      <c r="J46" s="48"/>
      <c r="K46" s="52"/>
      <c r="L46" s="52"/>
      <c r="M46" s="52"/>
      <c r="N46" s="52"/>
      <c r="O46" s="52"/>
      <c r="P46" s="52"/>
      <c r="Q46" s="52"/>
      <c r="R46" s="52"/>
      <c r="S46" s="52"/>
      <c r="T46" s="50"/>
      <c r="U46" s="48"/>
      <c r="V46" s="48"/>
      <c r="W46" s="48"/>
      <c r="X46" s="48"/>
      <c r="Y46" s="48"/>
      <c r="Z46" s="48"/>
      <c r="AA46" s="48"/>
      <c r="AB46" s="48"/>
      <c r="AC46" s="52"/>
      <c r="AD46" s="52"/>
      <c r="AE46" s="52"/>
      <c r="AF46" s="52"/>
      <c r="AG46" s="52"/>
      <c r="AH46" s="52"/>
      <c r="AI46" s="52"/>
      <c r="AJ46" s="52"/>
      <c r="AK46" s="52"/>
      <c r="AL46" s="50"/>
      <c r="AM46" s="50"/>
      <c r="AN46" s="50"/>
      <c r="AO46" s="50"/>
      <c r="BK46" s="54"/>
      <c r="BL46" s="54"/>
      <c r="BM46" s="54"/>
      <c r="BN46" s="54"/>
      <c r="BO46" s="54"/>
      <c r="BP46" s="54"/>
      <c r="BQ46" s="54"/>
      <c r="BR46" s="54"/>
    </row>
    <row r="47" spans="3:98" ht="169.8" customHeight="1">
      <c r="C47" s="197"/>
      <c r="D47" s="202"/>
      <c r="E47" s="202"/>
      <c r="F47" s="202"/>
      <c r="G47" s="202"/>
      <c r="H47" s="202"/>
      <c r="I47" s="202"/>
      <c r="J47" s="202"/>
      <c r="K47" s="202"/>
      <c r="L47" s="202"/>
      <c r="M47" s="202"/>
      <c r="N47" s="202"/>
      <c r="O47" s="202"/>
      <c r="P47" s="202"/>
      <c r="Q47" s="202"/>
      <c r="R47" s="202"/>
      <c r="AL47" s="55"/>
      <c r="AM47" s="55"/>
      <c r="AN47" s="55"/>
      <c r="AO47" s="55"/>
      <c r="AP47" s="55"/>
      <c r="AQ47" s="55"/>
      <c r="AR47" s="55"/>
      <c r="AS47" s="55"/>
      <c r="AT47" s="55"/>
      <c r="AU47" s="55"/>
      <c r="AV47" s="55"/>
      <c r="AW47" s="55"/>
      <c r="AX47" s="55"/>
      <c r="AY47" s="55"/>
      <c r="AZ47" s="55"/>
      <c r="BA47" s="55"/>
      <c r="BB47" s="55"/>
      <c r="BC47" s="55"/>
      <c r="BD47" s="55"/>
      <c r="BE47" s="55"/>
      <c r="BF47" s="55"/>
    </row>
    <row r="48" spans="3:98" ht="28.05" customHeight="1">
      <c r="C48" s="197" t="s">
        <v>110</v>
      </c>
      <c r="D48" s="202"/>
      <c r="E48" s="202"/>
      <c r="F48" s="202"/>
      <c r="G48" s="202"/>
      <c r="H48" s="202"/>
      <c r="I48" s="202"/>
      <c r="J48" s="202"/>
      <c r="K48" s="202"/>
      <c r="L48" s="202"/>
      <c r="M48" s="202"/>
      <c r="N48" s="202"/>
      <c r="O48" s="202"/>
      <c r="P48" s="202"/>
      <c r="Q48" s="202"/>
      <c r="R48" s="202"/>
      <c r="AL48" s="55"/>
      <c r="AM48" s="55"/>
      <c r="AN48" s="55"/>
      <c r="AO48" s="55"/>
      <c r="AP48" s="55"/>
      <c r="AQ48" s="55"/>
      <c r="AR48" s="55"/>
      <c r="AS48" s="55"/>
      <c r="AT48" s="55"/>
      <c r="AU48" s="55"/>
      <c r="AV48" s="55"/>
      <c r="AW48" s="55"/>
      <c r="AX48" s="55"/>
      <c r="AY48" s="55"/>
      <c r="AZ48" s="55"/>
      <c r="BA48" s="55"/>
      <c r="BB48" s="55"/>
      <c r="BC48" s="55"/>
      <c r="BD48" s="55"/>
      <c r="BE48" s="55"/>
      <c r="BF48" s="55"/>
    </row>
    <row r="49" spans="1:100" ht="105" customHeight="1" thickBot="1">
      <c r="A49" s="740"/>
      <c r="B49" s="740"/>
      <c r="C49" s="603" t="str">
        <f>IF(入力シート!$C$5=入力リスト!$C$4,"",IF(計算!C3="データ未","貴社のデータ入力が未完了です。",計算!C89))</f>
        <v>貴社のデータ入力が未完了です。</v>
      </c>
      <c r="D49" s="603"/>
      <c r="E49" s="603"/>
      <c r="F49" s="603"/>
      <c r="G49" s="603"/>
      <c r="H49" s="603"/>
      <c r="I49" s="603"/>
      <c r="J49" s="603"/>
      <c r="K49" s="603"/>
      <c r="L49" s="603"/>
      <c r="M49" s="603"/>
      <c r="N49" s="603"/>
      <c r="O49" s="603"/>
      <c r="P49" s="603"/>
      <c r="Q49" s="603"/>
      <c r="R49" s="603"/>
      <c r="S49" s="603"/>
      <c r="T49" s="603"/>
      <c r="U49" s="603"/>
      <c r="V49" s="603"/>
      <c r="W49" s="603"/>
      <c r="X49" s="603"/>
      <c r="Y49" s="603"/>
      <c r="Z49" s="603"/>
      <c r="AA49" s="603"/>
      <c r="AB49" s="603"/>
      <c r="AC49" s="603"/>
      <c r="AD49" s="603"/>
      <c r="AE49" s="603"/>
      <c r="AF49" s="603"/>
      <c r="AG49" s="603"/>
      <c r="AH49" s="603"/>
      <c r="AI49" s="603"/>
      <c r="AJ49" s="603"/>
      <c r="AK49" s="603"/>
      <c r="AL49" s="603"/>
      <c r="AM49" s="603"/>
      <c r="AN49" s="603"/>
      <c r="AO49" s="603"/>
      <c r="AP49" s="603"/>
      <c r="AQ49" s="603"/>
      <c r="AR49" s="603"/>
      <c r="AS49" s="603"/>
      <c r="AT49" s="603"/>
      <c r="AU49" s="603"/>
      <c r="AV49" s="603"/>
      <c r="AW49" s="603"/>
      <c r="AX49" s="603"/>
      <c r="AY49" s="603"/>
      <c r="AZ49" s="603"/>
      <c r="BA49" s="603"/>
      <c r="BB49" s="603"/>
      <c r="BC49" s="603"/>
      <c r="BD49" s="603"/>
      <c r="BE49" s="603"/>
      <c r="BF49" s="603"/>
      <c r="BL49" s="53"/>
      <c r="BM49" s="53"/>
      <c r="BN49" s="53"/>
      <c r="BO49" s="53"/>
      <c r="CE49" s="53"/>
      <c r="CF49" s="53"/>
      <c r="CG49" s="53"/>
      <c r="CH49" s="53"/>
      <c r="CI49" s="53"/>
      <c r="CJ49" s="53"/>
      <c r="CK49" s="53"/>
      <c r="CL49" s="53"/>
      <c r="CM49" s="53"/>
      <c r="CN49" s="53"/>
      <c r="CO49" s="53"/>
      <c r="CP49" s="53"/>
      <c r="CQ49" s="53"/>
      <c r="CR49" s="53"/>
      <c r="CS49" s="53"/>
      <c r="CT49" s="53"/>
      <c r="CU49" s="53"/>
      <c r="CV49" s="53"/>
    </row>
    <row r="50" spans="1:100" ht="34.950000000000003" customHeight="1" thickBot="1">
      <c r="C50" s="669" t="str">
        <f>IF(C49="","-",IF(入力シート!$C$5=入力リスト!$C$4,"-",IF(計算!C3="データ未","",計算!$D$107)))</f>
        <v/>
      </c>
      <c r="D50" s="670"/>
      <c r="E50" s="670"/>
      <c r="F50" s="670"/>
      <c r="G50" s="670"/>
      <c r="H50" s="670"/>
      <c r="I50" s="670"/>
      <c r="J50" s="670"/>
      <c r="K50" s="670"/>
      <c r="L50" s="670"/>
      <c r="M50" s="670"/>
      <c r="N50" s="671"/>
      <c r="O50" s="597" t="str">
        <f>IF(計算!C3="データ未","",IF(計算!E107="-","","及び"))</f>
        <v/>
      </c>
      <c r="P50" s="598"/>
      <c r="Q50" s="599"/>
      <c r="R50" s="669" t="str">
        <f>IF(入力シート!$C$5=入力リスト!$C$4,"-",IF(計算!C3="データ未","",IF(計算!E107="-","-",計算!$E$107)))</f>
        <v/>
      </c>
      <c r="S50" s="670"/>
      <c r="T50" s="670"/>
      <c r="U50" s="670"/>
      <c r="V50" s="670"/>
      <c r="W50" s="670"/>
      <c r="X50" s="670"/>
      <c r="Y50" s="670"/>
      <c r="Z50" s="670"/>
      <c r="AA50" s="670"/>
      <c r="AB50" s="670"/>
      <c r="AC50" s="671"/>
      <c r="AD50" s="634" t="str">
        <f>IF(C50="","","※優先的に取り組むと効果的と思われる項目を
 「課題タイプ」として表示しています。")</f>
        <v/>
      </c>
      <c r="AE50" s="634"/>
      <c r="AF50" s="634"/>
      <c r="AG50" s="634"/>
      <c r="AH50" s="634"/>
      <c r="AI50" s="634"/>
      <c r="AJ50" s="634"/>
      <c r="AK50" s="634"/>
      <c r="AL50" s="634"/>
      <c r="AM50" s="634"/>
      <c r="AN50" s="634"/>
      <c r="AO50" s="634"/>
      <c r="AP50" s="634"/>
      <c r="AQ50" s="634"/>
      <c r="AR50" s="634"/>
      <c r="AS50" s="634"/>
      <c r="AT50" s="634"/>
      <c r="AU50" s="634"/>
      <c r="AV50" s="634"/>
      <c r="AW50" s="634"/>
      <c r="AX50" s="634"/>
      <c r="AY50" s="634"/>
      <c r="AZ50" s="634"/>
      <c r="BA50" s="634"/>
    </row>
    <row r="51" spans="1:100" ht="4.95" customHeight="1" thickBot="1">
      <c r="C51" s="159"/>
      <c r="D51" s="159"/>
      <c r="E51" s="159"/>
      <c r="F51" s="159"/>
      <c r="G51" s="159"/>
      <c r="H51" s="159"/>
      <c r="I51" s="159"/>
      <c r="J51" s="159"/>
      <c r="K51" s="159"/>
      <c r="L51" s="159"/>
      <c r="M51" s="159"/>
      <c r="N51" s="159"/>
      <c r="O51" s="159"/>
      <c r="P51" s="159"/>
      <c r="Q51" s="159"/>
      <c r="R51" s="159"/>
      <c r="AL51" s="55"/>
      <c r="AM51" s="55"/>
      <c r="AN51" s="55"/>
      <c r="AO51" s="55"/>
      <c r="AP51" s="55"/>
      <c r="AQ51" s="55"/>
      <c r="AR51" s="55"/>
      <c r="AS51" s="55"/>
      <c r="AT51" s="55"/>
      <c r="AU51" s="55"/>
      <c r="AV51" s="55"/>
      <c r="AW51" s="55"/>
      <c r="AX51" s="55"/>
      <c r="AY51" s="55"/>
      <c r="AZ51" s="55"/>
      <c r="BA51" s="55"/>
      <c r="BB51" s="55"/>
      <c r="BC51" s="55"/>
      <c r="BD51" s="55"/>
      <c r="BE51" s="55"/>
      <c r="BF51" s="55"/>
    </row>
    <row r="52" spans="1:100" ht="61.05" customHeight="1">
      <c r="A52" s="107"/>
      <c r="B52" s="107"/>
      <c r="C52" s="591" t="str">
        <f>IF(入力シート!$C$5=入力リスト!$C$4,"",IF(計算!C3="データ未","",計算!C121))</f>
        <v/>
      </c>
      <c r="D52" s="592"/>
      <c r="E52" s="592"/>
      <c r="F52" s="592"/>
      <c r="G52" s="592"/>
      <c r="H52" s="592"/>
      <c r="I52" s="592"/>
      <c r="J52" s="592"/>
      <c r="K52" s="592"/>
      <c r="L52" s="592"/>
      <c r="M52" s="592"/>
      <c r="N52" s="592"/>
      <c r="O52" s="592"/>
      <c r="P52" s="592"/>
      <c r="Q52" s="592"/>
      <c r="R52" s="592"/>
      <c r="S52" s="592"/>
      <c r="T52" s="592"/>
      <c r="U52" s="592"/>
      <c r="V52" s="592"/>
      <c r="W52" s="592"/>
      <c r="X52" s="592"/>
      <c r="Y52" s="592"/>
      <c r="Z52" s="592"/>
      <c r="AA52" s="592"/>
      <c r="AB52" s="592"/>
      <c r="AC52" s="592"/>
      <c r="AD52" s="592"/>
      <c r="AE52" s="592"/>
      <c r="AF52" s="592"/>
      <c r="AG52" s="592"/>
      <c r="AH52" s="592"/>
      <c r="AI52" s="592"/>
      <c r="AJ52" s="592"/>
      <c r="AK52" s="592"/>
      <c r="AL52" s="592"/>
      <c r="AM52" s="592"/>
      <c r="AN52" s="592"/>
      <c r="AO52" s="592"/>
      <c r="AP52" s="592"/>
      <c r="AQ52" s="592"/>
      <c r="AR52" s="592"/>
      <c r="AS52" s="592"/>
      <c r="AT52" s="592"/>
      <c r="AU52" s="592"/>
      <c r="AV52" s="592"/>
      <c r="AW52" s="592"/>
      <c r="AX52" s="592"/>
      <c r="AY52" s="592"/>
      <c r="AZ52" s="592"/>
      <c r="BA52" s="592"/>
      <c r="BB52" s="592"/>
      <c r="BC52" s="592"/>
      <c r="BD52" s="592"/>
      <c r="BE52" s="592"/>
      <c r="BF52" s="593"/>
      <c r="BL52" s="53"/>
      <c r="BM52" s="53"/>
      <c r="BN52" s="53"/>
      <c r="BO52" s="53"/>
      <c r="CE52" s="53"/>
      <c r="CF52" s="53"/>
      <c r="CG52" s="53"/>
      <c r="CH52" s="53"/>
      <c r="CI52" s="53"/>
      <c r="CJ52" s="53"/>
      <c r="CK52" s="53"/>
      <c r="CL52" s="53"/>
      <c r="CM52" s="53"/>
      <c r="CN52" s="53"/>
      <c r="CO52" s="53"/>
      <c r="CP52" s="53"/>
      <c r="CQ52" s="53"/>
      <c r="CR52" s="53"/>
      <c r="CS52" s="53"/>
      <c r="CT52" s="53"/>
      <c r="CU52" s="53"/>
      <c r="CV52" s="53"/>
    </row>
    <row r="53" spans="1:100" ht="160.05000000000001" customHeight="1" thickBot="1">
      <c r="A53" s="107"/>
      <c r="B53" s="107"/>
      <c r="C53" s="631" t="str">
        <f>IF(入力シート!$C$5=入力リスト!$C$4,"",IF(計算!C3="データ未","",計算!C122))</f>
        <v/>
      </c>
      <c r="D53" s="632"/>
      <c r="E53" s="632"/>
      <c r="F53" s="632"/>
      <c r="G53" s="632"/>
      <c r="H53" s="632"/>
      <c r="I53" s="632"/>
      <c r="J53" s="632"/>
      <c r="K53" s="632"/>
      <c r="L53" s="632"/>
      <c r="M53" s="632"/>
      <c r="N53" s="632"/>
      <c r="O53" s="632"/>
      <c r="P53" s="632"/>
      <c r="Q53" s="632"/>
      <c r="R53" s="632"/>
      <c r="S53" s="632"/>
      <c r="T53" s="632"/>
      <c r="U53" s="632"/>
      <c r="V53" s="632"/>
      <c r="W53" s="632"/>
      <c r="X53" s="632"/>
      <c r="Y53" s="632"/>
      <c r="Z53" s="632"/>
      <c r="AA53" s="632"/>
      <c r="AB53" s="632"/>
      <c r="AC53" s="632"/>
      <c r="AD53" s="632"/>
      <c r="AE53" s="632"/>
      <c r="AF53" s="632"/>
      <c r="AG53" s="632"/>
      <c r="AH53" s="632"/>
      <c r="AI53" s="632"/>
      <c r="AJ53" s="632"/>
      <c r="AK53" s="632"/>
      <c r="AL53" s="632"/>
      <c r="AM53" s="632"/>
      <c r="AN53" s="632"/>
      <c r="AO53" s="632"/>
      <c r="AP53" s="632"/>
      <c r="AQ53" s="632"/>
      <c r="AR53" s="632"/>
      <c r="AS53" s="632"/>
      <c r="AT53" s="632"/>
      <c r="AU53" s="632"/>
      <c r="AV53" s="632"/>
      <c r="AW53" s="632"/>
      <c r="AX53" s="632"/>
      <c r="AY53" s="632"/>
      <c r="AZ53" s="632"/>
      <c r="BA53" s="632"/>
      <c r="BB53" s="632"/>
      <c r="BC53" s="632"/>
      <c r="BD53" s="632"/>
      <c r="BE53" s="632"/>
      <c r="BF53" s="633"/>
      <c r="BL53" s="53"/>
      <c r="BM53" s="53"/>
      <c r="BN53" s="53"/>
      <c r="BO53" s="53"/>
      <c r="CE53" s="53"/>
      <c r="CF53" s="53"/>
      <c r="CG53" s="53"/>
      <c r="CH53" s="53"/>
      <c r="CI53" s="53"/>
      <c r="CJ53" s="53"/>
      <c r="CK53" s="53"/>
      <c r="CL53" s="53"/>
      <c r="CM53" s="53"/>
      <c r="CN53" s="53"/>
      <c r="CO53" s="53"/>
      <c r="CP53" s="53"/>
      <c r="CQ53" s="53"/>
      <c r="CR53" s="53"/>
      <c r="CS53" s="53"/>
      <c r="CT53" s="53"/>
      <c r="CU53" s="53"/>
      <c r="CV53" s="53"/>
    </row>
    <row r="54" spans="1:100" ht="25.05" customHeight="1">
      <c r="C54" s="600" t="str">
        <f>IF(AND(COUNTIF(C49,"*上*")=0,COUNTIF(C49,"*下*")=0),"","※男女間賃金差異の詳細な課題については、「男女間賃金差異分析ツール活用パンフレット」を確認ください。")</f>
        <v/>
      </c>
      <c r="D54" s="600"/>
      <c r="E54" s="600"/>
      <c r="F54" s="600"/>
      <c r="G54" s="600"/>
      <c r="H54" s="600"/>
      <c r="I54" s="600"/>
      <c r="J54" s="600"/>
      <c r="K54" s="600"/>
      <c r="L54" s="600"/>
      <c r="M54" s="600"/>
      <c r="N54" s="600"/>
      <c r="O54" s="600"/>
      <c r="P54" s="600"/>
      <c r="Q54" s="600"/>
      <c r="R54" s="600"/>
      <c r="S54" s="600"/>
      <c r="T54" s="600"/>
      <c r="U54" s="600"/>
      <c r="V54" s="600"/>
      <c r="W54" s="600"/>
      <c r="X54" s="600"/>
      <c r="Y54" s="600"/>
      <c r="Z54" s="600"/>
      <c r="AA54" s="600"/>
      <c r="AB54" s="600"/>
      <c r="AC54" s="600"/>
      <c r="AD54" s="600"/>
      <c r="AE54" s="600"/>
      <c r="AF54" s="600"/>
      <c r="AG54" s="600"/>
      <c r="AH54" s="600"/>
      <c r="AI54" s="600"/>
      <c r="AJ54" s="600"/>
      <c r="AK54" s="600"/>
      <c r="AL54" s="600"/>
      <c r="AM54" s="600"/>
      <c r="AN54" s="600"/>
      <c r="AO54" s="600"/>
      <c r="AP54" s="600"/>
      <c r="AQ54" s="600"/>
      <c r="AR54" s="600"/>
      <c r="AS54" s="600"/>
      <c r="AT54" s="600"/>
      <c r="AU54" s="600"/>
      <c r="AV54" s="600"/>
      <c r="AW54" s="600"/>
      <c r="AX54" s="600"/>
      <c r="AY54" s="600"/>
      <c r="AZ54" s="600"/>
      <c r="BA54" s="600"/>
      <c r="BB54" s="600"/>
      <c r="BC54" s="600"/>
      <c r="BD54" s="600"/>
      <c r="BE54" s="600"/>
      <c r="BF54" s="600"/>
      <c r="BG54" s="600"/>
      <c r="CI54" s="53"/>
      <c r="CJ54" s="53"/>
      <c r="CK54" s="53"/>
      <c r="CL54" s="53"/>
      <c r="CM54" s="53"/>
      <c r="CN54" s="53"/>
      <c r="CO54" s="53"/>
      <c r="CP54" s="53"/>
      <c r="CQ54" s="53"/>
      <c r="CR54" s="53"/>
      <c r="CS54" s="53"/>
      <c r="CT54" s="53"/>
      <c r="CU54" s="53"/>
      <c r="CV54" s="53"/>
    </row>
    <row r="55" spans="1:100" ht="19.2" customHeight="1">
      <c r="A55" s="185"/>
      <c r="C55" s="600"/>
      <c r="D55" s="600"/>
      <c r="E55" s="600"/>
      <c r="F55" s="600"/>
      <c r="G55" s="600"/>
      <c r="H55" s="600"/>
      <c r="I55" s="600"/>
      <c r="J55" s="600"/>
      <c r="K55" s="600"/>
      <c r="L55" s="600"/>
      <c r="M55" s="600"/>
      <c r="N55" s="600"/>
      <c r="O55" s="600"/>
      <c r="P55" s="600"/>
      <c r="Q55" s="600"/>
      <c r="R55" s="600"/>
      <c r="S55" s="600"/>
      <c r="T55" s="600"/>
      <c r="U55" s="600"/>
      <c r="V55" s="600"/>
      <c r="W55" s="600"/>
      <c r="X55" s="600"/>
      <c r="Y55" s="600"/>
      <c r="Z55" s="600"/>
      <c r="AA55" s="600"/>
      <c r="AB55" s="600"/>
      <c r="AC55" s="600"/>
      <c r="AD55" s="600"/>
      <c r="AE55" s="600"/>
      <c r="AF55" s="600"/>
      <c r="AG55" s="600"/>
      <c r="AH55" s="600"/>
      <c r="AI55" s="600"/>
      <c r="AJ55" s="600"/>
      <c r="AK55" s="600"/>
      <c r="AL55" s="600"/>
      <c r="AM55" s="600"/>
      <c r="AN55" s="600"/>
      <c r="AO55" s="600"/>
      <c r="AP55" s="600"/>
      <c r="AQ55" s="600"/>
      <c r="AR55" s="600"/>
      <c r="AS55" s="600"/>
      <c r="AT55" s="600"/>
      <c r="AU55" s="600"/>
      <c r="AV55" s="600"/>
      <c r="AW55" s="600"/>
      <c r="AX55" s="600"/>
      <c r="AY55" s="600"/>
      <c r="AZ55" s="600"/>
      <c r="BA55" s="600"/>
      <c r="BB55" s="600"/>
      <c r="BC55" s="600"/>
      <c r="BD55" s="600"/>
      <c r="BE55" s="600"/>
      <c r="BF55" s="600"/>
      <c r="BG55" s="600"/>
      <c r="CI55" s="53"/>
      <c r="CJ55" s="53"/>
      <c r="CK55" s="53"/>
      <c r="CL55" s="53"/>
      <c r="CM55" s="53"/>
      <c r="CN55" s="53"/>
      <c r="CO55" s="53"/>
      <c r="CP55" s="53"/>
      <c r="CQ55" s="53"/>
      <c r="CR55" s="53"/>
      <c r="CS55" s="53"/>
      <c r="CT55" s="53"/>
      <c r="CU55" s="53"/>
      <c r="CV55" s="53"/>
    </row>
  </sheetData>
  <sheetProtection algorithmName="SHA-512" hashValue="wLErAwh5D4CsGclwLU7u822Gpm/a032qJ3E72/KKfH4tWB+E7VMpGwc0+8/YdNbj86RbNie9OucfoO1NI50/NQ==" saltValue="6oVNFFEpWsY0dq45Eio7gw==" spinCount="100000" sheet="1" objects="1" scenarios="1"/>
  <mergeCells count="90">
    <mergeCell ref="BJ28:CV28"/>
    <mergeCell ref="AP33:AX33"/>
    <mergeCell ref="AY34:BF34"/>
    <mergeCell ref="BJ33:CT41"/>
    <mergeCell ref="AF8:AR10"/>
    <mergeCell ref="AY36:BF36"/>
    <mergeCell ref="AY35:BF35"/>
    <mergeCell ref="AP41:AX41"/>
    <mergeCell ref="AP40:AX40"/>
    <mergeCell ref="AP39:AX39"/>
    <mergeCell ref="AP38:AX38"/>
    <mergeCell ref="AP37:AX37"/>
    <mergeCell ref="AP36:AX36"/>
    <mergeCell ref="AS10:BF10"/>
    <mergeCell ref="AP34:AX34"/>
    <mergeCell ref="BJ32:BO32"/>
    <mergeCell ref="BJ7:CV10"/>
    <mergeCell ref="BJ13:CV26"/>
    <mergeCell ref="R50:AC50"/>
    <mergeCell ref="A30:B30"/>
    <mergeCell ref="A49:B49"/>
    <mergeCell ref="D40:L41"/>
    <mergeCell ref="D35:L36"/>
    <mergeCell ref="M40:S40"/>
    <mergeCell ref="M41:S41"/>
    <mergeCell ref="D42:BF42"/>
    <mergeCell ref="AY39:BF39"/>
    <mergeCell ref="AY38:BF38"/>
    <mergeCell ref="AY37:BF37"/>
    <mergeCell ref="AE41:AO41"/>
    <mergeCell ref="AE40:AO40"/>
    <mergeCell ref="AE39:AO39"/>
    <mergeCell ref="AY40:BF40"/>
    <mergeCell ref="D39:L39"/>
    <mergeCell ref="M38:S38"/>
    <mergeCell ref="M39:S39"/>
    <mergeCell ref="AE38:AO38"/>
    <mergeCell ref="P10:AC10"/>
    <mergeCell ref="C12:T12"/>
    <mergeCell ref="C8:O10"/>
    <mergeCell ref="P8:AC8"/>
    <mergeCell ref="P9:AC9"/>
    <mergeCell ref="AV5:BG5"/>
    <mergeCell ref="AS8:BF8"/>
    <mergeCell ref="AS9:BF9"/>
    <mergeCell ref="M37:S37"/>
    <mergeCell ref="C50:N50"/>
    <mergeCell ref="C24:H24"/>
    <mergeCell ref="M35:S35"/>
    <mergeCell ref="M36:S36"/>
    <mergeCell ref="D37:L38"/>
    <mergeCell ref="C30:BF30"/>
    <mergeCell ref="M33:S34"/>
    <mergeCell ref="AY33:BF33"/>
    <mergeCell ref="AE35:AO35"/>
    <mergeCell ref="AE34:AO34"/>
    <mergeCell ref="T33:AO33"/>
    <mergeCell ref="AE36:AO36"/>
    <mergeCell ref="C53:BF53"/>
    <mergeCell ref="AD50:BA50"/>
    <mergeCell ref="AY41:BF41"/>
    <mergeCell ref="AE37:AO37"/>
    <mergeCell ref="CP1:CV1"/>
    <mergeCell ref="BJ1:BP1"/>
    <mergeCell ref="BQ1:BW1"/>
    <mergeCell ref="CC1:CI1"/>
    <mergeCell ref="AS7:BF7"/>
    <mergeCell ref="BY1:CB1"/>
    <mergeCell ref="CK1:CO1"/>
    <mergeCell ref="A2:BG2"/>
    <mergeCell ref="A3:BF3"/>
    <mergeCell ref="C7:O7"/>
    <mergeCell ref="AF7:AR7"/>
    <mergeCell ref="BJ2:CV2"/>
    <mergeCell ref="C52:BF52"/>
    <mergeCell ref="P7:AC7"/>
    <mergeCell ref="O50:Q50"/>
    <mergeCell ref="C54:BG55"/>
    <mergeCell ref="U29:X29"/>
    <mergeCell ref="C31:BF31"/>
    <mergeCell ref="C49:BF49"/>
    <mergeCell ref="T41:AD41"/>
    <mergeCell ref="T34:AD34"/>
    <mergeCell ref="T35:AD35"/>
    <mergeCell ref="T36:AD36"/>
    <mergeCell ref="T37:AD37"/>
    <mergeCell ref="T38:AD38"/>
    <mergeCell ref="T39:AD39"/>
    <mergeCell ref="T40:AD40"/>
    <mergeCell ref="AP35:AX35"/>
  </mergeCells>
  <phoneticPr fontId="3"/>
  <conditionalFormatting sqref="C52">
    <cfRule type="expression" dxfId="42" priority="1">
      <formula>$C$52="貴社のデータ入力が未完了です。"</formula>
    </cfRule>
  </conditionalFormatting>
  <pageMargins left="0.78740157480314965" right="0.39370078740157483" top="0.6692913385826772" bottom="0.47244094488188981" header="0.31496062992125984" footer="0.31496062992125984"/>
  <rowBreaks count="2" manualBreakCount="2">
    <brk id="3" max="58" man="1"/>
    <brk id="3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1458C-CF0C-624E-96D1-F72D5972FA6C}">
  <dimension ref="B1:BS121"/>
  <sheetViews>
    <sheetView showGridLines="0" view="pageBreakPreview" zoomScaleNormal="93" zoomScaleSheetLayoutView="100" workbookViewId="0">
      <pane ySplit="3" topLeftCell="A4" activePane="bottomLeft" state="frozen"/>
      <selection pane="bottomLeft" activeCell="C5" sqref="C5:S5"/>
    </sheetView>
  </sheetViews>
  <sheetFormatPr defaultColWidth="10.7265625" defaultRowHeight="19.8"/>
  <cols>
    <col min="1" max="1" width="1" style="16" customWidth="1"/>
    <col min="2" max="2" width="4.26953125" style="112" customWidth="1"/>
    <col min="3" max="9" width="2.81640625" style="16" customWidth="1"/>
    <col min="10" max="17" width="2.453125" style="16" customWidth="1"/>
    <col min="18" max="18" width="1.26953125" style="16" customWidth="1"/>
    <col min="19" max="23" width="2.453125" style="16" customWidth="1"/>
    <col min="24" max="24" width="2.1796875" style="16" customWidth="1"/>
    <col min="25" max="31" width="2.453125" style="16" customWidth="1"/>
    <col min="32" max="32" width="1.453125" style="16" customWidth="1"/>
    <col min="33" max="33" width="0.54296875" style="16" customWidth="1"/>
    <col min="34" max="34" width="3.26953125" style="16" customWidth="1"/>
    <col min="35" max="35" width="2.26953125" style="16" customWidth="1"/>
    <col min="36" max="46" width="2.453125" style="16" customWidth="1"/>
    <col min="47" max="47" width="1.453125" style="16" customWidth="1"/>
    <col min="48" max="48" width="0.453125" style="16" customWidth="1"/>
    <col min="49" max="59" width="2.453125" style="16" customWidth="1"/>
    <col min="60" max="60" width="0.7265625" style="16" customWidth="1"/>
    <col min="61" max="61" width="0.453125" style="16" customWidth="1"/>
    <col min="62" max="62" width="1.1796875" style="16" customWidth="1"/>
    <col min="63" max="63" width="0.54296875" style="16" customWidth="1"/>
    <col min="64" max="64" width="13.54296875" style="16" customWidth="1"/>
    <col min="65" max="65" width="10.7265625" style="16" customWidth="1"/>
    <col min="66" max="66" width="10.81640625" style="16" customWidth="1"/>
    <col min="67" max="67" width="13.26953125" style="16" customWidth="1"/>
    <col min="68" max="68" width="11.7265625" style="16" customWidth="1"/>
    <col min="69" max="69" width="2" style="16" customWidth="1"/>
    <col min="70" max="70" width="6.1796875" style="16" customWidth="1"/>
    <col min="71" max="71" width="12.1796875" style="16" customWidth="1"/>
    <col min="72" max="16384" width="10.7265625" style="16"/>
  </cols>
  <sheetData>
    <row r="1" spans="2:71" ht="4.95" customHeight="1" thickBot="1"/>
    <row r="2" spans="2:71" ht="51" customHeight="1">
      <c r="B2" s="116" t="s">
        <v>112</v>
      </c>
      <c r="C2" s="60"/>
      <c r="D2" s="60"/>
      <c r="E2" s="60"/>
      <c r="F2" s="60"/>
      <c r="G2" s="60"/>
      <c r="H2" s="60"/>
      <c r="I2" s="60"/>
      <c r="J2" s="60"/>
      <c r="K2" s="60"/>
      <c r="L2" s="60"/>
      <c r="M2" s="60"/>
      <c r="N2" s="60"/>
      <c r="O2" s="60"/>
      <c r="P2" s="60"/>
      <c r="Q2" s="60"/>
      <c r="R2" s="60"/>
      <c r="S2" s="117"/>
      <c r="T2" s="117"/>
      <c r="U2" s="117"/>
      <c r="V2" s="117"/>
      <c r="W2" s="117"/>
      <c r="X2" s="117"/>
      <c r="Y2" s="117"/>
      <c r="Z2" s="117"/>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118"/>
      <c r="BL2" s="837" t="str">
        <f>VLOOKUP(TRUE,エラー表示用!$N$4:$Q$24,2,0)</f>
        <v>(1)で「使用用途」を選択してください。</v>
      </c>
      <c r="BM2" s="838"/>
      <c r="BN2" s="838"/>
      <c r="BO2" s="838"/>
      <c r="BP2" s="838"/>
      <c r="BQ2" s="838"/>
      <c r="BR2" s="838"/>
      <c r="BS2" s="839"/>
    </row>
    <row r="3" spans="2:71" ht="46.95" customHeight="1" thickBot="1">
      <c r="B3" s="119" t="s">
        <v>409</v>
      </c>
      <c r="C3" s="61"/>
      <c r="D3" s="62"/>
      <c r="E3" s="62"/>
      <c r="F3" s="62"/>
      <c r="G3" s="62"/>
      <c r="H3" s="62"/>
      <c r="I3" s="62"/>
      <c r="J3" s="62"/>
      <c r="K3" s="62"/>
      <c r="L3" s="62"/>
      <c r="M3" s="62"/>
      <c r="N3" s="62"/>
      <c r="O3" s="62"/>
      <c r="P3" s="62"/>
      <c r="Q3" s="62"/>
      <c r="R3" s="62"/>
      <c r="S3" s="120"/>
      <c r="T3" s="120"/>
      <c r="U3" s="120"/>
      <c r="V3" s="120"/>
      <c r="W3" s="120"/>
      <c r="X3" s="120"/>
      <c r="Y3" s="120"/>
      <c r="Z3" s="120"/>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121"/>
      <c r="BL3" s="840"/>
      <c r="BM3" s="841"/>
      <c r="BN3" s="841"/>
      <c r="BO3" s="841"/>
      <c r="BP3" s="841"/>
      <c r="BQ3" s="841"/>
      <c r="BR3" s="841"/>
      <c r="BS3" s="842"/>
    </row>
    <row r="4" spans="2:71" ht="36" customHeight="1" thickTop="1" thickBot="1">
      <c r="B4" s="238" t="s">
        <v>84</v>
      </c>
      <c r="C4" s="63" t="s">
        <v>96</v>
      </c>
      <c r="D4" s="64"/>
      <c r="E4" s="64"/>
      <c r="F4" s="64"/>
      <c r="G4" s="64"/>
      <c r="H4" s="64"/>
      <c r="I4" s="64"/>
      <c r="J4" s="64"/>
      <c r="K4" s="64"/>
      <c r="L4" s="64"/>
      <c r="M4" s="64"/>
      <c r="N4" s="64"/>
      <c r="O4" s="64"/>
      <c r="P4" s="64"/>
      <c r="Q4" s="64"/>
      <c r="R4" s="64"/>
      <c r="S4" s="122"/>
      <c r="T4" s="122"/>
      <c r="U4" s="123"/>
      <c r="V4" s="123"/>
      <c r="W4" s="123"/>
      <c r="BH4" s="124"/>
      <c r="BL4" s="938" t="str">
        <f>VLOOKUP(TRUE,エラー表示用!$N$4:$Q$24,3,0)</f>
        <v>※本ツールの使用用途は以下の２つです。
　・『自社の男女間賃金差異と参考値を比較する』
　・『産業分類と企業規模の参考値を確認する』
※参考値には「令和5年度 賃金構造基本統計調査」と
  「令和5年度 雇用動向調査」を再集計したデータを使用しています。</v>
      </c>
      <c r="BM4" s="939"/>
      <c r="BN4" s="939"/>
      <c r="BO4" s="939"/>
      <c r="BP4" s="939"/>
      <c r="BQ4" s="939"/>
      <c r="BR4" s="939"/>
      <c r="BS4" s="940"/>
    </row>
    <row r="5" spans="2:71" ht="28.05" customHeight="1" thickBot="1">
      <c r="B5" s="125"/>
      <c r="C5" s="924"/>
      <c r="D5" s="925"/>
      <c r="E5" s="925"/>
      <c r="F5" s="925"/>
      <c r="G5" s="925"/>
      <c r="H5" s="925"/>
      <c r="I5" s="925"/>
      <c r="J5" s="925"/>
      <c r="K5" s="925"/>
      <c r="L5" s="925"/>
      <c r="M5" s="925"/>
      <c r="N5" s="925"/>
      <c r="O5" s="925"/>
      <c r="P5" s="925"/>
      <c r="Q5" s="925"/>
      <c r="R5" s="925"/>
      <c r="S5" s="925"/>
      <c r="T5" s="126"/>
      <c r="U5" s="923" t="str">
        <f>IF(C5=""," ←使用用途を選択してください。","")</f>
        <v xml:space="preserve"> ←使用用途を選択してください。</v>
      </c>
      <c r="V5" s="923"/>
      <c r="W5" s="923"/>
      <c r="X5" s="923"/>
      <c r="Y5" s="923"/>
      <c r="Z5" s="923"/>
      <c r="AA5" s="923"/>
      <c r="AB5" s="923"/>
      <c r="AC5" s="923"/>
      <c r="AD5" s="923"/>
      <c r="AE5" s="923"/>
      <c r="AF5" s="923"/>
      <c r="AG5" s="923"/>
      <c r="AH5" s="923"/>
      <c r="AI5" s="923"/>
      <c r="AJ5" s="923"/>
      <c r="AK5" s="923"/>
      <c r="AL5" s="923"/>
      <c r="AM5" s="923"/>
      <c r="AN5" s="923"/>
      <c r="AO5" s="923"/>
      <c r="AP5" s="923"/>
      <c r="AQ5" s="923"/>
      <c r="AR5" s="923"/>
      <c r="AS5" s="923"/>
      <c r="AT5" s="923"/>
      <c r="AU5" s="923"/>
      <c r="AV5" s="923"/>
      <c r="AW5" s="923"/>
      <c r="AX5" s="923"/>
      <c r="AY5" s="923"/>
      <c r="AZ5" s="923"/>
      <c r="BA5" s="923"/>
      <c r="BB5" s="923"/>
      <c r="BC5" s="923"/>
      <c r="BD5" s="923"/>
      <c r="BH5" s="124"/>
      <c r="BL5" s="941"/>
      <c r="BM5" s="942"/>
      <c r="BN5" s="942"/>
      <c r="BO5" s="942"/>
      <c r="BP5" s="942"/>
      <c r="BQ5" s="942"/>
      <c r="BR5" s="942"/>
      <c r="BS5" s="943"/>
    </row>
    <row r="6" spans="2:71" ht="4.95" customHeight="1" thickBot="1">
      <c r="B6" s="115"/>
      <c r="C6" s="926"/>
      <c r="D6" s="926"/>
      <c r="E6" s="62"/>
      <c r="F6" s="62"/>
      <c r="G6" s="62"/>
      <c r="H6" s="62"/>
      <c r="I6" s="62"/>
      <c r="J6" s="62"/>
      <c r="K6" s="62"/>
      <c r="L6" s="62"/>
      <c r="M6" s="62"/>
      <c r="N6" s="62"/>
      <c r="O6" s="62"/>
      <c r="P6" s="62"/>
      <c r="Q6" s="62"/>
      <c r="R6" s="62"/>
      <c r="S6" s="127"/>
      <c r="T6" s="127"/>
      <c r="U6" s="127"/>
      <c r="V6" s="127"/>
      <c r="W6" s="127"/>
      <c r="X6" s="127"/>
      <c r="Y6" s="127"/>
      <c r="Z6" s="127"/>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121"/>
      <c r="BL6" s="941"/>
      <c r="BM6" s="942"/>
      <c r="BN6" s="942"/>
      <c r="BO6" s="942"/>
      <c r="BP6" s="942"/>
      <c r="BQ6" s="942"/>
      <c r="BR6" s="942"/>
      <c r="BS6" s="943"/>
    </row>
    <row r="7" spans="2:71" ht="10.95" customHeight="1" thickTop="1">
      <c r="B7" s="128"/>
      <c r="C7" s="66"/>
      <c r="D7" s="66"/>
      <c r="S7" s="129"/>
      <c r="T7" s="129"/>
      <c r="U7" s="129"/>
      <c r="V7" s="129"/>
      <c r="W7" s="129"/>
      <c r="X7" s="129"/>
      <c r="Y7" s="129"/>
      <c r="Z7" s="129"/>
      <c r="BH7" s="124"/>
      <c r="BL7" s="941"/>
      <c r="BM7" s="942"/>
      <c r="BN7" s="942"/>
      <c r="BO7" s="942"/>
      <c r="BP7" s="942"/>
      <c r="BQ7" s="942"/>
      <c r="BR7" s="942"/>
      <c r="BS7" s="943"/>
    </row>
    <row r="8" spans="2:71" ht="25.95" customHeight="1" thickBot="1">
      <c r="B8" s="239" t="s">
        <v>85</v>
      </c>
      <c r="C8" s="76" t="s">
        <v>94</v>
      </c>
      <c r="D8" s="64"/>
      <c r="E8" s="64"/>
      <c r="S8" s="129"/>
      <c r="T8" s="113"/>
      <c r="U8" s="129"/>
      <c r="V8" s="129"/>
      <c r="W8" s="129"/>
      <c r="X8" s="129"/>
      <c r="Y8" s="129"/>
      <c r="Z8" s="129"/>
      <c r="BH8" s="124"/>
      <c r="BL8" s="941"/>
      <c r="BM8" s="942"/>
      <c r="BN8" s="942"/>
      <c r="BO8" s="942"/>
      <c r="BP8" s="942"/>
      <c r="BQ8" s="942"/>
      <c r="BR8" s="942"/>
      <c r="BS8" s="943"/>
    </row>
    <row r="9" spans="2:71" ht="25.5" customHeight="1">
      <c r="B9" s="130"/>
      <c r="C9" s="929" t="s">
        <v>20</v>
      </c>
      <c r="D9" s="930"/>
      <c r="E9" s="930"/>
      <c r="F9" s="930"/>
      <c r="G9" s="930"/>
      <c r="H9" s="930"/>
      <c r="I9" s="930"/>
      <c r="J9" s="867"/>
      <c r="K9" s="868"/>
      <c r="L9" s="868"/>
      <c r="M9" s="868"/>
      <c r="N9" s="868"/>
      <c r="O9" s="868"/>
      <c r="P9" s="868"/>
      <c r="Q9" s="868"/>
      <c r="R9" s="868"/>
      <c r="S9" s="869"/>
      <c r="T9" s="852" t="str">
        <f>IF(J9=""," ←産業分類を選択してください。空白の場合は、『産業大分類計』で集計された参考値が表示されます。","")</f>
        <v xml:space="preserve"> ←産業分類を選択してください。空白の場合は、『産業大分類計』で集計された参考値が表示されます。</v>
      </c>
      <c r="U9" s="853"/>
      <c r="V9" s="853"/>
      <c r="W9" s="853"/>
      <c r="X9" s="853"/>
      <c r="Y9" s="853"/>
      <c r="Z9" s="853"/>
      <c r="AA9" s="853"/>
      <c r="AB9" s="853"/>
      <c r="AC9" s="853"/>
      <c r="AD9" s="853"/>
      <c r="AE9" s="853"/>
      <c r="AF9" s="853"/>
      <c r="AG9" s="853"/>
      <c r="AH9" s="853"/>
      <c r="AI9" s="853"/>
      <c r="AJ9" s="853"/>
      <c r="AK9" s="853"/>
      <c r="AL9" s="853"/>
      <c r="AM9" s="853"/>
      <c r="AN9" s="853"/>
      <c r="AO9" s="853"/>
      <c r="AP9" s="853"/>
      <c r="AQ9" s="853"/>
      <c r="AR9" s="853"/>
      <c r="AS9" s="853"/>
      <c r="AT9" s="853"/>
      <c r="AU9" s="853"/>
      <c r="AV9" s="853"/>
      <c r="AW9" s="853"/>
      <c r="AX9" s="853"/>
      <c r="AY9" s="853"/>
      <c r="AZ9" s="853"/>
      <c r="BA9" s="853"/>
      <c r="BB9" s="853"/>
      <c r="BC9" s="853"/>
      <c r="BD9" s="853"/>
      <c r="BE9" s="853"/>
      <c r="BF9" s="853"/>
      <c r="BG9" s="853"/>
      <c r="BH9" s="131"/>
      <c r="BI9" s="132"/>
      <c r="BJ9" s="132"/>
      <c r="BK9" s="132"/>
      <c r="BL9" s="941"/>
      <c r="BM9" s="942"/>
      <c r="BN9" s="942"/>
      <c r="BO9" s="942"/>
      <c r="BP9" s="942"/>
      <c r="BQ9" s="942"/>
      <c r="BR9" s="942"/>
      <c r="BS9" s="943"/>
    </row>
    <row r="10" spans="2:71" ht="25.5" customHeight="1">
      <c r="B10" s="130"/>
      <c r="C10" s="800" t="s">
        <v>146</v>
      </c>
      <c r="D10" s="801"/>
      <c r="E10" s="801"/>
      <c r="F10" s="801"/>
      <c r="G10" s="801"/>
      <c r="H10" s="801"/>
      <c r="I10" s="801"/>
      <c r="J10" s="866"/>
      <c r="K10" s="824"/>
      <c r="L10" s="824"/>
      <c r="M10" s="824"/>
      <c r="N10" s="824"/>
      <c r="O10" s="824"/>
      <c r="P10" s="824"/>
      <c r="Q10" s="824"/>
      <c r="R10" s="824"/>
      <c r="S10" s="825"/>
      <c r="T10" s="933" t="str">
        <f>IF(J9="","",IF(AND(J10="",J9="製造業")," ←選択してください。未選択（空白）の場合は、『製造業（産業大分類）』で集計された参考値が表示されます。",IF(J9="製造業",""," ←産業大分類で『製造業』を選択した場合のみ、産業中分類の選択ができます。その他の業種では選択できません。")))</f>
        <v/>
      </c>
      <c r="U10" s="934"/>
      <c r="V10" s="934"/>
      <c r="W10" s="934"/>
      <c r="X10" s="934"/>
      <c r="Y10" s="934"/>
      <c r="Z10" s="934"/>
      <c r="AA10" s="934"/>
      <c r="AB10" s="934"/>
      <c r="AC10" s="934"/>
      <c r="AD10" s="934"/>
      <c r="AE10" s="934"/>
      <c r="AF10" s="934"/>
      <c r="AG10" s="934"/>
      <c r="AH10" s="934"/>
      <c r="AI10" s="934"/>
      <c r="AJ10" s="934"/>
      <c r="AK10" s="934"/>
      <c r="AL10" s="934"/>
      <c r="AM10" s="934"/>
      <c r="AN10" s="934"/>
      <c r="AO10" s="934"/>
      <c r="AP10" s="934"/>
      <c r="AQ10" s="934"/>
      <c r="AR10" s="934"/>
      <c r="AS10" s="934"/>
      <c r="AT10" s="934"/>
      <c r="AU10" s="934"/>
      <c r="AV10" s="934"/>
      <c r="AW10" s="934"/>
      <c r="AX10" s="934"/>
      <c r="AY10" s="934"/>
      <c r="AZ10" s="934"/>
      <c r="BA10" s="934"/>
      <c r="BB10" s="934"/>
      <c r="BC10" s="934"/>
      <c r="BD10" s="934"/>
      <c r="BE10" s="934"/>
      <c r="BF10" s="934"/>
      <c r="BG10" s="934"/>
      <c r="BH10" s="131"/>
      <c r="BI10" s="132"/>
      <c r="BJ10" s="132"/>
      <c r="BK10" s="132"/>
      <c r="BL10" s="941"/>
      <c r="BM10" s="942"/>
      <c r="BN10" s="942"/>
      <c r="BO10" s="942"/>
      <c r="BP10" s="942"/>
      <c r="BQ10" s="942"/>
      <c r="BR10" s="942"/>
      <c r="BS10" s="943"/>
    </row>
    <row r="11" spans="2:71" ht="25.5" customHeight="1" thickBot="1">
      <c r="B11" s="130"/>
      <c r="C11" s="931" t="s">
        <v>93</v>
      </c>
      <c r="D11" s="932"/>
      <c r="E11" s="932"/>
      <c r="F11" s="932"/>
      <c r="G11" s="932"/>
      <c r="H11" s="932"/>
      <c r="I11" s="932"/>
      <c r="J11" s="860"/>
      <c r="K11" s="861"/>
      <c r="L11" s="861"/>
      <c r="M11" s="861"/>
      <c r="N11" s="861"/>
      <c r="O11" s="861"/>
      <c r="P11" s="861"/>
      <c r="Q11" s="861"/>
      <c r="R11" s="861"/>
      <c r="S11" s="862"/>
      <c r="T11" s="852" t="str">
        <f>IF(J11=""," ←企業規模を選択してください。空白の場合は、『企業規模計（10人以上）』で集計された参考値が表示されます。","")</f>
        <v xml:space="preserve"> ←企業規模を選択してください。空白の場合は、『企業規模計（10人以上）』で集計された参考値が表示されます。</v>
      </c>
      <c r="U11" s="853"/>
      <c r="V11" s="853"/>
      <c r="W11" s="853"/>
      <c r="X11" s="853"/>
      <c r="Y11" s="853"/>
      <c r="Z11" s="853"/>
      <c r="AA11" s="853"/>
      <c r="AB11" s="853"/>
      <c r="AC11" s="853"/>
      <c r="AD11" s="853"/>
      <c r="AE11" s="853"/>
      <c r="AF11" s="853"/>
      <c r="AG11" s="853"/>
      <c r="AH11" s="853"/>
      <c r="AI11" s="853"/>
      <c r="AJ11" s="853"/>
      <c r="AK11" s="853"/>
      <c r="AL11" s="853"/>
      <c r="AM11" s="853"/>
      <c r="AN11" s="853"/>
      <c r="AO11" s="853"/>
      <c r="AP11" s="853"/>
      <c r="AQ11" s="853"/>
      <c r="AR11" s="853"/>
      <c r="AS11" s="853"/>
      <c r="AT11" s="853"/>
      <c r="AU11" s="853"/>
      <c r="AV11" s="853"/>
      <c r="AW11" s="853"/>
      <c r="AX11" s="853"/>
      <c r="AY11" s="853"/>
      <c r="AZ11" s="853"/>
      <c r="BA11" s="853"/>
      <c r="BB11" s="853"/>
      <c r="BC11" s="853"/>
      <c r="BD11" s="853"/>
      <c r="BE11" s="853"/>
      <c r="BF11" s="853"/>
      <c r="BG11" s="853"/>
      <c r="BH11" s="131"/>
      <c r="BI11" s="132"/>
      <c r="BJ11" s="132"/>
      <c r="BK11" s="132"/>
      <c r="BL11" s="944"/>
      <c r="BM11" s="945"/>
      <c r="BN11" s="945"/>
      <c r="BO11" s="945"/>
      <c r="BP11" s="945"/>
      <c r="BQ11" s="945"/>
      <c r="BR11" s="945"/>
      <c r="BS11" s="946"/>
    </row>
    <row r="12" spans="2:71" ht="4.05" customHeight="1" thickBot="1">
      <c r="B12" s="133"/>
      <c r="C12" s="67"/>
      <c r="D12" s="68"/>
      <c r="E12" s="68"/>
      <c r="F12" s="69"/>
      <c r="G12" s="69"/>
      <c r="H12" s="69"/>
      <c r="I12" s="69"/>
      <c r="J12" s="69"/>
      <c r="K12" s="69"/>
      <c r="L12" s="69"/>
      <c r="M12" s="69"/>
      <c r="N12" s="69"/>
      <c r="O12" s="69"/>
      <c r="P12" s="69"/>
      <c r="Q12" s="134"/>
      <c r="R12" s="134"/>
      <c r="S12" s="134"/>
      <c r="T12" s="135"/>
      <c r="U12" s="135"/>
      <c r="V12" s="135"/>
      <c r="W12" s="135"/>
      <c r="X12" s="70"/>
      <c r="Y12" s="134"/>
      <c r="Z12" s="134"/>
      <c r="AA12" s="134"/>
      <c r="AB12" s="134"/>
      <c r="AC12" s="134"/>
      <c r="AD12" s="134"/>
      <c r="AE12" s="134"/>
      <c r="AF12" s="134"/>
      <c r="AG12" s="134"/>
      <c r="AH12" s="134"/>
      <c r="AI12" s="134"/>
      <c r="AJ12" s="134"/>
      <c r="AK12" s="134"/>
      <c r="AL12" s="134"/>
      <c r="AM12" s="134"/>
      <c r="AN12" s="134"/>
      <c r="AO12" s="134"/>
      <c r="AP12" s="134"/>
      <c r="AQ12" s="134"/>
      <c r="AR12" s="134"/>
      <c r="AS12" s="134"/>
      <c r="AT12" s="134"/>
      <c r="AU12" s="134"/>
      <c r="AV12" s="134"/>
      <c r="AW12" s="134"/>
      <c r="AX12" s="134"/>
      <c r="AY12" s="134"/>
      <c r="AZ12" s="134"/>
      <c r="BA12" s="134"/>
      <c r="BB12" s="136"/>
      <c r="BC12" s="134"/>
      <c r="BD12" s="134"/>
      <c r="BE12" s="62"/>
      <c r="BF12" s="62"/>
      <c r="BG12" s="62"/>
      <c r="BH12" s="121"/>
    </row>
    <row r="13" spans="2:71" ht="4.05" customHeight="1" thickTop="1">
      <c r="B13" s="130"/>
      <c r="C13" s="71"/>
      <c r="D13" s="72"/>
      <c r="E13" s="72"/>
      <c r="F13" s="73"/>
      <c r="G13" s="73"/>
      <c r="H13" s="73"/>
      <c r="I13" s="73"/>
      <c r="J13" s="73"/>
      <c r="K13" s="73"/>
      <c r="L13" s="73"/>
      <c r="M13" s="73"/>
      <c r="N13" s="73"/>
      <c r="O13" s="73"/>
      <c r="P13" s="73"/>
      <c r="Q13" s="137"/>
      <c r="R13" s="137"/>
      <c r="S13" s="137"/>
      <c r="T13" s="138"/>
      <c r="U13" s="138"/>
      <c r="V13" s="138"/>
      <c r="W13" s="138"/>
      <c r="X13" s="74"/>
      <c r="Y13" s="137"/>
      <c r="Z13" s="137"/>
      <c r="AA13" s="137"/>
      <c r="AB13" s="137"/>
      <c r="AC13" s="137"/>
      <c r="AD13" s="137"/>
      <c r="AE13" s="137"/>
      <c r="AF13" s="137"/>
      <c r="AG13" s="137"/>
      <c r="AH13" s="137"/>
      <c r="AI13" s="137"/>
      <c r="AJ13" s="137"/>
      <c r="AK13" s="137"/>
      <c r="AL13" s="137"/>
      <c r="AM13" s="137"/>
      <c r="AN13" s="137"/>
      <c r="AO13" s="137"/>
      <c r="AP13" s="137"/>
      <c r="AQ13" s="137"/>
      <c r="AR13" s="137"/>
      <c r="AS13" s="137"/>
      <c r="AT13" s="137"/>
      <c r="AU13" s="137"/>
      <c r="AV13" s="137"/>
      <c r="AW13" s="137"/>
      <c r="AX13" s="137"/>
      <c r="AY13" s="137"/>
      <c r="AZ13" s="137"/>
      <c r="BA13" s="137"/>
      <c r="BB13" s="139"/>
      <c r="BC13" s="137"/>
      <c r="BD13" s="137"/>
      <c r="BH13" s="124"/>
    </row>
    <row r="14" spans="2:71" ht="28.95" customHeight="1">
      <c r="B14" s="239" t="s">
        <v>86</v>
      </c>
      <c r="C14" s="76" t="s">
        <v>410</v>
      </c>
      <c r="D14" s="64"/>
      <c r="E14" s="64"/>
      <c r="BH14" s="124"/>
      <c r="BR14" s="65"/>
    </row>
    <row r="15" spans="2:71" ht="27" customHeight="1" thickBot="1">
      <c r="B15" s="75"/>
      <c r="C15" s="650" t="s">
        <v>1154</v>
      </c>
      <c r="D15" s="650"/>
      <c r="E15" s="650"/>
      <c r="F15" s="650"/>
      <c r="G15" s="650"/>
      <c r="H15" s="650"/>
      <c r="I15" s="650"/>
      <c r="J15" s="650"/>
      <c r="K15" s="650"/>
      <c r="L15" s="650"/>
      <c r="M15" s="650"/>
      <c r="N15" s="650"/>
      <c r="O15" s="650"/>
      <c r="P15" s="650"/>
      <c r="Q15" s="650"/>
      <c r="R15" s="650"/>
      <c r="S15" s="650"/>
      <c r="T15" s="650"/>
      <c r="U15" s="650"/>
      <c r="V15" s="650"/>
      <c r="W15" s="650"/>
      <c r="X15" s="650"/>
      <c r="Y15" s="650"/>
      <c r="Z15" s="650"/>
      <c r="AA15" s="650"/>
      <c r="AB15" s="650"/>
      <c r="AC15" s="650"/>
      <c r="AD15" s="650"/>
      <c r="AE15" s="650"/>
      <c r="AF15" s="650"/>
      <c r="AG15" s="650"/>
      <c r="AH15" s="650"/>
      <c r="AI15" s="650"/>
      <c r="AJ15" s="650"/>
      <c r="AK15" s="650"/>
      <c r="AL15" s="650"/>
      <c r="AM15" s="650"/>
      <c r="AN15" s="650"/>
      <c r="AO15" s="650"/>
      <c r="AP15" s="650"/>
      <c r="AQ15" s="650"/>
      <c r="AR15" s="650"/>
      <c r="AS15" s="650"/>
      <c r="AT15" s="650"/>
      <c r="AU15" s="650"/>
      <c r="AV15" s="650"/>
      <c r="AW15" s="650"/>
      <c r="AX15" s="650"/>
      <c r="AY15" s="650"/>
      <c r="AZ15" s="650"/>
      <c r="BA15" s="650"/>
      <c r="BB15" s="650"/>
      <c r="BC15" s="650"/>
      <c r="BD15" s="650"/>
      <c r="BE15" s="650"/>
      <c r="BF15" s="650"/>
      <c r="BG15" s="650"/>
      <c r="BH15" s="947"/>
      <c r="BI15" s="108"/>
      <c r="BR15" s="65"/>
    </row>
    <row r="16" spans="2:71" ht="22.05" customHeight="1">
      <c r="B16" s="130"/>
      <c r="C16" s="935" t="s">
        <v>81</v>
      </c>
      <c r="D16" s="936"/>
      <c r="E16" s="936"/>
      <c r="F16" s="936"/>
      <c r="G16" s="936"/>
      <c r="H16" s="936"/>
      <c r="I16" s="937"/>
      <c r="J16" s="854"/>
      <c r="K16" s="855"/>
      <c r="L16" s="855"/>
      <c r="M16" s="855"/>
      <c r="N16" s="855"/>
      <c r="O16" s="855"/>
      <c r="P16" s="855"/>
      <c r="Q16" s="855"/>
      <c r="R16" s="855"/>
      <c r="S16" s="856"/>
      <c r="T16" s="835" t="str">
        <f>IF($C$5="","",IF($J$16&lt;&gt;"",IF($J$16=入力リスト!$H$10,IF(COUNTIF(入力リスト!$N$2:$N$4,FALSE)&gt;0,"(4)雇用形態別の男女間賃金差異入力欄(%)に"&amp;入力リスト!$K$11," ○入力済み！"),IF(OR($AA$33&lt;&gt;"",$BC$33&lt;&gt;""),入力リスト!$K$14,入力リスト!$K$7)),入力リスト!$K$6))</f>
        <v/>
      </c>
      <c r="U16" s="836"/>
      <c r="V16" s="836"/>
      <c r="W16" s="836"/>
      <c r="X16" s="836"/>
      <c r="Y16" s="836"/>
      <c r="Z16" s="836"/>
      <c r="AA16" s="836"/>
      <c r="AB16" s="836"/>
      <c r="AC16" s="836"/>
      <c r="AD16" s="836"/>
      <c r="AE16" s="836"/>
      <c r="AF16" s="836"/>
      <c r="AG16" s="836"/>
      <c r="AH16" s="836"/>
      <c r="AI16" s="836"/>
      <c r="AJ16" s="836"/>
      <c r="AK16" s="836"/>
      <c r="AL16" s="836"/>
      <c r="AM16" s="836"/>
      <c r="AN16" s="836"/>
      <c r="AO16" s="836"/>
      <c r="AP16" s="836"/>
      <c r="AQ16" s="836"/>
      <c r="AR16" s="836"/>
      <c r="AS16" s="836"/>
      <c r="AT16" s="836"/>
      <c r="AU16" s="836"/>
      <c r="AV16" s="836"/>
      <c r="AW16" s="836"/>
      <c r="AX16" s="836"/>
      <c r="AY16" s="836"/>
      <c r="AZ16" s="836"/>
      <c r="BA16" s="836"/>
      <c r="BB16" s="836"/>
      <c r="BC16" s="836"/>
      <c r="BD16" s="836"/>
      <c r="BE16" s="836"/>
      <c r="BF16" s="836"/>
      <c r="BG16" s="836"/>
      <c r="BH16" s="78"/>
      <c r="BI16" s="77"/>
      <c r="BJ16" s="77"/>
      <c r="BK16" s="77"/>
    </row>
    <row r="17" spans="2:71" ht="19.95" customHeight="1" thickBot="1">
      <c r="B17" s="130"/>
      <c r="C17" s="849"/>
      <c r="D17" s="850"/>
      <c r="E17" s="850"/>
      <c r="F17" s="850"/>
      <c r="G17" s="850"/>
      <c r="H17" s="850"/>
      <c r="I17" s="851"/>
      <c r="J17" s="857"/>
      <c r="K17" s="858"/>
      <c r="L17" s="858"/>
      <c r="M17" s="858"/>
      <c r="N17" s="858"/>
      <c r="O17" s="858"/>
      <c r="P17" s="858"/>
      <c r="Q17" s="858"/>
      <c r="R17" s="858"/>
      <c r="S17" s="859"/>
      <c r="T17" s="831" t="str">
        <f>IF($T16="","",IF($J16=入力リスト!$H$10,IF(COUNTIF($J$33:$J$35,"")&gt;0,入力リスト!$K$10,IF(COUNTIF(入力リスト!$N$2:$N$4,FALSE)&gt;0,入力リスト!$K$13,"")),""))</f>
        <v/>
      </c>
      <c r="U17" s="832"/>
      <c r="V17" s="832"/>
      <c r="W17" s="832"/>
      <c r="X17" s="832"/>
      <c r="Y17" s="832"/>
      <c r="Z17" s="832"/>
      <c r="AA17" s="832"/>
      <c r="AB17" s="832"/>
      <c r="AC17" s="832"/>
      <c r="AD17" s="832"/>
      <c r="AE17" s="832"/>
      <c r="AF17" s="832"/>
      <c r="AG17" s="832"/>
      <c r="AH17" s="832"/>
      <c r="AI17" s="832"/>
      <c r="AJ17" s="832"/>
      <c r="AK17" s="832"/>
      <c r="AL17" s="832"/>
      <c r="AM17" s="832"/>
      <c r="AN17" s="832"/>
      <c r="AO17" s="832"/>
      <c r="AP17" s="832"/>
      <c r="AQ17" s="832"/>
      <c r="AR17" s="832"/>
      <c r="AS17" s="832"/>
      <c r="AT17" s="832"/>
      <c r="AU17" s="832"/>
      <c r="AV17" s="832"/>
      <c r="AW17" s="832"/>
      <c r="AX17" s="832"/>
      <c r="AY17" s="832"/>
      <c r="AZ17" s="832"/>
      <c r="BA17" s="832"/>
      <c r="BB17" s="832"/>
      <c r="BC17" s="832"/>
      <c r="BD17" s="832"/>
      <c r="BE17" s="832"/>
      <c r="BF17" s="832"/>
      <c r="BG17" s="832"/>
      <c r="BH17" s="79"/>
      <c r="BI17" s="80"/>
      <c r="BJ17" s="77"/>
      <c r="BK17" s="77"/>
    </row>
    <row r="18" spans="2:71" ht="22.95" customHeight="1">
      <c r="B18" s="130"/>
      <c r="C18" s="846" t="s">
        <v>100</v>
      </c>
      <c r="D18" s="847"/>
      <c r="E18" s="847"/>
      <c r="F18" s="847"/>
      <c r="G18" s="847"/>
      <c r="H18" s="847"/>
      <c r="I18" s="848"/>
      <c r="J18" s="854"/>
      <c r="K18" s="855"/>
      <c r="L18" s="855"/>
      <c r="M18" s="855"/>
      <c r="N18" s="855"/>
      <c r="O18" s="855"/>
      <c r="P18" s="855"/>
      <c r="Q18" s="855"/>
      <c r="R18" s="855"/>
      <c r="S18" s="856"/>
      <c r="T18" s="833" t="str">
        <f>IF($C$5="","",IF($J$18&lt;&gt;"",IF($J$18=入力リスト!$H$10,IF(COUNTIF(入力リスト!$O$2:$O$10,FALSE)&gt;0,"(4)勤続年数階級別の男女間賃金差異入力欄(%)に"&amp;入力リスト!$K$11,入力リスト!$K$7),IF($BC$33&lt;&gt;"",入力リスト!$K$14,入力リスト!$K$7)),入力リスト!$K$6))</f>
        <v/>
      </c>
      <c r="U18" s="834"/>
      <c r="V18" s="834"/>
      <c r="W18" s="834"/>
      <c r="X18" s="834"/>
      <c r="Y18" s="834"/>
      <c r="Z18" s="834"/>
      <c r="AA18" s="834"/>
      <c r="AB18" s="834"/>
      <c r="AC18" s="834"/>
      <c r="AD18" s="834"/>
      <c r="AE18" s="834"/>
      <c r="AF18" s="834"/>
      <c r="AG18" s="834"/>
      <c r="AH18" s="834"/>
      <c r="AI18" s="834"/>
      <c r="AJ18" s="834"/>
      <c r="AK18" s="834"/>
      <c r="AL18" s="834"/>
      <c r="AM18" s="834"/>
      <c r="AN18" s="834"/>
      <c r="AO18" s="834"/>
      <c r="AP18" s="834"/>
      <c r="AQ18" s="834"/>
      <c r="AR18" s="834"/>
      <c r="AS18" s="834"/>
      <c r="AT18" s="834"/>
      <c r="AU18" s="834"/>
      <c r="AV18" s="834"/>
      <c r="AW18" s="834"/>
      <c r="AX18" s="834"/>
      <c r="AY18" s="834"/>
      <c r="AZ18" s="834"/>
      <c r="BA18" s="834"/>
      <c r="BB18" s="834"/>
      <c r="BC18" s="834"/>
      <c r="BD18" s="834"/>
      <c r="BE18" s="834"/>
      <c r="BF18" s="834"/>
      <c r="BG18" s="834"/>
      <c r="BH18" s="81"/>
      <c r="BI18" s="77"/>
      <c r="BJ18" s="77"/>
      <c r="BK18" s="77"/>
    </row>
    <row r="19" spans="2:71" ht="16.05" customHeight="1" thickBot="1">
      <c r="B19" s="130"/>
      <c r="C19" s="849"/>
      <c r="D19" s="850"/>
      <c r="E19" s="850"/>
      <c r="F19" s="850"/>
      <c r="G19" s="850"/>
      <c r="H19" s="850"/>
      <c r="I19" s="851"/>
      <c r="J19" s="857"/>
      <c r="K19" s="858"/>
      <c r="L19" s="858"/>
      <c r="M19" s="858"/>
      <c r="N19" s="858"/>
      <c r="O19" s="858"/>
      <c r="P19" s="858"/>
      <c r="Q19" s="858"/>
      <c r="R19" s="858"/>
      <c r="S19" s="859"/>
      <c r="T19" s="831" t="str">
        <f>IF($T18="","",IF($J18=入力リスト!$H$10,IF(COUNTIF($J$37:$J$45,"")&gt;0,入力リスト!$K$10,IF(COUNTIF(入力リスト!$O$2:$O$10,FALSE)&gt;0,入力リスト!$K$13,"")),""))</f>
        <v/>
      </c>
      <c r="U19" s="832"/>
      <c r="V19" s="832"/>
      <c r="W19" s="832"/>
      <c r="X19" s="832"/>
      <c r="Y19" s="832"/>
      <c r="Z19" s="832"/>
      <c r="AA19" s="832"/>
      <c r="AB19" s="832"/>
      <c r="AC19" s="832"/>
      <c r="AD19" s="832"/>
      <c r="AE19" s="832"/>
      <c r="AF19" s="832"/>
      <c r="AG19" s="832"/>
      <c r="AH19" s="832"/>
      <c r="AI19" s="832"/>
      <c r="AJ19" s="832"/>
      <c r="AK19" s="832"/>
      <c r="AL19" s="832"/>
      <c r="AM19" s="832"/>
      <c r="AN19" s="832"/>
      <c r="AO19" s="832"/>
      <c r="AP19" s="832"/>
      <c r="AQ19" s="832"/>
      <c r="AR19" s="832"/>
      <c r="AS19" s="832"/>
      <c r="AT19" s="832"/>
      <c r="AU19" s="832"/>
      <c r="AV19" s="832"/>
      <c r="AW19" s="832"/>
      <c r="AX19" s="832"/>
      <c r="AY19" s="832"/>
      <c r="AZ19" s="832"/>
      <c r="BA19" s="832"/>
      <c r="BB19" s="832"/>
      <c r="BC19" s="832"/>
      <c r="BD19" s="832"/>
      <c r="BE19" s="832"/>
      <c r="BF19" s="832"/>
      <c r="BG19" s="832"/>
      <c r="BH19" s="79"/>
      <c r="BI19" s="80"/>
      <c r="BJ19" s="77"/>
      <c r="BK19" s="77"/>
    </row>
    <row r="20" spans="2:71" ht="22.05" customHeight="1">
      <c r="B20" s="130"/>
      <c r="C20" s="846" t="s">
        <v>82</v>
      </c>
      <c r="D20" s="847"/>
      <c r="E20" s="847"/>
      <c r="F20" s="847"/>
      <c r="G20" s="847"/>
      <c r="H20" s="847"/>
      <c r="I20" s="848"/>
      <c r="J20" s="854"/>
      <c r="K20" s="855"/>
      <c r="L20" s="855"/>
      <c r="M20" s="855"/>
      <c r="N20" s="855"/>
      <c r="O20" s="855"/>
      <c r="P20" s="855"/>
      <c r="Q20" s="855"/>
      <c r="R20" s="855"/>
      <c r="S20" s="856"/>
      <c r="T20" s="835" t="str">
        <f>IF($C$5="","",IF($J$20&lt;&gt;"",IF($J$20=入力リスト!$H$10,IF(COUNTIF(入力リスト!$P$2:$P$5,FALSE)&gt;0,"(4)役職別の男女間賃金差異入力欄(%)に"&amp;入力リスト!$K$11," ○入力済み！"),IF(OR($AA$33&lt;&gt;"",$BC$33&lt;&gt;""),入力リスト!$K$14,入力リスト!$K$7)),入力リスト!$K$6))</f>
        <v/>
      </c>
      <c r="U20" s="836"/>
      <c r="V20" s="836"/>
      <c r="W20" s="836"/>
      <c r="X20" s="836"/>
      <c r="Y20" s="836"/>
      <c r="Z20" s="836"/>
      <c r="AA20" s="836"/>
      <c r="AB20" s="836"/>
      <c r="AC20" s="836"/>
      <c r="AD20" s="836"/>
      <c r="AE20" s="836"/>
      <c r="AF20" s="836"/>
      <c r="AG20" s="836"/>
      <c r="AH20" s="836"/>
      <c r="AI20" s="836"/>
      <c r="AJ20" s="836"/>
      <c r="AK20" s="836"/>
      <c r="AL20" s="836"/>
      <c r="AM20" s="836"/>
      <c r="AN20" s="836"/>
      <c r="AO20" s="836"/>
      <c r="AP20" s="836"/>
      <c r="AQ20" s="836"/>
      <c r="AR20" s="836"/>
      <c r="AS20" s="836"/>
      <c r="AT20" s="836"/>
      <c r="AU20" s="836"/>
      <c r="AV20" s="836"/>
      <c r="AW20" s="836"/>
      <c r="AX20" s="836"/>
      <c r="AY20" s="836"/>
      <c r="AZ20" s="836"/>
      <c r="BA20" s="836"/>
      <c r="BB20" s="836"/>
      <c r="BC20" s="836"/>
      <c r="BD20" s="836"/>
      <c r="BE20" s="836"/>
      <c r="BF20" s="836"/>
      <c r="BG20" s="836"/>
      <c r="BH20" s="81"/>
      <c r="BI20" s="77"/>
      <c r="BJ20" s="77"/>
      <c r="BK20" s="77"/>
    </row>
    <row r="21" spans="2:71" ht="19.95" customHeight="1" thickBot="1">
      <c r="B21" s="130"/>
      <c r="C21" s="849"/>
      <c r="D21" s="850"/>
      <c r="E21" s="850"/>
      <c r="F21" s="850"/>
      <c r="G21" s="850"/>
      <c r="H21" s="850"/>
      <c r="I21" s="851"/>
      <c r="J21" s="857"/>
      <c r="K21" s="858"/>
      <c r="L21" s="858"/>
      <c r="M21" s="858"/>
      <c r="N21" s="858"/>
      <c r="O21" s="858"/>
      <c r="P21" s="858"/>
      <c r="Q21" s="858"/>
      <c r="R21" s="858"/>
      <c r="S21" s="859"/>
      <c r="T21" s="831" t="str">
        <f>IF($T20="","",IF($J20=入力リスト!$H$10,IF(COUNTIF($J$47:$J$50,"")&gt;0,入力リスト!$K$10,IF(COUNTIF(入力リスト!$P$2:$P$5,FALSE)&gt;0,入力リスト!$K$13,"")),""))</f>
        <v/>
      </c>
      <c r="U21" s="832"/>
      <c r="V21" s="832"/>
      <c r="W21" s="832"/>
      <c r="X21" s="832"/>
      <c r="Y21" s="832"/>
      <c r="Z21" s="832"/>
      <c r="AA21" s="832"/>
      <c r="AB21" s="832"/>
      <c r="AC21" s="832"/>
      <c r="AD21" s="832"/>
      <c r="AE21" s="832"/>
      <c r="AF21" s="832"/>
      <c r="AG21" s="832"/>
      <c r="AH21" s="832"/>
      <c r="AI21" s="832"/>
      <c r="AJ21" s="832"/>
      <c r="AK21" s="832"/>
      <c r="AL21" s="832"/>
      <c r="AM21" s="832"/>
      <c r="AN21" s="832"/>
      <c r="AO21" s="832"/>
      <c r="AP21" s="832"/>
      <c r="AQ21" s="832"/>
      <c r="AR21" s="832"/>
      <c r="AS21" s="832"/>
      <c r="AT21" s="832"/>
      <c r="AU21" s="832"/>
      <c r="AV21" s="832"/>
      <c r="AW21" s="832"/>
      <c r="AX21" s="832"/>
      <c r="AY21" s="832"/>
      <c r="AZ21" s="832"/>
      <c r="BA21" s="832"/>
      <c r="BB21" s="832"/>
      <c r="BC21" s="832"/>
      <c r="BD21" s="832"/>
      <c r="BE21" s="832"/>
      <c r="BF21" s="832"/>
      <c r="BG21" s="832"/>
      <c r="BH21" s="79"/>
      <c r="BI21" s="80"/>
      <c r="BJ21" s="77"/>
      <c r="BK21" s="77"/>
    </row>
    <row r="22" spans="2:71" ht="22.95" customHeight="1">
      <c r="B22" s="130"/>
      <c r="C22" s="870" t="s">
        <v>412</v>
      </c>
      <c r="D22" s="871"/>
      <c r="E22" s="871"/>
      <c r="F22" s="871"/>
      <c r="G22" s="871"/>
      <c r="H22" s="871"/>
      <c r="I22" s="872"/>
      <c r="J22" s="854"/>
      <c r="K22" s="855"/>
      <c r="L22" s="855"/>
      <c r="M22" s="855"/>
      <c r="N22" s="855"/>
      <c r="O22" s="855"/>
      <c r="P22" s="855"/>
      <c r="Q22" s="855"/>
      <c r="R22" s="855"/>
      <c r="S22" s="856"/>
      <c r="T22" s="833" t="str">
        <f>IF($C$5="","",IF($J$22&lt;&gt;"",IF($J$22=入力リスト!$H$10,IF(COUNTIF(入力リスト!$Q$2:$T$5,FALSE)&gt;0,"(4)「男女間賃金差異が生じる要因」の男女間賃金差異入力欄(%)に"&amp;入力リスト!$K$11,入力リスト!$K$7),IF($BC$33&lt;&gt;"",入力リスト!$K$14,入力リスト!$K$7)),入力リスト!$K$6))</f>
        <v/>
      </c>
      <c r="U22" s="834"/>
      <c r="V22" s="834"/>
      <c r="W22" s="834"/>
      <c r="X22" s="834"/>
      <c r="Y22" s="834"/>
      <c r="Z22" s="834"/>
      <c r="AA22" s="834"/>
      <c r="AB22" s="834"/>
      <c r="AC22" s="834"/>
      <c r="AD22" s="834"/>
      <c r="AE22" s="834"/>
      <c r="AF22" s="834"/>
      <c r="AG22" s="834"/>
      <c r="AH22" s="834"/>
      <c r="AI22" s="834"/>
      <c r="AJ22" s="834"/>
      <c r="AK22" s="834"/>
      <c r="AL22" s="834"/>
      <c r="AM22" s="834"/>
      <c r="AN22" s="834"/>
      <c r="AO22" s="834"/>
      <c r="AP22" s="834"/>
      <c r="AQ22" s="834"/>
      <c r="AR22" s="834"/>
      <c r="AS22" s="834"/>
      <c r="AT22" s="834"/>
      <c r="AU22" s="834"/>
      <c r="AV22" s="834"/>
      <c r="AW22" s="834"/>
      <c r="AX22" s="834"/>
      <c r="AY22" s="834"/>
      <c r="AZ22" s="834"/>
      <c r="BA22" s="834"/>
      <c r="BB22" s="834"/>
      <c r="BC22" s="834"/>
      <c r="BD22" s="834"/>
      <c r="BE22" s="834"/>
      <c r="BF22" s="834"/>
      <c r="BG22" s="834"/>
      <c r="BH22" s="82"/>
      <c r="BI22" s="83"/>
      <c r="BJ22" s="83"/>
      <c r="BK22" s="83"/>
    </row>
    <row r="23" spans="2:71" ht="19.95" customHeight="1">
      <c r="B23" s="130"/>
      <c r="C23" s="873"/>
      <c r="D23" s="874"/>
      <c r="E23" s="874"/>
      <c r="F23" s="874"/>
      <c r="G23" s="874"/>
      <c r="H23" s="874"/>
      <c r="I23" s="875"/>
      <c r="J23" s="857"/>
      <c r="K23" s="858"/>
      <c r="L23" s="858"/>
      <c r="M23" s="858"/>
      <c r="N23" s="858"/>
      <c r="O23" s="858"/>
      <c r="P23" s="858"/>
      <c r="Q23" s="858"/>
      <c r="R23" s="858"/>
      <c r="S23" s="859"/>
      <c r="T23" s="831" t="str">
        <f>IF($T22="","",IF($J22=入力リスト!$H$10,IF(COUNTIF($J$54:$J$57,"")+COUNTIF($L$54:$L$57,"")+COUNTIF($N$54:$N$55,"")+COUNTIF($N$57:$N$57,"")+COUNTIF($P$54:$P$55,"")+COUNTIF($P$57:$P$57,"")&gt;0,入力リスト!$K$10,IF(COUNTIF(入力リスト!$Q$2:$T$5,FALSE)&gt;0,入力リスト!$K$13,"")),""))</f>
        <v/>
      </c>
      <c r="U23" s="832"/>
      <c r="V23" s="832"/>
      <c r="W23" s="832"/>
      <c r="X23" s="832"/>
      <c r="Y23" s="832"/>
      <c r="Z23" s="832"/>
      <c r="AA23" s="832"/>
      <c r="AB23" s="832"/>
      <c r="AC23" s="832"/>
      <c r="AD23" s="832"/>
      <c r="AE23" s="832"/>
      <c r="AF23" s="832"/>
      <c r="AG23" s="832"/>
      <c r="AH23" s="832"/>
      <c r="AI23" s="832"/>
      <c r="AJ23" s="832"/>
      <c r="AK23" s="832"/>
      <c r="AL23" s="832"/>
      <c r="AM23" s="832"/>
      <c r="AN23" s="832"/>
      <c r="AO23" s="832"/>
      <c r="AP23" s="832"/>
      <c r="AQ23" s="832"/>
      <c r="AR23" s="832"/>
      <c r="AS23" s="832"/>
      <c r="AT23" s="832"/>
      <c r="AU23" s="832"/>
      <c r="AV23" s="832"/>
      <c r="AW23" s="832"/>
      <c r="AX23" s="832"/>
      <c r="AY23" s="832"/>
      <c r="AZ23" s="832"/>
      <c r="BA23" s="832"/>
      <c r="BB23" s="832"/>
      <c r="BC23" s="832"/>
      <c r="BD23" s="832"/>
      <c r="BE23" s="832"/>
      <c r="BF23" s="832"/>
      <c r="BG23" s="832"/>
      <c r="BH23" s="79"/>
      <c r="BI23" s="80"/>
      <c r="BJ23" s="83"/>
      <c r="BK23" s="83"/>
    </row>
    <row r="24" spans="2:71" ht="22.05" customHeight="1">
      <c r="B24" s="130"/>
      <c r="C24" s="846" t="s">
        <v>126</v>
      </c>
      <c r="D24" s="847"/>
      <c r="E24" s="847"/>
      <c r="F24" s="847"/>
      <c r="G24" s="847"/>
      <c r="H24" s="847"/>
      <c r="I24" s="848"/>
      <c r="J24" s="876"/>
      <c r="K24" s="877"/>
      <c r="L24" s="877"/>
      <c r="M24" s="877"/>
      <c r="N24" s="877"/>
      <c r="O24" s="877"/>
      <c r="P24" s="877"/>
      <c r="Q24" s="877"/>
      <c r="R24" s="877"/>
      <c r="S24" s="878"/>
      <c r="T24" s="829" t="str">
        <f>IF($C$5="","",IF(AND($J$18="",$J$22=""),"",IF(AND($J$18&lt;&gt;入力リスト!$H$9,$J$22&lt;&gt;入力リスト!$H$9),入力リスト!$K$8,IF(J24&lt;&gt;"",入力リスト!$K$7,入力リスト!$K$9))))</f>
        <v/>
      </c>
      <c r="U24" s="830"/>
      <c r="V24" s="830"/>
      <c r="W24" s="830"/>
      <c r="X24" s="830"/>
      <c r="Y24" s="830"/>
      <c r="Z24" s="830"/>
      <c r="AA24" s="830"/>
      <c r="AB24" s="830"/>
      <c r="AC24" s="830"/>
      <c r="AD24" s="830"/>
      <c r="AE24" s="830"/>
      <c r="AF24" s="830"/>
      <c r="AG24" s="830"/>
      <c r="AH24" s="830"/>
      <c r="AI24" s="830"/>
      <c r="AJ24" s="830"/>
      <c r="AK24" s="830"/>
      <c r="AL24" s="830"/>
      <c r="AM24" s="830"/>
      <c r="AN24" s="830"/>
      <c r="AO24" s="830"/>
      <c r="AP24" s="830"/>
      <c r="AQ24" s="830"/>
      <c r="AR24" s="830"/>
      <c r="AS24" s="830"/>
      <c r="AT24" s="830"/>
      <c r="AU24" s="830"/>
      <c r="AV24" s="830"/>
      <c r="AW24" s="830"/>
      <c r="AX24" s="830"/>
      <c r="AY24" s="830"/>
      <c r="AZ24" s="830"/>
      <c r="BA24" s="830"/>
      <c r="BB24" s="830"/>
      <c r="BC24" s="830"/>
      <c r="BD24" s="830"/>
      <c r="BE24" s="830"/>
      <c r="BF24" s="830"/>
      <c r="BG24" s="830"/>
      <c r="BH24" s="140"/>
      <c r="BI24" s="141"/>
      <c r="BJ24" s="142"/>
      <c r="BK24" s="142"/>
    </row>
    <row r="25" spans="2:71" ht="19.95" customHeight="1">
      <c r="B25" s="130"/>
      <c r="C25" s="849"/>
      <c r="D25" s="850"/>
      <c r="E25" s="850"/>
      <c r="F25" s="850"/>
      <c r="G25" s="850"/>
      <c r="H25" s="850"/>
      <c r="I25" s="851"/>
      <c r="J25" s="879"/>
      <c r="K25" s="880"/>
      <c r="L25" s="880"/>
      <c r="M25" s="880"/>
      <c r="N25" s="880"/>
      <c r="O25" s="880"/>
      <c r="P25" s="880"/>
      <c r="Q25" s="880"/>
      <c r="R25" s="880"/>
      <c r="S25" s="881"/>
      <c r="T25" s="892" t="str">
        <f>IF($C$5="","",IF(AND($T$24=入力リスト!$K$7,OR(DAY(J24)=1,DAY(J24)=16,DAY(J24)=21)),"「基準日」は、前年度末日、つまり今年度開始日の「前日」です。ご注意ください。",IF(OR($J$18=入力リスト!$H$9,$J$22=入力リスト!$H$9),"  ※「基準日」とは、採用者数・一月当たりの平均残業時間（直近1年間）・労働者数・平均勤続年数・管理職数を算出する際の基準となる日のこと。","")))</f>
        <v/>
      </c>
      <c r="U25" s="893"/>
      <c r="V25" s="893"/>
      <c r="W25" s="893"/>
      <c r="X25" s="893"/>
      <c r="Y25" s="893"/>
      <c r="Z25" s="893"/>
      <c r="AA25" s="893"/>
      <c r="AB25" s="893"/>
      <c r="AC25" s="893"/>
      <c r="AD25" s="893"/>
      <c r="AE25" s="893"/>
      <c r="AF25" s="893"/>
      <c r="AG25" s="893"/>
      <c r="AH25" s="893"/>
      <c r="AI25" s="893"/>
      <c r="AJ25" s="893"/>
      <c r="AK25" s="893"/>
      <c r="AL25" s="893"/>
      <c r="AM25" s="893"/>
      <c r="AN25" s="893"/>
      <c r="AO25" s="893"/>
      <c r="AP25" s="893"/>
      <c r="AQ25" s="893"/>
      <c r="AR25" s="893"/>
      <c r="AS25" s="893"/>
      <c r="AT25" s="893"/>
      <c r="AU25" s="893"/>
      <c r="AV25" s="893"/>
      <c r="AW25" s="893"/>
      <c r="AX25" s="893"/>
      <c r="AY25" s="893"/>
      <c r="AZ25" s="893"/>
      <c r="BA25" s="893"/>
      <c r="BB25" s="893"/>
      <c r="BC25" s="893"/>
      <c r="BD25" s="893"/>
      <c r="BE25" s="893"/>
      <c r="BF25" s="893"/>
      <c r="BG25" s="893"/>
      <c r="BH25" s="84"/>
      <c r="BI25" s="85"/>
      <c r="BJ25" s="142"/>
      <c r="BK25" s="142"/>
    </row>
    <row r="26" spans="2:71" ht="42" customHeight="1" thickBot="1">
      <c r="B26" s="130"/>
      <c r="C26" s="882" t="s">
        <v>145</v>
      </c>
      <c r="D26" s="883"/>
      <c r="E26" s="883"/>
      <c r="F26" s="883"/>
      <c r="G26" s="883"/>
      <c r="H26" s="883"/>
      <c r="I26" s="883"/>
      <c r="J26" s="948"/>
      <c r="K26" s="949"/>
      <c r="L26" s="949"/>
      <c r="M26" s="949"/>
      <c r="N26" s="949"/>
      <c r="O26" s="949"/>
      <c r="P26" s="949"/>
      <c r="Q26" s="949"/>
      <c r="R26" s="949"/>
      <c r="S26" s="950"/>
      <c r="T26" s="890" t="str">
        <f>"←（任意）"&amp;C24&amp;"から直近1年間の採用者数の算出が困難な場合、男女別労働者割合で代替が可能です。『使用する』を選択してください。"</f>
        <v>←（任意）基準日から直近1年間の採用者数の算出が困難な場合、男女別労働者割合で代替が可能です。『使用する』を選択してください。</v>
      </c>
      <c r="U26" s="891"/>
      <c r="V26" s="891"/>
      <c r="W26" s="891"/>
      <c r="X26" s="891"/>
      <c r="Y26" s="891"/>
      <c r="Z26" s="891"/>
      <c r="AA26" s="891"/>
      <c r="AB26" s="891"/>
      <c r="AC26" s="891"/>
      <c r="AD26" s="891"/>
      <c r="AE26" s="891"/>
      <c r="AF26" s="891"/>
      <c r="AG26" s="891"/>
      <c r="AH26" s="891"/>
      <c r="AI26" s="891"/>
      <c r="AJ26" s="891"/>
      <c r="AK26" s="891"/>
      <c r="AL26" s="891"/>
      <c r="AM26" s="891"/>
      <c r="AN26" s="891"/>
      <c r="AO26" s="891"/>
      <c r="AP26" s="891"/>
      <c r="AQ26" s="891"/>
      <c r="AR26" s="891"/>
      <c r="AS26" s="891"/>
      <c r="AT26" s="891"/>
      <c r="AU26" s="891"/>
      <c r="AV26" s="891"/>
      <c r="AW26" s="891"/>
      <c r="AX26" s="891"/>
      <c r="AY26" s="891"/>
      <c r="AZ26" s="891"/>
      <c r="BA26" s="891"/>
      <c r="BB26" s="891"/>
      <c r="BC26" s="891"/>
      <c r="BD26" s="891"/>
      <c r="BE26" s="891"/>
      <c r="BF26" s="891"/>
      <c r="BG26" s="891"/>
      <c r="BH26" s="86"/>
      <c r="BI26" s="87"/>
      <c r="BJ26" s="83"/>
      <c r="BK26" s="83"/>
      <c r="BL26" s="143"/>
      <c r="BM26" s="143"/>
      <c r="BN26" s="143"/>
      <c r="BO26" s="143"/>
      <c r="BP26" s="143"/>
      <c r="BQ26" s="143"/>
    </row>
    <row r="27" spans="2:71" ht="4.05" customHeight="1" thickBot="1">
      <c r="B27" s="133"/>
      <c r="C27" s="88"/>
      <c r="D27" s="144"/>
      <c r="E27" s="144"/>
      <c r="F27" s="145"/>
      <c r="G27" s="145"/>
      <c r="H27" s="886"/>
      <c r="I27" s="886"/>
      <c r="J27" s="146"/>
      <c r="K27" s="146"/>
      <c r="L27" s="146"/>
      <c r="M27" s="146"/>
      <c r="N27" s="146"/>
      <c r="O27" s="146"/>
      <c r="P27" s="146"/>
      <c r="Q27" s="146"/>
      <c r="R27" s="146"/>
      <c r="S27" s="145"/>
      <c r="T27" s="145"/>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121"/>
      <c r="BL27" s="147"/>
      <c r="BM27" s="147"/>
      <c r="BN27" s="147"/>
      <c r="BO27" s="147"/>
      <c r="BP27" s="147"/>
      <c r="BQ27" s="147"/>
    </row>
    <row r="28" spans="2:71" ht="4.95" customHeight="1" thickTop="1">
      <c r="B28" s="130"/>
      <c r="C28" s="89"/>
      <c r="D28" s="148"/>
      <c r="E28" s="148"/>
      <c r="F28" s="149"/>
      <c r="G28" s="149"/>
      <c r="H28" s="150"/>
      <c r="I28" s="150"/>
      <c r="J28" s="151"/>
      <c r="K28" s="151"/>
      <c r="L28" s="151"/>
      <c r="M28" s="151"/>
      <c r="N28" s="151"/>
      <c r="O28" s="151"/>
      <c r="P28" s="151"/>
      <c r="Q28" s="151"/>
      <c r="R28" s="151"/>
      <c r="S28" s="149"/>
      <c r="T28" s="149"/>
      <c r="BH28" s="124"/>
      <c r="BL28" s="147"/>
      <c r="BM28" s="147"/>
      <c r="BN28" s="147"/>
      <c r="BO28" s="147"/>
      <c r="BP28" s="147"/>
      <c r="BQ28" s="147"/>
    </row>
    <row r="29" spans="2:71" ht="25.95" customHeight="1" thickBot="1">
      <c r="B29" s="239" t="s">
        <v>95</v>
      </c>
      <c r="C29" s="76" t="s">
        <v>118</v>
      </c>
      <c r="D29" s="148"/>
      <c r="E29" s="148"/>
      <c r="F29" s="149"/>
      <c r="G29" s="149"/>
      <c r="H29" s="150"/>
      <c r="I29" s="150"/>
      <c r="J29" s="151"/>
      <c r="K29" s="151"/>
      <c r="L29" s="151"/>
      <c r="M29" s="151"/>
      <c r="N29" s="151"/>
      <c r="O29" s="151"/>
      <c r="P29" s="151"/>
      <c r="Q29" s="151"/>
      <c r="R29" s="151"/>
      <c r="S29" s="151"/>
      <c r="T29" s="151"/>
      <c r="U29" s="151"/>
      <c r="V29" s="151"/>
      <c r="W29" s="151"/>
      <c r="X29" s="151"/>
      <c r="Y29" s="151"/>
      <c r="BH29" s="124"/>
      <c r="BL29" s="918"/>
      <c r="BM29" s="918"/>
      <c r="BN29" s="918"/>
      <c r="BO29" s="918"/>
      <c r="BP29" s="918"/>
      <c r="BQ29" s="918"/>
    </row>
    <row r="30" spans="2:71" ht="139.05000000000001" customHeight="1" thickBot="1">
      <c r="B30" s="75"/>
      <c r="C30" s="951" t="str">
        <f>IF($C$5=入力リスト!$C$4,"",IF(COUNTIF($J$16:$S$23,入力リスト!$H$10)=4,入力リスト!$K$15,IF(COUNTIF($J$16:$S$23,入力リスト!$H$9)=4,入力リスト!$K$16,"①"&amp;入力リスト!$K$15&amp;CHAR(10)&amp;"②"&amp;入力リスト!$K$16)))</f>
        <v>①男女間賃金差異(%)の入力欄に、貴社で算出した数値を入力してください。
②「貴社」・「調整」欄には、参考値との比較にあたり、以下の分類を行いながら、入力又は選択してください。
　・貴社の雇用形態 ：「正規雇用」「非正規雇用」に分類
　・貴社の役職          ：「部長級」「課長級」「係長級」「非役職」に分類　
      ※（３）「基準日（例: 2025年2月15日）」から遡って1年間のうちに該当者がいない役職名については、入力しないでください。
　・貴社の性別表記 ：「男」「女」
（例…貴社の雇用形態に「無期雇用社員」がある場合：「貴社」欄に「無期雇用社員」と入力。「変換後」欄から該当する雇用形態（「非正規雇用」）を選択。）</v>
      </c>
      <c r="D30" s="952"/>
      <c r="E30" s="952"/>
      <c r="F30" s="952"/>
      <c r="G30" s="952"/>
      <c r="H30" s="952"/>
      <c r="I30" s="952"/>
      <c r="J30" s="952"/>
      <c r="K30" s="952"/>
      <c r="L30" s="952"/>
      <c r="M30" s="952"/>
      <c r="N30" s="952"/>
      <c r="O30" s="952"/>
      <c r="P30" s="952"/>
      <c r="Q30" s="952"/>
      <c r="R30" s="952"/>
      <c r="S30" s="952"/>
      <c r="T30" s="952"/>
      <c r="U30" s="952"/>
      <c r="V30" s="952"/>
      <c r="W30" s="952"/>
      <c r="X30" s="952"/>
      <c r="Y30" s="952"/>
      <c r="Z30" s="952"/>
      <c r="AA30" s="952"/>
      <c r="AB30" s="952"/>
      <c r="AC30" s="952"/>
      <c r="AD30" s="952"/>
      <c r="AE30" s="952"/>
      <c r="AF30" s="952"/>
      <c r="AG30" s="952"/>
      <c r="AH30" s="952"/>
      <c r="AI30" s="952"/>
      <c r="AJ30" s="952"/>
      <c r="AK30" s="952"/>
      <c r="AL30" s="952"/>
      <c r="AM30" s="952"/>
      <c r="AN30" s="952"/>
      <c r="AO30" s="952"/>
      <c r="AP30" s="952"/>
      <c r="AQ30" s="952"/>
      <c r="AR30" s="952"/>
      <c r="AS30" s="952"/>
      <c r="AT30" s="952"/>
      <c r="AU30" s="952"/>
      <c r="AV30" s="952"/>
      <c r="AW30" s="952"/>
      <c r="AX30" s="952"/>
      <c r="AY30" s="952"/>
      <c r="AZ30" s="952"/>
      <c r="BA30" s="952"/>
      <c r="BB30" s="952"/>
      <c r="BC30" s="952"/>
      <c r="BD30" s="952"/>
      <c r="BE30" s="953"/>
      <c r="BF30" s="110"/>
      <c r="BG30" s="110"/>
      <c r="BH30" s="124"/>
      <c r="BK30" s="1054" t="str">
        <f>IF(AND(C5=入力リスト!$C$3,COUNTIF($J$16:$S$22,入力リスト!$H$10)&gt;0),"男女間賃金差異の算出方法（計算式）について","")</f>
        <v/>
      </c>
      <c r="BL30" s="1054"/>
      <c r="BM30" s="1054"/>
      <c r="BN30" s="1054"/>
      <c r="BO30" s="1054"/>
      <c r="BP30" s="1054"/>
      <c r="BQ30" s="1054"/>
      <c r="BR30" s="1054"/>
      <c r="BS30" s="1054"/>
    </row>
    <row r="31" spans="2:71" ht="34.950000000000003" customHeight="1" thickBot="1">
      <c r="B31" s="152"/>
      <c r="C31" s="1062" t="s">
        <v>1130</v>
      </c>
      <c r="D31" s="1063"/>
      <c r="E31" s="1063"/>
      <c r="F31" s="1063"/>
      <c r="G31" s="1063"/>
      <c r="H31" s="1063"/>
      <c r="I31" s="1063"/>
      <c r="J31" s="1063"/>
      <c r="K31" s="1063"/>
      <c r="L31" s="1063"/>
      <c r="M31" s="1063"/>
      <c r="N31" s="1063"/>
      <c r="O31" s="1063"/>
      <c r="P31" s="1063"/>
      <c r="R31" s="151"/>
      <c r="S31" s="921" t="s">
        <v>122</v>
      </c>
      <c r="T31" s="921"/>
      <c r="U31" s="921"/>
      <c r="V31" s="921"/>
      <c r="W31" s="921"/>
      <c r="X31" s="921"/>
      <c r="Y31" s="921"/>
      <c r="Z31" s="921"/>
      <c r="AA31" s="921"/>
      <c r="AB31" s="921"/>
      <c r="AC31" s="921"/>
      <c r="AD31" s="921"/>
      <c r="AE31" s="921"/>
      <c r="AF31" s="153"/>
      <c r="AG31" s="153"/>
      <c r="AH31" s="154" t="s">
        <v>123</v>
      </c>
      <c r="AI31" s="153"/>
      <c r="AJ31" s="153"/>
      <c r="AK31" s="153"/>
      <c r="AL31" s="153"/>
      <c r="AM31" s="153"/>
      <c r="AN31" s="153"/>
      <c r="AO31" s="153"/>
      <c r="AP31" s="153"/>
      <c r="AQ31" s="153"/>
      <c r="AR31" s="153"/>
      <c r="AS31" s="153"/>
      <c r="AT31" s="153"/>
      <c r="AU31" s="153"/>
      <c r="AV31" s="153"/>
      <c r="AW31" s="154" t="s">
        <v>124</v>
      </c>
      <c r="AX31" s="153"/>
      <c r="AY31" s="153"/>
      <c r="AZ31" s="153"/>
      <c r="BA31" s="153"/>
      <c r="BH31" s="124"/>
      <c r="BK31" s="240"/>
      <c r="BL31" s="725" t="str">
        <f>IF(AND(C5=入力リスト!$C$3,COUNTIF($J$16:$S$22,入力リスト!$H$10)&gt;0),"「以下の手順で雇用形態別に「男女間賃金差異」を算出します。
　１.　男女別に「平均年間賃金」を算出する（直近一事業年度の賃金総額 ÷ 人員数）
　２.　女性の平均年間賃金 ÷ 男性の平均年間賃金× 100％
詳しくは、厚生労働省の女性活躍推進法特集ページ内「男女の賃金の差異の情報公表について」に掲載された「解説資料：女性活躍推進法に基づく男女の賃金の差異の情報公表について」をご覧ください。","")</f>
        <v/>
      </c>
      <c r="BM31" s="726"/>
      <c r="BN31" s="726"/>
      <c r="BO31" s="726"/>
      <c r="BP31" s="726"/>
      <c r="BQ31" s="726"/>
      <c r="BR31" s="726"/>
      <c r="BS31" s="727"/>
    </row>
    <row r="32" spans="2:71" ht="19.5" customHeight="1" thickBot="1">
      <c r="B32" s="1030" t="s">
        <v>125</v>
      </c>
      <c r="C32" s="1031" t="s">
        <v>120</v>
      </c>
      <c r="D32" s="1032"/>
      <c r="E32" s="1032"/>
      <c r="F32" s="1032"/>
      <c r="G32" s="1032"/>
      <c r="H32" s="1032"/>
      <c r="I32" s="1032"/>
      <c r="J32" s="1032"/>
      <c r="K32" s="1032"/>
      <c r="L32" s="1032"/>
      <c r="M32" s="1032"/>
      <c r="N32" s="1032"/>
      <c r="O32" s="1032"/>
      <c r="P32" s="1033"/>
      <c r="Q32" s="155"/>
      <c r="S32" s="905" t="s">
        <v>119</v>
      </c>
      <c r="T32" s="906"/>
      <c r="U32" s="906"/>
      <c r="V32" s="906"/>
      <c r="W32" s="906" t="s">
        <v>36</v>
      </c>
      <c r="X32" s="906"/>
      <c r="Y32" s="906"/>
      <c r="Z32" s="915"/>
      <c r="AA32" s="156"/>
      <c r="AB32" s="156"/>
      <c r="AC32" s="156"/>
      <c r="AD32" s="156"/>
      <c r="AE32" s="156"/>
      <c r="AF32" s="156"/>
      <c r="AG32" s="156"/>
      <c r="AH32" s="1060" t="s">
        <v>119</v>
      </c>
      <c r="AI32" s="1061"/>
      <c r="AJ32" s="1061"/>
      <c r="AK32" s="1061"/>
      <c r="AL32" s="1061" t="s">
        <v>36</v>
      </c>
      <c r="AM32" s="1061"/>
      <c r="AN32" s="1061"/>
      <c r="AO32" s="1064"/>
      <c r="AP32" s="156"/>
      <c r="AQ32" s="91"/>
      <c r="AR32" s="91"/>
      <c r="AS32" s="91"/>
      <c r="AT32" s="92"/>
      <c r="AU32" s="156"/>
      <c r="AV32" s="156"/>
      <c r="AW32" s="914" t="s">
        <v>119</v>
      </c>
      <c r="AX32" s="896"/>
      <c r="AY32" s="896"/>
      <c r="AZ32" s="896" t="s">
        <v>36</v>
      </c>
      <c r="BA32" s="896"/>
      <c r="BB32" s="897"/>
      <c r="BC32" s="156"/>
      <c r="BD32" s="156"/>
      <c r="BE32" s="156"/>
      <c r="BF32" s="156"/>
      <c r="BG32" s="156"/>
      <c r="BH32" s="124"/>
      <c r="BL32" s="728"/>
      <c r="BM32" s="729"/>
      <c r="BN32" s="729"/>
      <c r="BO32" s="729"/>
      <c r="BP32" s="729"/>
      <c r="BQ32" s="729"/>
      <c r="BR32" s="729"/>
      <c r="BS32" s="730"/>
    </row>
    <row r="33" spans="2:71" ht="19.5" customHeight="1" thickTop="1">
      <c r="B33" s="1030"/>
      <c r="C33" s="884" t="s">
        <v>30</v>
      </c>
      <c r="D33" s="885"/>
      <c r="E33" s="885"/>
      <c r="F33" s="885"/>
      <c r="G33" s="885"/>
      <c r="H33" s="885"/>
      <c r="I33" s="885"/>
      <c r="J33" s="887"/>
      <c r="K33" s="888"/>
      <c r="L33" s="888"/>
      <c r="M33" s="888"/>
      <c r="N33" s="888"/>
      <c r="O33" s="888"/>
      <c r="P33" s="889"/>
      <c r="Q33" s="157"/>
      <c r="R33" s="158"/>
      <c r="S33" s="810" t="s">
        <v>27</v>
      </c>
      <c r="T33" s="811"/>
      <c r="U33" s="811"/>
      <c r="V33" s="811"/>
      <c r="W33" s="811"/>
      <c r="X33" s="811"/>
      <c r="Y33" s="811"/>
      <c r="Z33" s="812"/>
      <c r="AA33" s="967" t="str">
        <f>IF(J16="","",IF(AND(T92="",T93="",T94="",T95=""),"","←")&amp;T92&amp;IF(T93="","",IF(T92="",T93,CHAR(10)&amp;CHAR(10)&amp;T93))&amp;IF(T94="","",IF(AND(T92="",T93=""),T94,CHAR(10)&amp;CHAR(10)&amp;T94))&amp;IF(T95="","",IF(AND(T92="",T93="",T94=""),T95,CHAR(10)&amp;CHAR(10)&amp;T95)))</f>
        <v/>
      </c>
      <c r="AB33" s="967"/>
      <c r="AC33" s="967"/>
      <c r="AD33" s="967"/>
      <c r="AE33" s="967"/>
      <c r="AF33" s="158"/>
      <c r="AG33" s="158"/>
      <c r="AH33" s="810" t="s">
        <v>27</v>
      </c>
      <c r="AI33" s="811"/>
      <c r="AJ33" s="811"/>
      <c r="AK33" s="811"/>
      <c r="AL33" s="811"/>
      <c r="AM33" s="811"/>
      <c r="AN33" s="811"/>
      <c r="AO33" s="812"/>
      <c r="AP33" s="974" t="str">
        <f>IF(J20="","",IF(OR(J20="",J20=入力リスト!H10),"",IF(AND(AH92="",AH93="",AH94="",AH95=""),"","←")&amp;IF(AH92="","",AH92)&amp;IF(AH93="","",IF(AH92="",AH93,CHAR(10)&amp;CHAR(10)&amp;AH93))&amp;IF(AH94="","",IF(AND(AH92="",AH93=""),AH94,CHAR(10)&amp;CHAR(10)&amp;AH94))&amp;IF(AH95="","",IF(AND(AH92="",AH93="",AH94=""),AH95,CHAR(10)&amp;CHAR(10)&amp;AH95))))</f>
        <v/>
      </c>
      <c r="AQ33" s="974"/>
      <c r="AR33" s="974"/>
      <c r="AS33" s="974"/>
      <c r="AT33" s="974"/>
      <c r="AU33" s="158"/>
      <c r="AV33" s="158"/>
      <c r="AW33" s="911" t="s">
        <v>27</v>
      </c>
      <c r="AX33" s="912"/>
      <c r="AY33" s="912"/>
      <c r="AZ33" s="912"/>
      <c r="BA33" s="912"/>
      <c r="BB33" s="913"/>
      <c r="BC33" s="956" t="str">
        <f>IF(AND(J16="",J20="",J22="",J18=""),"",IF(AND(OR(J16="",J16=入力リスト!H10),OR(J20="",J20=入力リスト!H10),OR(J22="",J22=入力リスト!H10),OR(J18="",J18=入力リスト!H10)),"",IF(AND(AX92="",AX93="",AX94="",AX95=""),"","←")&amp;IF(AX92="","",AX92)&amp;IF(AX93="","",IF(AX92="",AX93,CHAR(10)&amp;CHAR(10)&amp;AX93))&amp;IF(AX94="","",IF(AND(AX92="",AX93=""),AX94,CHAR(10)&amp;CHAR(10)&amp;AX94))&amp;IF(AX95="","",IF(AND(AX92="",AX93="",AX94=""),AX95,CHAR(10)&amp;CHAR(10)&amp;AX95))))</f>
        <v/>
      </c>
      <c r="BD33" s="956"/>
      <c r="BE33" s="956"/>
      <c r="BF33" s="956"/>
      <c r="BG33" s="956"/>
      <c r="BH33" s="93"/>
      <c r="BI33" s="94"/>
      <c r="BJ33" s="94"/>
      <c r="BK33" s="94"/>
      <c r="BL33" s="728"/>
      <c r="BM33" s="729"/>
      <c r="BN33" s="729"/>
      <c r="BO33" s="729"/>
      <c r="BP33" s="729"/>
      <c r="BQ33" s="729"/>
      <c r="BR33" s="729"/>
      <c r="BS33" s="730"/>
    </row>
    <row r="34" spans="2:71" s="160" customFormat="1" ht="19.5" customHeight="1">
      <c r="B34" s="1030"/>
      <c r="C34" s="954" t="s">
        <v>1194</v>
      </c>
      <c r="D34" s="955"/>
      <c r="E34" s="955"/>
      <c r="F34" s="955"/>
      <c r="G34" s="955"/>
      <c r="H34" s="955"/>
      <c r="I34" s="955"/>
      <c r="J34" s="887"/>
      <c r="K34" s="888"/>
      <c r="L34" s="888"/>
      <c r="M34" s="888"/>
      <c r="N34" s="888"/>
      <c r="O34" s="888"/>
      <c r="P34" s="889"/>
      <c r="Q34" s="95"/>
      <c r="R34" s="96"/>
      <c r="S34" s="808" t="s">
        <v>25</v>
      </c>
      <c r="T34" s="809"/>
      <c r="U34" s="809"/>
      <c r="V34" s="809"/>
      <c r="W34" s="809" t="s">
        <v>14</v>
      </c>
      <c r="X34" s="809"/>
      <c r="Y34" s="809"/>
      <c r="Z34" s="814"/>
      <c r="AA34" s="967"/>
      <c r="AB34" s="967"/>
      <c r="AC34" s="967"/>
      <c r="AD34" s="967"/>
      <c r="AE34" s="967"/>
      <c r="AF34" s="159"/>
      <c r="AG34" s="159"/>
      <c r="AH34" s="808" t="s">
        <v>26</v>
      </c>
      <c r="AI34" s="809"/>
      <c r="AJ34" s="809"/>
      <c r="AK34" s="809"/>
      <c r="AL34" s="809" t="s">
        <v>6</v>
      </c>
      <c r="AM34" s="809"/>
      <c r="AN34" s="809"/>
      <c r="AO34" s="814"/>
      <c r="AP34" s="974"/>
      <c r="AQ34" s="974"/>
      <c r="AR34" s="974"/>
      <c r="AS34" s="974"/>
      <c r="AT34" s="974"/>
      <c r="AU34" s="159"/>
      <c r="AV34" s="159"/>
      <c r="AW34" s="909">
        <v>1</v>
      </c>
      <c r="AX34" s="910"/>
      <c r="AY34" s="910"/>
      <c r="AZ34" s="910" t="s">
        <v>21</v>
      </c>
      <c r="BA34" s="910"/>
      <c r="BB34" s="919"/>
      <c r="BC34" s="956"/>
      <c r="BD34" s="956"/>
      <c r="BE34" s="956"/>
      <c r="BF34" s="956"/>
      <c r="BG34" s="956"/>
      <c r="BH34" s="93"/>
      <c r="BI34" s="94"/>
      <c r="BJ34" s="94"/>
      <c r="BK34" s="94"/>
      <c r="BL34" s="728"/>
      <c r="BM34" s="729"/>
      <c r="BN34" s="729"/>
      <c r="BO34" s="729"/>
      <c r="BP34" s="729"/>
      <c r="BQ34" s="729"/>
      <c r="BR34" s="729"/>
      <c r="BS34" s="730"/>
    </row>
    <row r="35" spans="2:71" s="160" customFormat="1" ht="19.5" customHeight="1" thickBot="1">
      <c r="B35" s="1030"/>
      <c r="C35" s="927" t="s">
        <v>1195</v>
      </c>
      <c r="D35" s="928"/>
      <c r="E35" s="928"/>
      <c r="F35" s="928"/>
      <c r="G35" s="928"/>
      <c r="H35" s="928"/>
      <c r="I35" s="928"/>
      <c r="J35" s="863"/>
      <c r="K35" s="864"/>
      <c r="L35" s="864"/>
      <c r="M35" s="864"/>
      <c r="N35" s="864"/>
      <c r="O35" s="864"/>
      <c r="P35" s="865"/>
      <c r="Q35" s="95"/>
      <c r="R35" s="96"/>
      <c r="S35" s="806" t="s">
        <v>12</v>
      </c>
      <c r="T35" s="807"/>
      <c r="U35" s="807"/>
      <c r="V35" s="807"/>
      <c r="W35" s="807" t="s">
        <v>15</v>
      </c>
      <c r="X35" s="807"/>
      <c r="Y35" s="807"/>
      <c r="Z35" s="813"/>
      <c r="AA35" s="967"/>
      <c r="AB35" s="967"/>
      <c r="AC35" s="967"/>
      <c r="AD35" s="967"/>
      <c r="AE35" s="967"/>
      <c r="AF35" s="159"/>
      <c r="AG35" s="159"/>
      <c r="AH35" s="806" t="s">
        <v>29</v>
      </c>
      <c r="AI35" s="807"/>
      <c r="AJ35" s="807"/>
      <c r="AK35" s="807"/>
      <c r="AL35" s="807" t="s">
        <v>7</v>
      </c>
      <c r="AM35" s="807"/>
      <c r="AN35" s="807"/>
      <c r="AO35" s="813"/>
      <c r="AP35" s="974"/>
      <c r="AQ35" s="974"/>
      <c r="AR35" s="974"/>
      <c r="AS35" s="974"/>
      <c r="AT35" s="974"/>
      <c r="AU35" s="159"/>
      <c r="AV35" s="159"/>
      <c r="AW35" s="808">
        <v>2</v>
      </c>
      <c r="AX35" s="809"/>
      <c r="AY35" s="809"/>
      <c r="AZ35" s="910" t="s">
        <v>22</v>
      </c>
      <c r="BA35" s="910"/>
      <c r="BB35" s="919"/>
      <c r="BC35" s="956"/>
      <c r="BD35" s="956"/>
      <c r="BE35" s="956"/>
      <c r="BF35" s="956"/>
      <c r="BG35" s="956"/>
      <c r="BH35" s="93"/>
      <c r="BI35" s="94"/>
      <c r="BJ35" s="94"/>
      <c r="BK35" s="94"/>
      <c r="BL35" s="728"/>
      <c r="BM35" s="729"/>
      <c r="BN35" s="729"/>
      <c r="BO35" s="729"/>
      <c r="BP35" s="729"/>
      <c r="BQ35" s="729"/>
      <c r="BR35" s="729"/>
      <c r="BS35" s="730"/>
    </row>
    <row r="36" spans="2:71" s="160" customFormat="1" ht="19.5" customHeight="1" thickTop="1" thickBot="1">
      <c r="B36" s="1030"/>
      <c r="C36" s="843" t="s">
        <v>1196</v>
      </c>
      <c r="D36" s="844"/>
      <c r="E36" s="844"/>
      <c r="F36" s="844"/>
      <c r="G36" s="844"/>
      <c r="H36" s="844"/>
      <c r="I36" s="844"/>
      <c r="J36" s="844"/>
      <c r="K36" s="844"/>
      <c r="L36" s="844"/>
      <c r="M36" s="844"/>
      <c r="N36" s="844"/>
      <c r="O36" s="844"/>
      <c r="P36" s="845"/>
      <c r="Q36" s="95"/>
      <c r="R36" s="96"/>
      <c r="S36" s="815" t="s">
        <v>16</v>
      </c>
      <c r="T36" s="816"/>
      <c r="U36" s="816"/>
      <c r="V36" s="816"/>
      <c r="W36" s="816" t="s">
        <v>15</v>
      </c>
      <c r="X36" s="816"/>
      <c r="Y36" s="816"/>
      <c r="Z36" s="922"/>
      <c r="AA36" s="967"/>
      <c r="AB36" s="967"/>
      <c r="AC36" s="967"/>
      <c r="AD36" s="967"/>
      <c r="AE36" s="967"/>
      <c r="AF36" s="159"/>
      <c r="AG36" s="159"/>
      <c r="AH36" s="815" t="s">
        <v>28</v>
      </c>
      <c r="AI36" s="816"/>
      <c r="AJ36" s="816"/>
      <c r="AK36" s="816"/>
      <c r="AL36" s="816" t="s">
        <v>7</v>
      </c>
      <c r="AM36" s="816"/>
      <c r="AN36" s="816"/>
      <c r="AO36" s="922"/>
      <c r="AP36" s="974"/>
      <c r="AQ36" s="974"/>
      <c r="AR36" s="974"/>
      <c r="AS36" s="974"/>
      <c r="AT36" s="974"/>
      <c r="AU36" s="159"/>
      <c r="AV36" s="159"/>
      <c r="AW36" s="907" t="s">
        <v>139</v>
      </c>
      <c r="AX36" s="908"/>
      <c r="AY36" s="908"/>
      <c r="AZ36" s="908" t="s">
        <v>21</v>
      </c>
      <c r="BA36" s="908"/>
      <c r="BB36" s="920"/>
      <c r="BC36" s="956"/>
      <c r="BD36" s="956"/>
      <c r="BE36" s="956"/>
      <c r="BF36" s="956"/>
      <c r="BG36" s="956"/>
      <c r="BH36" s="93"/>
      <c r="BI36" s="94"/>
      <c r="BJ36" s="94"/>
      <c r="BK36" s="94"/>
      <c r="BL36" s="728"/>
      <c r="BM36" s="729"/>
      <c r="BN36" s="729"/>
      <c r="BO36" s="729"/>
      <c r="BP36" s="729"/>
      <c r="BQ36" s="729"/>
      <c r="BR36" s="729"/>
      <c r="BS36" s="730"/>
    </row>
    <row r="37" spans="2:71" s="160" customFormat="1" ht="19.5" customHeight="1" thickTop="1">
      <c r="B37" s="1030"/>
      <c r="C37" s="1057" t="s">
        <v>23</v>
      </c>
      <c r="D37" s="1058"/>
      <c r="E37" s="1058"/>
      <c r="F37" s="1058"/>
      <c r="G37" s="1058"/>
      <c r="H37" s="1058"/>
      <c r="I37" s="1059"/>
      <c r="J37" s="979"/>
      <c r="K37" s="980"/>
      <c r="L37" s="980"/>
      <c r="M37" s="980"/>
      <c r="N37" s="980"/>
      <c r="O37" s="980"/>
      <c r="P37" s="981"/>
      <c r="Q37" s="95"/>
      <c r="R37" s="96"/>
      <c r="S37" s="916" t="s">
        <v>5234</v>
      </c>
      <c r="T37" s="917"/>
      <c r="U37" s="917"/>
      <c r="V37" s="917"/>
      <c r="W37" s="823" t="s">
        <v>14</v>
      </c>
      <c r="X37" s="824"/>
      <c r="Y37" s="824"/>
      <c r="Z37" s="825"/>
      <c r="AA37" s="967"/>
      <c r="AB37" s="967"/>
      <c r="AC37" s="967"/>
      <c r="AD37" s="967"/>
      <c r="AE37" s="967"/>
      <c r="AF37" s="159"/>
      <c r="AG37" s="159"/>
      <c r="AH37" s="977" t="s">
        <v>5237</v>
      </c>
      <c r="AI37" s="978"/>
      <c r="AJ37" s="978"/>
      <c r="AK37" s="978"/>
      <c r="AL37" s="802" t="s">
        <v>6</v>
      </c>
      <c r="AM37" s="802"/>
      <c r="AN37" s="802"/>
      <c r="AO37" s="803"/>
      <c r="AP37" s="974"/>
      <c r="AQ37" s="974"/>
      <c r="AR37" s="974"/>
      <c r="AS37" s="974"/>
      <c r="AT37" s="974"/>
      <c r="AU37" s="97"/>
      <c r="AV37" s="97"/>
      <c r="AW37" s="900" t="s">
        <v>5240</v>
      </c>
      <c r="AX37" s="901"/>
      <c r="AY37" s="902"/>
      <c r="AZ37" s="894" t="s">
        <v>21</v>
      </c>
      <c r="BA37" s="894"/>
      <c r="BB37" s="895"/>
      <c r="BC37" s="956"/>
      <c r="BD37" s="956"/>
      <c r="BE37" s="956"/>
      <c r="BF37" s="956"/>
      <c r="BG37" s="956"/>
      <c r="BH37" s="93"/>
      <c r="BI37" s="94"/>
      <c r="BJ37" s="94"/>
      <c r="BK37" s="94"/>
      <c r="BL37" s="1051" t="str">
        <f>IF(AND(C5=入力リスト!$C$3,COUNTIF($J$16:$S$22,入力リスト!$H$10)&gt;0),HYPERLINK("https://www.mhlw.go.jp/content/11900000/000970983.pdf"),"")</f>
        <v/>
      </c>
      <c r="BM37" s="1052"/>
      <c r="BN37" s="1052"/>
      <c r="BO37" s="1052"/>
      <c r="BP37" s="1052"/>
      <c r="BQ37" s="1052"/>
      <c r="BR37" s="1052"/>
      <c r="BS37" s="1053"/>
    </row>
    <row r="38" spans="2:71" s="160" customFormat="1" ht="19.5" customHeight="1" thickBot="1">
      <c r="B38" s="1030"/>
      <c r="C38" s="982" t="s">
        <v>4526</v>
      </c>
      <c r="D38" s="983"/>
      <c r="E38" s="983"/>
      <c r="F38" s="983"/>
      <c r="G38" s="983"/>
      <c r="H38" s="983"/>
      <c r="I38" s="984"/>
      <c r="J38" s="887"/>
      <c r="K38" s="888"/>
      <c r="L38" s="888"/>
      <c r="M38" s="888"/>
      <c r="N38" s="888"/>
      <c r="O38" s="888"/>
      <c r="P38" s="889"/>
      <c r="Q38" s="95"/>
      <c r="R38" s="96"/>
      <c r="S38" s="1037" t="s">
        <v>5235</v>
      </c>
      <c r="T38" s="1038"/>
      <c r="U38" s="1038"/>
      <c r="V38" s="1039"/>
      <c r="W38" s="823" t="s">
        <v>19</v>
      </c>
      <c r="X38" s="824"/>
      <c r="Y38" s="824"/>
      <c r="Z38" s="825"/>
      <c r="AA38" s="967"/>
      <c r="AB38" s="967"/>
      <c r="AC38" s="967"/>
      <c r="AD38" s="967"/>
      <c r="AE38" s="967"/>
      <c r="AF38" s="159"/>
      <c r="AG38" s="159"/>
      <c r="AH38" s="804" t="s">
        <v>5238</v>
      </c>
      <c r="AI38" s="805"/>
      <c r="AJ38" s="805"/>
      <c r="AK38" s="805"/>
      <c r="AL38" s="802" t="s">
        <v>7</v>
      </c>
      <c r="AM38" s="802"/>
      <c r="AN38" s="802"/>
      <c r="AO38" s="803"/>
      <c r="AP38" s="974"/>
      <c r="AQ38" s="974"/>
      <c r="AR38" s="974"/>
      <c r="AS38" s="974"/>
      <c r="AT38" s="974"/>
      <c r="AU38" s="97"/>
      <c r="AV38" s="97"/>
      <c r="AW38" s="898" t="s">
        <v>5241</v>
      </c>
      <c r="AX38" s="899"/>
      <c r="AY38" s="899"/>
      <c r="AZ38" s="903" t="s">
        <v>22</v>
      </c>
      <c r="BA38" s="903"/>
      <c r="BB38" s="904"/>
      <c r="BC38" s="956"/>
      <c r="BD38" s="956"/>
      <c r="BE38" s="956"/>
      <c r="BF38" s="956"/>
      <c r="BG38" s="956"/>
      <c r="BH38" s="93"/>
      <c r="BI38" s="94"/>
      <c r="BJ38" s="94"/>
      <c r="BK38" s="94"/>
      <c r="BL38" s="1049" t="str">
        <f>IF(C5&lt;&gt;入力リスト!C3,"","「役職の定義」について")</f>
        <v/>
      </c>
      <c r="BM38" s="1049"/>
      <c r="BN38" s="1049"/>
      <c r="BO38" s="1049"/>
      <c r="BP38" s="1049"/>
      <c r="BQ38" s="1049"/>
      <c r="BR38" s="1049"/>
      <c r="BS38" s="1049"/>
    </row>
    <row r="39" spans="2:71" s="160" customFormat="1" ht="19.5" customHeight="1" thickBot="1">
      <c r="B39" s="1030"/>
      <c r="C39" s="982" t="s">
        <v>4527</v>
      </c>
      <c r="D39" s="983"/>
      <c r="E39" s="983"/>
      <c r="F39" s="983"/>
      <c r="G39" s="983"/>
      <c r="H39" s="983"/>
      <c r="I39" s="984"/>
      <c r="J39" s="887"/>
      <c r="K39" s="888"/>
      <c r="L39" s="888"/>
      <c r="M39" s="888"/>
      <c r="N39" s="888"/>
      <c r="O39" s="888"/>
      <c r="P39" s="889"/>
      <c r="Q39" s="95"/>
      <c r="R39" s="96"/>
      <c r="S39" s="821" t="s">
        <v>5236</v>
      </c>
      <c r="T39" s="822"/>
      <c r="U39" s="822"/>
      <c r="V39" s="822"/>
      <c r="W39" s="823" t="s">
        <v>19</v>
      </c>
      <c r="X39" s="824"/>
      <c r="Y39" s="824"/>
      <c r="Z39" s="825"/>
      <c r="AA39" s="967"/>
      <c r="AB39" s="967"/>
      <c r="AC39" s="967"/>
      <c r="AD39" s="967"/>
      <c r="AE39" s="967"/>
      <c r="AF39" s="159"/>
      <c r="AG39" s="159"/>
      <c r="AH39" s="804" t="s">
        <v>5239</v>
      </c>
      <c r="AI39" s="805"/>
      <c r="AJ39" s="805"/>
      <c r="AK39" s="805"/>
      <c r="AL39" s="802" t="s">
        <v>7</v>
      </c>
      <c r="AM39" s="802"/>
      <c r="AN39" s="802"/>
      <c r="AO39" s="803"/>
      <c r="AP39" s="974"/>
      <c r="AQ39" s="974"/>
      <c r="AR39" s="974"/>
      <c r="AS39" s="974"/>
      <c r="AT39" s="974"/>
      <c r="AU39" s="97"/>
      <c r="AV39" s="97"/>
      <c r="AW39" s="159"/>
      <c r="AX39" s="98"/>
      <c r="AY39" s="98"/>
      <c r="AZ39" s="98"/>
      <c r="BA39" s="98"/>
      <c r="BB39" s="98"/>
      <c r="BC39" s="956"/>
      <c r="BD39" s="956"/>
      <c r="BE39" s="956"/>
      <c r="BF39" s="956"/>
      <c r="BG39" s="956"/>
      <c r="BH39" s="93"/>
      <c r="BI39" s="94"/>
      <c r="BJ39" s="94"/>
      <c r="BK39" s="94"/>
      <c r="BL39" s="1050"/>
      <c r="BM39" s="1050"/>
      <c r="BN39" s="1050"/>
      <c r="BO39" s="1050"/>
      <c r="BP39" s="1050"/>
      <c r="BQ39" s="1050"/>
      <c r="BR39" s="1050"/>
      <c r="BS39" s="1050"/>
    </row>
    <row r="40" spans="2:71" s="160" customFormat="1" ht="19.5" customHeight="1" thickBot="1">
      <c r="B40" s="1030"/>
      <c r="C40" s="982" t="s">
        <v>4528</v>
      </c>
      <c r="D40" s="983"/>
      <c r="E40" s="983"/>
      <c r="F40" s="983"/>
      <c r="G40" s="983"/>
      <c r="H40" s="983"/>
      <c r="I40" s="984"/>
      <c r="J40" s="887"/>
      <c r="K40" s="888"/>
      <c r="L40" s="888"/>
      <c r="M40" s="888"/>
      <c r="N40" s="888"/>
      <c r="O40" s="888"/>
      <c r="P40" s="889"/>
      <c r="Q40" s="95"/>
      <c r="R40" s="96"/>
      <c r="S40" s="1037"/>
      <c r="T40" s="1038"/>
      <c r="U40" s="1038"/>
      <c r="V40" s="1039"/>
      <c r="W40" s="823"/>
      <c r="X40" s="824"/>
      <c r="Y40" s="824"/>
      <c r="Z40" s="825"/>
      <c r="AA40" s="967"/>
      <c r="AB40" s="967"/>
      <c r="AC40" s="967"/>
      <c r="AD40" s="967"/>
      <c r="AE40" s="967"/>
      <c r="AF40" s="159"/>
      <c r="AG40" s="159"/>
      <c r="AH40" s="975"/>
      <c r="AI40" s="976"/>
      <c r="AJ40" s="976"/>
      <c r="AK40" s="976"/>
      <c r="AL40" s="802"/>
      <c r="AM40" s="802"/>
      <c r="AN40" s="802"/>
      <c r="AO40" s="803"/>
      <c r="AP40" s="974"/>
      <c r="AQ40" s="974"/>
      <c r="AR40" s="974"/>
      <c r="AS40" s="974"/>
      <c r="AT40" s="974"/>
      <c r="AU40" s="97"/>
      <c r="AV40" s="97"/>
      <c r="AW40" s="159"/>
      <c r="AX40" s="159"/>
      <c r="AY40" s="159"/>
      <c r="AZ40" s="159"/>
      <c r="BA40" s="97"/>
      <c r="BB40" s="159"/>
      <c r="BC40" s="956"/>
      <c r="BD40" s="956"/>
      <c r="BE40" s="956"/>
      <c r="BF40" s="956"/>
      <c r="BG40" s="956"/>
      <c r="BH40" s="93"/>
      <c r="BI40" s="94"/>
      <c r="BJ40" s="94"/>
      <c r="BK40" s="94"/>
      <c r="BL40" s="241"/>
      <c r="BM40" s="16" t="str">
        <f>IF(C5&lt;&gt;入力リスト!C3,"","　←「役職の定義」を確認する場合、選択してください。")</f>
        <v/>
      </c>
      <c r="BN40" s="16"/>
      <c r="BO40" s="90"/>
      <c r="BP40" s="90"/>
      <c r="BQ40" s="90"/>
      <c r="BR40" s="16"/>
      <c r="BS40" s="16"/>
    </row>
    <row r="41" spans="2:71" s="160" customFormat="1" ht="19.5" customHeight="1">
      <c r="B41" s="1030"/>
      <c r="C41" s="982" t="s">
        <v>4529</v>
      </c>
      <c r="D41" s="983"/>
      <c r="E41" s="983"/>
      <c r="F41" s="983"/>
      <c r="G41" s="983"/>
      <c r="H41" s="983"/>
      <c r="I41" s="984"/>
      <c r="J41" s="887"/>
      <c r="K41" s="888"/>
      <c r="L41" s="888"/>
      <c r="M41" s="888"/>
      <c r="N41" s="888"/>
      <c r="O41" s="888"/>
      <c r="P41" s="889"/>
      <c r="Q41" s="161"/>
      <c r="R41" s="96"/>
      <c r="S41" s="1037"/>
      <c r="T41" s="1038"/>
      <c r="U41" s="1038"/>
      <c r="V41" s="1039"/>
      <c r="W41" s="823"/>
      <c r="X41" s="824"/>
      <c r="Y41" s="824"/>
      <c r="Z41" s="825"/>
      <c r="AA41" s="967"/>
      <c r="AB41" s="967"/>
      <c r="AC41" s="967"/>
      <c r="AD41" s="967"/>
      <c r="AE41" s="967"/>
      <c r="AF41" s="159"/>
      <c r="AG41" s="159"/>
      <c r="AH41" s="804"/>
      <c r="AI41" s="805"/>
      <c r="AJ41" s="805"/>
      <c r="AK41" s="805"/>
      <c r="AL41" s="802"/>
      <c r="AM41" s="802"/>
      <c r="AN41" s="802"/>
      <c r="AO41" s="803"/>
      <c r="AP41" s="974"/>
      <c r="AQ41" s="974"/>
      <c r="AR41" s="974"/>
      <c r="AS41" s="974"/>
      <c r="AT41" s="974"/>
      <c r="AU41" s="97"/>
      <c r="AV41" s="97"/>
      <c r="AW41" s="159"/>
      <c r="AX41" s="159"/>
      <c r="AY41" s="159"/>
      <c r="AZ41" s="159"/>
      <c r="BA41" s="97"/>
      <c r="BB41" s="158"/>
      <c r="BC41" s="956"/>
      <c r="BD41" s="956"/>
      <c r="BE41" s="956"/>
      <c r="BF41" s="956"/>
      <c r="BG41" s="956"/>
      <c r="BH41" s="93"/>
      <c r="BI41" s="94"/>
      <c r="BJ41" s="94"/>
      <c r="BK41" s="94"/>
      <c r="BL41" s="728" t="str">
        <f>IF(C5&lt;&gt;入力リスト!C3,"",IF(BL40="","",IF(BL40=入力リスト!H17,計算!C126,IF(BL40=入力リスト!H18,計算!C127,計算!C128))))</f>
        <v/>
      </c>
      <c r="BM41" s="726"/>
      <c r="BN41" s="726"/>
      <c r="BO41" s="726"/>
      <c r="BP41" s="726"/>
      <c r="BQ41" s="726"/>
      <c r="BR41" s="726"/>
      <c r="BS41" s="727"/>
    </row>
    <row r="42" spans="2:71" s="160" customFormat="1" ht="19.5" customHeight="1">
      <c r="B42" s="1030"/>
      <c r="C42" s="982" t="s">
        <v>4530</v>
      </c>
      <c r="D42" s="983"/>
      <c r="E42" s="983"/>
      <c r="F42" s="983"/>
      <c r="G42" s="983"/>
      <c r="H42" s="983"/>
      <c r="I42" s="984"/>
      <c r="J42" s="887"/>
      <c r="K42" s="888"/>
      <c r="L42" s="888"/>
      <c r="M42" s="888"/>
      <c r="N42" s="888"/>
      <c r="O42" s="888"/>
      <c r="P42" s="889"/>
      <c r="Q42" s="162"/>
      <c r="R42" s="163"/>
      <c r="S42" s="821"/>
      <c r="T42" s="822"/>
      <c r="U42" s="822"/>
      <c r="V42" s="822"/>
      <c r="W42" s="823"/>
      <c r="X42" s="824"/>
      <c r="Y42" s="824"/>
      <c r="Z42" s="825"/>
      <c r="AA42" s="967"/>
      <c r="AB42" s="967"/>
      <c r="AC42" s="967"/>
      <c r="AD42" s="967"/>
      <c r="AE42" s="967"/>
      <c r="AF42" s="159"/>
      <c r="AG42" s="159"/>
      <c r="AH42" s="804"/>
      <c r="AI42" s="805"/>
      <c r="AJ42" s="805"/>
      <c r="AK42" s="805"/>
      <c r="AL42" s="802"/>
      <c r="AM42" s="802"/>
      <c r="AN42" s="802"/>
      <c r="AO42" s="803"/>
      <c r="AP42" s="974"/>
      <c r="AQ42" s="974"/>
      <c r="AR42" s="974"/>
      <c r="AS42" s="974"/>
      <c r="AT42" s="974"/>
      <c r="AU42" s="97"/>
      <c r="AV42" s="97"/>
      <c r="AW42" s="159"/>
      <c r="AX42" s="159"/>
      <c r="AY42" s="159"/>
      <c r="AZ42" s="159"/>
      <c r="BA42" s="97"/>
      <c r="BB42" s="158"/>
      <c r="BC42" s="956"/>
      <c r="BD42" s="956"/>
      <c r="BE42" s="956"/>
      <c r="BF42" s="956"/>
      <c r="BG42" s="956"/>
      <c r="BH42" s="93"/>
      <c r="BI42" s="94"/>
      <c r="BJ42" s="94"/>
      <c r="BK42" s="94"/>
      <c r="BL42" s="728"/>
      <c r="BM42" s="729"/>
      <c r="BN42" s="729"/>
      <c r="BO42" s="729"/>
      <c r="BP42" s="729"/>
      <c r="BQ42" s="729"/>
      <c r="BR42" s="729"/>
      <c r="BS42" s="730"/>
    </row>
    <row r="43" spans="2:71" s="160" customFormat="1" ht="19.5" customHeight="1">
      <c r="B43" s="1030"/>
      <c r="C43" s="982" t="s">
        <v>4531</v>
      </c>
      <c r="D43" s="983"/>
      <c r="E43" s="983"/>
      <c r="F43" s="983"/>
      <c r="G43" s="983"/>
      <c r="H43" s="983"/>
      <c r="I43" s="984"/>
      <c r="J43" s="887"/>
      <c r="K43" s="888"/>
      <c r="L43" s="888"/>
      <c r="M43" s="888"/>
      <c r="N43" s="888"/>
      <c r="O43" s="888"/>
      <c r="P43" s="889"/>
      <c r="Q43" s="157"/>
      <c r="R43" s="164"/>
      <c r="S43" s="821"/>
      <c r="T43" s="822"/>
      <c r="U43" s="822"/>
      <c r="V43" s="822"/>
      <c r="W43" s="823"/>
      <c r="X43" s="824"/>
      <c r="Y43" s="824"/>
      <c r="Z43" s="825"/>
      <c r="AA43" s="967"/>
      <c r="AB43" s="967"/>
      <c r="AC43" s="967"/>
      <c r="AD43" s="967"/>
      <c r="AE43" s="967"/>
      <c r="AF43" s="159"/>
      <c r="AG43" s="159"/>
      <c r="AH43" s="804"/>
      <c r="AI43" s="805"/>
      <c r="AJ43" s="805"/>
      <c r="AK43" s="805"/>
      <c r="AL43" s="802"/>
      <c r="AM43" s="802"/>
      <c r="AN43" s="802"/>
      <c r="AO43" s="803"/>
      <c r="AP43" s="974"/>
      <c r="AQ43" s="974"/>
      <c r="AR43" s="974"/>
      <c r="AS43" s="974"/>
      <c r="AT43" s="974"/>
      <c r="AU43" s="97"/>
      <c r="AV43" s="97"/>
      <c r="AW43" s="159"/>
      <c r="AX43" s="159"/>
      <c r="AY43" s="159"/>
      <c r="AZ43" s="159"/>
      <c r="BA43" s="97"/>
      <c r="BB43" s="158"/>
      <c r="BC43" s="956"/>
      <c r="BD43" s="956"/>
      <c r="BE43" s="956"/>
      <c r="BF43" s="956"/>
      <c r="BG43" s="956"/>
      <c r="BH43" s="93"/>
      <c r="BI43" s="94"/>
      <c r="BJ43" s="94"/>
      <c r="BK43" s="94"/>
      <c r="BL43" s="728"/>
      <c r="BM43" s="729"/>
      <c r="BN43" s="729"/>
      <c r="BO43" s="729"/>
      <c r="BP43" s="729"/>
      <c r="BQ43" s="729"/>
      <c r="BR43" s="729"/>
      <c r="BS43" s="730"/>
    </row>
    <row r="44" spans="2:71" s="160" customFormat="1" ht="19.5" customHeight="1">
      <c r="B44" s="1030"/>
      <c r="C44" s="982" t="s">
        <v>4532</v>
      </c>
      <c r="D44" s="983"/>
      <c r="E44" s="983"/>
      <c r="F44" s="983"/>
      <c r="G44" s="983"/>
      <c r="H44" s="983"/>
      <c r="I44" s="984"/>
      <c r="J44" s="887"/>
      <c r="K44" s="888"/>
      <c r="L44" s="888"/>
      <c r="M44" s="888"/>
      <c r="N44" s="888"/>
      <c r="O44" s="888"/>
      <c r="P44" s="889"/>
      <c r="Q44" s="157"/>
      <c r="R44" s="159"/>
      <c r="S44" s="821"/>
      <c r="T44" s="822"/>
      <c r="U44" s="822"/>
      <c r="V44" s="822"/>
      <c r="W44" s="823"/>
      <c r="X44" s="824"/>
      <c r="Y44" s="824"/>
      <c r="Z44" s="825"/>
      <c r="AA44" s="967"/>
      <c r="AB44" s="967"/>
      <c r="AC44" s="967"/>
      <c r="AD44" s="967"/>
      <c r="AE44" s="967"/>
      <c r="AF44" s="159"/>
      <c r="AG44" s="159"/>
      <c r="AH44" s="804"/>
      <c r="AI44" s="805"/>
      <c r="AJ44" s="805"/>
      <c r="AK44" s="805"/>
      <c r="AL44" s="802"/>
      <c r="AM44" s="802"/>
      <c r="AN44" s="802"/>
      <c r="AO44" s="803"/>
      <c r="AP44" s="974"/>
      <c r="AQ44" s="974"/>
      <c r="AR44" s="974"/>
      <c r="AS44" s="974"/>
      <c r="AT44" s="974"/>
      <c r="AU44" s="97"/>
      <c r="AV44" s="97"/>
      <c r="AW44" s="159"/>
      <c r="AX44" s="159"/>
      <c r="AY44" s="159"/>
      <c r="AZ44" s="159"/>
      <c r="BA44" s="97"/>
      <c r="BB44" s="158"/>
      <c r="BC44" s="956"/>
      <c r="BD44" s="956"/>
      <c r="BE44" s="956"/>
      <c r="BF44" s="956"/>
      <c r="BG44" s="956"/>
      <c r="BH44" s="93"/>
      <c r="BI44" s="94"/>
      <c r="BJ44" s="94"/>
      <c r="BK44" s="94"/>
      <c r="BL44" s="728"/>
      <c r="BM44" s="729"/>
      <c r="BN44" s="729"/>
      <c r="BO44" s="729"/>
      <c r="BP44" s="729"/>
      <c r="BQ44" s="729"/>
      <c r="BR44" s="729"/>
      <c r="BS44" s="730"/>
    </row>
    <row r="45" spans="2:71" s="160" customFormat="1" ht="19.5" customHeight="1" thickBot="1">
      <c r="B45" s="1030"/>
      <c r="C45" s="1043" t="s">
        <v>1</v>
      </c>
      <c r="D45" s="1044"/>
      <c r="E45" s="1044"/>
      <c r="F45" s="1044"/>
      <c r="G45" s="1044"/>
      <c r="H45" s="1044"/>
      <c r="I45" s="1045"/>
      <c r="J45" s="863"/>
      <c r="K45" s="864"/>
      <c r="L45" s="864"/>
      <c r="M45" s="864"/>
      <c r="N45" s="864"/>
      <c r="O45" s="864"/>
      <c r="P45" s="865"/>
      <c r="Q45" s="157"/>
      <c r="R45" s="165"/>
      <c r="S45" s="821"/>
      <c r="T45" s="822"/>
      <c r="U45" s="822"/>
      <c r="V45" s="822"/>
      <c r="W45" s="823"/>
      <c r="X45" s="824"/>
      <c r="Y45" s="824"/>
      <c r="Z45" s="825"/>
      <c r="AA45" s="967"/>
      <c r="AB45" s="967"/>
      <c r="AC45" s="967"/>
      <c r="AD45" s="967"/>
      <c r="AE45" s="967"/>
      <c r="AF45" s="159"/>
      <c r="AG45" s="159"/>
      <c r="AH45" s="804"/>
      <c r="AI45" s="805"/>
      <c r="AJ45" s="805"/>
      <c r="AK45" s="805"/>
      <c r="AL45" s="802"/>
      <c r="AM45" s="802"/>
      <c r="AN45" s="802"/>
      <c r="AO45" s="803"/>
      <c r="AP45" s="974"/>
      <c r="AQ45" s="974"/>
      <c r="AR45" s="974"/>
      <c r="AS45" s="974"/>
      <c r="AT45" s="974"/>
      <c r="AU45" s="97"/>
      <c r="AV45" s="97"/>
      <c r="AW45" s="159"/>
      <c r="AX45" s="159"/>
      <c r="AY45" s="159"/>
      <c r="AZ45" s="159"/>
      <c r="BA45" s="97"/>
      <c r="BB45" s="158"/>
      <c r="BC45" s="956"/>
      <c r="BD45" s="956"/>
      <c r="BE45" s="956"/>
      <c r="BF45" s="956"/>
      <c r="BG45" s="956"/>
      <c r="BH45" s="93"/>
      <c r="BI45" s="94"/>
      <c r="BJ45" s="94"/>
      <c r="BK45" s="94"/>
      <c r="BL45" s="728"/>
      <c r="BM45" s="729"/>
      <c r="BN45" s="729"/>
      <c r="BO45" s="729"/>
      <c r="BP45" s="729"/>
      <c r="BQ45" s="729"/>
      <c r="BR45" s="729"/>
      <c r="BS45" s="730"/>
    </row>
    <row r="46" spans="2:71" s="160" customFormat="1" ht="19.5" customHeight="1" thickTop="1" thickBot="1">
      <c r="B46" s="1030"/>
      <c r="C46" s="1034" t="s">
        <v>1197</v>
      </c>
      <c r="D46" s="1035"/>
      <c r="E46" s="1035"/>
      <c r="F46" s="1035"/>
      <c r="G46" s="1035"/>
      <c r="H46" s="1035"/>
      <c r="I46" s="1035"/>
      <c r="J46" s="1035"/>
      <c r="K46" s="1035"/>
      <c r="L46" s="1035"/>
      <c r="M46" s="1035"/>
      <c r="N46" s="1035"/>
      <c r="O46" s="1035"/>
      <c r="P46" s="1036"/>
      <c r="Q46" s="157"/>
      <c r="R46" s="165"/>
      <c r="S46" s="821"/>
      <c r="T46" s="822"/>
      <c r="U46" s="822"/>
      <c r="V46" s="822"/>
      <c r="W46" s="823"/>
      <c r="X46" s="824"/>
      <c r="Y46" s="824"/>
      <c r="Z46" s="825"/>
      <c r="AA46" s="967"/>
      <c r="AB46" s="967"/>
      <c r="AC46" s="967"/>
      <c r="AD46" s="967"/>
      <c r="AE46" s="967"/>
      <c r="AF46" s="159"/>
      <c r="AG46" s="159"/>
      <c r="AH46" s="804"/>
      <c r="AI46" s="805"/>
      <c r="AJ46" s="805"/>
      <c r="AK46" s="805"/>
      <c r="AL46" s="802"/>
      <c r="AM46" s="802"/>
      <c r="AN46" s="802"/>
      <c r="AO46" s="803"/>
      <c r="AP46" s="974"/>
      <c r="AQ46" s="974"/>
      <c r="AR46" s="974"/>
      <c r="AS46" s="974"/>
      <c r="AT46" s="974"/>
      <c r="AU46" s="97"/>
      <c r="AV46" s="97"/>
      <c r="AW46" s="159"/>
      <c r="AX46" s="159"/>
      <c r="AY46" s="159"/>
      <c r="AZ46" s="159"/>
      <c r="BA46" s="97"/>
      <c r="BB46" s="158"/>
      <c r="BC46" s="956"/>
      <c r="BD46" s="956"/>
      <c r="BE46" s="956"/>
      <c r="BF46" s="956"/>
      <c r="BG46" s="956"/>
      <c r="BH46" s="166"/>
      <c r="BL46" s="728"/>
      <c r="BM46" s="729"/>
      <c r="BN46" s="729"/>
      <c r="BO46" s="729"/>
      <c r="BP46" s="729"/>
      <c r="BQ46" s="729"/>
      <c r="BR46" s="729"/>
      <c r="BS46" s="730"/>
    </row>
    <row r="47" spans="2:71" s="160" customFormat="1" ht="19.5" customHeight="1" thickTop="1">
      <c r="B47" s="1030"/>
      <c r="C47" s="985" t="str">
        <f>計算!B34</f>
        <v>非役職</v>
      </c>
      <c r="D47" s="986"/>
      <c r="E47" s="986"/>
      <c r="F47" s="986"/>
      <c r="G47" s="986"/>
      <c r="H47" s="986"/>
      <c r="I47" s="987"/>
      <c r="J47" s="979"/>
      <c r="K47" s="980"/>
      <c r="L47" s="980"/>
      <c r="M47" s="980"/>
      <c r="N47" s="980"/>
      <c r="O47" s="980"/>
      <c r="P47" s="981"/>
      <c r="Q47" s="157"/>
      <c r="R47" s="165"/>
      <c r="S47" s="821"/>
      <c r="T47" s="822"/>
      <c r="U47" s="822"/>
      <c r="V47" s="822"/>
      <c r="W47" s="823"/>
      <c r="X47" s="824"/>
      <c r="Y47" s="824"/>
      <c r="Z47" s="825"/>
      <c r="AA47" s="967"/>
      <c r="AB47" s="967"/>
      <c r="AC47" s="967"/>
      <c r="AD47" s="967"/>
      <c r="AE47" s="967"/>
      <c r="AF47" s="159"/>
      <c r="AG47" s="159"/>
      <c r="AH47" s="804"/>
      <c r="AI47" s="805"/>
      <c r="AJ47" s="805"/>
      <c r="AK47" s="805"/>
      <c r="AL47" s="802"/>
      <c r="AM47" s="802"/>
      <c r="AN47" s="802"/>
      <c r="AO47" s="803"/>
      <c r="AP47" s="974"/>
      <c r="AQ47" s="974"/>
      <c r="AR47" s="974"/>
      <c r="AS47" s="974"/>
      <c r="AT47" s="974"/>
      <c r="AU47" s="97"/>
      <c r="AV47" s="97"/>
      <c r="AW47" s="159"/>
      <c r="AX47" s="159"/>
      <c r="AY47" s="159"/>
      <c r="AZ47" s="159"/>
      <c r="BA47" s="97"/>
      <c r="BB47" s="158"/>
      <c r="BC47" s="956"/>
      <c r="BD47" s="956"/>
      <c r="BE47" s="956"/>
      <c r="BF47" s="956"/>
      <c r="BG47" s="956"/>
      <c r="BH47" s="166"/>
      <c r="BL47" s="731"/>
      <c r="BM47" s="732"/>
      <c r="BN47" s="732"/>
      <c r="BO47" s="732"/>
      <c r="BP47" s="732"/>
      <c r="BQ47" s="732"/>
      <c r="BR47" s="732"/>
      <c r="BS47" s="733"/>
    </row>
    <row r="48" spans="2:71" s="160" customFormat="1" ht="19.5" customHeight="1">
      <c r="B48" s="1030"/>
      <c r="C48" s="1040" t="str">
        <f>計算!B35</f>
        <v>係長級</v>
      </c>
      <c r="D48" s="1041"/>
      <c r="E48" s="1041"/>
      <c r="F48" s="1041"/>
      <c r="G48" s="1041"/>
      <c r="H48" s="1041"/>
      <c r="I48" s="1042"/>
      <c r="J48" s="887"/>
      <c r="K48" s="888"/>
      <c r="L48" s="888"/>
      <c r="M48" s="888"/>
      <c r="N48" s="888"/>
      <c r="O48" s="888"/>
      <c r="P48" s="889"/>
      <c r="Q48" s="157"/>
      <c r="R48" s="165"/>
      <c r="S48" s="821"/>
      <c r="T48" s="822"/>
      <c r="U48" s="822"/>
      <c r="V48" s="822"/>
      <c r="W48" s="823"/>
      <c r="X48" s="824"/>
      <c r="Y48" s="824"/>
      <c r="Z48" s="825"/>
      <c r="AA48" s="967"/>
      <c r="AB48" s="967"/>
      <c r="AC48" s="967"/>
      <c r="AD48" s="967"/>
      <c r="AE48" s="967"/>
      <c r="AF48" s="159"/>
      <c r="AG48" s="159"/>
      <c r="AH48" s="804"/>
      <c r="AI48" s="805"/>
      <c r="AJ48" s="805"/>
      <c r="AK48" s="805"/>
      <c r="AL48" s="802"/>
      <c r="AM48" s="802"/>
      <c r="AN48" s="802"/>
      <c r="AO48" s="803"/>
      <c r="AP48" s="974"/>
      <c r="AQ48" s="974"/>
      <c r="AR48" s="974"/>
      <c r="AS48" s="974"/>
      <c r="AT48" s="974"/>
      <c r="AU48" s="97"/>
      <c r="AV48" s="97"/>
      <c r="AW48" s="159"/>
      <c r="AX48" s="159"/>
      <c r="AY48" s="159"/>
      <c r="AZ48" s="159"/>
      <c r="BA48" s="97"/>
      <c r="BB48" s="158"/>
      <c r="BC48" s="956"/>
      <c r="BD48" s="956"/>
      <c r="BE48" s="956"/>
      <c r="BF48" s="956"/>
      <c r="BG48" s="956"/>
      <c r="BH48" s="166"/>
    </row>
    <row r="49" spans="2:71" s="160" customFormat="1" ht="19.5" customHeight="1">
      <c r="B49" s="1030"/>
      <c r="C49" s="1040" t="str">
        <f>計算!B36</f>
        <v>課長級</v>
      </c>
      <c r="D49" s="1041"/>
      <c r="E49" s="1041"/>
      <c r="F49" s="1041"/>
      <c r="G49" s="1041"/>
      <c r="H49" s="1041"/>
      <c r="I49" s="1042"/>
      <c r="J49" s="887"/>
      <c r="K49" s="888"/>
      <c r="L49" s="888"/>
      <c r="M49" s="888"/>
      <c r="N49" s="888"/>
      <c r="O49" s="888"/>
      <c r="P49" s="889"/>
      <c r="Q49" s="157"/>
      <c r="R49" s="165"/>
      <c r="S49" s="821"/>
      <c r="T49" s="822"/>
      <c r="U49" s="822"/>
      <c r="V49" s="822"/>
      <c r="W49" s="823"/>
      <c r="X49" s="824"/>
      <c r="Y49" s="824"/>
      <c r="Z49" s="825"/>
      <c r="AA49" s="967"/>
      <c r="AB49" s="967"/>
      <c r="AC49" s="967"/>
      <c r="AD49" s="967"/>
      <c r="AE49" s="967"/>
      <c r="AF49" s="159"/>
      <c r="AG49" s="159"/>
      <c r="AH49" s="804"/>
      <c r="AI49" s="805"/>
      <c r="AJ49" s="805"/>
      <c r="AK49" s="805"/>
      <c r="AL49" s="802"/>
      <c r="AM49" s="802"/>
      <c r="AN49" s="802"/>
      <c r="AO49" s="803"/>
      <c r="AP49" s="974"/>
      <c r="AQ49" s="974"/>
      <c r="AR49" s="974"/>
      <c r="AS49" s="974"/>
      <c r="AT49" s="974"/>
      <c r="AU49" s="97"/>
      <c r="AV49" s="97"/>
      <c r="AW49" s="159"/>
      <c r="AX49" s="159"/>
      <c r="AY49" s="159"/>
      <c r="AZ49" s="159"/>
      <c r="BA49" s="97"/>
      <c r="BB49" s="158"/>
      <c r="BC49" s="956"/>
      <c r="BD49" s="956"/>
      <c r="BE49" s="956"/>
      <c r="BF49" s="956"/>
      <c r="BG49" s="956"/>
      <c r="BH49" s="166"/>
    </row>
    <row r="50" spans="2:71" s="160" customFormat="1" ht="19.5" customHeight="1" thickBot="1">
      <c r="B50" s="1030"/>
      <c r="C50" s="1046" t="str">
        <f>計算!B37</f>
        <v>部長級</v>
      </c>
      <c r="D50" s="1047"/>
      <c r="E50" s="1047"/>
      <c r="F50" s="1047"/>
      <c r="G50" s="1047"/>
      <c r="H50" s="1047"/>
      <c r="I50" s="1047"/>
      <c r="J50" s="1026"/>
      <c r="K50" s="1027"/>
      <c r="L50" s="1027"/>
      <c r="M50" s="1027"/>
      <c r="N50" s="1027"/>
      <c r="O50" s="1027"/>
      <c r="P50" s="1028"/>
      <c r="Q50" s="167"/>
      <c r="R50" s="165"/>
      <c r="S50" s="817"/>
      <c r="T50" s="818"/>
      <c r="U50" s="818"/>
      <c r="V50" s="818"/>
      <c r="W50" s="823"/>
      <c r="X50" s="824"/>
      <c r="Y50" s="824"/>
      <c r="Z50" s="825"/>
      <c r="AA50" s="967"/>
      <c r="AB50" s="967"/>
      <c r="AC50" s="967"/>
      <c r="AD50" s="967"/>
      <c r="AE50" s="967"/>
      <c r="AF50" s="159"/>
      <c r="AG50" s="159"/>
      <c r="AH50" s="804"/>
      <c r="AI50" s="805"/>
      <c r="AJ50" s="805"/>
      <c r="AK50" s="805"/>
      <c r="AL50" s="802"/>
      <c r="AM50" s="802"/>
      <c r="AN50" s="802"/>
      <c r="AO50" s="803"/>
      <c r="AP50" s="974"/>
      <c r="AQ50" s="974"/>
      <c r="AR50" s="974"/>
      <c r="AS50" s="974"/>
      <c r="AT50" s="974"/>
      <c r="AU50" s="97"/>
      <c r="AV50" s="97"/>
      <c r="AW50" s="159"/>
      <c r="AX50" s="159"/>
      <c r="AY50" s="159"/>
      <c r="AZ50" s="159"/>
      <c r="BA50" s="97"/>
      <c r="BB50" s="158"/>
      <c r="BC50" s="956"/>
      <c r="BD50" s="956"/>
      <c r="BE50" s="956"/>
      <c r="BF50" s="956"/>
      <c r="BG50" s="956"/>
      <c r="BH50" s="166"/>
    </row>
    <row r="51" spans="2:71" s="160" customFormat="1" ht="19.5" customHeight="1" thickBot="1">
      <c r="B51" s="168"/>
      <c r="C51" s="1004" t="s">
        <v>1198</v>
      </c>
      <c r="D51" s="1004"/>
      <c r="E51" s="1004"/>
      <c r="F51" s="1004"/>
      <c r="G51" s="1004"/>
      <c r="H51" s="1004"/>
      <c r="I51" s="1005"/>
      <c r="J51" s="1029">
        <v>10</v>
      </c>
      <c r="K51" s="1001"/>
      <c r="L51" s="819">
        <v>111</v>
      </c>
      <c r="M51" s="820"/>
      <c r="N51" s="1001">
        <v>31</v>
      </c>
      <c r="O51" s="1002"/>
      <c r="P51" s="1002">
        <v>0.31</v>
      </c>
      <c r="Q51" s="1003"/>
      <c r="R51" s="165"/>
      <c r="S51" s="817"/>
      <c r="T51" s="818"/>
      <c r="U51" s="818"/>
      <c r="V51" s="818"/>
      <c r="W51" s="823"/>
      <c r="X51" s="824"/>
      <c r="Y51" s="824"/>
      <c r="Z51" s="825"/>
      <c r="AA51" s="967"/>
      <c r="AB51" s="967"/>
      <c r="AC51" s="967"/>
      <c r="AD51" s="967"/>
      <c r="AE51" s="967"/>
      <c r="AF51" s="159"/>
      <c r="AG51" s="159"/>
      <c r="AH51" s="804"/>
      <c r="AI51" s="805"/>
      <c r="AJ51" s="805"/>
      <c r="AK51" s="805"/>
      <c r="AL51" s="802"/>
      <c r="AM51" s="802"/>
      <c r="AN51" s="802"/>
      <c r="AO51" s="803"/>
      <c r="AP51" s="974"/>
      <c r="AQ51" s="974"/>
      <c r="AR51" s="974"/>
      <c r="AS51" s="974"/>
      <c r="AT51" s="974"/>
      <c r="AU51" s="97"/>
      <c r="AV51" s="97"/>
      <c r="AW51" s="159"/>
      <c r="AX51" s="159"/>
      <c r="AY51" s="159"/>
      <c r="AZ51" s="159"/>
      <c r="BA51" s="97"/>
      <c r="BB51" s="158"/>
      <c r="BC51" s="956"/>
      <c r="BD51" s="956"/>
      <c r="BE51" s="956"/>
      <c r="BF51" s="956"/>
      <c r="BG51" s="956"/>
      <c r="BH51" s="166"/>
      <c r="BL51" s="104"/>
      <c r="BM51" s="104"/>
      <c r="BN51" s="104"/>
      <c r="BO51" s="104"/>
      <c r="BP51" s="104"/>
      <c r="BQ51" s="104"/>
      <c r="BR51" s="104"/>
      <c r="BS51" s="104"/>
    </row>
    <row r="52" spans="2:71" s="160" customFormat="1" ht="19.5" customHeight="1" thickTop="1" thickBot="1">
      <c r="B52" s="168"/>
      <c r="C52" s="1006" t="s">
        <v>121</v>
      </c>
      <c r="D52" s="1007"/>
      <c r="E52" s="1007"/>
      <c r="F52" s="1007"/>
      <c r="G52" s="1007"/>
      <c r="H52" s="1007"/>
      <c r="I52" s="1008"/>
      <c r="J52" s="826" t="s">
        <v>54</v>
      </c>
      <c r="K52" s="827"/>
      <c r="L52" s="827"/>
      <c r="M52" s="1025"/>
      <c r="N52" s="826" t="s">
        <v>19</v>
      </c>
      <c r="O52" s="827"/>
      <c r="P52" s="827"/>
      <c r="Q52" s="828"/>
      <c r="R52" s="165"/>
      <c r="S52" s="821"/>
      <c r="T52" s="822"/>
      <c r="U52" s="822"/>
      <c r="V52" s="822"/>
      <c r="W52" s="823"/>
      <c r="X52" s="824"/>
      <c r="Y52" s="824"/>
      <c r="Z52" s="825"/>
      <c r="AA52" s="967"/>
      <c r="AB52" s="967"/>
      <c r="AC52" s="967"/>
      <c r="AD52" s="967"/>
      <c r="AE52" s="967"/>
      <c r="AF52" s="159"/>
      <c r="AG52" s="159"/>
      <c r="AH52" s="804"/>
      <c r="AI52" s="805"/>
      <c r="AJ52" s="805"/>
      <c r="AK52" s="805"/>
      <c r="AL52" s="802"/>
      <c r="AM52" s="802"/>
      <c r="AN52" s="802"/>
      <c r="AO52" s="803"/>
      <c r="AP52" s="974"/>
      <c r="AQ52" s="974"/>
      <c r="AR52" s="974"/>
      <c r="AS52" s="974"/>
      <c r="AT52" s="974"/>
      <c r="AU52" s="97"/>
      <c r="AV52" s="97"/>
      <c r="AW52" s="159"/>
      <c r="AX52" s="159"/>
      <c r="AY52" s="159"/>
      <c r="AZ52" s="159"/>
      <c r="BA52" s="97"/>
      <c r="BB52" s="158"/>
      <c r="BC52" s="956"/>
      <c r="BD52" s="956"/>
      <c r="BE52" s="956"/>
      <c r="BF52" s="956"/>
      <c r="BG52" s="956"/>
      <c r="BH52" s="166"/>
    </row>
    <row r="53" spans="2:71" s="160" customFormat="1" ht="19.5" customHeight="1" thickTop="1" thickBot="1">
      <c r="B53" s="168"/>
      <c r="C53" s="1009"/>
      <c r="D53" s="1010"/>
      <c r="E53" s="1010"/>
      <c r="F53" s="1010"/>
      <c r="G53" s="1010"/>
      <c r="H53" s="1010"/>
      <c r="I53" s="1011"/>
      <c r="J53" s="997" t="s">
        <v>22</v>
      </c>
      <c r="K53" s="998"/>
      <c r="L53" s="995" t="s">
        <v>21</v>
      </c>
      <c r="M53" s="996"/>
      <c r="N53" s="998" t="s">
        <v>22</v>
      </c>
      <c r="O53" s="999"/>
      <c r="P53" s="999" t="s">
        <v>21</v>
      </c>
      <c r="Q53" s="1000"/>
      <c r="R53" s="165"/>
      <c r="S53" s="821"/>
      <c r="T53" s="822"/>
      <c r="U53" s="822"/>
      <c r="V53" s="822"/>
      <c r="W53" s="823"/>
      <c r="X53" s="824"/>
      <c r="Y53" s="824"/>
      <c r="Z53" s="825"/>
      <c r="AA53" s="967"/>
      <c r="AB53" s="967"/>
      <c r="AC53" s="967"/>
      <c r="AD53" s="967"/>
      <c r="AE53" s="967"/>
      <c r="AF53" s="159"/>
      <c r="AG53" s="159"/>
      <c r="AH53" s="804"/>
      <c r="AI53" s="805"/>
      <c r="AJ53" s="805"/>
      <c r="AK53" s="805"/>
      <c r="AL53" s="802"/>
      <c r="AM53" s="802"/>
      <c r="AN53" s="802"/>
      <c r="AO53" s="803"/>
      <c r="AP53" s="974"/>
      <c r="AQ53" s="974"/>
      <c r="AR53" s="974"/>
      <c r="AS53" s="974"/>
      <c r="AT53" s="974"/>
      <c r="AU53" s="97"/>
      <c r="AV53" s="97"/>
      <c r="AW53" s="159"/>
      <c r="AX53" s="159"/>
      <c r="AY53" s="159"/>
      <c r="AZ53" s="159"/>
      <c r="BA53" s="97"/>
      <c r="BB53" s="158"/>
      <c r="BC53" s="956"/>
      <c r="BD53" s="956"/>
      <c r="BE53" s="956"/>
      <c r="BF53" s="956"/>
      <c r="BG53" s="956"/>
      <c r="BH53" s="166"/>
    </row>
    <row r="54" spans="2:71" s="160" customFormat="1" ht="19.5" customHeight="1" thickTop="1">
      <c r="B54" s="169"/>
      <c r="C54" s="988" t="str">
        <f>IF(J26="使用する","労働者数","直近1年間の採用者数")</f>
        <v>直近1年間の採用者数</v>
      </c>
      <c r="D54" s="989"/>
      <c r="E54" s="989"/>
      <c r="F54" s="989"/>
      <c r="G54" s="989"/>
      <c r="H54" s="989"/>
      <c r="I54" s="990"/>
      <c r="J54" s="993"/>
      <c r="K54" s="994"/>
      <c r="L54" s="1069"/>
      <c r="M54" s="1070"/>
      <c r="N54" s="993"/>
      <c r="O54" s="994"/>
      <c r="P54" s="1069"/>
      <c r="Q54" s="1077"/>
      <c r="R54" s="165"/>
      <c r="S54" s="821"/>
      <c r="T54" s="822"/>
      <c r="U54" s="822"/>
      <c r="V54" s="822"/>
      <c r="W54" s="823"/>
      <c r="X54" s="824"/>
      <c r="Y54" s="824"/>
      <c r="Z54" s="825"/>
      <c r="AA54" s="967"/>
      <c r="AB54" s="967"/>
      <c r="AC54" s="967"/>
      <c r="AD54" s="967"/>
      <c r="AE54" s="967"/>
      <c r="AF54" s="159"/>
      <c r="AG54" s="159"/>
      <c r="AH54" s="804"/>
      <c r="AI54" s="805"/>
      <c r="AJ54" s="805"/>
      <c r="AK54" s="805"/>
      <c r="AL54" s="802"/>
      <c r="AM54" s="802"/>
      <c r="AN54" s="802"/>
      <c r="AO54" s="803"/>
      <c r="AP54" s="974"/>
      <c r="AQ54" s="974"/>
      <c r="AR54" s="974"/>
      <c r="AS54" s="974"/>
      <c r="AT54" s="974"/>
      <c r="AU54" s="97"/>
      <c r="AV54" s="97"/>
      <c r="AW54" s="159"/>
      <c r="AX54" s="159"/>
      <c r="AY54" s="159"/>
      <c r="AZ54" s="159"/>
      <c r="BA54" s="97"/>
      <c r="BB54" s="158"/>
      <c r="BC54" s="956"/>
      <c r="BD54" s="956"/>
      <c r="BE54" s="956"/>
      <c r="BF54" s="956"/>
      <c r="BG54" s="956"/>
      <c r="BH54" s="166"/>
    </row>
    <row r="55" spans="2:71" s="160" customFormat="1" ht="19.5" customHeight="1" thickBot="1">
      <c r="B55" s="170"/>
      <c r="C55" s="1022" t="s">
        <v>1129</v>
      </c>
      <c r="D55" s="1023"/>
      <c r="E55" s="1023"/>
      <c r="F55" s="1023"/>
      <c r="G55" s="1023"/>
      <c r="H55" s="1023"/>
      <c r="I55" s="1024"/>
      <c r="J55" s="1018"/>
      <c r="K55" s="1019"/>
      <c r="L55" s="991"/>
      <c r="M55" s="992"/>
      <c r="N55" s="1015"/>
      <c r="O55" s="1016"/>
      <c r="P55" s="1075"/>
      <c r="Q55" s="1076"/>
      <c r="R55" s="165"/>
      <c r="S55" s="821"/>
      <c r="T55" s="822"/>
      <c r="U55" s="822"/>
      <c r="V55" s="822"/>
      <c r="W55" s="823"/>
      <c r="X55" s="824"/>
      <c r="Y55" s="824"/>
      <c r="Z55" s="825"/>
      <c r="AA55" s="967"/>
      <c r="AB55" s="967"/>
      <c r="AC55" s="967"/>
      <c r="AD55" s="967"/>
      <c r="AE55" s="967"/>
      <c r="AF55" s="159"/>
      <c r="AG55" s="159"/>
      <c r="AH55" s="804"/>
      <c r="AI55" s="805"/>
      <c r="AJ55" s="805"/>
      <c r="AK55" s="805"/>
      <c r="AL55" s="802"/>
      <c r="AM55" s="802"/>
      <c r="AN55" s="802"/>
      <c r="AO55" s="803"/>
      <c r="AP55" s="974"/>
      <c r="AQ55" s="974"/>
      <c r="AR55" s="974"/>
      <c r="AS55" s="974"/>
      <c r="AT55" s="974"/>
      <c r="AU55" s="97"/>
      <c r="AV55" s="97"/>
      <c r="AW55" s="159"/>
      <c r="AX55" s="159"/>
      <c r="AY55" s="159"/>
      <c r="AZ55" s="159"/>
      <c r="BA55" s="97"/>
      <c r="BB55" s="158"/>
      <c r="BC55" s="956"/>
      <c r="BD55" s="956"/>
      <c r="BE55" s="956"/>
      <c r="BF55" s="956"/>
      <c r="BG55" s="956"/>
      <c r="BH55" s="166"/>
    </row>
    <row r="56" spans="2:71" s="160" customFormat="1" ht="19.5" customHeight="1" thickBot="1">
      <c r="B56" s="170"/>
      <c r="C56" s="1022" t="s">
        <v>106</v>
      </c>
      <c r="D56" s="1023"/>
      <c r="E56" s="1023"/>
      <c r="F56" s="1023"/>
      <c r="G56" s="1023"/>
      <c r="H56" s="1023"/>
      <c r="I56" s="1024"/>
      <c r="J56" s="1013"/>
      <c r="K56" s="1014"/>
      <c r="L56" s="1020"/>
      <c r="M56" s="1021"/>
      <c r="N56" s="1017"/>
      <c r="O56" s="1012"/>
      <c r="P56" s="1012"/>
      <c r="Q56" s="1012"/>
      <c r="R56" s="165"/>
      <c r="S56" s="821"/>
      <c r="T56" s="822"/>
      <c r="U56" s="822"/>
      <c r="V56" s="822"/>
      <c r="W56" s="802"/>
      <c r="X56" s="802"/>
      <c r="Y56" s="802"/>
      <c r="Z56" s="803"/>
      <c r="AA56" s="967"/>
      <c r="AB56" s="967"/>
      <c r="AC56" s="967"/>
      <c r="AD56" s="967"/>
      <c r="AE56" s="967"/>
      <c r="AF56" s="159"/>
      <c r="AG56" s="159"/>
      <c r="AH56" s="804"/>
      <c r="AI56" s="805"/>
      <c r="AJ56" s="805"/>
      <c r="AK56" s="805"/>
      <c r="AL56" s="802"/>
      <c r="AM56" s="802"/>
      <c r="AN56" s="802"/>
      <c r="AO56" s="803"/>
      <c r="AP56" s="974"/>
      <c r="AQ56" s="974"/>
      <c r="AR56" s="974"/>
      <c r="AS56" s="974"/>
      <c r="AT56" s="974"/>
      <c r="AU56" s="97"/>
      <c r="AV56" s="97"/>
      <c r="AW56" s="159"/>
      <c r="AX56" s="159"/>
      <c r="AY56" s="159"/>
      <c r="AZ56" s="159"/>
      <c r="BA56" s="97"/>
      <c r="BB56" s="158"/>
      <c r="BC56" s="956"/>
      <c r="BD56" s="956"/>
      <c r="BE56" s="956"/>
      <c r="BF56" s="956"/>
      <c r="BG56" s="956"/>
      <c r="BH56" s="166"/>
    </row>
    <row r="57" spans="2:71" s="73" customFormat="1" ht="19.5" customHeight="1" thickBot="1">
      <c r="B57" s="170"/>
      <c r="C57" s="1065" t="s">
        <v>1199</v>
      </c>
      <c r="D57" s="1066"/>
      <c r="E57" s="1066"/>
      <c r="F57" s="1066"/>
      <c r="G57" s="1066"/>
      <c r="H57" s="1066"/>
      <c r="I57" s="1066"/>
      <c r="J57" s="1073"/>
      <c r="K57" s="1074"/>
      <c r="L57" s="1067"/>
      <c r="M57" s="1068"/>
      <c r="N57" s="1071"/>
      <c r="O57" s="1072"/>
      <c r="P57" s="1078"/>
      <c r="Q57" s="1079"/>
      <c r="R57" s="171"/>
      <c r="S57" s="821"/>
      <c r="T57" s="822"/>
      <c r="U57" s="822"/>
      <c r="V57" s="822"/>
      <c r="W57" s="802"/>
      <c r="X57" s="802"/>
      <c r="Y57" s="802"/>
      <c r="Z57" s="803"/>
      <c r="AA57" s="967"/>
      <c r="AB57" s="967"/>
      <c r="AC57" s="967"/>
      <c r="AD57" s="967"/>
      <c r="AE57" s="967"/>
      <c r="AF57" s="158"/>
      <c r="AG57" s="158"/>
      <c r="AH57" s="964"/>
      <c r="AI57" s="965"/>
      <c r="AJ57" s="965"/>
      <c r="AK57" s="966"/>
      <c r="AL57" s="802"/>
      <c r="AM57" s="802"/>
      <c r="AN57" s="802"/>
      <c r="AO57" s="803"/>
      <c r="AP57" s="974"/>
      <c r="AQ57" s="974"/>
      <c r="AR57" s="974"/>
      <c r="AS57" s="974"/>
      <c r="AT57" s="974"/>
      <c r="AU57" s="97"/>
      <c r="AV57" s="97"/>
      <c r="AW57" s="158"/>
      <c r="AX57" s="158"/>
      <c r="AY57" s="158"/>
      <c r="AZ57" s="158"/>
      <c r="BA57" s="97"/>
      <c r="BB57" s="158"/>
      <c r="BC57" s="956"/>
      <c r="BD57" s="956"/>
      <c r="BE57" s="956"/>
      <c r="BF57" s="956"/>
      <c r="BG57" s="956"/>
      <c r="BH57" s="172"/>
    </row>
    <row r="58" spans="2:71" s="73" customFormat="1" ht="19.5" customHeight="1">
      <c r="B58" s="170"/>
      <c r="C58" s="1048"/>
      <c r="D58" s="1048"/>
      <c r="E58" s="1048"/>
      <c r="F58" s="1048"/>
      <c r="G58" s="1048"/>
      <c r="H58" s="1048"/>
      <c r="I58" s="1048"/>
      <c r="J58" s="1048"/>
      <c r="K58" s="1048"/>
      <c r="L58" s="1048"/>
      <c r="M58" s="1048"/>
      <c r="N58" s="1048"/>
      <c r="O58" s="1048"/>
      <c r="P58" s="1048"/>
      <c r="Q58" s="1048"/>
      <c r="R58" s="171"/>
      <c r="S58" s="821"/>
      <c r="T58" s="822"/>
      <c r="U58" s="822"/>
      <c r="V58" s="822"/>
      <c r="W58" s="802"/>
      <c r="X58" s="802"/>
      <c r="Y58" s="802"/>
      <c r="Z58" s="803"/>
      <c r="AA58" s="967"/>
      <c r="AB58" s="967"/>
      <c r="AC58" s="967"/>
      <c r="AD58" s="967"/>
      <c r="AE58" s="967"/>
      <c r="AF58" s="158"/>
      <c r="AG58" s="158"/>
      <c r="AH58" s="804"/>
      <c r="AI58" s="805"/>
      <c r="AJ58" s="805"/>
      <c r="AK58" s="805"/>
      <c r="AL58" s="802"/>
      <c r="AM58" s="802"/>
      <c r="AN58" s="802"/>
      <c r="AO58" s="803"/>
      <c r="AP58" s="974"/>
      <c r="AQ58" s="974"/>
      <c r="AR58" s="974"/>
      <c r="AS58" s="974"/>
      <c r="AT58" s="974"/>
      <c r="AU58" s="97"/>
      <c r="AV58" s="97"/>
      <c r="AW58" s="158"/>
      <c r="AX58" s="158"/>
      <c r="AY58" s="158"/>
      <c r="AZ58" s="158"/>
      <c r="BA58" s="97"/>
      <c r="BB58" s="158"/>
      <c r="BC58" s="956"/>
      <c r="BD58" s="956"/>
      <c r="BE58" s="956"/>
      <c r="BF58" s="956"/>
      <c r="BG58" s="956"/>
      <c r="BH58" s="172"/>
      <c r="BL58" s="90"/>
      <c r="BM58" s="90"/>
      <c r="BN58" s="90"/>
      <c r="BO58" s="90"/>
      <c r="BP58" s="90"/>
      <c r="BQ58" s="90"/>
      <c r="BR58" s="90"/>
      <c r="BS58" s="90"/>
    </row>
    <row r="59" spans="2:71" ht="19.5" customHeight="1">
      <c r="B59" s="170"/>
      <c r="C59" s="1055" t="s">
        <v>1133</v>
      </c>
      <c r="D59" s="600"/>
      <c r="E59" s="600"/>
      <c r="F59" s="600"/>
      <c r="G59" s="600"/>
      <c r="H59" s="600"/>
      <c r="I59" s="600"/>
      <c r="J59" s="600"/>
      <c r="K59" s="600"/>
      <c r="L59" s="600"/>
      <c r="M59" s="600"/>
      <c r="N59" s="600"/>
      <c r="O59" s="600"/>
      <c r="P59" s="600"/>
      <c r="Q59" s="600"/>
      <c r="R59" s="173"/>
      <c r="S59" s="821"/>
      <c r="T59" s="822"/>
      <c r="U59" s="822"/>
      <c r="V59" s="822"/>
      <c r="W59" s="802"/>
      <c r="X59" s="802"/>
      <c r="Y59" s="802"/>
      <c r="Z59" s="803"/>
      <c r="AA59" s="967"/>
      <c r="AB59" s="967"/>
      <c r="AC59" s="967"/>
      <c r="AD59" s="967"/>
      <c r="AE59" s="967"/>
      <c r="AF59" s="158"/>
      <c r="AG59" s="158"/>
      <c r="AH59" s="804"/>
      <c r="AI59" s="805"/>
      <c r="AJ59" s="805"/>
      <c r="AK59" s="805"/>
      <c r="AL59" s="802"/>
      <c r="AM59" s="802"/>
      <c r="AN59" s="802"/>
      <c r="AO59" s="803"/>
      <c r="AP59" s="974"/>
      <c r="AQ59" s="974"/>
      <c r="AR59" s="974"/>
      <c r="AS59" s="974"/>
      <c r="AT59" s="974"/>
      <c r="AU59" s="97"/>
      <c r="AV59" s="97"/>
      <c r="AW59" s="158"/>
      <c r="AX59" s="158"/>
      <c r="AY59" s="158"/>
      <c r="AZ59" s="158"/>
      <c r="BA59" s="97"/>
      <c r="BB59" s="158"/>
      <c r="BC59" s="956"/>
      <c r="BD59" s="956"/>
      <c r="BE59" s="956"/>
      <c r="BF59" s="956"/>
      <c r="BG59" s="956"/>
      <c r="BH59" s="124"/>
      <c r="BL59" s="90"/>
      <c r="BM59" s="90"/>
      <c r="BN59" s="90"/>
      <c r="BO59" s="90"/>
      <c r="BP59" s="90"/>
      <c r="BQ59" s="90"/>
      <c r="BR59" s="90"/>
      <c r="BS59" s="90"/>
    </row>
    <row r="60" spans="2:71" ht="19.5" customHeight="1">
      <c r="B60" s="170"/>
      <c r="C60" s="600"/>
      <c r="D60" s="600"/>
      <c r="E60" s="600"/>
      <c r="F60" s="600"/>
      <c r="G60" s="600"/>
      <c r="H60" s="600"/>
      <c r="I60" s="600"/>
      <c r="J60" s="600"/>
      <c r="K60" s="600"/>
      <c r="L60" s="600"/>
      <c r="M60" s="600"/>
      <c r="N60" s="600"/>
      <c r="O60" s="600"/>
      <c r="P60" s="600"/>
      <c r="Q60" s="600"/>
      <c r="R60" s="173"/>
      <c r="S60" s="821"/>
      <c r="T60" s="822"/>
      <c r="U60" s="822"/>
      <c r="V60" s="822"/>
      <c r="W60" s="802"/>
      <c r="X60" s="802"/>
      <c r="Y60" s="802"/>
      <c r="Z60" s="803"/>
      <c r="AA60" s="967"/>
      <c r="AB60" s="967"/>
      <c r="AC60" s="967"/>
      <c r="AD60" s="967"/>
      <c r="AE60" s="967"/>
      <c r="AF60" s="158"/>
      <c r="AG60" s="158"/>
      <c r="AH60" s="804"/>
      <c r="AI60" s="805"/>
      <c r="AJ60" s="805"/>
      <c r="AK60" s="805"/>
      <c r="AL60" s="802"/>
      <c r="AM60" s="802"/>
      <c r="AN60" s="802"/>
      <c r="AO60" s="803"/>
      <c r="AP60" s="974"/>
      <c r="AQ60" s="974"/>
      <c r="AR60" s="974"/>
      <c r="AS60" s="974"/>
      <c r="AT60" s="974"/>
      <c r="AU60" s="97"/>
      <c r="AV60" s="97"/>
      <c r="AW60" s="158"/>
      <c r="AX60" s="158"/>
      <c r="AY60" s="158"/>
      <c r="AZ60" s="158"/>
      <c r="BA60" s="97"/>
      <c r="BB60" s="158"/>
      <c r="BC60" s="956"/>
      <c r="BD60" s="956"/>
      <c r="BE60" s="956"/>
      <c r="BF60" s="956"/>
      <c r="BG60" s="956"/>
      <c r="BH60" s="124"/>
      <c r="BL60" s="90"/>
      <c r="BM60" s="90"/>
      <c r="BN60" s="90"/>
      <c r="BO60" s="90"/>
      <c r="BP60" s="90"/>
      <c r="BQ60" s="90"/>
      <c r="BR60" s="90"/>
      <c r="BS60" s="90"/>
    </row>
    <row r="61" spans="2:71" ht="19.5" customHeight="1">
      <c r="B61" s="170"/>
      <c r="C61" s="600"/>
      <c r="D61" s="600"/>
      <c r="E61" s="600"/>
      <c r="F61" s="600"/>
      <c r="G61" s="600"/>
      <c r="H61" s="600"/>
      <c r="I61" s="600"/>
      <c r="J61" s="600"/>
      <c r="K61" s="600"/>
      <c r="L61" s="600"/>
      <c r="M61" s="600"/>
      <c r="N61" s="600"/>
      <c r="O61" s="600"/>
      <c r="P61" s="600"/>
      <c r="Q61" s="600"/>
      <c r="R61" s="381"/>
      <c r="S61" s="821"/>
      <c r="T61" s="822"/>
      <c r="U61" s="822"/>
      <c r="V61" s="822"/>
      <c r="W61" s="802"/>
      <c r="X61" s="802"/>
      <c r="Y61" s="802"/>
      <c r="Z61" s="803"/>
      <c r="AA61" s="967"/>
      <c r="AB61" s="967"/>
      <c r="AC61" s="967"/>
      <c r="AD61" s="967"/>
      <c r="AE61" s="967"/>
      <c r="AF61" s="158"/>
      <c r="AG61" s="158"/>
      <c r="AH61" s="804"/>
      <c r="AI61" s="805"/>
      <c r="AJ61" s="805"/>
      <c r="AK61" s="805"/>
      <c r="AL61" s="802"/>
      <c r="AM61" s="802"/>
      <c r="AN61" s="802"/>
      <c r="AO61" s="803"/>
      <c r="AP61" s="974"/>
      <c r="AQ61" s="974"/>
      <c r="AR61" s="974"/>
      <c r="AS61" s="974"/>
      <c r="AT61" s="974"/>
      <c r="AU61" s="97"/>
      <c r="AV61" s="97"/>
      <c r="AW61" s="158"/>
      <c r="AX61" s="158"/>
      <c r="AY61" s="158"/>
      <c r="AZ61" s="158"/>
      <c r="BA61" s="97"/>
      <c r="BB61" s="158"/>
      <c r="BC61" s="956"/>
      <c r="BD61" s="956"/>
      <c r="BE61" s="956"/>
      <c r="BF61" s="956"/>
      <c r="BG61" s="956"/>
      <c r="BH61" s="124"/>
      <c r="BL61" s="90"/>
      <c r="BM61" s="90"/>
      <c r="BN61" s="90"/>
      <c r="BO61" s="90"/>
      <c r="BP61" s="90"/>
      <c r="BQ61" s="90"/>
      <c r="BR61" s="90"/>
      <c r="BS61" s="90"/>
    </row>
    <row r="62" spans="2:71" ht="19.2" customHeight="1" thickBot="1">
      <c r="B62" s="170"/>
      <c r="C62" s="600"/>
      <c r="D62" s="600"/>
      <c r="E62" s="600"/>
      <c r="F62" s="600"/>
      <c r="G62" s="600"/>
      <c r="H62" s="600"/>
      <c r="I62" s="600"/>
      <c r="J62" s="600"/>
      <c r="K62" s="600"/>
      <c r="L62" s="600"/>
      <c r="M62" s="600"/>
      <c r="N62" s="600"/>
      <c r="O62" s="600"/>
      <c r="P62" s="600"/>
      <c r="Q62" s="600"/>
      <c r="R62" s="381"/>
      <c r="S62" s="968"/>
      <c r="T62" s="969"/>
      <c r="U62" s="969"/>
      <c r="V62" s="970"/>
      <c r="W62" s="971"/>
      <c r="X62" s="971"/>
      <c r="Y62" s="971"/>
      <c r="Z62" s="972"/>
      <c r="AA62" s="967"/>
      <c r="AB62" s="967"/>
      <c r="AC62" s="967"/>
      <c r="AD62" s="967"/>
      <c r="AE62" s="967"/>
      <c r="AF62" s="158"/>
      <c r="AG62" s="158"/>
      <c r="AH62" s="961"/>
      <c r="AI62" s="962"/>
      <c r="AJ62" s="962"/>
      <c r="AK62" s="963"/>
      <c r="AL62" s="971"/>
      <c r="AM62" s="971"/>
      <c r="AN62" s="971"/>
      <c r="AO62" s="972"/>
      <c r="AP62" s="974"/>
      <c r="AQ62" s="974"/>
      <c r="AR62" s="974"/>
      <c r="AS62" s="974"/>
      <c r="AT62" s="974"/>
      <c r="AU62" s="97"/>
      <c r="AV62" s="97"/>
      <c r="AW62" s="158"/>
      <c r="AX62" s="158"/>
      <c r="AY62" s="158"/>
      <c r="AZ62" s="158"/>
      <c r="BA62" s="97"/>
      <c r="BB62" s="158"/>
      <c r="BC62" s="158"/>
      <c r="BD62" s="158"/>
      <c r="BE62" s="158"/>
      <c r="BF62" s="158"/>
      <c r="BG62" s="158"/>
      <c r="BH62" s="124"/>
    </row>
    <row r="63" spans="2:71" ht="6" customHeight="1" thickBot="1">
      <c r="B63" s="174"/>
      <c r="C63" s="1056"/>
      <c r="D63" s="1056"/>
      <c r="E63" s="1056"/>
      <c r="F63" s="1056"/>
      <c r="G63" s="1056"/>
      <c r="H63" s="1056"/>
      <c r="I63" s="1056"/>
      <c r="J63" s="1056"/>
      <c r="K63" s="1056"/>
      <c r="L63" s="1056"/>
      <c r="M63" s="1056"/>
      <c r="N63" s="1056"/>
      <c r="O63" s="1056"/>
      <c r="P63" s="1056"/>
      <c r="Q63" s="1056"/>
      <c r="R63" s="17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6"/>
    </row>
    <row r="64" spans="2:71" ht="7.05" customHeight="1">
      <c r="C64" s="177"/>
      <c r="AK64" s="178"/>
    </row>
    <row r="65" spans="2:53" s="73" customFormat="1" ht="13.05" hidden="1" customHeight="1">
      <c r="B65" s="179"/>
      <c r="S65" s="16"/>
      <c r="T65" s="16"/>
      <c r="U65" s="16"/>
      <c r="V65" s="16"/>
      <c r="W65" s="16"/>
      <c r="X65" s="16"/>
      <c r="Y65" s="16"/>
      <c r="AF65" s="16"/>
      <c r="AG65" s="16"/>
      <c r="AH65" s="16"/>
      <c r="AI65" s="16"/>
      <c r="AJ65" s="16"/>
      <c r="AK65" s="16"/>
      <c r="AL65" s="16"/>
      <c r="AM65" s="16"/>
      <c r="AN65" s="16"/>
      <c r="AO65" s="16"/>
      <c r="AP65" s="16"/>
      <c r="AQ65" s="16"/>
      <c r="AR65" s="16"/>
      <c r="AS65" s="16"/>
      <c r="AT65" s="16"/>
    </row>
    <row r="66" spans="2:53" s="73" customFormat="1" ht="13.05" hidden="1" customHeight="1">
      <c r="B66" s="179"/>
      <c r="S66" s="16"/>
      <c r="T66" s="111" t="b">
        <f>COUNTIF(S37,"")&gt;0</f>
        <v>0</v>
      </c>
      <c r="U66" s="111"/>
      <c r="V66" s="111"/>
      <c r="W66" s="111" t="b">
        <f>COUNTIF(W37,"")&gt;0</f>
        <v>0</v>
      </c>
      <c r="X66" s="203" t="b">
        <f>IF(EXACT(T66,W66),TRUE,IF(T66=FALSE,1,2))</f>
        <v>1</v>
      </c>
      <c r="Y66" s="180"/>
      <c r="Z66" s="111"/>
      <c r="AA66" s="111"/>
      <c r="AB66" s="111"/>
      <c r="AC66" s="111"/>
      <c r="AD66" s="111"/>
      <c r="AE66" s="111"/>
      <c r="AF66" s="111"/>
      <c r="AG66" s="111"/>
      <c r="AH66" s="111" t="b">
        <f>COUNTIF(AH37,"")&gt;0</f>
        <v>0</v>
      </c>
      <c r="AI66" s="180"/>
      <c r="AJ66" s="180"/>
      <c r="AK66" s="111"/>
      <c r="AL66" s="111" t="b">
        <f>COUNTIF(AL37,"")&gt;0</f>
        <v>0</v>
      </c>
      <c r="AM66" s="180"/>
      <c r="AN66" s="203" t="b">
        <f>IF(EXACT(AH66,AL66),TRUE,IF(AH66=FALSE,1,2))</f>
        <v>1</v>
      </c>
      <c r="AO66" s="180"/>
      <c r="AP66" s="180"/>
      <c r="AQ66" s="180"/>
      <c r="AR66" s="180"/>
      <c r="AS66" s="180"/>
      <c r="AT66" s="180"/>
      <c r="AU66" s="111"/>
      <c r="AV66" s="111"/>
      <c r="AW66" s="111"/>
      <c r="AX66" s="111" t="b">
        <f>COUNTIF(AW37,"")&gt;0</f>
        <v>0</v>
      </c>
      <c r="AY66" s="111" t="b">
        <f>COUNTIF(AZ37,"")&gt;0</f>
        <v>0</v>
      </c>
      <c r="AZ66" s="180"/>
      <c r="BA66" s="203" t="b">
        <f>IF(EXACT(AY66,AX66),TRUE,IF(AX66=FALSE,1,2))</f>
        <v>1</v>
      </c>
    </row>
    <row r="67" spans="2:53" s="73" customFormat="1" ht="13.05" hidden="1" customHeight="1">
      <c r="B67" s="179"/>
      <c r="S67" s="16"/>
      <c r="T67" s="111" t="b">
        <f>COUNTIF(S38,"")&gt;0</f>
        <v>0</v>
      </c>
      <c r="U67" s="111"/>
      <c r="V67" s="111"/>
      <c r="W67" s="111" t="b">
        <f t="shared" ref="W67:W91" si="0">COUNTIF(W38,"")&gt;0</f>
        <v>0</v>
      </c>
      <c r="X67" s="203" t="b">
        <f t="shared" ref="X67:X91" si="1">IF(EXACT(T67,W67),TRUE,IF(T67=FALSE,1,2))</f>
        <v>1</v>
      </c>
      <c r="Y67" s="180"/>
      <c r="Z67" s="111"/>
      <c r="AA67" s="111"/>
      <c r="AB67" s="111"/>
      <c r="AC67" s="111"/>
      <c r="AD67" s="111"/>
      <c r="AE67" s="111"/>
      <c r="AF67" s="111"/>
      <c r="AG67" s="111"/>
      <c r="AH67" s="111" t="b">
        <f t="shared" ref="AH67:AH91" si="2">COUNTIF(AH38,"")&gt;0</f>
        <v>0</v>
      </c>
      <c r="AI67" s="180"/>
      <c r="AJ67" s="180"/>
      <c r="AK67" s="111"/>
      <c r="AL67" s="111" t="b">
        <f t="shared" ref="AL67:AL91" si="3">COUNTIF(AL38,"")&gt;0</f>
        <v>0</v>
      </c>
      <c r="AM67" s="180"/>
      <c r="AN67" s="203" t="b">
        <f t="shared" ref="AN67:AN91" si="4">IF(EXACT(AH67,AL67),TRUE,IF(AH67=FALSE,1,2))</f>
        <v>1</v>
      </c>
      <c r="AO67" s="180"/>
      <c r="AP67" s="180"/>
      <c r="AQ67" s="180"/>
      <c r="AR67" s="180"/>
      <c r="AS67" s="180"/>
      <c r="AT67" s="180"/>
      <c r="AU67" s="111"/>
      <c r="AV67" s="111"/>
      <c r="AW67" s="111"/>
      <c r="AX67" s="111" t="b">
        <f>COUNTIF(AW38,"")&gt;0</f>
        <v>0</v>
      </c>
      <c r="AY67" s="111" t="b">
        <f>COUNTIF(AZ38,"")&gt;0</f>
        <v>0</v>
      </c>
      <c r="AZ67" s="180"/>
      <c r="BA67" s="203" t="b">
        <f>IF(EXACT(AY67,AX67),TRUE,IF(AX67=FALSE,1,2))</f>
        <v>1</v>
      </c>
    </row>
    <row r="68" spans="2:53" s="73" customFormat="1" ht="13.05" hidden="1" customHeight="1">
      <c r="B68" s="179"/>
      <c r="S68" s="16"/>
      <c r="T68" s="111" t="b">
        <f>COUNTIF(S39,"")&gt;0</f>
        <v>0</v>
      </c>
      <c r="U68" s="111"/>
      <c r="V68" s="111"/>
      <c r="W68" s="111" t="b">
        <f t="shared" si="0"/>
        <v>0</v>
      </c>
      <c r="X68" s="203" t="b">
        <f t="shared" si="1"/>
        <v>1</v>
      </c>
      <c r="Y68" s="111"/>
      <c r="Z68" s="111"/>
      <c r="AA68" s="111"/>
      <c r="AB68" s="111"/>
      <c r="AC68" s="111"/>
      <c r="AD68" s="111"/>
      <c r="AE68" s="111"/>
      <c r="AF68" s="111"/>
      <c r="AG68" s="111"/>
      <c r="AH68" s="111" t="b">
        <f t="shared" si="2"/>
        <v>0</v>
      </c>
      <c r="AI68" s="180"/>
      <c r="AJ68" s="180"/>
      <c r="AK68" s="111"/>
      <c r="AL68" s="111" t="b">
        <f t="shared" si="3"/>
        <v>0</v>
      </c>
      <c r="AM68" s="180"/>
      <c r="AN68" s="203" t="b">
        <f t="shared" si="4"/>
        <v>1</v>
      </c>
      <c r="AO68" s="180"/>
      <c r="AP68" s="180"/>
      <c r="AQ68" s="180"/>
      <c r="AR68" s="180"/>
      <c r="AS68" s="180"/>
      <c r="AT68" s="180"/>
      <c r="AU68" s="111"/>
      <c r="AV68" s="111"/>
      <c r="AW68" s="111"/>
      <c r="AX68" s="180"/>
      <c r="AY68" s="180"/>
      <c r="AZ68" s="180"/>
    </row>
    <row r="69" spans="2:53" s="73" customFormat="1" ht="13.05" hidden="1" customHeight="1">
      <c r="B69" s="179"/>
      <c r="S69" s="16"/>
      <c r="T69" s="111" t="b">
        <f t="shared" ref="T69:T91" si="5">COUNTIF(S40,"")&gt;0</f>
        <v>1</v>
      </c>
      <c r="U69" s="111"/>
      <c r="V69" s="111"/>
      <c r="W69" s="111" t="b">
        <f t="shared" si="0"/>
        <v>1</v>
      </c>
      <c r="X69" s="203" t="b">
        <f t="shared" si="1"/>
        <v>1</v>
      </c>
      <c r="Y69" s="111"/>
      <c r="Z69" s="111"/>
      <c r="AA69" s="111"/>
      <c r="AB69" s="111"/>
      <c r="AC69" s="111"/>
      <c r="AD69" s="111"/>
      <c r="AE69" s="111"/>
      <c r="AF69" s="111"/>
      <c r="AG69" s="111"/>
      <c r="AH69" s="111" t="b">
        <f t="shared" si="2"/>
        <v>1</v>
      </c>
      <c r="AI69" s="180"/>
      <c r="AJ69" s="180"/>
      <c r="AK69" s="111"/>
      <c r="AL69" s="111" t="b">
        <f t="shared" si="3"/>
        <v>1</v>
      </c>
      <c r="AM69" s="180"/>
      <c r="AN69" s="203" t="b">
        <f t="shared" si="4"/>
        <v>1</v>
      </c>
      <c r="AO69" s="180"/>
      <c r="AP69" s="180"/>
      <c r="AQ69" s="180"/>
      <c r="AR69" s="180"/>
      <c r="AS69" s="180"/>
      <c r="AT69" s="180"/>
      <c r="AU69" s="111"/>
      <c r="AV69" s="111"/>
      <c r="AW69" s="111"/>
      <c r="AX69" s="180"/>
      <c r="AY69" s="180"/>
      <c r="AZ69" s="180"/>
    </row>
    <row r="70" spans="2:53" s="73" customFormat="1" ht="13.05" hidden="1" customHeight="1">
      <c r="B70" s="179"/>
      <c r="S70" s="16"/>
      <c r="T70" s="111" t="b">
        <f t="shared" si="5"/>
        <v>1</v>
      </c>
      <c r="U70" s="111"/>
      <c r="V70" s="111"/>
      <c r="W70" s="111" t="b">
        <f t="shared" si="0"/>
        <v>1</v>
      </c>
      <c r="X70" s="203" t="b">
        <f t="shared" si="1"/>
        <v>1</v>
      </c>
      <c r="Y70" s="111"/>
      <c r="Z70" s="111"/>
      <c r="AA70" s="111"/>
      <c r="AB70" s="111"/>
      <c r="AC70" s="111"/>
      <c r="AD70" s="111"/>
      <c r="AE70" s="111"/>
      <c r="AF70" s="111"/>
      <c r="AG70" s="111"/>
      <c r="AH70" s="111" t="b">
        <f t="shared" si="2"/>
        <v>1</v>
      </c>
      <c r="AI70" s="180"/>
      <c r="AJ70" s="180"/>
      <c r="AK70" s="111"/>
      <c r="AL70" s="111" t="b">
        <f t="shared" si="3"/>
        <v>1</v>
      </c>
      <c r="AM70" s="180"/>
      <c r="AN70" s="203" t="b">
        <f t="shared" si="4"/>
        <v>1</v>
      </c>
      <c r="AO70" s="180"/>
      <c r="AP70" s="180"/>
      <c r="AQ70" s="180"/>
      <c r="AR70" s="180"/>
      <c r="AS70" s="180"/>
      <c r="AT70" s="180"/>
      <c r="AU70" s="111"/>
      <c r="AV70" s="111"/>
      <c r="AW70" s="111"/>
      <c r="AX70" s="180"/>
      <c r="AY70" s="180"/>
      <c r="AZ70" s="180"/>
    </row>
    <row r="71" spans="2:53" s="73" customFormat="1" ht="13.05" hidden="1" customHeight="1">
      <c r="B71" s="179"/>
      <c r="S71" s="16"/>
      <c r="T71" s="111" t="b">
        <f t="shared" si="5"/>
        <v>1</v>
      </c>
      <c r="U71" s="111"/>
      <c r="V71" s="111"/>
      <c r="W71" s="111" t="b">
        <f t="shared" si="0"/>
        <v>1</v>
      </c>
      <c r="X71" s="203" t="b">
        <f t="shared" si="1"/>
        <v>1</v>
      </c>
      <c r="Y71" s="111"/>
      <c r="Z71" s="111"/>
      <c r="AA71" s="111"/>
      <c r="AB71" s="111"/>
      <c r="AC71" s="111"/>
      <c r="AD71" s="111"/>
      <c r="AE71" s="111"/>
      <c r="AF71" s="111"/>
      <c r="AG71" s="111"/>
      <c r="AH71" s="111" t="b">
        <f t="shared" si="2"/>
        <v>1</v>
      </c>
      <c r="AI71" s="180"/>
      <c r="AJ71" s="180"/>
      <c r="AK71" s="111"/>
      <c r="AL71" s="111" t="b">
        <f t="shared" si="3"/>
        <v>1</v>
      </c>
      <c r="AM71" s="180"/>
      <c r="AN71" s="203" t="b">
        <f t="shared" si="4"/>
        <v>1</v>
      </c>
      <c r="AO71" s="180"/>
      <c r="AP71" s="180"/>
      <c r="AQ71" s="180"/>
      <c r="AR71" s="180"/>
      <c r="AS71" s="180"/>
      <c r="AT71" s="180"/>
      <c r="AU71" s="111"/>
      <c r="AV71" s="111"/>
      <c r="AW71" s="111"/>
      <c r="AX71" s="180"/>
      <c r="AY71" s="180"/>
      <c r="AZ71" s="180"/>
    </row>
    <row r="72" spans="2:53" s="73" customFormat="1" ht="13.05" hidden="1" customHeight="1">
      <c r="B72" s="179"/>
      <c r="S72" s="16"/>
      <c r="T72" s="111" t="b">
        <f t="shared" si="5"/>
        <v>1</v>
      </c>
      <c r="U72" s="111"/>
      <c r="V72" s="111"/>
      <c r="W72" s="111" t="b">
        <f t="shared" si="0"/>
        <v>1</v>
      </c>
      <c r="X72" s="203" t="b">
        <f t="shared" si="1"/>
        <v>1</v>
      </c>
      <c r="Y72" s="111"/>
      <c r="Z72" s="111"/>
      <c r="AA72" s="111"/>
      <c r="AB72" s="111"/>
      <c r="AC72" s="111"/>
      <c r="AD72" s="111"/>
      <c r="AE72" s="111"/>
      <c r="AF72" s="111"/>
      <c r="AG72" s="111"/>
      <c r="AH72" s="111" t="b">
        <f t="shared" si="2"/>
        <v>1</v>
      </c>
      <c r="AI72" s="180"/>
      <c r="AJ72" s="180"/>
      <c r="AK72" s="111"/>
      <c r="AL72" s="111" t="b">
        <f t="shared" si="3"/>
        <v>1</v>
      </c>
      <c r="AM72" s="180"/>
      <c r="AN72" s="203" t="b">
        <f t="shared" si="4"/>
        <v>1</v>
      </c>
      <c r="AO72" s="180"/>
      <c r="AP72" s="180"/>
      <c r="AQ72" s="180"/>
      <c r="AR72" s="180"/>
      <c r="AS72" s="180"/>
      <c r="AT72" s="180"/>
      <c r="AU72" s="111"/>
      <c r="AV72" s="111"/>
      <c r="AW72" s="111"/>
      <c r="AX72" s="180"/>
      <c r="AY72" s="180"/>
      <c r="AZ72" s="180"/>
    </row>
    <row r="73" spans="2:53" s="73" customFormat="1" ht="13.05" hidden="1" customHeight="1">
      <c r="B73" s="179"/>
      <c r="S73" s="16"/>
      <c r="T73" s="111" t="b">
        <f t="shared" si="5"/>
        <v>1</v>
      </c>
      <c r="U73" s="111"/>
      <c r="V73" s="111"/>
      <c r="W73" s="111" t="b">
        <f t="shared" si="0"/>
        <v>1</v>
      </c>
      <c r="X73" s="203" t="b">
        <f t="shared" si="1"/>
        <v>1</v>
      </c>
      <c r="Y73" s="111"/>
      <c r="Z73" s="111"/>
      <c r="AA73" s="111"/>
      <c r="AB73" s="111"/>
      <c r="AC73" s="111"/>
      <c r="AD73" s="111"/>
      <c r="AE73" s="111"/>
      <c r="AF73" s="111"/>
      <c r="AG73" s="111"/>
      <c r="AH73" s="111" t="b">
        <f t="shared" si="2"/>
        <v>1</v>
      </c>
      <c r="AI73" s="180"/>
      <c r="AJ73" s="180"/>
      <c r="AK73" s="111"/>
      <c r="AL73" s="111" t="b">
        <f t="shared" si="3"/>
        <v>1</v>
      </c>
      <c r="AM73" s="180"/>
      <c r="AN73" s="203" t="b">
        <f t="shared" si="4"/>
        <v>1</v>
      </c>
      <c r="AO73" s="180"/>
      <c r="AP73" s="180"/>
      <c r="AQ73" s="180"/>
      <c r="AR73" s="180"/>
      <c r="AS73" s="180"/>
      <c r="AT73" s="180"/>
      <c r="AU73" s="111"/>
      <c r="AV73" s="111"/>
      <c r="AW73" s="111"/>
      <c r="AX73" s="180"/>
      <c r="AY73" s="180"/>
      <c r="AZ73" s="180"/>
    </row>
    <row r="74" spans="2:53" s="73" customFormat="1" ht="13.05" hidden="1" customHeight="1">
      <c r="B74" s="179"/>
      <c r="S74" s="16"/>
      <c r="T74" s="111" t="b">
        <f t="shared" si="5"/>
        <v>1</v>
      </c>
      <c r="U74" s="111"/>
      <c r="V74" s="111"/>
      <c r="W74" s="111" t="b">
        <f t="shared" si="0"/>
        <v>1</v>
      </c>
      <c r="X74" s="203" t="b">
        <f t="shared" si="1"/>
        <v>1</v>
      </c>
      <c r="Y74" s="111"/>
      <c r="Z74" s="111"/>
      <c r="AA74" s="111"/>
      <c r="AB74" s="111"/>
      <c r="AC74" s="111"/>
      <c r="AD74" s="111"/>
      <c r="AE74" s="111"/>
      <c r="AF74" s="111"/>
      <c r="AG74" s="111"/>
      <c r="AH74" s="111" t="b">
        <f t="shared" si="2"/>
        <v>1</v>
      </c>
      <c r="AI74" s="180"/>
      <c r="AJ74" s="180"/>
      <c r="AK74" s="111"/>
      <c r="AL74" s="111" t="b">
        <f t="shared" si="3"/>
        <v>1</v>
      </c>
      <c r="AM74" s="180"/>
      <c r="AN74" s="203" t="b">
        <f t="shared" si="4"/>
        <v>1</v>
      </c>
      <c r="AO74" s="180"/>
      <c r="AP74" s="180"/>
      <c r="AQ74" s="180"/>
      <c r="AR74" s="180"/>
      <c r="AS74" s="180"/>
      <c r="AT74" s="180"/>
      <c r="AU74" s="111"/>
      <c r="AV74" s="111"/>
      <c r="AW74" s="111"/>
      <c r="AX74" s="180"/>
      <c r="AY74" s="180"/>
      <c r="AZ74" s="180"/>
    </row>
    <row r="75" spans="2:53" s="73" customFormat="1" ht="13.05" hidden="1" customHeight="1">
      <c r="B75" s="179"/>
      <c r="S75" s="16"/>
      <c r="T75" s="111" t="b">
        <f t="shared" si="5"/>
        <v>1</v>
      </c>
      <c r="U75" s="111"/>
      <c r="V75" s="111"/>
      <c r="W75" s="111" t="b">
        <f t="shared" si="0"/>
        <v>1</v>
      </c>
      <c r="X75" s="203" t="b">
        <f t="shared" si="1"/>
        <v>1</v>
      </c>
      <c r="Y75" s="111"/>
      <c r="Z75" s="111"/>
      <c r="AA75" s="111"/>
      <c r="AB75" s="111"/>
      <c r="AC75" s="111"/>
      <c r="AD75" s="111"/>
      <c r="AE75" s="111"/>
      <c r="AF75" s="111"/>
      <c r="AG75" s="111"/>
      <c r="AH75" s="111" t="b">
        <f t="shared" si="2"/>
        <v>1</v>
      </c>
      <c r="AI75" s="180"/>
      <c r="AJ75" s="180"/>
      <c r="AK75" s="111"/>
      <c r="AL75" s="111" t="b">
        <f t="shared" si="3"/>
        <v>1</v>
      </c>
      <c r="AM75" s="180"/>
      <c r="AN75" s="203" t="b">
        <f t="shared" si="4"/>
        <v>1</v>
      </c>
      <c r="AO75" s="180"/>
      <c r="AP75" s="180"/>
      <c r="AQ75" s="180"/>
      <c r="AR75" s="180"/>
      <c r="AS75" s="180"/>
      <c r="AT75" s="180"/>
      <c r="AU75" s="111"/>
      <c r="AV75" s="111"/>
      <c r="AW75" s="111"/>
      <c r="AX75" s="180"/>
      <c r="AY75" s="180"/>
      <c r="AZ75" s="180"/>
    </row>
    <row r="76" spans="2:53" s="73" customFormat="1" ht="13.05" hidden="1" customHeight="1">
      <c r="B76" s="179"/>
      <c r="S76" s="16"/>
      <c r="T76" s="111" t="b">
        <f t="shared" si="5"/>
        <v>1</v>
      </c>
      <c r="U76" s="111"/>
      <c r="V76" s="111"/>
      <c r="W76" s="111" t="b">
        <f t="shared" si="0"/>
        <v>1</v>
      </c>
      <c r="X76" s="203" t="b">
        <f t="shared" si="1"/>
        <v>1</v>
      </c>
      <c r="Y76" s="111"/>
      <c r="Z76" s="111"/>
      <c r="AA76" s="111"/>
      <c r="AB76" s="111"/>
      <c r="AC76" s="111"/>
      <c r="AD76" s="111"/>
      <c r="AE76" s="111"/>
      <c r="AF76" s="111"/>
      <c r="AG76" s="111"/>
      <c r="AH76" s="111" t="b">
        <f t="shared" si="2"/>
        <v>1</v>
      </c>
      <c r="AI76" s="180"/>
      <c r="AJ76" s="180"/>
      <c r="AK76" s="111"/>
      <c r="AL76" s="111" t="b">
        <f t="shared" si="3"/>
        <v>1</v>
      </c>
      <c r="AM76" s="180"/>
      <c r="AN76" s="203" t="b">
        <f t="shared" si="4"/>
        <v>1</v>
      </c>
      <c r="AO76" s="180"/>
      <c r="AP76" s="180"/>
      <c r="AQ76" s="180"/>
      <c r="AR76" s="180"/>
      <c r="AS76" s="180"/>
      <c r="AT76" s="180"/>
      <c r="AU76" s="111"/>
      <c r="AV76" s="111"/>
      <c r="AW76" s="111"/>
      <c r="AX76" s="180"/>
      <c r="AY76" s="180"/>
      <c r="AZ76" s="180"/>
    </row>
    <row r="77" spans="2:53" s="73" customFormat="1" ht="13.05" hidden="1" customHeight="1">
      <c r="B77" s="179"/>
      <c r="S77" s="16"/>
      <c r="T77" s="111" t="b">
        <f t="shared" si="5"/>
        <v>1</v>
      </c>
      <c r="U77" s="111"/>
      <c r="V77" s="111"/>
      <c r="W77" s="111" t="b">
        <f t="shared" si="0"/>
        <v>1</v>
      </c>
      <c r="X77" s="203" t="b">
        <f t="shared" si="1"/>
        <v>1</v>
      </c>
      <c r="Y77" s="111"/>
      <c r="Z77" s="111"/>
      <c r="AA77" s="111"/>
      <c r="AB77" s="111"/>
      <c r="AC77" s="111"/>
      <c r="AD77" s="111"/>
      <c r="AE77" s="111"/>
      <c r="AF77" s="111"/>
      <c r="AG77" s="111"/>
      <c r="AH77" s="111" t="b">
        <f t="shared" si="2"/>
        <v>1</v>
      </c>
      <c r="AI77" s="180"/>
      <c r="AJ77" s="180"/>
      <c r="AK77" s="111"/>
      <c r="AL77" s="111" t="b">
        <f t="shared" si="3"/>
        <v>1</v>
      </c>
      <c r="AM77" s="180"/>
      <c r="AN77" s="203" t="b">
        <f t="shared" si="4"/>
        <v>1</v>
      </c>
      <c r="AO77" s="180"/>
      <c r="AP77" s="180"/>
      <c r="AQ77" s="180"/>
      <c r="AR77" s="180"/>
      <c r="AS77" s="180"/>
      <c r="AT77" s="180"/>
      <c r="AU77" s="111"/>
      <c r="AV77" s="111"/>
      <c r="AW77" s="111"/>
      <c r="AX77" s="180"/>
      <c r="AY77" s="180"/>
      <c r="AZ77" s="180"/>
    </row>
    <row r="78" spans="2:53" s="73" customFormat="1" ht="13.05" hidden="1" customHeight="1">
      <c r="B78" s="179"/>
      <c r="S78" s="16"/>
      <c r="T78" s="111" t="b">
        <f t="shared" si="5"/>
        <v>1</v>
      </c>
      <c r="U78" s="111"/>
      <c r="V78" s="111"/>
      <c r="W78" s="111" t="b">
        <f t="shared" si="0"/>
        <v>1</v>
      </c>
      <c r="X78" s="203" t="b">
        <f t="shared" si="1"/>
        <v>1</v>
      </c>
      <c r="Y78" s="111"/>
      <c r="Z78" s="111"/>
      <c r="AA78" s="111"/>
      <c r="AB78" s="111"/>
      <c r="AC78" s="111"/>
      <c r="AD78" s="111"/>
      <c r="AE78" s="111"/>
      <c r="AF78" s="111"/>
      <c r="AG78" s="111"/>
      <c r="AH78" s="111" t="b">
        <f t="shared" si="2"/>
        <v>1</v>
      </c>
      <c r="AI78" s="180"/>
      <c r="AJ78" s="180"/>
      <c r="AK78" s="111"/>
      <c r="AL78" s="111" t="b">
        <f t="shared" si="3"/>
        <v>1</v>
      </c>
      <c r="AM78" s="180"/>
      <c r="AN78" s="203" t="b">
        <f t="shared" si="4"/>
        <v>1</v>
      </c>
      <c r="AO78" s="180"/>
      <c r="AP78" s="180"/>
      <c r="AQ78" s="180"/>
      <c r="AR78" s="180"/>
      <c r="AS78" s="180"/>
      <c r="AT78" s="180"/>
      <c r="AU78" s="111"/>
      <c r="AV78" s="111"/>
      <c r="AW78" s="111"/>
      <c r="AX78" s="180"/>
      <c r="AY78" s="180"/>
      <c r="AZ78" s="180"/>
    </row>
    <row r="79" spans="2:53" s="73" customFormat="1" ht="13.05" hidden="1" customHeight="1">
      <c r="B79" s="179"/>
      <c r="S79" s="16"/>
      <c r="T79" s="111" t="b">
        <f t="shared" si="5"/>
        <v>1</v>
      </c>
      <c r="U79" s="111"/>
      <c r="V79" s="111"/>
      <c r="W79" s="111" t="b">
        <f t="shared" si="0"/>
        <v>1</v>
      </c>
      <c r="X79" s="203" t="b">
        <f t="shared" si="1"/>
        <v>1</v>
      </c>
      <c r="Y79" s="111"/>
      <c r="Z79" s="111"/>
      <c r="AA79" s="111"/>
      <c r="AB79" s="111"/>
      <c r="AC79" s="111"/>
      <c r="AD79" s="111"/>
      <c r="AE79" s="111"/>
      <c r="AF79" s="111"/>
      <c r="AG79" s="111"/>
      <c r="AH79" s="111" t="b">
        <f t="shared" si="2"/>
        <v>1</v>
      </c>
      <c r="AI79" s="180"/>
      <c r="AJ79" s="180"/>
      <c r="AK79" s="111"/>
      <c r="AL79" s="111" t="b">
        <f t="shared" si="3"/>
        <v>1</v>
      </c>
      <c r="AM79" s="180"/>
      <c r="AN79" s="203" t="b">
        <f t="shared" si="4"/>
        <v>1</v>
      </c>
      <c r="AO79" s="180"/>
      <c r="AP79" s="180"/>
      <c r="AQ79" s="180"/>
      <c r="AR79" s="180"/>
      <c r="AS79" s="180"/>
      <c r="AT79" s="180"/>
      <c r="AU79" s="111"/>
      <c r="AV79" s="111"/>
      <c r="AW79" s="111"/>
      <c r="AX79" s="180"/>
      <c r="AY79" s="180"/>
      <c r="AZ79" s="180"/>
    </row>
    <row r="80" spans="2:53" s="73" customFormat="1" ht="13.05" hidden="1" customHeight="1">
      <c r="B80" s="179"/>
      <c r="S80" s="16"/>
      <c r="T80" s="111" t="b">
        <f t="shared" si="5"/>
        <v>1</v>
      </c>
      <c r="U80" s="111"/>
      <c r="V80" s="111"/>
      <c r="W80" s="111" t="b">
        <f t="shared" si="0"/>
        <v>1</v>
      </c>
      <c r="X80" s="203" t="b">
        <f t="shared" si="1"/>
        <v>1</v>
      </c>
      <c r="Y80" s="111"/>
      <c r="Z80" s="111"/>
      <c r="AA80" s="111"/>
      <c r="AB80" s="111"/>
      <c r="AC80" s="111"/>
      <c r="AD80" s="111"/>
      <c r="AE80" s="111"/>
      <c r="AF80" s="111"/>
      <c r="AG80" s="111"/>
      <c r="AH80" s="111" t="b">
        <f t="shared" si="2"/>
        <v>1</v>
      </c>
      <c r="AI80" s="180"/>
      <c r="AJ80" s="180"/>
      <c r="AK80" s="111"/>
      <c r="AL80" s="111" t="b">
        <f t="shared" si="3"/>
        <v>1</v>
      </c>
      <c r="AM80" s="180"/>
      <c r="AN80" s="203" t="b">
        <f t="shared" si="4"/>
        <v>1</v>
      </c>
      <c r="AO80" s="180"/>
      <c r="AP80" s="180"/>
      <c r="AQ80" s="180"/>
      <c r="AR80" s="180"/>
      <c r="AS80" s="180"/>
      <c r="AT80" s="180"/>
      <c r="AU80" s="111"/>
      <c r="AV80" s="111"/>
      <c r="AW80" s="111"/>
      <c r="AX80" s="180"/>
      <c r="AY80" s="180"/>
      <c r="AZ80" s="180"/>
    </row>
    <row r="81" spans="2:64" s="73" customFormat="1" ht="13.05" hidden="1" customHeight="1">
      <c r="B81" s="179"/>
      <c r="S81" s="16"/>
      <c r="T81" s="111" t="b">
        <f t="shared" si="5"/>
        <v>1</v>
      </c>
      <c r="U81" s="111"/>
      <c r="V81" s="111"/>
      <c r="W81" s="111" t="b">
        <f t="shared" si="0"/>
        <v>1</v>
      </c>
      <c r="X81" s="203" t="b">
        <f t="shared" si="1"/>
        <v>1</v>
      </c>
      <c r="Y81" s="111"/>
      <c r="Z81" s="111"/>
      <c r="AA81" s="111"/>
      <c r="AB81" s="111"/>
      <c r="AC81" s="111"/>
      <c r="AD81" s="111"/>
      <c r="AE81" s="111"/>
      <c r="AF81" s="111"/>
      <c r="AG81" s="111"/>
      <c r="AH81" s="111" t="b">
        <f t="shared" si="2"/>
        <v>1</v>
      </c>
      <c r="AI81" s="180"/>
      <c r="AJ81" s="180"/>
      <c r="AK81" s="111"/>
      <c r="AL81" s="111" t="b">
        <f t="shared" si="3"/>
        <v>1</v>
      </c>
      <c r="AM81" s="180"/>
      <c r="AN81" s="203" t="b">
        <f t="shared" si="4"/>
        <v>1</v>
      </c>
      <c r="AO81" s="180"/>
      <c r="AP81" s="180"/>
      <c r="AQ81" s="180"/>
      <c r="AR81" s="180"/>
      <c r="AS81" s="180"/>
      <c r="AT81" s="180"/>
      <c r="AU81" s="111"/>
      <c r="AV81" s="111"/>
      <c r="AW81" s="111"/>
      <c r="AX81" s="180"/>
      <c r="AY81" s="180"/>
      <c r="AZ81" s="180"/>
    </row>
    <row r="82" spans="2:64" s="73" customFormat="1" ht="13.05" hidden="1" customHeight="1">
      <c r="B82" s="179"/>
      <c r="S82" s="16"/>
      <c r="T82" s="111" t="b">
        <f t="shared" si="5"/>
        <v>1</v>
      </c>
      <c r="U82" s="111"/>
      <c r="V82" s="111"/>
      <c r="W82" s="111" t="b">
        <f t="shared" si="0"/>
        <v>1</v>
      </c>
      <c r="X82" s="203" t="b">
        <f t="shared" si="1"/>
        <v>1</v>
      </c>
      <c r="Y82" s="111"/>
      <c r="Z82" s="111"/>
      <c r="AA82" s="111"/>
      <c r="AB82" s="111"/>
      <c r="AC82" s="111"/>
      <c r="AD82" s="111"/>
      <c r="AE82" s="111"/>
      <c r="AF82" s="111"/>
      <c r="AG82" s="111"/>
      <c r="AH82" s="111" t="b">
        <f t="shared" si="2"/>
        <v>1</v>
      </c>
      <c r="AI82" s="180"/>
      <c r="AJ82" s="180"/>
      <c r="AK82" s="111"/>
      <c r="AL82" s="111" t="b">
        <f t="shared" si="3"/>
        <v>1</v>
      </c>
      <c r="AM82" s="180"/>
      <c r="AN82" s="203" t="b">
        <f t="shared" si="4"/>
        <v>1</v>
      </c>
      <c r="AO82" s="180"/>
      <c r="AP82" s="180"/>
      <c r="AQ82" s="180"/>
      <c r="AR82" s="180"/>
      <c r="AS82" s="180"/>
      <c r="AT82" s="180"/>
      <c r="AU82" s="111"/>
      <c r="AV82" s="111"/>
      <c r="AW82" s="111"/>
      <c r="AX82" s="180"/>
      <c r="AY82" s="180"/>
      <c r="AZ82" s="180"/>
    </row>
    <row r="83" spans="2:64" s="73" customFormat="1" ht="13.05" hidden="1" customHeight="1">
      <c r="B83" s="179"/>
      <c r="S83" s="16"/>
      <c r="T83" s="111" t="b">
        <f t="shared" si="5"/>
        <v>1</v>
      </c>
      <c r="U83" s="111"/>
      <c r="V83" s="111"/>
      <c r="W83" s="111" t="b">
        <f t="shared" si="0"/>
        <v>1</v>
      </c>
      <c r="X83" s="203" t="b">
        <f t="shared" si="1"/>
        <v>1</v>
      </c>
      <c r="Y83" s="111"/>
      <c r="Z83" s="111"/>
      <c r="AA83" s="111"/>
      <c r="AB83" s="111"/>
      <c r="AC83" s="111"/>
      <c r="AD83" s="111"/>
      <c r="AE83" s="111"/>
      <c r="AF83" s="111"/>
      <c r="AG83" s="111"/>
      <c r="AH83" s="111" t="b">
        <f t="shared" si="2"/>
        <v>1</v>
      </c>
      <c r="AI83" s="180"/>
      <c r="AJ83" s="180"/>
      <c r="AK83" s="111"/>
      <c r="AL83" s="111" t="b">
        <f t="shared" si="3"/>
        <v>1</v>
      </c>
      <c r="AM83" s="180"/>
      <c r="AN83" s="203" t="b">
        <f t="shared" si="4"/>
        <v>1</v>
      </c>
      <c r="AO83" s="180"/>
      <c r="AP83" s="180"/>
      <c r="AQ83" s="180"/>
      <c r="AR83" s="180"/>
      <c r="AS83" s="180"/>
      <c r="AT83" s="180"/>
      <c r="AU83" s="111"/>
      <c r="AV83" s="111"/>
      <c r="AW83" s="111"/>
      <c r="AX83" s="180"/>
      <c r="AY83" s="180"/>
      <c r="AZ83" s="180"/>
    </row>
    <row r="84" spans="2:64" s="73" customFormat="1" ht="13.05" hidden="1" customHeight="1">
      <c r="B84" s="179"/>
      <c r="S84" s="16"/>
      <c r="T84" s="111" t="b">
        <f t="shared" si="5"/>
        <v>1</v>
      </c>
      <c r="U84" s="111"/>
      <c r="V84" s="111"/>
      <c r="W84" s="111" t="b">
        <f t="shared" si="0"/>
        <v>1</v>
      </c>
      <c r="X84" s="203" t="b">
        <f t="shared" si="1"/>
        <v>1</v>
      </c>
      <c r="Y84" s="111"/>
      <c r="Z84" s="111"/>
      <c r="AA84" s="111"/>
      <c r="AB84" s="111"/>
      <c r="AC84" s="111"/>
      <c r="AD84" s="111"/>
      <c r="AE84" s="111"/>
      <c r="AF84" s="111"/>
      <c r="AG84" s="111"/>
      <c r="AH84" s="111" t="b">
        <f t="shared" si="2"/>
        <v>1</v>
      </c>
      <c r="AI84" s="180"/>
      <c r="AJ84" s="180"/>
      <c r="AK84" s="111"/>
      <c r="AL84" s="111" t="b">
        <f t="shared" si="3"/>
        <v>1</v>
      </c>
      <c r="AM84" s="180"/>
      <c r="AN84" s="203" t="b">
        <f t="shared" si="4"/>
        <v>1</v>
      </c>
      <c r="AO84" s="180"/>
      <c r="AP84" s="180"/>
      <c r="AQ84" s="180"/>
      <c r="AR84" s="180"/>
      <c r="AS84" s="180"/>
      <c r="AT84" s="180"/>
      <c r="AU84" s="111"/>
      <c r="AV84" s="111"/>
      <c r="AW84" s="111"/>
      <c r="AX84" s="180"/>
      <c r="AY84" s="180"/>
      <c r="AZ84" s="180"/>
    </row>
    <row r="85" spans="2:64" s="73" customFormat="1" ht="13.05" hidden="1" customHeight="1">
      <c r="B85" s="179"/>
      <c r="S85" s="16"/>
      <c r="T85" s="111" t="b">
        <f t="shared" si="5"/>
        <v>1</v>
      </c>
      <c r="U85" s="111"/>
      <c r="V85" s="111"/>
      <c r="W85" s="111" t="b">
        <f t="shared" si="0"/>
        <v>1</v>
      </c>
      <c r="X85" s="203" t="b">
        <f t="shared" si="1"/>
        <v>1</v>
      </c>
      <c r="Y85" s="111"/>
      <c r="Z85" s="111"/>
      <c r="AA85" s="111"/>
      <c r="AB85" s="111"/>
      <c r="AC85" s="111"/>
      <c r="AD85" s="111"/>
      <c r="AE85" s="111"/>
      <c r="AF85" s="111"/>
      <c r="AG85" s="111"/>
      <c r="AH85" s="111" t="b">
        <f t="shared" si="2"/>
        <v>1</v>
      </c>
      <c r="AI85" s="180"/>
      <c r="AJ85" s="180"/>
      <c r="AK85" s="111"/>
      <c r="AL85" s="111" t="b">
        <f t="shared" si="3"/>
        <v>1</v>
      </c>
      <c r="AM85" s="180"/>
      <c r="AN85" s="203" t="b">
        <f t="shared" si="4"/>
        <v>1</v>
      </c>
      <c r="AO85" s="180"/>
      <c r="AP85" s="180"/>
      <c r="AQ85" s="180"/>
      <c r="AR85" s="180"/>
      <c r="AS85" s="180"/>
      <c r="AT85" s="180"/>
      <c r="AU85" s="111"/>
      <c r="AV85" s="111"/>
      <c r="AW85" s="111"/>
      <c r="AX85" s="180"/>
      <c r="AY85" s="180"/>
      <c r="AZ85" s="180"/>
    </row>
    <row r="86" spans="2:64" s="73" customFormat="1" ht="13.05" hidden="1" customHeight="1">
      <c r="B86" s="179"/>
      <c r="S86" s="16"/>
      <c r="T86" s="111" t="b">
        <f t="shared" si="5"/>
        <v>1</v>
      </c>
      <c r="U86" s="111"/>
      <c r="V86" s="111"/>
      <c r="W86" s="111" t="b">
        <f t="shared" si="0"/>
        <v>1</v>
      </c>
      <c r="X86" s="203" t="b">
        <f t="shared" si="1"/>
        <v>1</v>
      </c>
      <c r="Y86" s="111"/>
      <c r="Z86" s="111"/>
      <c r="AA86" s="111"/>
      <c r="AB86" s="111"/>
      <c r="AC86" s="111"/>
      <c r="AD86" s="111"/>
      <c r="AE86" s="111"/>
      <c r="AF86" s="111"/>
      <c r="AG86" s="111"/>
      <c r="AH86" s="111" t="b">
        <f t="shared" si="2"/>
        <v>1</v>
      </c>
      <c r="AI86" s="180"/>
      <c r="AJ86" s="180"/>
      <c r="AK86" s="111"/>
      <c r="AL86" s="111" t="b">
        <f t="shared" si="3"/>
        <v>1</v>
      </c>
      <c r="AM86" s="180"/>
      <c r="AN86" s="203" t="b">
        <f t="shared" si="4"/>
        <v>1</v>
      </c>
      <c r="AO86" s="180"/>
      <c r="AP86" s="180"/>
      <c r="AQ86" s="180"/>
      <c r="AR86" s="180"/>
      <c r="AS86" s="180"/>
      <c r="AT86" s="180"/>
      <c r="AU86" s="111"/>
      <c r="AV86" s="111"/>
      <c r="AW86" s="111"/>
      <c r="AX86" s="180"/>
      <c r="AY86" s="180"/>
      <c r="AZ86" s="180"/>
    </row>
    <row r="87" spans="2:64" s="73" customFormat="1" ht="13.05" hidden="1" customHeight="1">
      <c r="B87" s="179"/>
      <c r="S87" s="16"/>
      <c r="T87" s="111" t="b">
        <f t="shared" si="5"/>
        <v>1</v>
      </c>
      <c r="U87" s="111"/>
      <c r="V87" s="111"/>
      <c r="W87" s="111" t="b">
        <f t="shared" si="0"/>
        <v>1</v>
      </c>
      <c r="X87" s="203" t="b">
        <f t="shared" si="1"/>
        <v>1</v>
      </c>
      <c r="Y87" s="111"/>
      <c r="Z87" s="111"/>
      <c r="AA87" s="111"/>
      <c r="AB87" s="111"/>
      <c r="AC87" s="111"/>
      <c r="AD87" s="111"/>
      <c r="AE87" s="111"/>
      <c r="AF87" s="111"/>
      <c r="AG87" s="111"/>
      <c r="AH87" s="111" t="b">
        <f t="shared" si="2"/>
        <v>1</v>
      </c>
      <c r="AI87" s="180"/>
      <c r="AJ87" s="180"/>
      <c r="AK87" s="111"/>
      <c r="AL87" s="111" t="b">
        <f t="shared" si="3"/>
        <v>1</v>
      </c>
      <c r="AM87" s="180"/>
      <c r="AN87" s="203" t="b">
        <f t="shared" si="4"/>
        <v>1</v>
      </c>
      <c r="AO87" s="180"/>
      <c r="AP87" s="180"/>
      <c r="AQ87" s="180"/>
      <c r="AR87" s="180"/>
      <c r="AS87" s="180"/>
      <c r="AT87" s="180"/>
      <c r="AU87" s="111"/>
      <c r="AV87" s="111"/>
      <c r="AW87" s="111"/>
      <c r="AX87" s="180"/>
      <c r="AY87" s="180"/>
      <c r="AZ87" s="180"/>
    </row>
    <row r="88" spans="2:64" s="73" customFormat="1" ht="13.05" hidden="1" customHeight="1">
      <c r="B88" s="179"/>
      <c r="S88" s="16"/>
      <c r="T88" s="111" t="b">
        <f t="shared" si="5"/>
        <v>1</v>
      </c>
      <c r="U88" s="111"/>
      <c r="V88" s="111"/>
      <c r="W88" s="111" t="b">
        <f t="shared" si="0"/>
        <v>1</v>
      </c>
      <c r="X88" s="203" t="b">
        <f t="shared" si="1"/>
        <v>1</v>
      </c>
      <c r="Y88" s="111"/>
      <c r="Z88" s="111"/>
      <c r="AA88" s="111"/>
      <c r="AB88" s="111"/>
      <c r="AC88" s="111"/>
      <c r="AD88" s="111"/>
      <c r="AE88" s="111"/>
      <c r="AF88" s="111"/>
      <c r="AG88" s="111"/>
      <c r="AH88" s="111" t="b">
        <f t="shared" si="2"/>
        <v>1</v>
      </c>
      <c r="AI88" s="180"/>
      <c r="AJ88" s="180"/>
      <c r="AK88" s="111"/>
      <c r="AL88" s="111" t="b">
        <f t="shared" si="3"/>
        <v>1</v>
      </c>
      <c r="AM88" s="180"/>
      <c r="AN88" s="203" t="b">
        <f t="shared" si="4"/>
        <v>1</v>
      </c>
      <c r="AO88" s="180"/>
      <c r="AP88" s="180"/>
      <c r="AQ88" s="180"/>
      <c r="AR88" s="180"/>
      <c r="AS88" s="180"/>
      <c r="AT88" s="180"/>
      <c r="AU88" s="111"/>
      <c r="AV88" s="111"/>
      <c r="AW88" s="111"/>
      <c r="AX88" s="180"/>
      <c r="AY88" s="180"/>
      <c r="AZ88" s="180"/>
    </row>
    <row r="89" spans="2:64" s="73" customFormat="1" ht="13.05" hidden="1" customHeight="1">
      <c r="B89" s="179"/>
      <c r="S89" s="16"/>
      <c r="T89" s="111" t="b">
        <f t="shared" si="5"/>
        <v>1</v>
      </c>
      <c r="U89" s="111"/>
      <c r="V89" s="111"/>
      <c r="W89" s="111" t="b">
        <f t="shared" si="0"/>
        <v>1</v>
      </c>
      <c r="X89" s="203" t="b">
        <f t="shared" si="1"/>
        <v>1</v>
      </c>
      <c r="Y89" s="111"/>
      <c r="Z89" s="111"/>
      <c r="AA89" s="111"/>
      <c r="AB89" s="111"/>
      <c r="AC89" s="111"/>
      <c r="AD89" s="111"/>
      <c r="AE89" s="111"/>
      <c r="AF89" s="111"/>
      <c r="AG89" s="111"/>
      <c r="AH89" s="111" t="b">
        <f t="shared" si="2"/>
        <v>1</v>
      </c>
      <c r="AI89" s="180"/>
      <c r="AJ89" s="180"/>
      <c r="AK89" s="111"/>
      <c r="AL89" s="111" t="b">
        <f t="shared" si="3"/>
        <v>1</v>
      </c>
      <c r="AM89" s="180"/>
      <c r="AN89" s="203" t="b">
        <f t="shared" si="4"/>
        <v>1</v>
      </c>
      <c r="AO89" s="180"/>
      <c r="AP89" s="180"/>
      <c r="AQ89" s="180"/>
      <c r="AR89" s="180"/>
      <c r="AS89" s="180"/>
      <c r="AT89" s="180"/>
      <c r="AU89" s="111"/>
      <c r="AV89" s="111"/>
      <c r="AW89" s="111"/>
      <c r="AX89" s="180"/>
      <c r="AY89" s="180"/>
      <c r="AZ89" s="180"/>
    </row>
    <row r="90" spans="2:64" s="73" customFormat="1" ht="13.05" hidden="1" customHeight="1">
      <c r="B90" s="179"/>
      <c r="S90" s="16"/>
      <c r="T90" s="111" t="b">
        <f t="shared" si="5"/>
        <v>1</v>
      </c>
      <c r="U90" s="111"/>
      <c r="V90" s="111"/>
      <c r="W90" s="111" t="b">
        <f t="shared" si="0"/>
        <v>1</v>
      </c>
      <c r="X90" s="203" t="b">
        <f t="shared" si="1"/>
        <v>1</v>
      </c>
      <c r="Y90" s="111"/>
      <c r="Z90" s="111"/>
      <c r="AA90" s="111"/>
      <c r="AB90" s="111"/>
      <c r="AC90" s="111"/>
      <c r="AD90" s="111"/>
      <c r="AE90" s="111"/>
      <c r="AF90" s="111"/>
      <c r="AG90" s="111"/>
      <c r="AH90" s="111" t="b">
        <f t="shared" si="2"/>
        <v>1</v>
      </c>
      <c r="AI90" s="180"/>
      <c r="AJ90" s="180"/>
      <c r="AK90" s="111"/>
      <c r="AL90" s="111" t="b">
        <f t="shared" si="3"/>
        <v>1</v>
      </c>
      <c r="AM90" s="180"/>
      <c r="AN90" s="203" t="b">
        <f t="shared" si="4"/>
        <v>1</v>
      </c>
      <c r="AO90" s="180"/>
      <c r="AP90" s="180"/>
      <c r="AQ90" s="180"/>
      <c r="AR90" s="180"/>
      <c r="AS90" s="180"/>
      <c r="AT90" s="180"/>
      <c r="AU90" s="111"/>
      <c r="AV90" s="111"/>
      <c r="AW90" s="111"/>
      <c r="AX90" s="180"/>
      <c r="AY90" s="180"/>
      <c r="AZ90" s="180"/>
    </row>
    <row r="91" spans="2:64" s="73" customFormat="1" ht="13.05" hidden="1" customHeight="1">
      <c r="B91" s="179"/>
      <c r="S91" s="16"/>
      <c r="T91" s="111" t="b">
        <f t="shared" si="5"/>
        <v>1</v>
      </c>
      <c r="U91" s="111"/>
      <c r="V91" s="111"/>
      <c r="W91" s="111" t="b">
        <f t="shared" si="0"/>
        <v>1</v>
      </c>
      <c r="X91" s="203" t="b">
        <f t="shared" si="1"/>
        <v>1</v>
      </c>
      <c r="Y91" s="111"/>
      <c r="Z91" s="111"/>
      <c r="AA91" s="111"/>
      <c r="AB91" s="111"/>
      <c r="AC91" s="111"/>
      <c r="AD91" s="111"/>
      <c r="AE91" s="111"/>
      <c r="AF91" s="111"/>
      <c r="AG91" s="111"/>
      <c r="AH91" s="111" t="b">
        <f t="shared" si="2"/>
        <v>1</v>
      </c>
      <c r="AI91" s="180"/>
      <c r="AJ91" s="180"/>
      <c r="AK91" s="111"/>
      <c r="AL91" s="111" t="b">
        <f t="shared" si="3"/>
        <v>1</v>
      </c>
      <c r="AM91" s="180"/>
      <c r="AN91" s="203" t="b">
        <f t="shared" si="4"/>
        <v>1</v>
      </c>
      <c r="AO91" s="180"/>
      <c r="AP91" s="180"/>
      <c r="AQ91" s="180"/>
      <c r="AR91" s="180"/>
      <c r="AS91" s="180"/>
      <c r="AT91" s="180"/>
      <c r="AU91" s="111"/>
      <c r="AV91" s="111"/>
      <c r="AW91" s="111"/>
      <c r="AY91" s="180"/>
      <c r="AZ91" s="180"/>
    </row>
    <row r="92" spans="2:64" s="73" customFormat="1" ht="13.05" hidden="1" customHeight="1">
      <c r="B92" s="179"/>
      <c r="S92" s="16"/>
      <c r="T92" s="960" t="str">
        <f>IF(AND(COUNTIF(AF66:AF91,FALSE)=0,COUNTIF(W66:W91,"FALSE")=0),"貴社における雇用形態名を「貴社」欄に入力してください。"&amp;CHAR(10)&amp;"「変換後」欄から該当する雇用形態を選択してください。","")</f>
        <v/>
      </c>
      <c r="U92" s="960"/>
      <c r="V92" s="960"/>
      <c r="W92" s="960"/>
      <c r="X92" s="960"/>
      <c r="Y92" s="960"/>
      <c r="Z92" s="960"/>
      <c r="AA92" s="960"/>
      <c r="AB92" s="960"/>
      <c r="AC92" s="960"/>
      <c r="AD92" s="960"/>
      <c r="AE92" s="156"/>
      <c r="AF92" s="156"/>
      <c r="AG92" s="156"/>
      <c r="AH92" s="973" t="str">
        <f>IF(AND(COUNTIF(AH66:AH91,"FALSE")=0,COUNTIF(AL66:AL91,FALSE)=0),"貴社における役職名を「貴社」欄に入力してください。"&amp;CHAR(10)&amp;"「変換後」欄から該当する役職級を選択してください。","")</f>
        <v/>
      </c>
      <c r="AI92" s="973"/>
      <c r="AJ92" s="973"/>
      <c r="AK92" s="973"/>
      <c r="AL92" s="973"/>
      <c r="AM92" s="973"/>
      <c r="AN92" s="973"/>
      <c r="AO92" s="973"/>
      <c r="AP92" s="973"/>
      <c r="AQ92" s="973"/>
      <c r="AR92" s="973"/>
      <c r="AS92" s="973"/>
      <c r="AT92" s="973"/>
      <c r="AU92" s="973"/>
      <c r="AV92" s="156"/>
      <c r="AW92" s="181"/>
      <c r="AX92" s="960" t="str">
        <f>IF(AND(COUNTIF(AX66:AX67,FALSE)=0,COUNTIF(AY66:AY67,FALSE)=0),"貴社における性別表記名を「貴社」欄に入力してください。"&amp;CHAR(10)&amp;"「変換後」欄から該当する性別表記を選択してください。","")</f>
        <v/>
      </c>
      <c r="AY92" s="960"/>
      <c r="AZ92" s="960"/>
      <c r="BA92" s="960"/>
      <c r="BB92" s="960"/>
      <c r="BC92" s="960"/>
      <c r="BD92" s="960"/>
      <c r="BE92" s="960"/>
      <c r="BF92" s="960"/>
      <c r="BG92" s="960"/>
      <c r="BH92" s="960"/>
      <c r="BI92" s="960"/>
      <c r="BJ92" s="960"/>
      <c r="BK92" s="960"/>
      <c r="BL92" s="960"/>
    </row>
    <row r="93" spans="2:64" s="73" customFormat="1" ht="13.05" hidden="1" customHeight="1">
      <c r="B93" s="179"/>
      <c r="S93" s="182"/>
      <c r="T93" s="957" t="str">
        <f>IF(AND(SUBTOTAL(3,'従業員情報(給与以外)'!A:A)=2,'従業員情報(給与以外)'!B4="",'従業員情報(給与以外)'!C4="",'従業員情報(給与以外)'!D4="",'従業員情報(給与以外)'!E4=""),"",IF(COUNTIF(T96:T121,"")&lt;&gt;26,T96&amp;T97&amp;T98&amp;T99&amp;T100&amp;T101&amp;T102&amp;T103&amp;T104&amp;T105&amp;T106&amp;T107&amp;T108&amp;T109&amp;T110&amp;T111&amp;T112&amp;T113&amp;T114&amp;T115&amp;T116&amp;T117&amp;T118&amp;T119&amp;T120&amp;T121&amp;"は、シート［従業員情報（給与以外）］の役職名に存在しません。",""))</f>
        <v/>
      </c>
      <c r="U93" s="958"/>
      <c r="V93" s="958"/>
      <c r="W93" s="958"/>
      <c r="X93" s="958"/>
      <c r="Y93" s="958"/>
      <c r="Z93" s="958"/>
      <c r="AA93" s="958"/>
      <c r="AB93" s="958"/>
      <c r="AC93" s="958"/>
      <c r="AD93" s="959"/>
      <c r="AE93" s="183"/>
      <c r="AF93" s="156"/>
      <c r="AG93" s="156"/>
      <c r="AH93" s="957" t="str">
        <f>IF(AND(SUBTOTAL(3,'従業員情報(給与以外)'!A:A)=2,'従業員情報(給与以外)'!B4="",'従業員情報(給与以外)'!C4="",'従業員情報(給与以外)'!D4="",'従業員情報(給与以外)'!E4=""),"",IF(COUNTIF(AH96:AH121,"")&lt;&gt;26,AH96&amp;AH97&amp;AH98&amp;AH99&amp;AH100&amp;AH101&amp;AH102&amp;AH103&amp;AH104&amp;AH105&amp;AH106&amp;AH107&amp;AH108&amp;AH109&amp;AH110&amp;AH111&amp;AH112&amp;AH113&amp;AH114&amp;AH115&amp;AH116&amp;AH117&amp;AH118&amp;AH119&amp;AH120&amp;AH121&amp;"は、シート［従業員情報（給与以外）］の役職名に存在しません。",""))</f>
        <v/>
      </c>
      <c r="AI93" s="958"/>
      <c r="AJ93" s="958"/>
      <c r="AK93" s="958"/>
      <c r="AL93" s="958"/>
      <c r="AM93" s="958"/>
      <c r="AN93" s="958"/>
      <c r="AO93" s="958"/>
      <c r="AP93" s="958"/>
      <c r="AQ93" s="958"/>
      <c r="AR93" s="958"/>
      <c r="AS93" s="958"/>
      <c r="AT93" s="958"/>
      <c r="AU93" s="959"/>
      <c r="AV93" s="156"/>
      <c r="AW93" s="183"/>
      <c r="AX93" s="957" t="str">
        <f>IF(AND(SUBTOTAL(3,'従業員情報(給与以外)'!A:A)=2,'従業員情報(給与以外)'!B4="",'従業員情報(給与以外)'!C4="",'従業員情報(給与以外)'!D4="",'従業員情報(給与以外)'!E4=""),"",IF(COUNTIF(AX96:AX97,"")=2,"",AX96&amp;IF(OR(AX96="",AX97=""),"",",")&amp;AX97&amp;"の性別表記が、［従業員情報（給与以外）］の性別に存在しません。"))</f>
        <v/>
      </c>
      <c r="AY93" s="958"/>
      <c r="AZ93" s="958"/>
      <c r="BA93" s="958"/>
      <c r="BB93" s="958"/>
      <c r="BC93" s="958"/>
      <c r="BD93" s="958"/>
      <c r="BE93" s="958"/>
      <c r="BF93" s="958"/>
      <c r="BG93" s="958"/>
      <c r="BH93" s="958"/>
      <c r="BI93" s="958"/>
      <c r="BJ93" s="958"/>
      <c r="BK93" s="958"/>
      <c r="BL93" s="959"/>
    </row>
    <row r="94" spans="2:64" ht="24" hidden="1" customHeight="1">
      <c r="T94" s="960" t="str">
        <f>IF(COUNTIF(X66:X91,2),"「貴社」欄に雇用形態名の入力漏れがあります。","")</f>
        <v/>
      </c>
      <c r="U94" s="960"/>
      <c r="V94" s="960"/>
      <c r="W94" s="960"/>
      <c r="X94" s="960"/>
      <c r="Y94" s="960"/>
      <c r="Z94" s="960"/>
      <c r="AA94" s="960"/>
      <c r="AB94" s="960"/>
      <c r="AC94" s="960"/>
      <c r="AD94" s="960"/>
      <c r="AE94" s="156"/>
      <c r="AF94" s="156"/>
      <c r="AG94" s="156"/>
      <c r="AH94" s="960" t="str">
        <f>IF(COUNTIF(AN66:AN91,2),"「貴社」欄に役職名の入力漏れがあります。","")</f>
        <v/>
      </c>
      <c r="AI94" s="960"/>
      <c r="AJ94" s="960"/>
      <c r="AK94" s="960"/>
      <c r="AL94" s="960"/>
      <c r="AM94" s="960"/>
      <c r="AN94" s="960"/>
      <c r="AO94" s="960"/>
      <c r="AP94" s="960"/>
      <c r="AQ94" s="960"/>
      <c r="AR94" s="960"/>
      <c r="AS94" s="960"/>
      <c r="AT94" s="960"/>
      <c r="AU94" s="960"/>
      <c r="AV94" s="156"/>
      <c r="AW94" s="156"/>
      <c r="AX94" s="960" t="str">
        <f>IF(COUNTIF(BA66:BA67,2),"「貴社」欄に性別表記名の入力漏れがあります。","")</f>
        <v/>
      </c>
      <c r="AY94" s="960"/>
      <c r="AZ94" s="960"/>
      <c r="BA94" s="960"/>
      <c r="BB94" s="960"/>
      <c r="BC94" s="960"/>
      <c r="BD94" s="960"/>
      <c r="BE94" s="960"/>
      <c r="BF94" s="960"/>
      <c r="BG94" s="960"/>
      <c r="BH94" s="960"/>
      <c r="BI94" s="960"/>
      <c r="BJ94" s="960"/>
      <c r="BK94" s="960"/>
      <c r="BL94" s="960"/>
    </row>
    <row r="95" spans="2:64" hidden="1">
      <c r="T95" s="960" t="str">
        <f>IF(COUNTIF(X66:X91,1),"「変換後」欄に雇用形態の選択漏れがあります。","")</f>
        <v/>
      </c>
      <c r="U95" s="960"/>
      <c r="V95" s="960"/>
      <c r="W95" s="960"/>
      <c r="X95" s="960"/>
      <c r="Y95" s="960"/>
      <c r="Z95" s="960"/>
      <c r="AA95" s="960"/>
      <c r="AB95" s="960"/>
      <c r="AC95" s="960"/>
      <c r="AD95" s="960"/>
      <c r="AE95" s="156"/>
      <c r="AF95" s="156"/>
      <c r="AG95" s="156"/>
      <c r="AH95" s="960" t="str">
        <f>IF(COUNTIF(AN66:AN91,1),"「変換後」欄に役職級の選択漏れがあります。","")</f>
        <v/>
      </c>
      <c r="AI95" s="960"/>
      <c r="AJ95" s="960"/>
      <c r="AK95" s="960"/>
      <c r="AL95" s="960"/>
      <c r="AM95" s="960"/>
      <c r="AN95" s="960"/>
      <c r="AO95" s="960"/>
      <c r="AP95" s="960"/>
      <c r="AQ95" s="960"/>
      <c r="AR95" s="960"/>
      <c r="AS95" s="960"/>
      <c r="AT95" s="960"/>
      <c r="AU95" s="960"/>
      <c r="AV95" s="156"/>
      <c r="AW95" s="156"/>
      <c r="AX95" s="960" t="str">
        <f>IF(COUNTIF(BA66:BA67,1),"「変換後」欄に性別表記の選択漏れがあります。","")</f>
        <v/>
      </c>
      <c r="AY95" s="960"/>
      <c r="AZ95" s="960"/>
      <c r="BA95" s="960"/>
      <c r="BB95" s="960"/>
      <c r="BC95" s="960"/>
      <c r="BD95" s="960"/>
      <c r="BE95" s="960"/>
      <c r="BF95" s="960"/>
      <c r="BG95" s="960"/>
      <c r="BH95" s="960"/>
      <c r="BI95" s="960"/>
      <c r="BJ95" s="960"/>
      <c r="BK95" s="960"/>
      <c r="BL95" s="960"/>
    </row>
    <row r="96" spans="2:64" hidden="1">
      <c r="R96" s="16">
        <v>25</v>
      </c>
      <c r="S96" s="182">
        <v>1</v>
      </c>
      <c r="T96" s="109" t="str">
        <f>IF(AND(T66=FALSE,COUNTIF('従業員情報(給与以外)'!$B$4:$B$502,入力シート!S37)=0),"「"&amp;S37&amp;"」","")</f>
        <v>「正社員」</v>
      </c>
      <c r="U96" s="112"/>
      <c r="AE96" s="182"/>
      <c r="AH96" s="112" t="str">
        <f>IF(AND(AH66=FALSE,COUNTIF('従業員情報(給与以外)'!$E$4:$E$502,入力シート!AH37)=0),"「"&amp;AH37&amp;"」","")</f>
        <v>「部長」</v>
      </c>
      <c r="AW96" s="182">
        <v>1</v>
      </c>
      <c r="AX96" s="109" t="str">
        <f>IF(AND(AX66=FALSE,COUNTIF('従業員情報(給与以外)'!$D4:$D502,入力シート!AW37)=0),"「"&amp;AW37&amp;"」","")</f>
        <v>「男性」</v>
      </c>
    </row>
    <row r="97" spans="18:50" hidden="1">
      <c r="R97" s="16">
        <v>24</v>
      </c>
      <c r="S97" s="182">
        <v>2</v>
      </c>
      <c r="T97" s="109" t="str">
        <f>IF(AND(T67=FALSE,COUNTIF('従業員情報(給与以外)'!$B$4:$B$502,入力シート!S38)=0),"「"&amp;S38&amp;"」","")</f>
        <v>「パート」</v>
      </c>
      <c r="U97" s="112"/>
      <c r="AE97" s="182"/>
      <c r="AH97" s="112" t="str">
        <f>IF(AND(AH67=FALSE,COUNTIF('従業員情報(給与以外)'!$E$4:$E$502,入力シート!AH38)=0),"「"&amp;AH38&amp;"」","")</f>
        <v>「次長」</v>
      </c>
      <c r="AW97" s="182">
        <v>2</v>
      </c>
      <c r="AX97" s="109" t="str">
        <f>IF(AND(AX67=FALSE,COUNTIF('従業員情報(給与以外)'!$D5:$D502,入力シート!AW38)=0),"「"&amp;AW38&amp;"」","")</f>
        <v>「女性」</v>
      </c>
    </row>
    <row r="98" spans="18:50" hidden="1">
      <c r="R98" s="16">
        <v>23</v>
      </c>
      <c r="S98" s="182">
        <v>3</v>
      </c>
      <c r="T98" s="109" t="str">
        <f>IF(AND(T68=FALSE,COUNTIF('従業員情報(給与以外)'!$B$4:$B$502,入力シート!S39)=0),"「"&amp;S39&amp;"」","")</f>
        <v>「嘱託」</v>
      </c>
      <c r="U98" s="112"/>
      <c r="AE98" s="182"/>
      <c r="AH98" s="112" t="str">
        <f>IF(AND(AH68=FALSE,COUNTIF('従業員情報(給与以外)'!$E$4:$E$502,入力シート!AH39)=0),"「"&amp;AH39&amp;"」","")</f>
        <v>「課長」</v>
      </c>
      <c r="AW98" s="182"/>
      <c r="AX98" s="109"/>
    </row>
    <row r="99" spans="18:50" hidden="1">
      <c r="R99" s="16">
        <v>22</v>
      </c>
      <c r="S99" s="182">
        <v>4</v>
      </c>
      <c r="T99" s="109" t="str">
        <f>IF(AND(T69=FALSE,COUNTIF('従業員情報(給与以外)'!$B$4:$B$502,入力シート!S40)=0),"「"&amp;S40&amp;"」","")</f>
        <v/>
      </c>
      <c r="U99" s="112"/>
      <c r="AE99" s="182"/>
      <c r="AH99" s="112" t="str">
        <f>IF(AND(AH69=FALSE,COUNTIF('従業員情報(給与以外)'!$E$4:$E$502,入力シート!AH40)=0),"「"&amp;AH40&amp;"」","")</f>
        <v/>
      </c>
      <c r="AW99" s="182"/>
      <c r="AX99" s="109"/>
    </row>
    <row r="100" spans="18:50" hidden="1">
      <c r="R100" s="16">
        <v>21</v>
      </c>
      <c r="S100" s="182">
        <v>5</v>
      </c>
      <c r="T100" s="109" t="str">
        <f>IF(AND(T70=FALSE,COUNTIF('従業員情報(給与以外)'!$B$4:$B$502,入力シート!S41)=0),"「"&amp;S41&amp;"」","")</f>
        <v/>
      </c>
      <c r="U100" s="112"/>
      <c r="AE100" s="182"/>
      <c r="AH100" s="112" t="str">
        <f>IF(AND(AH70=FALSE,COUNTIF('従業員情報(給与以外)'!$E$4:$E$502,入力シート!AH41)=0),"「"&amp;AH41&amp;"」","")</f>
        <v/>
      </c>
      <c r="AW100" s="182"/>
      <c r="AX100" s="109"/>
    </row>
    <row r="101" spans="18:50" hidden="1">
      <c r="R101" s="16">
        <v>20</v>
      </c>
      <c r="S101" s="182">
        <v>6</v>
      </c>
      <c r="T101" s="109" t="str">
        <f>IF(AND(T71=FALSE,COUNTIF('従業員情報(給与以外)'!$B$4:$B$502,入力シート!S42)=0),"「"&amp;S42&amp;"」","")</f>
        <v/>
      </c>
      <c r="U101" s="112"/>
      <c r="AE101" s="182"/>
      <c r="AH101" s="112" t="str">
        <f>IF(AND(AH71=FALSE,COUNTIF('従業員情報(給与以外)'!$E$4:$E$502,入力シート!AH42)=0),"「"&amp;AH42&amp;"」","")</f>
        <v/>
      </c>
      <c r="AW101" s="182"/>
      <c r="AX101" s="109"/>
    </row>
    <row r="102" spans="18:50" hidden="1">
      <c r="R102" s="16">
        <v>19</v>
      </c>
      <c r="S102" s="182">
        <v>7</v>
      </c>
      <c r="T102" s="109" t="str">
        <f>IF(AND(T72=FALSE,COUNTIF('従業員情報(給与以外)'!$B$4:$B$502,入力シート!S43)=0),"「"&amp;S43&amp;"」","")</f>
        <v/>
      </c>
      <c r="U102" s="112"/>
      <c r="AE102" s="182"/>
      <c r="AH102" s="112" t="str">
        <f>IF(AND(AH72=FALSE,COUNTIF('従業員情報(給与以外)'!$E$4:$E$502,入力シート!AH43)=0),"「"&amp;AH43&amp;"」","")</f>
        <v/>
      </c>
      <c r="AW102" s="182"/>
      <c r="AX102" s="109"/>
    </row>
    <row r="103" spans="18:50" hidden="1">
      <c r="R103" s="16">
        <v>18</v>
      </c>
      <c r="S103" s="182">
        <v>8</v>
      </c>
      <c r="T103" s="109" t="str">
        <f>IF(AND(T73=FALSE,COUNTIF('従業員情報(給与以外)'!$B$4:$B$502,入力シート!S44)=0),"「"&amp;S44&amp;"」","")</f>
        <v/>
      </c>
      <c r="U103" s="112"/>
      <c r="AE103" s="182"/>
      <c r="AH103" s="112" t="str">
        <f>IF(AND(AH73=FALSE,COUNTIF('従業員情報(給与以外)'!$E$4:$E$502,入力シート!AH44)=0),"「"&amp;AH44&amp;"」","")</f>
        <v/>
      </c>
      <c r="AW103" s="182"/>
      <c r="AX103" s="109"/>
    </row>
    <row r="104" spans="18:50" hidden="1">
      <c r="R104" s="16">
        <v>17</v>
      </c>
      <c r="S104" s="182">
        <v>9</v>
      </c>
      <c r="T104" s="109" t="str">
        <f>IF(AND(T74=FALSE,COUNTIF('従業員情報(給与以外)'!$B$4:$B$502,入力シート!S45)=0),"「"&amp;S45&amp;"」","")</f>
        <v/>
      </c>
      <c r="U104" s="112"/>
      <c r="AE104" s="182"/>
      <c r="AH104" s="112" t="str">
        <f>IF(AND(AH74=FALSE,COUNTIF('従業員情報(給与以外)'!$E$4:$E$502,入力シート!AH45)=0),"「"&amp;AH45&amp;"」","")</f>
        <v/>
      </c>
      <c r="AW104" s="182"/>
      <c r="AX104" s="109"/>
    </row>
    <row r="105" spans="18:50" hidden="1">
      <c r="R105" s="16">
        <v>16</v>
      </c>
      <c r="S105" s="182">
        <v>10</v>
      </c>
      <c r="T105" s="109" t="str">
        <f>IF(AND(T75=FALSE,COUNTIF('従業員情報(給与以外)'!$B$4:$B$502,入力シート!S46)=0),"「"&amp;S46&amp;"」","")</f>
        <v/>
      </c>
      <c r="U105" s="112"/>
      <c r="AE105" s="182"/>
      <c r="AH105" s="112" t="str">
        <f>IF(AND(AH75=FALSE,COUNTIF('従業員情報(給与以外)'!$E$4:$E$502,入力シート!AH46)=0),"「"&amp;AH46&amp;"」","")</f>
        <v/>
      </c>
      <c r="AW105" s="182"/>
      <c r="AX105" s="109"/>
    </row>
    <row r="106" spans="18:50" hidden="1">
      <c r="R106" s="16">
        <v>15</v>
      </c>
      <c r="S106" s="182">
        <v>11</v>
      </c>
      <c r="T106" s="109" t="str">
        <f>IF(AND(T76=FALSE,COUNTIF('従業員情報(給与以外)'!$B$4:$B$502,入力シート!S47)=0),"「"&amp;S47&amp;"」","")</f>
        <v/>
      </c>
      <c r="U106" s="112"/>
      <c r="AE106" s="182"/>
      <c r="AH106" s="112" t="str">
        <f>IF(AND(AH76=FALSE,COUNTIF('従業員情報(給与以外)'!$E$4:$E$502,入力シート!AH47)=0),"「"&amp;AH47&amp;"」","")</f>
        <v/>
      </c>
      <c r="AW106" s="182"/>
      <c r="AX106" s="109"/>
    </row>
    <row r="107" spans="18:50" hidden="1">
      <c r="R107" s="16">
        <v>14</v>
      </c>
      <c r="S107" s="182">
        <v>12</v>
      </c>
      <c r="T107" s="109" t="str">
        <f>IF(AND(T77=FALSE,COUNTIF('従業員情報(給与以外)'!$B$4:$B$502,入力シート!S48)=0),"「"&amp;S48&amp;"」","")</f>
        <v/>
      </c>
      <c r="U107" s="112"/>
      <c r="AE107" s="182"/>
      <c r="AH107" s="112" t="str">
        <f>IF(AND(AH77=FALSE,COUNTIF('従業員情報(給与以外)'!$E$4:$E$502,入力シート!AH48)=0),"「"&amp;AH48&amp;"」","")</f>
        <v/>
      </c>
      <c r="AW107" s="182"/>
      <c r="AX107" s="109"/>
    </row>
    <row r="108" spans="18:50" hidden="1">
      <c r="R108" s="16">
        <v>13</v>
      </c>
      <c r="S108" s="182">
        <v>13</v>
      </c>
      <c r="T108" s="109" t="str">
        <f>IF(AND(T78=FALSE,COUNTIF('従業員情報(給与以外)'!$B$4:$B$502,入力シート!S49)=0),"「"&amp;S49&amp;"」","")</f>
        <v/>
      </c>
      <c r="U108" s="112"/>
      <c r="AE108" s="182"/>
      <c r="AH108" s="112" t="str">
        <f>IF(AND(AH78=FALSE,COUNTIF('従業員情報(給与以外)'!$E$4:$E$502,入力シート!AH49)=0),"「"&amp;AH49&amp;"」","")</f>
        <v/>
      </c>
      <c r="AW108" s="182"/>
      <c r="AX108" s="109"/>
    </row>
    <row r="109" spans="18:50" hidden="1">
      <c r="R109" s="16">
        <v>12</v>
      </c>
      <c r="S109" s="182">
        <v>14</v>
      </c>
      <c r="T109" s="109" t="str">
        <f>IF(AND(T79=FALSE,COUNTIF('従業員情報(給与以外)'!$B$4:$B$502,入力シート!S50)=0),"「"&amp;S50&amp;"」","")</f>
        <v/>
      </c>
      <c r="U109" s="112"/>
      <c r="AE109" s="182"/>
      <c r="AH109" s="112" t="str">
        <f>IF(AND(AH79=FALSE,COUNTIF('従業員情報(給与以外)'!$E$4:$E$502,入力シート!AH50)=0),"「"&amp;AH50&amp;"」","")</f>
        <v/>
      </c>
      <c r="AW109" s="182"/>
      <c r="AX109" s="109"/>
    </row>
    <row r="110" spans="18:50" hidden="1">
      <c r="R110" s="16">
        <v>11</v>
      </c>
      <c r="S110" s="182">
        <v>15</v>
      </c>
      <c r="T110" s="109" t="str">
        <f>IF(AND(T80=FALSE,COUNTIF('従業員情報(給与以外)'!$B$4:$B$502,入力シート!S51)=0),"「"&amp;S51&amp;"」","")</f>
        <v/>
      </c>
      <c r="U110" s="112"/>
      <c r="AE110" s="182"/>
      <c r="AH110" s="112" t="str">
        <f>IF(AND(AH80=FALSE,COUNTIF('従業員情報(給与以外)'!$E$4:$E$502,入力シート!AH51)=0),"「"&amp;AH51&amp;"」","")</f>
        <v/>
      </c>
      <c r="AW110" s="182"/>
      <c r="AX110" s="109"/>
    </row>
    <row r="111" spans="18:50" hidden="1">
      <c r="R111" s="16">
        <v>10</v>
      </c>
      <c r="S111" s="182">
        <v>16</v>
      </c>
      <c r="T111" s="109" t="str">
        <f>IF(AND(T81=FALSE,COUNTIF('従業員情報(給与以外)'!$B$4:$B$502,入力シート!S52)=0),"「"&amp;S52&amp;"」","")</f>
        <v/>
      </c>
      <c r="U111" s="112"/>
      <c r="AE111" s="182"/>
      <c r="AH111" s="112" t="str">
        <f>IF(AND(AH81=FALSE,COUNTIF('従業員情報(給与以外)'!$E$4:$E$502,入力シート!AH52)=0),"「"&amp;AH52&amp;"」","")</f>
        <v/>
      </c>
      <c r="AW111" s="182"/>
      <c r="AX111" s="109"/>
    </row>
    <row r="112" spans="18:50" hidden="1">
      <c r="R112" s="16">
        <v>9</v>
      </c>
      <c r="S112" s="182">
        <v>17</v>
      </c>
      <c r="T112" s="109" t="str">
        <f>IF(AND(T82=FALSE,COUNTIF('従業員情報(給与以外)'!$B$4:$B$502,入力シート!S53)=0),"「"&amp;S53&amp;"」","")</f>
        <v/>
      </c>
      <c r="U112" s="112"/>
      <c r="AE112" s="182"/>
      <c r="AH112" s="112" t="str">
        <f>IF(AND(AH82=FALSE,COUNTIF('従業員情報(給与以外)'!$E$4:$E$502,入力シート!AH53)=0),"「"&amp;AH53&amp;"」","")</f>
        <v/>
      </c>
      <c r="AW112" s="182"/>
      <c r="AX112" s="109"/>
    </row>
    <row r="113" spans="18:50" hidden="1">
      <c r="R113" s="16">
        <v>8</v>
      </c>
      <c r="S113" s="182">
        <v>18</v>
      </c>
      <c r="T113" s="109" t="str">
        <f>IF(AND(T83=FALSE,COUNTIF('従業員情報(給与以外)'!$B$4:$B$502,入力シート!S54)=0),"「"&amp;S54&amp;"」","")</f>
        <v/>
      </c>
      <c r="U113" s="112"/>
      <c r="AE113" s="182"/>
      <c r="AH113" s="112" t="str">
        <f>IF(AND(AH83=FALSE,COUNTIF('従業員情報(給与以外)'!$E$4:$E$502,入力シート!AH54)=0),"「"&amp;AH54&amp;"」","")</f>
        <v/>
      </c>
      <c r="AW113" s="182"/>
      <c r="AX113" s="109"/>
    </row>
    <row r="114" spans="18:50" hidden="1">
      <c r="R114" s="16">
        <v>7</v>
      </c>
      <c r="S114" s="182">
        <v>19</v>
      </c>
      <c r="T114" s="109" t="str">
        <f>IF(AND(T84=FALSE,COUNTIF('従業員情報(給与以外)'!$B$4:$B$502,入力シート!S55)=0),"「"&amp;S55&amp;"」","")</f>
        <v/>
      </c>
      <c r="U114" s="112"/>
      <c r="AE114" s="182"/>
      <c r="AH114" s="112" t="str">
        <f>IF(AND(AH84=FALSE,COUNTIF('従業員情報(給与以外)'!$E$4:$E$502,入力シート!AH55)=0),"「"&amp;AH55&amp;"」","")</f>
        <v/>
      </c>
      <c r="AW114" s="182"/>
      <c r="AX114" s="109"/>
    </row>
    <row r="115" spans="18:50" hidden="1">
      <c r="R115" s="16">
        <v>6</v>
      </c>
      <c r="S115" s="182">
        <v>20</v>
      </c>
      <c r="T115" s="109" t="str">
        <f>IF(AND(T85=FALSE,COUNTIF('従業員情報(給与以外)'!$B$4:$B$502,入力シート!S56)=0),"「"&amp;S56&amp;"」","")</f>
        <v/>
      </c>
      <c r="U115" s="112"/>
      <c r="AE115" s="182"/>
      <c r="AH115" s="112" t="str">
        <f>IF(AND(AH85=FALSE,COUNTIF('従業員情報(給与以外)'!$E$4:$E$502,入力シート!AH56)=0),"「"&amp;AH56&amp;"」","")</f>
        <v/>
      </c>
      <c r="AW115" s="182"/>
      <c r="AX115" s="109"/>
    </row>
    <row r="116" spans="18:50" hidden="1">
      <c r="R116" s="16">
        <v>5</v>
      </c>
      <c r="S116" s="182">
        <v>21</v>
      </c>
      <c r="T116" s="109" t="str">
        <f>IF(AND(T86=FALSE,COUNTIF('従業員情報(給与以外)'!$B$4:$B$502,入力シート!S57)=0),"「"&amp;S57&amp;"」","")</f>
        <v/>
      </c>
      <c r="U116" s="112"/>
      <c r="AE116" s="182"/>
      <c r="AH116" s="112" t="str">
        <f>IF(AND(AH86=FALSE,COUNTIF('従業員情報(給与以外)'!$E$4:$E$502,入力シート!AH57)=0),"「"&amp;AH57&amp;"」","")</f>
        <v/>
      </c>
      <c r="AW116" s="182"/>
      <c r="AX116" s="109"/>
    </row>
    <row r="117" spans="18:50" hidden="1">
      <c r="R117" s="16">
        <v>4</v>
      </c>
      <c r="S117" s="182">
        <v>22</v>
      </c>
      <c r="T117" s="109" t="str">
        <f>IF(AND(T87=FALSE,COUNTIF('従業員情報(給与以外)'!$B$4:$B$502,入力シート!S58)=0),"「"&amp;S58&amp;"」","")</f>
        <v/>
      </c>
      <c r="U117" s="112"/>
      <c r="AE117" s="182"/>
      <c r="AH117" s="112" t="str">
        <f>IF(AND(AH87=FALSE,COUNTIF('従業員情報(給与以外)'!$E$4:$E$502,入力シート!AH58)=0),"「"&amp;AH58&amp;"」","")</f>
        <v/>
      </c>
      <c r="AW117" s="182"/>
      <c r="AX117" s="109"/>
    </row>
    <row r="118" spans="18:50" hidden="1">
      <c r="R118" s="16">
        <v>3</v>
      </c>
      <c r="S118" s="182">
        <v>23</v>
      </c>
      <c r="T118" s="109" t="str">
        <f>IF(AND(T88=FALSE,COUNTIF('従業員情報(給与以外)'!$B$4:$B$502,入力シート!S59)=0),"「"&amp;S59&amp;"」","")</f>
        <v/>
      </c>
      <c r="U118" s="112"/>
      <c r="AE118" s="182"/>
      <c r="AH118" s="112" t="str">
        <f>IF(AND(AH88=FALSE,COUNTIF('従業員情報(給与以外)'!$E$4:$E$502,入力シート!AH59)=0),"「"&amp;AH59&amp;"」","")</f>
        <v/>
      </c>
      <c r="AW118" s="182"/>
      <c r="AX118" s="109"/>
    </row>
    <row r="119" spans="18:50" hidden="1">
      <c r="R119" s="16">
        <v>2</v>
      </c>
      <c r="S119" s="182">
        <v>24</v>
      </c>
      <c r="T119" s="109" t="str">
        <f>IF(AND(T89=FALSE,COUNTIF('従業員情報(給与以外)'!$B$4:$B$502,入力シート!S60)=0),"「"&amp;S60&amp;"」","")</f>
        <v/>
      </c>
      <c r="U119" s="112"/>
      <c r="AE119" s="182"/>
      <c r="AH119" s="112" t="str">
        <f>IF(AND(AH89=FALSE,COUNTIF('従業員情報(給与以外)'!$E$4:$E$502,入力シート!AH60)=0),"「"&amp;AH60&amp;"」","")</f>
        <v/>
      </c>
      <c r="AW119" s="182"/>
      <c r="AX119" s="109"/>
    </row>
    <row r="120" spans="18:50" hidden="1">
      <c r="R120" s="16">
        <v>1</v>
      </c>
      <c r="S120" s="182">
        <v>25</v>
      </c>
      <c r="T120" s="109" t="str">
        <f>IF(AND(T90=FALSE,COUNTIF('従業員情報(給与以外)'!$B$4:$B$502,入力シート!S61)=0),"「"&amp;S61&amp;"」","")</f>
        <v/>
      </c>
      <c r="U120" s="112"/>
      <c r="AE120" s="182"/>
      <c r="AH120" s="112" t="str">
        <f>IF(AND(AH90=FALSE,COUNTIF('従業員情報(給与以外)'!$E$4:$E$502,入力シート!AH61)=0),"「"&amp;AH61&amp;"」","")</f>
        <v/>
      </c>
      <c r="AW120" s="182"/>
      <c r="AX120" s="109"/>
    </row>
    <row r="121" spans="18:50" hidden="1">
      <c r="S121" s="182">
        <v>26</v>
      </c>
      <c r="T121" s="109" t="str">
        <f>IF(AND(T91=FALSE,COUNTIF('従業員情報(給与以外)'!$B$4:$B$502,入力シート!S62)=0),"「"&amp;S62&amp;"」","")</f>
        <v/>
      </c>
      <c r="U121" s="112"/>
      <c r="AE121" s="182"/>
      <c r="AH121" s="112" t="str">
        <f>IF(AND(AH91=FALSE,COUNTIF('従業員情報(給与以外)'!$E$4:$E$502,入力シート!AH62)=0),"「"&amp;AH62&amp;"」","")</f>
        <v/>
      </c>
      <c r="AW121" s="182"/>
      <c r="AX121" s="109"/>
    </row>
  </sheetData>
  <sheetProtection algorithmName="SHA-512" hashValue="6tm1LCDLsIth/RbwdFqIb8lhSOqv1aG9vLPIO2srMOvfRj1znTh31/dxAsLW4063PII8WDQKtNFqaAQCNpHJpw==" saltValue="DBQ5SNJO8XONJnf/bfjfpQ==" spinCount="100000" sheet="1" objects="1" scenarios="1"/>
  <mergeCells count="268">
    <mergeCell ref="C58:Q58"/>
    <mergeCell ref="BL38:BS39"/>
    <mergeCell ref="BL31:BS36"/>
    <mergeCell ref="BL37:BS37"/>
    <mergeCell ref="BK30:BS30"/>
    <mergeCell ref="C59:Q63"/>
    <mergeCell ref="J39:P39"/>
    <mergeCell ref="J34:P34"/>
    <mergeCell ref="C38:I38"/>
    <mergeCell ref="C37:I37"/>
    <mergeCell ref="AH32:AK32"/>
    <mergeCell ref="C31:P31"/>
    <mergeCell ref="AL32:AO32"/>
    <mergeCell ref="AL37:AO37"/>
    <mergeCell ref="S56:V56"/>
    <mergeCell ref="C57:I57"/>
    <mergeCell ref="C56:I56"/>
    <mergeCell ref="L57:M57"/>
    <mergeCell ref="L54:M54"/>
    <mergeCell ref="N57:O57"/>
    <mergeCell ref="J57:K57"/>
    <mergeCell ref="P55:Q55"/>
    <mergeCell ref="P54:Q54"/>
    <mergeCell ref="P57:Q57"/>
    <mergeCell ref="B32:B50"/>
    <mergeCell ref="C32:P32"/>
    <mergeCell ref="C46:P46"/>
    <mergeCell ref="S48:V48"/>
    <mergeCell ref="S47:V47"/>
    <mergeCell ref="S46:V46"/>
    <mergeCell ref="W40:Z40"/>
    <mergeCell ref="W44:Z44"/>
    <mergeCell ref="W43:Z43"/>
    <mergeCell ref="W42:Z42"/>
    <mergeCell ref="W41:Z41"/>
    <mergeCell ref="W45:Z45"/>
    <mergeCell ref="S42:V42"/>
    <mergeCell ref="S41:V41"/>
    <mergeCell ref="S40:V40"/>
    <mergeCell ref="C49:I49"/>
    <mergeCell ref="C42:I42"/>
    <mergeCell ref="C41:I41"/>
    <mergeCell ref="C48:I48"/>
    <mergeCell ref="S36:V36"/>
    <mergeCell ref="C45:I45"/>
    <mergeCell ref="C44:I44"/>
    <mergeCell ref="S38:V38"/>
    <mergeCell ref="C50:I50"/>
    <mergeCell ref="AL56:AO56"/>
    <mergeCell ref="W48:Z48"/>
    <mergeCell ref="W47:Z47"/>
    <mergeCell ref="W56:Z56"/>
    <mergeCell ref="AH56:AK56"/>
    <mergeCell ref="AL47:AO47"/>
    <mergeCell ref="AH53:AK53"/>
    <mergeCell ref="W53:Z53"/>
    <mergeCell ref="W52:Z52"/>
    <mergeCell ref="W54:Z54"/>
    <mergeCell ref="AL52:AO52"/>
    <mergeCell ref="AL53:AO53"/>
    <mergeCell ref="AH51:AK51"/>
    <mergeCell ref="AH50:AK50"/>
    <mergeCell ref="J48:P48"/>
    <mergeCell ref="N51:O51"/>
    <mergeCell ref="P51:Q51"/>
    <mergeCell ref="C51:I51"/>
    <mergeCell ref="C52:I53"/>
    <mergeCell ref="P56:Q56"/>
    <mergeCell ref="J56:K56"/>
    <mergeCell ref="N55:O55"/>
    <mergeCell ref="N56:O56"/>
    <mergeCell ref="J55:K55"/>
    <mergeCell ref="L56:M56"/>
    <mergeCell ref="C55:I55"/>
    <mergeCell ref="J52:M52"/>
    <mergeCell ref="J50:P50"/>
    <mergeCell ref="J49:P49"/>
    <mergeCell ref="J51:K51"/>
    <mergeCell ref="S54:V54"/>
    <mergeCell ref="C54:I54"/>
    <mergeCell ref="L55:M55"/>
    <mergeCell ref="J54:K54"/>
    <mergeCell ref="N54:O54"/>
    <mergeCell ref="L53:M53"/>
    <mergeCell ref="J53:K53"/>
    <mergeCell ref="P53:Q53"/>
    <mergeCell ref="S53:V53"/>
    <mergeCell ref="S55:V55"/>
    <mergeCell ref="N53:O53"/>
    <mergeCell ref="J37:P37"/>
    <mergeCell ref="J45:P45"/>
    <mergeCell ref="J44:P44"/>
    <mergeCell ref="J43:P43"/>
    <mergeCell ref="J42:P42"/>
    <mergeCell ref="J41:P41"/>
    <mergeCell ref="J40:P40"/>
    <mergeCell ref="C40:I40"/>
    <mergeCell ref="C47:I47"/>
    <mergeCell ref="J38:P38"/>
    <mergeCell ref="C43:I43"/>
    <mergeCell ref="C39:I39"/>
    <mergeCell ref="J47:P47"/>
    <mergeCell ref="AX95:BL95"/>
    <mergeCell ref="AX94:BL94"/>
    <mergeCell ref="AX93:BL93"/>
    <mergeCell ref="AX92:BL92"/>
    <mergeCell ref="AH92:AU92"/>
    <mergeCell ref="AL55:AO55"/>
    <mergeCell ref="AL54:AO54"/>
    <mergeCell ref="AH55:AK55"/>
    <mergeCell ref="AH54:AK54"/>
    <mergeCell ref="AP33:AT62"/>
    <mergeCell ref="AH42:AK42"/>
    <mergeCell ref="AH41:AK41"/>
    <mergeCell ref="AH40:AK40"/>
    <mergeCell ref="AH39:AK39"/>
    <mergeCell ref="AH38:AK38"/>
    <mergeCell ref="AH37:AK37"/>
    <mergeCell ref="AH95:AU95"/>
    <mergeCell ref="AH49:AK49"/>
    <mergeCell ref="AH48:AK48"/>
    <mergeCell ref="AH47:AK47"/>
    <mergeCell ref="AL62:AO62"/>
    <mergeCell ref="AL61:AO61"/>
    <mergeCell ref="AL60:AO60"/>
    <mergeCell ref="AH52:AK52"/>
    <mergeCell ref="S62:V62"/>
    <mergeCell ref="S61:V61"/>
    <mergeCell ref="S60:V60"/>
    <mergeCell ref="S59:V59"/>
    <mergeCell ref="S58:V58"/>
    <mergeCell ref="S57:V57"/>
    <mergeCell ref="W62:Z62"/>
    <mergeCell ref="W61:Z61"/>
    <mergeCell ref="T92:AD92"/>
    <mergeCell ref="T93:AD93"/>
    <mergeCell ref="T94:AD94"/>
    <mergeCell ref="T95:AD95"/>
    <mergeCell ref="AL58:AO58"/>
    <mergeCell ref="AL57:AO57"/>
    <mergeCell ref="AL59:AO59"/>
    <mergeCell ref="AH62:AK62"/>
    <mergeCell ref="AH61:AK61"/>
    <mergeCell ref="AH59:AK59"/>
    <mergeCell ref="AH60:AK60"/>
    <mergeCell ref="AH57:AK57"/>
    <mergeCell ref="W60:Z60"/>
    <mergeCell ref="W59:Z59"/>
    <mergeCell ref="W57:Z57"/>
    <mergeCell ref="AH93:AU93"/>
    <mergeCell ref="AH94:AU94"/>
    <mergeCell ref="W58:Z58"/>
    <mergeCell ref="AA33:AE62"/>
    <mergeCell ref="AH43:AK43"/>
    <mergeCell ref="W37:Z37"/>
    <mergeCell ref="AL51:AO51"/>
    <mergeCell ref="AL50:AO50"/>
    <mergeCell ref="W55:Z55"/>
    <mergeCell ref="S49:V49"/>
    <mergeCell ref="U5:BD5"/>
    <mergeCell ref="C5:S5"/>
    <mergeCell ref="C6:D6"/>
    <mergeCell ref="C35:I35"/>
    <mergeCell ref="C9:I9"/>
    <mergeCell ref="C11:I11"/>
    <mergeCell ref="T10:BG10"/>
    <mergeCell ref="C16:I17"/>
    <mergeCell ref="BL4:BS11"/>
    <mergeCell ref="C15:BH15"/>
    <mergeCell ref="J26:S26"/>
    <mergeCell ref="J18:S19"/>
    <mergeCell ref="C18:I19"/>
    <mergeCell ref="J20:S21"/>
    <mergeCell ref="C20:I21"/>
    <mergeCell ref="J22:S23"/>
    <mergeCell ref="C30:BE30"/>
    <mergeCell ref="C34:I34"/>
    <mergeCell ref="BC33:BG61"/>
    <mergeCell ref="AL49:AO49"/>
    <mergeCell ref="AL48:AO48"/>
    <mergeCell ref="S44:V44"/>
    <mergeCell ref="S43:V43"/>
    <mergeCell ref="AH45:AK45"/>
    <mergeCell ref="AL46:AO46"/>
    <mergeCell ref="AH46:AK46"/>
    <mergeCell ref="S45:V45"/>
    <mergeCell ref="S37:V37"/>
    <mergeCell ref="BL29:BQ29"/>
    <mergeCell ref="AZ34:BB34"/>
    <mergeCell ref="AZ36:BB36"/>
    <mergeCell ref="AZ35:BB35"/>
    <mergeCell ref="S31:AE31"/>
    <mergeCell ref="AL36:AO36"/>
    <mergeCell ref="AL44:AO44"/>
    <mergeCell ref="AL39:AO39"/>
    <mergeCell ref="W46:Z46"/>
    <mergeCell ref="AL41:AO41"/>
    <mergeCell ref="AL40:AO40"/>
    <mergeCell ref="AL45:AO45"/>
    <mergeCell ref="W39:Z39"/>
    <mergeCell ref="AH44:AK44"/>
    <mergeCell ref="S39:V39"/>
    <mergeCell ref="W38:Z38"/>
    <mergeCell ref="W36:Z36"/>
    <mergeCell ref="W35:Z35"/>
    <mergeCell ref="W34:Z34"/>
    <mergeCell ref="BL41:BS47"/>
    <mergeCell ref="AZ37:BB37"/>
    <mergeCell ref="AZ32:BB32"/>
    <mergeCell ref="AW38:AY38"/>
    <mergeCell ref="AW37:AY37"/>
    <mergeCell ref="S33:Z33"/>
    <mergeCell ref="AZ38:BB38"/>
    <mergeCell ref="S32:V32"/>
    <mergeCell ref="AW36:AY36"/>
    <mergeCell ref="AW35:AY35"/>
    <mergeCell ref="AW34:AY34"/>
    <mergeCell ref="AW33:BB33"/>
    <mergeCell ref="AW32:AY32"/>
    <mergeCell ref="W32:Z32"/>
    <mergeCell ref="BL2:BS3"/>
    <mergeCell ref="C36:P36"/>
    <mergeCell ref="C24:I25"/>
    <mergeCell ref="T9:BG9"/>
    <mergeCell ref="J16:S17"/>
    <mergeCell ref="J11:S11"/>
    <mergeCell ref="J35:P35"/>
    <mergeCell ref="J10:S10"/>
    <mergeCell ref="J9:S9"/>
    <mergeCell ref="C22:I23"/>
    <mergeCell ref="J24:S25"/>
    <mergeCell ref="C26:I26"/>
    <mergeCell ref="C33:I33"/>
    <mergeCell ref="H27:I27"/>
    <mergeCell ref="S35:V35"/>
    <mergeCell ref="S34:V34"/>
    <mergeCell ref="J33:P33"/>
    <mergeCell ref="T11:BG11"/>
    <mergeCell ref="T16:BG16"/>
    <mergeCell ref="T17:BG17"/>
    <mergeCell ref="T18:BG18"/>
    <mergeCell ref="T19:BG19"/>
    <mergeCell ref="T26:BG26"/>
    <mergeCell ref="T25:BG25"/>
    <mergeCell ref="C10:I10"/>
    <mergeCell ref="AL43:AO43"/>
    <mergeCell ref="AL42:AO42"/>
    <mergeCell ref="AH58:AK58"/>
    <mergeCell ref="AH35:AK35"/>
    <mergeCell ref="AH34:AK34"/>
    <mergeCell ref="AH33:AO33"/>
    <mergeCell ref="AL35:AO35"/>
    <mergeCell ref="AL34:AO34"/>
    <mergeCell ref="AH36:AK36"/>
    <mergeCell ref="AL38:AO38"/>
    <mergeCell ref="S50:V50"/>
    <mergeCell ref="S51:V51"/>
    <mergeCell ref="L51:M51"/>
    <mergeCell ref="S52:V52"/>
    <mergeCell ref="W51:Z51"/>
    <mergeCell ref="W50:Z50"/>
    <mergeCell ref="W49:Z49"/>
    <mergeCell ref="N52:Q52"/>
    <mergeCell ref="T24:BG24"/>
    <mergeCell ref="T23:BG23"/>
    <mergeCell ref="T22:BG22"/>
    <mergeCell ref="T21:BG21"/>
    <mergeCell ref="T20:BG20"/>
  </mergeCells>
  <phoneticPr fontId="3"/>
  <conditionalFormatting sqref="B32:B50">
    <cfRule type="expression" dxfId="40" priority="658" stopIfTrue="1">
      <formula>SUBTOTAL(3,$J$16:$S$23)=0</formula>
    </cfRule>
  </conditionalFormatting>
  <conditionalFormatting sqref="B29:BG63">
    <cfRule type="expression" dxfId="38" priority="9">
      <formula>COUNTIF($J$16:$S$23,"")=8</formula>
    </cfRule>
  </conditionalFormatting>
  <conditionalFormatting sqref="C8:BG11">
    <cfRule type="expression" dxfId="32" priority="10">
      <formula>$C$5=""</formula>
    </cfRule>
  </conditionalFormatting>
  <conditionalFormatting sqref="T10 BH10:BK10">
    <cfRule type="expression" dxfId="27" priority="41">
      <formula>$T$10=" ←産業大分類で『製造業』以外を選択した場合は入力不要。"</formula>
    </cfRule>
  </conditionalFormatting>
  <conditionalFormatting sqref="T24">
    <cfRule type="expression" dxfId="22" priority="27">
      <formula>$T$24= " ←特定の日付(例:2025/3/31)を入力してください。"</formula>
    </cfRule>
  </conditionalFormatting>
  <conditionalFormatting sqref="AA33">
    <cfRule type="containsBlanks" dxfId="20" priority="247">
      <formula>LEN(TRIM(AA33))=0</formula>
    </cfRule>
    <cfRule type="expression" dxfId="19" priority="654">
      <formula>$AA$33&lt;&gt;""</formula>
    </cfRule>
  </conditionalFormatting>
  <conditionalFormatting sqref="AK64">
    <cfRule type="expression" dxfId="17" priority="450">
      <formula>AND(#REF!=1)</formula>
    </cfRule>
  </conditionalFormatting>
  <conditionalFormatting sqref="AP33">
    <cfRule type="containsBlanks" dxfId="16" priority="231">
      <formula>LEN(TRIM(AP33))=0</formula>
    </cfRule>
    <cfRule type="expression" dxfId="15" priority="238" stopIfTrue="1">
      <formula>$AP$33&lt;&gt;""</formula>
    </cfRule>
  </conditionalFormatting>
  <conditionalFormatting sqref="BC33:BG61">
    <cfRule type="containsBlanks" dxfId="14" priority="656">
      <formula>LEN(TRIM(BC33))=0</formula>
    </cfRule>
  </conditionalFormatting>
  <conditionalFormatting sqref="BL4">
    <cfRule type="expression" dxfId="13" priority="20" stopIfTrue="1">
      <formula>COUNTIF($BL$2,"*すべて入力済み！*")&gt;0</formula>
    </cfRule>
  </conditionalFormatting>
  <dataValidations count="1">
    <dataValidation type="date" allowBlank="1" showInputMessage="1" showErrorMessage="1" sqref="D12:E13 D27:F29 J24" xr:uid="{B5538F1D-081D-6C40-B934-E9B78FA06BD9}">
      <formula1>367</formula1>
      <formula2>47848</formula2>
    </dataValidation>
  </dataValidations>
  <pageMargins left="0.51181102362204722" right="0.39370078740157483" top="0.74803149606299213" bottom="0.74803149606299213" header="0.31496062992125984" footer="0.31496062992125984"/>
  <extLst>
    <ext xmlns:x14="http://schemas.microsoft.com/office/spreadsheetml/2009/9/main" uri="{78C0D931-6437-407d-A8EE-F0AAD7539E65}">
      <x14:conditionalFormattings>
        <x14:conditionalFormatting xmlns:xm="http://schemas.microsoft.com/office/excel/2006/main">
          <x14:cfRule type="expression" priority="657" id="{8C35BCA9-A0C4-9843-B846-53782E4C7B64}">
            <xm:f>AND($J$16=入力リスト!$H$9,$J$18=入力リスト!$H$9,$J$20=入力リスト!$H$9,$J$22=入力リスト!$H$9)</xm:f>
            <x14:dxf>
              <font>
                <color theme="0"/>
              </font>
              <fill>
                <patternFill>
                  <bgColor theme="0"/>
                </patternFill>
              </fill>
            </x14:dxf>
          </x14:cfRule>
          <x14:cfRule type="expression" priority="659" stopIfTrue="1" id="{3884A15F-5A84-2B48-B8D2-41956F55D59B}">
            <xm:f>OR($C$5="",$C$5=入力リスト!$C$4)</xm:f>
            <x14:dxf>
              <font>
                <color theme="0"/>
              </font>
              <fill>
                <patternFill>
                  <bgColor theme="0"/>
                </patternFill>
              </fill>
            </x14:dxf>
          </x14:cfRule>
          <xm:sqref>B32:B50</xm:sqref>
        </x14:conditionalFormatting>
        <x14:conditionalFormatting xmlns:xm="http://schemas.microsoft.com/office/excel/2006/main">
          <x14:cfRule type="expression" priority="647" stopIfTrue="1" id="{56D3E0B1-5B6E-9B4E-BCC6-7CA2D9DF3456}">
            <xm:f>$J$16&lt;&gt;入力リスト!$H$10</xm:f>
            <x14:dxf>
              <font>
                <color theme="0" tint="-0.24994659260841701"/>
              </font>
              <fill>
                <patternFill>
                  <bgColor theme="0" tint="-0.24994659260841701"/>
                </patternFill>
              </fill>
              <border>
                <left/>
                <right/>
                <top/>
                <bottom/>
              </border>
            </x14:dxf>
          </x14:cfRule>
          <xm:sqref>C32:P35</xm:sqref>
        </x14:conditionalFormatting>
        <x14:conditionalFormatting xmlns:xm="http://schemas.microsoft.com/office/excel/2006/main">
          <x14:cfRule type="expression" priority="648" id="{5B18E27C-E252-DB44-8D6E-650C97516ABF}">
            <xm:f>$J$18&lt;&gt;入力リスト!$H$10</xm:f>
            <x14:dxf>
              <font>
                <color theme="0" tint="-0.24994659260841701"/>
              </font>
              <fill>
                <patternFill>
                  <bgColor theme="0" tint="-0.24994659260841701"/>
                </patternFill>
              </fill>
              <border>
                <left/>
                <right/>
                <top/>
                <bottom/>
              </border>
            </x14:dxf>
          </x14:cfRule>
          <xm:sqref>C36:P45</xm:sqref>
        </x14:conditionalFormatting>
        <x14:conditionalFormatting xmlns:xm="http://schemas.microsoft.com/office/excel/2006/main">
          <x14:cfRule type="expression" priority="649" id="{A1153A56-AF90-F04A-BDCB-CD7872A65AC2}">
            <xm:f>$J$20&lt;&gt;入力リスト!$H$10</xm:f>
            <x14:dxf>
              <font>
                <color theme="0" tint="-0.24994659260841701"/>
              </font>
              <fill>
                <patternFill>
                  <bgColor theme="0" tint="-0.24994659260841701"/>
                </patternFill>
              </fill>
              <border>
                <left/>
                <right/>
                <top/>
                <bottom/>
              </border>
            </x14:dxf>
          </x14:cfRule>
          <xm:sqref>C46:P50</xm:sqref>
        </x14:conditionalFormatting>
        <x14:conditionalFormatting xmlns:xm="http://schemas.microsoft.com/office/excel/2006/main">
          <x14:cfRule type="expression" priority="650" stopIfTrue="1" id="{99E789C4-8D81-2547-A4CA-BF165E3AAB25}">
            <xm:f>COUNTIF($J$16:$S$23,入力リスト!$H$10)=0</xm:f>
            <x14:dxf>
              <font>
                <color theme="0" tint="-0.24994659260841701"/>
              </font>
              <fill>
                <patternFill>
                  <bgColor theme="0" tint="-0.24994659260841701"/>
                </patternFill>
              </fill>
              <border>
                <left/>
                <right/>
                <top/>
                <bottom/>
              </border>
            </x14:dxf>
          </x14:cfRule>
          <xm:sqref>C31:Q57 C58 C59:Q63</xm:sqref>
        </x14:conditionalFormatting>
        <x14:conditionalFormatting xmlns:xm="http://schemas.microsoft.com/office/excel/2006/main">
          <x14:cfRule type="expression" priority="653" id="{10A651DF-8BC1-AD4A-8F1A-828DE1499246}">
            <xm:f>$J$22&lt;&gt;入力リスト!$H$10</xm:f>
            <x14:dxf>
              <font>
                <color theme="0" tint="-0.24994659260841701"/>
              </font>
              <fill>
                <patternFill>
                  <bgColor theme="0" tint="-0.24994659260841701"/>
                </patternFill>
              </fill>
              <border>
                <left/>
                <right/>
                <top/>
                <bottom/>
              </border>
            </x14:dxf>
          </x14:cfRule>
          <xm:sqref>C51:Q57</xm:sqref>
        </x14:conditionalFormatting>
        <x14:conditionalFormatting xmlns:xm="http://schemas.microsoft.com/office/excel/2006/main">
          <x14:cfRule type="expression" priority="1" id="{DD46FD89-4156-4086-A048-5FB210AFED45}">
            <xm:f>OR($C$5="",$C$5=入力リスト!$C$4)</xm:f>
            <x14:dxf>
              <font>
                <color theme="0" tint="-0.24994659260841701"/>
              </font>
              <fill>
                <patternFill>
                  <bgColor theme="0" tint="-0.24994659260841701"/>
                </patternFill>
              </fill>
              <border>
                <left/>
                <right/>
                <top/>
                <bottom/>
              </border>
            </x14:dxf>
          </x14:cfRule>
          <xm:sqref>C14:BH23 J24 C24:I25 T24:BH25 C26:BH26 C29:BG63</xm:sqref>
        </x14:conditionalFormatting>
        <x14:conditionalFormatting xmlns:xm="http://schemas.microsoft.com/office/excel/2006/main">
          <x14:cfRule type="expression" priority="505" stopIfTrue="1" id="{00000000-000E-0000-0200-0000BE010000}">
            <xm:f>$J$9&lt;&gt;入力リスト!$C$9</xm:f>
            <x14:dxf>
              <font>
                <b/>
                <i val="0"/>
                <color theme="0"/>
              </font>
            </x14:dxf>
          </x14:cfRule>
          <xm:sqref>J10</xm:sqref>
        </x14:conditionalFormatting>
        <x14:conditionalFormatting xmlns:xm="http://schemas.microsoft.com/office/excel/2006/main">
          <x14:cfRule type="expression" priority="6" id="{BE470343-B3D5-B243-ADA1-A418DF8A0A39}">
            <xm:f>$T$24=入力リスト!$K$8</xm:f>
            <x14:dxf>
              <font>
                <color theme="0" tint="-0.24994659260841701"/>
              </font>
              <fill>
                <patternFill>
                  <bgColor theme="0" tint="-0.24994659260841701"/>
                </patternFill>
              </fill>
              <border>
                <left/>
                <right/>
                <top/>
                <bottom/>
              </border>
            </x14:dxf>
          </x14:cfRule>
          <xm:sqref>J24</xm:sqref>
        </x14:conditionalFormatting>
        <x14:conditionalFormatting xmlns:xm="http://schemas.microsoft.com/office/excel/2006/main">
          <x14:cfRule type="expression" priority="8" id="{F08E5CAD-C3EF-474F-896E-9C27A54771F2}">
            <xm:f>COUNTIF($J$16:$P$22,入力リスト!$H$9)=0</xm:f>
            <x14:dxf>
              <font>
                <color theme="0" tint="-0.24994659260841701"/>
              </font>
              <fill>
                <patternFill>
                  <bgColor theme="0" tint="-0.24994659260841701"/>
                </patternFill>
              </fill>
              <border>
                <left/>
                <right/>
                <top/>
                <bottom/>
                <vertical/>
                <horizontal/>
              </border>
            </x14:dxf>
          </x14:cfRule>
          <xm:sqref>S31:AE62 AH31:AT62 AW31:BG62</xm:sqref>
        </x14:conditionalFormatting>
        <x14:conditionalFormatting xmlns:xm="http://schemas.microsoft.com/office/excel/2006/main">
          <x14:cfRule type="expression" priority="2" id="{41E1D2A4-4713-4F51-B7A7-B6702585CAEA}">
            <xm:f>$T$16=入力リスト!$K$7</xm:f>
            <x14:dxf>
              <font>
                <color auto="1"/>
              </font>
            </x14:dxf>
          </x14:cfRule>
          <xm:sqref>T16</xm:sqref>
        </x14:conditionalFormatting>
        <x14:conditionalFormatting xmlns:xm="http://schemas.microsoft.com/office/excel/2006/main">
          <x14:cfRule type="expression" priority="666" stopIfTrue="1" id="{6F169B95-CE6B-564B-A520-C6169D03FF80}">
            <xm:f>$T$18=入力リスト!$K$7</xm:f>
            <x14:dxf>
              <font>
                <color theme="1"/>
              </font>
            </x14:dxf>
          </x14:cfRule>
          <xm:sqref>T18</xm:sqref>
        </x14:conditionalFormatting>
        <x14:conditionalFormatting xmlns:xm="http://schemas.microsoft.com/office/excel/2006/main">
          <x14:cfRule type="expression" priority="669" stopIfTrue="1" id="{5292B240-3F23-F540-B9B8-B0E33E498ED9}">
            <xm:f>$T$20=入力リスト!$K$7</xm:f>
            <x14:dxf>
              <font>
                <color theme="1"/>
              </font>
            </x14:dxf>
          </x14:cfRule>
          <xm:sqref>T20</xm:sqref>
        </x14:conditionalFormatting>
        <x14:conditionalFormatting xmlns:xm="http://schemas.microsoft.com/office/excel/2006/main">
          <x14:cfRule type="expression" priority="672" id="{C486B8CF-2C0C-496B-A63C-8205843A7208}">
            <xm:f>$T$22=入力リスト!$K$7</xm:f>
            <x14:dxf>
              <font>
                <color theme="1"/>
              </font>
            </x14:dxf>
          </x14:cfRule>
          <xm:sqref>T22</xm:sqref>
        </x14:conditionalFormatting>
        <x14:conditionalFormatting xmlns:xm="http://schemas.microsoft.com/office/excel/2006/main">
          <x14:cfRule type="expression" priority="506" id="{BD321D25-C27F-FE43-B4A6-3FAE35D6B319}">
            <xm:f>$J$9=入力リスト!$C$9</xm:f>
            <x14:dxf>
              <font>
                <color rgb="FFC00000"/>
              </font>
            </x14:dxf>
          </x14:cfRule>
          <xm:sqref>T10:BG10</xm:sqref>
        </x14:conditionalFormatting>
        <x14:conditionalFormatting xmlns:xm="http://schemas.microsoft.com/office/excel/2006/main">
          <x14:cfRule type="expression" priority="156" id="{73AC4A09-1429-054C-84DD-9CC640375388}">
            <xm:f>OR($J$20="",$J$20=入力リスト!$H$10)</xm:f>
            <x14:dxf>
              <font>
                <color theme="0" tint="-0.24994659260841701"/>
              </font>
              <fill>
                <patternFill>
                  <bgColor theme="0" tint="-0.24994659260841701"/>
                </patternFill>
              </fill>
              <border>
                <left/>
                <right/>
                <top/>
                <bottom/>
              </border>
            </x14:dxf>
          </x14:cfRule>
          <xm:sqref>AH31:AT62</xm:sqref>
        </x14:conditionalFormatting>
        <x14:conditionalFormatting xmlns:xm="http://schemas.microsoft.com/office/excel/2006/main">
          <x14:cfRule type="expression" priority="689" id="{25B9CFDC-54B1-7847-95AD-17EBBC8CBC83}">
            <xm:f>VLOOKUP($BL2,エラー表示用!$O$4:$Q$24,5,0)=1</xm:f>
            <x14:dxf>
              <font>
                <color rgb="FFC00000"/>
              </font>
            </x14:dxf>
          </x14:cfRule>
          <xm:sqref>BL2:BS3</xm:sqref>
        </x14:conditionalFormatting>
      </x14:conditionalFormattings>
    </ext>
    <ext xmlns:x14="http://schemas.microsoft.com/office/spreadsheetml/2009/9/main" uri="{CCE6A557-97BC-4b89-ADB6-D9C93CAAB3DF}">
      <x14:dataValidations xmlns:xm="http://schemas.microsoft.com/office/excel/2006/main" count="10">
        <x14:dataValidation type="list" allowBlank="1" showInputMessage="1" showErrorMessage="1" xr:uid="{5FDC27BB-3849-4270-A958-DD5830DB8C8E}">
          <x14:formula1>
            <xm:f>入力リスト!$D$23:$D$47</xm:f>
          </x14:formula1>
          <xm:sqref>J10:S10</xm:sqref>
        </x14:dataValidation>
        <x14:dataValidation type="list" allowBlank="1" showInputMessage="1" showErrorMessage="1" xr:uid="{81A67756-FCFF-48D3-BCAD-CF4911B6C868}">
          <x14:formula1>
            <xm:f>入力リスト!$C$2:$C$4</xm:f>
          </x14:formula1>
          <xm:sqref>C5:S5</xm:sqref>
        </x14:dataValidation>
        <x14:dataValidation type="list" allowBlank="1" showInputMessage="1" showErrorMessage="1" xr:uid="{EE76D254-93F7-4979-B4B5-7185F1689733}">
          <x14:formula1>
            <xm:f>入力リスト!$C$5:$C$22</xm:f>
          </x14:formula1>
          <xm:sqref>J9:S9</xm:sqref>
        </x14:dataValidation>
        <x14:dataValidation type="list" allowBlank="1" showInputMessage="1" showErrorMessage="1" xr:uid="{297BE410-5B18-D946-A709-F073B780EFD1}">
          <x14:formula1>
            <xm:f>入力リスト!$H$8:$H$10</xm:f>
          </x14:formula1>
          <xm:sqref>J16:S23</xm:sqref>
        </x14:dataValidation>
        <x14:dataValidation type="list" allowBlank="1" showInputMessage="1" showErrorMessage="1" xr:uid="{37B00C2B-DF1A-42FD-B614-5E68DF603275}">
          <x14:formula1>
            <xm:f>入力リスト!$H$2:$H$7</xm:f>
          </x14:formula1>
          <xm:sqref>J11:S11</xm:sqref>
        </x14:dataValidation>
        <x14:dataValidation type="list" allowBlank="1" showInputMessage="1" showErrorMessage="1" xr:uid="{69CB3639-B991-426A-BA28-A29224701CE5}">
          <x14:formula1>
            <xm:f>入力リスト!$H$13:$H$15</xm:f>
          </x14:formula1>
          <xm:sqref>W37:Z62</xm:sqref>
        </x14:dataValidation>
        <x14:dataValidation type="list" allowBlank="1" showInputMessage="1" showErrorMessage="1" xr:uid="{DB8A9D9A-C305-8749-AE4F-6E7DDB515F1B}">
          <x14:formula1>
            <xm:f>入力リスト!$H$16:$H$20</xm:f>
          </x14:formula1>
          <xm:sqref>AL37:AO62</xm:sqref>
        </x14:dataValidation>
        <x14:dataValidation type="list" allowBlank="1" showInputMessage="1" showErrorMessage="1" xr:uid="{53327C1F-6D42-4E03-8C5A-837186BB9C8F}">
          <x14:formula1>
            <xm:f>入力リスト!$H$11:$H$12</xm:f>
          </x14:formula1>
          <xm:sqref>J26:S26</xm:sqref>
        </x14:dataValidation>
        <x14:dataValidation type="list" allowBlank="1" showInputMessage="1" showErrorMessage="1" xr:uid="{32C0E92B-8649-4708-8689-72FB21C61FE6}">
          <x14:formula1>
            <xm:f>入力リスト!$H$21:$H$23</xm:f>
          </x14:formula1>
          <xm:sqref>AZ37:BB38</xm:sqref>
        </x14:dataValidation>
        <x14:dataValidation type="list" allowBlank="1" showInputMessage="1" showErrorMessage="1" xr:uid="{B1FDCB9C-22F3-8E48-BA53-1883DE4209A3}">
          <x14:formula1>
            <xm:f>入力リスト!$H$16:$H$19</xm:f>
          </x14:formula1>
          <xm:sqref>BL40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9C596-8AE6-B24E-AD79-7D0280F9DA93}">
  <dimension ref="A1:X870"/>
  <sheetViews>
    <sheetView view="pageBreakPreview" zoomScaleNormal="83" zoomScaleSheetLayoutView="100" workbookViewId="0">
      <pane ySplit="3" topLeftCell="A4" activePane="bottomLeft" state="frozen"/>
      <selection pane="bottomLeft" activeCell="A4" sqref="A4"/>
    </sheetView>
  </sheetViews>
  <sheetFormatPr defaultColWidth="10.7265625" defaultRowHeight="15"/>
  <cols>
    <col min="1" max="1" width="10.7265625" style="12"/>
    <col min="2" max="2" width="10.7265625" style="12" customWidth="1"/>
    <col min="3" max="3" width="10.7265625" style="13" customWidth="1"/>
    <col min="4" max="4" width="10.7265625" style="12"/>
    <col min="5" max="5" width="10.7265625" style="12" customWidth="1"/>
    <col min="6" max="6" width="66" style="297" customWidth="1"/>
    <col min="7" max="7" width="10.7265625" style="298" hidden="1" customWidth="1"/>
    <col min="8" max="8" width="12.1796875" style="298" hidden="1" customWidth="1"/>
    <col min="9" max="12" width="15.7265625" style="298" hidden="1" customWidth="1"/>
    <col min="13" max="13" width="53.54296875" style="298" customWidth="1"/>
    <col min="14" max="14" width="6.54296875" style="298" hidden="1" customWidth="1"/>
    <col min="15" max="15" width="9.54296875" style="298" hidden="1" customWidth="1"/>
    <col min="16" max="19" width="6.7265625" style="298" hidden="1" customWidth="1"/>
    <col min="20" max="23" width="5.7265625" style="299" hidden="1" customWidth="1"/>
    <col min="24" max="24" width="10.7265625" style="581"/>
    <col min="25" max="16384" width="10.7265625" style="10"/>
  </cols>
  <sheetData>
    <row r="1" spans="1:23" s="10" customFormat="1" ht="73.8" customHeight="1">
      <c r="A1" s="1085" t="s">
        <v>1158</v>
      </c>
      <c r="B1" s="1081" t="s">
        <v>414</v>
      </c>
      <c r="C1" s="1090" t="s">
        <v>9</v>
      </c>
      <c r="D1" s="1081" t="s">
        <v>10</v>
      </c>
      <c r="E1" s="1087" t="s">
        <v>11</v>
      </c>
      <c r="F1" s="590" t="str">
        <f>IF(VLOOKUP(TRUE,エラー表示用!$N$4:$R$24,5,0)=0,エラー表示用!I33,IF(VLOOKUP(TRUE,エラー表示用!$N$4:$R$24,5,0)=1,エラー表示用!I34,VLOOKUP(TRUE,エラー表示用!$B$28:$K$32,8,0)))</f>
        <v>［入力シート］の入力が完了していません。</v>
      </c>
      <c r="G1" s="204" t="b">
        <f>入力シート!$C$5=入力リスト!$C$4</f>
        <v>0</v>
      </c>
      <c r="H1" s="204" t="b">
        <f>COUNTIF(入力シート!$J$16:$S$23,入力リスト!$H$9)=0</f>
        <v>1</v>
      </c>
      <c r="I1" s="204" t="b">
        <f>AND(OR(入力シート!$J$18=入力リスト!$H$9,入力シート!$J$22=入力リスト!$H$9),入力シート!$J$24&lt;&gt;"")</f>
        <v>0</v>
      </c>
      <c r="J1" s="204" t="b">
        <f>AND(入力シート!$J$18&lt;&gt;入力リスト!$H$9,入力シート!$J$22&lt;&gt;入力リスト!$H$9)</f>
        <v>1</v>
      </c>
      <c r="K1" s="204" t="b">
        <f>COUNTIF(入力シート!$J$16:$S$23,入力リスト!$H$9)=0</f>
        <v>1</v>
      </c>
      <c r="L1" s="204" t="b">
        <f>COUNTIF(入力シート!$J$16:$S$23,入力リスト!$H$9)=0</f>
        <v>1</v>
      </c>
      <c r="M1" s="1084" t="s">
        <v>5000</v>
      </c>
      <c r="N1" s="296"/>
      <c r="O1" s="380"/>
      <c r="P1" s="205"/>
      <c r="Q1" s="205"/>
      <c r="R1" s="221"/>
      <c r="S1" s="205"/>
      <c r="T1" s="101"/>
      <c r="U1" s="101"/>
      <c r="V1" s="101"/>
      <c r="W1" s="101"/>
    </row>
    <row r="2" spans="1:23" s="10" customFormat="1" ht="45" customHeight="1">
      <c r="A2" s="1086"/>
      <c r="B2" s="1082"/>
      <c r="C2" s="1091"/>
      <c r="D2" s="1089"/>
      <c r="E2" s="1088"/>
      <c r="F2" s="80" t="str">
        <f>IF(VLOOKUP(TRUE,エラー表示用!$N$4:$R$24,5,0)=0,エラー表示用!G39,IF(VLOOKUP(TRUE,エラー表示用!$N$4:$R$24,5,0)=0=1,"［分析結果］へ移動してください。",IF(VLOOKUP(TRUE,エラー表示用!$B$28:$K$32,9,0)=0,"",(VLOOKUP(TRUE,エラー表示用!$B$28:$K$32,9,0)))))</f>
        <v>［入力シート］の入力が完了していません。</v>
      </c>
      <c r="G2" s="100" t="s">
        <v>1171</v>
      </c>
      <c r="H2" s="100" t="s">
        <v>8</v>
      </c>
      <c r="I2" s="100" t="s">
        <v>4994</v>
      </c>
      <c r="J2" s="100" t="s">
        <v>102</v>
      </c>
      <c r="K2" s="100" t="s">
        <v>101</v>
      </c>
      <c r="L2" s="100" t="s">
        <v>11</v>
      </c>
      <c r="M2" s="1084"/>
      <c r="N2" s="296"/>
      <c r="O2" s="1083"/>
      <c r="P2" s="1083"/>
      <c r="Q2" s="1083"/>
      <c r="R2" s="1083"/>
      <c r="S2" s="1083"/>
      <c r="T2" s="1080"/>
      <c r="U2" s="1080"/>
      <c r="V2" s="1080"/>
      <c r="W2" s="1080"/>
    </row>
    <row r="3" spans="1:23" s="10" customFormat="1" ht="52.2" customHeight="1">
      <c r="A3" s="106" t="s">
        <v>1205</v>
      </c>
      <c r="B3" s="574" t="s">
        <v>5227</v>
      </c>
      <c r="C3" s="213" t="str">
        <f>IF(AND(VLOOKUP(TRUE,エラー表示用!$N$4:$R$24,5,0),入力シート!$J$18=入力リスト!$H$10,入力シート!$J$22=入力リスト!$H$10),"この項目への入力は不要です。"&amp;CHAR(10)&amp;"↓","1982/5/21"&amp;CHAR(10))</f>
        <v xml:space="preserve">1982/5/21
</v>
      </c>
      <c r="D3" s="573" t="s">
        <v>5226</v>
      </c>
      <c r="E3" s="212" t="str">
        <f>IF(AND(VLOOKUP(TRUE,エラー表示用!$N$4:$R$24,5,0),入力シート!$J$20=入力リスト!$H$10),"この項目への入力は不要です。"&amp;CHAR(10)&amp;"↓","部長"&amp;CHAR(10))</f>
        <v xml:space="preserve">部長
</v>
      </c>
      <c r="F3" s="206" t="s">
        <v>5225</v>
      </c>
      <c r="G3" s="207"/>
      <c r="H3" s="208"/>
      <c r="I3" s="208"/>
      <c r="J3" s="205"/>
      <c r="K3" s="208"/>
      <c r="L3" s="208" t="b">
        <f>入力シート!$J$20=入力リスト!$H$10</f>
        <v>0</v>
      </c>
      <c r="M3" s="220"/>
      <c r="N3" s="220"/>
      <c r="O3" s="1083"/>
      <c r="P3" s="1083"/>
      <c r="Q3" s="1083"/>
      <c r="R3" s="1083"/>
      <c r="S3" s="1083"/>
      <c r="T3" s="1080"/>
      <c r="U3" s="1080"/>
      <c r="V3" s="1080"/>
      <c r="W3" s="1080"/>
    </row>
    <row r="4" spans="1:23" s="10" customFormat="1" ht="19.8">
      <c r="A4" s="248"/>
      <c r="B4" s="249"/>
      <c r="C4" s="250"/>
      <c r="D4" s="251"/>
      <c r="E4" s="252"/>
      <c r="F4" s="257" t="str">
        <f>IF($G$1,"",IF(COUNTIF(A4:E4,"")=5,"",IF(G4,入力リスト!$K$28,IF(OR(A4="",B4="",IF(COUNTIF($C$3,"*不要*"),"",C4=""),D4=""),IF(A4="","従業員番号","")&amp;IF(B4="","「雇用形態」","")&amp;IF(OR(入力シート!$J$18=入力リスト!$H$9,入力シート!$J$22=入力リスト!$H$9),IF(C4="","「入社年月日」",""),"")&amp;IF(D4="","「性別」","")&amp;IF(IF(A4="","従業員番号","")&amp;IF(B4="","「雇用形態」","")&amp;IF(OR(入力シート!$J$18=入力リスト!$H$9,入力シート!$J$22=入力リスト!$H$9),IF(C4="","「入社年月日」",""),"")&amp;IF(D4="","「性別」","")="","",入力リスト!$K$29),IF(J4,入力リスト!$K$30,"")&amp;IF(I4,入力リスト!$K$31,"")&amp;IF(H4,"「雇用形態」","")&amp;IF(K4,"「性別」","")&amp;IF(L4,"「役職」","")&amp;IF(OR(H4,K4,L4),入力リスト!$K$32,"")))))</f>
        <v/>
      </c>
      <c r="G4" s="209" t="b">
        <v>0</v>
      </c>
      <c r="H4" s="210" t="b">
        <f>IF($H$1,FALSE,COUNTIF(入力シート!$S$37:$V$62,B4)=0)</f>
        <v>0</v>
      </c>
      <c r="I4" s="210" t="b">
        <f>IF($I$1,IF(ISNUMBER(C4),FALSE,TRUE),FALSE)</f>
        <v>0</v>
      </c>
      <c r="J4" s="210" t="b">
        <f>IF($J$1,FALSE,IF(I4=TRUE,FALSE,IF(I4,FALSE,C4&gt;入力シート!$J$24)))</f>
        <v>0</v>
      </c>
      <c r="K4" s="210" t="b">
        <f>IF($K$1,FALSE,COUNTIF(入力シート!$AW$37:$BB$38,D4)=0)</f>
        <v>0</v>
      </c>
      <c r="L4" s="210" t="b">
        <f>IF($L$1,FALSE,IF($L$3,FALSE,IF(E4="",FALSE,COUNTIF(入力シート!$AH$37:$AK$62,E4)=0)))</f>
        <v>0</v>
      </c>
      <c r="M4" s="211" t="str">
        <f>IF(COUNTIF(F4,"*入社年月日に数値以外*"),"※1900/1/1以前の日付は数値として認識されません。","")</f>
        <v/>
      </c>
      <c r="N4" s="211"/>
      <c r="O4" s="209" t="str">
        <f>IF(B4="","",VLOOKUP('従業員情報(給与以外)'!$B4,入力シート!$S$37:$Z$62,5,0))</f>
        <v/>
      </c>
      <c r="P4" s="156" t="str">
        <f>IF(ISNUMBER(C4)=FALSE,"",IF(C4&gt;入力シート!$J$24,"",_xlfn.DAYS(入力シート!$J$24,'従業員情報(給与以外)'!$C4)/365))</f>
        <v/>
      </c>
      <c r="Q4" s="210" t="str">
        <f>IF(P4="","",VLOOKUP(_xlfn.DAYS(入力シート!$J$24,'従業員情報(給与以外)'!$C4)/365,入力リスト!$K$18:$L$26,2,2))</f>
        <v/>
      </c>
      <c r="R4" s="209" t="str">
        <f>IF(D4="","",VLOOKUP('従業員情報(給与以外)'!$D4,入力シート!$AW$37:$BB$38,4,0))</f>
        <v/>
      </c>
      <c r="S4" s="209" t="str">
        <f>IF(A4="","",IF(E4="","非役職",VLOOKUP('従業員情報(給与以外)'!$E4,入力シート!$AH$37:$AO$62,5,0)))</f>
        <v/>
      </c>
      <c r="T4" s="102" t="str">
        <f>IF(OR(入力シート!$C$5&lt;&gt;入力リスト!$C$3,COUNTIF(入力シート!$J$16:$S$23,入力リスト!$H$9)=0),"",IF($A4="","",IF(ISERROR(AVERAGEIF(従業員の給与情報!$B:$B,$A4,従業員の給与情報!$C:$C)),0,IF(ISERROR(AVERAGEIF(従業員の給与情報!$B:$B,$A4,従業員の給与情報!$C:$C)),0,AVERAGEIF(従業員の給与情報!$B:$B,$A4,従業員の給与情報!$C:$C)))))</f>
        <v/>
      </c>
      <c r="U4" s="102" t="str">
        <f>IF(OR(入力シート!$C$5&lt;&gt;入力リスト!$C$3,COUNTIF(入力シート!$J$16:$S$23,入力リスト!$H$9)=0),"",IF(A4="","",IF(ISERROR(AVERAGEIF(従業員の給与情報!$B:$B,$A4,従業員の給与情報!$D:$D)),0,IF(ISERROR(AVERAGEIF(従業員の給与情報!$B:$B,$A4,従業員の給与情報!$D:$D)),0,AVERAGEIF(従業員の給与情報!$B:$B,$A4,従業員の給与情報!$D:$D)))))</f>
        <v/>
      </c>
      <c r="V4" s="102" t="str">
        <f>IF(OR(入力シート!$C$5&lt;&gt;入力リスト!$C$3,COUNTIF(入力シート!$J$16:$S$23,入力リスト!$H$9)=0),"",IF(A4="","",IF(ISERROR(AVERAGEIF(従業員の給与情報!$B:$B,$A4,従業員の給与情報!$E:$E)),0,IF(ISERROR(AVERAGEIF(従業員の給与情報!$B:$B,$A4,従業員の給与情報!$E:$E)),0,AVERAGEIF(従業員の給与情報!$B:$B,$A4,従業員の給与情報!$E:$E)))))</f>
        <v/>
      </c>
      <c r="W4" s="103" t="str">
        <f>IF(OR(入力シート!$C$5&lt;&gt;入力リスト!$C$3,COUNTIF(入力シート!$J$16:$S$23,入力リスト!$H$9)=0),"",IF(A4="","",IF(ISERROR(AVERAGEIF(従業員の給与情報!$B:$B,$A4,従業員の給与情報!$F:$F)),0,IF(ISERROR(AVERAGEIF(従業員の給与情報!$B:$B,$A4,従業員の給与情報!$F:$F)),0,AVERAGEIF(従業員の給与情報!$B:$B,$A4,従業員の給与情報!$F:$F)))))</f>
        <v/>
      </c>
    </row>
    <row r="5" spans="1:23" s="10" customFormat="1" ht="19.8">
      <c r="A5" s="248"/>
      <c r="B5" s="249"/>
      <c r="C5" s="250"/>
      <c r="D5" s="251"/>
      <c r="E5" s="352"/>
      <c r="F5" s="257" t="str">
        <f>IF($G$1,"",IF(COUNTIF(A5:E5,"")=5,"",IF(G5,入力リスト!$K$28,IF(OR(A5="",B5="",IF(COUNTIF($C$3,"*不要*"),"",C5=""),D5=""),IF(A5="","従業員番号","")&amp;IF(B5="","「雇用形態」","")&amp;IF(OR(入力シート!$J$18=入力リスト!$H$9,入力シート!$J$22=入力リスト!$H$9),IF(C5="","「入社年月日」",""),"")&amp;IF(D5="","「性別」","")&amp;IF(IF(A5="","従業員番号","")&amp;IF(B5="","「雇用形態」","")&amp;IF(OR(入力シート!$J$18=入力リスト!$H$9,入力シート!$J$22=入力リスト!$H$9),IF(C5="","「入社年月日」",""),"")&amp;IF(D5="","「性別」","")="","",入力リスト!$K$29),IF(J5,入力リスト!$K$30,"")&amp;IF(I5,入力リスト!$K$31,"")&amp;IF(H5,"「雇用形態」","")&amp;IF(K5,"「性別」","")&amp;IF(L5,"「役職」","")&amp;IF(OR(H5,K5,L5),入力リスト!$K$32,"")))))</f>
        <v/>
      </c>
      <c r="G5" s="209" t="b">
        <f>COUNTIF($A$4:A4,$A5)&gt;0</f>
        <v>0</v>
      </c>
      <c r="H5" s="210" t="b">
        <f>IF($H$1,FALSE,COUNTIF(入力シート!$S$37:$V$62,B5)=0)</f>
        <v>0</v>
      </c>
      <c r="I5" s="210" t="b">
        <f t="shared" ref="I5" si="0">IF($I$1,IF(ISNUMBER(C5),FALSE,TRUE),FALSE)</f>
        <v>0</v>
      </c>
      <c r="J5" s="210" t="b">
        <f>IF($J$1,FALSE,IF(I5=TRUE,FALSE,IF(I5,FALSE,C5&gt;入力シート!$J$24)))</f>
        <v>0</v>
      </c>
      <c r="K5" s="210" t="b">
        <f>IF($K$1,FALSE,COUNTIF(入力シート!$AW$37:$BB$38,D5)=0)</f>
        <v>0</v>
      </c>
      <c r="L5" s="210" t="b">
        <f>IF($L$1,FALSE,IF($L$3,FALSE,IF(E5="",FALSE,COUNTIF(入力シート!$AH$37:$AK$62,E5)=0)))</f>
        <v>0</v>
      </c>
      <c r="M5" s="211" t="str">
        <f t="shared" ref="M5:M68" si="1">IF(COUNTIF(F5,"*入社年月日に数値以外*"),"※1900/0/0以前は数値として認識されません。","")</f>
        <v/>
      </c>
      <c r="N5" s="211"/>
      <c r="O5" s="209" t="str">
        <f>IF(B5="","",VLOOKUP('従業員情報(給与以外)'!$B5,入力シート!$S$37:$Z$62,5,0))</f>
        <v/>
      </c>
      <c r="P5" s="156" t="str">
        <f>IF(ISNUMBER(C5)=FALSE,"",IF(C5&gt;入力シート!$J$24,"",_xlfn.DAYS(入力シート!$J$24,'従業員情報(給与以外)'!$C5)/365))</f>
        <v/>
      </c>
      <c r="Q5" s="210" t="str">
        <f>IF(P5="","",VLOOKUP(_xlfn.DAYS(入力シート!$J$24,'従業員情報(給与以外)'!$C5)/365,入力リスト!$K$18:$L$26,2,2))</f>
        <v/>
      </c>
      <c r="R5" s="209" t="str">
        <f>IF(D5="","",VLOOKUP('従業員情報(給与以外)'!$D5,入力シート!$AW$37:$BB$38,4,0))</f>
        <v/>
      </c>
      <c r="S5" s="209" t="str">
        <f>IF(A5="","",IF(E5="","非役職",VLOOKUP('従業員情報(給与以外)'!$E5,入力シート!$AH$37:$AO$62,5,0)))</f>
        <v/>
      </c>
      <c r="T5" s="102" t="str">
        <f>IF(OR(入力シート!$C$5&lt;&gt;入力リスト!$C$3,COUNTIF(入力シート!$J$16:$S$23,入力リスト!$H$9)=0),"",IF($A5="","",IF(ISERROR(AVERAGEIF(従業員の給与情報!$B:$B,$A5,従業員の給与情報!$C:$C)),0,IF(ISERROR(AVERAGEIF(従業員の給与情報!$B:$B,$A5,従業員の給与情報!$C:$C)),0,AVERAGEIF(従業員の給与情報!$B:$B,$A5,従業員の給与情報!$C:$C)))))</f>
        <v/>
      </c>
      <c r="U5" s="102" t="str">
        <f>IF(OR(入力シート!$C$5&lt;&gt;入力リスト!$C$3,COUNTIF(入力シート!$J$16:$S$23,入力リスト!$H$9)=0),"",IF(A5="","",IF(ISERROR(AVERAGEIF(従業員の給与情報!$B:$B,$A5,従業員の給与情報!$D:$D)),0,IF(ISERROR(AVERAGEIF(従業員の給与情報!$B:$B,$A5,従業員の給与情報!$D:$D)),0,AVERAGEIF(従業員の給与情報!$B:$B,$A5,従業員の給与情報!$D:$D)))))</f>
        <v/>
      </c>
      <c r="V5" s="102" t="str">
        <f>IF(OR(入力シート!$C$5&lt;&gt;入力リスト!$C$3,COUNTIF(入力シート!$J$16:$S$23,入力リスト!$H$9)=0),"",IF(A5="","",IF(ISERROR(AVERAGEIF(従業員の給与情報!$B:$B,$A5,従業員の給与情報!$E:$E)),0,IF(ISERROR(AVERAGEIF(従業員の給与情報!$B:$B,$A5,従業員の給与情報!$E:$E)),0,AVERAGEIF(従業員の給与情報!$B:$B,$A5,従業員の給与情報!$E:$E)))))</f>
        <v/>
      </c>
      <c r="W5" s="103" t="str">
        <f>IF(OR(入力シート!$C$5&lt;&gt;入力リスト!$C$3,COUNTIF(入力シート!$J$16:$S$23,入力リスト!$H$9)=0),"",IF(A5="","",IF(ISERROR(AVERAGEIF(従業員の給与情報!$B:$B,$A5,従業員の給与情報!$F:$F)),0,IF(ISERROR(AVERAGEIF(従業員の給与情報!$B:$B,$A5,従業員の給与情報!$F:$F)),0,AVERAGEIF(従業員の給与情報!$B:$B,$A5,従業員の給与情報!$F:$F)))))</f>
        <v/>
      </c>
    </row>
    <row r="6" spans="1:23" s="10" customFormat="1" ht="19.8">
      <c r="A6" s="248"/>
      <c r="B6" s="249"/>
      <c r="C6" s="250"/>
      <c r="D6" s="251"/>
      <c r="E6" s="252"/>
      <c r="F6" s="257" t="str">
        <f>IF($G$1,"",IF(COUNTIF(A6:E6,"")=5,"",IF(G6,入力リスト!$K$28,IF(OR(A6="",B6="",IF(COUNTIF($C$3,"*不要*"),"",C6=""),D6=""),IF(A6="","従業員番号","")&amp;IF(B6="","「雇用形態」","")&amp;IF(OR(入力シート!$J$18=入力リスト!$H$9,入力シート!$J$22=入力リスト!$H$9),IF(C6="","「入社年月日」",""),"")&amp;IF(D6="","「性別」","")&amp;IF(IF(A6="","従業員番号","")&amp;IF(B6="","「雇用形態」","")&amp;IF(OR(入力シート!$J$18=入力リスト!$H$9,入力シート!$J$22=入力リスト!$H$9),IF(C6="","「入社年月日」",""),"")&amp;IF(D6="","「性別」","")="","",入力リスト!$K$29),IF(J6,入力リスト!$K$30,"")&amp;IF(I6,入力リスト!$K$31,"")&amp;IF(H6,"「雇用形態」","")&amp;IF(K6,"「性別」","")&amp;IF(L6,"「役職」","")&amp;IF(OR(H6,K6,L6),入力リスト!$K$32,"")))))</f>
        <v/>
      </c>
      <c r="G6" s="209" t="b">
        <f>COUNTIF($A$4:A5,$A6)&gt;0</f>
        <v>0</v>
      </c>
      <c r="H6" s="210" t="b">
        <f>IF($H$1,FALSE,COUNTIF(入力シート!$S$37:$V$62,B6)=0)</f>
        <v>0</v>
      </c>
      <c r="I6" s="210" t="b">
        <f t="shared" ref="I6:I69" si="2">IF($I$1,IF(ISNUMBER(C6),FALSE,TRUE),FALSE)</f>
        <v>0</v>
      </c>
      <c r="J6" s="210" t="b">
        <f>IF($J$1,FALSE,IF(I6=TRUE,FALSE,IF(I6,FALSE,C6&gt;入力シート!$J$24)))</f>
        <v>0</v>
      </c>
      <c r="K6" s="210" t="b">
        <f>IF($K$1,FALSE,COUNTIF(入力シート!$AW$37:$BB$38,D6)=0)</f>
        <v>0</v>
      </c>
      <c r="L6" s="210" t="b">
        <f>IF($L$1,FALSE,IF($L$3,FALSE,IF(E6="",FALSE,COUNTIF(入力シート!$AH$37:$AK$62,E6)=0)))</f>
        <v>0</v>
      </c>
      <c r="M6" s="211" t="str">
        <f t="shared" si="1"/>
        <v/>
      </c>
      <c r="N6" s="211"/>
      <c r="O6" s="209" t="str">
        <f>IF(B6="","",VLOOKUP('従業員情報(給与以外)'!$B6,入力シート!$S$37:$Z$62,5,0))</f>
        <v/>
      </c>
      <c r="P6" s="156" t="str">
        <f>IF(ISNUMBER(C6)=FALSE,"",IF(C6&gt;入力シート!$J$24,"",_xlfn.DAYS(入力シート!$J$24,'従業員情報(給与以外)'!$C6)/365))</f>
        <v/>
      </c>
      <c r="Q6" s="210" t="str">
        <f>IF(P6="","",VLOOKUP(_xlfn.DAYS(入力シート!$J$24,'従業員情報(給与以外)'!$C6)/365,入力リスト!$K$18:$L$26,2,2))</f>
        <v/>
      </c>
      <c r="R6" s="209" t="str">
        <f>IF(D6="","",VLOOKUP('従業員情報(給与以外)'!$D6,入力シート!$AW$37:$BB$38,4,0))</f>
        <v/>
      </c>
      <c r="S6" s="209" t="str">
        <f>IF(A6="","",IF(E6="","非役職",VLOOKUP('従業員情報(給与以外)'!$E6,入力シート!$AH$37:$AO$62,5,0)))</f>
        <v/>
      </c>
      <c r="T6" s="102" t="str">
        <f>IF(OR(入力シート!$C$5&lt;&gt;入力リスト!$C$3,COUNTIF(入力シート!$J$16:$S$23,入力リスト!$H$9)=0),"",IF($A6="","",IF(ISERROR(AVERAGEIF(従業員の給与情報!$B:$B,$A6,従業員の給与情報!$C:$C)),0,IF(ISERROR(AVERAGEIF(従業員の給与情報!$B:$B,$A6,従業員の給与情報!$C:$C)),0,AVERAGEIF(従業員の給与情報!$B:$B,$A6,従業員の給与情報!$C:$C)))))</f>
        <v/>
      </c>
      <c r="U6" s="102" t="str">
        <f>IF(OR(入力シート!$C$5&lt;&gt;入力リスト!$C$3,COUNTIF(入力シート!$J$16:$S$23,入力リスト!$H$9)=0),"",IF(A6="","",IF(ISERROR(AVERAGEIF(従業員の給与情報!$B:$B,$A6,従業員の給与情報!$D:$D)),0,IF(ISERROR(AVERAGEIF(従業員の給与情報!$B:$B,$A6,従業員の給与情報!$D:$D)),0,AVERAGEIF(従業員の給与情報!$B:$B,$A6,従業員の給与情報!$D:$D)))))</f>
        <v/>
      </c>
      <c r="V6" s="102" t="str">
        <f>IF(OR(入力シート!$C$5&lt;&gt;入力リスト!$C$3,COUNTIF(入力シート!$J$16:$S$23,入力リスト!$H$9)=0),"",IF(A6="","",IF(ISERROR(AVERAGEIF(従業員の給与情報!$B:$B,$A6,従業員の給与情報!$E:$E)),0,IF(ISERROR(AVERAGEIF(従業員の給与情報!$B:$B,$A6,従業員の給与情報!$E:$E)),0,AVERAGEIF(従業員の給与情報!$B:$B,$A6,従業員の給与情報!$E:$E)))))</f>
        <v/>
      </c>
      <c r="W6" s="103" t="str">
        <f>IF(OR(入力シート!$C$5&lt;&gt;入力リスト!$C$3,COUNTIF(入力シート!$J$16:$S$23,入力リスト!$H$9)=0),"",IF(A6="","",IF(ISERROR(AVERAGEIF(従業員の給与情報!$B:$B,$A6,従業員の給与情報!$F:$F)),0,IF(ISERROR(AVERAGEIF(従業員の給与情報!$B:$B,$A6,従業員の給与情報!$F:$F)),0,AVERAGEIF(従業員の給与情報!$B:$B,$A6,従業員の給与情報!$F:$F)))))</f>
        <v/>
      </c>
    </row>
    <row r="7" spans="1:23" s="10" customFormat="1" ht="19.8">
      <c r="A7" s="248"/>
      <c r="B7" s="249"/>
      <c r="C7" s="250"/>
      <c r="D7" s="251"/>
      <c r="E7" s="352"/>
      <c r="F7" s="257" t="str">
        <f>IF($G$1,"",IF(COUNTIF(A7:E7,"")=5,"",IF(G7,入力リスト!$K$28,IF(OR(A7="",B7="",IF(COUNTIF($C$3,"*不要*"),"",C7=""),D7=""),IF(A7="","従業員番号","")&amp;IF(B7="","「雇用形態」","")&amp;IF(OR(入力シート!$J$18=入力リスト!$H$9,入力シート!$J$22=入力リスト!$H$9),IF(C7="","「入社年月日」",""),"")&amp;IF(D7="","「性別」","")&amp;IF(IF(A7="","従業員番号","")&amp;IF(B7="","「雇用形態」","")&amp;IF(OR(入力シート!$J$18=入力リスト!$H$9,入力シート!$J$22=入力リスト!$H$9),IF(C7="","「入社年月日」",""),"")&amp;IF(D7="","「性別」","")="","",入力リスト!$K$29),IF(J7,入力リスト!$K$30,"")&amp;IF(I7,入力リスト!$K$31,"")&amp;IF(H7,"「雇用形態」","")&amp;IF(K7,"「性別」","")&amp;IF(L7,"「役職」","")&amp;IF(OR(H7,K7,L7),入力リスト!$K$32,"")))))</f>
        <v/>
      </c>
      <c r="G7" s="209" t="b">
        <f>COUNTIF($A$4:A6,$A7)&gt;0</f>
        <v>0</v>
      </c>
      <c r="H7" s="210" t="b">
        <f>IF($H$1,FALSE,COUNTIF(入力シート!$S$37:$V$62,B7)=0)</f>
        <v>0</v>
      </c>
      <c r="I7" s="210" t="b">
        <f t="shared" si="2"/>
        <v>0</v>
      </c>
      <c r="J7" s="210" t="b">
        <f>IF($J$1,FALSE,IF(I7=TRUE,FALSE,IF(I7,FALSE,C7&gt;入力シート!$J$24)))</f>
        <v>0</v>
      </c>
      <c r="K7" s="210" t="b">
        <f>IF($K$1,FALSE,COUNTIF(入力シート!$AW$37:$BB$38,D7)=0)</f>
        <v>0</v>
      </c>
      <c r="L7" s="210" t="b">
        <f>IF($L$1,FALSE,IF($L$3,FALSE,IF(E7="",FALSE,COUNTIF(入力シート!$AH$37:$AK$62,E7)=0)))</f>
        <v>0</v>
      </c>
      <c r="M7" s="211" t="str">
        <f t="shared" si="1"/>
        <v/>
      </c>
      <c r="N7" s="211"/>
      <c r="O7" s="209" t="str">
        <f>IF(B7="","",VLOOKUP('従業員情報(給与以外)'!$B7,入力シート!$S$37:$Z$62,5,0))</f>
        <v/>
      </c>
      <c r="P7" s="156" t="str">
        <f>IF(ISNUMBER(C7)=FALSE,"",IF(C7&gt;入力シート!$J$24,"",_xlfn.DAYS(入力シート!$J$24,'従業員情報(給与以外)'!$C7)/365))</f>
        <v/>
      </c>
      <c r="Q7" s="210" t="str">
        <f>IF(P7="","",VLOOKUP(_xlfn.DAYS(入力シート!$J$24,'従業員情報(給与以外)'!$C7)/365,入力リスト!$K$18:$L$26,2,2))</f>
        <v/>
      </c>
      <c r="R7" s="209" t="str">
        <f>IF(D7="","",VLOOKUP('従業員情報(給与以外)'!$D7,入力シート!$AW$37:$BB$38,4,0))</f>
        <v/>
      </c>
      <c r="S7" s="209" t="str">
        <f>IF(A7="","",IF(E7="","非役職",VLOOKUP('従業員情報(給与以外)'!$E7,入力シート!$AH$37:$AO$62,5,0)))</f>
        <v/>
      </c>
      <c r="T7" s="102" t="str">
        <f>IF(OR(入力シート!$C$5&lt;&gt;入力リスト!$C$3,COUNTIF(入力シート!$J$16:$S$23,入力リスト!$H$9)=0),"",IF($A7="","",IF(ISERROR(AVERAGEIF(従業員の給与情報!$B:$B,$A7,従業員の給与情報!$C:$C)),0,IF(ISERROR(AVERAGEIF(従業員の給与情報!$B:$B,$A7,従業員の給与情報!$C:$C)),0,AVERAGEIF(従業員の給与情報!$B:$B,$A7,従業員の給与情報!$C:$C)))))</f>
        <v/>
      </c>
      <c r="U7" s="102" t="str">
        <f>IF(OR(入力シート!$C$5&lt;&gt;入力リスト!$C$3,COUNTIF(入力シート!$J$16:$S$23,入力リスト!$H$9)=0),"",IF(A7="","",IF(ISERROR(AVERAGEIF(従業員の給与情報!$B:$B,$A7,従業員の給与情報!$D:$D)),0,IF(ISERROR(AVERAGEIF(従業員の給与情報!$B:$B,$A7,従業員の給与情報!$D:$D)),0,AVERAGEIF(従業員の給与情報!$B:$B,$A7,従業員の給与情報!$D:$D)))))</f>
        <v/>
      </c>
      <c r="V7" s="102" t="str">
        <f>IF(OR(入力シート!$C$5&lt;&gt;入力リスト!$C$3,COUNTIF(入力シート!$J$16:$S$23,入力リスト!$H$9)=0),"",IF(A7="","",IF(ISERROR(AVERAGEIF(従業員の給与情報!$B:$B,$A7,従業員の給与情報!$E:$E)),0,IF(ISERROR(AVERAGEIF(従業員の給与情報!$B:$B,$A7,従業員の給与情報!$E:$E)),0,AVERAGEIF(従業員の給与情報!$B:$B,$A7,従業員の給与情報!$E:$E)))))</f>
        <v/>
      </c>
      <c r="W7" s="103" t="str">
        <f>IF(OR(入力シート!$C$5&lt;&gt;入力リスト!$C$3,COUNTIF(入力シート!$J$16:$S$23,入力リスト!$H$9)=0),"",IF(A7="","",IF(ISERROR(AVERAGEIF(従業員の給与情報!$B:$B,$A7,従業員の給与情報!$F:$F)),0,IF(ISERROR(AVERAGEIF(従業員の給与情報!$B:$B,$A7,従業員の給与情報!$F:$F)),0,AVERAGEIF(従業員の給与情報!$B:$B,$A7,従業員の給与情報!$F:$F)))))</f>
        <v/>
      </c>
    </row>
    <row r="8" spans="1:23" s="10" customFormat="1" ht="19.8">
      <c r="A8" s="248"/>
      <c r="B8" s="249"/>
      <c r="C8" s="250"/>
      <c r="D8" s="251"/>
      <c r="E8" s="252"/>
      <c r="F8" s="257" t="str">
        <f>IF($G$1,"",IF(COUNTIF(A8:E8,"")=5,"",IF(G8,入力リスト!$K$28,IF(OR(A8="",B8="",IF(COUNTIF($C$3,"*不要*"),"",C8=""),D8=""),IF(A8="","従業員番号","")&amp;IF(B8="","「雇用形態」","")&amp;IF(OR(入力シート!$J$18=入力リスト!$H$9,入力シート!$J$22=入力リスト!$H$9),IF(C8="","「入社年月日」",""),"")&amp;IF(D8="","「性別」","")&amp;IF(IF(A8="","従業員番号","")&amp;IF(B8="","「雇用形態」","")&amp;IF(OR(入力シート!$J$18=入力リスト!$H$9,入力シート!$J$22=入力リスト!$H$9),IF(C8="","「入社年月日」",""),"")&amp;IF(D8="","「性別」","")="","",入力リスト!$K$29),IF(J8,入力リスト!$K$30,"")&amp;IF(I8,入力リスト!$K$31,"")&amp;IF(H8,"「雇用形態」","")&amp;IF(K8,"「性別」","")&amp;IF(L8,"「役職」","")&amp;IF(OR(H8,K8,L8),入力リスト!$K$32,"")))))</f>
        <v/>
      </c>
      <c r="G8" s="209" t="b">
        <f>COUNTIF($A$4:A7,$A8)&gt;0</f>
        <v>0</v>
      </c>
      <c r="H8" s="210" t="b">
        <f>IF($H$1,FALSE,COUNTIF(入力シート!$S$37:$V$62,B8)=0)</f>
        <v>0</v>
      </c>
      <c r="I8" s="210" t="b">
        <f t="shared" si="2"/>
        <v>0</v>
      </c>
      <c r="J8" s="210" t="b">
        <f>IF($J$1,FALSE,IF(I8=TRUE,FALSE,IF(I8,FALSE,C8&gt;入力シート!$J$24)))</f>
        <v>0</v>
      </c>
      <c r="K8" s="210" t="b">
        <f>IF($K$1,FALSE,COUNTIF(入力シート!$AW$37:$BB$38,D8)=0)</f>
        <v>0</v>
      </c>
      <c r="L8" s="210" t="b">
        <f>IF($L$1,FALSE,IF($L$3,FALSE,IF(E8="",FALSE,COUNTIF(入力シート!$AH$37:$AK$62,E8)=0)))</f>
        <v>0</v>
      </c>
      <c r="M8" s="211" t="str">
        <f t="shared" si="1"/>
        <v/>
      </c>
      <c r="N8" s="211"/>
      <c r="O8" s="209" t="str">
        <f>IF(B8="","",VLOOKUP('従業員情報(給与以外)'!$B8,入力シート!$S$37:$Z$62,5,0))</f>
        <v/>
      </c>
      <c r="P8" s="156" t="str">
        <f>IF(ISNUMBER(C8)=FALSE,"",IF(C8&gt;入力シート!$J$24,"",_xlfn.DAYS(入力シート!$J$24,'従業員情報(給与以外)'!$C8)/365))</f>
        <v/>
      </c>
      <c r="Q8" s="210" t="str">
        <f>IF(P8="","",VLOOKUP(_xlfn.DAYS(入力シート!$J$24,'従業員情報(給与以外)'!$C8)/365,入力リスト!$K$18:$L$26,2,2))</f>
        <v/>
      </c>
      <c r="R8" s="209" t="str">
        <f>IF(D8="","",VLOOKUP('従業員情報(給与以外)'!$D8,入力シート!$AW$37:$BB$38,4,0))</f>
        <v/>
      </c>
      <c r="S8" s="209" t="str">
        <f>IF(A8="","",IF(E8="","非役職",VLOOKUP('従業員情報(給与以外)'!$E8,入力シート!$AH$37:$AO$62,5,0)))</f>
        <v/>
      </c>
      <c r="T8" s="102" t="str">
        <f>IF(OR(入力シート!$C$5&lt;&gt;入力リスト!$C$3,COUNTIF(入力シート!$J$16:$S$23,入力リスト!$H$9)=0),"",IF($A8="","",IF(ISERROR(AVERAGEIF(従業員の給与情報!$B:$B,$A8,従業員の給与情報!$C:$C)),0,IF(ISERROR(AVERAGEIF(従業員の給与情報!$B:$B,$A8,従業員の給与情報!$C:$C)),0,AVERAGEIF(従業員の給与情報!$B:$B,$A8,従業員の給与情報!$C:$C)))))</f>
        <v/>
      </c>
      <c r="U8" s="102" t="str">
        <f>IF(OR(入力シート!$C$5&lt;&gt;入力リスト!$C$3,COUNTIF(入力シート!$J$16:$S$23,入力リスト!$H$9)=0),"",IF(A8="","",IF(ISERROR(AVERAGEIF(従業員の給与情報!$B:$B,$A8,従業員の給与情報!$D:$D)),0,IF(ISERROR(AVERAGEIF(従業員の給与情報!$B:$B,$A8,従業員の給与情報!$D:$D)),0,AVERAGEIF(従業員の給与情報!$B:$B,$A8,従業員の給与情報!$D:$D)))))</f>
        <v/>
      </c>
      <c r="V8" s="102" t="str">
        <f>IF(OR(入力シート!$C$5&lt;&gt;入力リスト!$C$3,COUNTIF(入力シート!$J$16:$S$23,入力リスト!$H$9)=0),"",IF(A8="","",IF(ISERROR(AVERAGEIF(従業員の給与情報!$B:$B,$A8,従業員の給与情報!$E:$E)),0,IF(ISERROR(AVERAGEIF(従業員の給与情報!$B:$B,$A8,従業員の給与情報!$E:$E)),0,AVERAGEIF(従業員の給与情報!$B:$B,$A8,従業員の給与情報!$E:$E)))))</f>
        <v/>
      </c>
      <c r="W8" s="103" t="str">
        <f>IF(OR(入力シート!$C$5&lt;&gt;入力リスト!$C$3,COUNTIF(入力シート!$J$16:$S$23,入力リスト!$H$9)=0),"",IF(A8="","",IF(ISERROR(AVERAGEIF(従業員の給与情報!$B:$B,$A8,従業員の給与情報!$F:$F)),0,IF(ISERROR(AVERAGEIF(従業員の給与情報!$B:$B,$A8,従業員の給与情報!$F:$F)),0,AVERAGEIF(従業員の給与情報!$B:$B,$A8,従業員の給与情報!$F:$F)))))</f>
        <v/>
      </c>
    </row>
    <row r="9" spans="1:23" s="10" customFormat="1" ht="19.8">
      <c r="A9" s="248"/>
      <c r="B9" s="249"/>
      <c r="C9" s="250"/>
      <c r="D9" s="251"/>
      <c r="E9" s="252"/>
      <c r="F9" s="257" t="str">
        <f>IF($G$1,"",IF(COUNTIF(A9:E9,"")=5,"",IF(G9,入力リスト!$K$28,IF(OR(A9="",B9="",IF(COUNTIF($C$3,"*不要*"),"",C9=""),D9=""),IF(A9="","従業員番号","")&amp;IF(B9="","「雇用形態」","")&amp;IF(OR(入力シート!$J$18=入力リスト!$H$9,入力シート!$J$22=入力リスト!$H$9),IF(C9="","「入社年月日」",""),"")&amp;IF(D9="","「性別」","")&amp;IF(IF(A9="","従業員番号","")&amp;IF(B9="","「雇用形態」","")&amp;IF(OR(入力シート!$J$18=入力リスト!$H$9,入力シート!$J$22=入力リスト!$H$9),IF(C9="","「入社年月日」",""),"")&amp;IF(D9="","「性別」","")="","",入力リスト!$K$29),IF(J9,入力リスト!$K$30,"")&amp;IF(I9,入力リスト!$K$31,"")&amp;IF(H9,"「雇用形態」","")&amp;IF(K9,"「性別」","")&amp;IF(L9,"「役職」","")&amp;IF(OR(H9,K9,L9),入力リスト!$K$32,"")))))</f>
        <v/>
      </c>
      <c r="G9" s="209" t="b">
        <f>COUNTIF($A$4:A8,$A9)&gt;0</f>
        <v>0</v>
      </c>
      <c r="H9" s="210" t="b">
        <f>IF($H$1,FALSE,COUNTIF(入力シート!$S$37:$V$62,B9)=0)</f>
        <v>0</v>
      </c>
      <c r="I9" s="210" t="b">
        <f t="shared" si="2"/>
        <v>0</v>
      </c>
      <c r="J9" s="210" t="b">
        <f>IF($J$1,FALSE,IF(I9=TRUE,FALSE,IF(I9,FALSE,C9&gt;入力シート!$J$24)))</f>
        <v>0</v>
      </c>
      <c r="K9" s="210" t="b">
        <f>IF($K$1,FALSE,COUNTIF(入力シート!$AW$37:$BB$38,D9)=0)</f>
        <v>0</v>
      </c>
      <c r="L9" s="210" t="b">
        <f>IF($L$1,FALSE,IF($L$3,FALSE,IF(E9="",FALSE,COUNTIF(入力シート!$AH$37:$AK$62,E9)=0)))</f>
        <v>0</v>
      </c>
      <c r="M9" s="211" t="str">
        <f t="shared" si="1"/>
        <v/>
      </c>
      <c r="N9" s="211"/>
      <c r="O9" s="209" t="str">
        <f>IF(B9="","",VLOOKUP('従業員情報(給与以外)'!$B9,入力シート!$S$37:$Z$62,5,0))</f>
        <v/>
      </c>
      <c r="P9" s="156" t="str">
        <f>IF(ISNUMBER(C9)=FALSE,"",IF(C9&gt;入力シート!$J$24,"",_xlfn.DAYS(入力シート!$J$24,'従業員情報(給与以外)'!$C9)/365))</f>
        <v/>
      </c>
      <c r="Q9" s="210" t="str">
        <f>IF(P9="","",VLOOKUP(_xlfn.DAYS(入力シート!$J$24,'従業員情報(給与以外)'!$C9)/365,入力リスト!$K$18:$L$26,2,2))</f>
        <v/>
      </c>
      <c r="R9" s="209" t="str">
        <f>IF(D9="","",VLOOKUP('従業員情報(給与以外)'!$D9,入力シート!$AW$37:$BB$38,4,0))</f>
        <v/>
      </c>
      <c r="S9" s="209" t="str">
        <f>IF(A9="","",IF(E9="","非役職",VLOOKUP('従業員情報(給与以外)'!$E9,入力シート!$AH$37:$AO$62,5,0)))</f>
        <v/>
      </c>
      <c r="T9" s="102" t="str">
        <f>IF(OR(入力シート!$C$5&lt;&gt;入力リスト!$C$3,COUNTIF(入力シート!$J$16:$S$23,入力リスト!$H$9)=0),"",IF($A9="","",IF(ISERROR(AVERAGEIF(従業員の給与情報!$B:$B,$A9,従業員の給与情報!$C:$C)),0,IF(ISERROR(AVERAGEIF(従業員の給与情報!$B:$B,$A9,従業員の給与情報!$C:$C)),0,AVERAGEIF(従業員の給与情報!$B:$B,$A9,従業員の給与情報!$C:$C)))))</f>
        <v/>
      </c>
      <c r="U9" s="102" t="str">
        <f>IF(OR(入力シート!$C$5&lt;&gt;入力リスト!$C$3,COUNTIF(入力シート!$J$16:$S$23,入力リスト!$H$9)=0),"",IF(A9="","",IF(ISERROR(AVERAGEIF(従業員の給与情報!$B:$B,$A9,従業員の給与情報!$D:$D)),0,IF(ISERROR(AVERAGEIF(従業員の給与情報!$B:$B,$A9,従業員の給与情報!$D:$D)),0,AVERAGEIF(従業員の給与情報!$B:$B,$A9,従業員の給与情報!$D:$D)))))</f>
        <v/>
      </c>
      <c r="V9" s="102" t="str">
        <f>IF(OR(入力シート!$C$5&lt;&gt;入力リスト!$C$3,COUNTIF(入力シート!$J$16:$S$23,入力リスト!$H$9)=0),"",IF(A9="","",IF(ISERROR(AVERAGEIF(従業員の給与情報!$B:$B,$A9,従業員の給与情報!$E:$E)),0,IF(ISERROR(AVERAGEIF(従業員の給与情報!$B:$B,$A9,従業員の給与情報!$E:$E)),0,AVERAGEIF(従業員の給与情報!$B:$B,$A9,従業員の給与情報!$E:$E)))))</f>
        <v/>
      </c>
      <c r="W9" s="103" t="str">
        <f>IF(OR(入力シート!$C$5&lt;&gt;入力リスト!$C$3,COUNTIF(入力シート!$J$16:$S$23,入力リスト!$H$9)=0),"",IF(A9="","",IF(ISERROR(AVERAGEIF(従業員の給与情報!$B:$B,$A9,従業員の給与情報!$F:$F)),0,IF(ISERROR(AVERAGEIF(従業員の給与情報!$B:$B,$A9,従業員の給与情報!$F:$F)),0,AVERAGEIF(従業員の給与情報!$B:$B,$A9,従業員の給与情報!$F:$F)))))</f>
        <v/>
      </c>
    </row>
    <row r="10" spans="1:23" s="10" customFormat="1" ht="19.8">
      <c r="A10" s="248"/>
      <c r="B10" s="249"/>
      <c r="C10" s="250"/>
      <c r="D10" s="251"/>
      <c r="E10" s="252"/>
      <c r="F10" s="257" t="str">
        <f>IF($G$1,"",IF(COUNTIF(A10:E10,"")=5,"",IF(G10,入力リスト!$K$28,IF(OR(A10="",B10="",IF(COUNTIF($C$3,"*不要*"),"",C10=""),D10=""),IF(A10="","従業員番号","")&amp;IF(B10="","「雇用形態」","")&amp;IF(OR(入力シート!$J$18=入力リスト!$H$9,入力シート!$J$22=入力リスト!$H$9),IF(C10="","「入社年月日」",""),"")&amp;IF(D10="","「性別」","")&amp;IF(IF(A10="","従業員番号","")&amp;IF(B10="","「雇用形態」","")&amp;IF(OR(入力シート!$J$18=入力リスト!$H$9,入力シート!$J$22=入力リスト!$H$9),IF(C10="","「入社年月日」",""),"")&amp;IF(D10="","「性別」","")="","",入力リスト!$K$29),IF(J10,入力リスト!$K$30,"")&amp;IF(I10,入力リスト!$K$31,"")&amp;IF(H10,"「雇用形態」","")&amp;IF(K10,"「性別」","")&amp;IF(L10,"「役職」","")&amp;IF(OR(H10,K10,L10),入力リスト!$K$32,"")))))</f>
        <v/>
      </c>
      <c r="G10" s="209" t="b">
        <f>COUNTIF($A$4:A9,$A10)&gt;0</f>
        <v>0</v>
      </c>
      <c r="H10" s="210" t="b">
        <f>IF($H$1,FALSE,COUNTIF(入力シート!$S$37:$V$62,B10)=0)</f>
        <v>0</v>
      </c>
      <c r="I10" s="210" t="b">
        <f t="shared" si="2"/>
        <v>0</v>
      </c>
      <c r="J10" s="210" t="b">
        <f>IF($J$1,FALSE,IF(I10=TRUE,FALSE,IF(I10,FALSE,C10&gt;入力シート!$J$24)))</f>
        <v>0</v>
      </c>
      <c r="K10" s="210" t="b">
        <f>IF($K$1,FALSE,COUNTIF(入力シート!$AW$37:$BB$38,D10)=0)</f>
        <v>0</v>
      </c>
      <c r="L10" s="210" t="b">
        <f>IF($L$1,FALSE,IF($L$3,FALSE,IF(E10="",FALSE,COUNTIF(入力シート!$AH$37:$AK$62,E10)=0)))</f>
        <v>0</v>
      </c>
      <c r="M10" s="211" t="str">
        <f t="shared" si="1"/>
        <v/>
      </c>
      <c r="N10" s="211"/>
      <c r="O10" s="209" t="str">
        <f>IF(B10="","",VLOOKUP('従業員情報(給与以外)'!$B10,入力シート!$S$37:$Z$62,5,0))</f>
        <v/>
      </c>
      <c r="P10" s="156" t="str">
        <f>IF(ISNUMBER(C10)=FALSE,"",IF(C10&gt;入力シート!$J$24,"",_xlfn.DAYS(入力シート!$J$24,'従業員情報(給与以外)'!$C10)/365))</f>
        <v/>
      </c>
      <c r="Q10" s="210" t="str">
        <f>IF(P10="","",VLOOKUP(_xlfn.DAYS(入力シート!$J$24,'従業員情報(給与以外)'!$C10)/365,入力リスト!$K$18:$L$26,2,2))</f>
        <v/>
      </c>
      <c r="R10" s="209" t="str">
        <f>IF(D10="","",VLOOKUP('従業員情報(給与以外)'!$D10,入力シート!$AW$37:$BB$38,4,0))</f>
        <v/>
      </c>
      <c r="S10" s="209" t="str">
        <f>IF(A10="","",IF(E10="","非役職",VLOOKUP('従業員情報(給与以外)'!$E10,入力シート!$AH$37:$AO$62,5,0)))</f>
        <v/>
      </c>
      <c r="T10" s="102" t="str">
        <f>IF(OR(入力シート!$C$5&lt;&gt;入力リスト!$C$3,COUNTIF(入力シート!$J$16:$S$23,入力リスト!$H$9)=0),"",IF($A10="","",IF(ISERROR(AVERAGEIF(従業員の給与情報!$B:$B,$A10,従業員の給与情報!$C:$C)),0,IF(ISERROR(AVERAGEIF(従業員の給与情報!$B:$B,$A10,従業員の給与情報!$C:$C)),0,AVERAGEIF(従業員の給与情報!$B:$B,$A10,従業員の給与情報!$C:$C)))))</f>
        <v/>
      </c>
      <c r="U10" s="102" t="str">
        <f>IF(OR(入力シート!$C$5&lt;&gt;入力リスト!$C$3,COUNTIF(入力シート!$J$16:$S$23,入力リスト!$H$9)=0),"",IF(A10="","",IF(ISERROR(AVERAGEIF(従業員の給与情報!$B:$B,$A10,従業員の給与情報!$D:$D)),0,IF(ISERROR(AVERAGEIF(従業員の給与情報!$B:$B,$A10,従業員の給与情報!$D:$D)),0,AVERAGEIF(従業員の給与情報!$B:$B,$A10,従業員の給与情報!$D:$D)))))</f>
        <v/>
      </c>
      <c r="V10" s="102" t="str">
        <f>IF(OR(入力シート!$C$5&lt;&gt;入力リスト!$C$3,COUNTIF(入力シート!$J$16:$S$23,入力リスト!$H$9)=0),"",IF(A10="","",IF(ISERROR(AVERAGEIF(従業員の給与情報!$B:$B,$A10,従業員の給与情報!$E:$E)),0,IF(ISERROR(AVERAGEIF(従業員の給与情報!$B:$B,$A10,従業員の給与情報!$E:$E)),0,AVERAGEIF(従業員の給与情報!$B:$B,$A10,従業員の給与情報!$E:$E)))))</f>
        <v/>
      </c>
      <c r="W10" s="103" t="str">
        <f>IF(OR(入力シート!$C$5&lt;&gt;入力リスト!$C$3,COUNTIF(入力シート!$J$16:$S$23,入力リスト!$H$9)=0),"",IF(A10="","",IF(ISERROR(AVERAGEIF(従業員の給与情報!$B:$B,$A10,従業員の給与情報!$F:$F)),0,IF(ISERROR(AVERAGEIF(従業員の給与情報!$B:$B,$A10,従業員の給与情報!$F:$F)),0,AVERAGEIF(従業員の給与情報!$B:$B,$A10,従業員の給与情報!$F:$F)))))</f>
        <v/>
      </c>
    </row>
    <row r="11" spans="1:23" s="10" customFormat="1" ht="18.45" customHeight="1">
      <c r="A11" s="248"/>
      <c r="B11" s="249"/>
      <c r="C11" s="250"/>
      <c r="D11" s="251"/>
      <c r="E11" s="252"/>
      <c r="F11" s="257" t="str">
        <f>IF($G$1,"",IF(COUNTIF(A11:E11,"")=5,"",IF(G11,入力リスト!$K$28,IF(OR(A11="",B11="",IF(COUNTIF($C$3,"*不要*"),"",C11=""),D11=""),IF(A11="","従業員番号","")&amp;IF(B11="","「雇用形態」","")&amp;IF(OR(入力シート!$J$18=入力リスト!$H$9,入力シート!$J$22=入力リスト!$H$9),IF(C11="","「入社年月日」",""),"")&amp;IF(D11="","「性別」","")&amp;IF(IF(A11="","従業員番号","")&amp;IF(B11="","「雇用形態」","")&amp;IF(OR(入力シート!$J$18=入力リスト!$H$9,入力シート!$J$22=入力リスト!$H$9),IF(C11="","「入社年月日」",""),"")&amp;IF(D11="","「性別」","")="","",入力リスト!$K$29),IF(J11,入力リスト!$K$30,"")&amp;IF(I11,入力リスト!$K$31,"")&amp;IF(H11,"「雇用形態」","")&amp;IF(K11,"「性別」","")&amp;IF(L11,"「役職」","")&amp;IF(OR(H11,K11,L11),入力リスト!$K$32,"")))))</f>
        <v/>
      </c>
      <c r="G11" s="209" t="b">
        <f>COUNTIF($A$4:A10,$A11)&gt;0</f>
        <v>0</v>
      </c>
      <c r="H11" s="210" t="b">
        <f>IF($H$1,FALSE,COUNTIF(入力シート!$S$37:$V$62,B11)=0)</f>
        <v>0</v>
      </c>
      <c r="I11" s="210" t="b">
        <f t="shared" si="2"/>
        <v>0</v>
      </c>
      <c r="J11" s="210" t="b">
        <f>IF($J$1,FALSE,IF(I11=TRUE,FALSE,IF(I11,FALSE,C11&gt;入力シート!$J$24)))</f>
        <v>0</v>
      </c>
      <c r="K11" s="210" t="b">
        <f>IF($K$1,FALSE,COUNTIF(入力シート!$AW$37:$BB$38,D11)=0)</f>
        <v>0</v>
      </c>
      <c r="L11" s="210" t="b">
        <f>IF($L$1,FALSE,IF($L$3,FALSE,IF(E11="",FALSE,COUNTIF(入力シート!$AH$37:$AK$62,E11)=0)))</f>
        <v>0</v>
      </c>
      <c r="M11" s="211" t="str">
        <f t="shared" si="1"/>
        <v/>
      </c>
      <c r="N11" s="211"/>
      <c r="O11" s="209" t="str">
        <f>IF(B11="","",VLOOKUP('従業員情報(給与以外)'!$B11,入力シート!$S$37:$Z$62,5,0))</f>
        <v/>
      </c>
      <c r="P11" s="156" t="str">
        <f>IF(ISNUMBER(C11)=FALSE,"",IF(C11&gt;入力シート!$J$24,"",_xlfn.DAYS(入力シート!$J$24,'従業員情報(給与以外)'!$C11)/365))</f>
        <v/>
      </c>
      <c r="Q11" s="210" t="str">
        <f>IF(P11="","",VLOOKUP(_xlfn.DAYS(入力シート!$J$24,'従業員情報(給与以外)'!$C11)/365,入力リスト!$K$18:$L$26,2,2))</f>
        <v/>
      </c>
      <c r="R11" s="209" t="str">
        <f>IF(D11="","",VLOOKUP('従業員情報(給与以外)'!$D11,入力シート!$AW$37:$BB$38,4,0))</f>
        <v/>
      </c>
      <c r="S11" s="209" t="str">
        <f>IF(A11="","",IF(E11="","非役職",VLOOKUP('従業員情報(給与以外)'!$E11,入力シート!$AH$37:$AO$62,5,0)))</f>
        <v/>
      </c>
      <c r="T11" s="102" t="str">
        <f>IF(OR(入力シート!$C$5&lt;&gt;入力リスト!$C$3,COUNTIF(入力シート!$J$16:$S$23,入力リスト!$H$9)=0),"",IF($A11="","",IF(ISERROR(AVERAGEIF(従業員の給与情報!$B:$B,$A11,従業員の給与情報!$C:$C)),0,IF(ISERROR(AVERAGEIF(従業員の給与情報!$B:$B,$A11,従業員の給与情報!$C:$C)),0,AVERAGEIF(従業員の給与情報!$B:$B,$A11,従業員の給与情報!$C:$C)))))</f>
        <v/>
      </c>
      <c r="U11" s="102" t="str">
        <f>IF(OR(入力シート!$C$5&lt;&gt;入力リスト!$C$3,COUNTIF(入力シート!$J$16:$S$23,入力リスト!$H$9)=0),"",IF(A11="","",IF(ISERROR(AVERAGEIF(従業員の給与情報!$B:$B,$A11,従業員の給与情報!$D:$D)),0,IF(ISERROR(AVERAGEIF(従業員の給与情報!$B:$B,$A11,従業員の給与情報!$D:$D)),0,AVERAGEIF(従業員の給与情報!$B:$B,$A11,従業員の給与情報!$D:$D)))))</f>
        <v/>
      </c>
      <c r="V11" s="102" t="str">
        <f>IF(OR(入力シート!$C$5&lt;&gt;入力リスト!$C$3,COUNTIF(入力シート!$J$16:$S$23,入力リスト!$H$9)=0),"",IF(A11="","",IF(ISERROR(AVERAGEIF(従業員の給与情報!$B:$B,$A11,従業員の給与情報!$E:$E)),0,IF(ISERROR(AVERAGEIF(従業員の給与情報!$B:$B,$A11,従業員の給与情報!$E:$E)),0,AVERAGEIF(従業員の給与情報!$B:$B,$A11,従業員の給与情報!$E:$E)))))</f>
        <v/>
      </c>
      <c r="W11" s="103" t="str">
        <f>IF(OR(入力シート!$C$5&lt;&gt;入力リスト!$C$3,COUNTIF(入力シート!$J$16:$S$23,入力リスト!$H$9)=0),"",IF(A11="","",IF(ISERROR(AVERAGEIF(従業員の給与情報!$B:$B,$A11,従業員の給与情報!$F:$F)),0,IF(ISERROR(AVERAGEIF(従業員の給与情報!$B:$B,$A11,従業員の給与情報!$F:$F)),0,AVERAGEIF(従業員の給与情報!$B:$B,$A11,従業員の給与情報!$F:$F)))))</f>
        <v/>
      </c>
    </row>
    <row r="12" spans="1:23" s="10" customFormat="1" ht="19.8">
      <c r="A12" s="248"/>
      <c r="B12" s="249"/>
      <c r="C12" s="250"/>
      <c r="D12" s="251"/>
      <c r="E12" s="252"/>
      <c r="F12" s="257" t="str">
        <f>IF($G$1,"",IF(COUNTIF(A12:E12,"")=5,"",IF(G12,入力リスト!$K$28,IF(OR(A12="",B12="",IF(COUNTIF($C$3,"*不要*"),"",C12=""),D12=""),IF(A12="","従業員番号","")&amp;IF(B12="","「雇用形態」","")&amp;IF(OR(入力シート!$J$18=入力リスト!$H$9,入力シート!$J$22=入力リスト!$H$9),IF(C12="","「入社年月日」",""),"")&amp;IF(D12="","「性別」","")&amp;IF(IF(A12="","従業員番号","")&amp;IF(B12="","「雇用形態」","")&amp;IF(OR(入力シート!$J$18=入力リスト!$H$9,入力シート!$J$22=入力リスト!$H$9),IF(C12="","「入社年月日」",""),"")&amp;IF(D12="","「性別」","")="","",入力リスト!$K$29),IF(J12,入力リスト!$K$30,"")&amp;IF(I12,入力リスト!$K$31,"")&amp;IF(H12,"「雇用形態」","")&amp;IF(K12,"「性別」","")&amp;IF(L12,"「役職」","")&amp;IF(OR(H12,K12,L12),入力リスト!$K$32,"")))))</f>
        <v/>
      </c>
      <c r="G12" s="209" t="b">
        <f>COUNTIF($A$4:A11,$A12)&gt;0</f>
        <v>0</v>
      </c>
      <c r="H12" s="210" t="b">
        <f>IF($H$1,FALSE,COUNTIF(入力シート!$S$37:$V$62,B12)=0)</f>
        <v>0</v>
      </c>
      <c r="I12" s="210" t="b">
        <f t="shared" si="2"/>
        <v>0</v>
      </c>
      <c r="J12" s="210" t="b">
        <f>IF($J$1,FALSE,IF(I12=TRUE,FALSE,IF(I12,FALSE,C12&gt;入力シート!$J$24)))</f>
        <v>0</v>
      </c>
      <c r="K12" s="210" t="b">
        <f>IF($K$1,FALSE,COUNTIF(入力シート!$AW$37:$BB$38,D12)=0)</f>
        <v>0</v>
      </c>
      <c r="L12" s="210" t="b">
        <f>IF($L$1,FALSE,IF($L$3,FALSE,IF(E12="",FALSE,COUNTIF(入力シート!$AH$37:$AK$62,E12)=0)))</f>
        <v>0</v>
      </c>
      <c r="M12" s="211" t="str">
        <f t="shared" si="1"/>
        <v/>
      </c>
      <c r="N12" s="211"/>
      <c r="O12" s="209" t="str">
        <f>IF(B12="","",VLOOKUP('従業員情報(給与以外)'!$B12,入力シート!$S$37:$Z$62,5,0))</f>
        <v/>
      </c>
      <c r="P12" s="156" t="str">
        <f>IF(ISNUMBER(C12)=FALSE,"",IF(C12&gt;入力シート!$J$24,"",_xlfn.DAYS(入力シート!$J$24,'従業員情報(給与以外)'!$C12)/365))</f>
        <v/>
      </c>
      <c r="Q12" s="210" t="str">
        <f>IF(P12="","",VLOOKUP(_xlfn.DAYS(入力シート!$J$24,'従業員情報(給与以外)'!$C12)/365,入力リスト!$K$18:$L$26,2,2))</f>
        <v/>
      </c>
      <c r="R12" s="209" t="str">
        <f>IF(D12="","",VLOOKUP('従業員情報(給与以外)'!$D12,入力シート!$AW$37:$BB$38,4,0))</f>
        <v/>
      </c>
      <c r="S12" s="209" t="str">
        <f>IF(A12="","",IF(E12="","非役職",VLOOKUP('従業員情報(給与以外)'!$E12,入力シート!$AH$37:$AO$62,5,0)))</f>
        <v/>
      </c>
      <c r="T12" s="102" t="str">
        <f>IF(OR(入力シート!$C$5&lt;&gt;入力リスト!$C$3,COUNTIF(入力シート!$J$16:$S$23,入力リスト!$H$9)=0),"",IF($A12="","",IF(ISERROR(AVERAGEIF(従業員の給与情報!$B:$B,$A12,従業員の給与情報!$C:$C)),0,IF(ISERROR(AVERAGEIF(従業員の給与情報!$B:$B,$A12,従業員の給与情報!$C:$C)),0,AVERAGEIF(従業員の給与情報!$B:$B,$A12,従業員の給与情報!$C:$C)))))</f>
        <v/>
      </c>
      <c r="U12" s="102" t="str">
        <f>IF(OR(入力シート!$C$5&lt;&gt;入力リスト!$C$3,COUNTIF(入力シート!$J$16:$S$23,入力リスト!$H$9)=0),"",IF(A12="","",IF(ISERROR(AVERAGEIF(従業員の給与情報!$B:$B,$A12,従業員の給与情報!$D:$D)),0,IF(ISERROR(AVERAGEIF(従業員の給与情報!$B:$B,$A12,従業員の給与情報!$D:$D)),0,AVERAGEIF(従業員の給与情報!$B:$B,$A12,従業員の給与情報!$D:$D)))))</f>
        <v/>
      </c>
      <c r="V12" s="102" t="str">
        <f>IF(OR(入力シート!$C$5&lt;&gt;入力リスト!$C$3,COUNTIF(入力シート!$J$16:$S$23,入力リスト!$H$9)=0),"",IF(A12="","",IF(ISERROR(AVERAGEIF(従業員の給与情報!$B:$B,$A12,従業員の給与情報!$E:$E)),0,IF(ISERROR(AVERAGEIF(従業員の給与情報!$B:$B,$A12,従業員の給与情報!$E:$E)),0,AVERAGEIF(従業員の給与情報!$B:$B,$A12,従業員の給与情報!$E:$E)))))</f>
        <v/>
      </c>
      <c r="W12" s="103" t="str">
        <f>IF(OR(入力シート!$C$5&lt;&gt;入力リスト!$C$3,COUNTIF(入力シート!$J$16:$S$23,入力リスト!$H$9)=0),"",IF(A12="","",IF(ISERROR(AVERAGEIF(従業員の給与情報!$B:$B,$A12,従業員の給与情報!$F:$F)),0,IF(ISERROR(AVERAGEIF(従業員の給与情報!$B:$B,$A12,従業員の給与情報!$F:$F)),0,AVERAGEIF(従業員の給与情報!$B:$B,$A12,従業員の給与情報!$F:$F)))))</f>
        <v/>
      </c>
    </row>
    <row r="13" spans="1:23" s="10" customFormat="1" ht="19.8">
      <c r="A13" s="248"/>
      <c r="B13" s="249"/>
      <c r="C13" s="250"/>
      <c r="D13" s="251"/>
      <c r="E13" s="252"/>
      <c r="F13" s="257" t="str">
        <f>IF($G$1,"",IF(COUNTIF(A13:E13,"")=5,"",IF(G13,入力リスト!$K$28,IF(OR(A13="",B13="",IF(COUNTIF($C$3,"*不要*"),"",C13=""),D13=""),IF(A13="","従業員番号","")&amp;IF(B13="","「雇用形態」","")&amp;IF(OR(入力シート!$J$18=入力リスト!$H$9,入力シート!$J$22=入力リスト!$H$9),IF(C13="","「入社年月日」",""),"")&amp;IF(D13="","「性別」","")&amp;IF(IF(A13="","従業員番号","")&amp;IF(B13="","「雇用形態」","")&amp;IF(OR(入力シート!$J$18=入力リスト!$H$9,入力シート!$J$22=入力リスト!$H$9),IF(C13="","「入社年月日」",""),"")&amp;IF(D13="","「性別」","")="","",入力リスト!$K$29),IF(J13,入力リスト!$K$30,"")&amp;IF(I13,入力リスト!$K$31,"")&amp;IF(H13,"「雇用形態」","")&amp;IF(K13,"「性別」","")&amp;IF(L13,"「役職」","")&amp;IF(OR(H13,K13,L13),入力リスト!$K$32,"")))))</f>
        <v/>
      </c>
      <c r="G13" s="209" t="b">
        <f>COUNTIF($A$4:A12,$A13)&gt;0</f>
        <v>0</v>
      </c>
      <c r="H13" s="210" t="b">
        <f>IF($H$1,FALSE,COUNTIF(入力シート!$S$37:$V$62,B13)=0)</f>
        <v>0</v>
      </c>
      <c r="I13" s="210" t="b">
        <f t="shared" si="2"/>
        <v>0</v>
      </c>
      <c r="J13" s="210" t="b">
        <f>IF($J$1,FALSE,IF(I13=TRUE,FALSE,IF(I13,FALSE,C13&gt;入力シート!$J$24)))</f>
        <v>0</v>
      </c>
      <c r="K13" s="210" t="b">
        <f>IF($K$1,FALSE,COUNTIF(入力シート!$AW$37:$BB$38,D13)=0)</f>
        <v>0</v>
      </c>
      <c r="L13" s="210" t="b">
        <f>IF($L$1,FALSE,IF($L$3,FALSE,IF(E13="",FALSE,COUNTIF(入力シート!$AH$37:$AK$62,E13)=0)))</f>
        <v>0</v>
      </c>
      <c r="M13" s="211" t="str">
        <f t="shared" si="1"/>
        <v/>
      </c>
      <c r="N13" s="211"/>
      <c r="O13" s="209" t="str">
        <f>IF(B13="","",VLOOKUP('従業員情報(給与以外)'!$B13,入力シート!$S$37:$Z$62,5,0))</f>
        <v/>
      </c>
      <c r="P13" s="156" t="str">
        <f>IF(ISNUMBER(C13)=FALSE,"",IF(C13&gt;入力シート!$J$24,"",_xlfn.DAYS(入力シート!$J$24,'従業員情報(給与以外)'!$C13)/365))</f>
        <v/>
      </c>
      <c r="Q13" s="210" t="str">
        <f>IF(P13="","",VLOOKUP(_xlfn.DAYS(入力シート!$J$24,'従業員情報(給与以外)'!$C13)/365,入力リスト!$K$18:$L$26,2,2))</f>
        <v/>
      </c>
      <c r="R13" s="209" t="str">
        <f>IF(D13="","",VLOOKUP('従業員情報(給与以外)'!$D13,入力シート!$AW$37:$BB$38,4,0))</f>
        <v/>
      </c>
      <c r="S13" s="209" t="str">
        <f>IF(A13="","",IF(E13="","非役職",VLOOKUP('従業員情報(給与以外)'!$E13,入力シート!$AH$37:$AO$62,5,0)))</f>
        <v/>
      </c>
      <c r="T13" s="102" t="str">
        <f>IF(OR(入力シート!$C$5&lt;&gt;入力リスト!$C$3,COUNTIF(入力シート!$J$16:$S$23,入力リスト!$H$9)=0),"",IF($A13="","",IF(ISERROR(AVERAGEIF(従業員の給与情報!$B:$B,$A13,従業員の給与情報!$C:$C)),0,IF(ISERROR(AVERAGEIF(従業員の給与情報!$B:$B,$A13,従業員の給与情報!$C:$C)),0,AVERAGEIF(従業員の給与情報!$B:$B,$A13,従業員の給与情報!$C:$C)))))</f>
        <v/>
      </c>
      <c r="U13" s="102" t="str">
        <f>IF(OR(入力シート!$C$5&lt;&gt;入力リスト!$C$3,COUNTIF(入力シート!$J$16:$S$23,入力リスト!$H$9)=0),"",IF(A13="","",IF(ISERROR(AVERAGEIF(従業員の給与情報!$B:$B,$A13,従業員の給与情報!$D:$D)),0,IF(ISERROR(AVERAGEIF(従業員の給与情報!$B:$B,$A13,従業員の給与情報!$D:$D)),0,AVERAGEIF(従業員の給与情報!$B:$B,$A13,従業員の給与情報!$D:$D)))))</f>
        <v/>
      </c>
      <c r="V13" s="102" t="str">
        <f>IF(OR(入力シート!$C$5&lt;&gt;入力リスト!$C$3,COUNTIF(入力シート!$J$16:$S$23,入力リスト!$H$9)=0),"",IF(A13="","",IF(ISERROR(AVERAGEIF(従業員の給与情報!$B:$B,$A13,従業員の給与情報!$E:$E)),0,IF(ISERROR(AVERAGEIF(従業員の給与情報!$B:$B,$A13,従業員の給与情報!$E:$E)),0,AVERAGEIF(従業員の給与情報!$B:$B,$A13,従業員の給与情報!$E:$E)))))</f>
        <v/>
      </c>
      <c r="W13" s="103" t="str">
        <f>IF(OR(入力シート!$C$5&lt;&gt;入力リスト!$C$3,COUNTIF(入力シート!$J$16:$S$23,入力リスト!$H$9)=0),"",IF(A13="","",IF(ISERROR(AVERAGEIF(従業員の給与情報!$B:$B,$A13,従業員の給与情報!$F:$F)),0,IF(ISERROR(AVERAGEIF(従業員の給与情報!$B:$B,$A13,従業員の給与情報!$F:$F)),0,AVERAGEIF(従業員の給与情報!$B:$B,$A13,従業員の給与情報!$F:$F)))))</f>
        <v/>
      </c>
    </row>
    <row r="14" spans="1:23" s="10" customFormat="1" ht="19.8">
      <c r="A14" s="248"/>
      <c r="B14" s="249"/>
      <c r="C14" s="250"/>
      <c r="D14" s="251"/>
      <c r="E14" s="252"/>
      <c r="F14" s="257" t="str">
        <f>IF($G$1,"",IF(COUNTIF(A14:E14,"")=5,"",IF(G14,入力リスト!$K$28,IF(OR(A14="",B14="",IF(COUNTIF($C$3,"*不要*"),"",C14=""),D14=""),IF(A14="","従業員番号","")&amp;IF(B14="","「雇用形態」","")&amp;IF(OR(入力シート!$J$18=入力リスト!$H$9,入力シート!$J$22=入力リスト!$H$9),IF(C14="","「入社年月日」",""),"")&amp;IF(D14="","「性別」","")&amp;IF(IF(A14="","従業員番号","")&amp;IF(B14="","「雇用形態」","")&amp;IF(OR(入力シート!$J$18=入力リスト!$H$9,入力シート!$J$22=入力リスト!$H$9),IF(C14="","「入社年月日」",""),"")&amp;IF(D14="","「性別」","")="","",入力リスト!$K$29),IF(J14,入力リスト!$K$30,"")&amp;IF(I14,入力リスト!$K$31,"")&amp;IF(H14,"「雇用形態」","")&amp;IF(K14,"「性別」","")&amp;IF(L14,"「役職」","")&amp;IF(OR(H14,K14,L14),入力リスト!$K$32,"")))))</f>
        <v/>
      </c>
      <c r="G14" s="209" t="b">
        <f>COUNTIF($A$4:A13,$A14)&gt;0</f>
        <v>0</v>
      </c>
      <c r="H14" s="210" t="b">
        <f>IF($H$1,FALSE,COUNTIF(入力シート!$S$37:$V$62,B14)=0)</f>
        <v>0</v>
      </c>
      <c r="I14" s="210" t="b">
        <f t="shared" si="2"/>
        <v>0</v>
      </c>
      <c r="J14" s="210" t="b">
        <f>IF($J$1,FALSE,IF(I14=TRUE,FALSE,IF(I14,FALSE,C14&gt;入力シート!$J$24)))</f>
        <v>0</v>
      </c>
      <c r="K14" s="210" t="b">
        <f>IF($K$1,FALSE,COUNTIF(入力シート!$AW$37:$BB$38,D14)=0)</f>
        <v>0</v>
      </c>
      <c r="L14" s="210" t="b">
        <f>IF($L$1,FALSE,IF($L$3,FALSE,IF(E14="",FALSE,COUNTIF(入力シート!$AH$37:$AK$62,E14)=0)))</f>
        <v>0</v>
      </c>
      <c r="M14" s="211" t="str">
        <f t="shared" si="1"/>
        <v/>
      </c>
      <c r="N14" s="211"/>
      <c r="O14" s="209" t="str">
        <f>IF(B14="","",VLOOKUP('従業員情報(給与以外)'!$B14,入力シート!$S$37:$Z$62,5,0))</f>
        <v/>
      </c>
      <c r="P14" s="156" t="str">
        <f>IF(ISNUMBER(C14)=FALSE,"",IF(C14&gt;入力シート!$J$24,"",_xlfn.DAYS(入力シート!$J$24,'従業員情報(給与以外)'!$C14)/365))</f>
        <v/>
      </c>
      <c r="Q14" s="210" t="str">
        <f>IF(P14="","",VLOOKUP(_xlfn.DAYS(入力シート!$J$24,'従業員情報(給与以外)'!$C14)/365,入力リスト!$K$18:$L$26,2,2))</f>
        <v/>
      </c>
      <c r="R14" s="209" t="str">
        <f>IF(D14="","",VLOOKUP('従業員情報(給与以外)'!$D14,入力シート!$AW$37:$BB$38,4,0))</f>
        <v/>
      </c>
      <c r="S14" s="209" t="str">
        <f>IF(A14="","",IF(E14="","非役職",VLOOKUP('従業員情報(給与以外)'!$E14,入力シート!$AH$37:$AO$62,5,0)))</f>
        <v/>
      </c>
      <c r="T14" s="102" t="str">
        <f>IF(OR(入力シート!$C$5&lt;&gt;入力リスト!$C$3,COUNTIF(入力シート!$J$16:$S$23,入力リスト!$H$9)=0),"",IF($A14="","",IF(ISERROR(AVERAGEIF(従業員の給与情報!$B:$B,$A14,従業員の給与情報!$C:$C)),0,IF(ISERROR(AVERAGEIF(従業員の給与情報!$B:$B,$A14,従業員の給与情報!$C:$C)),0,AVERAGEIF(従業員の給与情報!$B:$B,$A14,従業員の給与情報!$C:$C)))))</f>
        <v/>
      </c>
      <c r="U14" s="102" t="str">
        <f>IF(OR(入力シート!$C$5&lt;&gt;入力リスト!$C$3,COUNTIF(入力シート!$J$16:$S$23,入力リスト!$H$9)=0),"",IF(A14="","",IF(ISERROR(AVERAGEIF(従業員の給与情報!$B:$B,$A14,従業員の給与情報!$D:$D)),0,IF(ISERROR(AVERAGEIF(従業員の給与情報!$B:$B,$A14,従業員の給与情報!$D:$D)),0,AVERAGEIF(従業員の給与情報!$B:$B,$A14,従業員の給与情報!$D:$D)))))</f>
        <v/>
      </c>
      <c r="V14" s="102" t="str">
        <f>IF(OR(入力シート!$C$5&lt;&gt;入力リスト!$C$3,COUNTIF(入力シート!$J$16:$S$23,入力リスト!$H$9)=0),"",IF(A14="","",IF(ISERROR(AVERAGEIF(従業員の給与情報!$B:$B,$A14,従業員の給与情報!$E:$E)),0,IF(ISERROR(AVERAGEIF(従業員の給与情報!$B:$B,$A14,従業員の給与情報!$E:$E)),0,AVERAGEIF(従業員の給与情報!$B:$B,$A14,従業員の給与情報!$E:$E)))))</f>
        <v/>
      </c>
      <c r="W14" s="103" t="str">
        <f>IF(OR(入力シート!$C$5&lt;&gt;入力リスト!$C$3,COUNTIF(入力シート!$J$16:$S$23,入力リスト!$H$9)=0),"",IF(A14="","",IF(ISERROR(AVERAGEIF(従業員の給与情報!$B:$B,$A14,従業員の給与情報!$F:$F)),0,IF(ISERROR(AVERAGEIF(従業員の給与情報!$B:$B,$A14,従業員の給与情報!$F:$F)),0,AVERAGEIF(従業員の給与情報!$B:$B,$A14,従業員の給与情報!$F:$F)))))</f>
        <v/>
      </c>
    </row>
    <row r="15" spans="1:23" s="10" customFormat="1" ht="19.8">
      <c r="A15" s="248"/>
      <c r="B15" s="249"/>
      <c r="C15" s="250"/>
      <c r="D15" s="251"/>
      <c r="E15" s="252"/>
      <c r="F15" s="257" t="str">
        <f>IF($G$1,"",IF(COUNTIF(A15:E15,"")=5,"",IF(G15,入力リスト!$K$28,IF(OR(A15="",B15="",IF(COUNTIF($C$3,"*不要*"),"",C15=""),D15=""),IF(A15="","従業員番号","")&amp;IF(B15="","「雇用形態」","")&amp;IF(OR(入力シート!$J$18=入力リスト!$H$9,入力シート!$J$22=入力リスト!$H$9),IF(C15="","「入社年月日」",""),"")&amp;IF(D15="","「性別」","")&amp;IF(IF(A15="","従業員番号","")&amp;IF(B15="","「雇用形態」","")&amp;IF(OR(入力シート!$J$18=入力リスト!$H$9,入力シート!$J$22=入力リスト!$H$9),IF(C15="","「入社年月日」",""),"")&amp;IF(D15="","「性別」","")="","",入力リスト!$K$29),IF(J15,入力リスト!$K$30,"")&amp;IF(I15,入力リスト!$K$31,"")&amp;IF(H15,"「雇用形態」","")&amp;IF(K15,"「性別」","")&amp;IF(L15,"「役職」","")&amp;IF(OR(H15,K15,L15),入力リスト!$K$32,"")))))</f>
        <v/>
      </c>
      <c r="G15" s="209" t="b">
        <f>COUNTIF($A$4:A14,$A15)&gt;0</f>
        <v>0</v>
      </c>
      <c r="H15" s="210" t="b">
        <f>IF($H$1,FALSE,COUNTIF(入力シート!$S$37:$V$62,B15)=0)</f>
        <v>0</v>
      </c>
      <c r="I15" s="210" t="b">
        <f t="shared" si="2"/>
        <v>0</v>
      </c>
      <c r="J15" s="210" t="b">
        <f>IF($J$1,FALSE,IF(I15=TRUE,FALSE,IF(I15,FALSE,C15&gt;入力シート!$J$24)))</f>
        <v>0</v>
      </c>
      <c r="K15" s="210" t="b">
        <f>IF($K$1,FALSE,COUNTIF(入力シート!$AW$37:$BB$38,D15)=0)</f>
        <v>0</v>
      </c>
      <c r="L15" s="210" t="b">
        <f>IF($L$1,FALSE,IF($L$3,FALSE,IF(E15="",FALSE,COUNTIF(入力シート!$AH$37:$AK$62,E15)=0)))</f>
        <v>0</v>
      </c>
      <c r="M15" s="211" t="str">
        <f t="shared" si="1"/>
        <v/>
      </c>
      <c r="N15" s="211"/>
      <c r="O15" s="209" t="str">
        <f>IF(B15="","",VLOOKUP('従業員情報(給与以外)'!$B15,入力シート!$S$37:$Z$62,5,0))</f>
        <v/>
      </c>
      <c r="P15" s="156" t="str">
        <f>IF(ISNUMBER(C15)=FALSE,"",IF(C15&gt;入力シート!$J$24,"",_xlfn.DAYS(入力シート!$J$24,'従業員情報(給与以外)'!$C15)/365))</f>
        <v/>
      </c>
      <c r="Q15" s="210" t="str">
        <f>IF(P15="","",VLOOKUP(_xlfn.DAYS(入力シート!$J$24,'従業員情報(給与以外)'!$C15)/365,入力リスト!$K$18:$L$26,2,2))</f>
        <v/>
      </c>
      <c r="R15" s="209" t="str">
        <f>IF(D15="","",VLOOKUP('従業員情報(給与以外)'!$D15,入力シート!$AW$37:$BB$38,4,0))</f>
        <v/>
      </c>
      <c r="S15" s="209" t="str">
        <f>IF(A15="","",IF(E15="","非役職",VLOOKUP('従業員情報(給与以外)'!$E15,入力シート!$AH$37:$AO$62,5,0)))</f>
        <v/>
      </c>
      <c r="T15" s="102" t="str">
        <f>IF(OR(入力シート!$C$5&lt;&gt;入力リスト!$C$3,COUNTIF(入力シート!$J$16:$S$23,入力リスト!$H$9)=0),"",IF($A15="","",IF(ISERROR(AVERAGEIF(従業員の給与情報!$B:$B,$A15,従業員の給与情報!$C:$C)),0,IF(ISERROR(AVERAGEIF(従業員の給与情報!$B:$B,$A15,従業員の給与情報!$C:$C)),0,AVERAGEIF(従業員の給与情報!$B:$B,$A15,従業員の給与情報!$C:$C)))))</f>
        <v/>
      </c>
      <c r="U15" s="102" t="str">
        <f>IF(OR(入力シート!$C$5&lt;&gt;入力リスト!$C$3,COUNTIF(入力シート!$J$16:$S$23,入力リスト!$H$9)=0),"",IF(A15="","",IF(ISERROR(AVERAGEIF(従業員の給与情報!$B:$B,$A15,従業員の給与情報!$D:$D)),0,IF(ISERROR(AVERAGEIF(従業員の給与情報!$B:$B,$A15,従業員の給与情報!$D:$D)),0,AVERAGEIF(従業員の給与情報!$B:$B,$A15,従業員の給与情報!$D:$D)))))</f>
        <v/>
      </c>
      <c r="V15" s="102" t="str">
        <f>IF(OR(入力シート!$C$5&lt;&gt;入力リスト!$C$3,COUNTIF(入力シート!$J$16:$S$23,入力リスト!$H$9)=0),"",IF(A15="","",IF(ISERROR(AVERAGEIF(従業員の給与情報!$B:$B,$A15,従業員の給与情報!$E:$E)),0,IF(ISERROR(AVERAGEIF(従業員の給与情報!$B:$B,$A15,従業員の給与情報!$E:$E)),0,AVERAGEIF(従業員の給与情報!$B:$B,$A15,従業員の給与情報!$E:$E)))))</f>
        <v/>
      </c>
      <c r="W15" s="103" t="str">
        <f>IF(OR(入力シート!$C$5&lt;&gt;入力リスト!$C$3,COUNTIF(入力シート!$J$16:$S$23,入力リスト!$H$9)=0),"",IF(A15="","",IF(ISERROR(AVERAGEIF(従業員の給与情報!$B:$B,$A15,従業員の給与情報!$F:$F)),0,IF(ISERROR(AVERAGEIF(従業員の給与情報!$B:$B,$A15,従業員の給与情報!$F:$F)),0,AVERAGEIF(従業員の給与情報!$B:$B,$A15,従業員の給与情報!$F:$F)))))</f>
        <v/>
      </c>
    </row>
    <row r="16" spans="1:23" s="10" customFormat="1" ht="19.8">
      <c r="A16" s="248"/>
      <c r="B16" s="249"/>
      <c r="C16" s="250"/>
      <c r="D16" s="251"/>
      <c r="E16" s="249"/>
      <c r="F16" s="257" t="str">
        <f>IF($G$1,"",IF(COUNTIF(A16:E16,"")=5,"",IF(G16,入力リスト!$K$28,IF(OR(A16="",B16="",IF(COUNTIF($C$3,"*不要*"),"",C16=""),D16=""),IF(A16="","従業員番号","")&amp;IF(B16="","「雇用形態」","")&amp;IF(OR(入力シート!$J$18=入力リスト!$H$9,入力シート!$J$22=入力リスト!$H$9),IF(C16="","「入社年月日」",""),"")&amp;IF(D16="","「性別」","")&amp;IF(IF(A16="","従業員番号","")&amp;IF(B16="","「雇用形態」","")&amp;IF(OR(入力シート!$J$18=入力リスト!$H$9,入力シート!$J$22=入力リスト!$H$9),IF(C16="","「入社年月日」",""),"")&amp;IF(D16="","「性別」","")="","",入力リスト!$K$29),IF(J16,入力リスト!$K$30,"")&amp;IF(I16,入力リスト!$K$31,"")&amp;IF(H16,"「雇用形態」","")&amp;IF(K16,"「性別」","")&amp;IF(L16,"「役職」","")&amp;IF(OR(H16,K16,L16),入力リスト!$K$32,"")))))</f>
        <v/>
      </c>
      <c r="G16" s="209" t="b">
        <f>COUNTIF($A$4:A15,$A16)&gt;0</f>
        <v>0</v>
      </c>
      <c r="H16" s="210" t="b">
        <f>IF($H$1,FALSE,COUNTIF(入力シート!$S$37:$V$62,B16)=0)</f>
        <v>0</v>
      </c>
      <c r="I16" s="210" t="b">
        <f t="shared" si="2"/>
        <v>0</v>
      </c>
      <c r="J16" s="210" t="b">
        <f>IF($J$1,FALSE,IF(I16=TRUE,FALSE,IF(I16,FALSE,C16&gt;入力シート!$J$24)))</f>
        <v>0</v>
      </c>
      <c r="K16" s="210" t="b">
        <f>IF($K$1,FALSE,COUNTIF(入力シート!$AW$37:$BB$38,D16)=0)</f>
        <v>0</v>
      </c>
      <c r="L16" s="210" t="b">
        <f>IF($L$1,FALSE,IF($L$3,FALSE,IF(E16="",FALSE,COUNTIF(入力シート!$AH$37:$AK$62,E16)=0)))</f>
        <v>0</v>
      </c>
      <c r="M16" s="211" t="str">
        <f t="shared" si="1"/>
        <v/>
      </c>
      <c r="N16" s="211"/>
      <c r="O16" s="209" t="str">
        <f>IF(B16="","",VLOOKUP('従業員情報(給与以外)'!$B16,入力シート!$S$37:$Z$62,5,0))</f>
        <v/>
      </c>
      <c r="P16" s="156" t="str">
        <f>IF(ISNUMBER(C16)=FALSE,"",IF(C16&gt;入力シート!$J$24,"",_xlfn.DAYS(入力シート!$J$24,'従業員情報(給与以外)'!$C16)/365))</f>
        <v/>
      </c>
      <c r="Q16" s="210" t="str">
        <f>IF(P16="","",VLOOKUP(_xlfn.DAYS(入力シート!$J$24,'従業員情報(給与以外)'!$C16)/365,入力リスト!$K$18:$L$26,2,2))</f>
        <v/>
      </c>
      <c r="R16" s="209" t="str">
        <f>IF(D16="","",VLOOKUP('従業員情報(給与以外)'!$D16,入力シート!$AW$37:$BB$38,4,0))</f>
        <v/>
      </c>
      <c r="S16" s="209" t="str">
        <f>IF(A16="","",IF(E16="","非役職",VLOOKUP('従業員情報(給与以外)'!$E16,入力シート!$AH$37:$AO$62,5,0)))</f>
        <v/>
      </c>
      <c r="T16" s="102" t="str">
        <f>IF(OR(入力シート!$C$5&lt;&gt;入力リスト!$C$3,COUNTIF(入力シート!$J$16:$S$23,入力リスト!$H$9)=0),"",IF($A16="","",IF(ISERROR(AVERAGEIF(従業員の給与情報!$B:$B,$A16,従業員の給与情報!$C:$C)),0,IF(ISERROR(AVERAGEIF(従業員の給与情報!$B:$B,$A16,従業員の給与情報!$C:$C)),0,AVERAGEIF(従業員の給与情報!$B:$B,$A16,従業員の給与情報!$C:$C)))))</f>
        <v/>
      </c>
      <c r="U16" s="102" t="str">
        <f>IF(OR(入力シート!$C$5&lt;&gt;入力リスト!$C$3,COUNTIF(入力シート!$J$16:$S$23,入力リスト!$H$9)=0),"",IF(A16="","",IF(ISERROR(AVERAGEIF(従業員の給与情報!$B:$B,$A16,従業員の給与情報!$D:$D)),0,IF(ISERROR(AVERAGEIF(従業員の給与情報!$B:$B,$A16,従業員の給与情報!$D:$D)),0,AVERAGEIF(従業員の給与情報!$B:$B,$A16,従業員の給与情報!$D:$D)))))</f>
        <v/>
      </c>
      <c r="V16" s="102" t="str">
        <f>IF(OR(入力シート!$C$5&lt;&gt;入力リスト!$C$3,COUNTIF(入力シート!$J$16:$S$23,入力リスト!$H$9)=0),"",IF(A16="","",IF(ISERROR(AVERAGEIF(従業員の給与情報!$B:$B,$A16,従業員の給与情報!$E:$E)),0,IF(ISERROR(AVERAGEIF(従業員の給与情報!$B:$B,$A16,従業員の給与情報!$E:$E)),0,AVERAGEIF(従業員の給与情報!$B:$B,$A16,従業員の給与情報!$E:$E)))))</f>
        <v/>
      </c>
      <c r="W16" s="103" t="str">
        <f>IF(OR(入力シート!$C$5&lt;&gt;入力リスト!$C$3,COUNTIF(入力シート!$J$16:$S$23,入力リスト!$H$9)=0),"",IF(A16="","",IF(ISERROR(AVERAGEIF(従業員の給与情報!$B:$B,$A16,従業員の給与情報!$F:$F)),0,IF(ISERROR(AVERAGEIF(従業員の給与情報!$B:$B,$A16,従業員の給与情報!$F:$F)),0,AVERAGEIF(従業員の給与情報!$B:$B,$A16,従業員の給与情報!$F:$F)))))</f>
        <v/>
      </c>
    </row>
    <row r="17" spans="1:23" s="10" customFormat="1" ht="19.8">
      <c r="A17" s="248"/>
      <c r="B17" s="249"/>
      <c r="C17" s="250"/>
      <c r="D17" s="251"/>
      <c r="E17" s="252"/>
      <c r="F17" s="257" t="str">
        <f>IF($G$1,"",IF(COUNTIF(A17:E17,"")=5,"",IF(G17,入力リスト!$K$28,IF(OR(A17="",B17="",IF(COUNTIF($C$3,"*不要*"),"",C17=""),D17=""),IF(A17="","従業員番号","")&amp;IF(B17="","「雇用形態」","")&amp;IF(OR(入力シート!$J$18=入力リスト!$H$9,入力シート!$J$22=入力リスト!$H$9),IF(C17="","「入社年月日」",""),"")&amp;IF(D17="","「性別」","")&amp;IF(IF(A17="","従業員番号","")&amp;IF(B17="","「雇用形態」","")&amp;IF(OR(入力シート!$J$18=入力リスト!$H$9,入力シート!$J$22=入力リスト!$H$9),IF(C17="","「入社年月日」",""),"")&amp;IF(D17="","「性別」","")="","",入力リスト!$K$29),IF(J17,入力リスト!$K$30,"")&amp;IF(I17,入力リスト!$K$31,"")&amp;IF(H17,"「雇用形態」","")&amp;IF(K17,"「性別」","")&amp;IF(L17,"「役職」","")&amp;IF(OR(H17,K17,L17),入力リスト!$K$32,"")))))</f>
        <v/>
      </c>
      <c r="G17" s="209" t="b">
        <f>COUNTIF($A$4:A16,$A17)&gt;0</f>
        <v>0</v>
      </c>
      <c r="H17" s="210" t="b">
        <f>IF($H$1,FALSE,COUNTIF(入力シート!$S$37:$V$62,B17)=0)</f>
        <v>0</v>
      </c>
      <c r="I17" s="210" t="b">
        <f t="shared" si="2"/>
        <v>0</v>
      </c>
      <c r="J17" s="210" t="b">
        <f>IF($J$1,FALSE,IF(I17=TRUE,FALSE,IF(I17,FALSE,C17&gt;入力シート!$J$24)))</f>
        <v>0</v>
      </c>
      <c r="K17" s="210" t="b">
        <f>IF($K$1,FALSE,COUNTIF(入力シート!$AW$37:$BB$38,D17)=0)</f>
        <v>0</v>
      </c>
      <c r="L17" s="210" t="b">
        <f>IF($L$1,FALSE,IF($L$3,FALSE,IF(E17="",FALSE,COUNTIF(入力シート!$AH$37:$AK$62,E17)=0)))</f>
        <v>0</v>
      </c>
      <c r="M17" s="211" t="str">
        <f t="shared" si="1"/>
        <v/>
      </c>
      <c r="N17" s="211"/>
      <c r="O17" s="209" t="str">
        <f>IF(B17="","",VLOOKUP('従業員情報(給与以外)'!$B17,入力シート!$S$37:$Z$62,5,0))</f>
        <v/>
      </c>
      <c r="P17" s="156" t="str">
        <f>IF(ISNUMBER(C17)=FALSE,"",IF(C17&gt;入力シート!$J$24,"",_xlfn.DAYS(入力シート!$J$24,'従業員情報(給与以外)'!$C17)/365))</f>
        <v/>
      </c>
      <c r="Q17" s="210" t="str">
        <f>IF(P17="","",VLOOKUP(_xlfn.DAYS(入力シート!$J$24,'従業員情報(給与以外)'!$C17)/365,入力リスト!$K$18:$L$26,2,2))</f>
        <v/>
      </c>
      <c r="R17" s="209" t="str">
        <f>IF(D17="","",VLOOKUP('従業員情報(給与以外)'!$D17,入力シート!$AW$37:$BB$38,4,0))</f>
        <v/>
      </c>
      <c r="S17" s="209" t="str">
        <f>IF(A17="","",IF(E17="","非役職",VLOOKUP('従業員情報(給与以外)'!$E17,入力シート!$AH$37:$AO$62,5,0)))</f>
        <v/>
      </c>
      <c r="T17" s="102" t="str">
        <f>IF(OR(入力シート!$C$5&lt;&gt;入力リスト!$C$3,COUNTIF(入力シート!$J$16:$S$23,入力リスト!$H$9)=0),"",IF($A17="","",IF(ISERROR(AVERAGEIF(従業員の給与情報!$B:$B,$A17,従業員の給与情報!$C:$C)),0,IF(ISERROR(AVERAGEIF(従業員の給与情報!$B:$B,$A17,従業員の給与情報!$C:$C)),0,AVERAGEIF(従業員の給与情報!$B:$B,$A17,従業員の給与情報!$C:$C)))))</f>
        <v/>
      </c>
      <c r="U17" s="102" t="str">
        <f>IF(OR(入力シート!$C$5&lt;&gt;入力リスト!$C$3,COUNTIF(入力シート!$J$16:$S$23,入力リスト!$H$9)=0),"",IF(A17="","",IF(ISERROR(AVERAGEIF(従業員の給与情報!$B:$B,$A17,従業員の給与情報!$D:$D)),0,IF(ISERROR(AVERAGEIF(従業員の給与情報!$B:$B,$A17,従業員の給与情報!$D:$D)),0,AVERAGEIF(従業員の給与情報!$B:$B,$A17,従業員の給与情報!$D:$D)))))</f>
        <v/>
      </c>
      <c r="V17" s="102" t="str">
        <f>IF(OR(入力シート!$C$5&lt;&gt;入力リスト!$C$3,COUNTIF(入力シート!$J$16:$S$23,入力リスト!$H$9)=0),"",IF(A17="","",IF(ISERROR(AVERAGEIF(従業員の給与情報!$B:$B,$A17,従業員の給与情報!$E:$E)),0,IF(ISERROR(AVERAGEIF(従業員の給与情報!$B:$B,$A17,従業員の給与情報!$E:$E)),0,AVERAGEIF(従業員の給与情報!$B:$B,$A17,従業員の給与情報!$E:$E)))))</f>
        <v/>
      </c>
      <c r="W17" s="103" t="str">
        <f>IF(OR(入力シート!$C$5&lt;&gt;入力リスト!$C$3,COUNTIF(入力シート!$J$16:$S$23,入力リスト!$H$9)=0),"",IF(A17="","",IF(ISERROR(AVERAGEIF(従業員の給与情報!$B:$B,$A17,従業員の給与情報!$F:$F)),0,IF(ISERROR(AVERAGEIF(従業員の給与情報!$B:$B,$A17,従業員の給与情報!$F:$F)),0,AVERAGEIF(従業員の給与情報!$B:$B,$A17,従業員の給与情報!$F:$F)))))</f>
        <v/>
      </c>
    </row>
    <row r="18" spans="1:23" s="10" customFormat="1" ht="19.8">
      <c r="A18" s="248"/>
      <c r="B18" s="249"/>
      <c r="C18" s="250"/>
      <c r="D18" s="251"/>
      <c r="E18" s="252"/>
      <c r="F18" s="257" t="str">
        <f>IF($G$1,"",IF(COUNTIF(A18:E18,"")=5,"",IF(G18,入力リスト!$K$28,IF(OR(A18="",B18="",IF(COUNTIF($C$3,"*不要*"),"",C18=""),D18=""),IF(A18="","従業員番号","")&amp;IF(B18="","「雇用形態」","")&amp;IF(OR(入力シート!$J$18=入力リスト!$H$9,入力シート!$J$22=入力リスト!$H$9),IF(C18="","「入社年月日」",""),"")&amp;IF(D18="","「性別」","")&amp;IF(IF(A18="","従業員番号","")&amp;IF(B18="","「雇用形態」","")&amp;IF(OR(入力シート!$J$18=入力リスト!$H$9,入力シート!$J$22=入力リスト!$H$9),IF(C18="","「入社年月日」",""),"")&amp;IF(D18="","「性別」","")="","",入力リスト!$K$29),IF(J18,入力リスト!$K$30,"")&amp;IF(I18,入力リスト!$K$31,"")&amp;IF(H18,"「雇用形態」","")&amp;IF(K18,"「性別」","")&amp;IF(L18,"「役職」","")&amp;IF(OR(H18,K18,L18),入力リスト!$K$32,"")))))</f>
        <v/>
      </c>
      <c r="G18" s="209" t="b">
        <f>COUNTIF($A$4:A17,$A18)&gt;0</f>
        <v>0</v>
      </c>
      <c r="H18" s="210" t="b">
        <f>IF($H$1,FALSE,COUNTIF(入力シート!$S$37:$V$62,B18)=0)</f>
        <v>0</v>
      </c>
      <c r="I18" s="210" t="b">
        <f t="shared" si="2"/>
        <v>0</v>
      </c>
      <c r="J18" s="210" t="b">
        <f>IF($J$1,FALSE,IF(I18=TRUE,FALSE,IF(I18,FALSE,C18&gt;入力シート!$J$24)))</f>
        <v>0</v>
      </c>
      <c r="K18" s="210" t="b">
        <f>IF($K$1,FALSE,COUNTIF(入力シート!$AW$37:$BB$38,D18)=0)</f>
        <v>0</v>
      </c>
      <c r="L18" s="210" t="b">
        <f>IF($L$1,FALSE,IF($L$3,FALSE,IF(E18="",FALSE,COUNTIF(入力シート!$AH$37:$AK$62,E18)=0)))</f>
        <v>0</v>
      </c>
      <c r="M18" s="211" t="str">
        <f t="shared" si="1"/>
        <v/>
      </c>
      <c r="N18" s="211"/>
      <c r="O18" s="209" t="str">
        <f>IF(B18="","",VLOOKUP('従業員情報(給与以外)'!$B18,入力シート!$S$37:$Z$62,5,0))</f>
        <v/>
      </c>
      <c r="P18" s="156" t="str">
        <f>IF(ISNUMBER(C18)=FALSE,"",IF(C18&gt;入力シート!$J$24,"",_xlfn.DAYS(入力シート!$J$24,'従業員情報(給与以外)'!$C18)/365))</f>
        <v/>
      </c>
      <c r="Q18" s="210" t="str">
        <f>IF(P18="","",VLOOKUP(_xlfn.DAYS(入力シート!$J$24,'従業員情報(給与以外)'!$C18)/365,入力リスト!$K$18:$L$26,2,2))</f>
        <v/>
      </c>
      <c r="R18" s="209" t="str">
        <f>IF(D18="","",VLOOKUP('従業員情報(給与以外)'!$D18,入力シート!$AW$37:$BB$38,4,0))</f>
        <v/>
      </c>
      <c r="S18" s="209" t="str">
        <f>IF(A18="","",IF(E18="","非役職",VLOOKUP('従業員情報(給与以外)'!$E18,入力シート!$AH$37:$AO$62,5,0)))</f>
        <v/>
      </c>
      <c r="T18" s="102" t="str">
        <f>IF(OR(入力シート!$C$5&lt;&gt;入力リスト!$C$3,COUNTIF(入力シート!$J$16:$S$23,入力リスト!$H$9)=0),"",IF($A18="","",IF(ISERROR(AVERAGEIF(従業員の給与情報!$B:$B,$A18,従業員の給与情報!$C:$C)),0,IF(ISERROR(AVERAGEIF(従業員の給与情報!$B:$B,$A18,従業員の給与情報!$C:$C)),0,AVERAGEIF(従業員の給与情報!$B:$B,$A18,従業員の給与情報!$C:$C)))))</f>
        <v/>
      </c>
      <c r="U18" s="102" t="str">
        <f>IF(OR(入力シート!$C$5&lt;&gt;入力リスト!$C$3,COUNTIF(入力シート!$J$16:$S$23,入力リスト!$H$9)=0),"",IF(A18="","",IF(ISERROR(AVERAGEIF(従業員の給与情報!$B:$B,$A18,従業員の給与情報!$D:$D)),0,IF(ISERROR(AVERAGEIF(従業員の給与情報!$B:$B,$A18,従業員の給与情報!$D:$D)),0,AVERAGEIF(従業員の給与情報!$B:$B,$A18,従業員の給与情報!$D:$D)))))</f>
        <v/>
      </c>
      <c r="V18" s="102" t="str">
        <f>IF(OR(入力シート!$C$5&lt;&gt;入力リスト!$C$3,COUNTIF(入力シート!$J$16:$S$23,入力リスト!$H$9)=0),"",IF(A18="","",IF(ISERROR(AVERAGEIF(従業員の給与情報!$B:$B,$A18,従業員の給与情報!$E:$E)),0,IF(ISERROR(AVERAGEIF(従業員の給与情報!$B:$B,$A18,従業員の給与情報!$E:$E)),0,AVERAGEIF(従業員の給与情報!$B:$B,$A18,従業員の給与情報!$E:$E)))))</f>
        <v/>
      </c>
      <c r="W18" s="103" t="str">
        <f>IF(OR(入力シート!$C$5&lt;&gt;入力リスト!$C$3,COUNTIF(入力シート!$J$16:$S$23,入力リスト!$H$9)=0),"",IF(A18="","",IF(ISERROR(AVERAGEIF(従業員の給与情報!$B:$B,$A18,従業員の給与情報!$F:$F)),0,IF(ISERROR(AVERAGEIF(従業員の給与情報!$B:$B,$A18,従業員の給与情報!$F:$F)),0,AVERAGEIF(従業員の給与情報!$B:$B,$A18,従業員の給与情報!$F:$F)))))</f>
        <v/>
      </c>
    </row>
    <row r="19" spans="1:23" s="10" customFormat="1" ht="19.8">
      <c r="A19" s="252"/>
      <c r="B19" s="249"/>
      <c r="C19" s="250"/>
      <c r="D19" s="251"/>
      <c r="E19" s="252"/>
      <c r="F19" s="257" t="str">
        <f>IF($G$1,"",IF(COUNTIF(A19:E19,"")=5,"",IF(G19,入力リスト!$K$28,IF(OR(A19="",B19="",IF(COUNTIF($C$3,"*不要*"),"",C19=""),D19=""),IF(A19="","従業員番号","")&amp;IF(B19="","「雇用形態」","")&amp;IF(OR(入力シート!$J$18=入力リスト!$H$9,入力シート!$J$22=入力リスト!$H$9),IF(C19="","「入社年月日」",""),"")&amp;IF(D19="","「性別」","")&amp;IF(IF(A19="","従業員番号","")&amp;IF(B19="","「雇用形態」","")&amp;IF(OR(入力シート!$J$18=入力リスト!$H$9,入力シート!$J$22=入力リスト!$H$9),IF(C19="","「入社年月日」",""),"")&amp;IF(D19="","「性別」","")="","",入力リスト!$K$29),IF(J19,入力リスト!$K$30,"")&amp;IF(I19,入力リスト!$K$31,"")&amp;IF(H19,"「雇用形態」","")&amp;IF(K19,"「性別」","")&amp;IF(L19,"「役職」","")&amp;IF(OR(H19,K19,L19),入力リスト!$K$32,"")))))</f>
        <v/>
      </c>
      <c r="G19" s="209" t="b">
        <f>COUNTIF($A$4:A18,$A19)&gt;0</f>
        <v>0</v>
      </c>
      <c r="H19" s="210" t="b">
        <f>IF($H$1,FALSE,COUNTIF(入力シート!$S$37:$V$62,B19)=0)</f>
        <v>0</v>
      </c>
      <c r="I19" s="210" t="b">
        <f t="shared" si="2"/>
        <v>0</v>
      </c>
      <c r="J19" s="210" t="b">
        <f>IF($J$1,FALSE,IF(I19=TRUE,FALSE,IF(I19,FALSE,C19&gt;入力シート!$J$24)))</f>
        <v>0</v>
      </c>
      <c r="K19" s="210" t="b">
        <f>IF($K$1,FALSE,COUNTIF(入力シート!$AW$37:$BB$38,D19)=0)</f>
        <v>0</v>
      </c>
      <c r="L19" s="210" t="b">
        <f>IF($L$1,FALSE,IF($L$3,FALSE,IF(E19="",FALSE,COUNTIF(入力シート!$AH$37:$AK$62,E19)=0)))</f>
        <v>0</v>
      </c>
      <c r="M19" s="211" t="str">
        <f t="shared" si="1"/>
        <v/>
      </c>
      <c r="N19" s="211"/>
      <c r="O19" s="209" t="str">
        <f>IF(B19="","",VLOOKUP('従業員情報(給与以外)'!$B19,入力シート!$S$37:$Z$62,5,0))</f>
        <v/>
      </c>
      <c r="P19" s="156" t="str">
        <f>IF(ISNUMBER(C19)=FALSE,"",IF(C19&gt;入力シート!$J$24,"",_xlfn.DAYS(入力シート!$J$24,'従業員情報(給与以外)'!$C19)/365))</f>
        <v/>
      </c>
      <c r="Q19" s="210" t="str">
        <f>IF(P19="","",VLOOKUP(_xlfn.DAYS(入力シート!$J$24,'従業員情報(給与以外)'!$C19)/365,入力リスト!$K$18:$L$26,2,2))</f>
        <v/>
      </c>
      <c r="R19" s="209" t="str">
        <f>IF(D19="","",VLOOKUP('従業員情報(給与以外)'!$D19,入力シート!$AW$37:$BB$38,4,0))</f>
        <v/>
      </c>
      <c r="S19" s="209" t="str">
        <f>IF(A19="","",IF(E19="","非役職",VLOOKUP('従業員情報(給与以外)'!$E19,入力シート!$AH$37:$AO$62,5,0)))</f>
        <v/>
      </c>
      <c r="T19" s="102" t="str">
        <f>IF(OR(入力シート!$C$5&lt;&gt;入力リスト!$C$3,COUNTIF(入力シート!$J$16:$S$23,入力リスト!$H$9)=0),"",IF($A19="","",IF(ISERROR(AVERAGEIF(従業員の給与情報!$B:$B,$A19,従業員の給与情報!$C:$C)),0,IF(ISERROR(AVERAGEIF(従業員の給与情報!$B:$B,$A19,従業員の給与情報!$C:$C)),0,AVERAGEIF(従業員の給与情報!$B:$B,$A19,従業員の給与情報!$C:$C)))))</f>
        <v/>
      </c>
      <c r="U19" s="102" t="str">
        <f>IF(OR(入力シート!$C$5&lt;&gt;入力リスト!$C$3,COUNTIF(入力シート!$J$16:$S$23,入力リスト!$H$9)=0),"",IF(A19="","",IF(ISERROR(AVERAGEIF(従業員の給与情報!$B:$B,$A19,従業員の給与情報!$D:$D)),0,IF(ISERROR(AVERAGEIF(従業員の給与情報!$B:$B,$A19,従業員の給与情報!$D:$D)),0,AVERAGEIF(従業員の給与情報!$B:$B,$A19,従業員の給与情報!$D:$D)))))</f>
        <v/>
      </c>
      <c r="V19" s="102" t="str">
        <f>IF(OR(入力シート!$C$5&lt;&gt;入力リスト!$C$3,COUNTIF(入力シート!$J$16:$S$23,入力リスト!$H$9)=0),"",IF(A19="","",IF(ISERROR(AVERAGEIF(従業員の給与情報!$B:$B,$A19,従業員の給与情報!$E:$E)),0,IF(ISERROR(AVERAGEIF(従業員の給与情報!$B:$B,$A19,従業員の給与情報!$E:$E)),0,AVERAGEIF(従業員の給与情報!$B:$B,$A19,従業員の給与情報!$E:$E)))))</f>
        <v/>
      </c>
      <c r="W19" s="103" t="str">
        <f>IF(OR(入力シート!$C$5&lt;&gt;入力リスト!$C$3,COUNTIF(入力シート!$J$16:$S$23,入力リスト!$H$9)=0),"",IF(A19="","",IF(ISERROR(AVERAGEIF(従業員の給与情報!$B:$B,$A19,従業員の給与情報!$F:$F)),0,IF(ISERROR(AVERAGEIF(従業員の給与情報!$B:$B,$A19,従業員の給与情報!$F:$F)),0,AVERAGEIF(従業員の給与情報!$B:$B,$A19,従業員の給与情報!$F:$F)))))</f>
        <v/>
      </c>
    </row>
    <row r="20" spans="1:23" s="10" customFormat="1" ht="19.8">
      <c r="A20" s="252"/>
      <c r="B20" s="249"/>
      <c r="C20" s="250"/>
      <c r="D20" s="251"/>
      <c r="E20" s="252"/>
      <c r="F20" s="257" t="str">
        <f>IF($G$1,"",IF(COUNTIF(A20:E20,"")=5,"",IF(G20,入力リスト!$K$28,IF(OR(A20="",B20="",IF(COUNTIF($C$3,"*不要*"),"",C20=""),D20=""),IF(A20="","従業員番号","")&amp;IF(B20="","「雇用形態」","")&amp;IF(OR(入力シート!$J$18=入力リスト!$H$9,入力シート!$J$22=入力リスト!$H$9),IF(C20="","「入社年月日」",""),"")&amp;IF(D20="","「性別」","")&amp;IF(IF(A20="","従業員番号","")&amp;IF(B20="","「雇用形態」","")&amp;IF(OR(入力シート!$J$18=入力リスト!$H$9,入力シート!$J$22=入力リスト!$H$9),IF(C20="","「入社年月日」",""),"")&amp;IF(D20="","「性別」","")="","",入力リスト!$K$29),IF(J20,入力リスト!$K$30,"")&amp;IF(I20,入力リスト!$K$31,"")&amp;IF(H20,"「雇用形態」","")&amp;IF(K20,"「性別」","")&amp;IF(L20,"「役職」","")&amp;IF(OR(H20,K20,L20),入力リスト!$K$32,"")))))</f>
        <v/>
      </c>
      <c r="G20" s="209" t="b">
        <f>COUNTIF($A$4:A19,$A20)&gt;0</f>
        <v>0</v>
      </c>
      <c r="H20" s="210" t="b">
        <f>IF($H$1,FALSE,COUNTIF(入力シート!$S$37:$V$62,B20)=0)</f>
        <v>0</v>
      </c>
      <c r="I20" s="210" t="b">
        <f t="shared" si="2"/>
        <v>0</v>
      </c>
      <c r="J20" s="210" t="b">
        <f>IF($J$1,FALSE,IF(I20=TRUE,FALSE,IF(I20,FALSE,C20&gt;入力シート!$J$24)))</f>
        <v>0</v>
      </c>
      <c r="K20" s="210" t="b">
        <f>IF($K$1,FALSE,COUNTIF(入力シート!$AW$37:$BB$38,D20)=0)</f>
        <v>0</v>
      </c>
      <c r="L20" s="210" t="b">
        <f>IF($L$1,FALSE,IF($L$3,FALSE,IF(E20="",FALSE,COUNTIF(入力シート!$AH$37:$AK$62,E20)=0)))</f>
        <v>0</v>
      </c>
      <c r="M20" s="211" t="str">
        <f t="shared" si="1"/>
        <v/>
      </c>
      <c r="N20" s="211"/>
      <c r="O20" s="209" t="str">
        <f>IF(B20="","",VLOOKUP('従業員情報(給与以外)'!$B20,入力シート!$S$37:$Z$62,5,0))</f>
        <v/>
      </c>
      <c r="P20" s="156" t="str">
        <f>IF(ISNUMBER(C20)=FALSE,"",IF(C20&gt;入力シート!$J$24,"",_xlfn.DAYS(入力シート!$J$24,'従業員情報(給与以外)'!$C20)/365))</f>
        <v/>
      </c>
      <c r="Q20" s="210" t="str">
        <f>IF(P20="","",VLOOKUP(_xlfn.DAYS(入力シート!$J$24,'従業員情報(給与以外)'!$C20)/365,入力リスト!$K$18:$L$26,2,2))</f>
        <v/>
      </c>
      <c r="R20" s="209" t="str">
        <f>IF(D20="","",VLOOKUP('従業員情報(給与以外)'!$D20,入力シート!$AW$37:$BB$38,4,0))</f>
        <v/>
      </c>
      <c r="S20" s="209" t="str">
        <f>IF(A20="","",IF(E20="","非役職",VLOOKUP('従業員情報(給与以外)'!$E20,入力シート!$AH$37:$AO$62,5,0)))</f>
        <v/>
      </c>
      <c r="T20" s="102" t="str">
        <f>IF(OR(入力シート!$C$5&lt;&gt;入力リスト!$C$3,COUNTIF(入力シート!$J$16:$S$23,入力リスト!$H$9)=0),"",IF($A20="","",IF(ISERROR(AVERAGEIF(従業員の給与情報!$B:$B,$A20,従業員の給与情報!$C:$C)),0,IF(ISERROR(AVERAGEIF(従業員の給与情報!$B:$B,$A20,従業員の給与情報!$C:$C)),0,AVERAGEIF(従業員の給与情報!$B:$B,$A20,従業員の給与情報!$C:$C)))))</f>
        <v/>
      </c>
      <c r="U20" s="102" t="str">
        <f>IF(OR(入力シート!$C$5&lt;&gt;入力リスト!$C$3,COUNTIF(入力シート!$J$16:$S$23,入力リスト!$H$9)=0),"",IF(A20="","",IF(ISERROR(AVERAGEIF(従業員の給与情報!$B:$B,$A20,従業員の給与情報!$D:$D)),0,IF(ISERROR(AVERAGEIF(従業員の給与情報!$B:$B,$A20,従業員の給与情報!$D:$D)),0,AVERAGEIF(従業員の給与情報!$B:$B,$A20,従業員の給与情報!$D:$D)))))</f>
        <v/>
      </c>
      <c r="V20" s="102" t="str">
        <f>IF(OR(入力シート!$C$5&lt;&gt;入力リスト!$C$3,COUNTIF(入力シート!$J$16:$S$23,入力リスト!$H$9)=0),"",IF(A20="","",IF(ISERROR(AVERAGEIF(従業員の給与情報!$B:$B,$A20,従業員の給与情報!$E:$E)),0,IF(ISERROR(AVERAGEIF(従業員の給与情報!$B:$B,$A20,従業員の給与情報!$E:$E)),0,AVERAGEIF(従業員の給与情報!$B:$B,$A20,従業員の給与情報!$E:$E)))))</f>
        <v/>
      </c>
      <c r="W20" s="103" t="str">
        <f>IF(OR(入力シート!$C$5&lt;&gt;入力リスト!$C$3,COUNTIF(入力シート!$J$16:$S$23,入力リスト!$H$9)=0),"",IF(A20="","",IF(ISERROR(AVERAGEIF(従業員の給与情報!$B:$B,$A20,従業員の給与情報!$F:$F)),0,IF(ISERROR(AVERAGEIF(従業員の給与情報!$B:$B,$A20,従業員の給与情報!$F:$F)),0,AVERAGEIF(従業員の給与情報!$B:$B,$A20,従業員の給与情報!$F:$F)))))</f>
        <v/>
      </c>
    </row>
    <row r="21" spans="1:23" s="10" customFormat="1" ht="19.8">
      <c r="A21" s="252"/>
      <c r="B21" s="249"/>
      <c r="C21" s="250"/>
      <c r="D21" s="251"/>
      <c r="E21" s="249"/>
      <c r="F21" s="257" t="str">
        <f>IF($G$1,"",IF(COUNTIF(A21:E21,"")=5,"",IF(G21,入力リスト!$K$28,IF(OR(A21="",B21="",IF(COUNTIF($C$3,"*不要*"),"",C21=""),D21=""),IF(A21="","従業員番号","")&amp;IF(B21="","「雇用形態」","")&amp;IF(OR(入力シート!$J$18=入力リスト!$H$9,入力シート!$J$22=入力リスト!$H$9),IF(C21="","「入社年月日」",""),"")&amp;IF(D21="","「性別」","")&amp;IF(IF(A21="","従業員番号","")&amp;IF(B21="","「雇用形態」","")&amp;IF(OR(入力シート!$J$18=入力リスト!$H$9,入力シート!$J$22=入力リスト!$H$9),IF(C21="","「入社年月日」",""),"")&amp;IF(D21="","「性別」","")="","",入力リスト!$K$29),IF(J21,入力リスト!$K$30,"")&amp;IF(I21,入力リスト!$K$31,"")&amp;IF(H21,"「雇用形態」","")&amp;IF(K21,"「性別」","")&amp;IF(L21,"「役職」","")&amp;IF(OR(H21,K21,L21),入力リスト!$K$32,"")))))</f>
        <v/>
      </c>
      <c r="G21" s="209" t="b">
        <f>COUNTIF($A$4:A20,$A21)&gt;0</f>
        <v>0</v>
      </c>
      <c r="H21" s="210" t="b">
        <f>IF($H$1,FALSE,COUNTIF(入力シート!$S$37:$V$62,B21)=0)</f>
        <v>0</v>
      </c>
      <c r="I21" s="210" t="b">
        <f t="shared" si="2"/>
        <v>0</v>
      </c>
      <c r="J21" s="210" t="b">
        <f>IF($J$1,FALSE,IF(I21=TRUE,FALSE,IF(I21,FALSE,C21&gt;入力シート!$J$24)))</f>
        <v>0</v>
      </c>
      <c r="K21" s="210" t="b">
        <f>IF($K$1,FALSE,COUNTIF(入力シート!$AW$37:$BB$38,D21)=0)</f>
        <v>0</v>
      </c>
      <c r="L21" s="210" t="b">
        <f>IF($L$1,FALSE,IF($L$3,FALSE,IF(E21="",FALSE,COUNTIF(入力シート!$AH$37:$AK$62,E21)=0)))</f>
        <v>0</v>
      </c>
      <c r="M21" s="211" t="str">
        <f t="shared" si="1"/>
        <v/>
      </c>
      <c r="N21" s="211"/>
      <c r="O21" s="209" t="str">
        <f>IF(B21="","",VLOOKUP('従業員情報(給与以外)'!$B21,入力シート!$S$37:$Z$62,5,0))</f>
        <v/>
      </c>
      <c r="P21" s="156" t="str">
        <f>IF(ISNUMBER(C21)=FALSE,"",IF(C21&gt;入力シート!$J$24,"",_xlfn.DAYS(入力シート!$J$24,'従業員情報(給与以外)'!$C21)/365))</f>
        <v/>
      </c>
      <c r="Q21" s="210" t="str">
        <f>IF(P21="","",VLOOKUP(_xlfn.DAYS(入力シート!$J$24,'従業員情報(給与以外)'!$C21)/365,入力リスト!$K$18:$L$26,2,2))</f>
        <v/>
      </c>
      <c r="R21" s="209" t="str">
        <f>IF(D21="","",VLOOKUP('従業員情報(給与以外)'!$D21,入力シート!$AW$37:$BB$38,4,0))</f>
        <v/>
      </c>
      <c r="S21" s="209" t="str">
        <f>IF(A21="","",IF(E21="","非役職",VLOOKUP('従業員情報(給与以外)'!$E21,入力シート!$AH$37:$AO$62,5,0)))</f>
        <v/>
      </c>
      <c r="T21" s="102" t="str">
        <f>IF(OR(入力シート!$C$5&lt;&gt;入力リスト!$C$3,COUNTIF(入力シート!$J$16:$S$23,入力リスト!$H$9)=0),"",IF($A21="","",IF(ISERROR(AVERAGEIF(従業員の給与情報!$B:$B,$A21,従業員の給与情報!$C:$C)),0,IF(ISERROR(AVERAGEIF(従業員の給与情報!$B:$B,$A21,従業員の給与情報!$C:$C)),0,AVERAGEIF(従業員の給与情報!$B:$B,$A21,従業員の給与情報!$C:$C)))))</f>
        <v/>
      </c>
      <c r="U21" s="102" t="str">
        <f>IF(OR(入力シート!$C$5&lt;&gt;入力リスト!$C$3,COUNTIF(入力シート!$J$16:$S$23,入力リスト!$H$9)=0),"",IF(A21="","",IF(ISERROR(AVERAGEIF(従業員の給与情報!$B:$B,$A21,従業員の給与情報!$D:$D)),0,IF(ISERROR(AVERAGEIF(従業員の給与情報!$B:$B,$A21,従業員の給与情報!$D:$D)),0,AVERAGEIF(従業員の給与情報!$B:$B,$A21,従業員の給与情報!$D:$D)))))</f>
        <v/>
      </c>
      <c r="V21" s="102" t="str">
        <f>IF(OR(入力シート!$C$5&lt;&gt;入力リスト!$C$3,COUNTIF(入力シート!$J$16:$S$23,入力リスト!$H$9)=0),"",IF(A21="","",IF(ISERROR(AVERAGEIF(従業員の給与情報!$B:$B,$A21,従業員の給与情報!$E:$E)),0,IF(ISERROR(AVERAGEIF(従業員の給与情報!$B:$B,$A21,従業員の給与情報!$E:$E)),0,AVERAGEIF(従業員の給与情報!$B:$B,$A21,従業員の給与情報!$E:$E)))))</f>
        <v/>
      </c>
      <c r="W21" s="103" t="str">
        <f>IF(OR(入力シート!$C$5&lt;&gt;入力リスト!$C$3,COUNTIF(入力シート!$J$16:$S$23,入力リスト!$H$9)=0),"",IF(A21="","",IF(ISERROR(AVERAGEIF(従業員の給与情報!$B:$B,$A21,従業員の給与情報!$F:$F)),0,IF(ISERROR(AVERAGEIF(従業員の給与情報!$B:$B,$A21,従業員の給与情報!$F:$F)),0,AVERAGEIF(従業員の給与情報!$B:$B,$A21,従業員の給与情報!$F:$F)))))</f>
        <v/>
      </c>
    </row>
    <row r="22" spans="1:23" s="10" customFormat="1" ht="19.8">
      <c r="A22" s="252"/>
      <c r="B22" s="249"/>
      <c r="C22" s="250"/>
      <c r="D22" s="251"/>
      <c r="E22" s="252"/>
      <c r="F22" s="257" t="str">
        <f>IF($G$1,"",IF(COUNTIF(A22:E22,"")=5,"",IF(G22,入力リスト!$K$28,IF(OR(A22="",B22="",IF(COUNTIF($C$3,"*不要*"),"",C22=""),D22=""),IF(A22="","従業員番号","")&amp;IF(B22="","「雇用形態」","")&amp;IF(OR(入力シート!$J$18=入力リスト!$H$9,入力シート!$J$22=入力リスト!$H$9),IF(C22="","「入社年月日」",""),"")&amp;IF(D22="","「性別」","")&amp;IF(IF(A22="","従業員番号","")&amp;IF(B22="","「雇用形態」","")&amp;IF(OR(入力シート!$J$18=入力リスト!$H$9,入力シート!$J$22=入力リスト!$H$9),IF(C22="","「入社年月日」",""),"")&amp;IF(D22="","「性別」","")="","",入力リスト!$K$29),IF(J22,入力リスト!$K$30,"")&amp;IF(I22,入力リスト!$K$31,"")&amp;IF(H22,"「雇用形態」","")&amp;IF(K22,"「性別」","")&amp;IF(L22,"「役職」","")&amp;IF(OR(H22,K22,L22),入力リスト!$K$32,"")))))</f>
        <v/>
      </c>
      <c r="G22" s="209" t="b">
        <f>COUNTIF($A$4:A21,$A22)&gt;0</f>
        <v>0</v>
      </c>
      <c r="H22" s="210" t="b">
        <f>IF($H$1,FALSE,COUNTIF(入力シート!$S$37:$V$62,B22)=0)</f>
        <v>0</v>
      </c>
      <c r="I22" s="210" t="b">
        <f t="shared" si="2"/>
        <v>0</v>
      </c>
      <c r="J22" s="210" t="b">
        <f>IF($J$1,FALSE,IF(I22=TRUE,FALSE,IF(I22,FALSE,C22&gt;入力シート!$J$24)))</f>
        <v>0</v>
      </c>
      <c r="K22" s="210" t="b">
        <f>IF($K$1,FALSE,COUNTIF(入力シート!$AW$37:$BB$38,D22)=0)</f>
        <v>0</v>
      </c>
      <c r="L22" s="210" t="b">
        <f>IF($L$1,FALSE,IF($L$3,FALSE,IF(E22="",FALSE,COUNTIF(入力シート!$AH$37:$AK$62,E22)=0)))</f>
        <v>0</v>
      </c>
      <c r="M22" s="211" t="str">
        <f t="shared" si="1"/>
        <v/>
      </c>
      <c r="N22" s="211"/>
      <c r="O22" s="209" t="str">
        <f>IF(B22="","",VLOOKUP('従業員情報(給与以外)'!$B22,入力シート!$S$37:$Z$62,5,0))</f>
        <v/>
      </c>
      <c r="P22" s="156" t="str">
        <f>IF(ISNUMBER(C22)=FALSE,"",IF(C22&gt;入力シート!$J$24,"",_xlfn.DAYS(入力シート!$J$24,'従業員情報(給与以外)'!$C22)/365))</f>
        <v/>
      </c>
      <c r="Q22" s="210" t="str">
        <f>IF(P22="","",VLOOKUP(_xlfn.DAYS(入力シート!$J$24,'従業員情報(給与以外)'!$C22)/365,入力リスト!$K$18:$L$26,2,2))</f>
        <v/>
      </c>
      <c r="R22" s="209" t="str">
        <f>IF(D22="","",VLOOKUP('従業員情報(給与以外)'!$D22,入力シート!$AW$37:$BB$38,4,0))</f>
        <v/>
      </c>
      <c r="S22" s="209" t="str">
        <f>IF(A22="","",IF(E22="","非役職",VLOOKUP('従業員情報(給与以外)'!$E22,入力シート!$AH$37:$AO$62,5,0)))</f>
        <v/>
      </c>
      <c r="T22" s="102" t="str">
        <f>IF(OR(入力シート!$C$5&lt;&gt;入力リスト!$C$3,COUNTIF(入力シート!$J$16:$S$23,入力リスト!$H$9)=0),"",IF($A22="","",IF(ISERROR(AVERAGEIF(従業員の給与情報!$B:$B,$A22,従業員の給与情報!$C:$C)),0,IF(ISERROR(AVERAGEIF(従業員の給与情報!$B:$B,$A22,従業員の給与情報!$C:$C)),0,AVERAGEIF(従業員の給与情報!$B:$B,$A22,従業員の給与情報!$C:$C)))))</f>
        <v/>
      </c>
      <c r="U22" s="102" t="str">
        <f>IF(OR(入力シート!$C$5&lt;&gt;入力リスト!$C$3,COUNTIF(入力シート!$J$16:$S$23,入力リスト!$H$9)=0),"",IF(A22="","",IF(ISERROR(AVERAGEIF(従業員の給与情報!$B:$B,$A22,従業員の給与情報!$D:$D)),0,IF(ISERROR(AVERAGEIF(従業員の給与情報!$B:$B,$A22,従業員の給与情報!$D:$D)),0,AVERAGEIF(従業員の給与情報!$B:$B,$A22,従業員の給与情報!$D:$D)))))</f>
        <v/>
      </c>
      <c r="V22" s="102" t="str">
        <f>IF(OR(入力シート!$C$5&lt;&gt;入力リスト!$C$3,COUNTIF(入力シート!$J$16:$S$23,入力リスト!$H$9)=0),"",IF(A22="","",IF(ISERROR(AVERAGEIF(従業員の給与情報!$B:$B,$A22,従業員の給与情報!$E:$E)),0,IF(ISERROR(AVERAGEIF(従業員の給与情報!$B:$B,$A22,従業員の給与情報!$E:$E)),0,AVERAGEIF(従業員の給与情報!$B:$B,$A22,従業員の給与情報!$E:$E)))))</f>
        <v/>
      </c>
      <c r="W22" s="103" t="str">
        <f>IF(OR(入力シート!$C$5&lt;&gt;入力リスト!$C$3,COUNTIF(入力シート!$J$16:$S$23,入力リスト!$H$9)=0),"",IF(A22="","",IF(ISERROR(AVERAGEIF(従業員の給与情報!$B:$B,$A22,従業員の給与情報!$F:$F)),0,IF(ISERROR(AVERAGEIF(従業員の給与情報!$B:$B,$A22,従業員の給与情報!$F:$F)),0,AVERAGEIF(従業員の給与情報!$B:$B,$A22,従業員の給与情報!$F:$F)))))</f>
        <v/>
      </c>
    </row>
    <row r="23" spans="1:23" s="10" customFormat="1" ht="19.8">
      <c r="A23" s="252"/>
      <c r="B23" s="249"/>
      <c r="C23" s="250"/>
      <c r="D23" s="251"/>
      <c r="E23" s="252"/>
      <c r="F23" s="257" t="str">
        <f>IF($G$1,"",IF(COUNTIF(A23:E23,"")=5,"",IF(G23,入力リスト!$K$28,IF(OR(A23="",B23="",IF(COUNTIF($C$3,"*不要*"),"",C23=""),D23=""),IF(A23="","従業員番号","")&amp;IF(B23="","「雇用形態」","")&amp;IF(OR(入力シート!$J$18=入力リスト!$H$9,入力シート!$J$22=入力リスト!$H$9),IF(C23="","「入社年月日」",""),"")&amp;IF(D23="","「性別」","")&amp;IF(IF(A23="","従業員番号","")&amp;IF(B23="","「雇用形態」","")&amp;IF(OR(入力シート!$J$18=入力リスト!$H$9,入力シート!$J$22=入力リスト!$H$9),IF(C23="","「入社年月日」",""),"")&amp;IF(D23="","「性別」","")="","",入力リスト!$K$29),IF(J23,入力リスト!$K$30,"")&amp;IF(I23,入力リスト!$K$31,"")&amp;IF(H23,"「雇用形態」","")&amp;IF(K23,"「性別」","")&amp;IF(L23,"「役職」","")&amp;IF(OR(H23,K23,L23),入力リスト!$K$32,"")))))</f>
        <v/>
      </c>
      <c r="G23" s="209" t="b">
        <f>COUNTIF($A$4:A22,$A23)&gt;0</f>
        <v>0</v>
      </c>
      <c r="H23" s="210" t="b">
        <f>IF($H$1,FALSE,COUNTIF(入力シート!$S$37:$V$62,B23)=0)</f>
        <v>0</v>
      </c>
      <c r="I23" s="210" t="b">
        <f t="shared" si="2"/>
        <v>0</v>
      </c>
      <c r="J23" s="210" t="b">
        <f>IF($J$1,FALSE,IF(I23=TRUE,FALSE,IF(I23,FALSE,C23&gt;入力シート!$J$24)))</f>
        <v>0</v>
      </c>
      <c r="K23" s="210" t="b">
        <f>IF($K$1,FALSE,COUNTIF(入力シート!$AW$37:$BB$38,D23)=0)</f>
        <v>0</v>
      </c>
      <c r="L23" s="210" t="b">
        <f>IF($L$1,FALSE,IF($L$3,FALSE,IF(E23="",FALSE,COUNTIF(入力シート!$AH$37:$AK$62,E23)=0)))</f>
        <v>0</v>
      </c>
      <c r="M23" s="211" t="str">
        <f t="shared" si="1"/>
        <v/>
      </c>
      <c r="N23" s="211"/>
      <c r="O23" s="209" t="str">
        <f>IF(B23="","",VLOOKUP('従業員情報(給与以外)'!$B23,入力シート!$S$37:$Z$62,5,0))</f>
        <v/>
      </c>
      <c r="P23" s="156" t="str">
        <f>IF(ISNUMBER(C23)=FALSE,"",IF(C23&gt;入力シート!$J$24,"",_xlfn.DAYS(入力シート!$J$24,'従業員情報(給与以外)'!$C23)/365))</f>
        <v/>
      </c>
      <c r="Q23" s="210" t="str">
        <f>IF(P23="","",VLOOKUP(_xlfn.DAYS(入力シート!$J$24,'従業員情報(給与以外)'!$C23)/365,入力リスト!$K$18:$L$26,2,2))</f>
        <v/>
      </c>
      <c r="R23" s="209" t="str">
        <f>IF(D23="","",VLOOKUP('従業員情報(給与以外)'!$D23,入力シート!$AW$37:$BB$38,4,0))</f>
        <v/>
      </c>
      <c r="S23" s="209" t="str">
        <f>IF(A23="","",IF(E23="","非役職",VLOOKUP('従業員情報(給与以外)'!$E23,入力シート!$AH$37:$AO$62,5,0)))</f>
        <v/>
      </c>
      <c r="T23" s="102" t="str">
        <f>IF(OR(入力シート!$C$5&lt;&gt;入力リスト!$C$3,COUNTIF(入力シート!$J$16:$S$23,入力リスト!$H$9)=0),"",IF($A23="","",IF(ISERROR(AVERAGEIF(従業員の給与情報!$B:$B,$A23,従業員の給与情報!$C:$C)),0,IF(ISERROR(AVERAGEIF(従業員の給与情報!$B:$B,$A23,従業員の給与情報!$C:$C)),0,AVERAGEIF(従業員の給与情報!$B:$B,$A23,従業員の給与情報!$C:$C)))))</f>
        <v/>
      </c>
      <c r="U23" s="102" t="str">
        <f>IF(OR(入力シート!$C$5&lt;&gt;入力リスト!$C$3,COUNTIF(入力シート!$J$16:$S$23,入力リスト!$H$9)=0),"",IF(A23="","",IF(ISERROR(AVERAGEIF(従業員の給与情報!$B:$B,$A23,従業員の給与情報!$D:$D)),0,IF(ISERROR(AVERAGEIF(従業員の給与情報!$B:$B,$A23,従業員の給与情報!$D:$D)),0,AVERAGEIF(従業員の給与情報!$B:$B,$A23,従業員の給与情報!$D:$D)))))</f>
        <v/>
      </c>
      <c r="V23" s="102" t="str">
        <f>IF(OR(入力シート!$C$5&lt;&gt;入力リスト!$C$3,COUNTIF(入力シート!$J$16:$S$23,入力リスト!$H$9)=0),"",IF(A23="","",IF(ISERROR(AVERAGEIF(従業員の給与情報!$B:$B,$A23,従業員の給与情報!$E:$E)),0,IF(ISERROR(AVERAGEIF(従業員の給与情報!$B:$B,$A23,従業員の給与情報!$E:$E)),0,AVERAGEIF(従業員の給与情報!$B:$B,$A23,従業員の給与情報!$E:$E)))))</f>
        <v/>
      </c>
      <c r="W23" s="103" t="str">
        <f>IF(OR(入力シート!$C$5&lt;&gt;入力リスト!$C$3,COUNTIF(入力シート!$J$16:$S$23,入力リスト!$H$9)=0),"",IF(A23="","",IF(ISERROR(AVERAGEIF(従業員の給与情報!$B:$B,$A23,従業員の給与情報!$F:$F)),0,IF(ISERROR(AVERAGEIF(従業員の給与情報!$B:$B,$A23,従業員の給与情報!$F:$F)),0,AVERAGEIF(従業員の給与情報!$B:$B,$A23,従業員の給与情報!$F:$F)))))</f>
        <v/>
      </c>
    </row>
    <row r="24" spans="1:23" s="10" customFormat="1" ht="19.8">
      <c r="A24" s="252"/>
      <c r="B24" s="249"/>
      <c r="C24" s="250"/>
      <c r="D24" s="251"/>
      <c r="E24" s="252"/>
      <c r="F24" s="257" t="str">
        <f>IF($G$1,"",IF(COUNTIF(A24:E24,"")=5,"",IF(G24,入力リスト!$K$28,IF(OR(A24="",B24="",IF(COUNTIF($C$3,"*不要*"),"",C24=""),D24=""),IF(A24="","従業員番号","")&amp;IF(B24="","「雇用形態」","")&amp;IF(OR(入力シート!$J$18=入力リスト!$H$9,入力シート!$J$22=入力リスト!$H$9),IF(C24="","「入社年月日」",""),"")&amp;IF(D24="","「性別」","")&amp;IF(IF(A24="","従業員番号","")&amp;IF(B24="","「雇用形態」","")&amp;IF(OR(入力シート!$J$18=入力リスト!$H$9,入力シート!$J$22=入力リスト!$H$9),IF(C24="","「入社年月日」",""),"")&amp;IF(D24="","「性別」","")="","",入力リスト!$K$29),IF(J24,入力リスト!$K$30,"")&amp;IF(I24,入力リスト!$K$31,"")&amp;IF(H24,"「雇用形態」","")&amp;IF(K24,"「性別」","")&amp;IF(L24,"「役職」","")&amp;IF(OR(H24,K24,L24),入力リスト!$K$32,"")))))</f>
        <v/>
      </c>
      <c r="G24" s="209" t="b">
        <f>COUNTIF($A$4:A23,$A24)&gt;0</f>
        <v>0</v>
      </c>
      <c r="H24" s="210" t="b">
        <f>IF($H$1,FALSE,COUNTIF(入力シート!$S$37:$V$62,B24)=0)</f>
        <v>0</v>
      </c>
      <c r="I24" s="210" t="b">
        <f t="shared" si="2"/>
        <v>0</v>
      </c>
      <c r="J24" s="210" t="b">
        <f>IF($J$1,FALSE,IF(I24=TRUE,FALSE,IF(I24,FALSE,C24&gt;入力シート!$J$24)))</f>
        <v>0</v>
      </c>
      <c r="K24" s="210" t="b">
        <f>IF($K$1,FALSE,COUNTIF(入力シート!$AW$37:$BB$38,D24)=0)</f>
        <v>0</v>
      </c>
      <c r="L24" s="210" t="b">
        <f>IF($L$1,FALSE,IF($L$3,FALSE,IF(E24="",FALSE,COUNTIF(入力シート!$AH$37:$AK$62,E24)=0)))</f>
        <v>0</v>
      </c>
      <c r="M24" s="211" t="str">
        <f t="shared" si="1"/>
        <v/>
      </c>
      <c r="N24" s="211"/>
      <c r="O24" s="209" t="str">
        <f>IF(B24="","",VLOOKUP('従業員情報(給与以外)'!$B24,入力シート!$S$37:$Z$62,5,0))</f>
        <v/>
      </c>
      <c r="P24" s="156" t="str">
        <f>IF(ISNUMBER(C24)=FALSE,"",IF(C24&gt;入力シート!$J$24,"",_xlfn.DAYS(入力シート!$J$24,'従業員情報(給与以外)'!$C24)/365))</f>
        <v/>
      </c>
      <c r="Q24" s="210" t="str">
        <f>IF(P24="","",VLOOKUP(_xlfn.DAYS(入力シート!$J$24,'従業員情報(給与以外)'!$C24)/365,入力リスト!$K$18:$L$26,2,2))</f>
        <v/>
      </c>
      <c r="R24" s="209" t="str">
        <f>IF(D24="","",VLOOKUP('従業員情報(給与以外)'!$D24,入力シート!$AW$37:$BB$38,4,0))</f>
        <v/>
      </c>
      <c r="S24" s="209" t="str">
        <f>IF(A24="","",IF(E24="","非役職",VLOOKUP('従業員情報(給与以外)'!$E24,入力シート!$AH$37:$AO$62,5,0)))</f>
        <v/>
      </c>
      <c r="T24" s="102" t="str">
        <f>IF(OR(入力シート!$C$5&lt;&gt;入力リスト!$C$3,COUNTIF(入力シート!$J$16:$S$23,入力リスト!$H$9)=0),"",IF($A24="","",IF(ISERROR(AVERAGEIF(従業員の給与情報!$B:$B,$A24,従業員の給与情報!$C:$C)),0,IF(ISERROR(AVERAGEIF(従業員の給与情報!$B:$B,$A24,従業員の給与情報!$C:$C)),0,AVERAGEIF(従業員の給与情報!$B:$B,$A24,従業員の給与情報!$C:$C)))))</f>
        <v/>
      </c>
      <c r="U24" s="102" t="str">
        <f>IF(OR(入力シート!$C$5&lt;&gt;入力リスト!$C$3,COUNTIF(入力シート!$J$16:$S$23,入力リスト!$H$9)=0),"",IF(A24="","",IF(ISERROR(AVERAGEIF(従業員の給与情報!$B:$B,$A24,従業員の給与情報!$D:$D)),0,IF(ISERROR(AVERAGEIF(従業員の給与情報!$B:$B,$A24,従業員の給与情報!$D:$D)),0,AVERAGEIF(従業員の給与情報!$B:$B,$A24,従業員の給与情報!$D:$D)))))</f>
        <v/>
      </c>
      <c r="V24" s="102" t="str">
        <f>IF(OR(入力シート!$C$5&lt;&gt;入力リスト!$C$3,COUNTIF(入力シート!$J$16:$S$23,入力リスト!$H$9)=0),"",IF(A24="","",IF(ISERROR(AVERAGEIF(従業員の給与情報!$B:$B,$A24,従業員の給与情報!$E:$E)),0,IF(ISERROR(AVERAGEIF(従業員の給与情報!$B:$B,$A24,従業員の給与情報!$E:$E)),0,AVERAGEIF(従業員の給与情報!$B:$B,$A24,従業員の給与情報!$E:$E)))))</f>
        <v/>
      </c>
      <c r="W24" s="103" t="str">
        <f>IF(OR(入力シート!$C$5&lt;&gt;入力リスト!$C$3,COUNTIF(入力シート!$J$16:$S$23,入力リスト!$H$9)=0),"",IF(A24="","",IF(ISERROR(AVERAGEIF(従業員の給与情報!$B:$B,$A24,従業員の給与情報!$F:$F)),0,IF(ISERROR(AVERAGEIF(従業員の給与情報!$B:$B,$A24,従業員の給与情報!$F:$F)),0,AVERAGEIF(従業員の給与情報!$B:$B,$A24,従業員の給与情報!$F:$F)))))</f>
        <v/>
      </c>
    </row>
    <row r="25" spans="1:23" s="10" customFormat="1" ht="19.8">
      <c r="A25" s="252"/>
      <c r="B25" s="249"/>
      <c r="C25" s="250"/>
      <c r="D25" s="251"/>
      <c r="E25" s="252"/>
      <c r="F25" s="257" t="str">
        <f>IF($G$1,"",IF(COUNTIF(A25:E25,"")=5,"",IF(G25,入力リスト!$K$28,IF(OR(A25="",B25="",IF(COUNTIF($C$3,"*不要*"),"",C25=""),D25=""),IF(A25="","従業員番号","")&amp;IF(B25="","「雇用形態」","")&amp;IF(OR(入力シート!$J$18=入力リスト!$H$9,入力シート!$J$22=入力リスト!$H$9),IF(C25="","「入社年月日」",""),"")&amp;IF(D25="","「性別」","")&amp;IF(IF(A25="","従業員番号","")&amp;IF(B25="","「雇用形態」","")&amp;IF(OR(入力シート!$J$18=入力リスト!$H$9,入力シート!$J$22=入力リスト!$H$9),IF(C25="","「入社年月日」",""),"")&amp;IF(D25="","「性別」","")="","",入力リスト!$K$29),IF(J25,入力リスト!$K$30,"")&amp;IF(I25,入力リスト!$K$31,"")&amp;IF(H25,"「雇用形態」","")&amp;IF(K25,"「性別」","")&amp;IF(L25,"「役職」","")&amp;IF(OR(H25,K25,L25),入力リスト!$K$32,"")))))</f>
        <v/>
      </c>
      <c r="G25" s="209" t="b">
        <f>COUNTIF($A$4:A24,$A25)&gt;0</f>
        <v>0</v>
      </c>
      <c r="H25" s="210" t="b">
        <f>IF($H$1,FALSE,COUNTIF(入力シート!$S$37:$V$62,B25)=0)</f>
        <v>0</v>
      </c>
      <c r="I25" s="210" t="b">
        <f t="shared" si="2"/>
        <v>0</v>
      </c>
      <c r="J25" s="210" t="b">
        <f>IF($J$1,FALSE,IF(I25=TRUE,FALSE,IF(I25,FALSE,C25&gt;入力シート!$J$24)))</f>
        <v>0</v>
      </c>
      <c r="K25" s="210" t="b">
        <f>IF($K$1,FALSE,COUNTIF(入力シート!$AW$37:$BB$38,D25)=0)</f>
        <v>0</v>
      </c>
      <c r="L25" s="210" t="b">
        <f>IF($L$1,FALSE,IF($L$3,FALSE,IF(E25="",FALSE,COUNTIF(入力シート!$AH$37:$AK$62,E25)=0)))</f>
        <v>0</v>
      </c>
      <c r="M25" s="211" t="str">
        <f t="shared" si="1"/>
        <v/>
      </c>
      <c r="N25" s="211"/>
      <c r="O25" s="209" t="str">
        <f>IF(B25="","",VLOOKUP('従業員情報(給与以外)'!$B25,入力シート!$S$37:$Z$62,5,0))</f>
        <v/>
      </c>
      <c r="P25" s="156" t="str">
        <f>IF(ISNUMBER(C25)=FALSE,"",IF(C25&gt;入力シート!$J$24,"",_xlfn.DAYS(入力シート!$J$24,'従業員情報(給与以外)'!$C25)/365))</f>
        <v/>
      </c>
      <c r="Q25" s="210" t="str">
        <f>IF(P25="","",VLOOKUP(_xlfn.DAYS(入力シート!$J$24,'従業員情報(給与以外)'!$C25)/365,入力リスト!$K$18:$L$26,2,2))</f>
        <v/>
      </c>
      <c r="R25" s="209" t="str">
        <f>IF(D25="","",VLOOKUP('従業員情報(給与以外)'!$D25,入力シート!$AW$37:$BB$38,4,0))</f>
        <v/>
      </c>
      <c r="S25" s="209" t="str">
        <f>IF(A25="","",IF(E25="","非役職",VLOOKUP('従業員情報(給与以外)'!$E25,入力シート!$AH$37:$AO$62,5,0)))</f>
        <v/>
      </c>
      <c r="T25" s="102" t="str">
        <f>IF(OR(入力シート!$C$5&lt;&gt;入力リスト!$C$3,COUNTIF(入力シート!$J$16:$S$23,入力リスト!$H$9)=0),"",IF($A25="","",IF(ISERROR(AVERAGEIF(従業員の給与情報!$B:$B,$A25,従業員の給与情報!$C:$C)),0,IF(ISERROR(AVERAGEIF(従業員の給与情報!$B:$B,$A25,従業員の給与情報!$C:$C)),0,AVERAGEIF(従業員の給与情報!$B:$B,$A25,従業員の給与情報!$C:$C)))))</f>
        <v/>
      </c>
      <c r="U25" s="102" t="str">
        <f>IF(OR(入力シート!$C$5&lt;&gt;入力リスト!$C$3,COUNTIF(入力シート!$J$16:$S$23,入力リスト!$H$9)=0),"",IF(A25="","",IF(ISERROR(AVERAGEIF(従業員の給与情報!$B:$B,$A25,従業員の給与情報!$D:$D)),0,IF(ISERROR(AVERAGEIF(従業員の給与情報!$B:$B,$A25,従業員の給与情報!$D:$D)),0,AVERAGEIF(従業員の給与情報!$B:$B,$A25,従業員の給与情報!$D:$D)))))</f>
        <v/>
      </c>
      <c r="V25" s="102" t="str">
        <f>IF(OR(入力シート!$C$5&lt;&gt;入力リスト!$C$3,COUNTIF(入力シート!$J$16:$S$23,入力リスト!$H$9)=0),"",IF(A25="","",IF(ISERROR(AVERAGEIF(従業員の給与情報!$B:$B,$A25,従業員の給与情報!$E:$E)),0,IF(ISERROR(AVERAGEIF(従業員の給与情報!$B:$B,$A25,従業員の給与情報!$E:$E)),0,AVERAGEIF(従業員の給与情報!$B:$B,$A25,従業員の給与情報!$E:$E)))))</f>
        <v/>
      </c>
      <c r="W25" s="103" t="str">
        <f>IF(OR(入力シート!$C$5&lt;&gt;入力リスト!$C$3,COUNTIF(入力シート!$J$16:$S$23,入力リスト!$H$9)=0),"",IF(A25="","",IF(ISERROR(AVERAGEIF(従業員の給与情報!$B:$B,$A25,従業員の給与情報!$F:$F)),0,IF(ISERROR(AVERAGEIF(従業員の給与情報!$B:$B,$A25,従業員の給与情報!$F:$F)),0,AVERAGEIF(従業員の給与情報!$B:$B,$A25,従業員の給与情報!$F:$F)))))</f>
        <v/>
      </c>
    </row>
    <row r="26" spans="1:23" s="10" customFormat="1" ht="19.8">
      <c r="A26" s="252"/>
      <c r="B26" s="249"/>
      <c r="C26" s="250"/>
      <c r="D26" s="251"/>
      <c r="E26" s="252"/>
      <c r="F26" s="257" t="str">
        <f>IF($G$1,"",IF(COUNTIF(A26:E26,"")=5,"",IF(G26,入力リスト!$K$28,IF(OR(A26="",B26="",IF(COUNTIF($C$3,"*不要*"),"",C26=""),D26=""),IF(A26="","従業員番号","")&amp;IF(B26="","「雇用形態」","")&amp;IF(OR(入力シート!$J$18=入力リスト!$H$9,入力シート!$J$22=入力リスト!$H$9),IF(C26="","「入社年月日」",""),"")&amp;IF(D26="","「性別」","")&amp;IF(IF(A26="","従業員番号","")&amp;IF(B26="","「雇用形態」","")&amp;IF(OR(入力シート!$J$18=入力リスト!$H$9,入力シート!$J$22=入力リスト!$H$9),IF(C26="","「入社年月日」",""),"")&amp;IF(D26="","「性別」","")="","",入力リスト!$K$29),IF(J26,入力リスト!$K$30,"")&amp;IF(I26,入力リスト!$K$31,"")&amp;IF(H26,"「雇用形態」","")&amp;IF(K26,"「性別」","")&amp;IF(L26,"「役職」","")&amp;IF(OR(H26,K26,L26),入力リスト!$K$32,"")))))</f>
        <v/>
      </c>
      <c r="G26" s="209" t="b">
        <f>COUNTIF($A$4:A25,$A26)&gt;0</f>
        <v>0</v>
      </c>
      <c r="H26" s="210" t="b">
        <f>IF($H$1,FALSE,COUNTIF(入力シート!$S$37:$V$62,B26)=0)</f>
        <v>0</v>
      </c>
      <c r="I26" s="210" t="b">
        <f t="shared" si="2"/>
        <v>0</v>
      </c>
      <c r="J26" s="210" t="b">
        <f>IF($J$1,FALSE,IF(I26=TRUE,FALSE,IF(I26,FALSE,C26&gt;入力シート!$J$24)))</f>
        <v>0</v>
      </c>
      <c r="K26" s="210" t="b">
        <f>IF($K$1,FALSE,COUNTIF(入力シート!$AW$37:$BB$38,D26)=0)</f>
        <v>0</v>
      </c>
      <c r="L26" s="210" t="b">
        <f>IF($L$1,FALSE,IF($L$3,FALSE,IF(E26="",FALSE,COUNTIF(入力シート!$AH$37:$AK$62,E26)=0)))</f>
        <v>0</v>
      </c>
      <c r="M26" s="211" t="str">
        <f t="shared" si="1"/>
        <v/>
      </c>
      <c r="N26" s="211"/>
      <c r="O26" s="209" t="str">
        <f>IF(B26="","",VLOOKUP('従業員情報(給与以外)'!$B26,入力シート!$S$37:$Z$62,5,0))</f>
        <v/>
      </c>
      <c r="P26" s="156" t="str">
        <f>IF(ISNUMBER(C26)=FALSE,"",IF(C26&gt;入力シート!$J$24,"",_xlfn.DAYS(入力シート!$J$24,'従業員情報(給与以外)'!$C26)/365))</f>
        <v/>
      </c>
      <c r="Q26" s="210" t="str">
        <f>IF(P26="","",VLOOKUP(_xlfn.DAYS(入力シート!$J$24,'従業員情報(給与以外)'!$C26)/365,入力リスト!$K$18:$L$26,2,2))</f>
        <v/>
      </c>
      <c r="R26" s="209" t="str">
        <f>IF(D26="","",VLOOKUP('従業員情報(給与以外)'!$D26,入力シート!$AW$37:$BB$38,4,0))</f>
        <v/>
      </c>
      <c r="S26" s="209" t="str">
        <f>IF(A26="","",IF(E26="","非役職",VLOOKUP('従業員情報(給与以外)'!$E26,入力シート!$AH$37:$AO$62,5,0)))</f>
        <v/>
      </c>
      <c r="T26" s="102" t="str">
        <f>IF(OR(入力シート!$C$5&lt;&gt;入力リスト!$C$3,COUNTIF(入力シート!$J$16:$S$23,入力リスト!$H$9)=0),"",IF($A26="","",IF(ISERROR(AVERAGEIF(従業員の給与情報!$B:$B,$A26,従業員の給与情報!$C:$C)),0,IF(ISERROR(AVERAGEIF(従業員の給与情報!$B:$B,$A26,従業員の給与情報!$C:$C)),0,AVERAGEIF(従業員の給与情報!$B:$B,$A26,従業員の給与情報!$C:$C)))))</f>
        <v/>
      </c>
      <c r="U26" s="102" t="str">
        <f>IF(OR(入力シート!$C$5&lt;&gt;入力リスト!$C$3,COUNTIF(入力シート!$J$16:$S$23,入力リスト!$H$9)=0),"",IF(A26="","",IF(ISERROR(AVERAGEIF(従業員の給与情報!$B:$B,$A26,従業員の給与情報!$D:$D)),0,IF(ISERROR(AVERAGEIF(従業員の給与情報!$B:$B,$A26,従業員の給与情報!$D:$D)),0,AVERAGEIF(従業員の給与情報!$B:$B,$A26,従業員の給与情報!$D:$D)))))</f>
        <v/>
      </c>
      <c r="V26" s="102" t="str">
        <f>IF(OR(入力シート!$C$5&lt;&gt;入力リスト!$C$3,COUNTIF(入力シート!$J$16:$S$23,入力リスト!$H$9)=0),"",IF(A26="","",IF(ISERROR(AVERAGEIF(従業員の給与情報!$B:$B,$A26,従業員の給与情報!$E:$E)),0,IF(ISERROR(AVERAGEIF(従業員の給与情報!$B:$B,$A26,従業員の給与情報!$E:$E)),0,AVERAGEIF(従業員の給与情報!$B:$B,$A26,従業員の給与情報!$E:$E)))))</f>
        <v/>
      </c>
      <c r="W26" s="103" t="str">
        <f>IF(OR(入力シート!$C$5&lt;&gt;入力リスト!$C$3,COUNTIF(入力シート!$J$16:$S$23,入力リスト!$H$9)=0),"",IF(A26="","",IF(ISERROR(AVERAGEIF(従業員の給与情報!$B:$B,$A26,従業員の給与情報!$F:$F)),0,IF(ISERROR(AVERAGEIF(従業員の給与情報!$B:$B,$A26,従業員の給与情報!$F:$F)),0,AVERAGEIF(従業員の給与情報!$B:$B,$A26,従業員の給与情報!$F:$F)))))</f>
        <v/>
      </c>
    </row>
    <row r="27" spans="1:23" s="10" customFormat="1" ht="19.8">
      <c r="A27" s="252"/>
      <c r="B27" s="249"/>
      <c r="C27" s="250"/>
      <c r="D27" s="251"/>
      <c r="E27" s="252"/>
      <c r="F27" s="257" t="str">
        <f>IF($G$1,"",IF(COUNTIF(A27:E27,"")=5,"",IF(G27,入力リスト!$K$28,IF(OR(A27="",B27="",IF(COUNTIF($C$3,"*不要*"),"",C27=""),D27=""),IF(A27="","従業員番号","")&amp;IF(B27="","「雇用形態」","")&amp;IF(OR(入力シート!$J$18=入力リスト!$H$9,入力シート!$J$22=入力リスト!$H$9),IF(C27="","「入社年月日」",""),"")&amp;IF(D27="","「性別」","")&amp;IF(IF(A27="","従業員番号","")&amp;IF(B27="","「雇用形態」","")&amp;IF(OR(入力シート!$J$18=入力リスト!$H$9,入力シート!$J$22=入力リスト!$H$9),IF(C27="","「入社年月日」",""),"")&amp;IF(D27="","「性別」","")="","",入力リスト!$K$29),IF(J27,入力リスト!$K$30,"")&amp;IF(I27,入力リスト!$K$31,"")&amp;IF(H27,"「雇用形態」","")&amp;IF(K27,"「性別」","")&amp;IF(L27,"「役職」","")&amp;IF(OR(H27,K27,L27),入力リスト!$K$32,"")))))</f>
        <v/>
      </c>
      <c r="G27" s="209" t="b">
        <f>COUNTIF($A$4:A26,$A27)&gt;0</f>
        <v>0</v>
      </c>
      <c r="H27" s="210" t="b">
        <f>IF($H$1,FALSE,COUNTIF(入力シート!$S$37:$V$62,B27)=0)</f>
        <v>0</v>
      </c>
      <c r="I27" s="210" t="b">
        <f t="shared" si="2"/>
        <v>0</v>
      </c>
      <c r="J27" s="210" t="b">
        <f>IF($J$1,FALSE,IF(I27=TRUE,FALSE,IF(I27,FALSE,C27&gt;入力シート!$J$24)))</f>
        <v>0</v>
      </c>
      <c r="K27" s="210" t="b">
        <f>IF($K$1,FALSE,COUNTIF(入力シート!$AW$37:$BB$38,D27)=0)</f>
        <v>0</v>
      </c>
      <c r="L27" s="210" t="b">
        <f>IF($L$1,FALSE,IF($L$3,FALSE,IF(E27="",FALSE,COUNTIF(入力シート!$AH$37:$AK$62,E27)=0)))</f>
        <v>0</v>
      </c>
      <c r="M27" s="211" t="str">
        <f t="shared" si="1"/>
        <v/>
      </c>
      <c r="N27" s="211"/>
      <c r="O27" s="209" t="str">
        <f>IF(B27="","",VLOOKUP('従業員情報(給与以外)'!$B27,入力シート!$S$37:$Z$62,5,0))</f>
        <v/>
      </c>
      <c r="P27" s="156" t="str">
        <f>IF(ISNUMBER(C27)=FALSE,"",IF(C27&gt;入力シート!$J$24,"",_xlfn.DAYS(入力シート!$J$24,'従業員情報(給与以外)'!$C27)/365))</f>
        <v/>
      </c>
      <c r="Q27" s="210" t="str">
        <f>IF(P27="","",VLOOKUP(_xlfn.DAYS(入力シート!$J$24,'従業員情報(給与以外)'!$C27)/365,入力リスト!$K$18:$L$26,2,2))</f>
        <v/>
      </c>
      <c r="R27" s="209" t="str">
        <f>IF(D27="","",VLOOKUP('従業員情報(給与以外)'!$D27,入力シート!$AW$37:$BB$38,4,0))</f>
        <v/>
      </c>
      <c r="S27" s="209" t="str">
        <f>IF(A27="","",IF(E27="","非役職",VLOOKUP('従業員情報(給与以外)'!$E27,入力シート!$AH$37:$AO$62,5,0)))</f>
        <v/>
      </c>
      <c r="T27" s="102" t="str">
        <f>IF(OR(入力シート!$C$5&lt;&gt;入力リスト!$C$3,COUNTIF(入力シート!$J$16:$S$23,入力リスト!$H$9)=0),"",IF($A27="","",IF(ISERROR(AVERAGEIF(従業員の給与情報!$B:$B,$A27,従業員の給与情報!$C:$C)),0,IF(ISERROR(AVERAGEIF(従業員の給与情報!$B:$B,$A27,従業員の給与情報!$C:$C)),0,AVERAGEIF(従業員の給与情報!$B:$B,$A27,従業員の給与情報!$C:$C)))))</f>
        <v/>
      </c>
      <c r="U27" s="102" t="str">
        <f>IF(OR(入力シート!$C$5&lt;&gt;入力リスト!$C$3,COUNTIF(入力シート!$J$16:$S$23,入力リスト!$H$9)=0),"",IF(A27="","",IF(ISERROR(AVERAGEIF(従業員の給与情報!$B:$B,$A27,従業員の給与情報!$D:$D)),0,IF(ISERROR(AVERAGEIF(従業員の給与情報!$B:$B,$A27,従業員の給与情報!$D:$D)),0,AVERAGEIF(従業員の給与情報!$B:$B,$A27,従業員の給与情報!$D:$D)))))</f>
        <v/>
      </c>
      <c r="V27" s="102" t="str">
        <f>IF(OR(入力シート!$C$5&lt;&gt;入力リスト!$C$3,COUNTIF(入力シート!$J$16:$S$23,入力リスト!$H$9)=0),"",IF(A27="","",IF(ISERROR(AVERAGEIF(従業員の給与情報!$B:$B,$A27,従業員の給与情報!$E:$E)),0,IF(ISERROR(AVERAGEIF(従業員の給与情報!$B:$B,$A27,従業員の給与情報!$E:$E)),0,AVERAGEIF(従業員の給与情報!$B:$B,$A27,従業員の給与情報!$E:$E)))))</f>
        <v/>
      </c>
      <c r="W27" s="103" t="str">
        <f>IF(OR(入力シート!$C$5&lt;&gt;入力リスト!$C$3,COUNTIF(入力シート!$J$16:$S$23,入力リスト!$H$9)=0),"",IF(A27="","",IF(ISERROR(AVERAGEIF(従業員の給与情報!$B:$B,$A27,従業員の給与情報!$F:$F)),0,IF(ISERROR(AVERAGEIF(従業員の給与情報!$B:$B,$A27,従業員の給与情報!$F:$F)),0,AVERAGEIF(従業員の給与情報!$B:$B,$A27,従業員の給与情報!$F:$F)))))</f>
        <v/>
      </c>
    </row>
    <row r="28" spans="1:23" s="10" customFormat="1" ht="19.8">
      <c r="A28" s="252"/>
      <c r="B28" s="249"/>
      <c r="C28" s="250"/>
      <c r="D28" s="251"/>
      <c r="E28" s="252"/>
      <c r="F28" s="257" t="str">
        <f>IF($G$1,"",IF(COUNTIF(A28:E28,"")=5,"",IF(G28,入力リスト!$K$28,IF(OR(A28="",B28="",IF(COUNTIF($C$3,"*不要*"),"",C28=""),D28=""),IF(A28="","従業員番号","")&amp;IF(B28="","「雇用形態」","")&amp;IF(OR(入力シート!$J$18=入力リスト!$H$9,入力シート!$J$22=入力リスト!$H$9),IF(C28="","「入社年月日」",""),"")&amp;IF(D28="","「性別」","")&amp;IF(IF(A28="","従業員番号","")&amp;IF(B28="","「雇用形態」","")&amp;IF(OR(入力シート!$J$18=入力リスト!$H$9,入力シート!$J$22=入力リスト!$H$9),IF(C28="","「入社年月日」",""),"")&amp;IF(D28="","「性別」","")="","",入力リスト!$K$29),IF(J28,入力リスト!$K$30,"")&amp;IF(I28,入力リスト!$K$31,"")&amp;IF(H28,"「雇用形態」","")&amp;IF(K28,"「性別」","")&amp;IF(L28,"「役職」","")&amp;IF(OR(H28,K28,L28),入力リスト!$K$32,"")))))</f>
        <v/>
      </c>
      <c r="G28" s="209" t="b">
        <f>COUNTIF($A$4:A27,$A28)&gt;0</f>
        <v>0</v>
      </c>
      <c r="H28" s="210" t="b">
        <f>IF($H$1,FALSE,COUNTIF(入力シート!$S$37:$V$62,B28)=0)</f>
        <v>0</v>
      </c>
      <c r="I28" s="210" t="b">
        <f t="shared" si="2"/>
        <v>0</v>
      </c>
      <c r="J28" s="210" t="b">
        <f>IF($J$1,FALSE,IF(I28=TRUE,FALSE,IF(I28,FALSE,C28&gt;入力シート!$J$24)))</f>
        <v>0</v>
      </c>
      <c r="K28" s="210" t="b">
        <f>IF($K$1,FALSE,COUNTIF(入力シート!$AW$37:$BB$38,D28)=0)</f>
        <v>0</v>
      </c>
      <c r="L28" s="210" t="b">
        <f>IF($L$1,FALSE,IF($L$3,FALSE,IF(E28="",FALSE,COUNTIF(入力シート!$AH$37:$AK$62,E28)=0)))</f>
        <v>0</v>
      </c>
      <c r="M28" s="211" t="str">
        <f t="shared" si="1"/>
        <v/>
      </c>
      <c r="N28" s="211"/>
      <c r="O28" s="209" t="str">
        <f>IF(B28="","",VLOOKUP('従業員情報(給与以外)'!$B28,入力シート!$S$37:$Z$62,5,0))</f>
        <v/>
      </c>
      <c r="P28" s="156" t="str">
        <f>IF(ISNUMBER(C28)=FALSE,"",IF(C28&gt;入力シート!$J$24,"",_xlfn.DAYS(入力シート!$J$24,'従業員情報(給与以外)'!$C28)/365))</f>
        <v/>
      </c>
      <c r="Q28" s="210" t="str">
        <f>IF(P28="","",VLOOKUP(_xlfn.DAYS(入力シート!$J$24,'従業員情報(給与以外)'!$C28)/365,入力リスト!$K$18:$L$26,2,2))</f>
        <v/>
      </c>
      <c r="R28" s="209" t="str">
        <f>IF(D28="","",VLOOKUP('従業員情報(給与以外)'!$D28,入力シート!$AW$37:$BB$38,4,0))</f>
        <v/>
      </c>
      <c r="S28" s="209" t="str">
        <f>IF(A28="","",IF(E28="","非役職",VLOOKUP('従業員情報(給与以外)'!$E28,入力シート!$AH$37:$AO$62,5,0)))</f>
        <v/>
      </c>
      <c r="T28" s="102" t="str">
        <f>IF(OR(入力シート!$C$5&lt;&gt;入力リスト!$C$3,COUNTIF(入力シート!$J$16:$S$23,入力リスト!$H$9)=0),"",IF($A28="","",IF(ISERROR(AVERAGEIF(従業員の給与情報!$B:$B,$A28,従業員の給与情報!$C:$C)),0,IF(ISERROR(AVERAGEIF(従業員の給与情報!$B:$B,$A28,従業員の給与情報!$C:$C)),0,AVERAGEIF(従業員の給与情報!$B:$B,$A28,従業員の給与情報!$C:$C)))))</f>
        <v/>
      </c>
      <c r="U28" s="102" t="str">
        <f>IF(OR(入力シート!$C$5&lt;&gt;入力リスト!$C$3,COUNTIF(入力シート!$J$16:$S$23,入力リスト!$H$9)=0),"",IF(A28="","",IF(ISERROR(AVERAGEIF(従業員の給与情報!$B:$B,$A28,従業員の給与情報!$D:$D)),0,IF(ISERROR(AVERAGEIF(従業員の給与情報!$B:$B,$A28,従業員の給与情報!$D:$D)),0,AVERAGEIF(従業員の給与情報!$B:$B,$A28,従業員の給与情報!$D:$D)))))</f>
        <v/>
      </c>
      <c r="V28" s="102" t="str">
        <f>IF(OR(入力シート!$C$5&lt;&gt;入力リスト!$C$3,COUNTIF(入力シート!$J$16:$S$23,入力リスト!$H$9)=0),"",IF(A28="","",IF(ISERROR(AVERAGEIF(従業員の給与情報!$B:$B,$A28,従業員の給与情報!$E:$E)),0,IF(ISERROR(AVERAGEIF(従業員の給与情報!$B:$B,$A28,従業員の給与情報!$E:$E)),0,AVERAGEIF(従業員の給与情報!$B:$B,$A28,従業員の給与情報!$E:$E)))))</f>
        <v/>
      </c>
      <c r="W28" s="103" t="str">
        <f>IF(OR(入力シート!$C$5&lt;&gt;入力リスト!$C$3,COUNTIF(入力シート!$J$16:$S$23,入力リスト!$H$9)=0),"",IF(A28="","",IF(ISERROR(AVERAGEIF(従業員の給与情報!$B:$B,$A28,従業員の給与情報!$F:$F)),0,IF(ISERROR(AVERAGEIF(従業員の給与情報!$B:$B,$A28,従業員の給与情報!$F:$F)),0,AVERAGEIF(従業員の給与情報!$B:$B,$A28,従業員の給与情報!$F:$F)))))</f>
        <v/>
      </c>
    </row>
    <row r="29" spans="1:23" s="10" customFormat="1" ht="19.8">
      <c r="A29" s="252"/>
      <c r="B29" s="249"/>
      <c r="C29" s="250"/>
      <c r="D29" s="251"/>
      <c r="E29" s="252"/>
      <c r="F29" s="257" t="str">
        <f>IF($G$1,"",IF(COUNTIF(A29:E29,"")=5,"",IF(G29,入力リスト!$K$28,IF(OR(A29="",B29="",IF(COUNTIF($C$3,"*不要*"),"",C29=""),D29=""),IF(A29="","従業員番号","")&amp;IF(B29="","「雇用形態」","")&amp;IF(OR(入力シート!$J$18=入力リスト!$H$9,入力シート!$J$22=入力リスト!$H$9),IF(C29="","「入社年月日」",""),"")&amp;IF(D29="","「性別」","")&amp;IF(IF(A29="","従業員番号","")&amp;IF(B29="","「雇用形態」","")&amp;IF(OR(入力シート!$J$18=入力リスト!$H$9,入力シート!$J$22=入力リスト!$H$9),IF(C29="","「入社年月日」",""),"")&amp;IF(D29="","「性別」","")="","",入力リスト!$K$29),IF(J29,入力リスト!$K$30,"")&amp;IF(I29,入力リスト!$K$31,"")&amp;IF(H29,"「雇用形態」","")&amp;IF(K29,"「性別」","")&amp;IF(L29,"「役職」","")&amp;IF(OR(H29,K29,L29),入力リスト!$K$32,"")))))</f>
        <v/>
      </c>
      <c r="G29" s="209" t="b">
        <f>COUNTIF($A$4:A28,$A29)&gt;0</f>
        <v>0</v>
      </c>
      <c r="H29" s="210" t="b">
        <f>IF($H$1,FALSE,COUNTIF(入力シート!$S$37:$V$62,B29)=0)</f>
        <v>0</v>
      </c>
      <c r="I29" s="210" t="b">
        <f t="shared" si="2"/>
        <v>0</v>
      </c>
      <c r="J29" s="210" t="b">
        <f>IF($J$1,FALSE,IF(I29=TRUE,FALSE,IF(I29,FALSE,C29&gt;入力シート!$J$24)))</f>
        <v>0</v>
      </c>
      <c r="K29" s="210" t="b">
        <f>IF($K$1,FALSE,COUNTIF(入力シート!$AW$37:$BB$38,D29)=0)</f>
        <v>0</v>
      </c>
      <c r="L29" s="210" t="b">
        <f>IF($L$1,FALSE,IF($L$3,FALSE,IF(E29="",FALSE,COUNTIF(入力シート!$AH$37:$AK$62,E29)=0)))</f>
        <v>0</v>
      </c>
      <c r="M29" s="211" t="str">
        <f t="shared" si="1"/>
        <v/>
      </c>
      <c r="N29" s="211"/>
      <c r="O29" s="209" t="str">
        <f>IF(B29="","",VLOOKUP('従業員情報(給与以外)'!$B29,入力シート!$S$37:$Z$62,5,0))</f>
        <v/>
      </c>
      <c r="P29" s="156" t="str">
        <f>IF(ISNUMBER(C29)=FALSE,"",IF(C29&gt;入力シート!$J$24,"",_xlfn.DAYS(入力シート!$J$24,'従業員情報(給与以外)'!$C29)/365))</f>
        <v/>
      </c>
      <c r="Q29" s="210" t="str">
        <f>IF(P29="","",VLOOKUP(_xlfn.DAYS(入力シート!$J$24,'従業員情報(給与以外)'!$C29)/365,入力リスト!$K$18:$L$26,2,2))</f>
        <v/>
      </c>
      <c r="R29" s="209" t="str">
        <f>IF(D29="","",VLOOKUP('従業員情報(給与以外)'!$D29,入力シート!$AW$37:$BB$38,4,0))</f>
        <v/>
      </c>
      <c r="S29" s="209" t="str">
        <f>IF(A29="","",IF(E29="","非役職",VLOOKUP('従業員情報(給与以外)'!$E29,入力シート!$AH$37:$AO$62,5,0)))</f>
        <v/>
      </c>
      <c r="T29" s="102" t="str">
        <f>IF(OR(入力シート!$C$5&lt;&gt;入力リスト!$C$3,COUNTIF(入力シート!$J$16:$S$23,入力リスト!$H$9)=0),"",IF($A29="","",IF(ISERROR(AVERAGEIF(従業員の給与情報!$B:$B,$A29,従業員の給与情報!$C:$C)),0,IF(ISERROR(AVERAGEIF(従業員の給与情報!$B:$B,$A29,従業員の給与情報!$C:$C)),0,AVERAGEIF(従業員の給与情報!$B:$B,$A29,従業員の給与情報!$C:$C)))))</f>
        <v/>
      </c>
      <c r="U29" s="102" t="str">
        <f>IF(OR(入力シート!$C$5&lt;&gt;入力リスト!$C$3,COUNTIF(入力シート!$J$16:$S$23,入力リスト!$H$9)=0),"",IF(A29="","",IF(ISERROR(AVERAGEIF(従業員の給与情報!$B:$B,$A29,従業員の給与情報!$D:$D)),0,IF(ISERROR(AVERAGEIF(従業員の給与情報!$B:$B,$A29,従業員の給与情報!$D:$D)),0,AVERAGEIF(従業員の給与情報!$B:$B,$A29,従業員の給与情報!$D:$D)))))</f>
        <v/>
      </c>
      <c r="V29" s="102" t="str">
        <f>IF(OR(入力シート!$C$5&lt;&gt;入力リスト!$C$3,COUNTIF(入力シート!$J$16:$S$23,入力リスト!$H$9)=0),"",IF(A29="","",IF(ISERROR(AVERAGEIF(従業員の給与情報!$B:$B,$A29,従業員の給与情報!$E:$E)),0,IF(ISERROR(AVERAGEIF(従業員の給与情報!$B:$B,$A29,従業員の給与情報!$E:$E)),0,AVERAGEIF(従業員の給与情報!$B:$B,$A29,従業員の給与情報!$E:$E)))))</f>
        <v/>
      </c>
      <c r="W29" s="103" t="str">
        <f>IF(OR(入力シート!$C$5&lt;&gt;入力リスト!$C$3,COUNTIF(入力シート!$J$16:$S$23,入力リスト!$H$9)=0),"",IF(A29="","",IF(ISERROR(AVERAGEIF(従業員の給与情報!$B:$B,$A29,従業員の給与情報!$F:$F)),0,IF(ISERROR(AVERAGEIF(従業員の給与情報!$B:$B,$A29,従業員の給与情報!$F:$F)),0,AVERAGEIF(従業員の給与情報!$B:$B,$A29,従業員の給与情報!$F:$F)))))</f>
        <v/>
      </c>
    </row>
    <row r="30" spans="1:23" s="10" customFormat="1" ht="19.8">
      <c r="A30" s="252"/>
      <c r="B30" s="249"/>
      <c r="C30" s="250"/>
      <c r="D30" s="251"/>
      <c r="E30" s="252"/>
      <c r="F30" s="257" t="str">
        <f>IF($G$1,"",IF(COUNTIF(A30:E30,"")=5,"",IF(G30,入力リスト!$K$28,IF(OR(A30="",B30="",IF(COUNTIF($C$3,"*不要*"),"",C30=""),D30=""),IF(A30="","従業員番号","")&amp;IF(B30="","「雇用形態」","")&amp;IF(OR(入力シート!$J$18=入力リスト!$H$9,入力シート!$J$22=入力リスト!$H$9),IF(C30="","「入社年月日」",""),"")&amp;IF(D30="","「性別」","")&amp;IF(IF(A30="","従業員番号","")&amp;IF(B30="","「雇用形態」","")&amp;IF(OR(入力シート!$J$18=入力リスト!$H$9,入力シート!$J$22=入力リスト!$H$9),IF(C30="","「入社年月日」",""),"")&amp;IF(D30="","「性別」","")="","",入力リスト!$K$29),IF(J30,入力リスト!$K$30,"")&amp;IF(I30,入力リスト!$K$31,"")&amp;IF(H30,"「雇用形態」","")&amp;IF(K30,"「性別」","")&amp;IF(L30,"「役職」","")&amp;IF(OR(H30,K30,L30),入力リスト!$K$32,"")))))</f>
        <v/>
      </c>
      <c r="G30" s="209" t="b">
        <f>COUNTIF($A$4:A29,$A30)&gt;0</f>
        <v>0</v>
      </c>
      <c r="H30" s="210" t="b">
        <f>IF($H$1,FALSE,COUNTIF(入力シート!$S$37:$V$62,B30)=0)</f>
        <v>0</v>
      </c>
      <c r="I30" s="210" t="b">
        <f t="shared" si="2"/>
        <v>0</v>
      </c>
      <c r="J30" s="210" t="b">
        <f>IF($J$1,FALSE,IF(I30=TRUE,FALSE,IF(I30,FALSE,C30&gt;入力シート!$J$24)))</f>
        <v>0</v>
      </c>
      <c r="K30" s="210" t="b">
        <f>IF($K$1,FALSE,COUNTIF(入力シート!$AW$37:$BB$38,D30)=0)</f>
        <v>0</v>
      </c>
      <c r="L30" s="210" t="b">
        <f>IF($L$1,FALSE,IF($L$3,FALSE,IF(E30="",FALSE,COUNTIF(入力シート!$AH$37:$AK$62,E30)=0)))</f>
        <v>0</v>
      </c>
      <c r="M30" s="211" t="str">
        <f t="shared" si="1"/>
        <v/>
      </c>
      <c r="N30" s="211"/>
      <c r="O30" s="209" t="str">
        <f>IF(B30="","",VLOOKUP('従業員情報(給与以外)'!$B30,入力シート!$S$37:$Z$62,5,0))</f>
        <v/>
      </c>
      <c r="P30" s="156" t="str">
        <f>IF(ISNUMBER(C30)=FALSE,"",IF(C30&gt;入力シート!$J$24,"",_xlfn.DAYS(入力シート!$J$24,'従業員情報(給与以外)'!$C30)/365))</f>
        <v/>
      </c>
      <c r="Q30" s="210" t="str">
        <f>IF(P30="","",VLOOKUP(_xlfn.DAYS(入力シート!$J$24,'従業員情報(給与以外)'!$C30)/365,入力リスト!$K$18:$L$26,2,2))</f>
        <v/>
      </c>
      <c r="R30" s="209" t="str">
        <f>IF(D30="","",VLOOKUP('従業員情報(給与以外)'!$D30,入力シート!$AW$37:$BB$38,4,0))</f>
        <v/>
      </c>
      <c r="S30" s="209" t="str">
        <f>IF(A30="","",IF(E30="","非役職",VLOOKUP('従業員情報(給与以外)'!$E30,入力シート!$AH$37:$AO$62,5,0)))</f>
        <v/>
      </c>
      <c r="T30" s="102" t="str">
        <f>IF(OR(入力シート!$C$5&lt;&gt;入力リスト!$C$3,COUNTIF(入力シート!$J$16:$S$23,入力リスト!$H$9)=0),"",IF($A30="","",IF(ISERROR(AVERAGEIF(従業員の給与情報!$B:$B,$A30,従業員の給与情報!$C:$C)),0,IF(ISERROR(AVERAGEIF(従業員の給与情報!$B:$B,$A30,従業員の給与情報!$C:$C)),0,AVERAGEIF(従業員の給与情報!$B:$B,$A30,従業員の給与情報!$C:$C)))))</f>
        <v/>
      </c>
      <c r="U30" s="102" t="str">
        <f>IF(OR(入力シート!$C$5&lt;&gt;入力リスト!$C$3,COUNTIF(入力シート!$J$16:$S$23,入力リスト!$H$9)=0),"",IF(A30="","",IF(ISERROR(AVERAGEIF(従業員の給与情報!$B:$B,$A30,従業員の給与情報!$D:$D)),0,IF(ISERROR(AVERAGEIF(従業員の給与情報!$B:$B,$A30,従業員の給与情報!$D:$D)),0,AVERAGEIF(従業員の給与情報!$B:$B,$A30,従業員の給与情報!$D:$D)))))</f>
        <v/>
      </c>
      <c r="V30" s="102" t="str">
        <f>IF(OR(入力シート!$C$5&lt;&gt;入力リスト!$C$3,COUNTIF(入力シート!$J$16:$S$23,入力リスト!$H$9)=0),"",IF(A30="","",IF(ISERROR(AVERAGEIF(従業員の給与情報!$B:$B,$A30,従業員の給与情報!$E:$E)),0,IF(ISERROR(AVERAGEIF(従業員の給与情報!$B:$B,$A30,従業員の給与情報!$E:$E)),0,AVERAGEIF(従業員の給与情報!$B:$B,$A30,従業員の給与情報!$E:$E)))))</f>
        <v/>
      </c>
      <c r="W30" s="103" t="str">
        <f>IF(OR(入力シート!$C$5&lt;&gt;入力リスト!$C$3,COUNTIF(入力シート!$J$16:$S$23,入力リスト!$H$9)=0),"",IF(A30="","",IF(ISERROR(AVERAGEIF(従業員の給与情報!$B:$B,$A30,従業員の給与情報!$F:$F)),0,IF(ISERROR(AVERAGEIF(従業員の給与情報!$B:$B,$A30,従業員の給与情報!$F:$F)),0,AVERAGEIF(従業員の給与情報!$B:$B,$A30,従業員の給与情報!$F:$F)))))</f>
        <v/>
      </c>
    </row>
    <row r="31" spans="1:23" s="10" customFormat="1" ht="19.8">
      <c r="A31" s="252"/>
      <c r="B31" s="249"/>
      <c r="C31" s="250"/>
      <c r="D31" s="251"/>
      <c r="E31" s="249"/>
      <c r="F31" s="257" t="str">
        <f>IF($G$1,"",IF(COUNTIF(A31:E31,"")=5,"",IF(G31,入力リスト!$K$28,IF(OR(A31="",B31="",IF(COUNTIF($C$3,"*不要*"),"",C31=""),D31=""),IF(A31="","従業員番号","")&amp;IF(B31="","「雇用形態」","")&amp;IF(OR(入力シート!$J$18=入力リスト!$H$9,入力シート!$J$22=入力リスト!$H$9),IF(C31="","「入社年月日」",""),"")&amp;IF(D31="","「性別」","")&amp;IF(IF(A31="","従業員番号","")&amp;IF(B31="","「雇用形態」","")&amp;IF(OR(入力シート!$J$18=入力リスト!$H$9,入力シート!$J$22=入力リスト!$H$9),IF(C31="","「入社年月日」",""),"")&amp;IF(D31="","「性別」","")="","",入力リスト!$K$29),IF(J31,入力リスト!$K$30,"")&amp;IF(I31,入力リスト!$K$31,"")&amp;IF(H31,"「雇用形態」","")&amp;IF(K31,"「性別」","")&amp;IF(L31,"「役職」","")&amp;IF(OR(H31,K31,L31),入力リスト!$K$32,"")))))</f>
        <v/>
      </c>
      <c r="G31" s="209" t="b">
        <f>COUNTIF($A$4:A30,$A31)&gt;0</f>
        <v>0</v>
      </c>
      <c r="H31" s="210" t="b">
        <f>IF($H$1,FALSE,COUNTIF(入力シート!$S$37:$V$62,B31)=0)</f>
        <v>0</v>
      </c>
      <c r="I31" s="210" t="b">
        <f t="shared" si="2"/>
        <v>0</v>
      </c>
      <c r="J31" s="210" t="b">
        <f>IF($J$1,FALSE,IF(I31=TRUE,FALSE,IF(I31,FALSE,C31&gt;入力シート!$J$24)))</f>
        <v>0</v>
      </c>
      <c r="K31" s="210" t="b">
        <f>IF($K$1,FALSE,COUNTIF(入力シート!$AW$37:$BB$38,D31)=0)</f>
        <v>0</v>
      </c>
      <c r="L31" s="210" t="b">
        <f>IF($L$1,FALSE,IF($L$3,FALSE,IF(E31="",FALSE,COUNTIF(入力シート!$AH$37:$AK$62,E31)=0)))</f>
        <v>0</v>
      </c>
      <c r="M31" s="211" t="str">
        <f t="shared" si="1"/>
        <v/>
      </c>
      <c r="N31" s="211"/>
      <c r="O31" s="209" t="str">
        <f>IF(B31="","",VLOOKUP('従業員情報(給与以外)'!$B31,入力シート!$S$37:$Z$62,5,0))</f>
        <v/>
      </c>
      <c r="P31" s="156" t="str">
        <f>IF(ISNUMBER(C31)=FALSE,"",IF(C31&gt;入力シート!$J$24,"",_xlfn.DAYS(入力シート!$J$24,'従業員情報(給与以外)'!$C31)/365))</f>
        <v/>
      </c>
      <c r="Q31" s="210" t="str">
        <f>IF(P31="","",VLOOKUP(_xlfn.DAYS(入力シート!$J$24,'従業員情報(給与以外)'!$C31)/365,入力リスト!$K$18:$L$26,2,2))</f>
        <v/>
      </c>
      <c r="R31" s="209" t="str">
        <f>IF(D31="","",VLOOKUP('従業員情報(給与以外)'!$D31,入力シート!$AW$37:$BB$38,4,0))</f>
        <v/>
      </c>
      <c r="S31" s="209" t="str">
        <f>IF(A31="","",IF(E31="","非役職",VLOOKUP('従業員情報(給与以外)'!$E31,入力シート!$AH$37:$AO$62,5,0)))</f>
        <v/>
      </c>
      <c r="T31" s="102" t="str">
        <f>IF(OR(入力シート!$C$5&lt;&gt;入力リスト!$C$3,COUNTIF(入力シート!$J$16:$S$23,入力リスト!$H$9)=0),"",IF($A31="","",IF(ISERROR(AVERAGEIF(従業員の給与情報!$B:$B,$A31,従業員の給与情報!$C:$C)),0,IF(ISERROR(AVERAGEIF(従業員の給与情報!$B:$B,$A31,従業員の給与情報!$C:$C)),0,AVERAGEIF(従業員の給与情報!$B:$B,$A31,従業員の給与情報!$C:$C)))))</f>
        <v/>
      </c>
      <c r="U31" s="102" t="str">
        <f>IF(OR(入力シート!$C$5&lt;&gt;入力リスト!$C$3,COUNTIF(入力シート!$J$16:$S$23,入力リスト!$H$9)=0),"",IF(A31="","",IF(ISERROR(AVERAGEIF(従業員の給与情報!$B:$B,$A31,従業員の給与情報!$D:$D)),0,IF(ISERROR(AVERAGEIF(従業員の給与情報!$B:$B,$A31,従業員の給与情報!$D:$D)),0,AVERAGEIF(従業員の給与情報!$B:$B,$A31,従業員の給与情報!$D:$D)))))</f>
        <v/>
      </c>
      <c r="V31" s="102" t="str">
        <f>IF(OR(入力シート!$C$5&lt;&gt;入力リスト!$C$3,COUNTIF(入力シート!$J$16:$S$23,入力リスト!$H$9)=0),"",IF(A31="","",IF(ISERROR(AVERAGEIF(従業員の給与情報!$B:$B,$A31,従業員の給与情報!$E:$E)),0,IF(ISERROR(AVERAGEIF(従業員の給与情報!$B:$B,$A31,従業員の給与情報!$E:$E)),0,AVERAGEIF(従業員の給与情報!$B:$B,$A31,従業員の給与情報!$E:$E)))))</f>
        <v/>
      </c>
      <c r="W31" s="103" t="str">
        <f>IF(OR(入力シート!$C$5&lt;&gt;入力リスト!$C$3,COUNTIF(入力シート!$J$16:$S$23,入力リスト!$H$9)=0),"",IF(A31="","",IF(ISERROR(AVERAGEIF(従業員の給与情報!$B:$B,$A31,従業員の給与情報!$F:$F)),0,IF(ISERROR(AVERAGEIF(従業員の給与情報!$B:$B,$A31,従業員の給与情報!$F:$F)),0,AVERAGEIF(従業員の給与情報!$B:$B,$A31,従業員の給与情報!$F:$F)))))</f>
        <v/>
      </c>
    </row>
    <row r="32" spans="1:23" s="10" customFormat="1" ht="19.8">
      <c r="A32" s="252"/>
      <c r="B32" s="249"/>
      <c r="C32" s="250"/>
      <c r="D32" s="251"/>
      <c r="E32" s="249"/>
      <c r="F32" s="257" t="str">
        <f>IF($G$1,"",IF(COUNTIF(A32:E32,"")=5,"",IF(G32,入力リスト!$K$28,IF(OR(A32="",B32="",IF(COUNTIF($C$3,"*不要*"),"",C32=""),D32=""),IF(A32="","従業員番号","")&amp;IF(B32="","「雇用形態」","")&amp;IF(OR(入力シート!$J$18=入力リスト!$H$9,入力シート!$J$22=入力リスト!$H$9),IF(C32="","「入社年月日」",""),"")&amp;IF(D32="","「性別」","")&amp;IF(IF(A32="","従業員番号","")&amp;IF(B32="","「雇用形態」","")&amp;IF(OR(入力シート!$J$18=入力リスト!$H$9,入力シート!$J$22=入力リスト!$H$9),IF(C32="","「入社年月日」",""),"")&amp;IF(D32="","「性別」","")="","",入力リスト!$K$29),IF(J32,入力リスト!$K$30,"")&amp;IF(I32,入力リスト!$K$31,"")&amp;IF(H32,"「雇用形態」","")&amp;IF(K32,"「性別」","")&amp;IF(L32,"「役職」","")&amp;IF(OR(H32,K32,L32),入力リスト!$K$32,"")))))</f>
        <v/>
      </c>
      <c r="G32" s="209" t="b">
        <f>COUNTIF($A$4:A31,$A32)&gt;0</f>
        <v>0</v>
      </c>
      <c r="H32" s="210" t="b">
        <f>IF($H$1,FALSE,COUNTIF(入力シート!$S$37:$V$62,B32)=0)</f>
        <v>0</v>
      </c>
      <c r="I32" s="210" t="b">
        <f t="shared" si="2"/>
        <v>0</v>
      </c>
      <c r="J32" s="210" t="b">
        <f>IF($J$1,FALSE,IF(I32=TRUE,FALSE,IF(I32,FALSE,C32&gt;入力シート!$J$24)))</f>
        <v>0</v>
      </c>
      <c r="K32" s="210" t="b">
        <f>IF($K$1,FALSE,COUNTIF(入力シート!$AW$37:$BB$38,D32)=0)</f>
        <v>0</v>
      </c>
      <c r="L32" s="210" t="b">
        <f>IF($L$1,FALSE,IF($L$3,FALSE,IF(E32="",FALSE,COUNTIF(入力シート!$AH$37:$AK$62,E32)=0)))</f>
        <v>0</v>
      </c>
      <c r="M32" s="211" t="str">
        <f t="shared" si="1"/>
        <v/>
      </c>
      <c r="N32" s="211"/>
      <c r="O32" s="209" t="str">
        <f>IF(B32="","",VLOOKUP('従業員情報(給与以外)'!$B32,入力シート!$S$37:$Z$62,5,0))</f>
        <v/>
      </c>
      <c r="P32" s="156" t="str">
        <f>IF(ISNUMBER(C32)=FALSE,"",IF(C32&gt;入力シート!$J$24,"",_xlfn.DAYS(入力シート!$J$24,'従業員情報(給与以外)'!$C32)/365))</f>
        <v/>
      </c>
      <c r="Q32" s="210" t="str">
        <f>IF(P32="","",VLOOKUP(_xlfn.DAYS(入力シート!$J$24,'従業員情報(給与以外)'!$C32)/365,入力リスト!$K$18:$L$26,2,2))</f>
        <v/>
      </c>
      <c r="R32" s="209" t="str">
        <f>IF(D32="","",VLOOKUP('従業員情報(給与以外)'!$D32,入力シート!$AW$37:$BB$38,4,0))</f>
        <v/>
      </c>
      <c r="S32" s="209" t="str">
        <f>IF(A32="","",IF(E32="","非役職",VLOOKUP('従業員情報(給与以外)'!$E32,入力シート!$AH$37:$AO$62,5,0)))</f>
        <v/>
      </c>
      <c r="T32" s="102" t="str">
        <f>IF(OR(入力シート!$C$5&lt;&gt;入力リスト!$C$3,COUNTIF(入力シート!$J$16:$S$23,入力リスト!$H$9)=0),"",IF($A32="","",IF(ISERROR(AVERAGEIF(従業員の給与情報!$B:$B,$A32,従業員の給与情報!$C:$C)),0,IF(ISERROR(AVERAGEIF(従業員の給与情報!$B:$B,$A32,従業員の給与情報!$C:$C)),0,AVERAGEIF(従業員の給与情報!$B:$B,$A32,従業員の給与情報!$C:$C)))))</f>
        <v/>
      </c>
      <c r="U32" s="102" t="str">
        <f>IF(OR(入力シート!$C$5&lt;&gt;入力リスト!$C$3,COUNTIF(入力シート!$J$16:$S$23,入力リスト!$H$9)=0),"",IF(A32="","",IF(ISERROR(AVERAGEIF(従業員の給与情報!$B:$B,$A32,従業員の給与情報!$D:$D)),0,IF(ISERROR(AVERAGEIF(従業員の給与情報!$B:$B,$A32,従業員の給与情報!$D:$D)),0,AVERAGEIF(従業員の給与情報!$B:$B,$A32,従業員の給与情報!$D:$D)))))</f>
        <v/>
      </c>
      <c r="V32" s="102" t="str">
        <f>IF(OR(入力シート!$C$5&lt;&gt;入力リスト!$C$3,COUNTIF(入力シート!$J$16:$S$23,入力リスト!$H$9)=0),"",IF(A32="","",IF(ISERROR(AVERAGEIF(従業員の給与情報!$B:$B,$A32,従業員の給与情報!$E:$E)),0,IF(ISERROR(AVERAGEIF(従業員の給与情報!$B:$B,$A32,従業員の給与情報!$E:$E)),0,AVERAGEIF(従業員の給与情報!$B:$B,$A32,従業員の給与情報!$E:$E)))))</f>
        <v/>
      </c>
      <c r="W32" s="103" t="str">
        <f>IF(OR(入力シート!$C$5&lt;&gt;入力リスト!$C$3,COUNTIF(入力シート!$J$16:$S$23,入力リスト!$H$9)=0),"",IF(A32="","",IF(ISERROR(AVERAGEIF(従業員の給与情報!$B:$B,$A32,従業員の給与情報!$F:$F)),0,IF(ISERROR(AVERAGEIF(従業員の給与情報!$B:$B,$A32,従業員の給与情報!$F:$F)),0,AVERAGEIF(従業員の給与情報!$B:$B,$A32,従業員の給与情報!$F:$F)))))</f>
        <v/>
      </c>
    </row>
    <row r="33" spans="1:23" s="10" customFormat="1" ht="19.8">
      <c r="A33" s="252"/>
      <c r="B33" s="249"/>
      <c r="C33" s="250"/>
      <c r="D33" s="251"/>
      <c r="E33" s="252"/>
      <c r="F33" s="257" t="str">
        <f>IF($G$1,"",IF(COUNTIF(A33:E33,"")=5,"",IF(G33,入力リスト!$K$28,IF(OR(A33="",B33="",IF(COUNTIF($C$3,"*不要*"),"",C33=""),D33=""),IF(A33="","従業員番号","")&amp;IF(B33="","「雇用形態」","")&amp;IF(OR(入力シート!$J$18=入力リスト!$H$9,入力シート!$J$22=入力リスト!$H$9),IF(C33="","「入社年月日」",""),"")&amp;IF(D33="","「性別」","")&amp;IF(IF(A33="","従業員番号","")&amp;IF(B33="","「雇用形態」","")&amp;IF(OR(入力シート!$J$18=入力リスト!$H$9,入力シート!$J$22=入力リスト!$H$9),IF(C33="","「入社年月日」",""),"")&amp;IF(D33="","「性別」","")="","",入力リスト!$K$29),IF(J33,入力リスト!$K$30,"")&amp;IF(I33,入力リスト!$K$31,"")&amp;IF(H33,"「雇用形態」","")&amp;IF(K33,"「性別」","")&amp;IF(L33,"「役職」","")&amp;IF(OR(H33,K33,L33),入力リスト!$K$32,"")))))</f>
        <v/>
      </c>
      <c r="G33" s="209" t="b">
        <f>COUNTIF($A$4:A32,$A33)&gt;0</f>
        <v>0</v>
      </c>
      <c r="H33" s="210" t="b">
        <f>IF($H$1,FALSE,COUNTIF(入力シート!$S$37:$V$62,B33)=0)</f>
        <v>0</v>
      </c>
      <c r="I33" s="210" t="b">
        <f t="shared" si="2"/>
        <v>0</v>
      </c>
      <c r="J33" s="210" t="b">
        <f>IF($J$1,FALSE,IF(I33=TRUE,FALSE,IF(I33,FALSE,C33&gt;入力シート!$J$24)))</f>
        <v>0</v>
      </c>
      <c r="K33" s="210" t="b">
        <f>IF($K$1,FALSE,COUNTIF(入力シート!$AW$37:$BB$38,D33)=0)</f>
        <v>0</v>
      </c>
      <c r="L33" s="210" t="b">
        <f>IF($L$1,FALSE,IF($L$3,FALSE,IF(E33="",FALSE,COUNTIF(入力シート!$AH$37:$AK$62,E33)=0)))</f>
        <v>0</v>
      </c>
      <c r="M33" s="211" t="str">
        <f t="shared" si="1"/>
        <v/>
      </c>
      <c r="N33" s="211"/>
      <c r="O33" s="209" t="str">
        <f>IF(B33="","",VLOOKUP('従業員情報(給与以外)'!$B33,入力シート!$S$37:$Z$62,5,0))</f>
        <v/>
      </c>
      <c r="P33" s="156" t="str">
        <f>IF(ISNUMBER(C33)=FALSE,"",IF(C33&gt;入力シート!$J$24,"",_xlfn.DAYS(入力シート!$J$24,'従業員情報(給与以外)'!$C33)/365))</f>
        <v/>
      </c>
      <c r="Q33" s="210" t="str">
        <f>IF(P33="","",VLOOKUP(_xlfn.DAYS(入力シート!$J$24,'従業員情報(給与以外)'!$C33)/365,入力リスト!$K$18:$L$26,2,2))</f>
        <v/>
      </c>
      <c r="R33" s="209" t="str">
        <f>IF(D33="","",VLOOKUP('従業員情報(給与以外)'!$D33,入力シート!$AW$37:$BB$38,4,0))</f>
        <v/>
      </c>
      <c r="S33" s="209" t="str">
        <f>IF(A33="","",IF(E33="","非役職",VLOOKUP('従業員情報(給与以外)'!$E33,入力シート!$AH$37:$AO$62,5,0)))</f>
        <v/>
      </c>
      <c r="T33" s="102" t="str">
        <f>IF(OR(入力シート!$C$5&lt;&gt;入力リスト!$C$3,COUNTIF(入力シート!$J$16:$S$23,入力リスト!$H$9)=0),"",IF($A33="","",IF(ISERROR(AVERAGEIF(従業員の給与情報!$B:$B,$A33,従業員の給与情報!$C:$C)),0,IF(ISERROR(AVERAGEIF(従業員の給与情報!$B:$B,$A33,従業員の給与情報!$C:$C)),0,AVERAGEIF(従業員の給与情報!$B:$B,$A33,従業員の給与情報!$C:$C)))))</f>
        <v/>
      </c>
      <c r="U33" s="102" t="str">
        <f>IF(OR(入力シート!$C$5&lt;&gt;入力リスト!$C$3,COUNTIF(入力シート!$J$16:$S$23,入力リスト!$H$9)=0),"",IF(A33="","",IF(ISERROR(AVERAGEIF(従業員の給与情報!$B:$B,$A33,従業員の給与情報!$D:$D)),0,IF(ISERROR(AVERAGEIF(従業員の給与情報!$B:$B,$A33,従業員の給与情報!$D:$D)),0,AVERAGEIF(従業員の給与情報!$B:$B,$A33,従業員の給与情報!$D:$D)))))</f>
        <v/>
      </c>
      <c r="V33" s="102" t="str">
        <f>IF(OR(入力シート!$C$5&lt;&gt;入力リスト!$C$3,COUNTIF(入力シート!$J$16:$S$23,入力リスト!$H$9)=0),"",IF(A33="","",IF(ISERROR(AVERAGEIF(従業員の給与情報!$B:$B,$A33,従業員の給与情報!$E:$E)),0,IF(ISERROR(AVERAGEIF(従業員の給与情報!$B:$B,$A33,従業員の給与情報!$E:$E)),0,AVERAGEIF(従業員の給与情報!$B:$B,$A33,従業員の給与情報!$E:$E)))))</f>
        <v/>
      </c>
      <c r="W33" s="103" t="str">
        <f>IF(OR(入力シート!$C$5&lt;&gt;入力リスト!$C$3,COUNTIF(入力シート!$J$16:$S$23,入力リスト!$H$9)=0),"",IF(A33="","",IF(ISERROR(AVERAGEIF(従業員の給与情報!$B:$B,$A33,従業員の給与情報!$F:$F)),0,IF(ISERROR(AVERAGEIF(従業員の給与情報!$B:$B,$A33,従業員の給与情報!$F:$F)),0,AVERAGEIF(従業員の給与情報!$B:$B,$A33,従業員の給与情報!$F:$F)))))</f>
        <v/>
      </c>
    </row>
    <row r="34" spans="1:23" s="10" customFormat="1" ht="19.8">
      <c r="A34" s="252"/>
      <c r="B34" s="249"/>
      <c r="C34" s="250"/>
      <c r="D34" s="251"/>
      <c r="E34" s="252"/>
      <c r="F34" s="257" t="str">
        <f>IF($G$1,"",IF(COUNTIF(A34:E34,"")=5,"",IF(G34,入力リスト!$K$28,IF(OR(A34="",B34="",IF(COUNTIF($C$3,"*不要*"),"",C34=""),D34=""),IF(A34="","従業員番号","")&amp;IF(B34="","「雇用形態」","")&amp;IF(OR(入力シート!$J$18=入力リスト!$H$9,入力シート!$J$22=入力リスト!$H$9),IF(C34="","「入社年月日」",""),"")&amp;IF(D34="","「性別」","")&amp;IF(IF(A34="","従業員番号","")&amp;IF(B34="","「雇用形態」","")&amp;IF(OR(入力シート!$J$18=入力リスト!$H$9,入力シート!$J$22=入力リスト!$H$9),IF(C34="","「入社年月日」",""),"")&amp;IF(D34="","「性別」","")="","",入力リスト!$K$29),IF(J34,入力リスト!$K$30,"")&amp;IF(I34,入力リスト!$K$31,"")&amp;IF(H34,"「雇用形態」","")&amp;IF(K34,"「性別」","")&amp;IF(L34,"「役職」","")&amp;IF(OR(H34,K34,L34),入力リスト!$K$32,"")))))</f>
        <v/>
      </c>
      <c r="G34" s="209" t="b">
        <f>COUNTIF($A$4:A33,$A34)&gt;0</f>
        <v>0</v>
      </c>
      <c r="H34" s="210" t="b">
        <f>IF($H$1,FALSE,COUNTIF(入力シート!$S$37:$V$62,B34)=0)</f>
        <v>0</v>
      </c>
      <c r="I34" s="210" t="b">
        <f t="shared" si="2"/>
        <v>0</v>
      </c>
      <c r="J34" s="210" t="b">
        <f>IF($J$1,FALSE,IF(I34=TRUE,FALSE,IF(I34,FALSE,C34&gt;入力シート!$J$24)))</f>
        <v>0</v>
      </c>
      <c r="K34" s="210" t="b">
        <f>IF($K$1,FALSE,COUNTIF(入力シート!$AW$37:$BB$38,D34)=0)</f>
        <v>0</v>
      </c>
      <c r="L34" s="210" t="b">
        <f>IF($L$1,FALSE,IF($L$3,FALSE,IF(E34="",FALSE,COUNTIF(入力シート!$AH$37:$AK$62,E34)=0)))</f>
        <v>0</v>
      </c>
      <c r="M34" s="211" t="str">
        <f t="shared" si="1"/>
        <v/>
      </c>
      <c r="N34" s="211"/>
      <c r="O34" s="209" t="str">
        <f>IF(B34="","",VLOOKUP('従業員情報(給与以外)'!$B34,入力シート!$S$37:$Z$62,5,0))</f>
        <v/>
      </c>
      <c r="P34" s="156" t="str">
        <f>IF(ISNUMBER(C34)=FALSE,"",IF(C34&gt;入力シート!$J$24,"",_xlfn.DAYS(入力シート!$J$24,'従業員情報(給与以外)'!$C34)/365))</f>
        <v/>
      </c>
      <c r="Q34" s="210" t="str">
        <f>IF(P34="","",VLOOKUP(_xlfn.DAYS(入力シート!$J$24,'従業員情報(給与以外)'!$C34)/365,入力リスト!$K$18:$L$26,2,2))</f>
        <v/>
      </c>
      <c r="R34" s="209" t="str">
        <f>IF(D34="","",VLOOKUP('従業員情報(給与以外)'!$D34,入力シート!$AW$37:$BB$38,4,0))</f>
        <v/>
      </c>
      <c r="S34" s="209" t="str">
        <f>IF(A34="","",IF(E34="","非役職",VLOOKUP('従業員情報(給与以外)'!$E34,入力シート!$AH$37:$AO$62,5,0)))</f>
        <v/>
      </c>
      <c r="T34" s="102" t="str">
        <f>IF(OR(入力シート!$C$5&lt;&gt;入力リスト!$C$3,COUNTIF(入力シート!$J$16:$S$23,入力リスト!$H$9)=0),"",IF($A34="","",IF(ISERROR(AVERAGEIF(従業員の給与情報!$B:$B,$A34,従業員の給与情報!$C:$C)),0,IF(ISERROR(AVERAGEIF(従業員の給与情報!$B:$B,$A34,従業員の給与情報!$C:$C)),0,AVERAGEIF(従業員の給与情報!$B:$B,$A34,従業員の給与情報!$C:$C)))))</f>
        <v/>
      </c>
      <c r="U34" s="102" t="str">
        <f>IF(OR(入力シート!$C$5&lt;&gt;入力リスト!$C$3,COUNTIF(入力シート!$J$16:$S$23,入力リスト!$H$9)=0),"",IF(A34="","",IF(ISERROR(AVERAGEIF(従業員の給与情報!$B:$B,$A34,従業員の給与情報!$D:$D)),0,IF(ISERROR(AVERAGEIF(従業員の給与情報!$B:$B,$A34,従業員の給与情報!$D:$D)),0,AVERAGEIF(従業員の給与情報!$B:$B,$A34,従業員の給与情報!$D:$D)))))</f>
        <v/>
      </c>
      <c r="V34" s="102" t="str">
        <f>IF(OR(入力シート!$C$5&lt;&gt;入力リスト!$C$3,COUNTIF(入力シート!$J$16:$S$23,入力リスト!$H$9)=0),"",IF(A34="","",IF(ISERROR(AVERAGEIF(従業員の給与情報!$B:$B,$A34,従業員の給与情報!$E:$E)),0,IF(ISERROR(AVERAGEIF(従業員の給与情報!$B:$B,$A34,従業員の給与情報!$E:$E)),0,AVERAGEIF(従業員の給与情報!$B:$B,$A34,従業員の給与情報!$E:$E)))))</f>
        <v/>
      </c>
      <c r="W34" s="103" t="str">
        <f>IF(OR(入力シート!$C$5&lt;&gt;入力リスト!$C$3,COUNTIF(入力シート!$J$16:$S$23,入力リスト!$H$9)=0),"",IF(A34="","",IF(ISERROR(AVERAGEIF(従業員の給与情報!$B:$B,$A34,従業員の給与情報!$F:$F)),0,IF(ISERROR(AVERAGEIF(従業員の給与情報!$B:$B,$A34,従業員の給与情報!$F:$F)),0,AVERAGEIF(従業員の給与情報!$B:$B,$A34,従業員の給与情報!$F:$F)))))</f>
        <v/>
      </c>
    </row>
    <row r="35" spans="1:23" s="10" customFormat="1" ht="19.8">
      <c r="A35" s="252"/>
      <c r="B35" s="249"/>
      <c r="C35" s="250"/>
      <c r="D35" s="251"/>
      <c r="E35" s="252"/>
      <c r="F35" s="257" t="str">
        <f>IF($G$1,"",IF(COUNTIF(A35:E35,"")=5,"",IF(G35,入力リスト!$K$28,IF(OR(A35="",B35="",IF(COUNTIF($C$3,"*不要*"),"",C35=""),D35=""),IF(A35="","従業員番号","")&amp;IF(B35="","「雇用形態」","")&amp;IF(OR(入力シート!$J$18=入力リスト!$H$9,入力シート!$J$22=入力リスト!$H$9),IF(C35="","「入社年月日」",""),"")&amp;IF(D35="","「性別」","")&amp;IF(IF(A35="","従業員番号","")&amp;IF(B35="","「雇用形態」","")&amp;IF(OR(入力シート!$J$18=入力リスト!$H$9,入力シート!$J$22=入力リスト!$H$9),IF(C35="","「入社年月日」",""),"")&amp;IF(D35="","「性別」","")="","",入力リスト!$K$29),IF(J35,入力リスト!$K$30,"")&amp;IF(I35,入力リスト!$K$31,"")&amp;IF(H35,"「雇用形態」","")&amp;IF(K35,"「性別」","")&amp;IF(L35,"「役職」","")&amp;IF(OR(H35,K35,L35),入力リスト!$K$32,"")))))</f>
        <v/>
      </c>
      <c r="G35" s="209" t="b">
        <f>COUNTIF($A$4:A34,$A35)&gt;0</f>
        <v>0</v>
      </c>
      <c r="H35" s="210" t="b">
        <f>IF($H$1,FALSE,COUNTIF(入力シート!$S$37:$V$62,B35)=0)</f>
        <v>0</v>
      </c>
      <c r="I35" s="210" t="b">
        <f t="shared" si="2"/>
        <v>0</v>
      </c>
      <c r="J35" s="210" t="b">
        <f>IF($J$1,FALSE,IF(I35=TRUE,FALSE,IF(I35,FALSE,C35&gt;入力シート!$J$24)))</f>
        <v>0</v>
      </c>
      <c r="K35" s="210" t="b">
        <f>IF($K$1,FALSE,COUNTIF(入力シート!$AW$37:$BB$38,D35)=0)</f>
        <v>0</v>
      </c>
      <c r="L35" s="210" t="b">
        <f>IF($L$1,FALSE,IF($L$3,FALSE,IF(E35="",FALSE,COUNTIF(入力シート!$AH$37:$AK$62,E35)=0)))</f>
        <v>0</v>
      </c>
      <c r="M35" s="211" t="str">
        <f t="shared" si="1"/>
        <v/>
      </c>
      <c r="N35" s="211"/>
      <c r="O35" s="209" t="str">
        <f>IF(B35="","",VLOOKUP('従業員情報(給与以外)'!$B35,入力シート!$S$37:$Z$62,5,0))</f>
        <v/>
      </c>
      <c r="P35" s="156" t="str">
        <f>IF(ISNUMBER(C35)=FALSE,"",IF(C35&gt;入力シート!$J$24,"",_xlfn.DAYS(入力シート!$J$24,'従業員情報(給与以外)'!$C35)/365))</f>
        <v/>
      </c>
      <c r="Q35" s="210" t="str">
        <f>IF(P35="","",VLOOKUP(_xlfn.DAYS(入力シート!$J$24,'従業員情報(給与以外)'!$C35)/365,入力リスト!$K$18:$L$26,2,2))</f>
        <v/>
      </c>
      <c r="R35" s="209" t="str">
        <f>IF(D35="","",VLOOKUP('従業員情報(給与以外)'!$D35,入力シート!$AW$37:$BB$38,4,0))</f>
        <v/>
      </c>
      <c r="S35" s="209" t="str">
        <f>IF(A35="","",IF(E35="","非役職",VLOOKUP('従業員情報(給与以外)'!$E35,入力シート!$AH$37:$AO$62,5,0)))</f>
        <v/>
      </c>
      <c r="T35" s="102" t="str">
        <f>IF(OR(入力シート!$C$5&lt;&gt;入力リスト!$C$3,COUNTIF(入力シート!$J$16:$S$23,入力リスト!$H$9)=0),"",IF($A35="","",IF(ISERROR(AVERAGEIF(従業員の給与情報!$B:$B,$A35,従業員の給与情報!$C:$C)),0,IF(ISERROR(AVERAGEIF(従業員の給与情報!$B:$B,$A35,従業員の給与情報!$C:$C)),0,AVERAGEIF(従業員の給与情報!$B:$B,$A35,従業員の給与情報!$C:$C)))))</f>
        <v/>
      </c>
      <c r="U35" s="102" t="str">
        <f>IF(OR(入力シート!$C$5&lt;&gt;入力リスト!$C$3,COUNTIF(入力シート!$J$16:$S$23,入力リスト!$H$9)=0),"",IF(A35="","",IF(ISERROR(AVERAGEIF(従業員の給与情報!$B:$B,$A35,従業員の給与情報!$D:$D)),0,IF(ISERROR(AVERAGEIF(従業員の給与情報!$B:$B,$A35,従業員の給与情報!$D:$D)),0,AVERAGEIF(従業員の給与情報!$B:$B,$A35,従業員の給与情報!$D:$D)))))</f>
        <v/>
      </c>
      <c r="V35" s="102" t="str">
        <f>IF(OR(入力シート!$C$5&lt;&gt;入力リスト!$C$3,COUNTIF(入力シート!$J$16:$S$23,入力リスト!$H$9)=0),"",IF(A35="","",IF(ISERROR(AVERAGEIF(従業員の給与情報!$B:$B,$A35,従業員の給与情報!$E:$E)),0,IF(ISERROR(AVERAGEIF(従業員の給与情報!$B:$B,$A35,従業員の給与情報!$E:$E)),0,AVERAGEIF(従業員の給与情報!$B:$B,$A35,従業員の給与情報!$E:$E)))))</f>
        <v/>
      </c>
      <c r="W35" s="103" t="str">
        <f>IF(OR(入力シート!$C$5&lt;&gt;入力リスト!$C$3,COUNTIF(入力シート!$J$16:$S$23,入力リスト!$H$9)=0),"",IF(A35="","",IF(ISERROR(AVERAGEIF(従業員の給与情報!$B:$B,$A35,従業員の給与情報!$F:$F)),0,IF(ISERROR(AVERAGEIF(従業員の給与情報!$B:$B,$A35,従業員の給与情報!$F:$F)),0,AVERAGEIF(従業員の給与情報!$B:$B,$A35,従業員の給与情報!$F:$F)))))</f>
        <v/>
      </c>
    </row>
    <row r="36" spans="1:23" s="10" customFormat="1" ht="19.8">
      <c r="A36" s="252"/>
      <c r="B36" s="249"/>
      <c r="C36" s="250"/>
      <c r="D36" s="251"/>
      <c r="E36" s="252"/>
      <c r="F36" s="257" t="str">
        <f>IF($G$1,"",IF(COUNTIF(A36:E36,"")=5,"",IF(G36,入力リスト!$K$28,IF(OR(A36="",B36="",IF(COUNTIF($C$3,"*不要*"),"",C36=""),D36=""),IF(A36="","従業員番号","")&amp;IF(B36="","「雇用形態」","")&amp;IF(OR(入力シート!$J$18=入力リスト!$H$9,入力シート!$J$22=入力リスト!$H$9),IF(C36="","「入社年月日」",""),"")&amp;IF(D36="","「性別」","")&amp;IF(IF(A36="","従業員番号","")&amp;IF(B36="","「雇用形態」","")&amp;IF(OR(入力シート!$J$18=入力リスト!$H$9,入力シート!$J$22=入力リスト!$H$9),IF(C36="","「入社年月日」",""),"")&amp;IF(D36="","「性別」","")="","",入力リスト!$K$29),IF(J36,入力リスト!$K$30,"")&amp;IF(I36,入力リスト!$K$31,"")&amp;IF(H36,"「雇用形態」","")&amp;IF(K36,"「性別」","")&amp;IF(L36,"「役職」","")&amp;IF(OR(H36,K36,L36),入力リスト!$K$32,"")))))</f>
        <v/>
      </c>
      <c r="G36" s="209" t="b">
        <f>COUNTIF($A$4:A35,$A36)&gt;0</f>
        <v>0</v>
      </c>
      <c r="H36" s="210" t="b">
        <f>IF($H$1,FALSE,COUNTIF(入力シート!$S$37:$V$62,B36)=0)</f>
        <v>0</v>
      </c>
      <c r="I36" s="210" t="b">
        <f t="shared" si="2"/>
        <v>0</v>
      </c>
      <c r="J36" s="210" t="b">
        <f>IF($J$1,FALSE,IF(I36=TRUE,FALSE,IF(I36,FALSE,C36&gt;入力シート!$J$24)))</f>
        <v>0</v>
      </c>
      <c r="K36" s="210" t="b">
        <f>IF($K$1,FALSE,COUNTIF(入力シート!$AW$37:$BB$38,D36)=0)</f>
        <v>0</v>
      </c>
      <c r="L36" s="210" t="b">
        <f>IF($L$1,FALSE,IF($L$3,FALSE,IF(E36="",FALSE,COUNTIF(入力シート!$AH$37:$AK$62,E36)=0)))</f>
        <v>0</v>
      </c>
      <c r="M36" s="211" t="str">
        <f t="shared" si="1"/>
        <v/>
      </c>
      <c r="N36" s="211"/>
      <c r="O36" s="209" t="str">
        <f>IF(B36="","",VLOOKUP('従業員情報(給与以外)'!$B36,入力シート!$S$37:$Z$62,5,0))</f>
        <v/>
      </c>
      <c r="P36" s="156" t="str">
        <f>IF(ISNUMBER(C36)=FALSE,"",IF(C36&gt;入力シート!$J$24,"",_xlfn.DAYS(入力シート!$J$24,'従業員情報(給与以外)'!$C36)/365))</f>
        <v/>
      </c>
      <c r="Q36" s="210" t="str">
        <f>IF(P36="","",VLOOKUP(_xlfn.DAYS(入力シート!$J$24,'従業員情報(給与以外)'!$C36)/365,入力リスト!$K$18:$L$26,2,2))</f>
        <v/>
      </c>
      <c r="R36" s="209" t="str">
        <f>IF(D36="","",VLOOKUP('従業員情報(給与以外)'!$D36,入力シート!$AW$37:$BB$38,4,0))</f>
        <v/>
      </c>
      <c r="S36" s="209" t="str">
        <f>IF(A36="","",IF(E36="","非役職",VLOOKUP('従業員情報(給与以外)'!$E36,入力シート!$AH$37:$AO$62,5,0)))</f>
        <v/>
      </c>
      <c r="T36" s="102" t="str">
        <f>IF(OR(入力シート!$C$5&lt;&gt;入力リスト!$C$3,COUNTIF(入力シート!$J$16:$S$23,入力リスト!$H$9)=0),"",IF($A36="","",IF(ISERROR(AVERAGEIF(従業員の給与情報!$B:$B,$A36,従業員の給与情報!$C:$C)),0,IF(ISERROR(AVERAGEIF(従業員の給与情報!$B:$B,$A36,従業員の給与情報!$C:$C)),0,AVERAGEIF(従業員の給与情報!$B:$B,$A36,従業員の給与情報!$C:$C)))))</f>
        <v/>
      </c>
      <c r="U36" s="102" t="str">
        <f>IF(OR(入力シート!$C$5&lt;&gt;入力リスト!$C$3,COUNTIF(入力シート!$J$16:$S$23,入力リスト!$H$9)=0),"",IF(A36="","",IF(ISERROR(AVERAGEIF(従業員の給与情報!$B:$B,$A36,従業員の給与情報!$D:$D)),0,IF(ISERROR(AVERAGEIF(従業員の給与情報!$B:$B,$A36,従業員の給与情報!$D:$D)),0,AVERAGEIF(従業員の給与情報!$B:$B,$A36,従業員の給与情報!$D:$D)))))</f>
        <v/>
      </c>
      <c r="V36" s="102" t="str">
        <f>IF(OR(入力シート!$C$5&lt;&gt;入力リスト!$C$3,COUNTIF(入力シート!$J$16:$S$23,入力リスト!$H$9)=0),"",IF(A36="","",IF(ISERROR(AVERAGEIF(従業員の給与情報!$B:$B,$A36,従業員の給与情報!$E:$E)),0,IF(ISERROR(AVERAGEIF(従業員の給与情報!$B:$B,$A36,従業員の給与情報!$E:$E)),0,AVERAGEIF(従業員の給与情報!$B:$B,$A36,従業員の給与情報!$E:$E)))))</f>
        <v/>
      </c>
      <c r="W36" s="103" t="str">
        <f>IF(OR(入力シート!$C$5&lt;&gt;入力リスト!$C$3,COUNTIF(入力シート!$J$16:$S$23,入力リスト!$H$9)=0),"",IF(A36="","",IF(ISERROR(AVERAGEIF(従業員の給与情報!$B:$B,$A36,従業員の給与情報!$F:$F)),0,IF(ISERROR(AVERAGEIF(従業員の給与情報!$B:$B,$A36,従業員の給与情報!$F:$F)),0,AVERAGEIF(従業員の給与情報!$B:$B,$A36,従業員の給与情報!$F:$F)))))</f>
        <v/>
      </c>
    </row>
    <row r="37" spans="1:23" s="10" customFormat="1" ht="19.8">
      <c r="A37" s="252"/>
      <c r="B37" s="249"/>
      <c r="C37" s="250"/>
      <c r="D37" s="251"/>
      <c r="E37" s="252"/>
      <c r="F37" s="257" t="str">
        <f>IF($G$1,"",IF(COUNTIF(A37:E37,"")=5,"",IF(G37,入力リスト!$K$28,IF(OR(A37="",B37="",IF(COUNTIF($C$3,"*不要*"),"",C37=""),D37=""),IF(A37="","従業員番号","")&amp;IF(B37="","「雇用形態」","")&amp;IF(OR(入力シート!$J$18=入力リスト!$H$9,入力シート!$J$22=入力リスト!$H$9),IF(C37="","「入社年月日」",""),"")&amp;IF(D37="","「性別」","")&amp;IF(IF(A37="","従業員番号","")&amp;IF(B37="","「雇用形態」","")&amp;IF(OR(入力シート!$J$18=入力リスト!$H$9,入力シート!$J$22=入力リスト!$H$9),IF(C37="","「入社年月日」",""),"")&amp;IF(D37="","「性別」","")="","",入力リスト!$K$29),IF(J37,入力リスト!$K$30,"")&amp;IF(I37,入力リスト!$K$31,"")&amp;IF(H37,"「雇用形態」","")&amp;IF(K37,"「性別」","")&amp;IF(L37,"「役職」","")&amp;IF(OR(H37,K37,L37),入力リスト!$K$32,"")))))</f>
        <v/>
      </c>
      <c r="G37" s="209" t="b">
        <f>COUNTIF($A$4:A36,$A37)&gt;0</f>
        <v>0</v>
      </c>
      <c r="H37" s="210" t="b">
        <f>IF($H$1,FALSE,COUNTIF(入力シート!$S$37:$V$62,B37)=0)</f>
        <v>0</v>
      </c>
      <c r="I37" s="210" t="b">
        <f t="shared" si="2"/>
        <v>0</v>
      </c>
      <c r="J37" s="210" t="b">
        <f>IF($J$1,FALSE,IF(I37=TRUE,FALSE,IF(I37,FALSE,C37&gt;入力シート!$J$24)))</f>
        <v>0</v>
      </c>
      <c r="K37" s="210" t="b">
        <f>IF($K$1,FALSE,COUNTIF(入力シート!$AW$37:$BB$38,D37)=0)</f>
        <v>0</v>
      </c>
      <c r="L37" s="210" t="b">
        <f>IF($L$1,FALSE,IF($L$3,FALSE,IF(E37="",FALSE,COUNTIF(入力シート!$AH$37:$AK$62,E37)=0)))</f>
        <v>0</v>
      </c>
      <c r="M37" s="211" t="str">
        <f t="shared" si="1"/>
        <v/>
      </c>
      <c r="N37" s="211"/>
      <c r="O37" s="209" t="str">
        <f>IF(B37="","",VLOOKUP('従業員情報(給与以外)'!$B37,入力シート!$S$37:$Z$62,5,0))</f>
        <v/>
      </c>
      <c r="P37" s="156" t="str">
        <f>IF(ISNUMBER(C37)=FALSE,"",IF(C37&gt;入力シート!$J$24,"",_xlfn.DAYS(入力シート!$J$24,'従業員情報(給与以外)'!$C37)/365))</f>
        <v/>
      </c>
      <c r="Q37" s="210" t="str">
        <f>IF(P37="","",VLOOKUP(_xlfn.DAYS(入力シート!$J$24,'従業員情報(給与以外)'!$C37)/365,入力リスト!$K$18:$L$26,2,2))</f>
        <v/>
      </c>
      <c r="R37" s="209" t="str">
        <f>IF(D37="","",VLOOKUP('従業員情報(給与以外)'!$D37,入力シート!$AW$37:$BB$38,4,0))</f>
        <v/>
      </c>
      <c r="S37" s="209" t="str">
        <f>IF(A37="","",IF(E37="","非役職",VLOOKUP('従業員情報(給与以外)'!$E37,入力シート!$AH$37:$AO$62,5,0)))</f>
        <v/>
      </c>
      <c r="T37" s="102" t="str">
        <f>IF(OR(入力シート!$C$5&lt;&gt;入力リスト!$C$3,COUNTIF(入力シート!$J$16:$S$23,入力リスト!$H$9)=0),"",IF($A37="","",IF(ISERROR(AVERAGEIF(従業員の給与情報!$B:$B,$A37,従業員の給与情報!$C:$C)),0,IF(ISERROR(AVERAGEIF(従業員の給与情報!$B:$B,$A37,従業員の給与情報!$C:$C)),0,AVERAGEIF(従業員の給与情報!$B:$B,$A37,従業員の給与情報!$C:$C)))))</f>
        <v/>
      </c>
      <c r="U37" s="102" t="str">
        <f>IF(OR(入力シート!$C$5&lt;&gt;入力リスト!$C$3,COUNTIF(入力シート!$J$16:$S$23,入力リスト!$H$9)=0),"",IF(A37="","",IF(ISERROR(AVERAGEIF(従業員の給与情報!$B:$B,$A37,従業員の給与情報!$D:$D)),0,IF(ISERROR(AVERAGEIF(従業員の給与情報!$B:$B,$A37,従業員の給与情報!$D:$D)),0,AVERAGEIF(従業員の給与情報!$B:$B,$A37,従業員の給与情報!$D:$D)))))</f>
        <v/>
      </c>
      <c r="V37" s="102" t="str">
        <f>IF(OR(入力シート!$C$5&lt;&gt;入力リスト!$C$3,COUNTIF(入力シート!$J$16:$S$23,入力リスト!$H$9)=0),"",IF(A37="","",IF(ISERROR(AVERAGEIF(従業員の給与情報!$B:$B,$A37,従業員の給与情報!$E:$E)),0,IF(ISERROR(AVERAGEIF(従業員の給与情報!$B:$B,$A37,従業員の給与情報!$E:$E)),0,AVERAGEIF(従業員の給与情報!$B:$B,$A37,従業員の給与情報!$E:$E)))))</f>
        <v/>
      </c>
      <c r="W37" s="103" t="str">
        <f>IF(OR(入力シート!$C$5&lt;&gt;入力リスト!$C$3,COUNTIF(入力シート!$J$16:$S$23,入力リスト!$H$9)=0),"",IF(A37="","",IF(ISERROR(AVERAGEIF(従業員の給与情報!$B:$B,$A37,従業員の給与情報!$F:$F)),0,IF(ISERROR(AVERAGEIF(従業員の給与情報!$B:$B,$A37,従業員の給与情報!$F:$F)),0,AVERAGEIF(従業員の給与情報!$B:$B,$A37,従業員の給与情報!$F:$F)))))</f>
        <v/>
      </c>
    </row>
    <row r="38" spans="1:23" s="10" customFormat="1" ht="19.8">
      <c r="A38" s="252"/>
      <c r="B38" s="249"/>
      <c r="C38" s="250"/>
      <c r="D38" s="251"/>
      <c r="E38" s="252"/>
      <c r="F38" s="257" t="str">
        <f>IF($G$1,"",IF(COUNTIF(A38:E38,"")=5,"",IF(G38,入力リスト!$K$28,IF(OR(A38="",B38="",IF(COUNTIF($C$3,"*不要*"),"",C38=""),D38=""),IF(A38="","従業員番号","")&amp;IF(B38="","「雇用形態」","")&amp;IF(OR(入力シート!$J$18=入力リスト!$H$9,入力シート!$J$22=入力リスト!$H$9),IF(C38="","「入社年月日」",""),"")&amp;IF(D38="","「性別」","")&amp;IF(IF(A38="","従業員番号","")&amp;IF(B38="","「雇用形態」","")&amp;IF(OR(入力シート!$J$18=入力リスト!$H$9,入力シート!$J$22=入力リスト!$H$9),IF(C38="","「入社年月日」",""),"")&amp;IF(D38="","「性別」","")="","",入力リスト!$K$29),IF(J38,入力リスト!$K$30,"")&amp;IF(I38,入力リスト!$K$31,"")&amp;IF(H38,"「雇用形態」","")&amp;IF(K38,"「性別」","")&amp;IF(L38,"「役職」","")&amp;IF(OR(H38,K38,L38),入力リスト!$K$32,"")))))</f>
        <v/>
      </c>
      <c r="G38" s="209" t="b">
        <f>COUNTIF($A$4:A37,$A38)&gt;0</f>
        <v>0</v>
      </c>
      <c r="H38" s="210" t="b">
        <f>IF($H$1,FALSE,COUNTIF(入力シート!$S$37:$V$62,B38)=0)</f>
        <v>0</v>
      </c>
      <c r="I38" s="210" t="b">
        <f t="shared" si="2"/>
        <v>0</v>
      </c>
      <c r="J38" s="210" t="b">
        <f>IF($J$1,FALSE,IF(I38=TRUE,FALSE,IF(I38,FALSE,C38&gt;入力シート!$J$24)))</f>
        <v>0</v>
      </c>
      <c r="K38" s="210" t="b">
        <f>IF($K$1,FALSE,COUNTIF(入力シート!$AW$37:$BB$38,D38)=0)</f>
        <v>0</v>
      </c>
      <c r="L38" s="210" t="b">
        <f>IF($L$1,FALSE,IF($L$3,FALSE,IF(E38="",FALSE,COUNTIF(入力シート!$AH$37:$AK$62,E38)=0)))</f>
        <v>0</v>
      </c>
      <c r="M38" s="211" t="str">
        <f t="shared" si="1"/>
        <v/>
      </c>
      <c r="N38" s="211"/>
      <c r="O38" s="209" t="str">
        <f>IF(B38="","",VLOOKUP('従業員情報(給与以外)'!$B38,入力シート!$S$37:$Z$62,5,0))</f>
        <v/>
      </c>
      <c r="P38" s="156" t="str">
        <f>IF(ISNUMBER(C38)=FALSE,"",IF(C38&gt;入力シート!$J$24,"",_xlfn.DAYS(入力シート!$J$24,'従業員情報(給与以外)'!$C38)/365))</f>
        <v/>
      </c>
      <c r="Q38" s="210" t="str">
        <f>IF(P38="","",VLOOKUP(_xlfn.DAYS(入力シート!$J$24,'従業員情報(給与以外)'!$C38)/365,入力リスト!$K$18:$L$26,2,2))</f>
        <v/>
      </c>
      <c r="R38" s="209" t="str">
        <f>IF(D38="","",VLOOKUP('従業員情報(給与以外)'!$D38,入力シート!$AW$37:$BB$38,4,0))</f>
        <v/>
      </c>
      <c r="S38" s="209" t="str">
        <f>IF(A38="","",IF(E38="","非役職",VLOOKUP('従業員情報(給与以外)'!$E38,入力シート!$AH$37:$AO$62,5,0)))</f>
        <v/>
      </c>
      <c r="T38" s="102" t="str">
        <f>IF(OR(入力シート!$C$5&lt;&gt;入力リスト!$C$3,COUNTIF(入力シート!$J$16:$S$23,入力リスト!$H$9)=0),"",IF($A38="","",IF(ISERROR(AVERAGEIF(従業員の給与情報!$B:$B,$A38,従業員の給与情報!$C:$C)),0,IF(ISERROR(AVERAGEIF(従業員の給与情報!$B:$B,$A38,従業員の給与情報!$C:$C)),0,AVERAGEIF(従業員の給与情報!$B:$B,$A38,従業員の給与情報!$C:$C)))))</f>
        <v/>
      </c>
      <c r="U38" s="102" t="str">
        <f>IF(OR(入力シート!$C$5&lt;&gt;入力リスト!$C$3,COUNTIF(入力シート!$J$16:$S$23,入力リスト!$H$9)=0),"",IF(A38="","",IF(ISERROR(AVERAGEIF(従業員の給与情報!$B:$B,$A38,従業員の給与情報!$D:$D)),0,IF(ISERROR(AVERAGEIF(従業員の給与情報!$B:$B,$A38,従業員の給与情報!$D:$D)),0,AVERAGEIF(従業員の給与情報!$B:$B,$A38,従業員の給与情報!$D:$D)))))</f>
        <v/>
      </c>
      <c r="V38" s="102" t="str">
        <f>IF(OR(入力シート!$C$5&lt;&gt;入力リスト!$C$3,COUNTIF(入力シート!$J$16:$S$23,入力リスト!$H$9)=0),"",IF(A38="","",IF(ISERROR(AVERAGEIF(従業員の給与情報!$B:$B,$A38,従業員の給与情報!$E:$E)),0,IF(ISERROR(AVERAGEIF(従業員の給与情報!$B:$B,$A38,従業員の給与情報!$E:$E)),0,AVERAGEIF(従業員の給与情報!$B:$B,$A38,従業員の給与情報!$E:$E)))))</f>
        <v/>
      </c>
      <c r="W38" s="103" t="str">
        <f>IF(OR(入力シート!$C$5&lt;&gt;入力リスト!$C$3,COUNTIF(入力シート!$J$16:$S$23,入力リスト!$H$9)=0),"",IF(A38="","",IF(ISERROR(AVERAGEIF(従業員の給与情報!$B:$B,$A38,従業員の給与情報!$F:$F)),0,IF(ISERROR(AVERAGEIF(従業員の給与情報!$B:$B,$A38,従業員の給与情報!$F:$F)),0,AVERAGEIF(従業員の給与情報!$B:$B,$A38,従業員の給与情報!$F:$F)))))</f>
        <v/>
      </c>
    </row>
    <row r="39" spans="1:23" s="10" customFormat="1" ht="19.8">
      <c r="A39" s="252"/>
      <c r="B39" s="249"/>
      <c r="C39" s="250"/>
      <c r="D39" s="251"/>
      <c r="E39" s="252"/>
      <c r="F39" s="257" t="str">
        <f>IF($G$1,"",IF(COUNTIF(A39:E39,"")=5,"",IF(G39,入力リスト!$K$28,IF(OR(A39="",B39="",IF(COUNTIF($C$3,"*不要*"),"",C39=""),D39=""),IF(A39="","従業員番号","")&amp;IF(B39="","「雇用形態」","")&amp;IF(OR(入力シート!$J$18=入力リスト!$H$9,入力シート!$J$22=入力リスト!$H$9),IF(C39="","「入社年月日」",""),"")&amp;IF(D39="","「性別」","")&amp;IF(IF(A39="","従業員番号","")&amp;IF(B39="","「雇用形態」","")&amp;IF(OR(入力シート!$J$18=入力リスト!$H$9,入力シート!$J$22=入力リスト!$H$9),IF(C39="","「入社年月日」",""),"")&amp;IF(D39="","「性別」","")="","",入力リスト!$K$29),IF(J39,入力リスト!$K$30,"")&amp;IF(I39,入力リスト!$K$31,"")&amp;IF(H39,"「雇用形態」","")&amp;IF(K39,"「性別」","")&amp;IF(L39,"「役職」","")&amp;IF(OR(H39,K39,L39),入力リスト!$K$32,"")))))</f>
        <v/>
      </c>
      <c r="G39" s="209" t="b">
        <f>COUNTIF($A$4:A38,$A39)&gt;0</f>
        <v>0</v>
      </c>
      <c r="H39" s="210" t="b">
        <f>IF($H$1,FALSE,COUNTIF(入力シート!$S$37:$V$62,B39)=0)</f>
        <v>0</v>
      </c>
      <c r="I39" s="210" t="b">
        <f t="shared" si="2"/>
        <v>0</v>
      </c>
      <c r="J39" s="210" t="b">
        <f>IF($J$1,FALSE,IF(I39=TRUE,FALSE,IF(I39,FALSE,C39&gt;入力シート!$J$24)))</f>
        <v>0</v>
      </c>
      <c r="K39" s="210" t="b">
        <f>IF($K$1,FALSE,COUNTIF(入力シート!$AW$37:$BB$38,D39)=0)</f>
        <v>0</v>
      </c>
      <c r="L39" s="210" t="b">
        <f>IF($L$1,FALSE,IF($L$3,FALSE,IF(E39="",FALSE,COUNTIF(入力シート!$AH$37:$AK$62,E39)=0)))</f>
        <v>0</v>
      </c>
      <c r="M39" s="211" t="str">
        <f t="shared" si="1"/>
        <v/>
      </c>
      <c r="N39" s="211"/>
      <c r="O39" s="209" t="str">
        <f>IF(B39="","",VLOOKUP('従業員情報(給与以外)'!$B39,入力シート!$S$37:$Z$62,5,0))</f>
        <v/>
      </c>
      <c r="P39" s="156" t="str">
        <f>IF(ISNUMBER(C39)=FALSE,"",IF(C39&gt;入力シート!$J$24,"",_xlfn.DAYS(入力シート!$J$24,'従業員情報(給与以外)'!$C39)/365))</f>
        <v/>
      </c>
      <c r="Q39" s="210" t="str">
        <f>IF(P39="","",VLOOKUP(_xlfn.DAYS(入力シート!$J$24,'従業員情報(給与以外)'!$C39)/365,入力リスト!$K$18:$L$26,2,2))</f>
        <v/>
      </c>
      <c r="R39" s="209" t="str">
        <f>IF(D39="","",VLOOKUP('従業員情報(給与以外)'!$D39,入力シート!$AW$37:$BB$38,4,0))</f>
        <v/>
      </c>
      <c r="S39" s="209" t="str">
        <f>IF(A39="","",IF(E39="","非役職",VLOOKUP('従業員情報(給与以外)'!$E39,入力シート!$AH$37:$AO$62,5,0)))</f>
        <v/>
      </c>
      <c r="T39" s="102" t="str">
        <f>IF(OR(入力シート!$C$5&lt;&gt;入力リスト!$C$3,COUNTIF(入力シート!$J$16:$S$23,入力リスト!$H$9)=0),"",IF($A39="","",IF(ISERROR(AVERAGEIF(従業員の給与情報!$B:$B,$A39,従業員の給与情報!$C:$C)),0,IF(ISERROR(AVERAGEIF(従業員の給与情報!$B:$B,$A39,従業員の給与情報!$C:$C)),0,AVERAGEIF(従業員の給与情報!$B:$B,$A39,従業員の給与情報!$C:$C)))))</f>
        <v/>
      </c>
      <c r="U39" s="102" t="str">
        <f>IF(OR(入力シート!$C$5&lt;&gt;入力リスト!$C$3,COUNTIF(入力シート!$J$16:$S$23,入力リスト!$H$9)=0),"",IF(A39="","",IF(ISERROR(AVERAGEIF(従業員の給与情報!$B:$B,$A39,従業員の給与情報!$D:$D)),0,IF(ISERROR(AVERAGEIF(従業員の給与情報!$B:$B,$A39,従業員の給与情報!$D:$D)),0,AVERAGEIF(従業員の給与情報!$B:$B,$A39,従業員の給与情報!$D:$D)))))</f>
        <v/>
      </c>
      <c r="V39" s="102" t="str">
        <f>IF(OR(入力シート!$C$5&lt;&gt;入力リスト!$C$3,COUNTIF(入力シート!$J$16:$S$23,入力リスト!$H$9)=0),"",IF(A39="","",IF(ISERROR(AVERAGEIF(従業員の給与情報!$B:$B,$A39,従業員の給与情報!$E:$E)),0,IF(ISERROR(AVERAGEIF(従業員の給与情報!$B:$B,$A39,従業員の給与情報!$E:$E)),0,AVERAGEIF(従業員の給与情報!$B:$B,$A39,従業員の給与情報!$E:$E)))))</f>
        <v/>
      </c>
      <c r="W39" s="103" t="str">
        <f>IF(OR(入力シート!$C$5&lt;&gt;入力リスト!$C$3,COUNTIF(入力シート!$J$16:$S$23,入力リスト!$H$9)=0),"",IF(A39="","",IF(ISERROR(AVERAGEIF(従業員の給与情報!$B:$B,$A39,従業員の給与情報!$F:$F)),0,IF(ISERROR(AVERAGEIF(従業員の給与情報!$B:$B,$A39,従業員の給与情報!$F:$F)),0,AVERAGEIF(従業員の給与情報!$B:$B,$A39,従業員の給与情報!$F:$F)))))</f>
        <v/>
      </c>
    </row>
    <row r="40" spans="1:23" s="10" customFormat="1" ht="19.8">
      <c r="A40" s="252"/>
      <c r="B40" s="249"/>
      <c r="C40" s="250"/>
      <c r="D40" s="251"/>
      <c r="E40" s="252"/>
      <c r="F40" s="257" t="str">
        <f>IF($G$1,"",IF(COUNTIF(A40:E40,"")=5,"",IF(G40,入力リスト!$K$28,IF(OR(A40="",B40="",IF(COUNTIF($C$3,"*不要*"),"",C40=""),D40=""),IF(A40="","従業員番号","")&amp;IF(B40="","「雇用形態」","")&amp;IF(OR(入力シート!$J$18=入力リスト!$H$9,入力シート!$J$22=入力リスト!$H$9),IF(C40="","「入社年月日」",""),"")&amp;IF(D40="","「性別」","")&amp;IF(IF(A40="","従業員番号","")&amp;IF(B40="","「雇用形態」","")&amp;IF(OR(入力シート!$J$18=入力リスト!$H$9,入力シート!$J$22=入力リスト!$H$9),IF(C40="","「入社年月日」",""),"")&amp;IF(D40="","「性別」","")="","",入力リスト!$K$29),IF(J40,入力リスト!$K$30,"")&amp;IF(I40,入力リスト!$K$31,"")&amp;IF(H40,"「雇用形態」","")&amp;IF(K40,"「性別」","")&amp;IF(L40,"「役職」","")&amp;IF(OR(H40,K40,L40),入力リスト!$K$32,"")))))</f>
        <v/>
      </c>
      <c r="G40" s="209" t="b">
        <f>COUNTIF($A$4:A39,$A40)&gt;0</f>
        <v>0</v>
      </c>
      <c r="H40" s="210" t="b">
        <f>IF($H$1,FALSE,COUNTIF(入力シート!$S$37:$V$62,B40)=0)</f>
        <v>0</v>
      </c>
      <c r="I40" s="210" t="b">
        <f t="shared" si="2"/>
        <v>0</v>
      </c>
      <c r="J40" s="210" t="b">
        <f>IF($J$1,FALSE,IF(I40=TRUE,FALSE,IF(I40,FALSE,C40&gt;入力シート!$J$24)))</f>
        <v>0</v>
      </c>
      <c r="K40" s="210" t="b">
        <f>IF($K$1,FALSE,COUNTIF(入力シート!$AW$37:$BB$38,D40)=0)</f>
        <v>0</v>
      </c>
      <c r="L40" s="210" t="b">
        <f>IF($L$1,FALSE,IF($L$3,FALSE,IF(E40="",FALSE,COUNTIF(入力シート!$AH$37:$AK$62,E40)=0)))</f>
        <v>0</v>
      </c>
      <c r="M40" s="211" t="str">
        <f t="shared" si="1"/>
        <v/>
      </c>
      <c r="N40" s="211"/>
      <c r="O40" s="209" t="str">
        <f>IF(B40="","",VLOOKUP('従業員情報(給与以外)'!$B40,入力シート!$S$37:$Z$62,5,0))</f>
        <v/>
      </c>
      <c r="P40" s="156" t="str">
        <f>IF(ISNUMBER(C40)=FALSE,"",IF(C40&gt;入力シート!$J$24,"",_xlfn.DAYS(入力シート!$J$24,'従業員情報(給与以外)'!$C40)/365))</f>
        <v/>
      </c>
      <c r="Q40" s="210" t="str">
        <f>IF(P40="","",VLOOKUP(_xlfn.DAYS(入力シート!$J$24,'従業員情報(給与以外)'!$C40)/365,入力リスト!$K$18:$L$26,2,2))</f>
        <v/>
      </c>
      <c r="R40" s="209" t="str">
        <f>IF(D40="","",VLOOKUP('従業員情報(給与以外)'!$D40,入力シート!$AW$37:$BB$38,4,0))</f>
        <v/>
      </c>
      <c r="S40" s="209" t="str">
        <f>IF(A40="","",IF(E40="","非役職",VLOOKUP('従業員情報(給与以外)'!$E40,入力シート!$AH$37:$AO$62,5,0)))</f>
        <v/>
      </c>
      <c r="T40" s="102" t="str">
        <f>IF(OR(入力シート!$C$5&lt;&gt;入力リスト!$C$3,COUNTIF(入力シート!$J$16:$S$23,入力リスト!$H$9)=0),"",IF($A40="","",IF(ISERROR(AVERAGEIF(従業員の給与情報!$B:$B,$A40,従業員の給与情報!$C:$C)),0,IF(ISERROR(AVERAGEIF(従業員の給与情報!$B:$B,$A40,従業員の給与情報!$C:$C)),0,AVERAGEIF(従業員の給与情報!$B:$B,$A40,従業員の給与情報!$C:$C)))))</f>
        <v/>
      </c>
      <c r="U40" s="102" t="str">
        <f>IF(OR(入力シート!$C$5&lt;&gt;入力リスト!$C$3,COUNTIF(入力シート!$J$16:$S$23,入力リスト!$H$9)=0),"",IF(A40="","",IF(ISERROR(AVERAGEIF(従業員の給与情報!$B:$B,$A40,従業員の給与情報!$D:$D)),0,IF(ISERROR(AVERAGEIF(従業員の給与情報!$B:$B,$A40,従業員の給与情報!$D:$D)),0,AVERAGEIF(従業員の給与情報!$B:$B,$A40,従業員の給与情報!$D:$D)))))</f>
        <v/>
      </c>
      <c r="V40" s="102" t="str">
        <f>IF(OR(入力シート!$C$5&lt;&gt;入力リスト!$C$3,COUNTIF(入力シート!$J$16:$S$23,入力リスト!$H$9)=0),"",IF(A40="","",IF(ISERROR(AVERAGEIF(従業員の給与情報!$B:$B,$A40,従業員の給与情報!$E:$E)),0,IF(ISERROR(AVERAGEIF(従業員の給与情報!$B:$B,$A40,従業員の給与情報!$E:$E)),0,AVERAGEIF(従業員の給与情報!$B:$B,$A40,従業員の給与情報!$E:$E)))))</f>
        <v/>
      </c>
      <c r="W40" s="103" t="str">
        <f>IF(OR(入力シート!$C$5&lt;&gt;入力リスト!$C$3,COUNTIF(入力シート!$J$16:$S$23,入力リスト!$H$9)=0),"",IF(A40="","",IF(ISERROR(AVERAGEIF(従業員の給与情報!$B:$B,$A40,従業員の給与情報!$F:$F)),0,IF(ISERROR(AVERAGEIF(従業員の給与情報!$B:$B,$A40,従業員の給与情報!$F:$F)),0,AVERAGEIF(従業員の給与情報!$B:$B,$A40,従業員の給与情報!$F:$F)))))</f>
        <v/>
      </c>
    </row>
    <row r="41" spans="1:23" s="10" customFormat="1" ht="19.8">
      <c r="A41" s="252"/>
      <c r="B41" s="249"/>
      <c r="C41" s="250"/>
      <c r="D41" s="251"/>
      <c r="E41" s="252"/>
      <c r="F41" s="257" t="str">
        <f>IF($G$1,"",IF(COUNTIF(A41:E41,"")=5,"",IF(G41,入力リスト!$K$28,IF(OR(A41="",B41="",IF(COUNTIF($C$3,"*不要*"),"",C41=""),D41=""),IF(A41="","従業員番号","")&amp;IF(B41="","「雇用形態」","")&amp;IF(OR(入力シート!$J$18=入力リスト!$H$9,入力シート!$J$22=入力リスト!$H$9),IF(C41="","「入社年月日」",""),"")&amp;IF(D41="","「性別」","")&amp;IF(IF(A41="","従業員番号","")&amp;IF(B41="","「雇用形態」","")&amp;IF(OR(入力シート!$J$18=入力リスト!$H$9,入力シート!$J$22=入力リスト!$H$9),IF(C41="","「入社年月日」",""),"")&amp;IF(D41="","「性別」","")="","",入力リスト!$K$29),IF(J41,入力リスト!$K$30,"")&amp;IF(I41,入力リスト!$K$31,"")&amp;IF(H41,"「雇用形態」","")&amp;IF(K41,"「性別」","")&amp;IF(L41,"「役職」","")&amp;IF(OR(H41,K41,L41),入力リスト!$K$32,"")))))</f>
        <v/>
      </c>
      <c r="G41" s="209" t="b">
        <f>COUNTIF($A$4:A40,$A41)&gt;0</f>
        <v>0</v>
      </c>
      <c r="H41" s="210" t="b">
        <f>IF($H$1,FALSE,COUNTIF(入力シート!$S$37:$V$62,B41)=0)</f>
        <v>0</v>
      </c>
      <c r="I41" s="210" t="b">
        <f t="shared" si="2"/>
        <v>0</v>
      </c>
      <c r="J41" s="210" t="b">
        <f>IF($J$1,FALSE,IF(I41=TRUE,FALSE,IF(I41,FALSE,C41&gt;入力シート!$J$24)))</f>
        <v>0</v>
      </c>
      <c r="K41" s="210" t="b">
        <f>IF($K$1,FALSE,COUNTIF(入力シート!$AW$37:$BB$38,D41)=0)</f>
        <v>0</v>
      </c>
      <c r="L41" s="210" t="b">
        <f>IF($L$1,FALSE,IF($L$3,FALSE,IF(E41="",FALSE,COUNTIF(入力シート!$AH$37:$AK$62,E41)=0)))</f>
        <v>0</v>
      </c>
      <c r="M41" s="211" t="str">
        <f t="shared" si="1"/>
        <v/>
      </c>
      <c r="N41" s="211"/>
      <c r="O41" s="209" t="str">
        <f>IF(B41="","",VLOOKUP('従業員情報(給与以外)'!$B41,入力シート!$S$37:$Z$62,5,0))</f>
        <v/>
      </c>
      <c r="P41" s="156" t="str">
        <f>IF(ISNUMBER(C41)=FALSE,"",IF(C41&gt;入力シート!$J$24,"",_xlfn.DAYS(入力シート!$J$24,'従業員情報(給与以外)'!$C41)/365))</f>
        <v/>
      </c>
      <c r="Q41" s="210" t="str">
        <f>IF(P41="","",VLOOKUP(_xlfn.DAYS(入力シート!$J$24,'従業員情報(給与以外)'!$C41)/365,入力リスト!$K$18:$L$26,2,2))</f>
        <v/>
      </c>
      <c r="R41" s="209" t="str">
        <f>IF(D41="","",VLOOKUP('従業員情報(給与以外)'!$D41,入力シート!$AW$37:$BB$38,4,0))</f>
        <v/>
      </c>
      <c r="S41" s="209" t="str">
        <f>IF(A41="","",IF(E41="","非役職",VLOOKUP('従業員情報(給与以外)'!$E41,入力シート!$AH$37:$AO$62,5,0)))</f>
        <v/>
      </c>
      <c r="T41" s="102" t="str">
        <f>IF(OR(入力シート!$C$5&lt;&gt;入力リスト!$C$3,COUNTIF(入力シート!$J$16:$S$23,入力リスト!$H$9)=0),"",IF($A41="","",IF(ISERROR(AVERAGEIF(従業員の給与情報!$B:$B,$A41,従業員の給与情報!$C:$C)),0,IF(ISERROR(AVERAGEIF(従業員の給与情報!$B:$B,$A41,従業員の給与情報!$C:$C)),0,AVERAGEIF(従業員の給与情報!$B:$B,$A41,従業員の給与情報!$C:$C)))))</f>
        <v/>
      </c>
      <c r="U41" s="102" t="str">
        <f>IF(OR(入力シート!$C$5&lt;&gt;入力リスト!$C$3,COUNTIF(入力シート!$J$16:$S$23,入力リスト!$H$9)=0),"",IF(A41="","",IF(ISERROR(AVERAGEIF(従業員の給与情報!$B:$B,$A41,従業員の給与情報!$D:$D)),0,IF(ISERROR(AVERAGEIF(従業員の給与情報!$B:$B,$A41,従業員の給与情報!$D:$D)),0,AVERAGEIF(従業員の給与情報!$B:$B,$A41,従業員の給与情報!$D:$D)))))</f>
        <v/>
      </c>
      <c r="V41" s="102" t="str">
        <f>IF(OR(入力シート!$C$5&lt;&gt;入力リスト!$C$3,COUNTIF(入力シート!$J$16:$S$23,入力リスト!$H$9)=0),"",IF(A41="","",IF(ISERROR(AVERAGEIF(従業員の給与情報!$B:$B,$A41,従業員の給与情報!$E:$E)),0,IF(ISERROR(AVERAGEIF(従業員の給与情報!$B:$B,$A41,従業員の給与情報!$E:$E)),0,AVERAGEIF(従業員の給与情報!$B:$B,$A41,従業員の給与情報!$E:$E)))))</f>
        <v/>
      </c>
      <c r="W41" s="103" t="str">
        <f>IF(OR(入力シート!$C$5&lt;&gt;入力リスト!$C$3,COUNTIF(入力シート!$J$16:$S$23,入力リスト!$H$9)=0),"",IF(A41="","",IF(ISERROR(AVERAGEIF(従業員の給与情報!$B:$B,$A41,従業員の給与情報!$F:$F)),0,IF(ISERROR(AVERAGEIF(従業員の給与情報!$B:$B,$A41,従業員の給与情報!$F:$F)),0,AVERAGEIF(従業員の給与情報!$B:$B,$A41,従業員の給与情報!$F:$F)))))</f>
        <v/>
      </c>
    </row>
    <row r="42" spans="1:23" s="10" customFormat="1" ht="19.8">
      <c r="A42" s="252"/>
      <c r="B42" s="249"/>
      <c r="C42" s="250"/>
      <c r="D42" s="251"/>
      <c r="E42" s="252"/>
      <c r="F42" s="257" t="str">
        <f>IF($G$1,"",IF(COUNTIF(A42:E42,"")=5,"",IF(G42,入力リスト!$K$28,IF(OR(A42="",B42="",IF(COUNTIF($C$3,"*不要*"),"",C42=""),D42=""),IF(A42="","従業員番号","")&amp;IF(B42="","「雇用形態」","")&amp;IF(OR(入力シート!$J$18=入力リスト!$H$9,入力シート!$J$22=入力リスト!$H$9),IF(C42="","「入社年月日」",""),"")&amp;IF(D42="","「性別」","")&amp;IF(IF(A42="","従業員番号","")&amp;IF(B42="","「雇用形態」","")&amp;IF(OR(入力シート!$J$18=入力リスト!$H$9,入力シート!$J$22=入力リスト!$H$9),IF(C42="","「入社年月日」",""),"")&amp;IF(D42="","「性別」","")="","",入力リスト!$K$29),IF(J42,入力リスト!$K$30,"")&amp;IF(I42,入力リスト!$K$31,"")&amp;IF(H42,"「雇用形態」","")&amp;IF(K42,"「性別」","")&amp;IF(L42,"「役職」","")&amp;IF(OR(H42,K42,L42),入力リスト!$K$32,"")))))</f>
        <v/>
      </c>
      <c r="G42" s="209" t="b">
        <f>COUNTIF($A$4:A41,$A42)&gt;0</f>
        <v>0</v>
      </c>
      <c r="H42" s="210" t="b">
        <f>IF($H$1,FALSE,COUNTIF(入力シート!$S$37:$V$62,B42)=0)</f>
        <v>0</v>
      </c>
      <c r="I42" s="210" t="b">
        <f t="shared" si="2"/>
        <v>0</v>
      </c>
      <c r="J42" s="210" t="b">
        <f>IF($J$1,FALSE,IF(I42=TRUE,FALSE,IF(I42,FALSE,C42&gt;入力シート!$J$24)))</f>
        <v>0</v>
      </c>
      <c r="K42" s="210" t="b">
        <f>IF($K$1,FALSE,COUNTIF(入力シート!$AW$37:$BB$38,D42)=0)</f>
        <v>0</v>
      </c>
      <c r="L42" s="210" t="b">
        <f>IF($L$1,FALSE,IF($L$3,FALSE,IF(E42="",FALSE,COUNTIF(入力シート!$AH$37:$AK$62,E42)=0)))</f>
        <v>0</v>
      </c>
      <c r="M42" s="211" t="str">
        <f t="shared" si="1"/>
        <v/>
      </c>
      <c r="N42" s="211"/>
      <c r="O42" s="209" t="str">
        <f>IF(B42="","",VLOOKUP('従業員情報(給与以外)'!$B42,入力シート!$S$37:$Z$62,5,0))</f>
        <v/>
      </c>
      <c r="P42" s="156" t="str">
        <f>IF(ISNUMBER(C42)=FALSE,"",IF(C42&gt;入力シート!$J$24,"",_xlfn.DAYS(入力シート!$J$24,'従業員情報(給与以外)'!$C42)/365))</f>
        <v/>
      </c>
      <c r="Q42" s="210" t="str">
        <f>IF(P42="","",VLOOKUP(_xlfn.DAYS(入力シート!$J$24,'従業員情報(給与以外)'!$C42)/365,入力リスト!$K$18:$L$26,2,2))</f>
        <v/>
      </c>
      <c r="R42" s="209" t="str">
        <f>IF(D42="","",VLOOKUP('従業員情報(給与以外)'!$D42,入力シート!$AW$37:$BB$38,4,0))</f>
        <v/>
      </c>
      <c r="S42" s="209" t="str">
        <f>IF(A42="","",IF(E42="","非役職",VLOOKUP('従業員情報(給与以外)'!$E42,入力シート!$AH$37:$AO$62,5,0)))</f>
        <v/>
      </c>
      <c r="T42" s="102" t="str">
        <f>IF(OR(入力シート!$C$5&lt;&gt;入力リスト!$C$3,COUNTIF(入力シート!$J$16:$S$23,入力リスト!$H$9)=0),"",IF($A42="","",IF(ISERROR(AVERAGEIF(従業員の給与情報!$B:$B,$A42,従業員の給与情報!$C:$C)),0,IF(ISERROR(AVERAGEIF(従業員の給与情報!$B:$B,$A42,従業員の給与情報!$C:$C)),0,AVERAGEIF(従業員の給与情報!$B:$B,$A42,従業員の給与情報!$C:$C)))))</f>
        <v/>
      </c>
      <c r="U42" s="102" t="str">
        <f>IF(OR(入力シート!$C$5&lt;&gt;入力リスト!$C$3,COUNTIF(入力シート!$J$16:$S$23,入力リスト!$H$9)=0),"",IF(A42="","",IF(ISERROR(AVERAGEIF(従業員の給与情報!$B:$B,$A42,従業員の給与情報!$D:$D)),0,IF(ISERROR(AVERAGEIF(従業員の給与情報!$B:$B,$A42,従業員の給与情報!$D:$D)),0,AVERAGEIF(従業員の給与情報!$B:$B,$A42,従業員の給与情報!$D:$D)))))</f>
        <v/>
      </c>
      <c r="V42" s="102" t="str">
        <f>IF(OR(入力シート!$C$5&lt;&gt;入力リスト!$C$3,COUNTIF(入力シート!$J$16:$S$23,入力リスト!$H$9)=0),"",IF(A42="","",IF(ISERROR(AVERAGEIF(従業員の給与情報!$B:$B,$A42,従業員の給与情報!$E:$E)),0,IF(ISERROR(AVERAGEIF(従業員の給与情報!$B:$B,$A42,従業員の給与情報!$E:$E)),0,AVERAGEIF(従業員の給与情報!$B:$B,$A42,従業員の給与情報!$E:$E)))))</f>
        <v/>
      </c>
      <c r="W42" s="103" t="str">
        <f>IF(OR(入力シート!$C$5&lt;&gt;入力リスト!$C$3,COUNTIF(入力シート!$J$16:$S$23,入力リスト!$H$9)=0),"",IF(A42="","",IF(ISERROR(AVERAGEIF(従業員の給与情報!$B:$B,$A42,従業員の給与情報!$F:$F)),0,IF(ISERROR(AVERAGEIF(従業員の給与情報!$B:$B,$A42,従業員の給与情報!$F:$F)),0,AVERAGEIF(従業員の給与情報!$B:$B,$A42,従業員の給与情報!$F:$F)))))</f>
        <v/>
      </c>
    </row>
    <row r="43" spans="1:23" s="10" customFormat="1" ht="19.8">
      <c r="A43" s="252"/>
      <c r="B43" s="249"/>
      <c r="C43" s="250"/>
      <c r="D43" s="251"/>
      <c r="E43" s="252"/>
      <c r="F43" s="257" t="str">
        <f>IF($G$1,"",IF(COUNTIF(A43:E43,"")=5,"",IF(G43,入力リスト!$K$28,IF(OR(A43="",B43="",IF(COUNTIF($C$3,"*不要*"),"",C43=""),D43=""),IF(A43="","従業員番号","")&amp;IF(B43="","「雇用形態」","")&amp;IF(OR(入力シート!$J$18=入力リスト!$H$9,入力シート!$J$22=入力リスト!$H$9),IF(C43="","「入社年月日」",""),"")&amp;IF(D43="","「性別」","")&amp;IF(IF(A43="","従業員番号","")&amp;IF(B43="","「雇用形態」","")&amp;IF(OR(入力シート!$J$18=入力リスト!$H$9,入力シート!$J$22=入力リスト!$H$9),IF(C43="","「入社年月日」",""),"")&amp;IF(D43="","「性別」","")="","",入力リスト!$K$29),IF(J43,入力リスト!$K$30,"")&amp;IF(I43,入力リスト!$K$31,"")&amp;IF(H43,"「雇用形態」","")&amp;IF(K43,"「性別」","")&amp;IF(L43,"「役職」","")&amp;IF(OR(H43,K43,L43),入力リスト!$K$32,"")))))</f>
        <v/>
      </c>
      <c r="G43" s="209" t="b">
        <f>COUNTIF($A$4:A42,$A43)&gt;0</f>
        <v>0</v>
      </c>
      <c r="H43" s="210" t="b">
        <f>IF($H$1,FALSE,COUNTIF(入力シート!$S$37:$V$62,B43)=0)</f>
        <v>0</v>
      </c>
      <c r="I43" s="210" t="b">
        <f t="shared" si="2"/>
        <v>0</v>
      </c>
      <c r="J43" s="210" t="b">
        <f>IF($J$1,FALSE,IF(I43=TRUE,FALSE,IF(I43,FALSE,C43&gt;入力シート!$J$24)))</f>
        <v>0</v>
      </c>
      <c r="K43" s="210" t="b">
        <f>IF($K$1,FALSE,COUNTIF(入力シート!$AW$37:$BB$38,D43)=0)</f>
        <v>0</v>
      </c>
      <c r="L43" s="210" t="b">
        <f>IF($L$1,FALSE,IF($L$3,FALSE,IF(E43="",FALSE,COUNTIF(入力シート!$AH$37:$AK$62,E43)=0)))</f>
        <v>0</v>
      </c>
      <c r="M43" s="211" t="str">
        <f t="shared" si="1"/>
        <v/>
      </c>
      <c r="N43" s="211"/>
      <c r="O43" s="209" t="str">
        <f>IF(B43="","",VLOOKUP('従業員情報(給与以外)'!$B43,入力シート!$S$37:$Z$62,5,0))</f>
        <v/>
      </c>
      <c r="P43" s="156" t="str">
        <f>IF(ISNUMBER(C43)=FALSE,"",IF(C43&gt;入力シート!$J$24,"",_xlfn.DAYS(入力シート!$J$24,'従業員情報(給与以外)'!$C43)/365))</f>
        <v/>
      </c>
      <c r="Q43" s="210" t="str">
        <f>IF(P43="","",VLOOKUP(_xlfn.DAYS(入力シート!$J$24,'従業員情報(給与以外)'!$C43)/365,入力リスト!$K$18:$L$26,2,2))</f>
        <v/>
      </c>
      <c r="R43" s="209" t="str">
        <f>IF(D43="","",VLOOKUP('従業員情報(給与以外)'!$D43,入力シート!$AW$37:$BB$38,4,0))</f>
        <v/>
      </c>
      <c r="S43" s="209" t="str">
        <f>IF(A43="","",IF(E43="","非役職",VLOOKUP('従業員情報(給与以外)'!$E43,入力シート!$AH$37:$AO$62,5,0)))</f>
        <v/>
      </c>
      <c r="T43" s="102" t="str">
        <f>IF(OR(入力シート!$C$5&lt;&gt;入力リスト!$C$3,COUNTIF(入力シート!$J$16:$S$23,入力リスト!$H$9)=0),"",IF($A43="","",IF(ISERROR(AVERAGEIF(従業員の給与情報!$B:$B,$A43,従業員の給与情報!$C:$C)),0,IF(ISERROR(AVERAGEIF(従業員の給与情報!$B:$B,$A43,従業員の給与情報!$C:$C)),0,AVERAGEIF(従業員の給与情報!$B:$B,$A43,従業員の給与情報!$C:$C)))))</f>
        <v/>
      </c>
      <c r="U43" s="102" t="str">
        <f>IF(OR(入力シート!$C$5&lt;&gt;入力リスト!$C$3,COUNTIF(入力シート!$J$16:$S$23,入力リスト!$H$9)=0),"",IF(A43="","",IF(ISERROR(AVERAGEIF(従業員の給与情報!$B:$B,$A43,従業員の給与情報!$D:$D)),0,IF(ISERROR(AVERAGEIF(従業員の給与情報!$B:$B,$A43,従業員の給与情報!$D:$D)),0,AVERAGEIF(従業員の給与情報!$B:$B,$A43,従業員の給与情報!$D:$D)))))</f>
        <v/>
      </c>
      <c r="V43" s="102" t="str">
        <f>IF(OR(入力シート!$C$5&lt;&gt;入力リスト!$C$3,COUNTIF(入力シート!$J$16:$S$23,入力リスト!$H$9)=0),"",IF(A43="","",IF(ISERROR(AVERAGEIF(従業員の給与情報!$B:$B,$A43,従業員の給与情報!$E:$E)),0,IF(ISERROR(AVERAGEIF(従業員の給与情報!$B:$B,$A43,従業員の給与情報!$E:$E)),0,AVERAGEIF(従業員の給与情報!$B:$B,$A43,従業員の給与情報!$E:$E)))))</f>
        <v/>
      </c>
      <c r="W43" s="103" t="str">
        <f>IF(OR(入力シート!$C$5&lt;&gt;入力リスト!$C$3,COUNTIF(入力シート!$J$16:$S$23,入力リスト!$H$9)=0),"",IF(A43="","",IF(ISERROR(AVERAGEIF(従業員の給与情報!$B:$B,$A43,従業員の給与情報!$F:$F)),0,IF(ISERROR(AVERAGEIF(従業員の給与情報!$B:$B,$A43,従業員の給与情報!$F:$F)),0,AVERAGEIF(従業員の給与情報!$B:$B,$A43,従業員の給与情報!$F:$F)))))</f>
        <v/>
      </c>
    </row>
    <row r="44" spans="1:23" s="10" customFormat="1" ht="19.8">
      <c r="A44" s="252"/>
      <c r="B44" s="249"/>
      <c r="C44" s="250"/>
      <c r="D44" s="251"/>
      <c r="E44" s="252"/>
      <c r="F44" s="257" t="str">
        <f>IF($G$1,"",IF(COUNTIF(A44:E44,"")=5,"",IF(G44,入力リスト!$K$28,IF(OR(A44="",B44="",IF(COUNTIF($C$3,"*不要*"),"",C44=""),D44=""),IF(A44="","従業員番号","")&amp;IF(B44="","「雇用形態」","")&amp;IF(OR(入力シート!$J$18=入力リスト!$H$9,入力シート!$J$22=入力リスト!$H$9),IF(C44="","「入社年月日」",""),"")&amp;IF(D44="","「性別」","")&amp;IF(IF(A44="","従業員番号","")&amp;IF(B44="","「雇用形態」","")&amp;IF(OR(入力シート!$J$18=入力リスト!$H$9,入力シート!$J$22=入力リスト!$H$9),IF(C44="","「入社年月日」",""),"")&amp;IF(D44="","「性別」","")="","",入力リスト!$K$29),IF(J44,入力リスト!$K$30,"")&amp;IF(I44,入力リスト!$K$31,"")&amp;IF(H44,"「雇用形態」","")&amp;IF(K44,"「性別」","")&amp;IF(L44,"「役職」","")&amp;IF(OR(H44,K44,L44),入力リスト!$K$32,"")))))</f>
        <v/>
      </c>
      <c r="G44" s="209" t="b">
        <f>COUNTIF($A$4:A43,$A44)&gt;0</f>
        <v>0</v>
      </c>
      <c r="H44" s="210" t="b">
        <f>IF($H$1,FALSE,COUNTIF(入力シート!$S$37:$V$62,B44)=0)</f>
        <v>0</v>
      </c>
      <c r="I44" s="210" t="b">
        <f t="shared" si="2"/>
        <v>0</v>
      </c>
      <c r="J44" s="210" t="b">
        <f>IF($J$1,FALSE,IF(I44=TRUE,FALSE,IF(I44,FALSE,C44&gt;入力シート!$J$24)))</f>
        <v>0</v>
      </c>
      <c r="K44" s="210" t="b">
        <f>IF($K$1,FALSE,COUNTIF(入力シート!$AW$37:$BB$38,D44)=0)</f>
        <v>0</v>
      </c>
      <c r="L44" s="210" t="b">
        <f>IF($L$1,FALSE,IF($L$3,FALSE,IF(E44="",FALSE,COUNTIF(入力シート!$AH$37:$AK$62,E44)=0)))</f>
        <v>0</v>
      </c>
      <c r="M44" s="211" t="str">
        <f t="shared" si="1"/>
        <v/>
      </c>
      <c r="N44" s="211"/>
      <c r="O44" s="209" t="str">
        <f>IF(B44="","",VLOOKUP('従業員情報(給与以外)'!$B44,入力シート!$S$37:$Z$62,5,0))</f>
        <v/>
      </c>
      <c r="P44" s="156" t="str">
        <f>IF(ISNUMBER(C44)=FALSE,"",IF(C44&gt;入力シート!$J$24,"",_xlfn.DAYS(入力シート!$J$24,'従業員情報(給与以外)'!$C44)/365))</f>
        <v/>
      </c>
      <c r="Q44" s="210" t="str">
        <f>IF(P44="","",VLOOKUP(_xlfn.DAYS(入力シート!$J$24,'従業員情報(給与以外)'!$C44)/365,入力リスト!$K$18:$L$26,2,2))</f>
        <v/>
      </c>
      <c r="R44" s="209" t="str">
        <f>IF(D44="","",VLOOKUP('従業員情報(給与以外)'!$D44,入力シート!$AW$37:$BB$38,4,0))</f>
        <v/>
      </c>
      <c r="S44" s="209" t="str">
        <f>IF(A44="","",IF(E44="","非役職",VLOOKUP('従業員情報(給与以外)'!$E44,入力シート!$AH$37:$AO$62,5,0)))</f>
        <v/>
      </c>
      <c r="T44" s="102" t="str">
        <f>IF(OR(入力シート!$C$5&lt;&gt;入力リスト!$C$3,COUNTIF(入力シート!$J$16:$S$23,入力リスト!$H$9)=0),"",IF($A44="","",IF(ISERROR(AVERAGEIF(従業員の給与情報!$B:$B,$A44,従業員の給与情報!$C:$C)),0,IF(ISERROR(AVERAGEIF(従業員の給与情報!$B:$B,$A44,従業員の給与情報!$C:$C)),0,AVERAGEIF(従業員の給与情報!$B:$B,$A44,従業員の給与情報!$C:$C)))))</f>
        <v/>
      </c>
      <c r="U44" s="102" t="str">
        <f>IF(OR(入力シート!$C$5&lt;&gt;入力リスト!$C$3,COUNTIF(入力シート!$J$16:$S$23,入力リスト!$H$9)=0),"",IF(A44="","",IF(ISERROR(AVERAGEIF(従業員の給与情報!$B:$B,$A44,従業員の給与情報!$D:$D)),0,IF(ISERROR(AVERAGEIF(従業員の給与情報!$B:$B,$A44,従業員の給与情報!$D:$D)),0,AVERAGEIF(従業員の給与情報!$B:$B,$A44,従業員の給与情報!$D:$D)))))</f>
        <v/>
      </c>
      <c r="V44" s="102" t="str">
        <f>IF(OR(入力シート!$C$5&lt;&gt;入力リスト!$C$3,COUNTIF(入力シート!$J$16:$S$23,入力リスト!$H$9)=0),"",IF(A44="","",IF(ISERROR(AVERAGEIF(従業員の給与情報!$B:$B,$A44,従業員の給与情報!$E:$E)),0,IF(ISERROR(AVERAGEIF(従業員の給与情報!$B:$B,$A44,従業員の給与情報!$E:$E)),0,AVERAGEIF(従業員の給与情報!$B:$B,$A44,従業員の給与情報!$E:$E)))))</f>
        <v/>
      </c>
      <c r="W44" s="103" t="str">
        <f>IF(OR(入力シート!$C$5&lt;&gt;入力リスト!$C$3,COUNTIF(入力シート!$J$16:$S$23,入力リスト!$H$9)=0),"",IF(A44="","",IF(ISERROR(AVERAGEIF(従業員の給与情報!$B:$B,$A44,従業員の給与情報!$F:$F)),0,IF(ISERROR(AVERAGEIF(従業員の給与情報!$B:$B,$A44,従業員の給与情報!$F:$F)),0,AVERAGEIF(従業員の給与情報!$B:$B,$A44,従業員の給与情報!$F:$F)))))</f>
        <v/>
      </c>
    </row>
    <row r="45" spans="1:23" s="10" customFormat="1" ht="19.8">
      <c r="A45" s="252"/>
      <c r="B45" s="249"/>
      <c r="C45" s="250"/>
      <c r="D45" s="251"/>
      <c r="E45" s="252"/>
      <c r="F45" s="257" t="str">
        <f>IF($G$1,"",IF(COUNTIF(A45:E45,"")=5,"",IF(G45,入力リスト!$K$28,IF(OR(A45="",B45="",IF(COUNTIF($C$3,"*不要*"),"",C45=""),D45=""),IF(A45="","従業員番号","")&amp;IF(B45="","「雇用形態」","")&amp;IF(OR(入力シート!$J$18=入力リスト!$H$9,入力シート!$J$22=入力リスト!$H$9),IF(C45="","「入社年月日」",""),"")&amp;IF(D45="","「性別」","")&amp;IF(IF(A45="","従業員番号","")&amp;IF(B45="","「雇用形態」","")&amp;IF(OR(入力シート!$J$18=入力リスト!$H$9,入力シート!$J$22=入力リスト!$H$9),IF(C45="","「入社年月日」",""),"")&amp;IF(D45="","「性別」","")="","",入力リスト!$K$29),IF(J45,入力リスト!$K$30,"")&amp;IF(I45,入力リスト!$K$31,"")&amp;IF(H45,"「雇用形態」","")&amp;IF(K45,"「性別」","")&amp;IF(L45,"「役職」","")&amp;IF(OR(H45,K45,L45),入力リスト!$K$32,"")))))</f>
        <v/>
      </c>
      <c r="G45" s="209" t="b">
        <f>COUNTIF($A$4:A44,$A45)&gt;0</f>
        <v>0</v>
      </c>
      <c r="H45" s="210" t="b">
        <f>IF($H$1,FALSE,COUNTIF(入力シート!$S$37:$V$62,B45)=0)</f>
        <v>0</v>
      </c>
      <c r="I45" s="210" t="b">
        <f t="shared" si="2"/>
        <v>0</v>
      </c>
      <c r="J45" s="210" t="b">
        <f>IF($J$1,FALSE,IF(I45=TRUE,FALSE,IF(I45,FALSE,C45&gt;入力シート!$J$24)))</f>
        <v>0</v>
      </c>
      <c r="K45" s="210" t="b">
        <f>IF($K$1,FALSE,COUNTIF(入力シート!$AW$37:$BB$38,D45)=0)</f>
        <v>0</v>
      </c>
      <c r="L45" s="210" t="b">
        <f>IF($L$1,FALSE,IF($L$3,FALSE,IF(E45="",FALSE,COUNTIF(入力シート!$AH$37:$AK$62,E45)=0)))</f>
        <v>0</v>
      </c>
      <c r="M45" s="211" t="str">
        <f t="shared" si="1"/>
        <v/>
      </c>
      <c r="N45" s="211"/>
      <c r="O45" s="209" t="str">
        <f>IF(B45="","",VLOOKUP('従業員情報(給与以外)'!$B45,入力シート!$S$37:$Z$62,5,0))</f>
        <v/>
      </c>
      <c r="P45" s="156" t="str">
        <f>IF(ISNUMBER(C45)=FALSE,"",IF(C45&gt;入力シート!$J$24,"",_xlfn.DAYS(入力シート!$J$24,'従業員情報(給与以外)'!$C45)/365))</f>
        <v/>
      </c>
      <c r="Q45" s="210" t="str">
        <f>IF(P45="","",VLOOKUP(_xlfn.DAYS(入力シート!$J$24,'従業員情報(給与以外)'!$C45)/365,入力リスト!$K$18:$L$26,2,2))</f>
        <v/>
      </c>
      <c r="R45" s="209" t="str">
        <f>IF(D45="","",VLOOKUP('従業員情報(給与以外)'!$D45,入力シート!$AW$37:$BB$38,4,0))</f>
        <v/>
      </c>
      <c r="S45" s="209" t="str">
        <f>IF(A45="","",IF(E45="","非役職",VLOOKUP('従業員情報(給与以外)'!$E45,入力シート!$AH$37:$AO$62,5,0)))</f>
        <v/>
      </c>
      <c r="T45" s="102" t="str">
        <f>IF(OR(入力シート!$C$5&lt;&gt;入力リスト!$C$3,COUNTIF(入力シート!$J$16:$S$23,入力リスト!$H$9)=0),"",IF($A45="","",IF(ISERROR(AVERAGEIF(従業員の給与情報!$B:$B,$A45,従業員の給与情報!$C:$C)),0,IF(ISERROR(AVERAGEIF(従業員の給与情報!$B:$B,$A45,従業員の給与情報!$C:$C)),0,AVERAGEIF(従業員の給与情報!$B:$B,$A45,従業員の給与情報!$C:$C)))))</f>
        <v/>
      </c>
      <c r="U45" s="102" t="str">
        <f>IF(OR(入力シート!$C$5&lt;&gt;入力リスト!$C$3,COUNTIF(入力シート!$J$16:$S$23,入力リスト!$H$9)=0),"",IF(A45="","",IF(ISERROR(AVERAGEIF(従業員の給与情報!$B:$B,$A45,従業員の給与情報!$D:$D)),0,IF(ISERROR(AVERAGEIF(従業員の給与情報!$B:$B,$A45,従業員の給与情報!$D:$D)),0,AVERAGEIF(従業員の給与情報!$B:$B,$A45,従業員の給与情報!$D:$D)))))</f>
        <v/>
      </c>
      <c r="V45" s="102" t="str">
        <f>IF(OR(入力シート!$C$5&lt;&gt;入力リスト!$C$3,COUNTIF(入力シート!$J$16:$S$23,入力リスト!$H$9)=0),"",IF(A45="","",IF(ISERROR(AVERAGEIF(従業員の給与情報!$B:$B,$A45,従業員の給与情報!$E:$E)),0,IF(ISERROR(AVERAGEIF(従業員の給与情報!$B:$B,$A45,従業員の給与情報!$E:$E)),0,AVERAGEIF(従業員の給与情報!$B:$B,$A45,従業員の給与情報!$E:$E)))))</f>
        <v/>
      </c>
      <c r="W45" s="103" t="str">
        <f>IF(OR(入力シート!$C$5&lt;&gt;入力リスト!$C$3,COUNTIF(入力シート!$J$16:$S$23,入力リスト!$H$9)=0),"",IF(A45="","",IF(ISERROR(AVERAGEIF(従業員の給与情報!$B:$B,$A45,従業員の給与情報!$F:$F)),0,IF(ISERROR(AVERAGEIF(従業員の給与情報!$B:$B,$A45,従業員の給与情報!$F:$F)),0,AVERAGEIF(従業員の給与情報!$B:$B,$A45,従業員の給与情報!$F:$F)))))</f>
        <v/>
      </c>
    </row>
    <row r="46" spans="1:23" s="10" customFormat="1" ht="19.8">
      <c r="A46" s="252"/>
      <c r="B46" s="249"/>
      <c r="C46" s="250"/>
      <c r="D46" s="251"/>
      <c r="E46" s="252"/>
      <c r="F46" s="257" t="str">
        <f>IF($G$1,"",IF(COUNTIF(A46:E46,"")=5,"",IF(G46,入力リスト!$K$28,IF(OR(A46="",B46="",IF(COUNTIF($C$3,"*不要*"),"",C46=""),D46=""),IF(A46="","従業員番号","")&amp;IF(B46="","「雇用形態」","")&amp;IF(OR(入力シート!$J$18=入力リスト!$H$9,入力シート!$J$22=入力リスト!$H$9),IF(C46="","「入社年月日」",""),"")&amp;IF(D46="","「性別」","")&amp;IF(IF(A46="","従業員番号","")&amp;IF(B46="","「雇用形態」","")&amp;IF(OR(入力シート!$J$18=入力リスト!$H$9,入力シート!$J$22=入力リスト!$H$9),IF(C46="","「入社年月日」",""),"")&amp;IF(D46="","「性別」","")="","",入力リスト!$K$29),IF(J46,入力リスト!$K$30,"")&amp;IF(I46,入力リスト!$K$31,"")&amp;IF(H46,"「雇用形態」","")&amp;IF(K46,"「性別」","")&amp;IF(L46,"「役職」","")&amp;IF(OR(H46,K46,L46),入力リスト!$K$32,"")))))</f>
        <v/>
      </c>
      <c r="G46" s="209" t="b">
        <f>COUNTIF($A$4:A45,$A46)&gt;0</f>
        <v>0</v>
      </c>
      <c r="H46" s="210" t="b">
        <f>IF($H$1,FALSE,COUNTIF(入力シート!$S$37:$V$62,B46)=0)</f>
        <v>0</v>
      </c>
      <c r="I46" s="210" t="b">
        <f t="shared" si="2"/>
        <v>0</v>
      </c>
      <c r="J46" s="210" t="b">
        <f>IF($J$1,FALSE,IF(I46=TRUE,FALSE,IF(I46,FALSE,C46&gt;入力シート!$J$24)))</f>
        <v>0</v>
      </c>
      <c r="K46" s="210" t="b">
        <f>IF($K$1,FALSE,COUNTIF(入力シート!$AW$37:$BB$38,D46)=0)</f>
        <v>0</v>
      </c>
      <c r="L46" s="210" t="b">
        <f>IF($L$1,FALSE,IF($L$3,FALSE,IF(E46="",FALSE,COUNTIF(入力シート!$AH$37:$AK$62,E46)=0)))</f>
        <v>0</v>
      </c>
      <c r="M46" s="211" t="str">
        <f t="shared" si="1"/>
        <v/>
      </c>
      <c r="N46" s="211"/>
      <c r="O46" s="209" t="str">
        <f>IF(B46="","",VLOOKUP('従業員情報(給与以外)'!$B46,入力シート!$S$37:$Z$62,5,0))</f>
        <v/>
      </c>
      <c r="P46" s="156" t="str">
        <f>IF(ISNUMBER(C46)=FALSE,"",IF(C46&gt;入力シート!$J$24,"",_xlfn.DAYS(入力シート!$J$24,'従業員情報(給与以外)'!$C46)/365))</f>
        <v/>
      </c>
      <c r="Q46" s="210" t="str">
        <f>IF(P46="","",VLOOKUP(_xlfn.DAYS(入力シート!$J$24,'従業員情報(給与以外)'!$C46)/365,入力リスト!$K$18:$L$26,2,2))</f>
        <v/>
      </c>
      <c r="R46" s="209" t="str">
        <f>IF(D46="","",VLOOKUP('従業員情報(給与以外)'!$D46,入力シート!$AW$37:$BB$38,4,0))</f>
        <v/>
      </c>
      <c r="S46" s="209" t="str">
        <f>IF(A46="","",IF(E46="","非役職",VLOOKUP('従業員情報(給与以外)'!$E46,入力シート!$AH$37:$AO$62,5,0)))</f>
        <v/>
      </c>
      <c r="T46" s="102" t="str">
        <f>IF(OR(入力シート!$C$5&lt;&gt;入力リスト!$C$3,COUNTIF(入力シート!$J$16:$S$23,入力リスト!$H$9)=0),"",IF($A46="","",IF(ISERROR(AVERAGEIF(従業員の給与情報!$B:$B,$A46,従業員の給与情報!$C:$C)),0,IF(ISERROR(AVERAGEIF(従業員の給与情報!$B:$B,$A46,従業員の給与情報!$C:$C)),0,AVERAGEIF(従業員の給与情報!$B:$B,$A46,従業員の給与情報!$C:$C)))))</f>
        <v/>
      </c>
      <c r="U46" s="102" t="str">
        <f>IF(OR(入力シート!$C$5&lt;&gt;入力リスト!$C$3,COUNTIF(入力シート!$J$16:$S$23,入力リスト!$H$9)=0),"",IF(A46="","",IF(ISERROR(AVERAGEIF(従業員の給与情報!$B:$B,$A46,従業員の給与情報!$D:$D)),0,IF(ISERROR(AVERAGEIF(従業員の給与情報!$B:$B,$A46,従業員の給与情報!$D:$D)),0,AVERAGEIF(従業員の給与情報!$B:$B,$A46,従業員の給与情報!$D:$D)))))</f>
        <v/>
      </c>
      <c r="V46" s="102" t="str">
        <f>IF(OR(入力シート!$C$5&lt;&gt;入力リスト!$C$3,COUNTIF(入力シート!$J$16:$S$23,入力リスト!$H$9)=0),"",IF(A46="","",IF(ISERROR(AVERAGEIF(従業員の給与情報!$B:$B,$A46,従業員の給与情報!$E:$E)),0,IF(ISERROR(AVERAGEIF(従業員の給与情報!$B:$B,$A46,従業員の給与情報!$E:$E)),0,AVERAGEIF(従業員の給与情報!$B:$B,$A46,従業員の給与情報!$E:$E)))))</f>
        <v/>
      </c>
      <c r="W46" s="103" t="str">
        <f>IF(OR(入力シート!$C$5&lt;&gt;入力リスト!$C$3,COUNTIF(入力シート!$J$16:$S$23,入力リスト!$H$9)=0),"",IF(A46="","",IF(ISERROR(AVERAGEIF(従業員の給与情報!$B:$B,$A46,従業員の給与情報!$F:$F)),0,IF(ISERROR(AVERAGEIF(従業員の給与情報!$B:$B,$A46,従業員の給与情報!$F:$F)),0,AVERAGEIF(従業員の給与情報!$B:$B,$A46,従業員の給与情報!$F:$F)))))</f>
        <v/>
      </c>
    </row>
    <row r="47" spans="1:23" s="10" customFormat="1" ht="19.8">
      <c r="A47" s="252"/>
      <c r="B47" s="249"/>
      <c r="C47" s="250"/>
      <c r="D47" s="251"/>
      <c r="E47" s="252"/>
      <c r="F47" s="257" t="str">
        <f>IF($G$1,"",IF(COUNTIF(A47:E47,"")=5,"",IF(G47,入力リスト!$K$28,IF(OR(A47="",B47="",IF(COUNTIF($C$3,"*不要*"),"",C47=""),D47=""),IF(A47="","従業員番号","")&amp;IF(B47="","「雇用形態」","")&amp;IF(OR(入力シート!$J$18=入力リスト!$H$9,入力シート!$J$22=入力リスト!$H$9),IF(C47="","「入社年月日」",""),"")&amp;IF(D47="","「性別」","")&amp;IF(IF(A47="","従業員番号","")&amp;IF(B47="","「雇用形態」","")&amp;IF(OR(入力シート!$J$18=入力リスト!$H$9,入力シート!$J$22=入力リスト!$H$9),IF(C47="","「入社年月日」",""),"")&amp;IF(D47="","「性別」","")="","",入力リスト!$K$29),IF(J47,入力リスト!$K$30,"")&amp;IF(I47,入力リスト!$K$31,"")&amp;IF(H47,"「雇用形態」","")&amp;IF(K47,"「性別」","")&amp;IF(L47,"「役職」","")&amp;IF(OR(H47,K47,L47),入力リスト!$K$32,"")))))</f>
        <v/>
      </c>
      <c r="G47" s="209" t="b">
        <f>COUNTIF($A$4:A46,$A47)&gt;0</f>
        <v>0</v>
      </c>
      <c r="H47" s="210" t="b">
        <f>IF($H$1,FALSE,COUNTIF(入力シート!$S$37:$V$62,B47)=0)</f>
        <v>0</v>
      </c>
      <c r="I47" s="210" t="b">
        <f t="shared" si="2"/>
        <v>0</v>
      </c>
      <c r="J47" s="210" t="b">
        <f>IF($J$1,FALSE,IF(I47=TRUE,FALSE,IF(I47,FALSE,C47&gt;入力シート!$J$24)))</f>
        <v>0</v>
      </c>
      <c r="K47" s="210" t="b">
        <f>IF($K$1,FALSE,COUNTIF(入力シート!$AW$37:$BB$38,D47)=0)</f>
        <v>0</v>
      </c>
      <c r="L47" s="210" t="b">
        <f>IF($L$1,FALSE,IF($L$3,FALSE,IF(E47="",FALSE,COUNTIF(入力シート!$AH$37:$AK$62,E47)=0)))</f>
        <v>0</v>
      </c>
      <c r="M47" s="211" t="str">
        <f t="shared" si="1"/>
        <v/>
      </c>
      <c r="N47" s="211"/>
      <c r="O47" s="209" t="str">
        <f>IF(B47="","",VLOOKUP('従業員情報(給与以外)'!$B47,入力シート!$S$37:$Z$62,5,0))</f>
        <v/>
      </c>
      <c r="P47" s="156" t="str">
        <f>IF(ISNUMBER(C47)=FALSE,"",IF(C47&gt;入力シート!$J$24,"",_xlfn.DAYS(入力シート!$J$24,'従業員情報(給与以外)'!$C47)/365))</f>
        <v/>
      </c>
      <c r="Q47" s="210" t="str">
        <f>IF(P47="","",VLOOKUP(_xlfn.DAYS(入力シート!$J$24,'従業員情報(給与以外)'!$C47)/365,入力リスト!$K$18:$L$26,2,2))</f>
        <v/>
      </c>
      <c r="R47" s="209" t="str">
        <f>IF(D47="","",VLOOKUP('従業員情報(給与以外)'!$D47,入力シート!$AW$37:$BB$38,4,0))</f>
        <v/>
      </c>
      <c r="S47" s="209" t="str">
        <f>IF(A47="","",IF(E47="","非役職",VLOOKUP('従業員情報(給与以外)'!$E47,入力シート!$AH$37:$AO$62,5,0)))</f>
        <v/>
      </c>
      <c r="T47" s="102" t="str">
        <f>IF(OR(入力シート!$C$5&lt;&gt;入力リスト!$C$3,COUNTIF(入力シート!$J$16:$S$23,入力リスト!$H$9)=0),"",IF($A47="","",IF(ISERROR(AVERAGEIF(従業員の給与情報!$B:$B,$A47,従業員の給与情報!$C:$C)),0,IF(ISERROR(AVERAGEIF(従業員の給与情報!$B:$B,$A47,従業員の給与情報!$C:$C)),0,AVERAGEIF(従業員の給与情報!$B:$B,$A47,従業員の給与情報!$C:$C)))))</f>
        <v/>
      </c>
      <c r="U47" s="102" t="str">
        <f>IF(OR(入力シート!$C$5&lt;&gt;入力リスト!$C$3,COUNTIF(入力シート!$J$16:$S$23,入力リスト!$H$9)=0),"",IF(A47="","",IF(ISERROR(AVERAGEIF(従業員の給与情報!$B:$B,$A47,従業員の給与情報!$D:$D)),0,IF(ISERROR(AVERAGEIF(従業員の給与情報!$B:$B,$A47,従業員の給与情報!$D:$D)),0,AVERAGEIF(従業員の給与情報!$B:$B,$A47,従業員の給与情報!$D:$D)))))</f>
        <v/>
      </c>
      <c r="V47" s="102" t="str">
        <f>IF(OR(入力シート!$C$5&lt;&gt;入力リスト!$C$3,COUNTIF(入力シート!$J$16:$S$23,入力リスト!$H$9)=0),"",IF(A47="","",IF(ISERROR(AVERAGEIF(従業員の給与情報!$B:$B,$A47,従業員の給与情報!$E:$E)),0,IF(ISERROR(AVERAGEIF(従業員の給与情報!$B:$B,$A47,従業員の給与情報!$E:$E)),0,AVERAGEIF(従業員の給与情報!$B:$B,$A47,従業員の給与情報!$E:$E)))))</f>
        <v/>
      </c>
      <c r="W47" s="103" t="str">
        <f>IF(OR(入力シート!$C$5&lt;&gt;入力リスト!$C$3,COUNTIF(入力シート!$J$16:$S$23,入力リスト!$H$9)=0),"",IF(A47="","",IF(ISERROR(AVERAGEIF(従業員の給与情報!$B:$B,$A47,従業員の給与情報!$F:$F)),0,IF(ISERROR(AVERAGEIF(従業員の給与情報!$B:$B,$A47,従業員の給与情報!$F:$F)),0,AVERAGEIF(従業員の給与情報!$B:$B,$A47,従業員の給与情報!$F:$F)))))</f>
        <v/>
      </c>
    </row>
    <row r="48" spans="1:23" s="10" customFormat="1" ht="19.8">
      <c r="A48" s="252"/>
      <c r="B48" s="249"/>
      <c r="C48" s="250"/>
      <c r="D48" s="251"/>
      <c r="E48" s="249"/>
      <c r="F48" s="257" t="str">
        <f>IF($G$1,"",IF(COUNTIF(A48:E48,"")=5,"",IF(G48,入力リスト!$K$28,IF(OR(A48="",B48="",IF(COUNTIF($C$3,"*不要*"),"",C48=""),D48=""),IF(A48="","従業員番号","")&amp;IF(B48="","「雇用形態」","")&amp;IF(OR(入力シート!$J$18=入力リスト!$H$9,入力シート!$J$22=入力リスト!$H$9),IF(C48="","「入社年月日」",""),"")&amp;IF(D48="","「性別」","")&amp;IF(IF(A48="","従業員番号","")&amp;IF(B48="","「雇用形態」","")&amp;IF(OR(入力シート!$J$18=入力リスト!$H$9,入力シート!$J$22=入力リスト!$H$9),IF(C48="","「入社年月日」",""),"")&amp;IF(D48="","「性別」","")="","",入力リスト!$K$29),IF(J48,入力リスト!$K$30,"")&amp;IF(I48,入力リスト!$K$31,"")&amp;IF(H48,"「雇用形態」","")&amp;IF(K48,"「性別」","")&amp;IF(L48,"「役職」","")&amp;IF(OR(H48,K48,L48),入力リスト!$K$32,"")))))</f>
        <v/>
      </c>
      <c r="G48" s="209" t="b">
        <f>COUNTIF($A$4:A47,$A48)&gt;0</f>
        <v>0</v>
      </c>
      <c r="H48" s="210" t="b">
        <f>IF($H$1,FALSE,COUNTIF(入力シート!$S$37:$V$62,B48)=0)</f>
        <v>0</v>
      </c>
      <c r="I48" s="210" t="b">
        <f t="shared" si="2"/>
        <v>0</v>
      </c>
      <c r="J48" s="210" t="b">
        <f>IF($J$1,FALSE,IF(I48=TRUE,FALSE,IF(I48,FALSE,C48&gt;入力シート!$J$24)))</f>
        <v>0</v>
      </c>
      <c r="K48" s="210" t="b">
        <f>IF($K$1,FALSE,COUNTIF(入力シート!$AW$37:$BB$38,D48)=0)</f>
        <v>0</v>
      </c>
      <c r="L48" s="210" t="b">
        <f>IF($L$1,FALSE,IF($L$3,FALSE,IF(E48="",FALSE,COUNTIF(入力シート!$AH$37:$AK$62,E48)=0)))</f>
        <v>0</v>
      </c>
      <c r="M48" s="211" t="str">
        <f t="shared" si="1"/>
        <v/>
      </c>
      <c r="N48" s="211"/>
      <c r="O48" s="209" t="str">
        <f>IF(B48="","",VLOOKUP('従業員情報(給与以外)'!$B48,入力シート!$S$37:$Z$62,5,0))</f>
        <v/>
      </c>
      <c r="P48" s="156" t="str">
        <f>IF(ISNUMBER(C48)=FALSE,"",IF(C48&gt;入力シート!$J$24,"",_xlfn.DAYS(入力シート!$J$24,'従業員情報(給与以外)'!$C48)/365))</f>
        <v/>
      </c>
      <c r="Q48" s="210" t="str">
        <f>IF(P48="","",VLOOKUP(_xlfn.DAYS(入力シート!$J$24,'従業員情報(給与以外)'!$C48)/365,入力リスト!$K$18:$L$26,2,2))</f>
        <v/>
      </c>
      <c r="R48" s="209" t="str">
        <f>IF(D48="","",VLOOKUP('従業員情報(給与以外)'!$D48,入力シート!$AW$37:$BB$38,4,0))</f>
        <v/>
      </c>
      <c r="S48" s="209" t="str">
        <f>IF(A48="","",IF(E48="","非役職",VLOOKUP('従業員情報(給与以外)'!$E48,入力シート!$AH$37:$AO$62,5,0)))</f>
        <v/>
      </c>
      <c r="T48" s="102" t="str">
        <f>IF(OR(入力シート!$C$5&lt;&gt;入力リスト!$C$3,COUNTIF(入力シート!$J$16:$S$23,入力リスト!$H$9)=0),"",IF($A48="","",IF(ISERROR(AVERAGEIF(従業員の給与情報!$B:$B,$A48,従業員の給与情報!$C:$C)),0,IF(ISERROR(AVERAGEIF(従業員の給与情報!$B:$B,$A48,従業員の給与情報!$C:$C)),0,AVERAGEIF(従業員の給与情報!$B:$B,$A48,従業員の給与情報!$C:$C)))))</f>
        <v/>
      </c>
      <c r="U48" s="102" t="str">
        <f>IF(OR(入力シート!$C$5&lt;&gt;入力リスト!$C$3,COUNTIF(入力シート!$J$16:$S$23,入力リスト!$H$9)=0),"",IF(A48="","",IF(ISERROR(AVERAGEIF(従業員の給与情報!$B:$B,$A48,従業員の給与情報!$D:$D)),0,IF(ISERROR(AVERAGEIF(従業員の給与情報!$B:$B,$A48,従業員の給与情報!$D:$D)),0,AVERAGEIF(従業員の給与情報!$B:$B,$A48,従業員の給与情報!$D:$D)))))</f>
        <v/>
      </c>
      <c r="V48" s="102" t="str">
        <f>IF(OR(入力シート!$C$5&lt;&gt;入力リスト!$C$3,COUNTIF(入力シート!$J$16:$S$23,入力リスト!$H$9)=0),"",IF(A48="","",IF(ISERROR(AVERAGEIF(従業員の給与情報!$B:$B,$A48,従業員の給与情報!$E:$E)),0,IF(ISERROR(AVERAGEIF(従業員の給与情報!$B:$B,$A48,従業員の給与情報!$E:$E)),0,AVERAGEIF(従業員の給与情報!$B:$B,$A48,従業員の給与情報!$E:$E)))))</f>
        <v/>
      </c>
      <c r="W48" s="103" t="str">
        <f>IF(OR(入力シート!$C$5&lt;&gt;入力リスト!$C$3,COUNTIF(入力シート!$J$16:$S$23,入力リスト!$H$9)=0),"",IF(A48="","",IF(ISERROR(AVERAGEIF(従業員の給与情報!$B:$B,$A48,従業員の給与情報!$F:$F)),0,IF(ISERROR(AVERAGEIF(従業員の給与情報!$B:$B,$A48,従業員の給与情報!$F:$F)),0,AVERAGEIF(従業員の給与情報!$B:$B,$A48,従業員の給与情報!$F:$F)))))</f>
        <v/>
      </c>
    </row>
    <row r="49" spans="1:23" s="10" customFormat="1" ht="19.8">
      <c r="A49" s="252"/>
      <c r="B49" s="249"/>
      <c r="C49" s="250"/>
      <c r="D49" s="251"/>
      <c r="E49" s="252"/>
      <c r="F49" s="257" t="str">
        <f>IF($G$1,"",IF(COUNTIF(A49:E49,"")=5,"",IF(G49,入力リスト!$K$28,IF(OR(A49="",B49="",IF(COUNTIF($C$3,"*不要*"),"",C49=""),D49=""),IF(A49="","従業員番号","")&amp;IF(B49="","「雇用形態」","")&amp;IF(OR(入力シート!$J$18=入力リスト!$H$9,入力シート!$J$22=入力リスト!$H$9),IF(C49="","「入社年月日」",""),"")&amp;IF(D49="","「性別」","")&amp;IF(IF(A49="","従業員番号","")&amp;IF(B49="","「雇用形態」","")&amp;IF(OR(入力シート!$J$18=入力リスト!$H$9,入力シート!$J$22=入力リスト!$H$9),IF(C49="","「入社年月日」",""),"")&amp;IF(D49="","「性別」","")="","",入力リスト!$K$29),IF(J49,入力リスト!$K$30,"")&amp;IF(I49,入力リスト!$K$31,"")&amp;IF(H49,"「雇用形態」","")&amp;IF(K49,"「性別」","")&amp;IF(L49,"「役職」","")&amp;IF(OR(H49,K49,L49),入力リスト!$K$32,"")))))</f>
        <v/>
      </c>
      <c r="G49" s="209" t="b">
        <f>COUNTIF($A$4:A48,$A49)&gt;0</f>
        <v>0</v>
      </c>
      <c r="H49" s="210" t="b">
        <f>IF($H$1,FALSE,COUNTIF(入力シート!$S$37:$V$62,B49)=0)</f>
        <v>0</v>
      </c>
      <c r="I49" s="210" t="b">
        <f t="shared" si="2"/>
        <v>0</v>
      </c>
      <c r="J49" s="210" t="b">
        <f>IF($J$1,FALSE,IF(I49=TRUE,FALSE,IF(I49,FALSE,C49&gt;入力シート!$J$24)))</f>
        <v>0</v>
      </c>
      <c r="K49" s="210" t="b">
        <f>IF($K$1,FALSE,COUNTIF(入力シート!$AW$37:$BB$38,D49)=0)</f>
        <v>0</v>
      </c>
      <c r="L49" s="210" t="b">
        <f>IF($L$1,FALSE,IF($L$3,FALSE,IF(E49="",FALSE,COUNTIF(入力シート!$AH$37:$AK$62,E49)=0)))</f>
        <v>0</v>
      </c>
      <c r="M49" s="211" t="str">
        <f t="shared" si="1"/>
        <v/>
      </c>
      <c r="N49" s="211"/>
      <c r="O49" s="209" t="str">
        <f>IF(B49="","",VLOOKUP('従業員情報(給与以外)'!$B49,入力シート!$S$37:$Z$62,5,0))</f>
        <v/>
      </c>
      <c r="P49" s="156" t="str">
        <f>IF(ISNUMBER(C49)=FALSE,"",IF(C49&gt;入力シート!$J$24,"",_xlfn.DAYS(入力シート!$J$24,'従業員情報(給与以外)'!$C49)/365))</f>
        <v/>
      </c>
      <c r="Q49" s="210" t="str">
        <f>IF(P49="","",VLOOKUP(_xlfn.DAYS(入力シート!$J$24,'従業員情報(給与以外)'!$C49)/365,入力リスト!$K$18:$L$26,2,2))</f>
        <v/>
      </c>
      <c r="R49" s="209" t="str">
        <f>IF(D49="","",VLOOKUP('従業員情報(給与以外)'!$D49,入力シート!$AW$37:$BB$38,4,0))</f>
        <v/>
      </c>
      <c r="S49" s="209" t="str">
        <f>IF(A49="","",IF(E49="","非役職",VLOOKUP('従業員情報(給与以外)'!$E49,入力シート!$AH$37:$AO$62,5,0)))</f>
        <v/>
      </c>
      <c r="T49" s="102" t="str">
        <f>IF(OR(入力シート!$C$5&lt;&gt;入力リスト!$C$3,COUNTIF(入力シート!$J$16:$S$23,入力リスト!$H$9)=0),"",IF($A49="","",IF(ISERROR(AVERAGEIF(従業員の給与情報!$B:$B,$A49,従業員の給与情報!$C:$C)),0,IF(ISERROR(AVERAGEIF(従業員の給与情報!$B:$B,$A49,従業員の給与情報!$C:$C)),0,AVERAGEIF(従業員の給与情報!$B:$B,$A49,従業員の給与情報!$C:$C)))))</f>
        <v/>
      </c>
      <c r="U49" s="102" t="str">
        <f>IF(OR(入力シート!$C$5&lt;&gt;入力リスト!$C$3,COUNTIF(入力シート!$J$16:$S$23,入力リスト!$H$9)=0),"",IF(A49="","",IF(ISERROR(AVERAGEIF(従業員の給与情報!$B:$B,$A49,従業員の給与情報!$D:$D)),0,IF(ISERROR(AVERAGEIF(従業員の給与情報!$B:$B,$A49,従業員の給与情報!$D:$D)),0,AVERAGEIF(従業員の給与情報!$B:$B,$A49,従業員の給与情報!$D:$D)))))</f>
        <v/>
      </c>
      <c r="V49" s="102" t="str">
        <f>IF(OR(入力シート!$C$5&lt;&gt;入力リスト!$C$3,COUNTIF(入力シート!$J$16:$S$23,入力リスト!$H$9)=0),"",IF(A49="","",IF(ISERROR(AVERAGEIF(従業員の給与情報!$B:$B,$A49,従業員の給与情報!$E:$E)),0,IF(ISERROR(AVERAGEIF(従業員の給与情報!$B:$B,$A49,従業員の給与情報!$E:$E)),0,AVERAGEIF(従業員の給与情報!$B:$B,$A49,従業員の給与情報!$E:$E)))))</f>
        <v/>
      </c>
      <c r="W49" s="103" t="str">
        <f>IF(OR(入力シート!$C$5&lt;&gt;入力リスト!$C$3,COUNTIF(入力シート!$J$16:$S$23,入力リスト!$H$9)=0),"",IF(A49="","",IF(ISERROR(AVERAGEIF(従業員の給与情報!$B:$B,$A49,従業員の給与情報!$F:$F)),0,IF(ISERROR(AVERAGEIF(従業員の給与情報!$B:$B,$A49,従業員の給与情報!$F:$F)),0,AVERAGEIF(従業員の給与情報!$B:$B,$A49,従業員の給与情報!$F:$F)))))</f>
        <v/>
      </c>
    </row>
    <row r="50" spans="1:23" s="10" customFormat="1" ht="19.8">
      <c r="A50" s="252"/>
      <c r="B50" s="249"/>
      <c r="C50" s="250"/>
      <c r="D50" s="251"/>
      <c r="E50" s="252"/>
      <c r="F50" s="257" t="str">
        <f>IF($G$1,"",IF(COUNTIF(A50:E50,"")=5,"",IF(G50,入力リスト!$K$28,IF(OR(A50="",B50="",IF(COUNTIF($C$3,"*不要*"),"",C50=""),D50=""),IF(A50="","従業員番号","")&amp;IF(B50="","「雇用形態」","")&amp;IF(OR(入力シート!$J$18=入力リスト!$H$9,入力シート!$J$22=入力リスト!$H$9),IF(C50="","「入社年月日」",""),"")&amp;IF(D50="","「性別」","")&amp;IF(IF(A50="","従業員番号","")&amp;IF(B50="","「雇用形態」","")&amp;IF(OR(入力シート!$J$18=入力リスト!$H$9,入力シート!$J$22=入力リスト!$H$9),IF(C50="","「入社年月日」",""),"")&amp;IF(D50="","「性別」","")="","",入力リスト!$K$29),IF(J50,入力リスト!$K$30,"")&amp;IF(I50,入力リスト!$K$31,"")&amp;IF(H50,"「雇用形態」","")&amp;IF(K50,"「性別」","")&amp;IF(L50,"「役職」","")&amp;IF(OR(H50,K50,L50),入力リスト!$K$32,"")))))</f>
        <v/>
      </c>
      <c r="G50" s="209" t="b">
        <f>COUNTIF($A$4:A49,$A50)&gt;0</f>
        <v>0</v>
      </c>
      <c r="H50" s="210" t="b">
        <f>IF($H$1,FALSE,COUNTIF(入力シート!$S$37:$V$62,B50)=0)</f>
        <v>0</v>
      </c>
      <c r="I50" s="210" t="b">
        <f t="shared" si="2"/>
        <v>0</v>
      </c>
      <c r="J50" s="210" t="b">
        <f>IF($J$1,FALSE,IF(I50=TRUE,FALSE,IF(I50,FALSE,C50&gt;入力シート!$J$24)))</f>
        <v>0</v>
      </c>
      <c r="K50" s="210" t="b">
        <f>IF($K$1,FALSE,COUNTIF(入力シート!$AW$37:$BB$38,D50)=0)</f>
        <v>0</v>
      </c>
      <c r="L50" s="210" t="b">
        <f>IF($L$1,FALSE,IF($L$3,FALSE,IF(E50="",FALSE,COUNTIF(入力シート!$AH$37:$AK$62,E50)=0)))</f>
        <v>0</v>
      </c>
      <c r="M50" s="211" t="str">
        <f t="shared" si="1"/>
        <v/>
      </c>
      <c r="N50" s="211"/>
      <c r="O50" s="209" t="str">
        <f>IF(B50="","",VLOOKUP('従業員情報(給与以外)'!$B50,入力シート!$S$37:$Z$62,5,0))</f>
        <v/>
      </c>
      <c r="P50" s="156" t="str">
        <f>IF(ISNUMBER(C50)=FALSE,"",IF(C50&gt;入力シート!$J$24,"",_xlfn.DAYS(入力シート!$J$24,'従業員情報(給与以外)'!$C50)/365))</f>
        <v/>
      </c>
      <c r="Q50" s="210" t="str">
        <f>IF(P50="","",VLOOKUP(_xlfn.DAYS(入力シート!$J$24,'従業員情報(給与以外)'!$C50)/365,入力リスト!$K$18:$L$26,2,2))</f>
        <v/>
      </c>
      <c r="R50" s="209" t="str">
        <f>IF(D50="","",VLOOKUP('従業員情報(給与以外)'!$D50,入力シート!$AW$37:$BB$38,4,0))</f>
        <v/>
      </c>
      <c r="S50" s="209" t="str">
        <f>IF(A50="","",IF(E50="","非役職",VLOOKUP('従業員情報(給与以外)'!$E50,入力シート!$AH$37:$AO$62,5,0)))</f>
        <v/>
      </c>
      <c r="T50" s="102" t="str">
        <f>IF(OR(入力シート!$C$5&lt;&gt;入力リスト!$C$3,COUNTIF(入力シート!$J$16:$S$23,入力リスト!$H$9)=0),"",IF($A50="","",IF(ISERROR(AVERAGEIF(従業員の給与情報!$B:$B,$A50,従業員の給与情報!$C:$C)),0,IF(ISERROR(AVERAGEIF(従業員の給与情報!$B:$B,$A50,従業員の給与情報!$C:$C)),0,AVERAGEIF(従業員の給与情報!$B:$B,$A50,従業員の給与情報!$C:$C)))))</f>
        <v/>
      </c>
      <c r="U50" s="102" t="str">
        <f>IF(OR(入力シート!$C$5&lt;&gt;入力リスト!$C$3,COUNTIF(入力シート!$J$16:$S$23,入力リスト!$H$9)=0),"",IF(A50="","",IF(ISERROR(AVERAGEIF(従業員の給与情報!$B:$B,$A50,従業員の給与情報!$D:$D)),0,IF(ISERROR(AVERAGEIF(従業員の給与情報!$B:$B,$A50,従業員の給与情報!$D:$D)),0,AVERAGEIF(従業員の給与情報!$B:$B,$A50,従業員の給与情報!$D:$D)))))</f>
        <v/>
      </c>
      <c r="V50" s="102" t="str">
        <f>IF(OR(入力シート!$C$5&lt;&gt;入力リスト!$C$3,COUNTIF(入力シート!$J$16:$S$23,入力リスト!$H$9)=0),"",IF(A50="","",IF(ISERROR(AVERAGEIF(従業員の給与情報!$B:$B,$A50,従業員の給与情報!$E:$E)),0,IF(ISERROR(AVERAGEIF(従業員の給与情報!$B:$B,$A50,従業員の給与情報!$E:$E)),0,AVERAGEIF(従業員の給与情報!$B:$B,$A50,従業員の給与情報!$E:$E)))))</f>
        <v/>
      </c>
      <c r="W50" s="103" t="str">
        <f>IF(OR(入力シート!$C$5&lt;&gt;入力リスト!$C$3,COUNTIF(入力シート!$J$16:$S$23,入力リスト!$H$9)=0),"",IF(A50="","",IF(ISERROR(AVERAGEIF(従業員の給与情報!$B:$B,$A50,従業員の給与情報!$F:$F)),0,IF(ISERROR(AVERAGEIF(従業員の給与情報!$B:$B,$A50,従業員の給与情報!$F:$F)),0,AVERAGEIF(従業員の給与情報!$B:$B,$A50,従業員の給与情報!$F:$F)))))</f>
        <v/>
      </c>
    </row>
    <row r="51" spans="1:23" s="10" customFormat="1" ht="19.8">
      <c r="A51" s="252"/>
      <c r="B51" s="249"/>
      <c r="C51" s="250"/>
      <c r="D51" s="251"/>
      <c r="E51" s="252"/>
      <c r="F51" s="257" t="str">
        <f>IF($G$1,"",IF(COUNTIF(A51:E51,"")=5,"",IF(G51,入力リスト!$K$28,IF(OR(A51="",B51="",IF(COUNTIF($C$3,"*不要*"),"",C51=""),D51=""),IF(A51="","従業員番号","")&amp;IF(B51="","「雇用形態」","")&amp;IF(OR(入力シート!$J$18=入力リスト!$H$9,入力シート!$J$22=入力リスト!$H$9),IF(C51="","「入社年月日」",""),"")&amp;IF(D51="","「性別」","")&amp;IF(IF(A51="","従業員番号","")&amp;IF(B51="","「雇用形態」","")&amp;IF(OR(入力シート!$J$18=入力リスト!$H$9,入力シート!$J$22=入力リスト!$H$9),IF(C51="","「入社年月日」",""),"")&amp;IF(D51="","「性別」","")="","",入力リスト!$K$29),IF(J51,入力リスト!$K$30,"")&amp;IF(I51,入力リスト!$K$31,"")&amp;IF(H51,"「雇用形態」","")&amp;IF(K51,"「性別」","")&amp;IF(L51,"「役職」","")&amp;IF(OR(H51,K51,L51),入力リスト!$K$32,"")))))</f>
        <v/>
      </c>
      <c r="G51" s="209" t="b">
        <f>COUNTIF($A$4:A50,$A51)&gt;0</f>
        <v>0</v>
      </c>
      <c r="H51" s="210" t="b">
        <f>IF($H$1,FALSE,COUNTIF(入力シート!$S$37:$V$62,B51)=0)</f>
        <v>0</v>
      </c>
      <c r="I51" s="210" t="b">
        <f t="shared" si="2"/>
        <v>0</v>
      </c>
      <c r="J51" s="210" t="b">
        <f>IF($J$1,FALSE,IF(I51=TRUE,FALSE,IF(I51,FALSE,C51&gt;入力シート!$J$24)))</f>
        <v>0</v>
      </c>
      <c r="K51" s="210" t="b">
        <f>IF($K$1,FALSE,COUNTIF(入力シート!$AW$37:$BB$38,D51)=0)</f>
        <v>0</v>
      </c>
      <c r="L51" s="210" t="b">
        <f>IF($L$1,FALSE,IF($L$3,FALSE,IF(E51="",FALSE,COUNTIF(入力シート!$AH$37:$AK$62,E51)=0)))</f>
        <v>0</v>
      </c>
      <c r="M51" s="211" t="str">
        <f t="shared" si="1"/>
        <v/>
      </c>
      <c r="N51" s="211"/>
      <c r="O51" s="209" t="str">
        <f>IF(B51="","",VLOOKUP('従業員情報(給与以外)'!$B51,入力シート!$S$37:$Z$62,5,0))</f>
        <v/>
      </c>
      <c r="P51" s="156" t="str">
        <f>IF(ISNUMBER(C51)=FALSE,"",IF(C51&gt;入力シート!$J$24,"",_xlfn.DAYS(入力シート!$J$24,'従業員情報(給与以外)'!$C51)/365))</f>
        <v/>
      </c>
      <c r="Q51" s="210" t="str">
        <f>IF(P51="","",VLOOKUP(_xlfn.DAYS(入力シート!$J$24,'従業員情報(給与以外)'!$C51)/365,入力リスト!$K$18:$L$26,2,2))</f>
        <v/>
      </c>
      <c r="R51" s="209" t="str">
        <f>IF(D51="","",VLOOKUP('従業員情報(給与以外)'!$D51,入力シート!$AW$37:$BB$38,4,0))</f>
        <v/>
      </c>
      <c r="S51" s="209" t="str">
        <f>IF(A51="","",IF(E51="","非役職",VLOOKUP('従業員情報(給与以外)'!$E51,入力シート!$AH$37:$AO$62,5,0)))</f>
        <v/>
      </c>
      <c r="T51" s="102" t="str">
        <f>IF(OR(入力シート!$C$5&lt;&gt;入力リスト!$C$3,COUNTIF(入力シート!$J$16:$S$23,入力リスト!$H$9)=0),"",IF($A51="","",IF(ISERROR(AVERAGEIF(従業員の給与情報!$B:$B,$A51,従業員の給与情報!$C:$C)),0,IF(ISERROR(AVERAGEIF(従業員の給与情報!$B:$B,$A51,従業員の給与情報!$C:$C)),0,AVERAGEIF(従業員の給与情報!$B:$B,$A51,従業員の給与情報!$C:$C)))))</f>
        <v/>
      </c>
      <c r="U51" s="102" t="str">
        <f>IF(OR(入力シート!$C$5&lt;&gt;入力リスト!$C$3,COUNTIF(入力シート!$J$16:$S$23,入力リスト!$H$9)=0),"",IF(A51="","",IF(ISERROR(AVERAGEIF(従業員の給与情報!$B:$B,$A51,従業員の給与情報!$D:$D)),0,IF(ISERROR(AVERAGEIF(従業員の給与情報!$B:$B,$A51,従業員の給与情報!$D:$D)),0,AVERAGEIF(従業員の給与情報!$B:$B,$A51,従業員の給与情報!$D:$D)))))</f>
        <v/>
      </c>
      <c r="V51" s="102" t="str">
        <f>IF(OR(入力シート!$C$5&lt;&gt;入力リスト!$C$3,COUNTIF(入力シート!$J$16:$S$23,入力リスト!$H$9)=0),"",IF(A51="","",IF(ISERROR(AVERAGEIF(従業員の給与情報!$B:$B,$A51,従業員の給与情報!$E:$E)),0,IF(ISERROR(AVERAGEIF(従業員の給与情報!$B:$B,$A51,従業員の給与情報!$E:$E)),0,AVERAGEIF(従業員の給与情報!$B:$B,$A51,従業員の給与情報!$E:$E)))))</f>
        <v/>
      </c>
      <c r="W51" s="103" t="str">
        <f>IF(OR(入力シート!$C$5&lt;&gt;入力リスト!$C$3,COUNTIF(入力シート!$J$16:$S$23,入力リスト!$H$9)=0),"",IF(A51="","",IF(ISERROR(AVERAGEIF(従業員の給与情報!$B:$B,$A51,従業員の給与情報!$F:$F)),0,IF(ISERROR(AVERAGEIF(従業員の給与情報!$B:$B,$A51,従業員の給与情報!$F:$F)),0,AVERAGEIF(従業員の給与情報!$B:$B,$A51,従業員の給与情報!$F:$F)))))</f>
        <v/>
      </c>
    </row>
    <row r="52" spans="1:23" s="10" customFormat="1" ht="19.8">
      <c r="A52" s="252"/>
      <c r="B52" s="249"/>
      <c r="C52" s="250"/>
      <c r="D52" s="251"/>
      <c r="E52" s="252"/>
      <c r="F52" s="257" t="str">
        <f>IF($G$1,"",IF(COUNTIF(A52:E52,"")=5,"",IF(G52,入力リスト!$K$28,IF(OR(A52="",B52="",IF(COUNTIF($C$3,"*不要*"),"",C52=""),D52=""),IF(A52="","従業員番号","")&amp;IF(B52="","「雇用形態」","")&amp;IF(OR(入力シート!$J$18=入力リスト!$H$9,入力シート!$J$22=入力リスト!$H$9),IF(C52="","「入社年月日」",""),"")&amp;IF(D52="","「性別」","")&amp;IF(IF(A52="","従業員番号","")&amp;IF(B52="","「雇用形態」","")&amp;IF(OR(入力シート!$J$18=入力リスト!$H$9,入力シート!$J$22=入力リスト!$H$9),IF(C52="","「入社年月日」",""),"")&amp;IF(D52="","「性別」","")="","",入力リスト!$K$29),IF(J52,入力リスト!$K$30,"")&amp;IF(I52,入力リスト!$K$31,"")&amp;IF(H52,"「雇用形態」","")&amp;IF(K52,"「性別」","")&amp;IF(L52,"「役職」","")&amp;IF(OR(H52,K52,L52),入力リスト!$K$32,"")))))</f>
        <v/>
      </c>
      <c r="G52" s="209" t="b">
        <f>COUNTIF($A$4:A51,$A52)&gt;0</f>
        <v>0</v>
      </c>
      <c r="H52" s="210" t="b">
        <f>IF($H$1,FALSE,COUNTIF(入力シート!$S$37:$V$62,B52)=0)</f>
        <v>0</v>
      </c>
      <c r="I52" s="210" t="b">
        <f t="shared" si="2"/>
        <v>0</v>
      </c>
      <c r="J52" s="210" t="b">
        <f>IF($J$1,FALSE,IF(I52=TRUE,FALSE,IF(I52,FALSE,C52&gt;入力シート!$J$24)))</f>
        <v>0</v>
      </c>
      <c r="K52" s="210" t="b">
        <f>IF($K$1,FALSE,COUNTIF(入力シート!$AW$37:$BB$38,D52)=0)</f>
        <v>0</v>
      </c>
      <c r="L52" s="210" t="b">
        <f>IF($L$1,FALSE,IF($L$3,FALSE,IF(E52="",FALSE,COUNTIF(入力シート!$AH$37:$AK$62,E52)=0)))</f>
        <v>0</v>
      </c>
      <c r="M52" s="211" t="str">
        <f t="shared" si="1"/>
        <v/>
      </c>
      <c r="N52" s="211"/>
      <c r="O52" s="209" t="str">
        <f>IF(B52="","",VLOOKUP('従業員情報(給与以外)'!$B52,入力シート!$S$37:$Z$62,5,0))</f>
        <v/>
      </c>
      <c r="P52" s="156" t="str">
        <f>IF(ISNUMBER(C52)=FALSE,"",IF(C52&gt;入力シート!$J$24,"",_xlfn.DAYS(入力シート!$J$24,'従業員情報(給与以外)'!$C52)/365))</f>
        <v/>
      </c>
      <c r="Q52" s="210" t="str">
        <f>IF(P52="","",VLOOKUP(_xlfn.DAYS(入力シート!$J$24,'従業員情報(給与以外)'!$C52)/365,入力リスト!$K$18:$L$26,2,2))</f>
        <v/>
      </c>
      <c r="R52" s="209" t="str">
        <f>IF(D52="","",VLOOKUP('従業員情報(給与以外)'!$D52,入力シート!$AW$37:$BB$38,4,0))</f>
        <v/>
      </c>
      <c r="S52" s="209" t="str">
        <f>IF(A52="","",IF(E52="","非役職",VLOOKUP('従業員情報(給与以外)'!$E52,入力シート!$AH$37:$AO$62,5,0)))</f>
        <v/>
      </c>
      <c r="T52" s="102" t="str">
        <f>IF(OR(入力シート!$C$5&lt;&gt;入力リスト!$C$3,COUNTIF(入力シート!$J$16:$S$23,入力リスト!$H$9)=0),"",IF($A52="","",IF(ISERROR(AVERAGEIF(従業員の給与情報!$B:$B,$A52,従業員の給与情報!$C:$C)),0,IF(ISERROR(AVERAGEIF(従業員の給与情報!$B:$B,$A52,従業員の給与情報!$C:$C)),0,AVERAGEIF(従業員の給与情報!$B:$B,$A52,従業員の給与情報!$C:$C)))))</f>
        <v/>
      </c>
      <c r="U52" s="102" t="str">
        <f>IF(OR(入力シート!$C$5&lt;&gt;入力リスト!$C$3,COUNTIF(入力シート!$J$16:$S$23,入力リスト!$H$9)=0),"",IF(A52="","",IF(ISERROR(AVERAGEIF(従業員の給与情報!$B:$B,$A52,従業員の給与情報!$D:$D)),0,IF(ISERROR(AVERAGEIF(従業員の給与情報!$B:$B,$A52,従業員の給与情報!$D:$D)),0,AVERAGEIF(従業員の給与情報!$B:$B,$A52,従業員の給与情報!$D:$D)))))</f>
        <v/>
      </c>
      <c r="V52" s="102" t="str">
        <f>IF(OR(入力シート!$C$5&lt;&gt;入力リスト!$C$3,COUNTIF(入力シート!$J$16:$S$23,入力リスト!$H$9)=0),"",IF(A52="","",IF(ISERROR(AVERAGEIF(従業員の給与情報!$B:$B,$A52,従業員の給与情報!$E:$E)),0,IF(ISERROR(AVERAGEIF(従業員の給与情報!$B:$B,$A52,従業員の給与情報!$E:$E)),0,AVERAGEIF(従業員の給与情報!$B:$B,$A52,従業員の給与情報!$E:$E)))))</f>
        <v/>
      </c>
      <c r="W52" s="103" t="str">
        <f>IF(OR(入力シート!$C$5&lt;&gt;入力リスト!$C$3,COUNTIF(入力シート!$J$16:$S$23,入力リスト!$H$9)=0),"",IF(A52="","",IF(ISERROR(AVERAGEIF(従業員の給与情報!$B:$B,$A52,従業員の給与情報!$F:$F)),0,IF(ISERROR(AVERAGEIF(従業員の給与情報!$B:$B,$A52,従業員の給与情報!$F:$F)),0,AVERAGEIF(従業員の給与情報!$B:$B,$A52,従業員の給与情報!$F:$F)))))</f>
        <v/>
      </c>
    </row>
    <row r="53" spans="1:23" s="10" customFormat="1" ht="19.8">
      <c r="A53" s="252"/>
      <c r="B53" s="249"/>
      <c r="C53" s="250"/>
      <c r="D53" s="251"/>
      <c r="E53" s="252"/>
      <c r="F53" s="257" t="str">
        <f>IF($G$1,"",IF(COUNTIF(A53:E53,"")=5,"",IF(G53,入力リスト!$K$28,IF(OR(A53="",B53="",IF(COUNTIF($C$3,"*不要*"),"",C53=""),D53=""),IF(A53="","従業員番号","")&amp;IF(B53="","「雇用形態」","")&amp;IF(OR(入力シート!$J$18=入力リスト!$H$9,入力シート!$J$22=入力リスト!$H$9),IF(C53="","「入社年月日」",""),"")&amp;IF(D53="","「性別」","")&amp;IF(IF(A53="","従業員番号","")&amp;IF(B53="","「雇用形態」","")&amp;IF(OR(入力シート!$J$18=入力リスト!$H$9,入力シート!$J$22=入力リスト!$H$9),IF(C53="","「入社年月日」",""),"")&amp;IF(D53="","「性別」","")="","",入力リスト!$K$29),IF(J53,入力リスト!$K$30,"")&amp;IF(I53,入力リスト!$K$31,"")&amp;IF(H53,"「雇用形態」","")&amp;IF(K53,"「性別」","")&amp;IF(L53,"「役職」","")&amp;IF(OR(H53,K53,L53),入力リスト!$K$32,"")))))</f>
        <v/>
      </c>
      <c r="G53" s="209" t="b">
        <f>COUNTIF($A$4:A52,$A53)&gt;0</f>
        <v>0</v>
      </c>
      <c r="H53" s="210" t="b">
        <f>IF($H$1,FALSE,COUNTIF(入力シート!$S$37:$V$62,B53)=0)</f>
        <v>0</v>
      </c>
      <c r="I53" s="210" t="b">
        <f t="shared" si="2"/>
        <v>0</v>
      </c>
      <c r="J53" s="210" t="b">
        <f>IF($J$1,FALSE,IF(I53=TRUE,FALSE,IF(I53,FALSE,C53&gt;入力シート!$J$24)))</f>
        <v>0</v>
      </c>
      <c r="K53" s="210" t="b">
        <f>IF($K$1,FALSE,COUNTIF(入力シート!$AW$37:$BB$38,D53)=0)</f>
        <v>0</v>
      </c>
      <c r="L53" s="210" t="b">
        <f>IF($L$1,FALSE,IF($L$3,FALSE,IF(E53="",FALSE,COUNTIF(入力シート!$AH$37:$AK$62,E53)=0)))</f>
        <v>0</v>
      </c>
      <c r="M53" s="211" t="str">
        <f t="shared" si="1"/>
        <v/>
      </c>
      <c r="N53" s="211"/>
      <c r="O53" s="209" t="str">
        <f>IF(B53="","",VLOOKUP('従業員情報(給与以外)'!$B53,入力シート!$S$37:$Z$62,5,0))</f>
        <v/>
      </c>
      <c r="P53" s="156" t="str">
        <f>IF(ISNUMBER(C53)=FALSE,"",IF(C53&gt;入力シート!$J$24,"",_xlfn.DAYS(入力シート!$J$24,'従業員情報(給与以外)'!$C53)/365))</f>
        <v/>
      </c>
      <c r="Q53" s="210" t="str">
        <f>IF(P53="","",VLOOKUP(_xlfn.DAYS(入力シート!$J$24,'従業員情報(給与以外)'!$C53)/365,入力リスト!$K$18:$L$26,2,2))</f>
        <v/>
      </c>
      <c r="R53" s="209" t="str">
        <f>IF(D53="","",VLOOKUP('従業員情報(給与以外)'!$D53,入力シート!$AW$37:$BB$38,4,0))</f>
        <v/>
      </c>
      <c r="S53" s="209" t="str">
        <f>IF(A53="","",IF(E53="","非役職",VLOOKUP('従業員情報(給与以外)'!$E53,入力シート!$AH$37:$AO$62,5,0)))</f>
        <v/>
      </c>
      <c r="T53" s="102" t="str">
        <f>IF(OR(入力シート!$C$5&lt;&gt;入力リスト!$C$3,COUNTIF(入力シート!$J$16:$S$23,入力リスト!$H$9)=0),"",IF($A53="","",IF(ISERROR(AVERAGEIF(従業員の給与情報!$B:$B,$A53,従業員の給与情報!$C:$C)),0,IF(ISERROR(AVERAGEIF(従業員の給与情報!$B:$B,$A53,従業員の給与情報!$C:$C)),0,AVERAGEIF(従業員の給与情報!$B:$B,$A53,従業員の給与情報!$C:$C)))))</f>
        <v/>
      </c>
      <c r="U53" s="102" t="str">
        <f>IF(OR(入力シート!$C$5&lt;&gt;入力リスト!$C$3,COUNTIF(入力シート!$J$16:$S$23,入力リスト!$H$9)=0),"",IF(A53="","",IF(ISERROR(AVERAGEIF(従業員の給与情報!$B:$B,$A53,従業員の給与情報!$D:$D)),0,IF(ISERROR(AVERAGEIF(従業員の給与情報!$B:$B,$A53,従業員の給与情報!$D:$D)),0,AVERAGEIF(従業員の給与情報!$B:$B,$A53,従業員の給与情報!$D:$D)))))</f>
        <v/>
      </c>
      <c r="V53" s="102" t="str">
        <f>IF(OR(入力シート!$C$5&lt;&gt;入力リスト!$C$3,COUNTIF(入力シート!$J$16:$S$23,入力リスト!$H$9)=0),"",IF(A53="","",IF(ISERROR(AVERAGEIF(従業員の給与情報!$B:$B,$A53,従業員の給与情報!$E:$E)),0,IF(ISERROR(AVERAGEIF(従業員の給与情報!$B:$B,$A53,従業員の給与情報!$E:$E)),0,AVERAGEIF(従業員の給与情報!$B:$B,$A53,従業員の給与情報!$E:$E)))))</f>
        <v/>
      </c>
      <c r="W53" s="103" t="str">
        <f>IF(OR(入力シート!$C$5&lt;&gt;入力リスト!$C$3,COUNTIF(入力シート!$J$16:$S$23,入力リスト!$H$9)=0),"",IF(A53="","",IF(ISERROR(AVERAGEIF(従業員の給与情報!$B:$B,$A53,従業員の給与情報!$F:$F)),0,IF(ISERROR(AVERAGEIF(従業員の給与情報!$B:$B,$A53,従業員の給与情報!$F:$F)),0,AVERAGEIF(従業員の給与情報!$B:$B,$A53,従業員の給与情報!$F:$F)))))</f>
        <v/>
      </c>
    </row>
    <row r="54" spans="1:23" s="10" customFormat="1" ht="19.8">
      <c r="A54" s="252"/>
      <c r="B54" s="249"/>
      <c r="C54" s="250"/>
      <c r="D54" s="251"/>
      <c r="E54" s="252"/>
      <c r="F54" s="257" t="str">
        <f>IF($G$1,"",IF(COUNTIF(A54:E54,"")=5,"",IF(G54,入力リスト!$K$28,IF(OR(A54="",B54="",IF(COUNTIF($C$3,"*不要*"),"",C54=""),D54=""),IF(A54="","従業員番号","")&amp;IF(B54="","「雇用形態」","")&amp;IF(OR(入力シート!$J$18=入力リスト!$H$9,入力シート!$J$22=入力リスト!$H$9),IF(C54="","「入社年月日」",""),"")&amp;IF(D54="","「性別」","")&amp;IF(IF(A54="","従業員番号","")&amp;IF(B54="","「雇用形態」","")&amp;IF(OR(入力シート!$J$18=入力リスト!$H$9,入力シート!$J$22=入力リスト!$H$9),IF(C54="","「入社年月日」",""),"")&amp;IF(D54="","「性別」","")="","",入力リスト!$K$29),IF(J54,入力リスト!$K$30,"")&amp;IF(I54,入力リスト!$K$31,"")&amp;IF(H54,"「雇用形態」","")&amp;IF(K54,"「性別」","")&amp;IF(L54,"「役職」","")&amp;IF(OR(H54,K54,L54),入力リスト!$K$32,"")))))</f>
        <v/>
      </c>
      <c r="G54" s="209" t="b">
        <f>COUNTIF($A$4:A53,$A54)&gt;0</f>
        <v>0</v>
      </c>
      <c r="H54" s="210" t="b">
        <f>IF($H$1,FALSE,COUNTIF(入力シート!$S$37:$V$62,B54)=0)</f>
        <v>0</v>
      </c>
      <c r="I54" s="210" t="b">
        <f t="shared" si="2"/>
        <v>0</v>
      </c>
      <c r="J54" s="210" t="b">
        <f>IF($J$1,FALSE,IF(I54=TRUE,FALSE,IF(I54,FALSE,C54&gt;入力シート!$J$24)))</f>
        <v>0</v>
      </c>
      <c r="K54" s="210" t="b">
        <f>IF($K$1,FALSE,COUNTIF(入力シート!$AW$37:$BB$38,D54)=0)</f>
        <v>0</v>
      </c>
      <c r="L54" s="210" t="b">
        <f>IF($L$1,FALSE,IF($L$3,FALSE,IF(E54="",FALSE,COUNTIF(入力シート!$AH$37:$AK$62,E54)=0)))</f>
        <v>0</v>
      </c>
      <c r="M54" s="211" t="str">
        <f t="shared" si="1"/>
        <v/>
      </c>
      <c r="N54" s="211"/>
      <c r="O54" s="209" t="str">
        <f>IF(B54="","",VLOOKUP('従業員情報(給与以外)'!$B54,入力シート!$S$37:$Z$62,5,0))</f>
        <v/>
      </c>
      <c r="P54" s="156" t="str">
        <f>IF(ISNUMBER(C54)=FALSE,"",IF(C54&gt;入力シート!$J$24,"",_xlfn.DAYS(入力シート!$J$24,'従業員情報(給与以外)'!$C54)/365))</f>
        <v/>
      </c>
      <c r="Q54" s="210" t="str">
        <f>IF(P54="","",VLOOKUP(_xlfn.DAYS(入力シート!$J$24,'従業員情報(給与以外)'!$C54)/365,入力リスト!$K$18:$L$26,2,2))</f>
        <v/>
      </c>
      <c r="R54" s="209" t="str">
        <f>IF(D54="","",VLOOKUP('従業員情報(給与以外)'!$D54,入力シート!$AW$37:$BB$38,4,0))</f>
        <v/>
      </c>
      <c r="S54" s="209" t="str">
        <f>IF(A54="","",IF(E54="","非役職",VLOOKUP('従業員情報(給与以外)'!$E54,入力シート!$AH$37:$AO$62,5,0)))</f>
        <v/>
      </c>
      <c r="T54" s="102" t="str">
        <f>IF(OR(入力シート!$C$5&lt;&gt;入力リスト!$C$3,COUNTIF(入力シート!$J$16:$S$23,入力リスト!$H$9)=0),"",IF($A54="","",IF(ISERROR(AVERAGEIF(従業員の給与情報!$B:$B,$A54,従業員の給与情報!$C:$C)),0,IF(ISERROR(AVERAGEIF(従業員の給与情報!$B:$B,$A54,従業員の給与情報!$C:$C)),0,AVERAGEIF(従業員の給与情報!$B:$B,$A54,従業員の給与情報!$C:$C)))))</f>
        <v/>
      </c>
      <c r="U54" s="102" t="str">
        <f>IF(OR(入力シート!$C$5&lt;&gt;入力リスト!$C$3,COUNTIF(入力シート!$J$16:$S$23,入力リスト!$H$9)=0),"",IF(A54="","",IF(ISERROR(AVERAGEIF(従業員の給与情報!$B:$B,$A54,従業員の給与情報!$D:$D)),0,IF(ISERROR(AVERAGEIF(従業員の給与情報!$B:$B,$A54,従業員の給与情報!$D:$D)),0,AVERAGEIF(従業員の給与情報!$B:$B,$A54,従業員の給与情報!$D:$D)))))</f>
        <v/>
      </c>
      <c r="V54" s="102" t="str">
        <f>IF(OR(入力シート!$C$5&lt;&gt;入力リスト!$C$3,COUNTIF(入力シート!$J$16:$S$23,入力リスト!$H$9)=0),"",IF(A54="","",IF(ISERROR(AVERAGEIF(従業員の給与情報!$B:$B,$A54,従業員の給与情報!$E:$E)),0,IF(ISERROR(AVERAGEIF(従業員の給与情報!$B:$B,$A54,従業員の給与情報!$E:$E)),0,AVERAGEIF(従業員の給与情報!$B:$B,$A54,従業員の給与情報!$E:$E)))))</f>
        <v/>
      </c>
      <c r="W54" s="103" t="str">
        <f>IF(OR(入力シート!$C$5&lt;&gt;入力リスト!$C$3,COUNTIF(入力シート!$J$16:$S$23,入力リスト!$H$9)=0),"",IF(A54="","",IF(ISERROR(AVERAGEIF(従業員の給与情報!$B:$B,$A54,従業員の給与情報!$F:$F)),0,IF(ISERROR(AVERAGEIF(従業員の給与情報!$B:$B,$A54,従業員の給与情報!$F:$F)),0,AVERAGEIF(従業員の給与情報!$B:$B,$A54,従業員の給与情報!$F:$F)))))</f>
        <v/>
      </c>
    </row>
    <row r="55" spans="1:23" s="10" customFormat="1" ht="19.8">
      <c r="A55" s="252"/>
      <c r="B55" s="249"/>
      <c r="C55" s="250"/>
      <c r="D55" s="251"/>
      <c r="E55" s="252"/>
      <c r="F55" s="257" t="str">
        <f>IF($G$1,"",IF(COUNTIF(A55:E55,"")=5,"",IF(G55,入力リスト!$K$28,IF(OR(A55="",B55="",IF(COUNTIF($C$3,"*不要*"),"",C55=""),D55=""),IF(A55="","従業員番号","")&amp;IF(B55="","「雇用形態」","")&amp;IF(OR(入力シート!$J$18=入力リスト!$H$9,入力シート!$J$22=入力リスト!$H$9),IF(C55="","「入社年月日」",""),"")&amp;IF(D55="","「性別」","")&amp;IF(IF(A55="","従業員番号","")&amp;IF(B55="","「雇用形態」","")&amp;IF(OR(入力シート!$J$18=入力リスト!$H$9,入力シート!$J$22=入力リスト!$H$9),IF(C55="","「入社年月日」",""),"")&amp;IF(D55="","「性別」","")="","",入力リスト!$K$29),IF(J55,入力リスト!$K$30,"")&amp;IF(I55,入力リスト!$K$31,"")&amp;IF(H55,"「雇用形態」","")&amp;IF(K55,"「性別」","")&amp;IF(L55,"「役職」","")&amp;IF(OR(H55,K55,L55),入力リスト!$K$32,"")))))</f>
        <v/>
      </c>
      <c r="G55" s="209" t="b">
        <f>COUNTIF($A$4:A54,$A55)&gt;0</f>
        <v>0</v>
      </c>
      <c r="H55" s="210" t="b">
        <f>IF($H$1,FALSE,COUNTIF(入力シート!$S$37:$V$62,B55)=0)</f>
        <v>0</v>
      </c>
      <c r="I55" s="210" t="b">
        <f t="shared" si="2"/>
        <v>0</v>
      </c>
      <c r="J55" s="210" t="b">
        <f>IF($J$1,FALSE,IF(I55=TRUE,FALSE,IF(I55,FALSE,C55&gt;入力シート!$J$24)))</f>
        <v>0</v>
      </c>
      <c r="K55" s="210" t="b">
        <f>IF($K$1,FALSE,COUNTIF(入力シート!$AW$37:$BB$38,D55)=0)</f>
        <v>0</v>
      </c>
      <c r="L55" s="210" t="b">
        <f>IF($L$1,FALSE,IF($L$3,FALSE,IF(E55="",FALSE,COUNTIF(入力シート!$AH$37:$AK$62,E55)=0)))</f>
        <v>0</v>
      </c>
      <c r="M55" s="211" t="str">
        <f t="shared" si="1"/>
        <v/>
      </c>
      <c r="N55" s="211"/>
      <c r="O55" s="209" t="str">
        <f>IF(B55="","",VLOOKUP('従業員情報(給与以外)'!$B55,入力シート!$S$37:$Z$62,5,0))</f>
        <v/>
      </c>
      <c r="P55" s="156" t="str">
        <f>IF(ISNUMBER(C55)=FALSE,"",IF(C55&gt;入力シート!$J$24,"",_xlfn.DAYS(入力シート!$J$24,'従業員情報(給与以外)'!$C55)/365))</f>
        <v/>
      </c>
      <c r="Q55" s="210" t="str">
        <f>IF(P55="","",VLOOKUP(_xlfn.DAYS(入力シート!$J$24,'従業員情報(給与以外)'!$C55)/365,入力リスト!$K$18:$L$26,2,2))</f>
        <v/>
      </c>
      <c r="R55" s="209" t="str">
        <f>IF(D55="","",VLOOKUP('従業員情報(給与以外)'!$D55,入力シート!$AW$37:$BB$38,4,0))</f>
        <v/>
      </c>
      <c r="S55" s="209" t="str">
        <f>IF(A55="","",IF(E55="","非役職",VLOOKUP('従業員情報(給与以外)'!$E55,入力シート!$AH$37:$AO$62,5,0)))</f>
        <v/>
      </c>
      <c r="T55" s="102" t="str">
        <f>IF(OR(入力シート!$C$5&lt;&gt;入力リスト!$C$3,COUNTIF(入力シート!$J$16:$S$23,入力リスト!$H$9)=0),"",IF($A55="","",IF(ISERROR(AVERAGEIF(従業員の給与情報!$B:$B,$A55,従業員の給与情報!$C:$C)),0,IF(ISERROR(AVERAGEIF(従業員の給与情報!$B:$B,$A55,従業員の給与情報!$C:$C)),0,AVERAGEIF(従業員の給与情報!$B:$B,$A55,従業員の給与情報!$C:$C)))))</f>
        <v/>
      </c>
      <c r="U55" s="102" t="str">
        <f>IF(OR(入力シート!$C$5&lt;&gt;入力リスト!$C$3,COUNTIF(入力シート!$J$16:$S$23,入力リスト!$H$9)=0),"",IF(A55="","",IF(ISERROR(AVERAGEIF(従業員の給与情報!$B:$B,$A55,従業員の給与情報!$D:$D)),0,IF(ISERROR(AVERAGEIF(従業員の給与情報!$B:$B,$A55,従業員の給与情報!$D:$D)),0,AVERAGEIF(従業員の給与情報!$B:$B,$A55,従業員の給与情報!$D:$D)))))</f>
        <v/>
      </c>
      <c r="V55" s="102" t="str">
        <f>IF(OR(入力シート!$C$5&lt;&gt;入力リスト!$C$3,COUNTIF(入力シート!$J$16:$S$23,入力リスト!$H$9)=0),"",IF(A55="","",IF(ISERROR(AVERAGEIF(従業員の給与情報!$B:$B,$A55,従業員の給与情報!$E:$E)),0,IF(ISERROR(AVERAGEIF(従業員の給与情報!$B:$B,$A55,従業員の給与情報!$E:$E)),0,AVERAGEIF(従業員の給与情報!$B:$B,$A55,従業員の給与情報!$E:$E)))))</f>
        <v/>
      </c>
      <c r="W55" s="103" t="str">
        <f>IF(OR(入力シート!$C$5&lt;&gt;入力リスト!$C$3,COUNTIF(入力シート!$J$16:$S$23,入力リスト!$H$9)=0),"",IF(A55="","",IF(ISERROR(AVERAGEIF(従業員の給与情報!$B:$B,$A55,従業員の給与情報!$F:$F)),0,IF(ISERROR(AVERAGEIF(従業員の給与情報!$B:$B,$A55,従業員の給与情報!$F:$F)),0,AVERAGEIF(従業員の給与情報!$B:$B,$A55,従業員の給与情報!$F:$F)))))</f>
        <v/>
      </c>
    </row>
    <row r="56" spans="1:23" s="10" customFormat="1" ht="19.8">
      <c r="A56" s="252"/>
      <c r="B56" s="249"/>
      <c r="C56" s="250"/>
      <c r="D56" s="251"/>
      <c r="E56" s="249"/>
      <c r="F56" s="257" t="str">
        <f>IF($G$1,"",IF(COUNTIF(A56:E56,"")=5,"",IF(G56,入力リスト!$K$28,IF(OR(A56="",B56="",IF(COUNTIF($C$3,"*不要*"),"",C56=""),D56=""),IF(A56="","従業員番号","")&amp;IF(B56="","「雇用形態」","")&amp;IF(OR(入力シート!$J$18=入力リスト!$H$9,入力シート!$J$22=入力リスト!$H$9),IF(C56="","「入社年月日」",""),"")&amp;IF(D56="","「性別」","")&amp;IF(IF(A56="","従業員番号","")&amp;IF(B56="","「雇用形態」","")&amp;IF(OR(入力シート!$J$18=入力リスト!$H$9,入力シート!$J$22=入力リスト!$H$9),IF(C56="","「入社年月日」",""),"")&amp;IF(D56="","「性別」","")="","",入力リスト!$K$29),IF(J56,入力リスト!$K$30,"")&amp;IF(I56,入力リスト!$K$31,"")&amp;IF(H56,"「雇用形態」","")&amp;IF(K56,"「性別」","")&amp;IF(L56,"「役職」","")&amp;IF(OR(H56,K56,L56),入力リスト!$K$32,"")))))</f>
        <v/>
      </c>
      <c r="G56" s="209" t="b">
        <f>COUNTIF($A$4:A55,$A56)&gt;0</f>
        <v>0</v>
      </c>
      <c r="H56" s="210" t="b">
        <f>IF($H$1,FALSE,COUNTIF(入力シート!$S$37:$V$62,B56)=0)</f>
        <v>0</v>
      </c>
      <c r="I56" s="210" t="b">
        <f t="shared" si="2"/>
        <v>0</v>
      </c>
      <c r="J56" s="210" t="b">
        <f>IF($J$1,FALSE,IF(I56=TRUE,FALSE,IF(I56,FALSE,C56&gt;入力シート!$J$24)))</f>
        <v>0</v>
      </c>
      <c r="K56" s="210" t="b">
        <f>IF($K$1,FALSE,COUNTIF(入力シート!$AW$37:$BB$38,D56)=0)</f>
        <v>0</v>
      </c>
      <c r="L56" s="210" t="b">
        <f>IF($L$1,FALSE,IF($L$3,FALSE,IF(E56="",FALSE,COUNTIF(入力シート!$AH$37:$AK$62,E56)=0)))</f>
        <v>0</v>
      </c>
      <c r="M56" s="211" t="str">
        <f t="shared" si="1"/>
        <v/>
      </c>
      <c r="N56" s="211"/>
      <c r="O56" s="209" t="str">
        <f>IF(B56="","",VLOOKUP('従業員情報(給与以外)'!$B56,入力シート!$S$37:$Z$62,5,0))</f>
        <v/>
      </c>
      <c r="P56" s="156" t="str">
        <f>IF(ISNUMBER(C56)=FALSE,"",IF(C56&gt;入力シート!$J$24,"",_xlfn.DAYS(入力シート!$J$24,'従業員情報(給与以外)'!$C56)/365))</f>
        <v/>
      </c>
      <c r="Q56" s="210" t="str">
        <f>IF(P56="","",VLOOKUP(_xlfn.DAYS(入力シート!$J$24,'従業員情報(給与以外)'!$C56)/365,入力リスト!$K$18:$L$26,2,2))</f>
        <v/>
      </c>
      <c r="R56" s="209" t="str">
        <f>IF(D56="","",VLOOKUP('従業員情報(給与以外)'!$D56,入力シート!$AW$37:$BB$38,4,0))</f>
        <v/>
      </c>
      <c r="S56" s="209" t="str">
        <f>IF(A56="","",IF(E56="","非役職",VLOOKUP('従業員情報(給与以外)'!$E56,入力シート!$AH$37:$AO$62,5,0)))</f>
        <v/>
      </c>
      <c r="T56" s="102" t="str">
        <f>IF(OR(入力シート!$C$5&lt;&gt;入力リスト!$C$3,COUNTIF(入力シート!$J$16:$S$23,入力リスト!$H$9)=0),"",IF($A56="","",IF(ISERROR(AVERAGEIF(従業員の給与情報!$B:$B,$A56,従業員の給与情報!$C:$C)),0,IF(ISERROR(AVERAGEIF(従業員の給与情報!$B:$B,$A56,従業員の給与情報!$C:$C)),0,AVERAGEIF(従業員の給与情報!$B:$B,$A56,従業員の給与情報!$C:$C)))))</f>
        <v/>
      </c>
      <c r="U56" s="102" t="str">
        <f>IF(OR(入力シート!$C$5&lt;&gt;入力リスト!$C$3,COUNTIF(入力シート!$J$16:$S$23,入力リスト!$H$9)=0),"",IF(A56="","",IF(ISERROR(AVERAGEIF(従業員の給与情報!$B:$B,$A56,従業員の給与情報!$D:$D)),0,IF(ISERROR(AVERAGEIF(従業員の給与情報!$B:$B,$A56,従業員の給与情報!$D:$D)),0,AVERAGEIF(従業員の給与情報!$B:$B,$A56,従業員の給与情報!$D:$D)))))</f>
        <v/>
      </c>
      <c r="V56" s="102" t="str">
        <f>IF(OR(入力シート!$C$5&lt;&gt;入力リスト!$C$3,COUNTIF(入力シート!$J$16:$S$23,入力リスト!$H$9)=0),"",IF(A56="","",IF(ISERROR(AVERAGEIF(従業員の給与情報!$B:$B,$A56,従業員の給与情報!$E:$E)),0,IF(ISERROR(AVERAGEIF(従業員の給与情報!$B:$B,$A56,従業員の給与情報!$E:$E)),0,AVERAGEIF(従業員の給与情報!$B:$B,$A56,従業員の給与情報!$E:$E)))))</f>
        <v/>
      </c>
      <c r="W56" s="103" t="str">
        <f>IF(OR(入力シート!$C$5&lt;&gt;入力リスト!$C$3,COUNTIF(入力シート!$J$16:$S$23,入力リスト!$H$9)=0),"",IF(A56="","",IF(ISERROR(AVERAGEIF(従業員の給与情報!$B:$B,$A56,従業員の給与情報!$F:$F)),0,IF(ISERROR(AVERAGEIF(従業員の給与情報!$B:$B,$A56,従業員の給与情報!$F:$F)),0,AVERAGEIF(従業員の給与情報!$B:$B,$A56,従業員の給与情報!$F:$F)))))</f>
        <v/>
      </c>
    </row>
    <row r="57" spans="1:23" s="10" customFormat="1" ht="19.8">
      <c r="A57" s="252"/>
      <c r="B57" s="249"/>
      <c r="C57" s="250"/>
      <c r="D57" s="251"/>
      <c r="E57" s="252"/>
      <c r="F57" s="257" t="str">
        <f>IF($G$1,"",IF(COUNTIF(A57:E57,"")=5,"",IF(G57,入力リスト!$K$28,IF(OR(A57="",B57="",IF(COUNTIF($C$3,"*不要*"),"",C57=""),D57=""),IF(A57="","従業員番号","")&amp;IF(B57="","「雇用形態」","")&amp;IF(OR(入力シート!$J$18=入力リスト!$H$9,入力シート!$J$22=入力リスト!$H$9),IF(C57="","「入社年月日」",""),"")&amp;IF(D57="","「性別」","")&amp;IF(IF(A57="","従業員番号","")&amp;IF(B57="","「雇用形態」","")&amp;IF(OR(入力シート!$J$18=入力リスト!$H$9,入力シート!$J$22=入力リスト!$H$9),IF(C57="","「入社年月日」",""),"")&amp;IF(D57="","「性別」","")="","",入力リスト!$K$29),IF(J57,入力リスト!$K$30,"")&amp;IF(I57,入力リスト!$K$31,"")&amp;IF(H57,"「雇用形態」","")&amp;IF(K57,"「性別」","")&amp;IF(L57,"「役職」","")&amp;IF(OR(H57,K57,L57),入力リスト!$K$32,"")))))</f>
        <v/>
      </c>
      <c r="G57" s="209" t="b">
        <f>COUNTIF($A$4:A56,$A57)&gt;0</f>
        <v>0</v>
      </c>
      <c r="H57" s="210" t="b">
        <f>IF($H$1,FALSE,COUNTIF(入力シート!$S$37:$V$62,B57)=0)</f>
        <v>0</v>
      </c>
      <c r="I57" s="210" t="b">
        <f t="shared" si="2"/>
        <v>0</v>
      </c>
      <c r="J57" s="210" t="b">
        <f>IF($J$1,FALSE,IF(I57=TRUE,FALSE,IF(I57,FALSE,C57&gt;入力シート!$J$24)))</f>
        <v>0</v>
      </c>
      <c r="K57" s="210" t="b">
        <f>IF($K$1,FALSE,COUNTIF(入力シート!$AW$37:$BB$38,D57)=0)</f>
        <v>0</v>
      </c>
      <c r="L57" s="210" t="b">
        <f>IF($L$1,FALSE,IF($L$3,FALSE,IF(E57="",FALSE,COUNTIF(入力シート!$AH$37:$AK$62,E57)=0)))</f>
        <v>0</v>
      </c>
      <c r="M57" s="211" t="str">
        <f t="shared" si="1"/>
        <v/>
      </c>
      <c r="N57" s="211"/>
      <c r="O57" s="209" t="str">
        <f>IF(B57="","",VLOOKUP('従業員情報(給与以外)'!$B57,入力シート!$S$37:$Z$62,5,0))</f>
        <v/>
      </c>
      <c r="P57" s="156" t="str">
        <f>IF(ISNUMBER(C57)=FALSE,"",IF(C57&gt;入力シート!$J$24,"",_xlfn.DAYS(入力シート!$J$24,'従業員情報(給与以外)'!$C57)/365))</f>
        <v/>
      </c>
      <c r="Q57" s="210" t="str">
        <f>IF(P57="","",VLOOKUP(_xlfn.DAYS(入力シート!$J$24,'従業員情報(給与以外)'!$C57)/365,入力リスト!$K$18:$L$26,2,2))</f>
        <v/>
      </c>
      <c r="R57" s="209" t="str">
        <f>IF(D57="","",VLOOKUP('従業員情報(給与以外)'!$D57,入力シート!$AW$37:$BB$38,4,0))</f>
        <v/>
      </c>
      <c r="S57" s="209" t="str">
        <f>IF(A57="","",IF(E57="","非役職",VLOOKUP('従業員情報(給与以外)'!$E57,入力シート!$AH$37:$AO$62,5,0)))</f>
        <v/>
      </c>
      <c r="T57" s="102" t="str">
        <f>IF(OR(入力シート!$C$5&lt;&gt;入力リスト!$C$3,COUNTIF(入力シート!$J$16:$S$23,入力リスト!$H$9)=0),"",IF($A57="","",IF(ISERROR(AVERAGEIF(従業員の給与情報!$B:$B,$A57,従業員の給与情報!$C:$C)),0,IF(ISERROR(AVERAGEIF(従業員の給与情報!$B:$B,$A57,従業員の給与情報!$C:$C)),0,AVERAGEIF(従業員の給与情報!$B:$B,$A57,従業員の給与情報!$C:$C)))))</f>
        <v/>
      </c>
      <c r="U57" s="102" t="str">
        <f>IF(OR(入力シート!$C$5&lt;&gt;入力リスト!$C$3,COUNTIF(入力シート!$J$16:$S$23,入力リスト!$H$9)=0),"",IF(A57="","",IF(ISERROR(AVERAGEIF(従業員の給与情報!$B:$B,$A57,従業員の給与情報!$D:$D)),0,IF(ISERROR(AVERAGEIF(従業員の給与情報!$B:$B,$A57,従業員の給与情報!$D:$D)),0,AVERAGEIF(従業員の給与情報!$B:$B,$A57,従業員の給与情報!$D:$D)))))</f>
        <v/>
      </c>
      <c r="V57" s="102" t="str">
        <f>IF(OR(入力シート!$C$5&lt;&gt;入力リスト!$C$3,COUNTIF(入力シート!$J$16:$S$23,入力リスト!$H$9)=0),"",IF(A57="","",IF(ISERROR(AVERAGEIF(従業員の給与情報!$B:$B,$A57,従業員の給与情報!$E:$E)),0,IF(ISERROR(AVERAGEIF(従業員の給与情報!$B:$B,$A57,従業員の給与情報!$E:$E)),0,AVERAGEIF(従業員の給与情報!$B:$B,$A57,従業員の給与情報!$E:$E)))))</f>
        <v/>
      </c>
      <c r="W57" s="103" t="str">
        <f>IF(OR(入力シート!$C$5&lt;&gt;入力リスト!$C$3,COUNTIF(入力シート!$J$16:$S$23,入力リスト!$H$9)=0),"",IF(A57="","",IF(ISERROR(AVERAGEIF(従業員の給与情報!$B:$B,$A57,従業員の給与情報!$F:$F)),0,IF(ISERROR(AVERAGEIF(従業員の給与情報!$B:$B,$A57,従業員の給与情報!$F:$F)),0,AVERAGEIF(従業員の給与情報!$B:$B,$A57,従業員の給与情報!$F:$F)))))</f>
        <v/>
      </c>
    </row>
    <row r="58" spans="1:23" s="10" customFormat="1" ht="19.8">
      <c r="A58" s="252"/>
      <c r="B58" s="249"/>
      <c r="C58" s="250"/>
      <c r="D58" s="251"/>
      <c r="E58" s="249"/>
      <c r="F58" s="257" t="str">
        <f>IF($G$1,"",IF(COUNTIF(A58:E58,"")=5,"",IF(G58,入力リスト!$K$28,IF(OR(A58="",B58="",IF(COUNTIF($C$3,"*不要*"),"",C58=""),D58=""),IF(A58="","従業員番号","")&amp;IF(B58="","「雇用形態」","")&amp;IF(OR(入力シート!$J$18=入力リスト!$H$9,入力シート!$J$22=入力リスト!$H$9),IF(C58="","「入社年月日」",""),"")&amp;IF(D58="","「性別」","")&amp;IF(IF(A58="","従業員番号","")&amp;IF(B58="","「雇用形態」","")&amp;IF(OR(入力シート!$J$18=入力リスト!$H$9,入力シート!$J$22=入力リスト!$H$9),IF(C58="","「入社年月日」",""),"")&amp;IF(D58="","「性別」","")="","",入力リスト!$K$29),IF(J58,入力リスト!$K$30,"")&amp;IF(I58,入力リスト!$K$31,"")&amp;IF(H58,"「雇用形態」","")&amp;IF(K58,"「性別」","")&amp;IF(L58,"「役職」","")&amp;IF(OR(H58,K58,L58),入力リスト!$K$32,"")))))</f>
        <v/>
      </c>
      <c r="G58" s="209" t="b">
        <f>COUNTIF($A$4:A57,$A58)&gt;0</f>
        <v>0</v>
      </c>
      <c r="H58" s="210" t="b">
        <f>IF($H$1,FALSE,COUNTIF(入力シート!$S$37:$V$62,B58)=0)</f>
        <v>0</v>
      </c>
      <c r="I58" s="210" t="b">
        <f t="shared" si="2"/>
        <v>0</v>
      </c>
      <c r="J58" s="210" t="b">
        <f>IF($J$1,FALSE,IF(I58=TRUE,FALSE,IF(I58,FALSE,C58&gt;入力シート!$J$24)))</f>
        <v>0</v>
      </c>
      <c r="K58" s="210" t="b">
        <f>IF($K$1,FALSE,COUNTIF(入力シート!$AW$37:$BB$38,D58)=0)</f>
        <v>0</v>
      </c>
      <c r="L58" s="210" t="b">
        <f>IF($L$1,FALSE,IF($L$3,FALSE,IF(E58="",FALSE,COUNTIF(入力シート!$AH$37:$AK$62,E58)=0)))</f>
        <v>0</v>
      </c>
      <c r="M58" s="211" t="str">
        <f t="shared" si="1"/>
        <v/>
      </c>
      <c r="N58" s="211"/>
      <c r="O58" s="209" t="str">
        <f>IF(B58="","",VLOOKUP('従業員情報(給与以外)'!$B58,入力シート!$S$37:$Z$62,5,0))</f>
        <v/>
      </c>
      <c r="P58" s="156" t="str">
        <f>IF(ISNUMBER(C58)=FALSE,"",IF(C58&gt;入力シート!$J$24,"",_xlfn.DAYS(入力シート!$J$24,'従業員情報(給与以外)'!$C58)/365))</f>
        <v/>
      </c>
      <c r="Q58" s="210" t="str">
        <f>IF(P58="","",VLOOKUP(_xlfn.DAYS(入力シート!$J$24,'従業員情報(給与以外)'!$C58)/365,入力リスト!$K$18:$L$26,2,2))</f>
        <v/>
      </c>
      <c r="R58" s="209" t="str">
        <f>IF(D58="","",VLOOKUP('従業員情報(給与以外)'!$D58,入力シート!$AW$37:$BB$38,4,0))</f>
        <v/>
      </c>
      <c r="S58" s="209" t="str">
        <f>IF(A58="","",IF(E58="","非役職",VLOOKUP('従業員情報(給与以外)'!$E58,入力シート!$AH$37:$AO$62,5,0)))</f>
        <v/>
      </c>
      <c r="T58" s="102" t="str">
        <f>IF(OR(入力シート!$C$5&lt;&gt;入力リスト!$C$3,COUNTIF(入力シート!$J$16:$S$23,入力リスト!$H$9)=0),"",IF($A58="","",IF(ISERROR(AVERAGEIF(従業員の給与情報!$B:$B,$A58,従業員の給与情報!$C:$C)),0,IF(ISERROR(AVERAGEIF(従業員の給与情報!$B:$B,$A58,従業員の給与情報!$C:$C)),0,AVERAGEIF(従業員の給与情報!$B:$B,$A58,従業員の給与情報!$C:$C)))))</f>
        <v/>
      </c>
      <c r="U58" s="102" t="str">
        <f>IF(OR(入力シート!$C$5&lt;&gt;入力リスト!$C$3,COUNTIF(入力シート!$J$16:$S$23,入力リスト!$H$9)=0),"",IF(A58="","",IF(ISERROR(AVERAGEIF(従業員の給与情報!$B:$B,$A58,従業員の給与情報!$D:$D)),0,IF(ISERROR(AVERAGEIF(従業員の給与情報!$B:$B,$A58,従業員の給与情報!$D:$D)),0,AVERAGEIF(従業員の給与情報!$B:$B,$A58,従業員の給与情報!$D:$D)))))</f>
        <v/>
      </c>
      <c r="V58" s="102" t="str">
        <f>IF(OR(入力シート!$C$5&lt;&gt;入力リスト!$C$3,COUNTIF(入力シート!$J$16:$S$23,入力リスト!$H$9)=0),"",IF(A58="","",IF(ISERROR(AVERAGEIF(従業員の給与情報!$B:$B,$A58,従業員の給与情報!$E:$E)),0,IF(ISERROR(AVERAGEIF(従業員の給与情報!$B:$B,$A58,従業員の給与情報!$E:$E)),0,AVERAGEIF(従業員の給与情報!$B:$B,$A58,従業員の給与情報!$E:$E)))))</f>
        <v/>
      </c>
      <c r="W58" s="103" t="str">
        <f>IF(OR(入力シート!$C$5&lt;&gt;入力リスト!$C$3,COUNTIF(入力シート!$J$16:$S$23,入力リスト!$H$9)=0),"",IF(A58="","",IF(ISERROR(AVERAGEIF(従業員の給与情報!$B:$B,$A58,従業員の給与情報!$F:$F)),0,IF(ISERROR(AVERAGEIF(従業員の給与情報!$B:$B,$A58,従業員の給与情報!$F:$F)),0,AVERAGEIF(従業員の給与情報!$B:$B,$A58,従業員の給与情報!$F:$F)))))</f>
        <v/>
      </c>
    </row>
    <row r="59" spans="1:23" s="10" customFormat="1" ht="19.8">
      <c r="A59" s="252"/>
      <c r="B59" s="249"/>
      <c r="C59" s="250"/>
      <c r="D59" s="251"/>
      <c r="E59" s="252"/>
      <c r="F59" s="257" t="str">
        <f>IF($G$1,"",IF(COUNTIF(A59:E59,"")=5,"",IF(G59,入力リスト!$K$28,IF(OR(A59="",B59="",IF(COUNTIF($C$3,"*不要*"),"",C59=""),D59=""),IF(A59="","従業員番号","")&amp;IF(B59="","「雇用形態」","")&amp;IF(OR(入力シート!$J$18=入力リスト!$H$9,入力シート!$J$22=入力リスト!$H$9),IF(C59="","「入社年月日」",""),"")&amp;IF(D59="","「性別」","")&amp;IF(IF(A59="","従業員番号","")&amp;IF(B59="","「雇用形態」","")&amp;IF(OR(入力シート!$J$18=入力リスト!$H$9,入力シート!$J$22=入力リスト!$H$9),IF(C59="","「入社年月日」",""),"")&amp;IF(D59="","「性別」","")="","",入力リスト!$K$29),IF(J59,入力リスト!$K$30,"")&amp;IF(I59,入力リスト!$K$31,"")&amp;IF(H59,"「雇用形態」","")&amp;IF(K59,"「性別」","")&amp;IF(L59,"「役職」","")&amp;IF(OR(H59,K59,L59),入力リスト!$K$32,"")))))</f>
        <v/>
      </c>
      <c r="G59" s="209" t="b">
        <f>COUNTIF($A$4:A58,$A59)&gt;0</f>
        <v>0</v>
      </c>
      <c r="H59" s="210" t="b">
        <f>IF($H$1,FALSE,COUNTIF(入力シート!$S$37:$V$62,B59)=0)</f>
        <v>0</v>
      </c>
      <c r="I59" s="210" t="b">
        <f t="shared" si="2"/>
        <v>0</v>
      </c>
      <c r="J59" s="210" t="b">
        <f>IF($J$1,FALSE,IF(I59=TRUE,FALSE,IF(I59,FALSE,C59&gt;入力シート!$J$24)))</f>
        <v>0</v>
      </c>
      <c r="K59" s="210" t="b">
        <f>IF($K$1,FALSE,COUNTIF(入力シート!$AW$37:$BB$38,D59)=0)</f>
        <v>0</v>
      </c>
      <c r="L59" s="210" t="b">
        <f>IF($L$1,FALSE,IF($L$3,FALSE,IF(E59="",FALSE,COUNTIF(入力シート!$AH$37:$AK$62,E59)=0)))</f>
        <v>0</v>
      </c>
      <c r="M59" s="211" t="str">
        <f t="shared" si="1"/>
        <v/>
      </c>
      <c r="N59" s="211"/>
      <c r="O59" s="209" t="str">
        <f>IF(B59="","",VLOOKUP('従業員情報(給与以外)'!$B59,入力シート!$S$37:$Z$62,5,0))</f>
        <v/>
      </c>
      <c r="P59" s="156" t="str">
        <f>IF(ISNUMBER(C59)=FALSE,"",IF(C59&gt;入力シート!$J$24,"",_xlfn.DAYS(入力シート!$J$24,'従業員情報(給与以外)'!$C59)/365))</f>
        <v/>
      </c>
      <c r="Q59" s="210" t="str">
        <f>IF(P59="","",VLOOKUP(_xlfn.DAYS(入力シート!$J$24,'従業員情報(給与以外)'!$C59)/365,入力リスト!$K$18:$L$26,2,2))</f>
        <v/>
      </c>
      <c r="R59" s="209" t="str">
        <f>IF(D59="","",VLOOKUP('従業員情報(給与以外)'!$D59,入力シート!$AW$37:$BB$38,4,0))</f>
        <v/>
      </c>
      <c r="S59" s="209" t="str">
        <f>IF(A59="","",IF(E59="","非役職",VLOOKUP('従業員情報(給与以外)'!$E59,入力シート!$AH$37:$AO$62,5,0)))</f>
        <v/>
      </c>
      <c r="T59" s="102" t="str">
        <f>IF(OR(入力シート!$C$5&lt;&gt;入力リスト!$C$3,COUNTIF(入力シート!$J$16:$S$23,入力リスト!$H$9)=0),"",IF($A59="","",IF(ISERROR(AVERAGEIF(従業員の給与情報!$B:$B,$A59,従業員の給与情報!$C:$C)),0,IF(ISERROR(AVERAGEIF(従業員の給与情報!$B:$B,$A59,従業員の給与情報!$C:$C)),0,AVERAGEIF(従業員の給与情報!$B:$B,$A59,従業員の給与情報!$C:$C)))))</f>
        <v/>
      </c>
      <c r="U59" s="102" t="str">
        <f>IF(OR(入力シート!$C$5&lt;&gt;入力リスト!$C$3,COUNTIF(入力シート!$J$16:$S$23,入力リスト!$H$9)=0),"",IF(A59="","",IF(ISERROR(AVERAGEIF(従業員の給与情報!$B:$B,$A59,従業員の給与情報!$D:$D)),0,IF(ISERROR(AVERAGEIF(従業員の給与情報!$B:$B,$A59,従業員の給与情報!$D:$D)),0,AVERAGEIF(従業員の給与情報!$B:$B,$A59,従業員の給与情報!$D:$D)))))</f>
        <v/>
      </c>
      <c r="V59" s="102" t="str">
        <f>IF(OR(入力シート!$C$5&lt;&gt;入力リスト!$C$3,COUNTIF(入力シート!$J$16:$S$23,入力リスト!$H$9)=0),"",IF(A59="","",IF(ISERROR(AVERAGEIF(従業員の給与情報!$B:$B,$A59,従業員の給与情報!$E:$E)),0,IF(ISERROR(AVERAGEIF(従業員の給与情報!$B:$B,$A59,従業員の給与情報!$E:$E)),0,AVERAGEIF(従業員の給与情報!$B:$B,$A59,従業員の給与情報!$E:$E)))))</f>
        <v/>
      </c>
      <c r="W59" s="103" t="str">
        <f>IF(OR(入力シート!$C$5&lt;&gt;入力リスト!$C$3,COUNTIF(入力シート!$J$16:$S$23,入力リスト!$H$9)=0),"",IF(A59="","",IF(ISERROR(AVERAGEIF(従業員の給与情報!$B:$B,$A59,従業員の給与情報!$F:$F)),0,IF(ISERROR(AVERAGEIF(従業員の給与情報!$B:$B,$A59,従業員の給与情報!$F:$F)),0,AVERAGEIF(従業員の給与情報!$B:$B,$A59,従業員の給与情報!$F:$F)))))</f>
        <v/>
      </c>
    </row>
    <row r="60" spans="1:23" s="10" customFormat="1" ht="19.8">
      <c r="A60" s="252"/>
      <c r="B60" s="249"/>
      <c r="C60" s="250"/>
      <c r="D60" s="251"/>
      <c r="E60" s="252"/>
      <c r="F60" s="257" t="str">
        <f>IF($G$1,"",IF(COUNTIF(A60:E60,"")=5,"",IF(G60,入力リスト!$K$28,IF(OR(A60="",B60="",IF(COUNTIF($C$3,"*不要*"),"",C60=""),D60=""),IF(A60="","従業員番号","")&amp;IF(B60="","「雇用形態」","")&amp;IF(OR(入力シート!$J$18=入力リスト!$H$9,入力シート!$J$22=入力リスト!$H$9),IF(C60="","「入社年月日」",""),"")&amp;IF(D60="","「性別」","")&amp;IF(IF(A60="","従業員番号","")&amp;IF(B60="","「雇用形態」","")&amp;IF(OR(入力シート!$J$18=入力リスト!$H$9,入力シート!$J$22=入力リスト!$H$9),IF(C60="","「入社年月日」",""),"")&amp;IF(D60="","「性別」","")="","",入力リスト!$K$29),IF(J60,入力リスト!$K$30,"")&amp;IF(I60,入力リスト!$K$31,"")&amp;IF(H60,"「雇用形態」","")&amp;IF(K60,"「性別」","")&amp;IF(L60,"「役職」","")&amp;IF(OR(H60,K60,L60),入力リスト!$K$32,"")))))</f>
        <v/>
      </c>
      <c r="G60" s="209" t="b">
        <f>COUNTIF($A$4:A59,$A60)&gt;0</f>
        <v>0</v>
      </c>
      <c r="H60" s="210" t="b">
        <f>IF($H$1,FALSE,COUNTIF(入力シート!$S$37:$V$62,B60)=0)</f>
        <v>0</v>
      </c>
      <c r="I60" s="210" t="b">
        <f t="shared" si="2"/>
        <v>0</v>
      </c>
      <c r="J60" s="210" t="b">
        <f>IF($J$1,FALSE,IF(I60=TRUE,FALSE,IF(I60,FALSE,C60&gt;入力シート!$J$24)))</f>
        <v>0</v>
      </c>
      <c r="K60" s="210" t="b">
        <f>IF($K$1,FALSE,COUNTIF(入力シート!$AW$37:$BB$38,D60)=0)</f>
        <v>0</v>
      </c>
      <c r="L60" s="210" t="b">
        <f>IF($L$1,FALSE,IF($L$3,FALSE,IF(E60="",FALSE,COUNTIF(入力シート!$AH$37:$AK$62,E60)=0)))</f>
        <v>0</v>
      </c>
      <c r="M60" s="211" t="str">
        <f t="shared" si="1"/>
        <v/>
      </c>
      <c r="N60" s="211"/>
      <c r="O60" s="209" t="str">
        <f>IF(B60="","",VLOOKUP('従業員情報(給与以外)'!$B60,入力シート!$S$37:$Z$62,5,0))</f>
        <v/>
      </c>
      <c r="P60" s="156" t="str">
        <f>IF(ISNUMBER(C60)=FALSE,"",IF(C60&gt;入力シート!$J$24,"",_xlfn.DAYS(入力シート!$J$24,'従業員情報(給与以外)'!$C60)/365))</f>
        <v/>
      </c>
      <c r="Q60" s="210" t="str">
        <f>IF(P60="","",VLOOKUP(_xlfn.DAYS(入力シート!$J$24,'従業員情報(給与以外)'!$C60)/365,入力リスト!$K$18:$L$26,2,2))</f>
        <v/>
      </c>
      <c r="R60" s="209" t="str">
        <f>IF(D60="","",VLOOKUP('従業員情報(給与以外)'!$D60,入力シート!$AW$37:$BB$38,4,0))</f>
        <v/>
      </c>
      <c r="S60" s="209" t="str">
        <f>IF(A60="","",IF(E60="","非役職",VLOOKUP('従業員情報(給与以外)'!$E60,入力シート!$AH$37:$AO$62,5,0)))</f>
        <v/>
      </c>
      <c r="T60" s="102" t="str">
        <f>IF(OR(入力シート!$C$5&lt;&gt;入力リスト!$C$3,COUNTIF(入力シート!$J$16:$S$23,入力リスト!$H$9)=0),"",IF($A60="","",IF(ISERROR(AVERAGEIF(従業員の給与情報!$B:$B,$A60,従業員の給与情報!$C:$C)),0,IF(ISERROR(AVERAGEIF(従業員の給与情報!$B:$B,$A60,従業員の給与情報!$C:$C)),0,AVERAGEIF(従業員の給与情報!$B:$B,$A60,従業員の給与情報!$C:$C)))))</f>
        <v/>
      </c>
      <c r="U60" s="102" t="str">
        <f>IF(OR(入力シート!$C$5&lt;&gt;入力リスト!$C$3,COUNTIF(入力シート!$J$16:$S$23,入力リスト!$H$9)=0),"",IF(A60="","",IF(ISERROR(AVERAGEIF(従業員の給与情報!$B:$B,$A60,従業員の給与情報!$D:$D)),0,IF(ISERROR(AVERAGEIF(従業員の給与情報!$B:$B,$A60,従業員の給与情報!$D:$D)),0,AVERAGEIF(従業員の給与情報!$B:$B,$A60,従業員の給与情報!$D:$D)))))</f>
        <v/>
      </c>
      <c r="V60" s="102" t="str">
        <f>IF(OR(入力シート!$C$5&lt;&gt;入力リスト!$C$3,COUNTIF(入力シート!$J$16:$S$23,入力リスト!$H$9)=0),"",IF(A60="","",IF(ISERROR(AVERAGEIF(従業員の給与情報!$B:$B,$A60,従業員の給与情報!$E:$E)),0,IF(ISERROR(AVERAGEIF(従業員の給与情報!$B:$B,$A60,従業員の給与情報!$E:$E)),0,AVERAGEIF(従業員の給与情報!$B:$B,$A60,従業員の給与情報!$E:$E)))))</f>
        <v/>
      </c>
      <c r="W60" s="103" t="str">
        <f>IF(OR(入力シート!$C$5&lt;&gt;入力リスト!$C$3,COUNTIF(入力シート!$J$16:$S$23,入力リスト!$H$9)=0),"",IF(A60="","",IF(ISERROR(AVERAGEIF(従業員の給与情報!$B:$B,$A60,従業員の給与情報!$F:$F)),0,IF(ISERROR(AVERAGEIF(従業員の給与情報!$B:$B,$A60,従業員の給与情報!$F:$F)),0,AVERAGEIF(従業員の給与情報!$B:$B,$A60,従業員の給与情報!$F:$F)))))</f>
        <v/>
      </c>
    </row>
    <row r="61" spans="1:23" s="10" customFormat="1" ht="19.8">
      <c r="A61" s="252"/>
      <c r="B61" s="249"/>
      <c r="C61" s="250"/>
      <c r="D61" s="251"/>
      <c r="E61" s="252"/>
      <c r="F61" s="257" t="str">
        <f>IF($G$1,"",IF(COUNTIF(A61:E61,"")=5,"",IF(G61,入力リスト!$K$28,IF(OR(A61="",B61="",IF(COUNTIF($C$3,"*不要*"),"",C61=""),D61=""),IF(A61="","従業員番号","")&amp;IF(B61="","「雇用形態」","")&amp;IF(OR(入力シート!$J$18=入力リスト!$H$9,入力シート!$J$22=入力リスト!$H$9),IF(C61="","「入社年月日」",""),"")&amp;IF(D61="","「性別」","")&amp;IF(IF(A61="","従業員番号","")&amp;IF(B61="","「雇用形態」","")&amp;IF(OR(入力シート!$J$18=入力リスト!$H$9,入力シート!$J$22=入力リスト!$H$9),IF(C61="","「入社年月日」",""),"")&amp;IF(D61="","「性別」","")="","",入力リスト!$K$29),IF(J61,入力リスト!$K$30,"")&amp;IF(I61,入力リスト!$K$31,"")&amp;IF(H61,"「雇用形態」","")&amp;IF(K61,"「性別」","")&amp;IF(L61,"「役職」","")&amp;IF(OR(H61,K61,L61),入力リスト!$K$32,"")))))</f>
        <v/>
      </c>
      <c r="G61" s="209" t="b">
        <f>COUNTIF($A$4:A60,$A61)&gt;0</f>
        <v>0</v>
      </c>
      <c r="H61" s="210" t="b">
        <f>IF($H$1,FALSE,COUNTIF(入力シート!$S$37:$V$62,B61)=0)</f>
        <v>0</v>
      </c>
      <c r="I61" s="210" t="b">
        <f t="shared" si="2"/>
        <v>0</v>
      </c>
      <c r="J61" s="210" t="b">
        <f>IF($J$1,FALSE,IF(I61=TRUE,FALSE,IF(I61,FALSE,C61&gt;入力シート!$J$24)))</f>
        <v>0</v>
      </c>
      <c r="K61" s="210" t="b">
        <f>IF($K$1,FALSE,COUNTIF(入力シート!$AW$37:$BB$38,D61)=0)</f>
        <v>0</v>
      </c>
      <c r="L61" s="210" t="b">
        <f>IF($L$1,FALSE,IF($L$3,FALSE,IF(E61="",FALSE,COUNTIF(入力シート!$AH$37:$AK$62,E61)=0)))</f>
        <v>0</v>
      </c>
      <c r="M61" s="211" t="str">
        <f t="shared" si="1"/>
        <v/>
      </c>
      <c r="N61" s="211"/>
      <c r="O61" s="209" t="str">
        <f>IF(B61="","",VLOOKUP('従業員情報(給与以外)'!$B61,入力シート!$S$37:$Z$62,5,0))</f>
        <v/>
      </c>
      <c r="P61" s="156" t="str">
        <f>IF(ISNUMBER(C61)=FALSE,"",IF(C61&gt;入力シート!$J$24,"",_xlfn.DAYS(入力シート!$J$24,'従業員情報(給与以外)'!$C61)/365))</f>
        <v/>
      </c>
      <c r="Q61" s="210" t="str">
        <f>IF(P61="","",VLOOKUP(_xlfn.DAYS(入力シート!$J$24,'従業員情報(給与以外)'!$C61)/365,入力リスト!$K$18:$L$26,2,2))</f>
        <v/>
      </c>
      <c r="R61" s="209" t="str">
        <f>IF(D61="","",VLOOKUP('従業員情報(給与以外)'!$D61,入力シート!$AW$37:$BB$38,4,0))</f>
        <v/>
      </c>
      <c r="S61" s="209" t="str">
        <f>IF(A61="","",IF(E61="","非役職",VLOOKUP('従業員情報(給与以外)'!$E61,入力シート!$AH$37:$AO$62,5,0)))</f>
        <v/>
      </c>
      <c r="T61" s="102" t="str">
        <f>IF(OR(入力シート!$C$5&lt;&gt;入力リスト!$C$3,COUNTIF(入力シート!$J$16:$S$23,入力リスト!$H$9)=0),"",IF($A61="","",IF(ISERROR(AVERAGEIF(従業員の給与情報!$B:$B,$A61,従業員の給与情報!$C:$C)),0,IF(ISERROR(AVERAGEIF(従業員の給与情報!$B:$B,$A61,従業員の給与情報!$C:$C)),0,AVERAGEIF(従業員の給与情報!$B:$B,$A61,従業員の給与情報!$C:$C)))))</f>
        <v/>
      </c>
      <c r="U61" s="102" t="str">
        <f>IF(OR(入力シート!$C$5&lt;&gt;入力リスト!$C$3,COUNTIF(入力シート!$J$16:$S$23,入力リスト!$H$9)=0),"",IF(A61="","",IF(ISERROR(AVERAGEIF(従業員の給与情報!$B:$B,$A61,従業員の給与情報!$D:$D)),0,IF(ISERROR(AVERAGEIF(従業員の給与情報!$B:$B,$A61,従業員の給与情報!$D:$D)),0,AVERAGEIF(従業員の給与情報!$B:$B,$A61,従業員の給与情報!$D:$D)))))</f>
        <v/>
      </c>
      <c r="V61" s="102" t="str">
        <f>IF(OR(入力シート!$C$5&lt;&gt;入力リスト!$C$3,COUNTIF(入力シート!$J$16:$S$23,入力リスト!$H$9)=0),"",IF(A61="","",IF(ISERROR(AVERAGEIF(従業員の給与情報!$B:$B,$A61,従業員の給与情報!$E:$E)),0,IF(ISERROR(AVERAGEIF(従業員の給与情報!$B:$B,$A61,従業員の給与情報!$E:$E)),0,AVERAGEIF(従業員の給与情報!$B:$B,$A61,従業員の給与情報!$E:$E)))))</f>
        <v/>
      </c>
      <c r="W61" s="103" t="str">
        <f>IF(OR(入力シート!$C$5&lt;&gt;入力リスト!$C$3,COUNTIF(入力シート!$J$16:$S$23,入力リスト!$H$9)=0),"",IF(A61="","",IF(ISERROR(AVERAGEIF(従業員の給与情報!$B:$B,$A61,従業員の給与情報!$F:$F)),0,IF(ISERROR(AVERAGEIF(従業員の給与情報!$B:$B,$A61,従業員の給与情報!$F:$F)),0,AVERAGEIF(従業員の給与情報!$B:$B,$A61,従業員の給与情報!$F:$F)))))</f>
        <v/>
      </c>
    </row>
    <row r="62" spans="1:23" s="10" customFormat="1" ht="19.8">
      <c r="A62" s="252"/>
      <c r="B62" s="249"/>
      <c r="C62" s="250"/>
      <c r="D62" s="251"/>
      <c r="E62" s="252"/>
      <c r="F62" s="257" t="str">
        <f>IF($G$1,"",IF(COUNTIF(A62:E62,"")=5,"",IF(G62,入力リスト!$K$28,IF(OR(A62="",B62="",IF(COUNTIF($C$3,"*不要*"),"",C62=""),D62=""),IF(A62="","従業員番号","")&amp;IF(B62="","「雇用形態」","")&amp;IF(OR(入力シート!$J$18=入力リスト!$H$9,入力シート!$J$22=入力リスト!$H$9),IF(C62="","「入社年月日」",""),"")&amp;IF(D62="","「性別」","")&amp;IF(IF(A62="","従業員番号","")&amp;IF(B62="","「雇用形態」","")&amp;IF(OR(入力シート!$J$18=入力リスト!$H$9,入力シート!$J$22=入力リスト!$H$9),IF(C62="","「入社年月日」",""),"")&amp;IF(D62="","「性別」","")="","",入力リスト!$K$29),IF(J62,入力リスト!$K$30,"")&amp;IF(I62,入力リスト!$K$31,"")&amp;IF(H62,"「雇用形態」","")&amp;IF(K62,"「性別」","")&amp;IF(L62,"「役職」","")&amp;IF(OR(H62,K62,L62),入力リスト!$K$32,"")))))</f>
        <v/>
      </c>
      <c r="G62" s="209" t="b">
        <f>COUNTIF($A$4:A61,$A62)&gt;0</f>
        <v>0</v>
      </c>
      <c r="H62" s="210" t="b">
        <f>IF($H$1,FALSE,COUNTIF(入力シート!$S$37:$V$62,B62)=0)</f>
        <v>0</v>
      </c>
      <c r="I62" s="210" t="b">
        <f t="shared" si="2"/>
        <v>0</v>
      </c>
      <c r="J62" s="210" t="b">
        <f>IF($J$1,FALSE,IF(I62=TRUE,FALSE,IF(I62,FALSE,C62&gt;入力シート!$J$24)))</f>
        <v>0</v>
      </c>
      <c r="K62" s="210" t="b">
        <f>IF($K$1,FALSE,COUNTIF(入力シート!$AW$37:$BB$38,D62)=0)</f>
        <v>0</v>
      </c>
      <c r="L62" s="210" t="b">
        <f>IF($L$1,FALSE,IF($L$3,FALSE,IF(E62="",FALSE,COUNTIF(入力シート!$AH$37:$AK$62,E62)=0)))</f>
        <v>0</v>
      </c>
      <c r="M62" s="211" t="str">
        <f t="shared" si="1"/>
        <v/>
      </c>
      <c r="N62" s="211"/>
      <c r="O62" s="209" t="str">
        <f>IF(B62="","",VLOOKUP('従業員情報(給与以外)'!$B62,入力シート!$S$37:$Z$62,5,0))</f>
        <v/>
      </c>
      <c r="P62" s="156" t="str">
        <f>IF(ISNUMBER(C62)=FALSE,"",IF(C62&gt;入力シート!$J$24,"",_xlfn.DAYS(入力シート!$J$24,'従業員情報(給与以外)'!$C62)/365))</f>
        <v/>
      </c>
      <c r="Q62" s="210" t="str">
        <f>IF(P62="","",VLOOKUP(_xlfn.DAYS(入力シート!$J$24,'従業員情報(給与以外)'!$C62)/365,入力リスト!$K$18:$L$26,2,2))</f>
        <v/>
      </c>
      <c r="R62" s="209" t="str">
        <f>IF(D62="","",VLOOKUP('従業員情報(給与以外)'!$D62,入力シート!$AW$37:$BB$38,4,0))</f>
        <v/>
      </c>
      <c r="S62" s="209" t="str">
        <f>IF(A62="","",IF(E62="","非役職",VLOOKUP('従業員情報(給与以外)'!$E62,入力シート!$AH$37:$AO$62,5,0)))</f>
        <v/>
      </c>
      <c r="T62" s="102" t="str">
        <f>IF(OR(入力シート!$C$5&lt;&gt;入力リスト!$C$3,COUNTIF(入力シート!$J$16:$S$23,入力リスト!$H$9)=0),"",IF($A62="","",IF(ISERROR(AVERAGEIF(従業員の給与情報!$B:$B,$A62,従業員の給与情報!$C:$C)),0,IF(ISERROR(AVERAGEIF(従業員の給与情報!$B:$B,$A62,従業員の給与情報!$C:$C)),0,AVERAGEIF(従業員の給与情報!$B:$B,$A62,従業員の給与情報!$C:$C)))))</f>
        <v/>
      </c>
      <c r="U62" s="102" t="str">
        <f>IF(OR(入力シート!$C$5&lt;&gt;入力リスト!$C$3,COUNTIF(入力シート!$J$16:$S$23,入力リスト!$H$9)=0),"",IF(A62="","",IF(ISERROR(AVERAGEIF(従業員の給与情報!$B:$B,$A62,従業員の給与情報!$D:$D)),0,IF(ISERROR(AVERAGEIF(従業員の給与情報!$B:$B,$A62,従業員の給与情報!$D:$D)),0,AVERAGEIF(従業員の給与情報!$B:$B,$A62,従業員の給与情報!$D:$D)))))</f>
        <v/>
      </c>
      <c r="V62" s="102" t="str">
        <f>IF(OR(入力シート!$C$5&lt;&gt;入力リスト!$C$3,COUNTIF(入力シート!$J$16:$S$23,入力リスト!$H$9)=0),"",IF(A62="","",IF(ISERROR(AVERAGEIF(従業員の給与情報!$B:$B,$A62,従業員の給与情報!$E:$E)),0,IF(ISERROR(AVERAGEIF(従業員の給与情報!$B:$B,$A62,従業員の給与情報!$E:$E)),0,AVERAGEIF(従業員の給与情報!$B:$B,$A62,従業員の給与情報!$E:$E)))))</f>
        <v/>
      </c>
      <c r="W62" s="103" t="str">
        <f>IF(OR(入力シート!$C$5&lt;&gt;入力リスト!$C$3,COUNTIF(入力シート!$J$16:$S$23,入力リスト!$H$9)=0),"",IF(A62="","",IF(ISERROR(AVERAGEIF(従業員の給与情報!$B:$B,$A62,従業員の給与情報!$F:$F)),0,IF(ISERROR(AVERAGEIF(従業員の給与情報!$B:$B,$A62,従業員の給与情報!$F:$F)),0,AVERAGEIF(従業員の給与情報!$B:$B,$A62,従業員の給与情報!$F:$F)))))</f>
        <v/>
      </c>
    </row>
    <row r="63" spans="1:23" s="10" customFormat="1" ht="19.8">
      <c r="A63" s="252"/>
      <c r="B63" s="249"/>
      <c r="C63" s="250"/>
      <c r="D63" s="251"/>
      <c r="E63" s="252"/>
      <c r="F63" s="257" t="str">
        <f>IF($G$1,"",IF(COUNTIF(A63:E63,"")=5,"",IF(G63,入力リスト!$K$28,IF(OR(A63="",B63="",IF(COUNTIF($C$3,"*不要*"),"",C63=""),D63=""),IF(A63="","従業員番号","")&amp;IF(B63="","「雇用形態」","")&amp;IF(OR(入力シート!$J$18=入力リスト!$H$9,入力シート!$J$22=入力リスト!$H$9),IF(C63="","「入社年月日」",""),"")&amp;IF(D63="","「性別」","")&amp;IF(IF(A63="","従業員番号","")&amp;IF(B63="","「雇用形態」","")&amp;IF(OR(入力シート!$J$18=入力リスト!$H$9,入力シート!$J$22=入力リスト!$H$9),IF(C63="","「入社年月日」",""),"")&amp;IF(D63="","「性別」","")="","",入力リスト!$K$29),IF(J63,入力リスト!$K$30,"")&amp;IF(I63,入力リスト!$K$31,"")&amp;IF(H63,"「雇用形態」","")&amp;IF(K63,"「性別」","")&amp;IF(L63,"「役職」","")&amp;IF(OR(H63,K63,L63),入力リスト!$K$32,"")))))</f>
        <v/>
      </c>
      <c r="G63" s="209" t="b">
        <f>COUNTIF($A$4:A62,$A63)&gt;0</f>
        <v>0</v>
      </c>
      <c r="H63" s="210" t="b">
        <f>IF($H$1,FALSE,COUNTIF(入力シート!$S$37:$V$62,B63)=0)</f>
        <v>0</v>
      </c>
      <c r="I63" s="210" t="b">
        <f t="shared" si="2"/>
        <v>0</v>
      </c>
      <c r="J63" s="210" t="b">
        <f>IF($J$1,FALSE,IF(I63=TRUE,FALSE,IF(I63,FALSE,C63&gt;入力シート!$J$24)))</f>
        <v>0</v>
      </c>
      <c r="K63" s="210" t="b">
        <f>IF($K$1,FALSE,COUNTIF(入力シート!$AW$37:$BB$38,D63)=0)</f>
        <v>0</v>
      </c>
      <c r="L63" s="210" t="b">
        <f>IF($L$1,FALSE,IF($L$3,FALSE,IF(E63="",FALSE,COUNTIF(入力シート!$AH$37:$AK$62,E63)=0)))</f>
        <v>0</v>
      </c>
      <c r="M63" s="211" t="str">
        <f t="shared" si="1"/>
        <v/>
      </c>
      <c r="N63" s="211"/>
      <c r="O63" s="209" t="str">
        <f>IF(B63="","",VLOOKUP('従業員情報(給与以外)'!$B63,入力シート!$S$37:$Z$62,5,0))</f>
        <v/>
      </c>
      <c r="P63" s="156" t="str">
        <f>IF(ISNUMBER(C63)=FALSE,"",IF(C63&gt;入力シート!$J$24,"",_xlfn.DAYS(入力シート!$J$24,'従業員情報(給与以外)'!$C63)/365))</f>
        <v/>
      </c>
      <c r="Q63" s="210" t="str">
        <f>IF(P63="","",VLOOKUP(_xlfn.DAYS(入力シート!$J$24,'従業員情報(給与以外)'!$C63)/365,入力リスト!$K$18:$L$26,2,2))</f>
        <v/>
      </c>
      <c r="R63" s="209" t="str">
        <f>IF(D63="","",VLOOKUP('従業員情報(給与以外)'!$D63,入力シート!$AW$37:$BB$38,4,0))</f>
        <v/>
      </c>
      <c r="S63" s="209" t="str">
        <f>IF(A63="","",IF(E63="","非役職",VLOOKUP('従業員情報(給与以外)'!$E63,入力シート!$AH$37:$AO$62,5,0)))</f>
        <v/>
      </c>
      <c r="T63" s="102" t="str">
        <f>IF(OR(入力シート!$C$5&lt;&gt;入力リスト!$C$3,COUNTIF(入力シート!$J$16:$S$23,入力リスト!$H$9)=0),"",IF($A63="","",IF(ISERROR(AVERAGEIF(従業員の給与情報!$B:$B,$A63,従業員の給与情報!$C:$C)),0,IF(ISERROR(AVERAGEIF(従業員の給与情報!$B:$B,$A63,従業員の給与情報!$C:$C)),0,AVERAGEIF(従業員の給与情報!$B:$B,$A63,従業員の給与情報!$C:$C)))))</f>
        <v/>
      </c>
      <c r="U63" s="102" t="str">
        <f>IF(OR(入力シート!$C$5&lt;&gt;入力リスト!$C$3,COUNTIF(入力シート!$J$16:$S$23,入力リスト!$H$9)=0),"",IF(A63="","",IF(ISERROR(AVERAGEIF(従業員の給与情報!$B:$B,$A63,従業員の給与情報!$D:$D)),0,IF(ISERROR(AVERAGEIF(従業員の給与情報!$B:$B,$A63,従業員の給与情報!$D:$D)),0,AVERAGEIF(従業員の給与情報!$B:$B,$A63,従業員の給与情報!$D:$D)))))</f>
        <v/>
      </c>
      <c r="V63" s="102" t="str">
        <f>IF(OR(入力シート!$C$5&lt;&gt;入力リスト!$C$3,COUNTIF(入力シート!$J$16:$S$23,入力リスト!$H$9)=0),"",IF(A63="","",IF(ISERROR(AVERAGEIF(従業員の給与情報!$B:$B,$A63,従業員の給与情報!$E:$E)),0,IF(ISERROR(AVERAGEIF(従業員の給与情報!$B:$B,$A63,従業員の給与情報!$E:$E)),0,AVERAGEIF(従業員の給与情報!$B:$B,$A63,従業員の給与情報!$E:$E)))))</f>
        <v/>
      </c>
      <c r="W63" s="103" t="str">
        <f>IF(OR(入力シート!$C$5&lt;&gt;入力リスト!$C$3,COUNTIF(入力シート!$J$16:$S$23,入力リスト!$H$9)=0),"",IF(A63="","",IF(ISERROR(AVERAGEIF(従業員の給与情報!$B:$B,$A63,従業員の給与情報!$F:$F)),0,IF(ISERROR(AVERAGEIF(従業員の給与情報!$B:$B,$A63,従業員の給与情報!$F:$F)),0,AVERAGEIF(従業員の給与情報!$B:$B,$A63,従業員の給与情報!$F:$F)))))</f>
        <v/>
      </c>
    </row>
    <row r="64" spans="1:23" s="10" customFormat="1" ht="19.8">
      <c r="A64" s="252"/>
      <c r="B64" s="249"/>
      <c r="C64" s="250"/>
      <c r="D64" s="251"/>
      <c r="E64" s="249"/>
      <c r="F64" s="257" t="str">
        <f>IF($G$1,"",IF(COUNTIF(A64:E64,"")=5,"",IF(G64,入力リスト!$K$28,IF(OR(A64="",B64="",IF(COUNTIF($C$3,"*不要*"),"",C64=""),D64=""),IF(A64="","従業員番号","")&amp;IF(B64="","「雇用形態」","")&amp;IF(OR(入力シート!$J$18=入力リスト!$H$9,入力シート!$J$22=入力リスト!$H$9),IF(C64="","「入社年月日」",""),"")&amp;IF(D64="","「性別」","")&amp;IF(IF(A64="","従業員番号","")&amp;IF(B64="","「雇用形態」","")&amp;IF(OR(入力シート!$J$18=入力リスト!$H$9,入力シート!$J$22=入力リスト!$H$9),IF(C64="","「入社年月日」",""),"")&amp;IF(D64="","「性別」","")="","",入力リスト!$K$29),IF(J64,入力リスト!$K$30,"")&amp;IF(I64,入力リスト!$K$31,"")&amp;IF(H64,"「雇用形態」","")&amp;IF(K64,"「性別」","")&amp;IF(L64,"「役職」","")&amp;IF(OR(H64,K64,L64),入力リスト!$K$32,"")))))</f>
        <v/>
      </c>
      <c r="G64" s="209" t="b">
        <f>COUNTIF($A$4:A63,$A64)&gt;0</f>
        <v>0</v>
      </c>
      <c r="H64" s="210" t="b">
        <f>IF($H$1,FALSE,COUNTIF(入力シート!$S$37:$V$62,B64)=0)</f>
        <v>0</v>
      </c>
      <c r="I64" s="210" t="b">
        <f t="shared" si="2"/>
        <v>0</v>
      </c>
      <c r="J64" s="210" t="b">
        <f>IF($J$1,FALSE,IF(I64=TRUE,FALSE,IF(I64,FALSE,C64&gt;入力シート!$J$24)))</f>
        <v>0</v>
      </c>
      <c r="K64" s="210" t="b">
        <f>IF($K$1,FALSE,COUNTIF(入力シート!$AW$37:$BB$38,D64)=0)</f>
        <v>0</v>
      </c>
      <c r="L64" s="210" t="b">
        <f>IF($L$1,FALSE,IF($L$3,FALSE,IF(E64="",FALSE,COUNTIF(入力シート!$AH$37:$AK$62,E64)=0)))</f>
        <v>0</v>
      </c>
      <c r="M64" s="211" t="str">
        <f t="shared" si="1"/>
        <v/>
      </c>
      <c r="N64" s="211"/>
      <c r="O64" s="209" t="str">
        <f>IF(B64="","",VLOOKUP('従業員情報(給与以外)'!$B64,入力シート!$S$37:$Z$62,5,0))</f>
        <v/>
      </c>
      <c r="P64" s="156" t="str">
        <f>IF(ISNUMBER(C64)=FALSE,"",IF(C64&gt;入力シート!$J$24,"",_xlfn.DAYS(入力シート!$J$24,'従業員情報(給与以外)'!$C64)/365))</f>
        <v/>
      </c>
      <c r="Q64" s="210" t="str">
        <f>IF(P64="","",VLOOKUP(_xlfn.DAYS(入力シート!$J$24,'従業員情報(給与以外)'!$C64)/365,入力リスト!$K$18:$L$26,2,2))</f>
        <v/>
      </c>
      <c r="R64" s="209" t="str">
        <f>IF(D64="","",VLOOKUP('従業員情報(給与以外)'!$D64,入力シート!$AW$37:$BB$38,4,0))</f>
        <v/>
      </c>
      <c r="S64" s="209" t="str">
        <f>IF(A64="","",IF(E64="","非役職",VLOOKUP('従業員情報(給与以外)'!$E64,入力シート!$AH$37:$AO$62,5,0)))</f>
        <v/>
      </c>
      <c r="T64" s="102" t="str">
        <f>IF(OR(入力シート!$C$5&lt;&gt;入力リスト!$C$3,COUNTIF(入力シート!$J$16:$S$23,入力リスト!$H$9)=0),"",IF($A64="","",IF(ISERROR(AVERAGEIF(従業員の給与情報!$B:$B,$A64,従業員の給与情報!$C:$C)),0,IF(ISERROR(AVERAGEIF(従業員の給与情報!$B:$B,$A64,従業員の給与情報!$C:$C)),0,AVERAGEIF(従業員の給与情報!$B:$B,$A64,従業員の給与情報!$C:$C)))))</f>
        <v/>
      </c>
      <c r="U64" s="102" t="str">
        <f>IF(OR(入力シート!$C$5&lt;&gt;入力リスト!$C$3,COUNTIF(入力シート!$J$16:$S$23,入力リスト!$H$9)=0),"",IF(A64="","",IF(ISERROR(AVERAGEIF(従業員の給与情報!$B:$B,$A64,従業員の給与情報!$D:$D)),0,IF(ISERROR(AVERAGEIF(従業員の給与情報!$B:$B,$A64,従業員の給与情報!$D:$D)),0,AVERAGEIF(従業員の給与情報!$B:$B,$A64,従業員の給与情報!$D:$D)))))</f>
        <v/>
      </c>
      <c r="V64" s="102" t="str">
        <f>IF(OR(入力シート!$C$5&lt;&gt;入力リスト!$C$3,COUNTIF(入力シート!$J$16:$S$23,入力リスト!$H$9)=0),"",IF(A64="","",IF(ISERROR(AVERAGEIF(従業員の給与情報!$B:$B,$A64,従業員の給与情報!$E:$E)),0,IF(ISERROR(AVERAGEIF(従業員の給与情報!$B:$B,$A64,従業員の給与情報!$E:$E)),0,AVERAGEIF(従業員の給与情報!$B:$B,$A64,従業員の給与情報!$E:$E)))))</f>
        <v/>
      </c>
      <c r="W64" s="103" t="str">
        <f>IF(OR(入力シート!$C$5&lt;&gt;入力リスト!$C$3,COUNTIF(入力シート!$J$16:$S$23,入力リスト!$H$9)=0),"",IF(A64="","",IF(ISERROR(AVERAGEIF(従業員の給与情報!$B:$B,$A64,従業員の給与情報!$F:$F)),0,IF(ISERROR(AVERAGEIF(従業員の給与情報!$B:$B,$A64,従業員の給与情報!$F:$F)),0,AVERAGEIF(従業員の給与情報!$B:$B,$A64,従業員の給与情報!$F:$F)))))</f>
        <v/>
      </c>
    </row>
    <row r="65" spans="1:23" s="10" customFormat="1" ht="19.8">
      <c r="A65" s="252"/>
      <c r="B65" s="249"/>
      <c r="C65" s="250"/>
      <c r="D65" s="251"/>
      <c r="E65" s="249"/>
      <c r="F65" s="257" t="str">
        <f>IF($G$1,"",IF(COUNTIF(A65:E65,"")=5,"",IF(G65,入力リスト!$K$28,IF(OR(A65="",B65="",IF(COUNTIF($C$3,"*不要*"),"",C65=""),D65=""),IF(A65="","従業員番号","")&amp;IF(B65="","「雇用形態」","")&amp;IF(OR(入力シート!$J$18=入力リスト!$H$9,入力シート!$J$22=入力リスト!$H$9),IF(C65="","「入社年月日」",""),"")&amp;IF(D65="","「性別」","")&amp;IF(IF(A65="","従業員番号","")&amp;IF(B65="","「雇用形態」","")&amp;IF(OR(入力シート!$J$18=入力リスト!$H$9,入力シート!$J$22=入力リスト!$H$9),IF(C65="","「入社年月日」",""),"")&amp;IF(D65="","「性別」","")="","",入力リスト!$K$29),IF(J65,入力リスト!$K$30,"")&amp;IF(I65,入力リスト!$K$31,"")&amp;IF(H65,"「雇用形態」","")&amp;IF(K65,"「性別」","")&amp;IF(L65,"「役職」","")&amp;IF(OR(H65,K65,L65),入力リスト!$K$32,"")))))</f>
        <v/>
      </c>
      <c r="G65" s="209" t="b">
        <f>COUNTIF($A$4:A64,$A65)&gt;0</f>
        <v>0</v>
      </c>
      <c r="H65" s="210" t="b">
        <f>IF($H$1,FALSE,COUNTIF(入力シート!$S$37:$V$62,B65)=0)</f>
        <v>0</v>
      </c>
      <c r="I65" s="210" t="b">
        <f t="shared" si="2"/>
        <v>0</v>
      </c>
      <c r="J65" s="210" t="b">
        <f>IF($J$1,FALSE,IF(I65=TRUE,FALSE,IF(I65,FALSE,C65&gt;入力シート!$J$24)))</f>
        <v>0</v>
      </c>
      <c r="K65" s="210" t="b">
        <f>IF($K$1,FALSE,COUNTIF(入力シート!$AW$37:$BB$38,D65)=0)</f>
        <v>0</v>
      </c>
      <c r="L65" s="210" t="b">
        <f>IF($L$1,FALSE,IF($L$3,FALSE,IF(E65="",FALSE,COUNTIF(入力シート!$AH$37:$AK$62,E65)=0)))</f>
        <v>0</v>
      </c>
      <c r="M65" s="211" t="str">
        <f t="shared" si="1"/>
        <v/>
      </c>
      <c r="N65" s="211"/>
      <c r="O65" s="209" t="str">
        <f>IF(B65="","",VLOOKUP('従業員情報(給与以外)'!$B65,入力シート!$S$37:$Z$62,5,0))</f>
        <v/>
      </c>
      <c r="P65" s="156" t="str">
        <f>IF(ISNUMBER(C65)=FALSE,"",IF(C65&gt;入力シート!$J$24,"",_xlfn.DAYS(入力シート!$J$24,'従業員情報(給与以外)'!$C65)/365))</f>
        <v/>
      </c>
      <c r="Q65" s="210" t="str">
        <f>IF(P65="","",VLOOKUP(_xlfn.DAYS(入力シート!$J$24,'従業員情報(給与以外)'!$C65)/365,入力リスト!$K$18:$L$26,2,2))</f>
        <v/>
      </c>
      <c r="R65" s="209" t="str">
        <f>IF(D65="","",VLOOKUP('従業員情報(給与以外)'!$D65,入力シート!$AW$37:$BB$38,4,0))</f>
        <v/>
      </c>
      <c r="S65" s="209" t="str">
        <f>IF(A65="","",IF(E65="","非役職",VLOOKUP('従業員情報(給与以外)'!$E65,入力シート!$AH$37:$AO$62,5,0)))</f>
        <v/>
      </c>
      <c r="T65" s="102" t="str">
        <f>IF(OR(入力シート!$C$5&lt;&gt;入力リスト!$C$3,COUNTIF(入力シート!$J$16:$S$23,入力リスト!$H$9)=0),"",IF($A65="","",IF(ISERROR(AVERAGEIF(従業員の給与情報!$B:$B,$A65,従業員の給与情報!$C:$C)),0,IF(ISERROR(AVERAGEIF(従業員の給与情報!$B:$B,$A65,従業員の給与情報!$C:$C)),0,AVERAGEIF(従業員の給与情報!$B:$B,$A65,従業員の給与情報!$C:$C)))))</f>
        <v/>
      </c>
      <c r="U65" s="102" t="str">
        <f>IF(OR(入力シート!$C$5&lt;&gt;入力リスト!$C$3,COUNTIF(入力シート!$J$16:$S$23,入力リスト!$H$9)=0),"",IF(A65="","",IF(ISERROR(AVERAGEIF(従業員の給与情報!$B:$B,$A65,従業員の給与情報!$D:$D)),0,IF(ISERROR(AVERAGEIF(従業員の給与情報!$B:$B,$A65,従業員の給与情報!$D:$D)),0,AVERAGEIF(従業員の給与情報!$B:$B,$A65,従業員の給与情報!$D:$D)))))</f>
        <v/>
      </c>
      <c r="V65" s="102" t="str">
        <f>IF(OR(入力シート!$C$5&lt;&gt;入力リスト!$C$3,COUNTIF(入力シート!$J$16:$S$23,入力リスト!$H$9)=0),"",IF(A65="","",IF(ISERROR(AVERAGEIF(従業員の給与情報!$B:$B,$A65,従業員の給与情報!$E:$E)),0,IF(ISERROR(AVERAGEIF(従業員の給与情報!$B:$B,$A65,従業員の給与情報!$E:$E)),0,AVERAGEIF(従業員の給与情報!$B:$B,$A65,従業員の給与情報!$E:$E)))))</f>
        <v/>
      </c>
      <c r="W65" s="103" t="str">
        <f>IF(OR(入力シート!$C$5&lt;&gt;入力リスト!$C$3,COUNTIF(入力シート!$J$16:$S$23,入力リスト!$H$9)=0),"",IF(A65="","",IF(ISERROR(AVERAGEIF(従業員の給与情報!$B:$B,$A65,従業員の給与情報!$F:$F)),0,IF(ISERROR(AVERAGEIF(従業員の給与情報!$B:$B,$A65,従業員の給与情報!$F:$F)),0,AVERAGEIF(従業員の給与情報!$B:$B,$A65,従業員の給与情報!$F:$F)))))</f>
        <v/>
      </c>
    </row>
    <row r="66" spans="1:23" s="10" customFormat="1" ht="19.8">
      <c r="A66" s="252"/>
      <c r="B66" s="249"/>
      <c r="C66" s="250"/>
      <c r="D66" s="251"/>
      <c r="E66" s="252"/>
      <c r="F66" s="257" t="str">
        <f>IF($G$1,"",IF(COUNTIF(A66:E66,"")=5,"",IF(G66,入力リスト!$K$28,IF(OR(A66="",B66="",IF(COUNTIF($C$3,"*不要*"),"",C66=""),D66=""),IF(A66="","従業員番号","")&amp;IF(B66="","「雇用形態」","")&amp;IF(OR(入力シート!$J$18=入力リスト!$H$9,入力シート!$J$22=入力リスト!$H$9),IF(C66="","「入社年月日」",""),"")&amp;IF(D66="","「性別」","")&amp;IF(IF(A66="","従業員番号","")&amp;IF(B66="","「雇用形態」","")&amp;IF(OR(入力シート!$J$18=入力リスト!$H$9,入力シート!$J$22=入力リスト!$H$9),IF(C66="","「入社年月日」",""),"")&amp;IF(D66="","「性別」","")="","",入力リスト!$K$29),IF(J66,入力リスト!$K$30,"")&amp;IF(I66,入力リスト!$K$31,"")&amp;IF(H66,"「雇用形態」","")&amp;IF(K66,"「性別」","")&amp;IF(L66,"「役職」","")&amp;IF(OR(H66,K66,L66),入力リスト!$K$32,"")))))</f>
        <v/>
      </c>
      <c r="G66" s="209" t="b">
        <f>COUNTIF($A$4:A65,$A66)&gt;0</f>
        <v>0</v>
      </c>
      <c r="H66" s="210" t="b">
        <f>IF($H$1,FALSE,COUNTIF(入力シート!$S$37:$V$62,B66)=0)</f>
        <v>0</v>
      </c>
      <c r="I66" s="210" t="b">
        <f t="shared" si="2"/>
        <v>0</v>
      </c>
      <c r="J66" s="210" t="b">
        <f>IF($J$1,FALSE,IF(I66=TRUE,FALSE,IF(I66,FALSE,C66&gt;入力シート!$J$24)))</f>
        <v>0</v>
      </c>
      <c r="K66" s="210" t="b">
        <f>IF($K$1,FALSE,COUNTIF(入力シート!$AW$37:$BB$38,D66)=0)</f>
        <v>0</v>
      </c>
      <c r="L66" s="210" t="b">
        <f>IF($L$1,FALSE,IF($L$3,FALSE,IF(E66="",FALSE,COUNTIF(入力シート!$AH$37:$AK$62,E66)=0)))</f>
        <v>0</v>
      </c>
      <c r="M66" s="211" t="str">
        <f t="shared" si="1"/>
        <v/>
      </c>
      <c r="N66" s="211"/>
      <c r="O66" s="209" t="str">
        <f>IF(B66="","",VLOOKUP('従業員情報(給与以外)'!$B66,入力シート!$S$37:$Z$62,5,0))</f>
        <v/>
      </c>
      <c r="P66" s="156" t="str">
        <f>IF(ISNUMBER(C66)=FALSE,"",IF(C66&gt;入力シート!$J$24,"",_xlfn.DAYS(入力シート!$J$24,'従業員情報(給与以外)'!$C66)/365))</f>
        <v/>
      </c>
      <c r="Q66" s="210" t="str">
        <f>IF(P66="","",VLOOKUP(_xlfn.DAYS(入力シート!$J$24,'従業員情報(給与以外)'!$C66)/365,入力リスト!$K$18:$L$26,2,2))</f>
        <v/>
      </c>
      <c r="R66" s="209" t="str">
        <f>IF(D66="","",VLOOKUP('従業員情報(給与以外)'!$D66,入力シート!$AW$37:$BB$38,4,0))</f>
        <v/>
      </c>
      <c r="S66" s="209" t="str">
        <f>IF(A66="","",IF(E66="","非役職",VLOOKUP('従業員情報(給与以外)'!$E66,入力シート!$AH$37:$AO$62,5,0)))</f>
        <v/>
      </c>
      <c r="T66" s="102" t="str">
        <f>IF(OR(入力シート!$C$5&lt;&gt;入力リスト!$C$3,COUNTIF(入力シート!$J$16:$S$23,入力リスト!$H$9)=0),"",IF($A66="","",IF(ISERROR(AVERAGEIF(従業員の給与情報!$B:$B,$A66,従業員の給与情報!$C:$C)),0,IF(ISERROR(AVERAGEIF(従業員の給与情報!$B:$B,$A66,従業員の給与情報!$C:$C)),0,AVERAGEIF(従業員の給与情報!$B:$B,$A66,従業員の給与情報!$C:$C)))))</f>
        <v/>
      </c>
      <c r="U66" s="102" t="str">
        <f>IF(OR(入力シート!$C$5&lt;&gt;入力リスト!$C$3,COUNTIF(入力シート!$J$16:$S$23,入力リスト!$H$9)=0),"",IF(A66="","",IF(ISERROR(AVERAGEIF(従業員の給与情報!$B:$B,$A66,従業員の給与情報!$D:$D)),0,IF(ISERROR(AVERAGEIF(従業員の給与情報!$B:$B,$A66,従業員の給与情報!$D:$D)),0,AVERAGEIF(従業員の給与情報!$B:$B,$A66,従業員の給与情報!$D:$D)))))</f>
        <v/>
      </c>
      <c r="V66" s="102" t="str">
        <f>IF(OR(入力シート!$C$5&lt;&gt;入力リスト!$C$3,COUNTIF(入力シート!$J$16:$S$23,入力リスト!$H$9)=0),"",IF(A66="","",IF(ISERROR(AVERAGEIF(従業員の給与情報!$B:$B,$A66,従業員の給与情報!$E:$E)),0,IF(ISERROR(AVERAGEIF(従業員の給与情報!$B:$B,$A66,従業員の給与情報!$E:$E)),0,AVERAGEIF(従業員の給与情報!$B:$B,$A66,従業員の給与情報!$E:$E)))))</f>
        <v/>
      </c>
      <c r="W66" s="103" t="str">
        <f>IF(OR(入力シート!$C$5&lt;&gt;入力リスト!$C$3,COUNTIF(入力シート!$J$16:$S$23,入力リスト!$H$9)=0),"",IF(A66="","",IF(ISERROR(AVERAGEIF(従業員の給与情報!$B:$B,$A66,従業員の給与情報!$F:$F)),0,IF(ISERROR(AVERAGEIF(従業員の給与情報!$B:$B,$A66,従業員の給与情報!$F:$F)),0,AVERAGEIF(従業員の給与情報!$B:$B,$A66,従業員の給与情報!$F:$F)))))</f>
        <v/>
      </c>
    </row>
    <row r="67" spans="1:23" s="10" customFormat="1" ht="19.8">
      <c r="A67" s="252"/>
      <c r="B67" s="249"/>
      <c r="C67" s="250"/>
      <c r="D67" s="251"/>
      <c r="E67" s="252"/>
      <c r="F67" s="257" t="str">
        <f>IF($G$1,"",IF(COUNTIF(A67:E67,"")=5,"",IF(G67,入力リスト!$K$28,IF(OR(A67="",B67="",IF(COUNTIF($C$3,"*不要*"),"",C67=""),D67=""),IF(A67="","従業員番号","")&amp;IF(B67="","「雇用形態」","")&amp;IF(OR(入力シート!$J$18=入力リスト!$H$9,入力シート!$J$22=入力リスト!$H$9),IF(C67="","「入社年月日」",""),"")&amp;IF(D67="","「性別」","")&amp;IF(IF(A67="","従業員番号","")&amp;IF(B67="","「雇用形態」","")&amp;IF(OR(入力シート!$J$18=入力リスト!$H$9,入力シート!$J$22=入力リスト!$H$9),IF(C67="","「入社年月日」",""),"")&amp;IF(D67="","「性別」","")="","",入力リスト!$K$29),IF(J67,入力リスト!$K$30,"")&amp;IF(I67,入力リスト!$K$31,"")&amp;IF(H67,"「雇用形態」","")&amp;IF(K67,"「性別」","")&amp;IF(L67,"「役職」","")&amp;IF(OR(H67,K67,L67),入力リスト!$K$32,"")))))</f>
        <v/>
      </c>
      <c r="G67" s="209" t="b">
        <f>COUNTIF($A$4:A66,$A67)&gt;0</f>
        <v>0</v>
      </c>
      <c r="H67" s="210" t="b">
        <f>IF($H$1,FALSE,COUNTIF(入力シート!$S$37:$V$62,B67)=0)</f>
        <v>0</v>
      </c>
      <c r="I67" s="210" t="b">
        <f t="shared" si="2"/>
        <v>0</v>
      </c>
      <c r="J67" s="210" t="b">
        <f>IF($J$1,FALSE,IF(I67=TRUE,FALSE,IF(I67,FALSE,C67&gt;入力シート!$J$24)))</f>
        <v>0</v>
      </c>
      <c r="K67" s="210" t="b">
        <f>IF($K$1,FALSE,COUNTIF(入力シート!$AW$37:$BB$38,D67)=0)</f>
        <v>0</v>
      </c>
      <c r="L67" s="210" t="b">
        <f>IF($L$1,FALSE,IF($L$3,FALSE,IF(E67="",FALSE,COUNTIF(入力シート!$AH$37:$AK$62,E67)=0)))</f>
        <v>0</v>
      </c>
      <c r="M67" s="211" t="str">
        <f t="shared" si="1"/>
        <v/>
      </c>
      <c r="N67" s="211"/>
      <c r="O67" s="209" t="str">
        <f>IF(B67="","",VLOOKUP('従業員情報(給与以外)'!$B67,入力シート!$S$37:$Z$62,5,0))</f>
        <v/>
      </c>
      <c r="P67" s="156" t="str">
        <f>IF(ISNUMBER(C67)=FALSE,"",IF(C67&gt;入力シート!$J$24,"",_xlfn.DAYS(入力シート!$J$24,'従業員情報(給与以外)'!$C67)/365))</f>
        <v/>
      </c>
      <c r="Q67" s="210" t="str">
        <f>IF(P67="","",VLOOKUP(_xlfn.DAYS(入力シート!$J$24,'従業員情報(給与以外)'!$C67)/365,入力リスト!$K$18:$L$26,2,2))</f>
        <v/>
      </c>
      <c r="R67" s="209" t="str">
        <f>IF(D67="","",VLOOKUP('従業員情報(給与以外)'!$D67,入力シート!$AW$37:$BB$38,4,0))</f>
        <v/>
      </c>
      <c r="S67" s="209" t="str">
        <f>IF(A67="","",IF(E67="","非役職",VLOOKUP('従業員情報(給与以外)'!$E67,入力シート!$AH$37:$AO$62,5,0)))</f>
        <v/>
      </c>
      <c r="T67" s="102" t="str">
        <f>IF(OR(入力シート!$C$5&lt;&gt;入力リスト!$C$3,COUNTIF(入力シート!$J$16:$S$23,入力リスト!$H$9)=0),"",IF($A67="","",IF(ISERROR(AVERAGEIF(従業員の給与情報!$B:$B,$A67,従業員の給与情報!$C:$C)),0,IF(ISERROR(AVERAGEIF(従業員の給与情報!$B:$B,$A67,従業員の給与情報!$C:$C)),0,AVERAGEIF(従業員の給与情報!$B:$B,$A67,従業員の給与情報!$C:$C)))))</f>
        <v/>
      </c>
      <c r="U67" s="102" t="str">
        <f>IF(OR(入力シート!$C$5&lt;&gt;入力リスト!$C$3,COUNTIF(入力シート!$J$16:$S$23,入力リスト!$H$9)=0),"",IF(A67="","",IF(ISERROR(AVERAGEIF(従業員の給与情報!$B:$B,$A67,従業員の給与情報!$D:$D)),0,IF(ISERROR(AVERAGEIF(従業員の給与情報!$B:$B,$A67,従業員の給与情報!$D:$D)),0,AVERAGEIF(従業員の給与情報!$B:$B,$A67,従業員の給与情報!$D:$D)))))</f>
        <v/>
      </c>
      <c r="V67" s="102" t="str">
        <f>IF(OR(入力シート!$C$5&lt;&gt;入力リスト!$C$3,COUNTIF(入力シート!$J$16:$S$23,入力リスト!$H$9)=0),"",IF(A67="","",IF(ISERROR(AVERAGEIF(従業員の給与情報!$B:$B,$A67,従業員の給与情報!$E:$E)),0,IF(ISERROR(AVERAGEIF(従業員の給与情報!$B:$B,$A67,従業員の給与情報!$E:$E)),0,AVERAGEIF(従業員の給与情報!$B:$B,$A67,従業員の給与情報!$E:$E)))))</f>
        <v/>
      </c>
      <c r="W67" s="103" t="str">
        <f>IF(OR(入力シート!$C$5&lt;&gt;入力リスト!$C$3,COUNTIF(入力シート!$J$16:$S$23,入力リスト!$H$9)=0),"",IF(A67="","",IF(ISERROR(AVERAGEIF(従業員の給与情報!$B:$B,$A67,従業員の給与情報!$F:$F)),0,IF(ISERROR(AVERAGEIF(従業員の給与情報!$B:$B,$A67,従業員の給与情報!$F:$F)),0,AVERAGEIF(従業員の給与情報!$B:$B,$A67,従業員の給与情報!$F:$F)))))</f>
        <v/>
      </c>
    </row>
    <row r="68" spans="1:23" s="10" customFormat="1" ht="19.8">
      <c r="A68" s="252"/>
      <c r="B68" s="249"/>
      <c r="C68" s="250"/>
      <c r="D68" s="251"/>
      <c r="E68" s="252"/>
      <c r="F68" s="257" t="str">
        <f>IF($G$1,"",IF(COUNTIF(A68:E68,"")=5,"",IF(G68,入力リスト!$K$28,IF(OR(A68="",B68="",IF(COUNTIF($C$3,"*不要*"),"",C68=""),D68=""),IF(A68="","従業員番号","")&amp;IF(B68="","「雇用形態」","")&amp;IF(OR(入力シート!$J$18=入力リスト!$H$9,入力シート!$J$22=入力リスト!$H$9),IF(C68="","「入社年月日」",""),"")&amp;IF(D68="","「性別」","")&amp;IF(IF(A68="","従業員番号","")&amp;IF(B68="","「雇用形態」","")&amp;IF(OR(入力シート!$J$18=入力リスト!$H$9,入力シート!$J$22=入力リスト!$H$9),IF(C68="","「入社年月日」",""),"")&amp;IF(D68="","「性別」","")="","",入力リスト!$K$29),IF(J68,入力リスト!$K$30,"")&amp;IF(I68,入力リスト!$K$31,"")&amp;IF(H68,"「雇用形態」","")&amp;IF(K68,"「性別」","")&amp;IF(L68,"「役職」","")&amp;IF(OR(H68,K68,L68),入力リスト!$K$32,"")))))</f>
        <v/>
      </c>
      <c r="G68" s="209" t="b">
        <f>COUNTIF($A$4:A67,$A68)&gt;0</f>
        <v>0</v>
      </c>
      <c r="H68" s="210" t="b">
        <f>IF($H$1,FALSE,COUNTIF(入力シート!$S$37:$V$62,B68)=0)</f>
        <v>0</v>
      </c>
      <c r="I68" s="210" t="b">
        <f t="shared" si="2"/>
        <v>0</v>
      </c>
      <c r="J68" s="210" t="b">
        <f>IF($J$1,FALSE,IF(I68=TRUE,FALSE,IF(I68,FALSE,C68&gt;入力シート!$J$24)))</f>
        <v>0</v>
      </c>
      <c r="K68" s="210" t="b">
        <f>IF($K$1,FALSE,COUNTIF(入力シート!$AW$37:$BB$38,D68)=0)</f>
        <v>0</v>
      </c>
      <c r="L68" s="210" t="b">
        <f>IF($L$1,FALSE,IF($L$3,FALSE,IF(E68="",FALSE,COUNTIF(入力シート!$AH$37:$AK$62,E68)=0)))</f>
        <v>0</v>
      </c>
      <c r="M68" s="211" t="str">
        <f t="shared" si="1"/>
        <v/>
      </c>
      <c r="N68" s="211"/>
      <c r="O68" s="209" t="str">
        <f>IF(B68="","",VLOOKUP('従業員情報(給与以外)'!$B68,入力シート!$S$37:$Z$62,5,0))</f>
        <v/>
      </c>
      <c r="P68" s="156" t="str">
        <f>IF(ISNUMBER(C68)=FALSE,"",IF(C68&gt;入力シート!$J$24,"",_xlfn.DAYS(入力シート!$J$24,'従業員情報(給与以外)'!$C68)/365))</f>
        <v/>
      </c>
      <c r="Q68" s="210" t="str">
        <f>IF(P68="","",VLOOKUP(_xlfn.DAYS(入力シート!$J$24,'従業員情報(給与以外)'!$C68)/365,入力リスト!$K$18:$L$26,2,2))</f>
        <v/>
      </c>
      <c r="R68" s="209" t="str">
        <f>IF(D68="","",VLOOKUP('従業員情報(給与以外)'!$D68,入力シート!$AW$37:$BB$38,4,0))</f>
        <v/>
      </c>
      <c r="S68" s="209" t="str">
        <f>IF(A68="","",IF(E68="","非役職",VLOOKUP('従業員情報(給与以外)'!$E68,入力シート!$AH$37:$AO$62,5,0)))</f>
        <v/>
      </c>
      <c r="T68" s="102" t="str">
        <f>IF(OR(入力シート!$C$5&lt;&gt;入力リスト!$C$3,COUNTIF(入力シート!$J$16:$S$23,入力リスト!$H$9)=0),"",IF($A68="","",IF(ISERROR(AVERAGEIF(従業員の給与情報!$B:$B,$A68,従業員の給与情報!$C:$C)),0,IF(ISERROR(AVERAGEIF(従業員の給与情報!$B:$B,$A68,従業員の給与情報!$C:$C)),0,AVERAGEIF(従業員の給与情報!$B:$B,$A68,従業員の給与情報!$C:$C)))))</f>
        <v/>
      </c>
      <c r="U68" s="102" t="str">
        <f>IF(OR(入力シート!$C$5&lt;&gt;入力リスト!$C$3,COUNTIF(入力シート!$J$16:$S$23,入力リスト!$H$9)=0),"",IF(A68="","",IF(ISERROR(AVERAGEIF(従業員の給与情報!$B:$B,$A68,従業員の給与情報!$D:$D)),0,IF(ISERROR(AVERAGEIF(従業員の給与情報!$B:$B,$A68,従業員の給与情報!$D:$D)),0,AVERAGEIF(従業員の給与情報!$B:$B,$A68,従業員の給与情報!$D:$D)))))</f>
        <v/>
      </c>
      <c r="V68" s="102" t="str">
        <f>IF(OR(入力シート!$C$5&lt;&gt;入力リスト!$C$3,COUNTIF(入力シート!$J$16:$S$23,入力リスト!$H$9)=0),"",IF(A68="","",IF(ISERROR(AVERAGEIF(従業員の給与情報!$B:$B,$A68,従業員の給与情報!$E:$E)),0,IF(ISERROR(AVERAGEIF(従業員の給与情報!$B:$B,$A68,従業員の給与情報!$E:$E)),0,AVERAGEIF(従業員の給与情報!$B:$B,$A68,従業員の給与情報!$E:$E)))))</f>
        <v/>
      </c>
      <c r="W68" s="103" t="str">
        <f>IF(OR(入力シート!$C$5&lt;&gt;入力リスト!$C$3,COUNTIF(入力シート!$J$16:$S$23,入力リスト!$H$9)=0),"",IF(A68="","",IF(ISERROR(AVERAGEIF(従業員の給与情報!$B:$B,$A68,従業員の給与情報!$F:$F)),0,IF(ISERROR(AVERAGEIF(従業員の給与情報!$B:$B,$A68,従業員の給与情報!$F:$F)),0,AVERAGEIF(従業員の給与情報!$B:$B,$A68,従業員の給与情報!$F:$F)))))</f>
        <v/>
      </c>
    </row>
    <row r="69" spans="1:23" s="10" customFormat="1" ht="19.8">
      <c r="A69" s="252"/>
      <c r="B69" s="249"/>
      <c r="C69" s="250"/>
      <c r="D69" s="251"/>
      <c r="E69" s="252"/>
      <c r="F69" s="257" t="str">
        <f>IF($G$1,"",IF(COUNTIF(A69:E69,"")=5,"",IF(G69,入力リスト!$K$28,IF(OR(A69="",B69="",IF(COUNTIF($C$3,"*不要*"),"",C69=""),D69=""),IF(A69="","従業員番号","")&amp;IF(B69="","「雇用形態」","")&amp;IF(OR(入力シート!$J$18=入力リスト!$H$9,入力シート!$J$22=入力リスト!$H$9),IF(C69="","「入社年月日」",""),"")&amp;IF(D69="","「性別」","")&amp;IF(IF(A69="","従業員番号","")&amp;IF(B69="","「雇用形態」","")&amp;IF(OR(入力シート!$J$18=入力リスト!$H$9,入力シート!$J$22=入力リスト!$H$9),IF(C69="","「入社年月日」",""),"")&amp;IF(D69="","「性別」","")="","",入力リスト!$K$29),IF(J69,入力リスト!$K$30,"")&amp;IF(I69,入力リスト!$K$31,"")&amp;IF(H69,"「雇用形態」","")&amp;IF(K69,"「性別」","")&amp;IF(L69,"「役職」","")&amp;IF(OR(H69,K69,L69),入力リスト!$K$32,"")))))</f>
        <v/>
      </c>
      <c r="G69" s="209" t="b">
        <f>COUNTIF($A$4:A68,$A69)&gt;0</f>
        <v>0</v>
      </c>
      <c r="H69" s="210" t="b">
        <f>IF($H$1,FALSE,COUNTIF(入力シート!$S$37:$V$62,B69)=0)</f>
        <v>0</v>
      </c>
      <c r="I69" s="210" t="b">
        <f t="shared" si="2"/>
        <v>0</v>
      </c>
      <c r="J69" s="210" t="b">
        <f>IF($J$1,FALSE,IF(I69=TRUE,FALSE,IF(I69,FALSE,C69&gt;入力シート!$J$24)))</f>
        <v>0</v>
      </c>
      <c r="K69" s="210" t="b">
        <f>IF($K$1,FALSE,COUNTIF(入力シート!$AW$37:$BB$38,D69)=0)</f>
        <v>0</v>
      </c>
      <c r="L69" s="210" t="b">
        <f>IF($L$1,FALSE,IF($L$3,FALSE,IF(E69="",FALSE,COUNTIF(入力シート!$AH$37:$AK$62,E69)=0)))</f>
        <v>0</v>
      </c>
      <c r="M69" s="211" t="str">
        <f t="shared" ref="M69:M132" si="3">IF(COUNTIF(F69,"*入社年月日に数値以外*"),"※1900/0/0以前は数値として認識されません。","")</f>
        <v/>
      </c>
      <c r="N69" s="211"/>
      <c r="O69" s="209" t="str">
        <f>IF(B69="","",VLOOKUP('従業員情報(給与以外)'!$B69,入力シート!$S$37:$Z$62,5,0))</f>
        <v/>
      </c>
      <c r="P69" s="156" t="str">
        <f>IF(ISNUMBER(C69)=FALSE,"",IF(C69&gt;入力シート!$J$24,"",_xlfn.DAYS(入力シート!$J$24,'従業員情報(給与以外)'!$C69)/365))</f>
        <v/>
      </c>
      <c r="Q69" s="210" t="str">
        <f>IF(P69="","",VLOOKUP(_xlfn.DAYS(入力シート!$J$24,'従業員情報(給与以外)'!$C69)/365,入力リスト!$K$18:$L$26,2,2))</f>
        <v/>
      </c>
      <c r="R69" s="209" t="str">
        <f>IF(D69="","",VLOOKUP('従業員情報(給与以外)'!$D69,入力シート!$AW$37:$BB$38,4,0))</f>
        <v/>
      </c>
      <c r="S69" s="209" t="str">
        <f>IF(A69="","",IF(E69="","非役職",VLOOKUP('従業員情報(給与以外)'!$E69,入力シート!$AH$37:$AO$62,5,0)))</f>
        <v/>
      </c>
      <c r="T69" s="102" t="str">
        <f>IF(OR(入力シート!$C$5&lt;&gt;入力リスト!$C$3,COUNTIF(入力シート!$J$16:$S$23,入力リスト!$H$9)=0),"",IF($A69="","",IF(ISERROR(AVERAGEIF(従業員の給与情報!$B:$B,$A69,従業員の給与情報!$C:$C)),0,IF(ISERROR(AVERAGEIF(従業員の給与情報!$B:$B,$A69,従業員の給与情報!$C:$C)),0,AVERAGEIF(従業員の給与情報!$B:$B,$A69,従業員の給与情報!$C:$C)))))</f>
        <v/>
      </c>
      <c r="U69" s="102" t="str">
        <f>IF(OR(入力シート!$C$5&lt;&gt;入力リスト!$C$3,COUNTIF(入力シート!$J$16:$S$23,入力リスト!$H$9)=0),"",IF(A69="","",IF(ISERROR(AVERAGEIF(従業員の給与情報!$B:$B,$A69,従業員の給与情報!$D:$D)),0,IF(ISERROR(AVERAGEIF(従業員の給与情報!$B:$B,$A69,従業員の給与情報!$D:$D)),0,AVERAGEIF(従業員の給与情報!$B:$B,$A69,従業員の給与情報!$D:$D)))))</f>
        <v/>
      </c>
      <c r="V69" s="102" t="str">
        <f>IF(OR(入力シート!$C$5&lt;&gt;入力リスト!$C$3,COUNTIF(入力シート!$J$16:$S$23,入力リスト!$H$9)=0),"",IF(A69="","",IF(ISERROR(AVERAGEIF(従業員の給与情報!$B:$B,$A69,従業員の給与情報!$E:$E)),0,IF(ISERROR(AVERAGEIF(従業員の給与情報!$B:$B,$A69,従業員の給与情報!$E:$E)),0,AVERAGEIF(従業員の給与情報!$B:$B,$A69,従業員の給与情報!$E:$E)))))</f>
        <v/>
      </c>
      <c r="W69" s="103" t="str">
        <f>IF(OR(入力シート!$C$5&lt;&gt;入力リスト!$C$3,COUNTIF(入力シート!$J$16:$S$23,入力リスト!$H$9)=0),"",IF(A69="","",IF(ISERROR(AVERAGEIF(従業員の給与情報!$B:$B,$A69,従業員の給与情報!$F:$F)),0,IF(ISERROR(AVERAGEIF(従業員の給与情報!$B:$B,$A69,従業員の給与情報!$F:$F)),0,AVERAGEIF(従業員の給与情報!$B:$B,$A69,従業員の給与情報!$F:$F)))))</f>
        <v/>
      </c>
    </row>
    <row r="70" spans="1:23" s="10" customFormat="1" ht="19.8">
      <c r="A70" s="252"/>
      <c r="B70" s="249"/>
      <c r="C70" s="250"/>
      <c r="D70" s="251"/>
      <c r="E70" s="252"/>
      <c r="F70" s="257" t="str">
        <f>IF($G$1,"",IF(COUNTIF(A70:E70,"")=5,"",IF(G70,入力リスト!$K$28,IF(OR(A70="",B70="",IF(COUNTIF($C$3,"*不要*"),"",C70=""),D70=""),IF(A70="","従業員番号","")&amp;IF(B70="","「雇用形態」","")&amp;IF(OR(入力シート!$J$18=入力リスト!$H$9,入力シート!$J$22=入力リスト!$H$9),IF(C70="","「入社年月日」",""),"")&amp;IF(D70="","「性別」","")&amp;IF(IF(A70="","従業員番号","")&amp;IF(B70="","「雇用形態」","")&amp;IF(OR(入力シート!$J$18=入力リスト!$H$9,入力シート!$J$22=入力リスト!$H$9),IF(C70="","「入社年月日」",""),"")&amp;IF(D70="","「性別」","")="","",入力リスト!$K$29),IF(J70,入力リスト!$K$30,"")&amp;IF(I70,入力リスト!$K$31,"")&amp;IF(H70,"「雇用形態」","")&amp;IF(K70,"「性別」","")&amp;IF(L70,"「役職」","")&amp;IF(OR(H70,K70,L70),入力リスト!$K$32,"")))))</f>
        <v/>
      </c>
      <c r="G70" s="209" t="b">
        <f>COUNTIF($A$4:A69,$A70)&gt;0</f>
        <v>0</v>
      </c>
      <c r="H70" s="210" t="b">
        <f>IF($H$1,FALSE,COUNTIF(入力シート!$S$37:$V$62,B70)=0)</f>
        <v>0</v>
      </c>
      <c r="I70" s="210" t="b">
        <f t="shared" ref="I70:I133" si="4">IF($I$1,IF(ISNUMBER(C70),FALSE,TRUE),FALSE)</f>
        <v>0</v>
      </c>
      <c r="J70" s="210" t="b">
        <f>IF($J$1,FALSE,IF(I70=TRUE,FALSE,IF(I70,FALSE,C70&gt;入力シート!$J$24)))</f>
        <v>0</v>
      </c>
      <c r="K70" s="210" t="b">
        <f>IF($K$1,FALSE,COUNTIF(入力シート!$AW$37:$BB$38,D70)=0)</f>
        <v>0</v>
      </c>
      <c r="L70" s="210" t="b">
        <f>IF($L$1,FALSE,IF($L$3,FALSE,IF(E70="",FALSE,COUNTIF(入力シート!$AH$37:$AK$62,E70)=0)))</f>
        <v>0</v>
      </c>
      <c r="M70" s="211" t="str">
        <f t="shared" si="3"/>
        <v/>
      </c>
      <c r="N70" s="211"/>
      <c r="O70" s="209" t="str">
        <f>IF(B70="","",VLOOKUP('従業員情報(給与以外)'!$B70,入力シート!$S$37:$Z$62,5,0))</f>
        <v/>
      </c>
      <c r="P70" s="156" t="str">
        <f>IF(ISNUMBER(C70)=FALSE,"",IF(C70&gt;入力シート!$J$24,"",_xlfn.DAYS(入力シート!$J$24,'従業員情報(給与以外)'!$C70)/365))</f>
        <v/>
      </c>
      <c r="Q70" s="210" t="str">
        <f>IF(P70="","",VLOOKUP(_xlfn.DAYS(入力シート!$J$24,'従業員情報(給与以外)'!$C70)/365,入力リスト!$K$18:$L$26,2,2))</f>
        <v/>
      </c>
      <c r="R70" s="209" t="str">
        <f>IF(D70="","",VLOOKUP('従業員情報(給与以外)'!$D70,入力シート!$AW$37:$BB$38,4,0))</f>
        <v/>
      </c>
      <c r="S70" s="209" t="str">
        <f>IF(A70="","",IF(E70="","非役職",VLOOKUP('従業員情報(給与以外)'!$E70,入力シート!$AH$37:$AO$62,5,0)))</f>
        <v/>
      </c>
      <c r="T70" s="102" t="str">
        <f>IF(OR(入力シート!$C$5&lt;&gt;入力リスト!$C$3,COUNTIF(入力シート!$J$16:$S$23,入力リスト!$H$9)=0),"",IF($A70="","",IF(ISERROR(AVERAGEIF(従業員の給与情報!$B:$B,$A70,従業員の給与情報!$C:$C)),0,IF(ISERROR(AVERAGEIF(従業員の給与情報!$B:$B,$A70,従業員の給与情報!$C:$C)),0,AVERAGEIF(従業員の給与情報!$B:$B,$A70,従業員の給与情報!$C:$C)))))</f>
        <v/>
      </c>
      <c r="U70" s="102" t="str">
        <f>IF(OR(入力シート!$C$5&lt;&gt;入力リスト!$C$3,COUNTIF(入力シート!$J$16:$S$23,入力リスト!$H$9)=0),"",IF(A70="","",IF(ISERROR(AVERAGEIF(従業員の給与情報!$B:$B,$A70,従業員の給与情報!$D:$D)),0,IF(ISERROR(AVERAGEIF(従業員の給与情報!$B:$B,$A70,従業員の給与情報!$D:$D)),0,AVERAGEIF(従業員の給与情報!$B:$B,$A70,従業員の給与情報!$D:$D)))))</f>
        <v/>
      </c>
      <c r="V70" s="102" t="str">
        <f>IF(OR(入力シート!$C$5&lt;&gt;入力リスト!$C$3,COUNTIF(入力シート!$J$16:$S$23,入力リスト!$H$9)=0),"",IF(A70="","",IF(ISERROR(AVERAGEIF(従業員の給与情報!$B:$B,$A70,従業員の給与情報!$E:$E)),0,IF(ISERROR(AVERAGEIF(従業員の給与情報!$B:$B,$A70,従業員の給与情報!$E:$E)),0,AVERAGEIF(従業員の給与情報!$B:$B,$A70,従業員の給与情報!$E:$E)))))</f>
        <v/>
      </c>
      <c r="W70" s="103" t="str">
        <f>IF(OR(入力シート!$C$5&lt;&gt;入力リスト!$C$3,COUNTIF(入力シート!$J$16:$S$23,入力リスト!$H$9)=0),"",IF(A70="","",IF(ISERROR(AVERAGEIF(従業員の給与情報!$B:$B,$A70,従業員の給与情報!$F:$F)),0,IF(ISERROR(AVERAGEIF(従業員の給与情報!$B:$B,$A70,従業員の給与情報!$F:$F)),0,AVERAGEIF(従業員の給与情報!$B:$B,$A70,従業員の給与情報!$F:$F)))))</f>
        <v/>
      </c>
    </row>
    <row r="71" spans="1:23" s="10" customFormat="1" ht="19.8">
      <c r="A71" s="252"/>
      <c r="B71" s="249"/>
      <c r="C71" s="250"/>
      <c r="D71" s="251"/>
      <c r="E71" s="252"/>
      <c r="F71" s="257" t="str">
        <f>IF($G$1,"",IF(COUNTIF(A71:E71,"")=5,"",IF(G71,入力リスト!$K$28,IF(OR(A71="",B71="",IF(COUNTIF($C$3,"*不要*"),"",C71=""),D71=""),IF(A71="","従業員番号","")&amp;IF(B71="","「雇用形態」","")&amp;IF(OR(入力シート!$J$18=入力リスト!$H$9,入力シート!$J$22=入力リスト!$H$9),IF(C71="","「入社年月日」",""),"")&amp;IF(D71="","「性別」","")&amp;IF(IF(A71="","従業員番号","")&amp;IF(B71="","「雇用形態」","")&amp;IF(OR(入力シート!$J$18=入力リスト!$H$9,入力シート!$J$22=入力リスト!$H$9),IF(C71="","「入社年月日」",""),"")&amp;IF(D71="","「性別」","")="","",入力リスト!$K$29),IF(J71,入力リスト!$K$30,"")&amp;IF(I71,入力リスト!$K$31,"")&amp;IF(H71,"「雇用形態」","")&amp;IF(K71,"「性別」","")&amp;IF(L71,"「役職」","")&amp;IF(OR(H71,K71,L71),入力リスト!$K$32,"")))))</f>
        <v/>
      </c>
      <c r="G71" s="209" t="b">
        <f>COUNTIF($A$4:A70,$A71)&gt;0</f>
        <v>0</v>
      </c>
      <c r="H71" s="210" t="b">
        <f>IF($H$1,FALSE,COUNTIF(入力シート!$S$37:$V$62,B71)=0)</f>
        <v>0</v>
      </c>
      <c r="I71" s="210" t="b">
        <f t="shared" si="4"/>
        <v>0</v>
      </c>
      <c r="J71" s="210" t="b">
        <f>IF($J$1,FALSE,IF(I71=TRUE,FALSE,IF(I71,FALSE,C71&gt;入力シート!$J$24)))</f>
        <v>0</v>
      </c>
      <c r="K71" s="210" t="b">
        <f>IF($K$1,FALSE,COUNTIF(入力シート!$AW$37:$BB$38,D71)=0)</f>
        <v>0</v>
      </c>
      <c r="L71" s="210" t="b">
        <f>IF($L$1,FALSE,IF($L$3,FALSE,IF(E71="",FALSE,COUNTIF(入力シート!$AH$37:$AK$62,E71)=0)))</f>
        <v>0</v>
      </c>
      <c r="M71" s="211" t="str">
        <f t="shared" si="3"/>
        <v/>
      </c>
      <c r="N71" s="211"/>
      <c r="O71" s="209" t="str">
        <f>IF(B71="","",VLOOKUP('従業員情報(給与以外)'!$B71,入力シート!$S$37:$Z$62,5,0))</f>
        <v/>
      </c>
      <c r="P71" s="156" t="str">
        <f>IF(ISNUMBER(C71)=FALSE,"",IF(C71&gt;入力シート!$J$24,"",_xlfn.DAYS(入力シート!$J$24,'従業員情報(給与以外)'!$C71)/365))</f>
        <v/>
      </c>
      <c r="Q71" s="210" t="str">
        <f>IF(P71="","",VLOOKUP(_xlfn.DAYS(入力シート!$J$24,'従業員情報(給与以外)'!$C71)/365,入力リスト!$K$18:$L$26,2,2))</f>
        <v/>
      </c>
      <c r="R71" s="209" t="str">
        <f>IF(D71="","",VLOOKUP('従業員情報(給与以外)'!$D71,入力シート!$AW$37:$BB$38,4,0))</f>
        <v/>
      </c>
      <c r="S71" s="209" t="str">
        <f>IF(A71="","",IF(E71="","非役職",VLOOKUP('従業員情報(給与以外)'!$E71,入力シート!$AH$37:$AO$62,5,0)))</f>
        <v/>
      </c>
      <c r="T71" s="102" t="str">
        <f>IF(OR(入力シート!$C$5&lt;&gt;入力リスト!$C$3,COUNTIF(入力シート!$J$16:$S$23,入力リスト!$H$9)=0),"",IF($A71="","",IF(ISERROR(AVERAGEIF(従業員の給与情報!$B:$B,$A71,従業員の給与情報!$C:$C)),0,IF(ISERROR(AVERAGEIF(従業員の給与情報!$B:$B,$A71,従業員の給与情報!$C:$C)),0,AVERAGEIF(従業員の給与情報!$B:$B,$A71,従業員の給与情報!$C:$C)))))</f>
        <v/>
      </c>
      <c r="U71" s="102" t="str">
        <f>IF(OR(入力シート!$C$5&lt;&gt;入力リスト!$C$3,COUNTIF(入力シート!$J$16:$S$23,入力リスト!$H$9)=0),"",IF(A71="","",IF(ISERROR(AVERAGEIF(従業員の給与情報!$B:$B,$A71,従業員の給与情報!$D:$D)),0,IF(ISERROR(AVERAGEIF(従業員の給与情報!$B:$B,$A71,従業員の給与情報!$D:$D)),0,AVERAGEIF(従業員の給与情報!$B:$B,$A71,従業員の給与情報!$D:$D)))))</f>
        <v/>
      </c>
      <c r="V71" s="102" t="str">
        <f>IF(OR(入力シート!$C$5&lt;&gt;入力リスト!$C$3,COUNTIF(入力シート!$J$16:$S$23,入力リスト!$H$9)=0),"",IF(A71="","",IF(ISERROR(AVERAGEIF(従業員の給与情報!$B:$B,$A71,従業員の給与情報!$E:$E)),0,IF(ISERROR(AVERAGEIF(従業員の給与情報!$B:$B,$A71,従業員の給与情報!$E:$E)),0,AVERAGEIF(従業員の給与情報!$B:$B,$A71,従業員の給与情報!$E:$E)))))</f>
        <v/>
      </c>
      <c r="W71" s="103" t="str">
        <f>IF(OR(入力シート!$C$5&lt;&gt;入力リスト!$C$3,COUNTIF(入力シート!$J$16:$S$23,入力リスト!$H$9)=0),"",IF(A71="","",IF(ISERROR(AVERAGEIF(従業員の給与情報!$B:$B,$A71,従業員の給与情報!$F:$F)),0,IF(ISERROR(AVERAGEIF(従業員の給与情報!$B:$B,$A71,従業員の給与情報!$F:$F)),0,AVERAGEIF(従業員の給与情報!$B:$B,$A71,従業員の給与情報!$F:$F)))))</f>
        <v/>
      </c>
    </row>
    <row r="72" spans="1:23" s="10" customFormat="1" ht="19.8">
      <c r="A72" s="252"/>
      <c r="B72" s="249"/>
      <c r="C72" s="250"/>
      <c r="D72" s="251"/>
      <c r="E72" s="249"/>
      <c r="F72" s="257" t="str">
        <f>IF($G$1,"",IF(COUNTIF(A72:E72,"")=5,"",IF(G72,入力リスト!$K$28,IF(OR(A72="",B72="",IF(COUNTIF($C$3,"*不要*"),"",C72=""),D72=""),IF(A72="","従業員番号","")&amp;IF(B72="","「雇用形態」","")&amp;IF(OR(入力シート!$J$18=入力リスト!$H$9,入力シート!$J$22=入力リスト!$H$9),IF(C72="","「入社年月日」",""),"")&amp;IF(D72="","「性別」","")&amp;IF(IF(A72="","従業員番号","")&amp;IF(B72="","「雇用形態」","")&amp;IF(OR(入力シート!$J$18=入力リスト!$H$9,入力シート!$J$22=入力リスト!$H$9),IF(C72="","「入社年月日」",""),"")&amp;IF(D72="","「性別」","")="","",入力リスト!$K$29),IF(J72,入力リスト!$K$30,"")&amp;IF(I72,入力リスト!$K$31,"")&amp;IF(H72,"「雇用形態」","")&amp;IF(K72,"「性別」","")&amp;IF(L72,"「役職」","")&amp;IF(OR(H72,K72,L72),入力リスト!$K$32,"")))))</f>
        <v/>
      </c>
      <c r="G72" s="209" t="b">
        <f>COUNTIF($A$4:A71,$A72)&gt;0</f>
        <v>0</v>
      </c>
      <c r="H72" s="210" t="b">
        <f>IF($H$1,FALSE,COUNTIF(入力シート!$S$37:$V$62,B72)=0)</f>
        <v>0</v>
      </c>
      <c r="I72" s="210" t="b">
        <f t="shared" si="4"/>
        <v>0</v>
      </c>
      <c r="J72" s="210" t="b">
        <f>IF($J$1,FALSE,IF(I72=TRUE,FALSE,IF(I72,FALSE,C72&gt;入力シート!$J$24)))</f>
        <v>0</v>
      </c>
      <c r="K72" s="210" t="b">
        <f>IF($K$1,FALSE,COUNTIF(入力シート!$AW$37:$BB$38,D72)=0)</f>
        <v>0</v>
      </c>
      <c r="L72" s="210" t="b">
        <f>IF($L$1,FALSE,IF($L$3,FALSE,IF(E72="",FALSE,COUNTIF(入力シート!$AH$37:$AK$62,E72)=0)))</f>
        <v>0</v>
      </c>
      <c r="M72" s="211" t="str">
        <f t="shared" si="3"/>
        <v/>
      </c>
      <c r="N72" s="211"/>
      <c r="O72" s="209" t="str">
        <f>IF(B72="","",VLOOKUP('従業員情報(給与以外)'!$B72,入力シート!$S$37:$Z$62,5,0))</f>
        <v/>
      </c>
      <c r="P72" s="156" t="str">
        <f>IF(ISNUMBER(C72)=FALSE,"",IF(C72&gt;入力シート!$J$24,"",_xlfn.DAYS(入力シート!$J$24,'従業員情報(給与以外)'!$C72)/365))</f>
        <v/>
      </c>
      <c r="Q72" s="210" t="str">
        <f>IF(P72="","",VLOOKUP(_xlfn.DAYS(入力シート!$J$24,'従業員情報(給与以外)'!$C72)/365,入力リスト!$K$18:$L$26,2,2))</f>
        <v/>
      </c>
      <c r="R72" s="209" t="str">
        <f>IF(D72="","",VLOOKUP('従業員情報(給与以外)'!$D72,入力シート!$AW$37:$BB$38,4,0))</f>
        <v/>
      </c>
      <c r="S72" s="209" t="str">
        <f>IF(A72="","",IF(E72="","非役職",VLOOKUP('従業員情報(給与以外)'!$E72,入力シート!$AH$37:$AO$62,5,0)))</f>
        <v/>
      </c>
      <c r="T72" s="102" t="str">
        <f>IF(OR(入力シート!$C$5&lt;&gt;入力リスト!$C$3,COUNTIF(入力シート!$J$16:$S$23,入力リスト!$H$9)=0),"",IF($A72="","",IF(ISERROR(AVERAGEIF(従業員の給与情報!$B:$B,$A72,従業員の給与情報!$C:$C)),0,IF(ISERROR(AVERAGEIF(従業員の給与情報!$B:$B,$A72,従業員の給与情報!$C:$C)),0,AVERAGEIF(従業員の給与情報!$B:$B,$A72,従業員の給与情報!$C:$C)))))</f>
        <v/>
      </c>
      <c r="U72" s="102" t="str">
        <f>IF(OR(入力シート!$C$5&lt;&gt;入力リスト!$C$3,COUNTIF(入力シート!$J$16:$S$23,入力リスト!$H$9)=0),"",IF(A72="","",IF(ISERROR(AVERAGEIF(従業員の給与情報!$B:$B,$A72,従業員の給与情報!$D:$D)),0,IF(ISERROR(AVERAGEIF(従業員の給与情報!$B:$B,$A72,従業員の給与情報!$D:$D)),0,AVERAGEIF(従業員の給与情報!$B:$B,$A72,従業員の給与情報!$D:$D)))))</f>
        <v/>
      </c>
      <c r="V72" s="102" t="str">
        <f>IF(OR(入力シート!$C$5&lt;&gt;入力リスト!$C$3,COUNTIF(入力シート!$J$16:$S$23,入力リスト!$H$9)=0),"",IF(A72="","",IF(ISERROR(AVERAGEIF(従業員の給与情報!$B:$B,$A72,従業員の給与情報!$E:$E)),0,IF(ISERROR(AVERAGEIF(従業員の給与情報!$B:$B,$A72,従業員の給与情報!$E:$E)),0,AVERAGEIF(従業員の給与情報!$B:$B,$A72,従業員の給与情報!$E:$E)))))</f>
        <v/>
      </c>
      <c r="W72" s="103" t="str">
        <f>IF(OR(入力シート!$C$5&lt;&gt;入力リスト!$C$3,COUNTIF(入力シート!$J$16:$S$23,入力リスト!$H$9)=0),"",IF(A72="","",IF(ISERROR(AVERAGEIF(従業員の給与情報!$B:$B,$A72,従業員の給与情報!$F:$F)),0,IF(ISERROR(AVERAGEIF(従業員の給与情報!$B:$B,$A72,従業員の給与情報!$F:$F)),0,AVERAGEIF(従業員の給与情報!$B:$B,$A72,従業員の給与情報!$F:$F)))))</f>
        <v/>
      </c>
    </row>
    <row r="73" spans="1:23" s="10" customFormat="1" ht="19.8">
      <c r="A73" s="252"/>
      <c r="B73" s="249"/>
      <c r="C73" s="250"/>
      <c r="D73" s="251"/>
      <c r="E73" s="249"/>
      <c r="F73" s="257" t="str">
        <f>IF($G$1,"",IF(COUNTIF(A73:E73,"")=5,"",IF(G73,入力リスト!$K$28,IF(OR(A73="",B73="",IF(COUNTIF($C$3,"*不要*"),"",C73=""),D73=""),IF(A73="","従業員番号","")&amp;IF(B73="","「雇用形態」","")&amp;IF(OR(入力シート!$J$18=入力リスト!$H$9,入力シート!$J$22=入力リスト!$H$9),IF(C73="","「入社年月日」",""),"")&amp;IF(D73="","「性別」","")&amp;IF(IF(A73="","従業員番号","")&amp;IF(B73="","「雇用形態」","")&amp;IF(OR(入力シート!$J$18=入力リスト!$H$9,入力シート!$J$22=入力リスト!$H$9),IF(C73="","「入社年月日」",""),"")&amp;IF(D73="","「性別」","")="","",入力リスト!$K$29),IF(J73,入力リスト!$K$30,"")&amp;IF(I73,入力リスト!$K$31,"")&amp;IF(H73,"「雇用形態」","")&amp;IF(K73,"「性別」","")&amp;IF(L73,"「役職」","")&amp;IF(OR(H73,K73,L73),入力リスト!$K$32,"")))))</f>
        <v/>
      </c>
      <c r="G73" s="209" t="b">
        <f>COUNTIF($A$4:A72,$A73)&gt;0</f>
        <v>0</v>
      </c>
      <c r="H73" s="210" t="b">
        <f>IF($H$1,FALSE,COUNTIF(入力シート!$S$37:$V$62,B73)=0)</f>
        <v>0</v>
      </c>
      <c r="I73" s="210" t="b">
        <f t="shared" si="4"/>
        <v>0</v>
      </c>
      <c r="J73" s="210" t="b">
        <f>IF($J$1,FALSE,IF(I73=TRUE,FALSE,IF(I73,FALSE,C73&gt;入力シート!$J$24)))</f>
        <v>0</v>
      </c>
      <c r="K73" s="210" t="b">
        <f>IF($K$1,FALSE,COUNTIF(入力シート!$AW$37:$BB$38,D73)=0)</f>
        <v>0</v>
      </c>
      <c r="L73" s="210" t="b">
        <f>IF($L$1,FALSE,IF($L$3,FALSE,IF(E73="",FALSE,COUNTIF(入力シート!$AH$37:$AK$62,E73)=0)))</f>
        <v>0</v>
      </c>
      <c r="M73" s="211" t="str">
        <f t="shared" si="3"/>
        <v/>
      </c>
      <c r="N73" s="211"/>
      <c r="O73" s="209" t="str">
        <f>IF(B73="","",VLOOKUP('従業員情報(給与以外)'!$B73,入力シート!$S$37:$Z$62,5,0))</f>
        <v/>
      </c>
      <c r="P73" s="156" t="str">
        <f>IF(ISNUMBER(C73)=FALSE,"",IF(C73&gt;入力シート!$J$24,"",_xlfn.DAYS(入力シート!$J$24,'従業員情報(給与以外)'!$C73)/365))</f>
        <v/>
      </c>
      <c r="Q73" s="210" t="str">
        <f>IF(P73="","",VLOOKUP(_xlfn.DAYS(入力シート!$J$24,'従業員情報(給与以外)'!$C73)/365,入力リスト!$K$18:$L$26,2,2))</f>
        <v/>
      </c>
      <c r="R73" s="209" t="str">
        <f>IF(D73="","",VLOOKUP('従業員情報(給与以外)'!$D73,入力シート!$AW$37:$BB$38,4,0))</f>
        <v/>
      </c>
      <c r="S73" s="209" t="str">
        <f>IF(A73="","",IF(E73="","非役職",VLOOKUP('従業員情報(給与以外)'!$E73,入力シート!$AH$37:$AO$62,5,0)))</f>
        <v/>
      </c>
      <c r="T73" s="102" t="str">
        <f>IF(OR(入力シート!$C$5&lt;&gt;入力リスト!$C$3,COUNTIF(入力シート!$J$16:$S$23,入力リスト!$H$9)=0),"",IF($A73="","",IF(ISERROR(AVERAGEIF(従業員の給与情報!$B:$B,$A73,従業員の給与情報!$C:$C)),0,IF(ISERROR(AVERAGEIF(従業員の給与情報!$B:$B,$A73,従業員の給与情報!$C:$C)),0,AVERAGEIF(従業員の給与情報!$B:$B,$A73,従業員の給与情報!$C:$C)))))</f>
        <v/>
      </c>
      <c r="U73" s="102" t="str">
        <f>IF(OR(入力シート!$C$5&lt;&gt;入力リスト!$C$3,COUNTIF(入力シート!$J$16:$S$23,入力リスト!$H$9)=0),"",IF(A73="","",IF(ISERROR(AVERAGEIF(従業員の給与情報!$B:$B,$A73,従業員の給与情報!$D:$D)),0,IF(ISERROR(AVERAGEIF(従業員の給与情報!$B:$B,$A73,従業員の給与情報!$D:$D)),0,AVERAGEIF(従業員の給与情報!$B:$B,$A73,従業員の給与情報!$D:$D)))))</f>
        <v/>
      </c>
      <c r="V73" s="102" t="str">
        <f>IF(OR(入力シート!$C$5&lt;&gt;入力リスト!$C$3,COUNTIF(入力シート!$J$16:$S$23,入力リスト!$H$9)=0),"",IF(A73="","",IF(ISERROR(AVERAGEIF(従業員の給与情報!$B:$B,$A73,従業員の給与情報!$E:$E)),0,IF(ISERROR(AVERAGEIF(従業員の給与情報!$B:$B,$A73,従業員の給与情報!$E:$E)),0,AVERAGEIF(従業員の給与情報!$B:$B,$A73,従業員の給与情報!$E:$E)))))</f>
        <v/>
      </c>
      <c r="W73" s="103" t="str">
        <f>IF(OR(入力シート!$C$5&lt;&gt;入力リスト!$C$3,COUNTIF(入力シート!$J$16:$S$23,入力リスト!$H$9)=0),"",IF(A73="","",IF(ISERROR(AVERAGEIF(従業員の給与情報!$B:$B,$A73,従業員の給与情報!$F:$F)),0,IF(ISERROR(AVERAGEIF(従業員の給与情報!$B:$B,$A73,従業員の給与情報!$F:$F)),0,AVERAGEIF(従業員の給与情報!$B:$B,$A73,従業員の給与情報!$F:$F)))))</f>
        <v/>
      </c>
    </row>
    <row r="74" spans="1:23" s="10" customFormat="1" ht="19.8">
      <c r="A74" s="252"/>
      <c r="B74" s="249"/>
      <c r="C74" s="250"/>
      <c r="D74" s="251"/>
      <c r="E74" s="249"/>
      <c r="F74" s="257" t="str">
        <f>IF($G$1,"",IF(COUNTIF(A74:E74,"")=5,"",IF(G74,入力リスト!$K$28,IF(OR(A74="",B74="",IF(COUNTIF($C$3,"*不要*"),"",C74=""),D74=""),IF(A74="","従業員番号","")&amp;IF(B74="","「雇用形態」","")&amp;IF(OR(入力シート!$J$18=入力リスト!$H$9,入力シート!$J$22=入力リスト!$H$9),IF(C74="","「入社年月日」",""),"")&amp;IF(D74="","「性別」","")&amp;IF(IF(A74="","従業員番号","")&amp;IF(B74="","「雇用形態」","")&amp;IF(OR(入力シート!$J$18=入力リスト!$H$9,入力シート!$J$22=入力リスト!$H$9),IF(C74="","「入社年月日」",""),"")&amp;IF(D74="","「性別」","")="","",入力リスト!$K$29),IF(J74,入力リスト!$K$30,"")&amp;IF(I74,入力リスト!$K$31,"")&amp;IF(H74,"「雇用形態」","")&amp;IF(K74,"「性別」","")&amp;IF(L74,"「役職」","")&amp;IF(OR(H74,K74,L74),入力リスト!$K$32,"")))))</f>
        <v/>
      </c>
      <c r="G74" s="209" t="b">
        <f>COUNTIF($A$4:A73,$A74)&gt;0</f>
        <v>0</v>
      </c>
      <c r="H74" s="210" t="b">
        <f>IF($H$1,FALSE,COUNTIF(入力シート!$S$37:$V$62,B74)=0)</f>
        <v>0</v>
      </c>
      <c r="I74" s="210" t="b">
        <f t="shared" si="4"/>
        <v>0</v>
      </c>
      <c r="J74" s="210" t="b">
        <f>IF($J$1,FALSE,IF(I74=TRUE,FALSE,IF(I74,FALSE,C74&gt;入力シート!$J$24)))</f>
        <v>0</v>
      </c>
      <c r="K74" s="210" t="b">
        <f>IF($K$1,FALSE,COUNTIF(入力シート!$AW$37:$BB$38,D74)=0)</f>
        <v>0</v>
      </c>
      <c r="L74" s="210" t="b">
        <f>IF($L$1,FALSE,IF($L$3,FALSE,IF(E74="",FALSE,COUNTIF(入力シート!$AH$37:$AK$62,E74)=0)))</f>
        <v>0</v>
      </c>
      <c r="M74" s="211" t="str">
        <f t="shared" si="3"/>
        <v/>
      </c>
      <c r="N74" s="211"/>
      <c r="O74" s="209" t="str">
        <f>IF(B74="","",VLOOKUP('従業員情報(給与以外)'!$B74,入力シート!$S$37:$Z$62,5,0))</f>
        <v/>
      </c>
      <c r="P74" s="156" t="str">
        <f>IF(ISNUMBER(C74)=FALSE,"",IF(C74&gt;入力シート!$J$24,"",_xlfn.DAYS(入力シート!$J$24,'従業員情報(給与以外)'!$C74)/365))</f>
        <v/>
      </c>
      <c r="Q74" s="210" t="str">
        <f>IF(P74="","",VLOOKUP(_xlfn.DAYS(入力シート!$J$24,'従業員情報(給与以外)'!$C74)/365,入力リスト!$K$18:$L$26,2,2))</f>
        <v/>
      </c>
      <c r="R74" s="209" t="str">
        <f>IF(D74="","",VLOOKUP('従業員情報(給与以外)'!$D74,入力シート!$AW$37:$BB$38,4,0))</f>
        <v/>
      </c>
      <c r="S74" s="209" t="str">
        <f>IF(A74="","",IF(E74="","非役職",VLOOKUP('従業員情報(給与以外)'!$E74,入力シート!$AH$37:$AO$62,5,0)))</f>
        <v/>
      </c>
      <c r="T74" s="102" t="str">
        <f>IF(OR(入力シート!$C$5&lt;&gt;入力リスト!$C$3,COUNTIF(入力シート!$J$16:$S$23,入力リスト!$H$9)=0),"",IF($A74="","",IF(ISERROR(AVERAGEIF(従業員の給与情報!$B:$B,$A74,従業員の給与情報!$C:$C)),0,IF(ISERROR(AVERAGEIF(従業員の給与情報!$B:$B,$A74,従業員の給与情報!$C:$C)),0,AVERAGEIF(従業員の給与情報!$B:$B,$A74,従業員の給与情報!$C:$C)))))</f>
        <v/>
      </c>
      <c r="U74" s="102" t="str">
        <f>IF(OR(入力シート!$C$5&lt;&gt;入力リスト!$C$3,COUNTIF(入力シート!$J$16:$S$23,入力リスト!$H$9)=0),"",IF(A74="","",IF(ISERROR(AVERAGEIF(従業員の給与情報!$B:$B,$A74,従業員の給与情報!$D:$D)),0,IF(ISERROR(AVERAGEIF(従業員の給与情報!$B:$B,$A74,従業員の給与情報!$D:$D)),0,AVERAGEIF(従業員の給与情報!$B:$B,$A74,従業員の給与情報!$D:$D)))))</f>
        <v/>
      </c>
      <c r="V74" s="102" t="str">
        <f>IF(OR(入力シート!$C$5&lt;&gt;入力リスト!$C$3,COUNTIF(入力シート!$J$16:$S$23,入力リスト!$H$9)=0),"",IF(A74="","",IF(ISERROR(AVERAGEIF(従業員の給与情報!$B:$B,$A74,従業員の給与情報!$E:$E)),0,IF(ISERROR(AVERAGEIF(従業員の給与情報!$B:$B,$A74,従業員の給与情報!$E:$E)),0,AVERAGEIF(従業員の給与情報!$B:$B,$A74,従業員の給与情報!$E:$E)))))</f>
        <v/>
      </c>
      <c r="W74" s="103" t="str">
        <f>IF(OR(入力シート!$C$5&lt;&gt;入力リスト!$C$3,COUNTIF(入力シート!$J$16:$S$23,入力リスト!$H$9)=0),"",IF(A74="","",IF(ISERROR(AVERAGEIF(従業員の給与情報!$B:$B,$A74,従業員の給与情報!$F:$F)),0,IF(ISERROR(AVERAGEIF(従業員の給与情報!$B:$B,$A74,従業員の給与情報!$F:$F)),0,AVERAGEIF(従業員の給与情報!$B:$B,$A74,従業員の給与情報!$F:$F)))))</f>
        <v/>
      </c>
    </row>
    <row r="75" spans="1:23" s="10" customFormat="1" ht="19.8">
      <c r="A75" s="252"/>
      <c r="B75" s="249"/>
      <c r="C75" s="250"/>
      <c r="D75" s="251"/>
      <c r="E75" s="252"/>
      <c r="F75" s="257" t="str">
        <f>IF($G$1,"",IF(COUNTIF(A75:E75,"")=5,"",IF(G75,入力リスト!$K$28,IF(OR(A75="",B75="",IF(COUNTIF($C$3,"*不要*"),"",C75=""),D75=""),IF(A75="","従業員番号","")&amp;IF(B75="","「雇用形態」","")&amp;IF(OR(入力シート!$J$18=入力リスト!$H$9,入力シート!$J$22=入力リスト!$H$9),IF(C75="","「入社年月日」",""),"")&amp;IF(D75="","「性別」","")&amp;IF(IF(A75="","従業員番号","")&amp;IF(B75="","「雇用形態」","")&amp;IF(OR(入力シート!$J$18=入力リスト!$H$9,入力シート!$J$22=入力リスト!$H$9),IF(C75="","「入社年月日」",""),"")&amp;IF(D75="","「性別」","")="","",入力リスト!$K$29),IF(J75,入力リスト!$K$30,"")&amp;IF(I75,入力リスト!$K$31,"")&amp;IF(H75,"「雇用形態」","")&amp;IF(K75,"「性別」","")&amp;IF(L75,"「役職」","")&amp;IF(OR(H75,K75,L75),入力リスト!$K$32,"")))))</f>
        <v/>
      </c>
      <c r="G75" s="209" t="b">
        <f>COUNTIF($A$4:A74,$A75)&gt;0</f>
        <v>0</v>
      </c>
      <c r="H75" s="210" t="b">
        <f>IF($H$1,FALSE,COUNTIF(入力シート!$S$37:$V$62,B75)=0)</f>
        <v>0</v>
      </c>
      <c r="I75" s="210" t="b">
        <f t="shared" si="4"/>
        <v>0</v>
      </c>
      <c r="J75" s="210" t="b">
        <f>IF($J$1,FALSE,IF(I75=TRUE,FALSE,IF(I75,FALSE,C75&gt;入力シート!$J$24)))</f>
        <v>0</v>
      </c>
      <c r="K75" s="210" t="b">
        <f>IF($K$1,FALSE,COUNTIF(入力シート!$AW$37:$BB$38,D75)=0)</f>
        <v>0</v>
      </c>
      <c r="L75" s="210" t="b">
        <f>IF($L$1,FALSE,IF($L$3,FALSE,IF(E75="",FALSE,COUNTIF(入力シート!$AH$37:$AK$62,E75)=0)))</f>
        <v>0</v>
      </c>
      <c r="M75" s="211" t="str">
        <f t="shared" si="3"/>
        <v/>
      </c>
      <c r="N75" s="211"/>
      <c r="O75" s="209" t="str">
        <f>IF(B75="","",VLOOKUP('従業員情報(給与以外)'!$B75,入力シート!$S$37:$Z$62,5,0))</f>
        <v/>
      </c>
      <c r="P75" s="156" t="str">
        <f>IF(ISNUMBER(C75)=FALSE,"",IF(C75&gt;入力シート!$J$24,"",_xlfn.DAYS(入力シート!$J$24,'従業員情報(給与以外)'!$C75)/365))</f>
        <v/>
      </c>
      <c r="Q75" s="210" t="str">
        <f>IF(P75="","",VLOOKUP(_xlfn.DAYS(入力シート!$J$24,'従業員情報(給与以外)'!$C75)/365,入力リスト!$K$18:$L$26,2,2))</f>
        <v/>
      </c>
      <c r="R75" s="209" t="str">
        <f>IF(D75="","",VLOOKUP('従業員情報(給与以外)'!$D75,入力シート!$AW$37:$BB$38,4,0))</f>
        <v/>
      </c>
      <c r="S75" s="209" t="str">
        <f>IF(A75="","",IF(E75="","非役職",VLOOKUP('従業員情報(給与以外)'!$E75,入力シート!$AH$37:$AO$62,5,0)))</f>
        <v/>
      </c>
      <c r="T75" s="102" t="str">
        <f>IF(OR(入力シート!$C$5&lt;&gt;入力リスト!$C$3,COUNTIF(入力シート!$J$16:$S$23,入力リスト!$H$9)=0),"",IF($A75="","",IF(ISERROR(AVERAGEIF(従業員の給与情報!$B:$B,$A75,従業員の給与情報!$C:$C)),0,IF(ISERROR(AVERAGEIF(従業員の給与情報!$B:$B,$A75,従業員の給与情報!$C:$C)),0,AVERAGEIF(従業員の給与情報!$B:$B,$A75,従業員の給与情報!$C:$C)))))</f>
        <v/>
      </c>
      <c r="U75" s="102" t="str">
        <f>IF(OR(入力シート!$C$5&lt;&gt;入力リスト!$C$3,COUNTIF(入力シート!$J$16:$S$23,入力リスト!$H$9)=0),"",IF(A75="","",IF(ISERROR(AVERAGEIF(従業員の給与情報!$B:$B,$A75,従業員の給与情報!$D:$D)),0,IF(ISERROR(AVERAGEIF(従業員の給与情報!$B:$B,$A75,従業員の給与情報!$D:$D)),0,AVERAGEIF(従業員の給与情報!$B:$B,$A75,従業員の給与情報!$D:$D)))))</f>
        <v/>
      </c>
      <c r="V75" s="102" t="str">
        <f>IF(OR(入力シート!$C$5&lt;&gt;入力リスト!$C$3,COUNTIF(入力シート!$J$16:$S$23,入力リスト!$H$9)=0),"",IF(A75="","",IF(ISERROR(AVERAGEIF(従業員の給与情報!$B:$B,$A75,従業員の給与情報!$E:$E)),0,IF(ISERROR(AVERAGEIF(従業員の給与情報!$B:$B,$A75,従業員の給与情報!$E:$E)),0,AVERAGEIF(従業員の給与情報!$B:$B,$A75,従業員の給与情報!$E:$E)))))</f>
        <v/>
      </c>
      <c r="W75" s="103" t="str">
        <f>IF(OR(入力シート!$C$5&lt;&gt;入力リスト!$C$3,COUNTIF(入力シート!$J$16:$S$23,入力リスト!$H$9)=0),"",IF(A75="","",IF(ISERROR(AVERAGEIF(従業員の給与情報!$B:$B,$A75,従業員の給与情報!$F:$F)),0,IF(ISERROR(AVERAGEIF(従業員の給与情報!$B:$B,$A75,従業員の給与情報!$F:$F)),0,AVERAGEIF(従業員の給与情報!$B:$B,$A75,従業員の給与情報!$F:$F)))))</f>
        <v/>
      </c>
    </row>
    <row r="76" spans="1:23" s="10" customFormat="1" ht="19.8">
      <c r="A76" s="252"/>
      <c r="B76" s="249"/>
      <c r="C76" s="250"/>
      <c r="D76" s="251"/>
      <c r="E76" s="252"/>
      <c r="F76" s="257" t="str">
        <f>IF($G$1,"",IF(COUNTIF(A76:E76,"")=5,"",IF(G76,入力リスト!$K$28,IF(OR(A76="",B76="",IF(COUNTIF($C$3,"*不要*"),"",C76=""),D76=""),IF(A76="","従業員番号","")&amp;IF(B76="","「雇用形態」","")&amp;IF(OR(入力シート!$J$18=入力リスト!$H$9,入力シート!$J$22=入力リスト!$H$9),IF(C76="","「入社年月日」",""),"")&amp;IF(D76="","「性別」","")&amp;IF(IF(A76="","従業員番号","")&amp;IF(B76="","「雇用形態」","")&amp;IF(OR(入力シート!$J$18=入力リスト!$H$9,入力シート!$J$22=入力リスト!$H$9),IF(C76="","「入社年月日」",""),"")&amp;IF(D76="","「性別」","")="","",入力リスト!$K$29),IF(J76,入力リスト!$K$30,"")&amp;IF(I76,入力リスト!$K$31,"")&amp;IF(H76,"「雇用形態」","")&amp;IF(K76,"「性別」","")&amp;IF(L76,"「役職」","")&amp;IF(OR(H76,K76,L76),入力リスト!$K$32,"")))))</f>
        <v/>
      </c>
      <c r="G76" s="209" t="b">
        <f>COUNTIF($A$4:A75,$A76)&gt;0</f>
        <v>0</v>
      </c>
      <c r="H76" s="210" t="b">
        <f>IF($H$1,FALSE,COUNTIF(入力シート!$S$37:$V$62,B76)=0)</f>
        <v>0</v>
      </c>
      <c r="I76" s="210" t="b">
        <f t="shared" si="4"/>
        <v>0</v>
      </c>
      <c r="J76" s="210" t="b">
        <f>IF($J$1,FALSE,IF(I76=TRUE,FALSE,IF(I76,FALSE,C76&gt;入力シート!$J$24)))</f>
        <v>0</v>
      </c>
      <c r="K76" s="210" t="b">
        <f>IF($K$1,FALSE,COUNTIF(入力シート!$AW$37:$BB$38,D76)=0)</f>
        <v>0</v>
      </c>
      <c r="L76" s="210" t="b">
        <f>IF($L$1,FALSE,IF($L$3,FALSE,IF(E76="",FALSE,COUNTIF(入力シート!$AH$37:$AK$62,E76)=0)))</f>
        <v>0</v>
      </c>
      <c r="M76" s="211" t="str">
        <f t="shared" si="3"/>
        <v/>
      </c>
      <c r="N76" s="211"/>
      <c r="O76" s="209" t="str">
        <f>IF(B76="","",VLOOKUP('従業員情報(給与以外)'!$B76,入力シート!$S$37:$Z$62,5,0))</f>
        <v/>
      </c>
      <c r="P76" s="156" t="str">
        <f>IF(ISNUMBER(C76)=FALSE,"",IF(C76&gt;入力シート!$J$24,"",_xlfn.DAYS(入力シート!$J$24,'従業員情報(給与以外)'!$C76)/365))</f>
        <v/>
      </c>
      <c r="Q76" s="210" t="str">
        <f>IF(P76="","",VLOOKUP(_xlfn.DAYS(入力シート!$J$24,'従業員情報(給与以外)'!$C76)/365,入力リスト!$K$18:$L$26,2,2))</f>
        <v/>
      </c>
      <c r="R76" s="209" t="str">
        <f>IF(D76="","",VLOOKUP('従業員情報(給与以外)'!$D76,入力シート!$AW$37:$BB$38,4,0))</f>
        <v/>
      </c>
      <c r="S76" s="209" t="str">
        <f>IF(A76="","",IF(E76="","非役職",VLOOKUP('従業員情報(給与以外)'!$E76,入力シート!$AH$37:$AO$62,5,0)))</f>
        <v/>
      </c>
      <c r="T76" s="102" t="str">
        <f>IF(OR(入力シート!$C$5&lt;&gt;入力リスト!$C$3,COUNTIF(入力シート!$J$16:$S$23,入力リスト!$H$9)=0),"",IF($A76="","",IF(ISERROR(AVERAGEIF(従業員の給与情報!$B:$B,$A76,従業員の給与情報!$C:$C)),0,IF(ISERROR(AVERAGEIF(従業員の給与情報!$B:$B,$A76,従業員の給与情報!$C:$C)),0,AVERAGEIF(従業員の給与情報!$B:$B,$A76,従業員の給与情報!$C:$C)))))</f>
        <v/>
      </c>
      <c r="U76" s="102" t="str">
        <f>IF(OR(入力シート!$C$5&lt;&gt;入力リスト!$C$3,COUNTIF(入力シート!$J$16:$S$23,入力リスト!$H$9)=0),"",IF(A76="","",IF(ISERROR(AVERAGEIF(従業員の給与情報!$B:$B,$A76,従業員の給与情報!$D:$D)),0,IF(ISERROR(AVERAGEIF(従業員の給与情報!$B:$B,$A76,従業員の給与情報!$D:$D)),0,AVERAGEIF(従業員の給与情報!$B:$B,$A76,従業員の給与情報!$D:$D)))))</f>
        <v/>
      </c>
      <c r="V76" s="102" t="str">
        <f>IF(OR(入力シート!$C$5&lt;&gt;入力リスト!$C$3,COUNTIF(入力シート!$J$16:$S$23,入力リスト!$H$9)=0),"",IF(A76="","",IF(ISERROR(AVERAGEIF(従業員の給与情報!$B:$B,$A76,従業員の給与情報!$E:$E)),0,IF(ISERROR(AVERAGEIF(従業員の給与情報!$B:$B,$A76,従業員の給与情報!$E:$E)),0,AVERAGEIF(従業員の給与情報!$B:$B,$A76,従業員の給与情報!$E:$E)))))</f>
        <v/>
      </c>
      <c r="W76" s="103" t="str">
        <f>IF(OR(入力シート!$C$5&lt;&gt;入力リスト!$C$3,COUNTIF(入力シート!$J$16:$S$23,入力リスト!$H$9)=0),"",IF(A76="","",IF(ISERROR(AVERAGEIF(従業員の給与情報!$B:$B,$A76,従業員の給与情報!$F:$F)),0,IF(ISERROR(AVERAGEIF(従業員の給与情報!$B:$B,$A76,従業員の給与情報!$F:$F)),0,AVERAGEIF(従業員の給与情報!$B:$B,$A76,従業員の給与情報!$F:$F)))))</f>
        <v/>
      </c>
    </row>
    <row r="77" spans="1:23" s="10" customFormat="1" ht="19.8">
      <c r="A77" s="252"/>
      <c r="B77" s="249"/>
      <c r="C77" s="250"/>
      <c r="D77" s="251"/>
      <c r="E77" s="252"/>
      <c r="F77" s="257" t="str">
        <f>IF($G$1,"",IF(COUNTIF(A77:E77,"")=5,"",IF(G77,入力リスト!$K$28,IF(OR(A77="",B77="",IF(COUNTIF($C$3,"*不要*"),"",C77=""),D77=""),IF(A77="","従業員番号","")&amp;IF(B77="","「雇用形態」","")&amp;IF(OR(入力シート!$J$18=入力リスト!$H$9,入力シート!$J$22=入力リスト!$H$9),IF(C77="","「入社年月日」",""),"")&amp;IF(D77="","「性別」","")&amp;IF(IF(A77="","従業員番号","")&amp;IF(B77="","「雇用形態」","")&amp;IF(OR(入力シート!$J$18=入力リスト!$H$9,入力シート!$J$22=入力リスト!$H$9),IF(C77="","「入社年月日」",""),"")&amp;IF(D77="","「性別」","")="","",入力リスト!$K$29),IF(J77,入力リスト!$K$30,"")&amp;IF(I77,入力リスト!$K$31,"")&amp;IF(H77,"「雇用形態」","")&amp;IF(K77,"「性別」","")&amp;IF(L77,"「役職」","")&amp;IF(OR(H77,K77,L77),入力リスト!$K$32,"")))))</f>
        <v/>
      </c>
      <c r="G77" s="209" t="b">
        <f>COUNTIF($A$4:A76,$A77)&gt;0</f>
        <v>0</v>
      </c>
      <c r="H77" s="210" t="b">
        <f>IF($H$1,FALSE,COUNTIF(入力シート!$S$37:$V$62,B77)=0)</f>
        <v>0</v>
      </c>
      <c r="I77" s="210" t="b">
        <f t="shared" si="4"/>
        <v>0</v>
      </c>
      <c r="J77" s="210" t="b">
        <f>IF($J$1,FALSE,IF(I77=TRUE,FALSE,IF(I77,FALSE,C77&gt;入力シート!$J$24)))</f>
        <v>0</v>
      </c>
      <c r="K77" s="210" t="b">
        <f>IF($K$1,FALSE,COUNTIF(入力シート!$AW$37:$BB$38,D77)=0)</f>
        <v>0</v>
      </c>
      <c r="L77" s="210" t="b">
        <f>IF($L$1,FALSE,IF($L$3,FALSE,IF(E77="",FALSE,COUNTIF(入力シート!$AH$37:$AK$62,E77)=0)))</f>
        <v>0</v>
      </c>
      <c r="M77" s="211" t="str">
        <f t="shared" si="3"/>
        <v/>
      </c>
      <c r="N77" s="211"/>
      <c r="O77" s="209" t="str">
        <f>IF(B77="","",VLOOKUP('従業員情報(給与以外)'!$B77,入力シート!$S$37:$Z$62,5,0))</f>
        <v/>
      </c>
      <c r="P77" s="156" t="str">
        <f>IF(ISNUMBER(C77)=FALSE,"",IF(C77&gt;入力シート!$J$24,"",_xlfn.DAYS(入力シート!$J$24,'従業員情報(給与以外)'!$C77)/365))</f>
        <v/>
      </c>
      <c r="Q77" s="210" t="str">
        <f>IF(P77="","",VLOOKUP(_xlfn.DAYS(入力シート!$J$24,'従業員情報(給与以外)'!$C77)/365,入力リスト!$K$18:$L$26,2,2))</f>
        <v/>
      </c>
      <c r="R77" s="209" t="str">
        <f>IF(D77="","",VLOOKUP('従業員情報(給与以外)'!$D77,入力シート!$AW$37:$BB$38,4,0))</f>
        <v/>
      </c>
      <c r="S77" s="209" t="str">
        <f>IF(A77="","",IF(E77="","非役職",VLOOKUP('従業員情報(給与以外)'!$E77,入力シート!$AH$37:$AO$62,5,0)))</f>
        <v/>
      </c>
      <c r="T77" s="102" t="str">
        <f>IF(OR(入力シート!$C$5&lt;&gt;入力リスト!$C$3,COUNTIF(入力シート!$J$16:$S$23,入力リスト!$H$9)=0),"",IF($A77="","",IF(ISERROR(AVERAGEIF(従業員の給与情報!$B:$B,$A77,従業員の給与情報!$C:$C)),0,IF(ISERROR(AVERAGEIF(従業員の給与情報!$B:$B,$A77,従業員の給与情報!$C:$C)),0,AVERAGEIF(従業員の給与情報!$B:$B,$A77,従業員の給与情報!$C:$C)))))</f>
        <v/>
      </c>
      <c r="U77" s="102" t="str">
        <f>IF(OR(入力シート!$C$5&lt;&gt;入力リスト!$C$3,COUNTIF(入力シート!$J$16:$S$23,入力リスト!$H$9)=0),"",IF(A77="","",IF(ISERROR(AVERAGEIF(従業員の給与情報!$B:$B,$A77,従業員の給与情報!$D:$D)),0,IF(ISERROR(AVERAGEIF(従業員の給与情報!$B:$B,$A77,従業員の給与情報!$D:$D)),0,AVERAGEIF(従業員の給与情報!$B:$B,$A77,従業員の給与情報!$D:$D)))))</f>
        <v/>
      </c>
      <c r="V77" s="102" t="str">
        <f>IF(OR(入力シート!$C$5&lt;&gt;入力リスト!$C$3,COUNTIF(入力シート!$J$16:$S$23,入力リスト!$H$9)=0),"",IF(A77="","",IF(ISERROR(AVERAGEIF(従業員の給与情報!$B:$B,$A77,従業員の給与情報!$E:$E)),0,IF(ISERROR(AVERAGEIF(従業員の給与情報!$B:$B,$A77,従業員の給与情報!$E:$E)),0,AVERAGEIF(従業員の給与情報!$B:$B,$A77,従業員の給与情報!$E:$E)))))</f>
        <v/>
      </c>
      <c r="W77" s="103" t="str">
        <f>IF(OR(入力シート!$C$5&lt;&gt;入力リスト!$C$3,COUNTIF(入力シート!$J$16:$S$23,入力リスト!$H$9)=0),"",IF(A77="","",IF(ISERROR(AVERAGEIF(従業員の給与情報!$B:$B,$A77,従業員の給与情報!$F:$F)),0,IF(ISERROR(AVERAGEIF(従業員の給与情報!$B:$B,$A77,従業員の給与情報!$F:$F)),0,AVERAGEIF(従業員の給与情報!$B:$B,$A77,従業員の給与情報!$F:$F)))))</f>
        <v/>
      </c>
    </row>
    <row r="78" spans="1:23" s="10" customFormat="1" ht="19.8">
      <c r="A78" s="252"/>
      <c r="B78" s="249"/>
      <c r="C78" s="250"/>
      <c r="D78" s="251"/>
      <c r="E78" s="252"/>
      <c r="F78" s="257" t="str">
        <f>IF($G$1,"",IF(COUNTIF(A78:E78,"")=5,"",IF(G78,入力リスト!$K$28,IF(OR(A78="",B78="",IF(COUNTIF($C$3,"*不要*"),"",C78=""),D78=""),IF(A78="","従業員番号","")&amp;IF(B78="","「雇用形態」","")&amp;IF(OR(入力シート!$J$18=入力リスト!$H$9,入力シート!$J$22=入力リスト!$H$9),IF(C78="","「入社年月日」",""),"")&amp;IF(D78="","「性別」","")&amp;IF(IF(A78="","従業員番号","")&amp;IF(B78="","「雇用形態」","")&amp;IF(OR(入力シート!$J$18=入力リスト!$H$9,入力シート!$J$22=入力リスト!$H$9),IF(C78="","「入社年月日」",""),"")&amp;IF(D78="","「性別」","")="","",入力リスト!$K$29),IF(J78,入力リスト!$K$30,"")&amp;IF(I78,入力リスト!$K$31,"")&amp;IF(H78,"「雇用形態」","")&amp;IF(K78,"「性別」","")&amp;IF(L78,"「役職」","")&amp;IF(OR(H78,K78,L78),入力リスト!$K$32,"")))))</f>
        <v/>
      </c>
      <c r="G78" s="209" t="b">
        <f>COUNTIF($A$4:A77,$A78)&gt;0</f>
        <v>0</v>
      </c>
      <c r="H78" s="210" t="b">
        <f>IF($H$1,FALSE,COUNTIF(入力シート!$S$37:$V$62,B78)=0)</f>
        <v>0</v>
      </c>
      <c r="I78" s="210" t="b">
        <f t="shared" si="4"/>
        <v>0</v>
      </c>
      <c r="J78" s="210" t="b">
        <f>IF($J$1,FALSE,IF(I78=TRUE,FALSE,IF(I78,FALSE,C78&gt;入力シート!$J$24)))</f>
        <v>0</v>
      </c>
      <c r="K78" s="210" t="b">
        <f>IF($K$1,FALSE,COUNTIF(入力シート!$AW$37:$BB$38,D78)=0)</f>
        <v>0</v>
      </c>
      <c r="L78" s="210" t="b">
        <f>IF($L$1,FALSE,IF($L$3,FALSE,IF(E78="",FALSE,COUNTIF(入力シート!$AH$37:$AK$62,E78)=0)))</f>
        <v>0</v>
      </c>
      <c r="M78" s="211" t="str">
        <f t="shared" si="3"/>
        <v/>
      </c>
      <c r="N78" s="211"/>
      <c r="O78" s="209" t="str">
        <f>IF(B78="","",VLOOKUP('従業員情報(給与以外)'!$B78,入力シート!$S$37:$Z$62,5,0))</f>
        <v/>
      </c>
      <c r="P78" s="156" t="str">
        <f>IF(ISNUMBER(C78)=FALSE,"",IF(C78&gt;入力シート!$J$24,"",_xlfn.DAYS(入力シート!$J$24,'従業員情報(給与以外)'!$C78)/365))</f>
        <v/>
      </c>
      <c r="Q78" s="210" t="str">
        <f>IF(P78="","",VLOOKUP(_xlfn.DAYS(入力シート!$J$24,'従業員情報(給与以外)'!$C78)/365,入力リスト!$K$18:$L$26,2,2))</f>
        <v/>
      </c>
      <c r="R78" s="209" t="str">
        <f>IF(D78="","",VLOOKUP('従業員情報(給与以外)'!$D78,入力シート!$AW$37:$BB$38,4,0))</f>
        <v/>
      </c>
      <c r="S78" s="209" t="str">
        <f>IF(A78="","",IF(E78="","非役職",VLOOKUP('従業員情報(給与以外)'!$E78,入力シート!$AH$37:$AO$62,5,0)))</f>
        <v/>
      </c>
      <c r="T78" s="102" t="str">
        <f>IF(OR(入力シート!$C$5&lt;&gt;入力リスト!$C$3,COUNTIF(入力シート!$J$16:$S$23,入力リスト!$H$9)=0),"",IF($A78="","",IF(ISERROR(AVERAGEIF(従業員の給与情報!$B:$B,$A78,従業員の給与情報!$C:$C)),0,IF(ISERROR(AVERAGEIF(従業員の給与情報!$B:$B,$A78,従業員の給与情報!$C:$C)),0,AVERAGEIF(従業員の給与情報!$B:$B,$A78,従業員の給与情報!$C:$C)))))</f>
        <v/>
      </c>
      <c r="U78" s="102" t="str">
        <f>IF(OR(入力シート!$C$5&lt;&gt;入力リスト!$C$3,COUNTIF(入力シート!$J$16:$S$23,入力リスト!$H$9)=0),"",IF(A78="","",IF(ISERROR(AVERAGEIF(従業員の給与情報!$B:$B,$A78,従業員の給与情報!$D:$D)),0,IF(ISERROR(AVERAGEIF(従業員の給与情報!$B:$B,$A78,従業員の給与情報!$D:$D)),0,AVERAGEIF(従業員の給与情報!$B:$B,$A78,従業員の給与情報!$D:$D)))))</f>
        <v/>
      </c>
      <c r="V78" s="102" t="str">
        <f>IF(OR(入力シート!$C$5&lt;&gt;入力リスト!$C$3,COUNTIF(入力シート!$J$16:$S$23,入力リスト!$H$9)=0),"",IF(A78="","",IF(ISERROR(AVERAGEIF(従業員の給与情報!$B:$B,$A78,従業員の給与情報!$E:$E)),0,IF(ISERROR(AVERAGEIF(従業員の給与情報!$B:$B,$A78,従業員の給与情報!$E:$E)),0,AVERAGEIF(従業員の給与情報!$B:$B,$A78,従業員の給与情報!$E:$E)))))</f>
        <v/>
      </c>
      <c r="W78" s="103" t="str">
        <f>IF(OR(入力シート!$C$5&lt;&gt;入力リスト!$C$3,COUNTIF(入力シート!$J$16:$S$23,入力リスト!$H$9)=0),"",IF(A78="","",IF(ISERROR(AVERAGEIF(従業員の給与情報!$B:$B,$A78,従業員の給与情報!$F:$F)),0,IF(ISERROR(AVERAGEIF(従業員の給与情報!$B:$B,$A78,従業員の給与情報!$F:$F)),0,AVERAGEIF(従業員の給与情報!$B:$B,$A78,従業員の給与情報!$F:$F)))))</f>
        <v/>
      </c>
    </row>
    <row r="79" spans="1:23" s="10" customFormat="1" ht="19.8">
      <c r="A79" s="252"/>
      <c r="B79" s="249"/>
      <c r="C79" s="250"/>
      <c r="D79" s="251"/>
      <c r="E79" s="252"/>
      <c r="F79" s="257" t="str">
        <f>IF($G$1,"",IF(COUNTIF(A79:E79,"")=5,"",IF(G79,入力リスト!$K$28,IF(OR(A79="",B79="",IF(COUNTIF($C$3,"*不要*"),"",C79=""),D79=""),IF(A79="","従業員番号","")&amp;IF(B79="","「雇用形態」","")&amp;IF(OR(入力シート!$J$18=入力リスト!$H$9,入力シート!$J$22=入力リスト!$H$9),IF(C79="","「入社年月日」",""),"")&amp;IF(D79="","「性別」","")&amp;IF(IF(A79="","従業員番号","")&amp;IF(B79="","「雇用形態」","")&amp;IF(OR(入力シート!$J$18=入力リスト!$H$9,入力シート!$J$22=入力リスト!$H$9),IF(C79="","「入社年月日」",""),"")&amp;IF(D79="","「性別」","")="","",入力リスト!$K$29),IF(J79,入力リスト!$K$30,"")&amp;IF(I79,入力リスト!$K$31,"")&amp;IF(H79,"「雇用形態」","")&amp;IF(K79,"「性別」","")&amp;IF(L79,"「役職」","")&amp;IF(OR(H79,K79,L79),入力リスト!$K$32,"")))))</f>
        <v/>
      </c>
      <c r="G79" s="209" t="b">
        <f>COUNTIF($A$4:A78,$A79)&gt;0</f>
        <v>0</v>
      </c>
      <c r="H79" s="210" t="b">
        <f>IF($H$1,FALSE,COUNTIF(入力シート!$S$37:$V$62,B79)=0)</f>
        <v>0</v>
      </c>
      <c r="I79" s="210" t="b">
        <f t="shared" si="4"/>
        <v>0</v>
      </c>
      <c r="J79" s="210" t="b">
        <f>IF($J$1,FALSE,IF(I79=TRUE,FALSE,IF(I79,FALSE,C79&gt;入力シート!$J$24)))</f>
        <v>0</v>
      </c>
      <c r="K79" s="210" t="b">
        <f>IF($K$1,FALSE,COUNTIF(入力シート!$AW$37:$BB$38,D79)=0)</f>
        <v>0</v>
      </c>
      <c r="L79" s="210" t="b">
        <f>IF($L$1,FALSE,IF($L$3,FALSE,IF(E79="",FALSE,COUNTIF(入力シート!$AH$37:$AK$62,E79)=0)))</f>
        <v>0</v>
      </c>
      <c r="M79" s="211" t="str">
        <f t="shared" si="3"/>
        <v/>
      </c>
      <c r="N79" s="211"/>
      <c r="O79" s="209" t="str">
        <f>IF(B79="","",VLOOKUP('従業員情報(給与以外)'!$B79,入力シート!$S$37:$Z$62,5,0))</f>
        <v/>
      </c>
      <c r="P79" s="156" t="str">
        <f>IF(ISNUMBER(C79)=FALSE,"",IF(C79&gt;入力シート!$J$24,"",_xlfn.DAYS(入力シート!$J$24,'従業員情報(給与以外)'!$C79)/365))</f>
        <v/>
      </c>
      <c r="Q79" s="210" t="str">
        <f>IF(P79="","",VLOOKUP(_xlfn.DAYS(入力シート!$J$24,'従業員情報(給与以外)'!$C79)/365,入力リスト!$K$18:$L$26,2,2))</f>
        <v/>
      </c>
      <c r="R79" s="209" t="str">
        <f>IF(D79="","",VLOOKUP('従業員情報(給与以外)'!$D79,入力シート!$AW$37:$BB$38,4,0))</f>
        <v/>
      </c>
      <c r="S79" s="209" t="str">
        <f>IF(A79="","",IF(E79="","非役職",VLOOKUP('従業員情報(給与以外)'!$E79,入力シート!$AH$37:$AO$62,5,0)))</f>
        <v/>
      </c>
      <c r="T79" s="102" t="str">
        <f>IF(OR(入力シート!$C$5&lt;&gt;入力リスト!$C$3,COUNTIF(入力シート!$J$16:$S$23,入力リスト!$H$9)=0),"",IF($A79="","",IF(ISERROR(AVERAGEIF(従業員の給与情報!$B:$B,$A79,従業員の給与情報!$C:$C)),0,IF(ISERROR(AVERAGEIF(従業員の給与情報!$B:$B,$A79,従業員の給与情報!$C:$C)),0,AVERAGEIF(従業員の給与情報!$B:$B,$A79,従業員の給与情報!$C:$C)))))</f>
        <v/>
      </c>
      <c r="U79" s="102" t="str">
        <f>IF(OR(入力シート!$C$5&lt;&gt;入力リスト!$C$3,COUNTIF(入力シート!$J$16:$S$23,入力リスト!$H$9)=0),"",IF(A79="","",IF(ISERROR(AVERAGEIF(従業員の給与情報!$B:$B,$A79,従業員の給与情報!$D:$D)),0,IF(ISERROR(AVERAGEIF(従業員の給与情報!$B:$B,$A79,従業員の給与情報!$D:$D)),0,AVERAGEIF(従業員の給与情報!$B:$B,$A79,従業員の給与情報!$D:$D)))))</f>
        <v/>
      </c>
      <c r="V79" s="102" t="str">
        <f>IF(OR(入力シート!$C$5&lt;&gt;入力リスト!$C$3,COUNTIF(入力シート!$J$16:$S$23,入力リスト!$H$9)=0),"",IF(A79="","",IF(ISERROR(AVERAGEIF(従業員の給与情報!$B:$B,$A79,従業員の給与情報!$E:$E)),0,IF(ISERROR(AVERAGEIF(従業員の給与情報!$B:$B,$A79,従業員の給与情報!$E:$E)),0,AVERAGEIF(従業員の給与情報!$B:$B,$A79,従業員の給与情報!$E:$E)))))</f>
        <v/>
      </c>
      <c r="W79" s="103" t="str">
        <f>IF(OR(入力シート!$C$5&lt;&gt;入力リスト!$C$3,COUNTIF(入力シート!$J$16:$S$23,入力リスト!$H$9)=0),"",IF(A79="","",IF(ISERROR(AVERAGEIF(従業員の給与情報!$B:$B,$A79,従業員の給与情報!$F:$F)),0,IF(ISERROR(AVERAGEIF(従業員の給与情報!$B:$B,$A79,従業員の給与情報!$F:$F)),0,AVERAGEIF(従業員の給与情報!$B:$B,$A79,従業員の給与情報!$F:$F)))))</f>
        <v/>
      </c>
    </row>
    <row r="80" spans="1:23" s="10" customFormat="1" ht="19.8">
      <c r="A80" s="252"/>
      <c r="B80" s="249"/>
      <c r="C80" s="250"/>
      <c r="D80" s="251"/>
      <c r="E80" s="252"/>
      <c r="F80" s="257" t="str">
        <f>IF($G$1,"",IF(COUNTIF(A80:E80,"")=5,"",IF(G80,入力リスト!$K$28,IF(OR(A80="",B80="",IF(COUNTIF($C$3,"*不要*"),"",C80=""),D80=""),IF(A80="","従業員番号","")&amp;IF(B80="","「雇用形態」","")&amp;IF(OR(入力シート!$J$18=入力リスト!$H$9,入力シート!$J$22=入力リスト!$H$9),IF(C80="","「入社年月日」",""),"")&amp;IF(D80="","「性別」","")&amp;IF(IF(A80="","従業員番号","")&amp;IF(B80="","「雇用形態」","")&amp;IF(OR(入力シート!$J$18=入力リスト!$H$9,入力シート!$J$22=入力リスト!$H$9),IF(C80="","「入社年月日」",""),"")&amp;IF(D80="","「性別」","")="","",入力リスト!$K$29),IF(J80,入力リスト!$K$30,"")&amp;IF(I80,入力リスト!$K$31,"")&amp;IF(H80,"「雇用形態」","")&amp;IF(K80,"「性別」","")&amp;IF(L80,"「役職」","")&amp;IF(OR(H80,K80,L80),入力リスト!$K$32,"")))))</f>
        <v/>
      </c>
      <c r="G80" s="209" t="b">
        <f>COUNTIF($A$4:A79,$A80)&gt;0</f>
        <v>0</v>
      </c>
      <c r="H80" s="210" t="b">
        <f>IF($H$1,FALSE,COUNTIF(入力シート!$S$37:$V$62,B80)=0)</f>
        <v>0</v>
      </c>
      <c r="I80" s="210" t="b">
        <f t="shared" si="4"/>
        <v>0</v>
      </c>
      <c r="J80" s="210" t="b">
        <f>IF($J$1,FALSE,IF(I80=TRUE,FALSE,IF(I80,FALSE,C80&gt;入力シート!$J$24)))</f>
        <v>0</v>
      </c>
      <c r="K80" s="210" t="b">
        <f>IF($K$1,FALSE,COUNTIF(入力シート!$AW$37:$BB$38,D80)=0)</f>
        <v>0</v>
      </c>
      <c r="L80" s="210" t="b">
        <f>IF($L$1,FALSE,IF($L$3,FALSE,IF(E80="",FALSE,COUNTIF(入力シート!$AH$37:$AK$62,E80)=0)))</f>
        <v>0</v>
      </c>
      <c r="M80" s="211" t="str">
        <f t="shared" si="3"/>
        <v/>
      </c>
      <c r="N80" s="211"/>
      <c r="O80" s="209" t="str">
        <f>IF(B80="","",VLOOKUP('従業員情報(給与以外)'!$B80,入力シート!$S$37:$Z$62,5,0))</f>
        <v/>
      </c>
      <c r="P80" s="156" t="str">
        <f>IF(ISNUMBER(C80)=FALSE,"",IF(C80&gt;入力シート!$J$24,"",_xlfn.DAYS(入力シート!$J$24,'従業員情報(給与以外)'!$C80)/365))</f>
        <v/>
      </c>
      <c r="Q80" s="210" t="str">
        <f>IF(P80="","",VLOOKUP(_xlfn.DAYS(入力シート!$J$24,'従業員情報(給与以外)'!$C80)/365,入力リスト!$K$18:$L$26,2,2))</f>
        <v/>
      </c>
      <c r="R80" s="209" t="str">
        <f>IF(D80="","",VLOOKUP('従業員情報(給与以外)'!$D80,入力シート!$AW$37:$BB$38,4,0))</f>
        <v/>
      </c>
      <c r="S80" s="209" t="str">
        <f>IF(A80="","",IF(E80="","非役職",VLOOKUP('従業員情報(給与以外)'!$E80,入力シート!$AH$37:$AO$62,5,0)))</f>
        <v/>
      </c>
      <c r="T80" s="102" t="str">
        <f>IF(OR(入力シート!$C$5&lt;&gt;入力リスト!$C$3,COUNTIF(入力シート!$J$16:$S$23,入力リスト!$H$9)=0),"",IF($A80="","",IF(ISERROR(AVERAGEIF(従業員の給与情報!$B:$B,$A80,従業員の給与情報!$C:$C)),0,IF(ISERROR(AVERAGEIF(従業員の給与情報!$B:$B,$A80,従業員の給与情報!$C:$C)),0,AVERAGEIF(従業員の給与情報!$B:$B,$A80,従業員の給与情報!$C:$C)))))</f>
        <v/>
      </c>
      <c r="U80" s="102" t="str">
        <f>IF(OR(入力シート!$C$5&lt;&gt;入力リスト!$C$3,COUNTIF(入力シート!$J$16:$S$23,入力リスト!$H$9)=0),"",IF(A80="","",IF(ISERROR(AVERAGEIF(従業員の給与情報!$B:$B,$A80,従業員の給与情報!$D:$D)),0,IF(ISERROR(AVERAGEIF(従業員の給与情報!$B:$B,$A80,従業員の給与情報!$D:$D)),0,AVERAGEIF(従業員の給与情報!$B:$B,$A80,従業員の給与情報!$D:$D)))))</f>
        <v/>
      </c>
      <c r="V80" s="102" t="str">
        <f>IF(OR(入力シート!$C$5&lt;&gt;入力リスト!$C$3,COUNTIF(入力シート!$J$16:$S$23,入力リスト!$H$9)=0),"",IF(A80="","",IF(ISERROR(AVERAGEIF(従業員の給与情報!$B:$B,$A80,従業員の給与情報!$E:$E)),0,IF(ISERROR(AVERAGEIF(従業員の給与情報!$B:$B,$A80,従業員の給与情報!$E:$E)),0,AVERAGEIF(従業員の給与情報!$B:$B,$A80,従業員の給与情報!$E:$E)))))</f>
        <v/>
      </c>
      <c r="W80" s="103" t="str">
        <f>IF(OR(入力シート!$C$5&lt;&gt;入力リスト!$C$3,COUNTIF(入力シート!$J$16:$S$23,入力リスト!$H$9)=0),"",IF(A80="","",IF(ISERROR(AVERAGEIF(従業員の給与情報!$B:$B,$A80,従業員の給与情報!$F:$F)),0,IF(ISERROR(AVERAGEIF(従業員の給与情報!$B:$B,$A80,従業員の給与情報!$F:$F)),0,AVERAGEIF(従業員の給与情報!$B:$B,$A80,従業員の給与情報!$F:$F)))))</f>
        <v/>
      </c>
    </row>
    <row r="81" spans="1:23" s="10" customFormat="1" ht="19.8">
      <c r="A81" s="252"/>
      <c r="B81" s="249"/>
      <c r="C81" s="250"/>
      <c r="D81" s="251"/>
      <c r="E81" s="249"/>
      <c r="F81" s="257" t="str">
        <f>IF($G$1,"",IF(COUNTIF(A81:E81,"")=5,"",IF(G81,入力リスト!$K$28,IF(OR(A81="",B81="",IF(COUNTIF($C$3,"*不要*"),"",C81=""),D81=""),IF(A81="","従業員番号","")&amp;IF(B81="","「雇用形態」","")&amp;IF(OR(入力シート!$J$18=入力リスト!$H$9,入力シート!$J$22=入力リスト!$H$9),IF(C81="","「入社年月日」",""),"")&amp;IF(D81="","「性別」","")&amp;IF(IF(A81="","従業員番号","")&amp;IF(B81="","「雇用形態」","")&amp;IF(OR(入力シート!$J$18=入力リスト!$H$9,入力シート!$J$22=入力リスト!$H$9),IF(C81="","「入社年月日」",""),"")&amp;IF(D81="","「性別」","")="","",入力リスト!$K$29),IF(J81,入力リスト!$K$30,"")&amp;IF(I81,入力リスト!$K$31,"")&amp;IF(H81,"「雇用形態」","")&amp;IF(K81,"「性別」","")&amp;IF(L81,"「役職」","")&amp;IF(OR(H81,K81,L81),入力リスト!$K$32,"")))))</f>
        <v/>
      </c>
      <c r="G81" s="209" t="b">
        <f>COUNTIF($A$4:A80,$A81)&gt;0</f>
        <v>0</v>
      </c>
      <c r="H81" s="210" t="b">
        <f>IF($H$1,FALSE,COUNTIF(入力シート!$S$37:$V$62,B81)=0)</f>
        <v>0</v>
      </c>
      <c r="I81" s="210" t="b">
        <f t="shared" si="4"/>
        <v>0</v>
      </c>
      <c r="J81" s="210" t="b">
        <f>IF($J$1,FALSE,IF(I81=TRUE,FALSE,IF(I81,FALSE,C81&gt;入力シート!$J$24)))</f>
        <v>0</v>
      </c>
      <c r="K81" s="210" t="b">
        <f>IF($K$1,FALSE,COUNTIF(入力シート!$AW$37:$BB$38,D81)=0)</f>
        <v>0</v>
      </c>
      <c r="L81" s="210" t="b">
        <f>IF($L$1,FALSE,IF($L$3,FALSE,IF(E81="",FALSE,COUNTIF(入力シート!$AH$37:$AK$62,E81)=0)))</f>
        <v>0</v>
      </c>
      <c r="M81" s="211" t="str">
        <f t="shared" si="3"/>
        <v/>
      </c>
      <c r="N81" s="211"/>
      <c r="O81" s="209" t="str">
        <f>IF(B81="","",VLOOKUP('従業員情報(給与以外)'!$B81,入力シート!$S$37:$Z$62,5,0))</f>
        <v/>
      </c>
      <c r="P81" s="156" t="str">
        <f>IF(ISNUMBER(C81)=FALSE,"",IF(C81&gt;入力シート!$J$24,"",_xlfn.DAYS(入力シート!$J$24,'従業員情報(給与以外)'!$C81)/365))</f>
        <v/>
      </c>
      <c r="Q81" s="210" t="str">
        <f>IF(P81="","",VLOOKUP(_xlfn.DAYS(入力シート!$J$24,'従業員情報(給与以外)'!$C81)/365,入力リスト!$K$18:$L$26,2,2))</f>
        <v/>
      </c>
      <c r="R81" s="209" t="str">
        <f>IF(D81="","",VLOOKUP('従業員情報(給与以外)'!$D81,入力シート!$AW$37:$BB$38,4,0))</f>
        <v/>
      </c>
      <c r="S81" s="209" t="str">
        <f>IF(A81="","",IF(E81="","非役職",VLOOKUP('従業員情報(給与以外)'!$E81,入力シート!$AH$37:$AO$62,5,0)))</f>
        <v/>
      </c>
      <c r="T81" s="102" t="str">
        <f>IF(OR(入力シート!$C$5&lt;&gt;入力リスト!$C$3,COUNTIF(入力シート!$J$16:$S$23,入力リスト!$H$9)=0),"",IF($A81="","",IF(ISERROR(AVERAGEIF(従業員の給与情報!$B:$B,$A81,従業員の給与情報!$C:$C)),0,IF(ISERROR(AVERAGEIF(従業員の給与情報!$B:$B,$A81,従業員の給与情報!$C:$C)),0,AVERAGEIF(従業員の給与情報!$B:$B,$A81,従業員の給与情報!$C:$C)))))</f>
        <v/>
      </c>
      <c r="U81" s="102" t="str">
        <f>IF(OR(入力シート!$C$5&lt;&gt;入力リスト!$C$3,COUNTIF(入力シート!$J$16:$S$23,入力リスト!$H$9)=0),"",IF(A81="","",IF(ISERROR(AVERAGEIF(従業員の給与情報!$B:$B,$A81,従業員の給与情報!$D:$D)),0,IF(ISERROR(AVERAGEIF(従業員の給与情報!$B:$B,$A81,従業員の給与情報!$D:$D)),0,AVERAGEIF(従業員の給与情報!$B:$B,$A81,従業員の給与情報!$D:$D)))))</f>
        <v/>
      </c>
      <c r="V81" s="102" t="str">
        <f>IF(OR(入力シート!$C$5&lt;&gt;入力リスト!$C$3,COUNTIF(入力シート!$J$16:$S$23,入力リスト!$H$9)=0),"",IF(A81="","",IF(ISERROR(AVERAGEIF(従業員の給与情報!$B:$B,$A81,従業員の給与情報!$E:$E)),0,IF(ISERROR(AVERAGEIF(従業員の給与情報!$B:$B,$A81,従業員の給与情報!$E:$E)),0,AVERAGEIF(従業員の給与情報!$B:$B,$A81,従業員の給与情報!$E:$E)))))</f>
        <v/>
      </c>
      <c r="W81" s="103" t="str">
        <f>IF(OR(入力シート!$C$5&lt;&gt;入力リスト!$C$3,COUNTIF(入力シート!$J$16:$S$23,入力リスト!$H$9)=0),"",IF(A81="","",IF(ISERROR(AVERAGEIF(従業員の給与情報!$B:$B,$A81,従業員の給与情報!$F:$F)),0,IF(ISERROR(AVERAGEIF(従業員の給与情報!$B:$B,$A81,従業員の給与情報!$F:$F)),0,AVERAGEIF(従業員の給与情報!$B:$B,$A81,従業員の給与情報!$F:$F)))))</f>
        <v/>
      </c>
    </row>
    <row r="82" spans="1:23" s="10" customFormat="1" ht="19.8">
      <c r="A82" s="252"/>
      <c r="B82" s="249"/>
      <c r="C82" s="250"/>
      <c r="D82" s="251"/>
      <c r="E82" s="252"/>
      <c r="F82" s="257" t="str">
        <f>IF($G$1,"",IF(COUNTIF(A82:E82,"")=5,"",IF(G82,入力リスト!$K$28,IF(OR(A82="",B82="",IF(COUNTIF($C$3,"*不要*"),"",C82=""),D82=""),IF(A82="","従業員番号","")&amp;IF(B82="","「雇用形態」","")&amp;IF(OR(入力シート!$J$18=入力リスト!$H$9,入力シート!$J$22=入力リスト!$H$9),IF(C82="","「入社年月日」",""),"")&amp;IF(D82="","「性別」","")&amp;IF(IF(A82="","従業員番号","")&amp;IF(B82="","「雇用形態」","")&amp;IF(OR(入力シート!$J$18=入力リスト!$H$9,入力シート!$J$22=入力リスト!$H$9),IF(C82="","「入社年月日」",""),"")&amp;IF(D82="","「性別」","")="","",入力リスト!$K$29),IF(J82,入力リスト!$K$30,"")&amp;IF(I82,入力リスト!$K$31,"")&amp;IF(H82,"「雇用形態」","")&amp;IF(K82,"「性別」","")&amp;IF(L82,"「役職」","")&amp;IF(OR(H82,K82,L82),入力リスト!$K$32,"")))))</f>
        <v/>
      </c>
      <c r="G82" s="209" t="b">
        <f>COUNTIF($A$4:A81,$A82)&gt;0</f>
        <v>0</v>
      </c>
      <c r="H82" s="210" t="b">
        <f>IF($H$1,FALSE,COUNTIF(入力シート!$S$37:$V$62,B82)=0)</f>
        <v>0</v>
      </c>
      <c r="I82" s="210" t="b">
        <f t="shared" si="4"/>
        <v>0</v>
      </c>
      <c r="J82" s="210" t="b">
        <f>IF($J$1,FALSE,IF(I82=TRUE,FALSE,IF(I82,FALSE,C82&gt;入力シート!$J$24)))</f>
        <v>0</v>
      </c>
      <c r="K82" s="210" t="b">
        <f>IF($K$1,FALSE,COUNTIF(入力シート!$AW$37:$BB$38,D82)=0)</f>
        <v>0</v>
      </c>
      <c r="L82" s="210" t="b">
        <f>IF($L$1,FALSE,IF($L$3,FALSE,IF(E82="",FALSE,COUNTIF(入力シート!$AH$37:$AK$62,E82)=0)))</f>
        <v>0</v>
      </c>
      <c r="M82" s="211" t="str">
        <f t="shared" si="3"/>
        <v/>
      </c>
      <c r="N82" s="211"/>
      <c r="O82" s="209" t="str">
        <f>IF(B82="","",VLOOKUP('従業員情報(給与以外)'!$B82,入力シート!$S$37:$Z$62,5,0))</f>
        <v/>
      </c>
      <c r="P82" s="156" t="str">
        <f>IF(ISNUMBER(C82)=FALSE,"",IF(C82&gt;入力シート!$J$24,"",_xlfn.DAYS(入力シート!$J$24,'従業員情報(給与以外)'!$C82)/365))</f>
        <v/>
      </c>
      <c r="Q82" s="210" t="str">
        <f>IF(P82="","",VLOOKUP(_xlfn.DAYS(入力シート!$J$24,'従業員情報(給与以外)'!$C82)/365,入力リスト!$K$18:$L$26,2,2))</f>
        <v/>
      </c>
      <c r="R82" s="209" t="str">
        <f>IF(D82="","",VLOOKUP('従業員情報(給与以外)'!$D82,入力シート!$AW$37:$BB$38,4,0))</f>
        <v/>
      </c>
      <c r="S82" s="209" t="str">
        <f>IF(A82="","",IF(E82="","非役職",VLOOKUP('従業員情報(給与以外)'!$E82,入力シート!$AH$37:$AO$62,5,0)))</f>
        <v/>
      </c>
      <c r="T82" s="102" t="str">
        <f>IF(OR(入力シート!$C$5&lt;&gt;入力リスト!$C$3,COUNTIF(入力シート!$J$16:$S$23,入力リスト!$H$9)=0),"",IF($A82="","",IF(ISERROR(AVERAGEIF(従業員の給与情報!$B:$B,$A82,従業員の給与情報!$C:$C)),0,IF(ISERROR(AVERAGEIF(従業員の給与情報!$B:$B,$A82,従業員の給与情報!$C:$C)),0,AVERAGEIF(従業員の給与情報!$B:$B,$A82,従業員の給与情報!$C:$C)))))</f>
        <v/>
      </c>
      <c r="U82" s="102" t="str">
        <f>IF(OR(入力シート!$C$5&lt;&gt;入力リスト!$C$3,COUNTIF(入力シート!$J$16:$S$23,入力リスト!$H$9)=0),"",IF(A82="","",IF(ISERROR(AVERAGEIF(従業員の給与情報!$B:$B,$A82,従業員の給与情報!$D:$D)),0,IF(ISERROR(AVERAGEIF(従業員の給与情報!$B:$B,$A82,従業員の給与情報!$D:$D)),0,AVERAGEIF(従業員の給与情報!$B:$B,$A82,従業員の給与情報!$D:$D)))))</f>
        <v/>
      </c>
      <c r="V82" s="102" t="str">
        <f>IF(OR(入力シート!$C$5&lt;&gt;入力リスト!$C$3,COUNTIF(入力シート!$J$16:$S$23,入力リスト!$H$9)=0),"",IF(A82="","",IF(ISERROR(AVERAGEIF(従業員の給与情報!$B:$B,$A82,従業員の給与情報!$E:$E)),0,IF(ISERROR(AVERAGEIF(従業員の給与情報!$B:$B,$A82,従業員の給与情報!$E:$E)),0,AVERAGEIF(従業員の給与情報!$B:$B,$A82,従業員の給与情報!$E:$E)))))</f>
        <v/>
      </c>
      <c r="W82" s="103" t="str">
        <f>IF(OR(入力シート!$C$5&lt;&gt;入力リスト!$C$3,COUNTIF(入力シート!$J$16:$S$23,入力リスト!$H$9)=0),"",IF(A82="","",IF(ISERROR(AVERAGEIF(従業員の給与情報!$B:$B,$A82,従業員の給与情報!$F:$F)),0,IF(ISERROR(AVERAGEIF(従業員の給与情報!$B:$B,$A82,従業員の給与情報!$F:$F)),0,AVERAGEIF(従業員の給与情報!$B:$B,$A82,従業員の給与情報!$F:$F)))))</f>
        <v/>
      </c>
    </row>
    <row r="83" spans="1:23" s="10" customFormat="1" ht="19.8">
      <c r="A83" s="252"/>
      <c r="B83" s="249"/>
      <c r="C83" s="250"/>
      <c r="D83" s="251"/>
      <c r="E83" s="252"/>
      <c r="F83" s="257" t="str">
        <f>IF($G$1,"",IF(COUNTIF(A83:E83,"")=5,"",IF(G83,入力リスト!$K$28,IF(OR(A83="",B83="",IF(COUNTIF($C$3,"*不要*"),"",C83=""),D83=""),IF(A83="","従業員番号","")&amp;IF(B83="","「雇用形態」","")&amp;IF(OR(入力シート!$J$18=入力リスト!$H$9,入力シート!$J$22=入力リスト!$H$9),IF(C83="","「入社年月日」",""),"")&amp;IF(D83="","「性別」","")&amp;IF(IF(A83="","従業員番号","")&amp;IF(B83="","「雇用形態」","")&amp;IF(OR(入力シート!$J$18=入力リスト!$H$9,入力シート!$J$22=入力リスト!$H$9),IF(C83="","「入社年月日」",""),"")&amp;IF(D83="","「性別」","")="","",入力リスト!$K$29),IF(J83,入力リスト!$K$30,"")&amp;IF(I83,入力リスト!$K$31,"")&amp;IF(H83,"「雇用形態」","")&amp;IF(K83,"「性別」","")&amp;IF(L83,"「役職」","")&amp;IF(OR(H83,K83,L83),入力リスト!$K$32,"")))))</f>
        <v/>
      </c>
      <c r="G83" s="209" t="b">
        <f>COUNTIF($A$4:A82,$A83)&gt;0</f>
        <v>0</v>
      </c>
      <c r="H83" s="210" t="b">
        <f>IF($H$1,FALSE,COUNTIF(入力シート!$S$37:$V$62,B83)=0)</f>
        <v>0</v>
      </c>
      <c r="I83" s="210" t="b">
        <f t="shared" si="4"/>
        <v>0</v>
      </c>
      <c r="J83" s="210" t="b">
        <f>IF($J$1,FALSE,IF(I83=TRUE,FALSE,IF(I83,FALSE,C83&gt;入力シート!$J$24)))</f>
        <v>0</v>
      </c>
      <c r="K83" s="210" t="b">
        <f>IF($K$1,FALSE,COUNTIF(入力シート!$AW$37:$BB$38,D83)=0)</f>
        <v>0</v>
      </c>
      <c r="L83" s="210" t="b">
        <f>IF($L$1,FALSE,IF($L$3,FALSE,IF(E83="",FALSE,COUNTIF(入力シート!$AH$37:$AK$62,E83)=0)))</f>
        <v>0</v>
      </c>
      <c r="M83" s="211" t="str">
        <f t="shared" si="3"/>
        <v/>
      </c>
      <c r="N83" s="211"/>
      <c r="O83" s="209" t="str">
        <f>IF(B83="","",VLOOKUP('従業員情報(給与以外)'!$B83,入力シート!$S$37:$Z$62,5,0))</f>
        <v/>
      </c>
      <c r="P83" s="156" t="str">
        <f>IF(ISNUMBER(C83)=FALSE,"",IF(C83&gt;入力シート!$J$24,"",_xlfn.DAYS(入力シート!$J$24,'従業員情報(給与以外)'!$C83)/365))</f>
        <v/>
      </c>
      <c r="Q83" s="210" t="str">
        <f>IF(P83="","",VLOOKUP(_xlfn.DAYS(入力シート!$J$24,'従業員情報(給与以外)'!$C83)/365,入力リスト!$K$18:$L$26,2,2))</f>
        <v/>
      </c>
      <c r="R83" s="209" t="str">
        <f>IF(D83="","",VLOOKUP('従業員情報(給与以外)'!$D83,入力シート!$AW$37:$BB$38,4,0))</f>
        <v/>
      </c>
      <c r="S83" s="209" t="str">
        <f>IF(A83="","",IF(E83="","非役職",VLOOKUP('従業員情報(給与以外)'!$E83,入力シート!$AH$37:$AO$62,5,0)))</f>
        <v/>
      </c>
      <c r="T83" s="102" t="str">
        <f>IF(OR(入力シート!$C$5&lt;&gt;入力リスト!$C$3,COUNTIF(入力シート!$J$16:$S$23,入力リスト!$H$9)=0),"",IF($A83="","",IF(ISERROR(AVERAGEIF(従業員の給与情報!$B:$B,$A83,従業員の給与情報!$C:$C)),0,IF(ISERROR(AVERAGEIF(従業員の給与情報!$B:$B,$A83,従業員の給与情報!$C:$C)),0,AVERAGEIF(従業員の給与情報!$B:$B,$A83,従業員の給与情報!$C:$C)))))</f>
        <v/>
      </c>
      <c r="U83" s="102" t="str">
        <f>IF(OR(入力シート!$C$5&lt;&gt;入力リスト!$C$3,COUNTIF(入力シート!$J$16:$S$23,入力リスト!$H$9)=0),"",IF(A83="","",IF(ISERROR(AVERAGEIF(従業員の給与情報!$B:$B,$A83,従業員の給与情報!$D:$D)),0,IF(ISERROR(AVERAGEIF(従業員の給与情報!$B:$B,$A83,従業員の給与情報!$D:$D)),0,AVERAGEIF(従業員の給与情報!$B:$B,$A83,従業員の給与情報!$D:$D)))))</f>
        <v/>
      </c>
      <c r="V83" s="102" t="str">
        <f>IF(OR(入力シート!$C$5&lt;&gt;入力リスト!$C$3,COUNTIF(入力シート!$J$16:$S$23,入力リスト!$H$9)=0),"",IF(A83="","",IF(ISERROR(AVERAGEIF(従業員の給与情報!$B:$B,$A83,従業員の給与情報!$E:$E)),0,IF(ISERROR(AVERAGEIF(従業員の給与情報!$B:$B,$A83,従業員の給与情報!$E:$E)),0,AVERAGEIF(従業員の給与情報!$B:$B,$A83,従業員の給与情報!$E:$E)))))</f>
        <v/>
      </c>
      <c r="W83" s="103" t="str">
        <f>IF(OR(入力シート!$C$5&lt;&gt;入力リスト!$C$3,COUNTIF(入力シート!$J$16:$S$23,入力リスト!$H$9)=0),"",IF(A83="","",IF(ISERROR(AVERAGEIF(従業員の給与情報!$B:$B,$A83,従業員の給与情報!$F:$F)),0,IF(ISERROR(AVERAGEIF(従業員の給与情報!$B:$B,$A83,従業員の給与情報!$F:$F)),0,AVERAGEIF(従業員の給与情報!$B:$B,$A83,従業員の給与情報!$F:$F)))))</f>
        <v/>
      </c>
    </row>
    <row r="84" spans="1:23" s="10" customFormat="1" ht="19.8">
      <c r="A84" s="252"/>
      <c r="B84" s="249"/>
      <c r="C84" s="250"/>
      <c r="D84" s="251"/>
      <c r="E84" s="252"/>
      <c r="F84" s="257" t="str">
        <f>IF($G$1,"",IF(COUNTIF(A84:E84,"")=5,"",IF(G84,入力リスト!$K$28,IF(OR(A84="",B84="",IF(COUNTIF($C$3,"*不要*"),"",C84=""),D84=""),IF(A84="","従業員番号","")&amp;IF(B84="","「雇用形態」","")&amp;IF(OR(入力シート!$J$18=入力リスト!$H$9,入力シート!$J$22=入力リスト!$H$9),IF(C84="","「入社年月日」",""),"")&amp;IF(D84="","「性別」","")&amp;IF(IF(A84="","従業員番号","")&amp;IF(B84="","「雇用形態」","")&amp;IF(OR(入力シート!$J$18=入力リスト!$H$9,入力シート!$J$22=入力リスト!$H$9),IF(C84="","「入社年月日」",""),"")&amp;IF(D84="","「性別」","")="","",入力リスト!$K$29),IF(J84,入力リスト!$K$30,"")&amp;IF(I84,入力リスト!$K$31,"")&amp;IF(H84,"「雇用形態」","")&amp;IF(K84,"「性別」","")&amp;IF(L84,"「役職」","")&amp;IF(OR(H84,K84,L84),入力リスト!$K$32,"")))))</f>
        <v/>
      </c>
      <c r="G84" s="209" t="b">
        <f>COUNTIF($A$4:A83,$A84)&gt;0</f>
        <v>0</v>
      </c>
      <c r="H84" s="210" t="b">
        <f>IF($H$1,FALSE,COUNTIF(入力シート!$S$37:$V$62,B84)=0)</f>
        <v>0</v>
      </c>
      <c r="I84" s="210" t="b">
        <f t="shared" si="4"/>
        <v>0</v>
      </c>
      <c r="J84" s="210" t="b">
        <f>IF($J$1,FALSE,IF(I84=TRUE,FALSE,IF(I84,FALSE,C84&gt;入力シート!$J$24)))</f>
        <v>0</v>
      </c>
      <c r="K84" s="210" t="b">
        <f>IF($K$1,FALSE,COUNTIF(入力シート!$AW$37:$BB$38,D84)=0)</f>
        <v>0</v>
      </c>
      <c r="L84" s="210" t="b">
        <f>IF($L$1,FALSE,IF($L$3,FALSE,IF(E84="",FALSE,COUNTIF(入力シート!$AH$37:$AK$62,E84)=0)))</f>
        <v>0</v>
      </c>
      <c r="M84" s="211" t="str">
        <f t="shared" si="3"/>
        <v/>
      </c>
      <c r="N84" s="211"/>
      <c r="O84" s="209" t="str">
        <f>IF(B84="","",VLOOKUP('従業員情報(給与以外)'!$B84,入力シート!$S$37:$Z$62,5,0))</f>
        <v/>
      </c>
      <c r="P84" s="156" t="str">
        <f>IF(ISNUMBER(C84)=FALSE,"",IF(C84&gt;入力シート!$J$24,"",_xlfn.DAYS(入力シート!$J$24,'従業員情報(給与以外)'!$C84)/365))</f>
        <v/>
      </c>
      <c r="Q84" s="210" t="str">
        <f>IF(P84="","",VLOOKUP(_xlfn.DAYS(入力シート!$J$24,'従業員情報(給与以外)'!$C84)/365,入力リスト!$K$18:$L$26,2,2))</f>
        <v/>
      </c>
      <c r="R84" s="209" t="str">
        <f>IF(D84="","",VLOOKUP('従業員情報(給与以外)'!$D84,入力シート!$AW$37:$BB$38,4,0))</f>
        <v/>
      </c>
      <c r="S84" s="209" t="str">
        <f>IF(A84="","",IF(E84="","非役職",VLOOKUP('従業員情報(給与以外)'!$E84,入力シート!$AH$37:$AO$62,5,0)))</f>
        <v/>
      </c>
      <c r="T84" s="102" t="str">
        <f>IF(OR(入力シート!$C$5&lt;&gt;入力リスト!$C$3,COUNTIF(入力シート!$J$16:$S$23,入力リスト!$H$9)=0),"",IF($A84="","",IF(ISERROR(AVERAGEIF(従業員の給与情報!$B:$B,$A84,従業員の給与情報!$C:$C)),0,IF(ISERROR(AVERAGEIF(従業員の給与情報!$B:$B,$A84,従業員の給与情報!$C:$C)),0,AVERAGEIF(従業員の給与情報!$B:$B,$A84,従業員の給与情報!$C:$C)))))</f>
        <v/>
      </c>
      <c r="U84" s="102" t="str">
        <f>IF(OR(入力シート!$C$5&lt;&gt;入力リスト!$C$3,COUNTIF(入力シート!$J$16:$S$23,入力リスト!$H$9)=0),"",IF(A84="","",IF(ISERROR(AVERAGEIF(従業員の給与情報!$B:$B,$A84,従業員の給与情報!$D:$D)),0,IF(ISERROR(AVERAGEIF(従業員の給与情報!$B:$B,$A84,従業員の給与情報!$D:$D)),0,AVERAGEIF(従業員の給与情報!$B:$B,$A84,従業員の給与情報!$D:$D)))))</f>
        <v/>
      </c>
      <c r="V84" s="102" t="str">
        <f>IF(OR(入力シート!$C$5&lt;&gt;入力リスト!$C$3,COUNTIF(入力シート!$J$16:$S$23,入力リスト!$H$9)=0),"",IF(A84="","",IF(ISERROR(AVERAGEIF(従業員の給与情報!$B:$B,$A84,従業員の給与情報!$E:$E)),0,IF(ISERROR(AVERAGEIF(従業員の給与情報!$B:$B,$A84,従業員の給与情報!$E:$E)),0,AVERAGEIF(従業員の給与情報!$B:$B,$A84,従業員の給与情報!$E:$E)))))</f>
        <v/>
      </c>
      <c r="W84" s="103" t="str">
        <f>IF(OR(入力シート!$C$5&lt;&gt;入力リスト!$C$3,COUNTIF(入力シート!$J$16:$S$23,入力リスト!$H$9)=0),"",IF(A84="","",IF(ISERROR(AVERAGEIF(従業員の給与情報!$B:$B,$A84,従業員の給与情報!$F:$F)),0,IF(ISERROR(AVERAGEIF(従業員の給与情報!$B:$B,$A84,従業員の給与情報!$F:$F)),0,AVERAGEIF(従業員の給与情報!$B:$B,$A84,従業員の給与情報!$F:$F)))))</f>
        <v/>
      </c>
    </row>
    <row r="85" spans="1:23" s="10" customFormat="1" ht="19.8">
      <c r="A85" s="252"/>
      <c r="B85" s="249"/>
      <c r="C85" s="250"/>
      <c r="D85" s="251"/>
      <c r="E85" s="252"/>
      <c r="F85" s="257" t="str">
        <f>IF($G$1,"",IF(COUNTIF(A85:E85,"")=5,"",IF(G85,入力リスト!$K$28,IF(OR(A85="",B85="",IF(COUNTIF($C$3,"*不要*"),"",C85=""),D85=""),IF(A85="","従業員番号","")&amp;IF(B85="","「雇用形態」","")&amp;IF(OR(入力シート!$J$18=入力リスト!$H$9,入力シート!$J$22=入力リスト!$H$9),IF(C85="","「入社年月日」",""),"")&amp;IF(D85="","「性別」","")&amp;IF(IF(A85="","従業員番号","")&amp;IF(B85="","「雇用形態」","")&amp;IF(OR(入力シート!$J$18=入力リスト!$H$9,入力シート!$J$22=入力リスト!$H$9),IF(C85="","「入社年月日」",""),"")&amp;IF(D85="","「性別」","")="","",入力リスト!$K$29),IF(J85,入力リスト!$K$30,"")&amp;IF(I85,入力リスト!$K$31,"")&amp;IF(H85,"「雇用形態」","")&amp;IF(K85,"「性別」","")&amp;IF(L85,"「役職」","")&amp;IF(OR(H85,K85,L85),入力リスト!$K$32,"")))))</f>
        <v/>
      </c>
      <c r="G85" s="209" t="b">
        <f>COUNTIF($A$4:A84,$A85)&gt;0</f>
        <v>0</v>
      </c>
      <c r="H85" s="210" t="b">
        <f>IF($H$1,FALSE,COUNTIF(入力シート!$S$37:$V$62,B85)=0)</f>
        <v>0</v>
      </c>
      <c r="I85" s="210" t="b">
        <f t="shared" si="4"/>
        <v>0</v>
      </c>
      <c r="J85" s="210" t="b">
        <f>IF($J$1,FALSE,IF(I85=TRUE,FALSE,IF(I85,FALSE,C85&gt;入力シート!$J$24)))</f>
        <v>0</v>
      </c>
      <c r="K85" s="210" t="b">
        <f>IF($K$1,FALSE,COUNTIF(入力シート!$AW$37:$BB$38,D85)=0)</f>
        <v>0</v>
      </c>
      <c r="L85" s="210" t="b">
        <f>IF($L$1,FALSE,IF($L$3,FALSE,IF(E85="",FALSE,COUNTIF(入力シート!$AH$37:$AK$62,E85)=0)))</f>
        <v>0</v>
      </c>
      <c r="M85" s="211" t="str">
        <f t="shared" si="3"/>
        <v/>
      </c>
      <c r="N85" s="211"/>
      <c r="O85" s="209" t="str">
        <f>IF(B85="","",VLOOKUP('従業員情報(給与以外)'!$B85,入力シート!$S$37:$Z$62,5,0))</f>
        <v/>
      </c>
      <c r="P85" s="156" t="str">
        <f>IF(ISNUMBER(C85)=FALSE,"",IF(C85&gt;入力シート!$J$24,"",_xlfn.DAYS(入力シート!$J$24,'従業員情報(給与以外)'!$C85)/365))</f>
        <v/>
      </c>
      <c r="Q85" s="210" t="str">
        <f>IF(P85="","",VLOOKUP(_xlfn.DAYS(入力シート!$J$24,'従業員情報(給与以外)'!$C85)/365,入力リスト!$K$18:$L$26,2,2))</f>
        <v/>
      </c>
      <c r="R85" s="209" t="str">
        <f>IF(D85="","",VLOOKUP('従業員情報(給与以外)'!$D85,入力シート!$AW$37:$BB$38,4,0))</f>
        <v/>
      </c>
      <c r="S85" s="209" t="str">
        <f>IF(A85="","",IF(E85="","非役職",VLOOKUP('従業員情報(給与以外)'!$E85,入力シート!$AH$37:$AO$62,5,0)))</f>
        <v/>
      </c>
      <c r="T85" s="102" t="str">
        <f>IF(OR(入力シート!$C$5&lt;&gt;入力リスト!$C$3,COUNTIF(入力シート!$J$16:$S$23,入力リスト!$H$9)=0),"",IF($A85="","",IF(ISERROR(AVERAGEIF(従業員の給与情報!$B:$B,$A85,従業員の給与情報!$C:$C)),0,IF(ISERROR(AVERAGEIF(従業員の給与情報!$B:$B,$A85,従業員の給与情報!$C:$C)),0,AVERAGEIF(従業員の給与情報!$B:$B,$A85,従業員の給与情報!$C:$C)))))</f>
        <v/>
      </c>
      <c r="U85" s="102" t="str">
        <f>IF(OR(入力シート!$C$5&lt;&gt;入力リスト!$C$3,COUNTIF(入力シート!$J$16:$S$23,入力リスト!$H$9)=0),"",IF(A85="","",IF(ISERROR(AVERAGEIF(従業員の給与情報!$B:$B,$A85,従業員の給与情報!$D:$D)),0,IF(ISERROR(AVERAGEIF(従業員の給与情報!$B:$B,$A85,従業員の給与情報!$D:$D)),0,AVERAGEIF(従業員の給与情報!$B:$B,$A85,従業員の給与情報!$D:$D)))))</f>
        <v/>
      </c>
      <c r="V85" s="102" t="str">
        <f>IF(OR(入力シート!$C$5&lt;&gt;入力リスト!$C$3,COUNTIF(入力シート!$J$16:$S$23,入力リスト!$H$9)=0),"",IF(A85="","",IF(ISERROR(AVERAGEIF(従業員の給与情報!$B:$B,$A85,従業員の給与情報!$E:$E)),0,IF(ISERROR(AVERAGEIF(従業員の給与情報!$B:$B,$A85,従業員の給与情報!$E:$E)),0,AVERAGEIF(従業員の給与情報!$B:$B,$A85,従業員の給与情報!$E:$E)))))</f>
        <v/>
      </c>
      <c r="W85" s="103" t="str">
        <f>IF(OR(入力シート!$C$5&lt;&gt;入力リスト!$C$3,COUNTIF(入力シート!$J$16:$S$23,入力リスト!$H$9)=0),"",IF(A85="","",IF(ISERROR(AVERAGEIF(従業員の給与情報!$B:$B,$A85,従業員の給与情報!$F:$F)),0,IF(ISERROR(AVERAGEIF(従業員の給与情報!$B:$B,$A85,従業員の給与情報!$F:$F)),0,AVERAGEIF(従業員の給与情報!$B:$B,$A85,従業員の給与情報!$F:$F)))))</f>
        <v/>
      </c>
    </row>
    <row r="86" spans="1:23" s="10" customFormat="1" ht="19.8">
      <c r="A86" s="252"/>
      <c r="B86" s="249"/>
      <c r="C86" s="250"/>
      <c r="D86" s="251"/>
      <c r="E86" s="252"/>
      <c r="F86" s="257" t="str">
        <f>IF($G$1,"",IF(COUNTIF(A86:E86,"")=5,"",IF(G86,入力リスト!$K$28,IF(OR(A86="",B86="",IF(COUNTIF($C$3,"*不要*"),"",C86=""),D86=""),IF(A86="","従業員番号","")&amp;IF(B86="","「雇用形態」","")&amp;IF(OR(入力シート!$J$18=入力リスト!$H$9,入力シート!$J$22=入力リスト!$H$9),IF(C86="","「入社年月日」",""),"")&amp;IF(D86="","「性別」","")&amp;IF(IF(A86="","従業員番号","")&amp;IF(B86="","「雇用形態」","")&amp;IF(OR(入力シート!$J$18=入力リスト!$H$9,入力シート!$J$22=入力リスト!$H$9),IF(C86="","「入社年月日」",""),"")&amp;IF(D86="","「性別」","")="","",入力リスト!$K$29),IF(J86,入力リスト!$K$30,"")&amp;IF(I86,入力リスト!$K$31,"")&amp;IF(H86,"「雇用形態」","")&amp;IF(K86,"「性別」","")&amp;IF(L86,"「役職」","")&amp;IF(OR(H86,K86,L86),入力リスト!$K$32,"")))))</f>
        <v/>
      </c>
      <c r="G86" s="209" t="b">
        <f>COUNTIF($A$4:A85,$A86)&gt;0</f>
        <v>0</v>
      </c>
      <c r="H86" s="210" t="b">
        <f>IF($H$1,FALSE,COUNTIF(入力シート!$S$37:$V$62,B86)=0)</f>
        <v>0</v>
      </c>
      <c r="I86" s="210" t="b">
        <f t="shared" si="4"/>
        <v>0</v>
      </c>
      <c r="J86" s="210" t="b">
        <f>IF($J$1,FALSE,IF(I86=TRUE,FALSE,IF(I86,FALSE,C86&gt;入力シート!$J$24)))</f>
        <v>0</v>
      </c>
      <c r="K86" s="210" t="b">
        <f>IF($K$1,FALSE,COUNTIF(入力シート!$AW$37:$BB$38,D86)=0)</f>
        <v>0</v>
      </c>
      <c r="L86" s="210" t="b">
        <f>IF($L$1,FALSE,IF($L$3,FALSE,IF(E86="",FALSE,COUNTIF(入力シート!$AH$37:$AK$62,E86)=0)))</f>
        <v>0</v>
      </c>
      <c r="M86" s="211" t="str">
        <f t="shared" si="3"/>
        <v/>
      </c>
      <c r="N86" s="211"/>
      <c r="O86" s="209" t="str">
        <f>IF(B86="","",VLOOKUP('従業員情報(給与以外)'!$B86,入力シート!$S$37:$Z$62,5,0))</f>
        <v/>
      </c>
      <c r="P86" s="156" t="str">
        <f>IF(ISNUMBER(C86)=FALSE,"",IF(C86&gt;入力シート!$J$24,"",_xlfn.DAYS(入力シート!$J$24,'従業員情報(給与以外)'!$C86)/365))</f>
        <v/>
      </c>
      <c r="Q86" s="210" t="str">
        <f>IF(P86="","",VLOOKUP(_xlfn.DAYS(入力シート!$J$24,'従業員情報(給与以外)'!$C86)/365,入力リスト!$K$18:$L$26,2,2))</f>
        <v/>
      </c>
      <c r="R86" s="209" t="str">
        <f>IF(D86="","",VLOOKUP('従業員情報(給与以外)'!$D86,入力シート!$AW$37:$BB$38,4,0))</f>
        <v/>
      </c>
      <c r="S86" s="209" t="str">
        <f>IF(A86="","",IF(E86="","非役職",VLOOKUP('従業員情報(給与以外)'!$E86,入力シート!$AH$37:$AO$62,5,0)))</f>
        <v/>
      </c>
      <c r="T86" s="102" t="str">
        <f>IF(OR(入力シート!$C$5&lt;&gt;入力リスト!$C$3,COUNTIF(入力シート!$J$16:$S$23,入力リスト!$H$9)=0),"",IF($A86="","",IF(ISERROR(AVERAGEIF(従業員の給与情報!$B:$B,$A86,従業員の給与情報!$C:$C)),0,IF(ISERROR(AVERAGEIF(従業員の給与情報!$B:$B,$A86,従業員の給与情報!$C:$C)),0,AVERAGEIF(従業員の給与情報!$B:$B,$A86,従業員の給与情報!$C:$C)))))</f>
        <v/>
      </c>
      <c r="U86" s="102" t="str">
        <f>IF(OR(入力シート!$C$5&lt;&gt;入力リスト!$C$3,COUNTIF(入力シート!$J$16:$S$23,入力リスト!$H$9)=0),"",IF(A86="","",IF(ISERROR(AVERAGEIF(従業員の給与情報!$B:$B,$A86,従業員の給与情報!$D:$D)),0,IF(ISERROR(AVERAGEIF(従業員の給与情報!$B:$B,$A86,従業員の給与情報!$D:$D)),0,AVERAGEIF(従業員の給与情報!$B:$B,$A86,従業員の給与情報!$D:$D)))))</f>
        <v/>
      </c>
      <c r="V86" s="102" t="str">
        <f>IF(OR(入力シート!$C$5&lt;&gt;入力リスト!$C$3,COUNTIF(入力シート!$J$16:$S$23,入力リスト!$H$9)=0),"",IF(A86="","",IF(ISERROR(AVERAGEIF(従業員の給与情報!$B:$B,$A86,従業員の給与情報!$E:$E)),0,IF(ISERROR(AVERAGEIF(従業員の給与情報!$B:$B,$A86,従業員の給与情報!$E:$E)),0,AVERAGEIF(従業員の給与情報!$B:$B,$A86,従業員の給与情報!$E:$E)))))</f>
        <v/>
      </c>
      <c r="W86" s="103" t="str">
        <f>IF(OR(入力シート!$C$5&lt;&gt;入力リスト!$C$3,COUNTIF(入力シート!$J$16:$S$23,入力リスト!$H$9)=0),"",IF(A86="","",IF(ISERROR(AVERAGEIF(従業員の給与情報!$B:$B,$A86,従業員の給与情報!$F:$F)),0,IF(ISERROR(AVERAGEIF(従業員の給与情報!$B:$B,$A86,従業員の給与情報!$F:$F)),0,AVERAGEIF(従業員の給与情報!$B:$B,$A86,従業員の給与情報!$F:$F)))))</f>
        <v/>
      </c>
    </row>
    <row r="87" spans="1:23" s="10" customFormat="1" ht="19.8">
      <c r="A87" s="252"/>
      <c r="B87" s="249"/>
      <c r="C87" s="250"/>
      <c r="D87" s="251"/>
      <c r="E87" s="252"/>
      <c r="F87" s="257" t="str">
        <f>IF($G$1,"",IF(COUNTIF(A87:E87,"")=5,"",IF(G87,入力リスト!$K$28,IF(OR(A87="",B87="",IF(COUNTIF($C$3,"*不要*"),"",C87=""),D87=""),IF(A87="","従業員番号","")&amp;IF(B87="","「雇用形態」","")&amp;IF(OR(入力シート!$J$18=入力リスト!$H$9,入力シート!$J$22=入力リスト!$H$9),IF(C87="","「入社年月日」",""),"")&amp;IF(D87="","「性別」","")&amp;IF(IF(A87="","従業員番号","")&amp;IF(B87="","「雇用形態」","")&amp;IF(OR(入力シート!$J$18=入力リスト!$H$9,入力シート!$J$22=入力リスト!$H$9),IF(C87="","「入社年月日」",""),"")&amp;IF(D87="","「性別」","")="","",入力リスト!$K$29),IF(J87,入力リスト!$K$30,"")&amp;IF(I87,入力リスト!$K$31,"")&amp;IF(H87,"「雇用形態」","")&amp;IF(K87,"「性別」","")&amp;IF(L87,"「役職」","")&amp;IF(OR(H87,K87,L87),入力リスト!$K$32,"")))))</f>
        <v/>
      </c>
      <c r="G87" s="209" t="b">
        <f>COUNTIF($A$4:A86,$A87)&gt;0</f>
        <v>0</v>
      </c>
      <c r="H87" s="210" t="b">
        <f>IF($H$1,FALSE,COUNTIF(入力シート!$S$37:$V$62,B87)=0)</f>
        <v>0</v>
      </c>
      <c r="I87" s="210" t="b">
        <f t="shared" si="4"/>
        <v>0</v>
      </c>
      <c r="J87" s="210" t="b">
        <f>IF($J$1,FALSE,IF(I87=TRUE,FALSE,IF(I87,FALSE,C87&gt;入力シート!$J$24)))</f>
        <v>0</v>
      </c>
      <c r="K87" s="210" t="b">
        <f>IF($K$1,FALSE,COUNTIF(入力シート!$AW$37:$BB$38,D87)=0)</f>
        <v>0</v>
      </c>
      <c r="L87" s="210" t="b">
        <f>IF($L$1,FALSE,IF($L$3,FALSE,IF(E87="",FALSE,COUNTIF(入力シート!$AH$37:$AK$62,E87)=0)))</f>
        <v>0</v>
      </c>
      <c r="M87" s="211" t="str">
        <f t="shared" si="3"/>
        <v/>
      </c>
      <c r="N87" s="211"/>
      <c r="O87" s="209" t="str">
        <f>IF(B87="","",VLOOKUP('従業員情報(給与以外)'!$B87,入力シート!$S$37:$Z$62,5,0))</f>
        <v/>
      </c>
      <c r="P87" s="156" t="str">
        <f>IF(ISNUMBER(C87)=FALSE,"",IF(C87&gt;入力シート!$J$24,"",_xlfn.DAYS(入力シート!$J$24,'従業員情報(給与以外)'!$C87)/365))</f>
        <v/>
      </c>
      <c r="Q87" s="210" t="str">
        <f>IF(P87="","",VLOOKUP(_xlfn.DAYS(入力シート!$J$24,'従業員情報(給与以外)'!$C87)/365,入力リスト!$K$18:$L$26,2,2))</f>
        <v/>
      </c>
      <c r="R87" s="209" t="str">
        <f>IF(D87="","",VLOOKUP('従業員情報(給与以外)'!$D87,入力シート!$AW$37:$BB$38,4,0))</f>
        <v/>
      </c>
      <c r="S87" s="209" t="str">
        <f>IF(A87="","",IF(E87="","非役職",VLOOKUP('従業員情報(給与以外)'!$E87,入力シート!$AH$37:$AO$62,5,0)))</f>
        <v/>
      </c>
      <c r="T87" s="102" t="str">
        <f>IF(OR(入力シート!$C$5&lt;&gt;入力リスト!$C$3,COUNTIF(入力シート!$J$16:$S$23,入力リスト!$H$9)=0),"",IF($A87="","",IF(ISERROR(AVERAGEIF(従業員の給与情報!$B:$B,$A87,従業員の給与情報!$C:$C)),0,IF(ISERROR(AVERAGEIF(従業員の給与情報!$B:$B,$A87,従業員の給与情報!$C:$C)),0,AVERAGEIF(従業員の給与情報!$B:$B,$A87,従業員の給与情報!$C:$C)))))</f>
        <v/>
      </c>
      <c r="U87" s="102" t="str">
        <f>IF(OR(入力シート!$C$5&lt;&gt;入力リスト!$C$3,COUNTIF(入力シート!$J$16:$S$23,入力リスト!$H$9)=0),"",IF(A87="","",IF(ISERROR(AVERAGEIF(従業員の給与情報!$B:$B,$A87,従業員の給与情報!$D:$D)),0,IF(ISERROR(AVERAGEIF(従業員の給与情報!$B:$B,$A87,従業員の給与情報!$D:$D)),0,AVERAGEIF(従業員の給与情報!$B:$B,$A87,従業員の給与情報!$D:$D)))))</f>
        <v/>
      </c>
      <c r="V87" s="102" t="str">
        <f>IF(OR(入力シート!$C$5&lt;&gt;入力リスト!$C$3,COUNTIF(入力シート!$J$16:$S$23,入力リスト!$H$9)=0),"",IF(A87="","",IF(ISERROR(AVERAGEIF(従業員の給与情報!$B:$B,$A87,従業員の給与情報!$E:$E)),0,IF(ISERROR(AVERAGEIF(従業員の給与情報!$B:$B,$A87,従業員の給与情報!$E:$E)),0,AVERAGEIF(従業員の給与情報!$B:$B,$A87,従業員の給与情報!$E:$E)))))</f>
        <v/>
      </c>
      <c r="W87" s="103" t="str">
        <f>IF(OR(入力シート!$C$5&lt;&gt;入力リスト!$C$3,COUNTIF(入力シート!$J$16:$S$23,入力リスト!$H$9)=0),"",IF(A87="","",IF(ISERROR(AVERAGEIF(従業員の給与情報!$B:$B,$A87,従業員の給与情報!$F:$F)),0,IF(ISERROR(AVERAGEIF(従業員の給与情報!$B:$B,$A87,従業員の給与情報!$F:$F)),0,AVERAGEIF(従業員の給与情報!$B:$B,$A87,従業員の給与情報!$F:$F)))))</f>
        <v/>
      </c>
    </row>
    <row r="88" spans="1:23" s="10" customFormat="1" ht="19.8">
      <c r="A88" s="252"/>
      <c r="B88" s="249"/>
      <c r="C88" s="250"/>
      <c r="D88" s="251"/>
      <c r="E88" s="252"/>
      <c r="F88" s="257" t="str">
        <f>IF($G$1,"",IF(COUNTIF(A88:E88,"")=5,"",IF(G88,入力リスト!$K$28,IF(OR(A88="",B88="",IF(COUNTIF($C$3,"*不要*"),"",C88=""),D88=""),IF(A88="","従業員番号","")&amp;IF(B88="","「雇用形態」","")&amp;IF(OR(入力シート!$J$18=入力リスト!$H$9,入力シート!$J$22=入力リスト!$H$9),IF(C88="","「入社年月日」",""),"")&amp;IF(D88="","「性別」","")&amp;IF(IF(A88="","従業員番号","")&amp;IF(B88="","「雇用形態」","")&amp;IF(OR(入力シート!$J$18=入力リスト!$H$9,入力シート!$J$22=入力リスト!$H$9),IF(C88="","「入社年月日」",""),"")&amp;IF(D88="","「性別」","")="","",入力リスト!$K$29),IF(J88,入力リスト!$K$30,"")&amp;IF(I88,入力リスト!$K$31,"")&amp;IF(H88,"「雇用形態」","")&amp;IF(K88,"「性別」","")&amp;IF(L88,"「役職」","")&amp;IF(OR(H88,K88,L88),入力リスト!$K$32,"")))))</f>
        <v/>
      </c>
      <c r="G88" s="209" t="b">
        <f>COUNTIF($A$4:A87,$A88)&gt;0</f>
        <v>0</v>
      </c>
      <c r="H88" s="210" t="b">
        <f>IF($H$1,FALSE,COUNTIF(入力シート!$S$37:$V$62,B88)=0)</f>
        <v>0</v>
      </c>
      <c r="I88" s="210" t="b">
        <f t="shared" si="4"/>
        <v>0</v>
      </c>
      <c r="J88" s="210" t="b">
        <f>IF($J$1,FALSE,IF(I88=TRUE,FALSE,IF(I88,FALSE,C88&gt;入力シート!$J$24)))</f>
        <v>0</v>
      </c>
      <c r="K88" s="210" t="b">
        <f>IF($K$1,FALSE,COUNTIF(入力シート!$AW$37:$BB$38,D88)=0)</f>
        <v>0</v>
      </c>
      <c r="L88" s="210" t="b">
        <f>IF($L$1,FALSE,IF($L$3,FALSE,IF(E88="",FALSE,COUNTIF(入力シート!$AH$37:$AK$62,E88)=0)))</f>
        <v>0</v>
      </c>
      <c r="M88" s="211" t="str">
        <f t="shared" si="3"/>
        <v/>
      </c>
      <c r="N88" s="211"/>
      <c r="O88" s="209" t="str">
        <f>IF(B88="","",VLOOKUP('従業員情報(給与以外)'!$B88,入力シート!$S$37:$Z$62,5,0))</f>
        <v/>
      </c>
      <c r="P88" s="156" t="str">
        <f>IF(ISNUMBER(C88)=FALSE,"",IF(C88&gt;入力シート!$J$24,"",_xlfn.DAYS(入力シート!$J$24,'従業員情報(給与以外)'!$C88)/365))</f>
        <v/>
      </c>
      <c r="Q88" s="210" t="str">
        <f>IF(P88="","",VLOOKUP(_xlfn.DAYS(入力シート!$J$24,'従業員情報(給与以外)'!$C88)/365,入力リスト!$K$18:$L$26,2,2))</f>
        <v/>
      </c>
      <c r="R88" s="209" t="str">
        <f>IF(D88="","",VLOOKUP('従業員情報(給与以外)'!$D88,入力シート!$AW$37:$BB$38,4,0))</f>
        <v/>
      </c>
      <c r="S88" s="209" t="str">
        <f>IF(A88="","",IF(E88="","非役職",VLOOKUP('従業員情報(給与以外)'!$E88,入力シート!$AH$37:$AO$62,5,0)))</f>
        <v/>
      </c>
      <c r="T88" s="102" t="str">
        <f>IF(OR(入力シート!$C$5&lt;&gt;入力リスト!$C$3,COUNTIF(入力シート!$J$16:$S$23,入力リスト!$H$9)=0),"",IF($A88="","",IF(ISERROR(AVERAGEIF(従業員の給与情報!$B:$B,$A88,従業員の給与情報!$C:$C)),0,IF(ISERROR(AVERAGEIF(従業員の給与情報!$B:$B,$A88,従業員の給与情報!$C:$C)),0,AVERAGEIF(従業員の給与情報!$B:$B,$A88,従業員の給与情報!$C:$C)))))</f>
        <v/>
      </c>
      <c r="U88" s="102" t="str">
        <f>IF(OR(入力シート!$C$5&lt;&gt;入力リスト!$C$3,COUNTIF(入力シート!$J$16:$S$23,入力リスト!$H$9)=0),"",IF(A88="","",IF(ISERROR(AVERAGEIF(従業員の給与情報!$B:$B,$A88,従業員の給与情報!$D:$D)),0,IF(ISERROR(AVERAGEIF(従業員の給与情報!$B:$B,$A88,従業員の給与情報!$D:$D)),0,AVERAGEIF(従業員の給与情報!$B:$B,$A88,従業員の給与情報!$D:$D)))))</f>
        <v/>
      </c>
      <c r="V88" s="102" t="str">
        <f>IF(OR(入力シート!$C$5&lt;&gt;入力リスト!$C$3,COUNTIF(入力シート!$J$16:$S$23,入力リスト!$H$9)=0),"",IF(A88="","",IF(ISERROR(AVERAGEIF(従業員の給与情報!$B:$B,$A88,従業員の給与情報!$E:$E)),0,IF(ISERROR(AVERAGEIF(従業員の給与情報!$B:$B,$A88,従業員の給与情報!$E:$E)),0,AVERAGEIF(従業員の給与情報!$B:$B,$A88,従業員の給与情報!$E:$E)))))</f>
        <v/>
      </c>
      <c r="W88" s="103" t="str">
        <f>IF(OR(入力シート!$C$5&lt;&gt;入力リスト!$C$3,COUNTIF(入力シート!$J$16:$S$23,入力リスト!$H$9)=0),"",IF(A88="","",IF(ISERROR(AVERAGEIF(従業員の給与情報!$B:$B,$A88,従業員の給与情報!$F:$F)),0,IF(ISERROR(AVERAGEIF(従業員の給与情報!$B:$B,$A88,従業員の給与情報!$F:$F)),0,AVERAGEIF(従業員の給与情報!$B:$B,$A88,従業員の給与情報!$F:$F)))))</f>
        <v/>
      </c>
    </row>
    <row r="89" spans="1:23" s="10" customFormat="1" ht="19.8">
      <c r="A89" s="252"/>
      <c r="B89" s="249"/>
      <c r="C89" s="250"/>
      <c r="D89" s="251"/>
      <c r="E89" s="252"/>
      <c r="F89" s="257" t="str">
        <f>IF($G$1,"",IF(COUNTIF(A89:E89,"")=5,"",IF(G89,入力リスト!$K$28,IF(OR(A89="",B89="",IF(COUNTIF($C$3,"*不要*"),"",C89=""),D89=""),IF(A89="","従業員番号","")&amp;IF(B89="","「雇用形態」","")&amp;IF(OR(入力シート!$J$18=入力リスト!$H$9,入力シート!$J$22=入力リスト!$H$9),IF(C89="","「入社年月日」",""),"")&amp;IF(D89="","「性別」","")&amp;IF(IF(A89="","従業員番号","")&amp;IF(B89="","「雇用形態」","")&amp;IF(OR(入力シート!$J$18=入力リスト!$H$9,入力シート!$J$22=入力リスト!$H$9),IF(C89="","「入社年月日」",""),"")&amp;IF(D89="","「性別」","")="","",入力リスト!$K$29),IF(J89,入力リスト!$K$30,"")&amp;IF(I89,入力リスト!$K$31,"")&amp;IF(H89,"「雇用形態」","")&amp;IF(K89,"「性別」","")&amp;IF(L89,"「役職」","")&amp;IF(OR(H89,K89,L89),入力リスト!$K$32,"")))))</f>
        <v/>
      </c>
      <c r="G89" s="209" t="b">
        <f>COUNTIF($A$4:A88,$A89)&gt;0</f>
        <v>0</v>
      </c>
      <c r="H89" s="210" t="b">
        <f>IF($H$1,FALSE,COUNTIF(入力シート!$S$37:$V$62,B89)=0)</f>
        <v>0</v>
      </c>
      <c r="I89" s="210" t="b">
        <f t="shared" si="4"/>
        <v>0</v>
      </c>
      <c r="J89" s="210" t="b">
        <f>IF($J$1,FALSE,IF(I89=TRUE,FALSE,IF(I89,FALSE,C89&gt;入力シート!$J$24)))</f>
        <v>0</v>
      </c>
      <c r="K89" s="210" t="b">
        <f>IF($K$1,FALSE,COUNTIF(入力シート!$AW$37:$BB$38,D89)=0)</f>
        <v>0</v>
      </c>
      <c r="L89" s="210" t="b">
        <f>IF($L$1,FALSE,IF($L$3,FALSE,IF(E89="",FALSE,COUNTIF(入力シート!$AH$37:$AK$62,E89)=0)))</f>
        <v>0</v>
      </c>
      <c r="M89" s="211" t="str">
        <f t="shared" si="3"/>
        <v/>
      </c>
      <c r="N89" s="211"/>
      <c r="O89" s="209" t="str">
        <f>IF(B89="","",VLOOKUP('従業員情報(給与以外)'!$B89,入力シート!$S$37:$Z$62,5,0))</f>
        <v/>
      </c>
      <c r="P89" s="156" t="str">
        <f>IF(ISNUMBER(C89)=FALSE,"",IF(C89&gt;入力シート!$J$24,"",_xlfn.DAYS(入力シート!$J$24,'従業員情報(給与以外)'!$C89)/365))</f>
        <v/>
      </c>
      <c r="Q89" s="210" t="str">
        <f>IF(P89="","",VLOOKUP(_xlfn.DAYS(入力シート!$J$24,'従業員情報(給与以外)'!$C89)/365,入力リスト!$K$18:$L$26,2,2))</f>
        <v/>
      </c>
      <c r="R89" s="209" t="str">
        <f>IF(D89="","",VLOOKUP('従業員情報(給与以外)'!$D89,入力シート!$AW$37:$BB$38,4,0))</f>
        <v/>
      </c>
      <c r="S89" s="209" t="str">
        <f>IF(A89="","",IF(E89="","非役職",VLOOKUP('従業員情報(給与以外)'!$E89,入力シート!$AH$37:$AO$62,5,0)))</f>
        <v/>
      </c>
      <c r="T89" s="102" t="str">
        <f>IF(OR(入力シート!$C$5&lt;&gt;入力リスト!$C$3,COUNTIF(入力シート!$J$16:$S$23,入力リスト!$H$9)=0),"",IF($A89="","",IF(ISERROR(AVERAGEIF(従業員の給与情報!$B:$B,$A89,従業員の給与情報!$C:$C)),0,IF(ISERROR(AVERAGEIF(従業員の給与情報!$B:$B,$A89,従業員の給与情報!$C:$C)),0,AVERAGEIF(従業員の給与情報!$B:$B,$A89,従業員の給与情報!$C:$C)))))</f>
        <v/>
      </c>
      <c r="U89" s="102" t="str">
        <f>IF(OR(入力シート!$C$5&lt;&gt;入力リスト!$C$3,COUNTIF(入力シート!$J$16:$S$23,入力リスト!$H$9)=0),"",IF(A89="","",IF(ISERROR(AVERAGEIF(従業員の給与情報!$B:$B,$A89,従業員の給与情報!$D:$D)),0,IF(ISERROR(AVERAGEIF(従業員の給与情報!$B:$B,$A89,従業員の給与情報!$D:$D)),0,AVERAGEIF(従業員の給与情報!$B:$B,$A89,従業員の給与情報!$D:$D)))))</f>
        <v/>
      </c>
      <c r="V89" s="102" t="str">
        <f>IF(OR(入力シート!$C$5&lt;&gt;入力リスト!$C$3,COUNTIF(入力シート!$J$16:$S$23,入力リスト!$H$9)=0),"",IF(A89="","",IF(ISERROR(AVERAGEIF(従業員の給与情報!$B:$B,$A89,従業員の給与情報!$E:$E)),0,IF(ISERROR(AVERAGEIF(従業員の給与情報!$B:$B,$A89,従業員の給与情報!$E:$E)),0,AVERAGEIF(従業員の給与情報!$B:$B,$A89,従業員の給与情報!$E:$E)))))</f>
        <v/>
      </c>
      <c r="W89" s="103" t="str">
        <f>IF(OR(入力シート!$C$5&lt;&gt;入力リスト!$C$3,COUNTIF(入力シート!$J$16:$S$23,入力リスト!$H$9)=0),"",IF(A89="","",IF(ISERROR(AVERAGEIF(従業員の給与情報!$B:$B,$A89,従業員の給与情報!$F:$F)),0,IF(ISERROR(AVERAGEIF(従業員の給与情報!$B:$B,$A89,従業員の給与情報!$F:$F)),0,AVERAGEIF(従業員の給与情報!$B:$B,$A89,従業員の給与情報!$F:$F)))))</f>
        <v/>
      </c>
    </row>
    <row r="90" spans="1:23" s="10" customFormat="1" ht="19.8">
      <c r="A90" s="252"/>
      <c r="B90" s="249"/>
      <c r="C90" s="250"/>
      <c r="D90" s="251"/>
      <c r="E90" s="252"/>
      <c r="F90" s="257" t="str">
        <f>IF($G$1,"",IF(COUNTIF(A90:E90,"")=5,"",IF(G90,入力リスト!$K$28,IF(OR(A90="",B90="",IF(COUNTIF($C$3,"*不要*"),"",C90=""),D90=""),IF(A90="","従業員番号","")&amp;IF(B90="","「雇用形態」","")&amp;IF(OR(入力シート!$J$18=入力リスト!$H$9,入力シート!$J$22=入力リスト!$H$9),IF(C90="","「入社年月日」",""),"")&amp;IF(D90="","「性別」","")&amp;IF(IF(A90="","従業員番号","")&amp;IF(B90="","「雇用形態」","")&amp;IF(OR(入力シート!$J$18=入力リスト!$H$9,入力シート!$J$22=入力リスト!$H$9),IF(C90="","「入社年月日」",""),"")&amp;IF(D90="","「性別」","")="","",入力リスト!$K$29),IF(J90,入力リスト!$K$30,"")&amp;IF(I90,入力リスト!$K$31,"")&amp;IF(H90,"「雇用形態」","")&amp;IF(K90,"「性別」","")&amp;IF(L90,"「役職」","")&amp;IF(OR(H90,K90,L90),入力リスト!$K$32,"")))))</f>
        <v/>
      </c>
      <c r="G90" s="209" t="b">
        <f>COUNTIF($A$4:A89,$A90)&gt;0</f>
        <v>0</v>
      </c>
      <c r="H90" s="210" t="b">
        <f>IF($H$1,FALSE,COUNTIF(入力シート!$S$37:$V$62,B90)=0)</f>
        <v>0</v>
      </c>
      <c r="I90" s="210" t="b">
        <f t="shared" si="4"/>
        <v>0</v>
      </c>
      <c r="J90" s="210" t="b">
        <f>IF($J$1,FALSE,IF(I90=TRUE,FALSE,IF(I90,FALSE,C90&gt;入力シート!$J$24)))</f>
        <v>0</v>
      </c>
      <c r="K90" s="210" t="b">
        <f>IF($K$1,FALSE,COUNTIF(入力シート!$AW$37:$BB$38,D90)=0)</f>
        <v>0</v>
      </c>
      <c r="L90" s="210" t="b">
        <f>IF($L$1,FALSE,IF($L$3,FALSE,IF(E90="",FALSE,COUNTIF(入力シート!$AH$37:$AK$62,E90)=0)))</f>
        <v>0</v>
      </c>
      <c r="M90" s="211" t="str">
        <f t="shared" si="3"/>
        <v/>
      </c>
      <c r="N90" s="211"/>
      <c r="O90" s="209" t="str">
        <f>IF(B90="","",VLOOKUP('従業員情報(給与以外)'!$B90,入力シート!$S$37:$Z$62,5,0))</f>
        <v/>
      </c>
      <c r="P90" s="156" t="str">
        <f>IF(ISNUMBER(C90)=FALSE,"",IF(C90&gt;入力シート!$J$24,"",_xlfn.DAYS(入力シート!$J$24,'従業員情報(給与以外)'!$C90)/365))</f>
        <v/>
      </c>
      <c r="Q90" s="210" t="str">
        <f>IF(P90="","",VLOOKUP(_xlfn.DAYS(入力シート!$J$24,'従業員情報(給与以外)'!$C90)/365,入力リスト!$K$18:$L$26,2,2))</f>
        <v/>
      </c>
      <c r="R90" s="209" t="str">
        <f>IF(D90="","",VLOOKUP('従業員情報(給与以外)'!$D90,入力シート!$AW$37:$BB$38,4,0))</f>
        <v/>
      </c>
      <c r="S90" s="209" t="str">
        <f>IF(A90="","",IF(E90="","非役職",VLOOKUP('従業員情報(給与以外)'!$E90,入力シート!$AH$37:$AO$62,5,0)))</f>
        <v/>
      </c>
      <c r="T90" s="102" t="str">
        <f>IF(OR(入力シート!$C$5&lt;&gt;入力リスト!$C$3,COUNTIF(入力シート!$J$16:$S$23,入力リスト!$H$9)=0),"",IF($A90="","",IF(ISERROR(AVERAGEIF(従業員の給与情報!$B:$B,$A90,従業員の給与情報!$C:$C)),0,IF(ISERROR(AVERAGEIF(従業員の給与情報!$B:$B,$A90,従業員の給与情報!$C:$C)),0,AVERAGEIF(従業員の給与情報!$B:$B,$A90,従業員の給与情報!$C:$C)))))</f>
        <v/>
      </c>
      <c r="U90" s="102" t="str">
        <f>IF(OR(入力シート!$C$5&lt;&gt;入力リスト!$C$3,COUNTIF(入力シート!$J$16:$S$23,入力リスト!$H$9)=0),"",IF(A90="","",IF(ISERROR(AVERAGEIF(従業員の給与情報!$B:$B,$A90,従業員の給与情報!$D:$D)),0,IF(ISERROR(AVERAGEIF(従業員の給与情報!$B:$B,$A90,従業員の給与情報!$D:$D)),0,AVERAGEIF(従業員の給与情報!$B:$B,$A90,従業員の給与情報!$D:$D)))))</f>
        <v/>
      </c>
      <c r="V90" s="102" t="str">
        <f>IF(OR(入力シート!$C$5&lt;&gt;入力リスト!$C$3,COUNTIF(入力シート!$J$16:$S$23,入力リスト!$H$9)=0),"",IF(A90="","",IF(ISERROR(AVERAGEIF(従業員の給与情報!$B:$B,$A90,従業員の給与情報!$E:$E)),0,IF(ISERROR(AVERAGEIF(従業員の給与情報!$B:$B,$A90,従業員の給与情報!$E:$E)),0,AVERAGEIF(従業員の給与情報!$B:$B,$A90,従業員の給与情報!$E:$E)))))</f>
        <v/>
      </c>
      <c r="W90" s="103" t="str">
        <f>IF(OR(入力シート!$C$5&lt;&gt;入力リスト!$C$3,COUNTIF(入力シート!$J$16:$S$23,入力リスト!$H$9)=0),"",IF(A90="","",IF(ISERROR(AVERAGEIF(従業員の給与情報!$B:$B,$A90,従業員の給与情報!$F:$F)),0,IF(ISERROR(AVERAGEIF(従業員の給与情報!$B:$B,$A90,従業員の給与情報!$F:$F)),0,AVERAGEIF(従業員の給与情報!$B:$B,$A90,従業員の給与情報!$F:$F)))))</f>
        <v/>
      </c>
    </row>
    <row r="91" spans="1:23" s="10" customFormat="1" ht="19.8">
      <c r="A91" s="252"/>
      <c r="B91" s="249"/>
      <c r="C91" s="250"/>
      <c r="D91" s="251"/>
      <c r="E91" s="252"/>
      <c r="F91" s="257" t="str">
        <f>IF($G$1,"",IF(COUNTIF(A91:E91,"")=5,"",IF(G91,入力リスト!$K$28,IF(OR(A91="",B91="",IF(COUNTIF($C$3,"*不要*"),"",C91=""),D91=""),IF(A91="","従業員番号","")&amp;IF(B91="","「雇用形態」","")&amp;IF(OR(入力シート!$J$18=入力リスト!$H$9,入力シート!$J$22=入力リスト!$H$9),IF(C91="","「入社年月日」",""),"")&amp;IF(D91="","「性別」","")&amp;IF(IF(A91="","従業員番号","")&amp;IF(B91="","「雇用形態」","")&amp;IF(OR(入力シート!$J$18=入力リスト!$H$9,入力シート!$J$22=入力リスト!$H$9),IF(C91="","「入社年月日」",""),"")&amp;IF(D91="","「性別」","")="","",入力リスト!$K$29),IF(J91,入力リスト!$K$30,"")&amp;IF(I91,入力リスト!$K$31,"")&amp;IF(H91,"「雇用形態」","")&amp;IF(K91,"「性別」","")&amp;IF(L91,"「役職」","")&amp;IF(OR(H91,K91,L91),入力リスト!$K$32,"")))))</f>
        <v/>
      </c>
      <c r="G91" s="209" t="b">
        <f>COUNTIF($A$4:A90,$A91)&gt;0</f>
        <v>0</v>
      </c>
      <c r="H91" s="210" t="b">
        <f>IF($H$1,FALSE,COUNTIF(入力シート!$S$37:$V$62,B91)=0)</f>
        <v>0</v>
      </c>
      <c r="I91" s="210" t="b">
        <f t="shared" si="4"/>
        <v>0</v>
      </c>
      <c r="J91" s="210" t="b">
        <f>IF($J$1,FALSE,IF(I91=TRUE,FALSE,IF(I91,FALSE,C91&gt;入力シート!$J$24)))</f>
        <v>0</v>
      </c>
      <c r="K91" s="210" t="b">
        <f>IF($K$1,FALSE,COUNTIF(入力シート!$AW$37:$BB$38,D91)=0)</f>
        <v>0</v>
      </c>
      <c r="L91" s="210" t="b">
        <f>IF($L$1,FALSE,IF($L$3,FALSE,IF(E91="",FALSE,COUNTIF(入力シート!$AH$37:$AK$62,E91)=0)))</f>
        <v>0</v>
      </c>
      <c r="M91" s="211" t="str">
        <f t="shared" si="3"/>
        <v/>
      </c>
      <c r="N91" s="211"/>
      <c r="O91" s="209" t="str">
        <f>IF(B91="","",VLOOKUP('従業員情報(給与以外)'!$B91,入力シート!$S$37:$Z$62,5,0))</f>
        <v/>
      </c>
      <c r="P91" s="156" t="str">
        <f>IF(ISNUMBER(C91)=FALSE,"",IF(C91&gt;入力シート!$J$24,"",_xlfn.DAYS(入力シート!$J$24,'従業員情報(給与以外)'!$C91)/365))</f>
        <v/>
      </c>
      <c r="Q91" s="210" t="str">
        <f>IF(P91="","",VLOOKUP(_xlfn.DAYS(入力シート!$J$24,'従業員情報(給与以外)'!$C91)/365,入力リスト!$K$18:$L$26,2,2))</f>
        <v/>
      </c>
      <c r="R91" s="209" t="str">
        <f>IF(D91="","",VLOOKUP('従業員情報(給与以外)'!$D91,入力シート!$AW$37:$BB$38,4,0))</f>
        <v/>
      </c>
      <c r="S91" s="209" t="str">
        <f>IF(A91="","",IF(E91="","非役職",VLOOKUP('従業員情報(給与以外)'!$E91,入力シート!$AH$37:$AO$62,5,0)))</f>
        <v/>
      </c>
      <c r="T91" s="102" t="str">
        <f>IF(OR(入力シート!$C$5&lt;&gt;入力リスト!$C$3,COUNTIF(入力シート!$J$16:$S$23,入力リスト!$H$9)=0),"",IF($A91="","",IF(ISERROR(AVERAGEIF(従業員の給与情報!$B:$B,$A91,従業員の給与情報!$C:$C)),0,IF(ISERROR(AVERAGEIF(従業員の給与情報!$B:$B,$A91,従業員の給与情報!$C:$C)),0,AVERAGEIF(従業員の給与情報!$B:$B,$A91,従業員の給与情報!$C:$C)))))</f>
        <v/>
      </c>
      <c r="U91" s="102" t="str">
        <f>IF(OR(入力シート!$C$5&lt;&gt;入力リスト!$C$3,COUNTIF(入力シート!$J$16:$S$23,入力リスト!$H$9)=0),"",IF(A91="","",IF(ISERROR(AVERAGEIF(従業員の給与情報!$B:$B,$A91,従業員の給与情報!$D:$D)),0,IF(ISERROR(AVERAGEIF(従業員の給与情報!$B:$B,$A91,従業員の給与情報!$D:$D)),0,AVERAGEIF(従業員の給与情報!$B:$B,$A91,従業員の給与情報!$D:$D)))))</f>
        <v/>
      </c>
      <c r="V91" s="102" t="str">
        <f>IF(OR(入力シート!$C$5&lt;&gt;入力リスト!$C$3,COUNTIF(入力シート!$J$16:$S$23,入力リスト!$H$9)=0),"",IF(A91="","",IF(ISERROR(AVERAGEIF(従業員の給与情報!$B:$B,$A91,従業員の給与情報!$E:$E)),0,IF(ISERROR(AVERAGEIF(従業員の給与情報!$B:$B,$A91,従業員の給与情報!$E:$E)),0,AVERAGEIF(従業員の給与情報!$B:$B,$A91,従業員の給与情報!$E:$E)))))</f>
        <v/>
      </c>
      <c r="W91" s="103" t="str">
        <f>IF(OR(入力シート!$C$5&lt;&gt;入力リスト!$C$3,COUNTIF(入力シート!$J$16:$S$23,入力リスト!$H$9)=0),"",IF(A91="","",IF(ISERROR(AVERAGEIF(従業員の給与情報!$B:$B,$A91,従業員の給与情報!$F:$F)),0,IF(ISERROR(AVERAGEIF(従業員の給与情報!$B:$B,$A91,従業員の給与情報!$F:$F)),0,AVERAGEIF(従業員の給与情報!$B:$B,$A91,従業員の給与情報!$F:$F)))))</f>
        <v/>
      </c>
    </row>
    <row r="92" spans="1:23" s="10" customFormat="1" ht="19.8">
      <c r="A92" s="252"/>
      <c r="B92" s="249"/>
      <c r="C92" s="250"/>
      <c r="D92" s="251"/>
      <c r="E92" s="252"/>
      <c r="F92" s="257" t="str">
        <f>IF($G$1,"",IF(COUNTIF(A92:E92,"")=5,"",IF(G92,入力リスト!$K$28,IF(OR(A92="",B92="",IF(COUNTIF($C$3,"*不要*"),"",C92=""),D92=""),IF(A92="","従業員番号","")&amp;IF(B92="","「雇用形態」","")&amp;IF(OR(入力シート!$J$18=入力リスト!$H$9,入力シート!$J$22=入力リスト!$H$9),IF(C92="","「入社年月日」",""),"")&amp;IF(D92="","「性別」","")&amp;IF(IF(A92="","従業員番号","")&amp;IF(B92="","「雇用形態」","")&amp;IF(OR(入力シート!$J$18=入力リスト!$H$9,入力シート!$J$22=入力リスト!$H$9),IF(C92="","「入社年月日」",""),"")&amp;IF(D92="","「性別」","")="","",入力リスト!$K$29),IF(J92,入力リスト!$K$30,"")&amp;IF(I92,入力リスト!$K$31,"")&amp;IF(H92,"「雇用形態」","")&amp;IF(K92,"「性別」","")&amp;IF(L92,"「役職」","")&amp;IF(OR(H92,K92,L92),入力リスト!$K$32,"")))))</f>
        <v/>
      </c>
      <c r="G92" s="209" t="b">
        <f>COUNTIF($A$4:A91,$A92)&gt;0</f>
        <v>0</v>
      </c>
      <c r="H92" s="210" t="b">
        <f>IF($H$1,FALSE,COUNTIF(入力シート!$S$37:$V$62,B92)=0)</f>
        <v>0</v>
      </c>
      <c r="I92" s="210" t="b">
        <f t="shared" si="4"/>
        <v>0</v>
      </c>
      <c r="J92" s="210" t="b">
        <f>IF($J$1,FALSE,IF(I92=TRUE,FALSE,IF(I92,FALSE,C92&gt;入力シート!$J$24)))</f>
        <v>0</v>
      </c>
      <c r="K92" s="210" t="b">
        <f>IF($K$1,FALSE,COUNTIF(入力シート!$AW$37:$BB$38,D92)=0)</f>
        <v>0</v>
      </c>
      <c r="L92" s="210" t="b">
        <f>IF($L$1,FALSE,IF($L$3,FALSE,IF(E92="",FALSE,COUNTIF(入力シート!$AH$37:$AK$62,E92)=0)))</f>
        <v>0</v>
      </c>
      <c r="M92" s="211" t="str">
        <f t="shared" si="3"/>
        <v/>
      </c>
      <c r="N92" s="211"/>
      <c r="O92" s="209" t="str">
        <f>IF(B92="","",VLOOKUP('従業員情報(給与以外)'!$B92,入力シート!$S$37:$Z$62,5,0))</f>
        <v/>
      </c>
      <c r="P92" s="156" t="str">
        <f>IF(ISNUMBER(C92)=FALSE,"",IF(C92&gt;入力シート!$J$24,"",_xlfn.DAYS(入力シート!$J$24,'従業員情報(給与以外)'!$C92)/365))</f>
        <v/>
      </c>
      <c r="Q92" s="210" t="str">
        <f>IF(P92="","",VLOOKUP(_xlfn.DAYS(入力シート!$J$24,'従業員情報(給与以外)'!$C92)/365,入力リスト!$K$18:$L$26,2,2))</f>
        <v/>
      </c>
      <c r="R92" s="209" t="str">
        <f>IF(D92="","",VLOOKUP('従業員情報(給与以外)'!$D92,入力シート!$AW$37:$BB$38,4,0))</f>
        <v/>
      </c>
      <c r="S92" s="209" t="str">
        <f>IF(A92="","",IF(E92="","非役職",VLOOKUP('従業員情報(給与以外)'!$E92,入力シート!$AH$37:$AO$62,5,0)))</f>
        <v/>
      </c>
      <c r="T92" s="102" t="str">
        <f>IF(OR(入力シート!$C$5&lt;&gt;入力リスト!$C$3,COUNTIF(入力シート!$J$16:$S$23,入力リスト!$H$9)=0),"",IF($A92="","",IF(ISERROR(AVERAGEIF(従業員の給与情報!$B:$B,$A92,従業員の給与情報!$C:$C)),0,IF(ISERROR(AVERAGEIF(従業員の給与情報!$B:$B,$A92,従業員の給与情報!$C:$C)),0,AVERAGEIF(従業員の給与情報!$B:$B,$A92,従業員の給与情報!$C:$C)))))</f>
        <v/>
      </c>
      <c r="U92" s="102" t="str">
        <f>IF(OR(入力シート!$C$5&lt;&gt;入力リスト!$C$3,COUNTIF(入力シート!$J$16:$S$23,入力リスト!$H$9)=0),"",IF(A92="","",IF(ISERROR(AVERAGEIF(従業員の給与情報!$B:$B,$A92,従業員の給与情報!$D:$D)),0,IF(ISERROR(AVERAGEIF(従業員の給与情報!$B:$B,$A92,従業員の給与情報!$D:$D)),0,AVERAGEIF(従業員の給与情報!$B:$B,$A92,従業員の給与情報!$D:$D)))))</f>
        <v/>
      </c>
      <c r="V92" s="102" t="str">
        <f>IF(OR(入力シート!$C$5&lt;&gt;入力リスト!$C$3,COUNTIF(入力シート!$J$16:$S$23,入力リスト!$H$9)=0),"",IF(A92="","",IF(ISERROR(AVERAGEIF(従業員の給与情報!$B:$B,$A92,従業員の給与情報!$E:$E)),0,IF(ISERROR(AVERAGEIF(従業員の給与情報!$B:$B,$A92,従業員の給与情報!$E:$E)),0,AVERAGEIF(従業員の給与情報!$B:$B,$A92,従業員の給与情報!$E:$E)))))</f>
        <v/>
      </c>
      <c r="W92" s="103" t="str">
        <f>IF(OR(入力シート!$C$5&lt;&gt;入力リスト!$C$3,COUNTIF(入力シート!$J$16:$S$23,入力リスト!$H$9)=0),"",IF(A92="","",IF(ISERROR(AVERAGEIF(従業員の給与情報!$B:$B,$A92,従業員の給与情報!$F:$F)),0,IF(ISERROR(AVERAGEIF(従業員の給与情報!$B:$B,$A92,従業員の給与情報!$F:$F)),0,AVERAGEIF(従業員の給与情報!$B:$B,$A92,従業員の給与情報!$F:$F)))))</f>
        <v/>
      </c>
    </row>
    <row r="93" spans="1:23" s="10" customFormat="1" ht="19.8">
      <c r="A93" s="252"/>
      <c r="B93" s="249"/>
      <c r="C93" s="250"/>
      <c r="D93" s="251"/>
      <c r="E93" s="252"/>
      <c r="F93" s="257" t="str">
        <f>IF($G$1,"",IF(COUNTIF(A93:E93,"")=5,"",IF(G93,入力リスト!$K$28,IF(OR(A93="",B93="",IF(COUNTIF($C$3,"*不要*"),"",C93=""),D93=""),IF(A93="","従業員番号","")&amp;IF(B93="","「雇用形態」","")&amp;IF(OR(入力シート!$J$18=入力リスト!$H$9,入力シート!$J$22=入力リスト!$H$9),IF(C93="","「入社年月日」",""),"")&amp;IF(D93="","「性別」","")&amp;IF(IF(A93="","従業員番号","")&amp;IF(B93="","「雇用形態」","")&amp;IF(OR(入力シート!$J$18=入力リスト!$H$9,入力シート!$J$22=入力リスト!$H$9),IF(C93="","「入社年月日」",""),"")&amp;IF(D93="","「性別」","")="","",入力リスト!$K$29),IF(J93,入力リスト!$K$30,"")&amp;IF(I93,入力リスト!$K$31,"")&amp;IF(H93,"「雇用形態」","")&amp;IF(K93,"「性別」","")&amp;IF(L93,"「役職」","")&amp;IF(OR(H93,K93,L93),入力リスト!$K$32,"")))))</f>
        <v/>
      </c>
      <c r="G93" s="209" t="b">
        <f>COUNTIF($A$4:A92,$A93)&gt;0</f>
        <v>0</v>
      </c>
      <c r="H93" s="210" t="b">
        <f>IF($H$1,FALSE,COUNTIF(入力シート!$S$37:$V$62,B93)=0)</f>
        <v>0</v>
      </c>
      <c r="I93" s="210" t="b">
        <f t="shared" si="4"/>
        <v>0</v>
      </c>
      <c r="J93" s="210" t="b">
        <f>IF($J$1,FALSE,IF(I93=TRUE,FALSE,IF(I93,FALSE,C93&gt;入力シート!$J$24)))</f>
        <v>0</v>
      </c>
      <c r="K93" s="210" t="b">
        <f>IF($K$1,FALSE,COUNTIF(入力シート!$AW$37:$BB$38,D93)=0)</f>
        <v>0</v>
      </c>
      <c r="L93" s="210" t="b">
        <f>IF($L$1,FALSE,IF($L$3,FALSE,IF(E93="",FALSE,COUNTIF(入力シート!$AH$37:$AK$62,E93)=0)))</f>
        <v>0</v>
      </c>
      <c r="M93" s="211" t="str">
        <f t="shared" si="3"/>
        <v/>
      </c>
      <c r="N93" s="211"/>
      <c r="O93" s="209" t="str">
        <f>IF(B93="","",VLOOKUP('従業員情報(給与以外)'!$B93,入力シート!$S$37:$Z$62,5,0))</f>
        <v/>
      </c>
      <c r="P93" s="156" t="str">
        <f>IF(ISNUMBER(C93)=FALSE,"",IF(C93&gt;入力シート!$J$24,"",_xlfn.DAYS(入力シート!$J$24,'従業員情報(給与以外)'!$C93)/365))</f>
        <v/>
      </c>
      <c r="Q93" s="210" t="str">
        <f>IF(P93="","",VLOOKUP(_xlfn.DAYS(入力シート!$J$24,'従業員情報(給与以外)'!$C93)/365,入力リスト!$K$18:$L$26,2,2))</f>
        <v/>
      </c>
      <c r="R93" s="209" t="str">
        <f>IF(D93="","",VLOOKUP('従業員情報(給与以外)'!$D93,入力シート!$AW$37:$BB$38,4,0))</f>
        <v/>
      </c>
      <c r="S93" s="209" t="str">
        <f>IF(A93="","",IF(E93="","非役職",VLOOKUP('従業員情報(給与以外)'!$E93,入力シート!$AH$37:$AO$62,5,0)))</f>
        <v/>
      </c>
      <c r="T93" s="102" t="str">
        <f>IF(OR(入力シート!$C$5&lt;&gt;入力リスト!$C$3,COUNTIF(入力シート!$J$16:$S$23,入力リスト!$H$9)=0),"",IF($A93="","",IF(ISERROR(AVERAGEIF(従業員の給与情報!$B:$B,$A93,従業員の給与情報!$C:$C)),0,IF(ISERROR(AVERAGEIF(従業員の給与情報!$B:$B,$A93,従業員の給与情報!$C:$C)),0,AVERAGEIF(従業員の給与情報!$B:$B,$A93,従業員の給与情報!$C:$C)))))</f>
        <v/>
      </c>
      <c r="U93" s="102" t="str">
        <f>IF(OR(入力シート!$C$5&lt;&gt;入力リスト!$C$3,COUNTIF(入力シート!$J$16:$S$23,入力リスト!$H$9)=0),"",IF(A93="","",IF(ISERROR(AVERAGEIF(従業員の給与情報!$B:$B,$A93,従業員の給与情報!$D:$D)),0,IF(ISERROR(AVERAGEIF(従業員の給与情報!$B:$B,$A93,従業員の給与情報!$D:$D)),0,AVERAGEIF(従業員の給与情報!$B:$B,$A93,従業員の給与情報!$D:$D)))))</f>
        <v/>
      </c>
      <c r="V93" s="102" t="str">
        <f>IF(OR(入力シート!$C$5&lt;&gt;入力リスト!$C$3,COUNTIF(入力シート!$J$16:$S$23,入力リスト!$H$9)=0),"",IF(A93="","",IF(ISERROR(AVERAGEIF(従業員の給与情報!$B:$B,$A93,従業員の給与情報!$E:$E)),0,IF(ISERROR(AVERAGEIF(従業員の給与情報!$B:$B,$A93,従業員の給与情報!$E:$E)),0,AVERAGEIF(従業員の給与情報!$B:$B,$A93,従業員の給与情報!$E:$E)))))</f>
        <v/>
      </c>
      <c r="W93" s="103" t="str">
        <f>IF(OR(入力シート!$C$5&lt;&gt;入力リスト!$C$3,COUNTIF(入力シート!$J$16:$S$23,入力リスト!$H$9)=0),"",IF(A93="","",IF(ISERROR(AVERAGEIF(従業員の給与情報!$B:$B,$A93,従業員の給与情報!$F:$F)),0,IF(ISERROR(AVERAGEIF(従業員の給与情報!$B:$B,$A93,従業員の給与情報!$F:$F)),0,AVERAGEIF(従業員の給与情報!$B:$B,$A93,従業員の給与情報!$F:$F)))))</f>
        <v/>
      </c>
    </row>
    <row r="94" spans="1:23" s="10" customFormat="1" ht="19.8">
      <c r="A94" s="252"/>
      <c r="B94" s="249"/>
      <c r="C94" s="250"/>
      <c r="D94" s="251"/>
      <c r="E94" s="252"/>
      <c r="F94" s="257" t="str">
        <f>IF($G$1,"",IF(COUNTIF(A94:E94,"")=5,"",IF(G94,入力リスト!$K$28,IF(OR(A94="",B94="",IF(COUNTIF($C$3,"*不要*"),"",C94=""),D94=""),IF(A94="","従業員番号","")&amp;IF(B94="","「雇用形態」","")&amp;IF(OR(入力シート!$J$18=入力リスト!$H$9,入力シート!$J$22=入力リスト!$H$9),IF(C94="","「入社年月日」",""),"")&amp;IF(D94="","「性別」","")&amp;IF(IF(A94="","従業員番号","")&amp;IF(B94="","「雇用形態」","")&amp;IF(OR(入力シート!$J$18=入力リスト!$H$9,入力シート!$J$22=入力リスト!$H$9),IF(C94="","「入社年月日」",""),"")&amp;IF(D94="","「性別」","")="","",入力リスト!$K$29),IF(J94,入力リスト!$K$30,"")&amp;IF(I94,入力リスト!$K$31,"")&amp;IF(H94,"「雇用形態」","")&amp;IF(K94,"「性別」","")&amp;IF(L94,"「役職」","")&amp;IF(OR(H94,K94,L94),入力リスト!$K$32,"")))))</f>
        <v/>
      </c>
      <c r="G94" s="209" t="b">
        <f>COUNTIF($A$4:A93,$A94)&gt;0</f>
        <v>0</v>
      </c>
      <c r="H94" s="210" t="b">
        <f>IF($H$1,FALSE,COUNTIF(入力シート!$S$37:$V$62,B94)=0)</f>
        <v>0</v>
      </c>
      <c r="I94" s="210" t="b">
        <f t="shared" si="4"/>
        <v>0</v>
      </c>
      <c r="J94" s="210" t="b">
        <f>IF($J$1,FALSE,IF(I94=TRUE,FALSE,IF(I94,FALSE,C94&gt;入力シート!$J$24)))</f>
        <v>0</v>
      </c>
      <c r="K94" s="210" t="b">
        <f>IF($K$1,FALSE,COUNTIF(入力シート!$AW$37:$BB$38,D94)=0)</f>
        <v>0</v>
      </c>
      <c r="L94" s="210" t="b">
        <f>IF($L$1,FALSE,IF($L$3,FALSE,IF(E94="",FALSE,COUNTIF(入力シート!$AH$37:$AK$62,E94)=0)))</f>
        <v>0</v>
      </c>
      <c r="M94" s="211" t="str">
        <f t="shared" si="3"/>
        <v/>
      </c>
      <c r="N94" s="211"/>
      <c r="O94" s="209" t="str">
        <f>IF(B94="","",VLOOKUP('従業員情報(給与以外)'!$B94,入力シート!$S$37:$Z$62,5,0))</f>
        <v/>
      </c>
      <c r="P94" s="156" t="str">
        <f>IF(ISNUMBER(C94)=FALSE,"",IF(C94&gt;入力シート!$J$24,"",_xlfn.DAYS(入力シート!$J$24,'従業員情報(給与以外)'!$C94)/365))</f>
        <v/>
      </c>
      <c r="Q94" s="210" t="str">
        <f>IF(P94="","",VLOOKUP(_xlfn.DAYS(入力シート!$J$24,'従業員情報(給与以外)'!$C94)/365,入力リスト!$K$18:$L$26,2,2))</f>
        <v/>
      </c>
      <c r="R94" s="209" t="str">
        <f>IF(D94="","",VLOOKUP('従業員情報(給与以外)'!$D94,入力シート!$AW$37:$BB$38,4,0))</f>
        <v/>
      </c>
      <c r="S94" s="209" t="str">
        <f>IF(A94="","",IF(E94="","非役職",VLOOKUP('従業員情報(給与以外)'!$E94,入力シート!$AH$37:$AO$62,5,0)))</f>
        <v/>
      </c>
      <c r="T94" s="102" t="str">
        <f>IF(OR(入力シート!$C$5&lt;&gt;入力リスト!$C$3,COUNTIF(入力シート!$J$16:$S$23,入力リスト!$H$9)=0),"",IF($A94="","",IF(ISERROR(AVERAGEIF(従業員の給与情報!$B:$B,$A94,従業員の給与情報!$C:$C)),0,IF(ISERROR(AVERAGEIF(従業員の給与情報!$B:$B,$A94,従業員の給与情報!$C:$C)),0,AVERAGEIF(従業員の給与情報!$B:$B,$A94,従業員の給与情報!$C:$C)))))</f>
        <v/>
      </c>
      <c r="U94" s="102" t="str">
        <f>IF(OR(入力シート!$C$5&lt;&gt;入力リスト!$C$3,COUNTIF(入力シート!$J$16:$S$23,入力リスト!$H$9)=0),"",IF(A94="","",IF(ISERROR(AVERAGEIF(従業員の給与情報!$B:$B,$A94,従業員の給与情報!$D:$D)),0,IF(ISERROR(AVERAGEIF(従業員の給与情報!$B:$B,$A94,従業員の給与情報!$D:$D)),0,AVERAGEIF(従業員の給与情報!$B:$B,$A94,従業員の給与情報!$D:$D)))))</f>
        <v/>
      </c>
      <c r="V94" s="102" t="str">
        <f>IF(OR(入力シート!$C$5&lt;&gt;入力リスト!$C$3,COUNTIF(入力シート!$J$16:$S$23,入力リスト!$H$9)=0),"",IF(A94="","",IF(ISERROR(AVERAGEIF(従業員の給与情報!$B:$B,$A94,従業員の給与情報!$E:$E)),0,IF(ISERROR(AVERAGEIF(従業員の給与情報!$B:$B,$A94,従業員の給与情報!$E:$E)),0,AVERAGEIF(従業員の給与情報!$B:$B,$A94,従業員の給与情報!$E:$E)))))</f>
        <v/>
      </c>
      <c r="W94" s="103" t="str">
        <f>IF(OR(入力シート!$C$5&lt;&gt;入力リスト!$C$3,COUNTIF(入力シート!$J$16:$S$23,入力リスト!$H$9)=0),"",IF(A94="","",IF(ISERROR(AVERAGEIF(従業員の給与情報!$B:$B,$A94,従業員の給与情報!$F:$F)),0,IF(ISERROR(AVERAGEIF(従業員の給与情報!$B:$B,$A94,従業員の給与情報!$F:$F)),0,AVERAGEIF(従業員の給与情報!$B:$B,$A94,従業員の給与情報!$F:$F)))))</f>
        <v/>
      </c>
    </row>
    <row r="95" spans="1:23" s="10" customFormat="1" ht="19.8">
      <c r="A95" s="252"/>
      <c r="B95" s="249"/>
      <c r="C95" s="250"/>
      <c r="D95" s="251"/>
      <c r="E95" s="252"/>
      <c r="F95" s="257" t="str">
        <f>IF($G$1,"",IF(COUNTIF(A95:E95,"")=5,"",IF(G95,入力リスト!$K$28,IF(OR(A95="",B95="",IF(COUNTIF($C$3,"*不要*"),"",C95=""),D95=""),IF(A95="","従業員番号","")&amp;IF(B95="","「雇用形態」","")&amp;IF(OR(入力シート!$J$18=入力リスト!$H$9,入力シート!$J$22=入力リスト!$H$9),IF(C95="","「入社年月日」",""),"")&amp;IF(D95="","「性別」","")&amp;IF(IF(A95="","従業員番号","")&amp;IF(B95="","「雇用形態」","")&amp;IF(OR(入力シート!$J$18=入力リスト!$H$9,入力シート!$J$22=入力リスト!$H$9),IF(C95="","「入社年月日」",""),"")&amp;IF(D95="","「性別」","")="","",入力リスト!$K$29),IF(J95,入力リスト!$K$30,"")&amp;IF(I95,入力リスト!$K$31,"")&amp;IF(H95,"「雇用形態」","")&amp;IF(K95,"「性別」","")&amp;IF(L95,"「役職」","")&amp;IF(OR(H95,K95,L95),入力リスト!$K$32,"")))))</f>
        <v/>
      </c>
      <c r="G95" s="209" t="b">
        <f>COUNTIF($A$4:A94,$A95)&gt;0</f>
        <v>0</v>
      </c>
      <c r="H95" s="210" t="b">
        <f>IF($H$1,FALSE,COUNTIF(入力シート!$S$37:$V$62,B95)=0)</f>
        <v>0</v>
      </c>
      <c r="I95" s="210" t="b">
        <f t="shared" si="4"/>
        <v>0</v>
      </c>
      <c r="J95" s="210" t="b">
        <f>IF($J$1,FALSE,IF(I95=TRUE,FALSE,IF(I95,FALSE,C95&gt;入力シート!$J$24)))</f>
        <v>0</v>
      </c>
      <c r="K95" s="210" t="b">
        <f>IF($K$1,FALSE,COUNTIF(入力シート!$AW$37:$BB$38,D95)=0)</f>
        <v>0</v>
      </c>
      <c r="L95" s="210" t="b">
        <f>IF($L$1,FALSE,IF($L$3,FALSE,IF(E95="",FALSE,COUNTIF(入力シート!$AH$37:$AK$62,E95)=0)))</f>
        <v>0</v>
      </c>
      <c r="M95" s="211" t="str">
        <f t="shared" si="3"/>
        <v/>
      </c>
      <c r="N95" s="211"/>
      <c r="O95" s="209" t="str">
        <f>IF(B95="","",VLOOKUP('従業員情報(給与以外)'!$B95,入力シート!$S$37:$Z$62,5,0))</f>
        <v/>
      </c>
      <c r="P95" s="156" t="str">
        <f>IF(ISNUMBER(C95)=FALSE,"",IF(C95&gt;入力シート!$J$24,"",_xlfn.DAYS(入力シート!$J$24,'従業員情報(給与以外)'!$C95)/365))</f>
        <v/>
      </c>
      <c r="Q95" s="210" t="str">
        <f>IF(P95="","",VLOOKUP(_xlfn.DAYS(入力シート!$J$24,'従業員情報(給与以外)'!$C95)/365,入力リスト!$K$18:$L$26,2,2))</f>
        <v/>
      </c>
      <c r="R95" s="209" t="str">
        <f>IF(D95="","",VLOOKUP('従業員情報(給与以外)'!$D95,入力シート!$AW$37:$BB$38,4,0))</f>
        <v/>
      </c>
      <c r="S95" s="209" t="str">
        <f>IF(A95="","",IF(E95="","非役職",VLOOKUP('従業員情報(給与以外)'!$E95,入力シート!$AH$37:$AO$62,5,0)))</f>
        <v/>
      </c>
      <c r="T95" s="102" t="str">
        <f>IF(OR(入力シート!$C$5&lt;&gt;入力リスト!$C$3,COUNTIF(入力シート!$J$16:$S$23,入力リスト!$H$9)=0),"",IF($A95="","",IF(ISERROR(AVERAGEIF(従業員の給与情報!$B:$B,$A95,従業員の給与情報!$C:$C)),0,IF(ISERROR(AVERAGEIF(従業員の給与情報!$B:$B,$A95,従業員の給与情報!$C:$C)),0,AVERAGEIF(従業員の給与情報!$B:$B,$A95,従業員の給与情報!$C:$C)))))</f>
        <v/>
      </c>
      <c r="U95" s="102" t="str">
        <f>IF(OR(入力シート!$C$5&lt;&gt;入力リスト!$C$3,COUNTIF(入力シート!$J$16:$S$23,入力リスト!$H$9)=0),"",IF(A95="","",IF(ISERROR(AVERAGEIF(従業員の給与情報!$B:$B,$A95,従業員の給与情報!$D:$D)),0,IF(ISERROR(AVERAGEIF(従業員の給与情報!$B:$B,$A95,従業員の給与情報!$D:$D)),0,AVERAGEIF(従業員の給与情報!$B:$B,$A95,従業員の給与情報!$D:$D)))))</f>
        <v/>
      </c>
      <c r="V95" s="102" t="str">
        <f>IF(OR(入力シート!$C$5&lt;&gt;入力リスト!$C$3,COUNTIF(入力シート!$J$16:$S$23,入力リスト!$H$9)=0),"",IF(A95="","",IF(ISERROR(AVERAGEIF(従業員の給与情報!$B:$B,$A95,従業員の給与情報!$E:$E)),0,IF(ISERROR(AVERAGEIF(従業員の給与情報!$B:$B,$A95,従業員の給与情報!$E:$E)),0,AVERAGEIF(従業員の給与情報!$B:$B,$A95,従業員の給与情報!$E:$E)))))</f>
        <v/>
      </c>
      <c r="W95" s="103" t="str">
        <f>IF(OR(入力シート!$C$5&lt;&gt;入力リスト!$C$3,COUNTIF(入力シート!$J$16:$S$23,入力リスト!$H$9)=0),"",IF(A95="","",IF(ISERROR(AVERAGEIF(従業員の給与情報!$B:$B,$A95,従業員の給与情報!$F:$F)),0,IF(ISERROR(AVERAGEIF(従業員の給与情報!$B:$B,$A95,従業員の給与情報!$F:$F)),0,AVERAGEIF(従業員の給与情報!$B:$B,$A95,従業員の給与情報!$F:$F)))))</f>
        <v/>
      </c>
    </row>
    <row r="96" spans="1:23" s="10" customFormat="1" ht="19.8">
      <c r="A96" s="252"/>
      <c r="B96" s="249"/>
      <c r="C96" s="250"/>
      <c r="D96" s="251"/>
      <c r="E96" s="252"/>
      <c r="F96" s="257" t="str">
        <f>IF($G$1,"",IF(COUNTIF(A96:E96,"")=5,"",IF(G96,入力リスト!$K$28,IF(OR(A96="",B96="",IF(COUNTIF($C$3,"*不要*"),"",C96=""),D96=""),IF(A96="","従業員番号","")&amp;IF(B96="","「雇用形態」","")&amp;IF(OR(入力シート!$J$18=入力リスト!$H$9,入力シート!$J$22=入力リスト!$H$9),IF(C96="","「入社年月日」",""),"")&amp;IF(D96="","「性別」","")&amp;IF(IF(A96="","従業員番号","")&amp;IF(B96="","「雇用形態」","")&amp;IF(OR(入力シート!$J$18=入力リスト!$H$9,入力シート!$J$22=入力リスト!$H$9),IF(C96="","「入社年月日」",""),"")&amp;IF(D96="","「性別」","")="","",入力リスト!$K$29),IF(J96,入力リスト!$K$30,"")&amp;IF(I96,入力リスト!$K$31,"")&amp;IF(H96,"「雇用形態」","")&amp;IF(K96,"「性別」","")&amp;IF(L96,"「役職」","")&amp;IF(OR(H96,K96,L96),入力リスト!$K$32,"")))))</f>
        <v/>
      </c>
      <c r="G96" s="209" t="b">
        <f>COUNTIF($A$4:A95,$A96)&gt;0</f>
        <v>0</v>
      </c>
      <c r="H96" s="210" t="b">
        <f>IF($H$1,FALSE,COUNTIF(入力シート!$S$37:$V$62,B96)=0)</f>
        <v>0</v>
      </c>
      <c r="I96" s="210" t="b">
        <f t="shared" si="4"/>
        <v>0</v>
      </c>
      <c r="J96" s="210" t="b">
        <f>IF($J$1,FALSE,IF(I96=TRUE,FALSE,IF(I96,FALSE,C96&gt;入力シート!$J$24)))</f>
        <v>0</v>
      </c>
      <c r="K96" s="210" t="b">
        <f>IF($K$1,FALSE,COUNTIF(入力シート!$AW$37:$BB$38,D96)=0)</f>
        <v>0</v>
      </c>
      <c r="L96" s="210" t="b">
        <f>IF($L$1,FALSE,IF($L$3,FALSE,IF(E96="",FALSE,COUNTIF(入力シート!$AH$37:$AK$62,E96)=0)))</f>
        <v>0</v>
      </c>
      <c r="M96" s="211" t="str">
        <f t="shared" si="3"/>
        <v/>
      </c>
      <c r="N96" s="211"/>
      <c r="O96" s="209" t="str">
        <f>IF(B96="","",VLOOKUP('従業員情報(給与以外)'!$B96,入力シート!$S$37:$Z$62,5,0))</f>
        <v/>
      </c>
      <c r="P96" s="156" t="str">
        <f>IF(ISNUMBER(C96)=FALSE,"",IF(C96&gt;入力シート!$J$24,"",_xlfn.DAYS(入力シート!$J$24,'従業員情報(給与以外)'!$C96)/365))</f>
        <v/>
      </c>
      <c r="Q96" s="210" t="str">
        <f>IF(P96="","",VLOOKUP(_xlfn.DAYS(入力シート!$J$24,'従業員情報(給与以外)'!$C96)/365,入力リスト!$K$18:$L$26,2,2))</f>
        <v/>
      </c>
      <c r="R96" s="209" t="str">
        <f>IF(D96="","",VLOOKUP('従業員情報(給与以外)'!$D96,入力シート!$AW$37:$BB$38,4,0))</f>
        <v/>
      </c>
      <c r="S96" s="209" t="str">
        <f>IF(A96="","",IF(E96="","非役職",VLOOKUP('従業員情報(給与以外)'!$E96,入力シート!$AH$37:$AO$62,5,0)))</f>
        <v/>
      </c>
      <c r="T96" s="102" t="str">
        <f>IF(OR(入力シート!$C$5&lt;&gt;入力リスト!$C$3,COUNTIF(入力シート!$J$16:$S$23,入力リスト!$H$9)=0),"",IF($A96="","",IF(ISERROR(AVERAGEIF(従業員の給与情報!$B:$B,$A96,従業員の給与情報!$C:$C)),0,IF(ISERROR(AVERAGEIF(従業員の給与情報!$B:$B,$A96,従業員の給与情報!$C:$C)),0,AVERAGEIF(従業員の給与情報!$B:$B,$A96,従業員の給与情報!$C:$C)))))</f>
        <v/>
      </c>
      <c r="U96" s="102" t="str">
        <f>IF(OR(入力シート!$C$5&lt;&gt;入力リスト!$C$3,COUNTIF(入力シート!$J$16:$S$23,入力リスト!$H$9)=0),"",IF(A96="","",IF(ISERROR(AVERAGEIF(従業員の給与情報!$B:$B,$A96,従業員の給与情報!$D:$D)),0,IF(ISERROR(AVERAGEIF(従業員の給与情報!$B:$B,$A96,従業員の給与情報!$D:$D)),0,AVERAGEIF(従業員の給与情報!$B:$B,$A96,従業員の給与情報!$D:$D)))))</f>
        <v/>
      </c>
      <c r="V96" s="102" t="str">
        <f>IF(OR(入力シート!$C$5&lt;&gt;入力リスト!$C$3,COUNTIF(入力シート!$J$16:$S$23,入力リスト!$H$9)=0),"",IF(A96="","",IF(ISERROR(AVERAGEIF(従業員の給与情報!$B:$B,$A96,従業員の給与情報!$E:$E)),0,IF(ISERROR(AVERAGEIF(従業員の給与情報!$B:$B,$A96,従業員の給与情報!$E:$E)),0,AVERAGEIF(従業員の給与情報!$B:$B,$A96,従業員の給与情報!$E:$E)))))</f>
        <v/>
      </c>
      <c r="W96" s="103" t="str">
        <f>IF(OR(入力シート!$C$5&lt;&gt;入力リスト!$C$3,COUNTIF(入力シート!$J$16:$S$23,入力リスト!$H$9)=0),"",IF(A96="","",IF(ISERROR(AVERAGEIF(従業員の給与情報!$B:$B,$A96,従業員の給与情報!$F:$F)),0,IF(ISERROR(AVERAGEIF(従業員の給与情報!$B:$B,$A96,従業員の給与情報!$F:$F)),0,AVERAGEIF(従業員の給与情報!$B:$B,$A96,従業員の給与情報!$F:$F)))))</f>
        <v/>
      </c>
    </row>
    <row r="97" spans="1:23" s="10" customFormat="1" ht="19.8">
      <c r="A97" s="252"/>
      <c r="B97" s="249"/>
      <c r="C97" s="250"/>
      <c r="D97" s="251"/>
      <c r="E97" s="249"/>
      <c r="F97" s="257" t="str">
        <f>IF($G$1,"",IF(COUNTIF(A97:E97,"")=5,"",IF(G97,入力リスト!$K$28,IF(OR(A97="",B97="",IF(COUNTIF($C$3,"*不要*"),"",C97=""),D97=""),IF(A97="","従業員番号","")&amp;IF(B97="","「雇用形態」","")&amp;IF(OR(入力シート!$J$18=入力リスト!$H$9,入力シート!$J$22=入力リスト!$H$9),IF(C97="","「入社年月日」",""),"")&amp;IF(D97="","「性別」","")&amp;IF(IF(A97="","従業員番号","")&amp;IF(B97="","「雇用形態」","")&amp;IF(OR(入力シート!$J$18=入力リスト!$H$9,入力シート!$J$22=入力リスト!$H$9),IF(C97="","「入社年月日」",""),"")&amp;IF(D97="","「性別」","")="","",入力リスト!$K$29),IF(J97,入力リスト!$K$30,"")&amp;IF(I97,入力リスト!$K$31,"")&amp;IF(H97,"「雇用形態」","")&amp;IF(K97,"「性別」","")&amp;IF(L97,"「役職」","")&amp;IF(OR(H97,K97,L97),入力リスト!$K$32,"")))))</f>
        <v/>
      </c>
      <c r="G97" s="209" t="b">
        <f>COUNTIF($A$4:A96,$A97)&gt;0</f>
        <v>0</v>
      </c>
      <c r="H97" s="210" t="b">
        <f>IF($H$1,FALSE,COUNTIF(入力シート!$S$37:$V$62,B97)=0)</f>
        <v>0</v>
      </c>
      <c r="I97" s="210" t="b">
        <f t="shared" si="4"/>
        <v>0</v>
      </c>
      <c r="J97" s="210" t="b">
        <f>IF($J$1,FALSE,IF(I97=TRUE,FALSE,IF(I97,FALSE,C97&gt;入力シート!$J$24)))</f>
        <v>0</v>
      </c>
      <c r="K97" s="210" t="b">
        <f>IF($K$1,FALSE,COUNTIF(入力シート!$AW$37:$BB$38,D97)=0)</f>
        <v>0</v>
      </c>
      <c r="L97" s="210" t="b">
        <f>IF($L$1,FALSE,IF($L$3,FALSE,IF(E97="",FALSE,COUNTIF(入力シート!$AH$37:$AK$62,E97)=0)))</f>
        <v>0</v>
      </c>
      <c r="M97" s="211" t="str">
        <f t="shared" si="3"/>
        <v/>
      </c>
      <c r="N97" s="211"/>
      <c r="O97" s="209" t="str">
        <f>IF(B97="","",VLOOKUP('従業員情報(給与以外)'!$B97,入力シート!$S$37:$Z$62,5,0))</f>
        <v/>
      </c>
      <c r="P97" s="156" t="str">
        <f>IF(ISNUMBER(C97)=FALSE,"",IF(C97&gt;入力シート!$J$24,"",_xlfn.DAYS(入力シート!$J$24,'従業員情報(給与以外)'!$C97)/365))</f>
        <v/>
      </c>
      <c r="Q97" s="210" t="str">
        <f>IF(P97="","",VLOOKUP(_xlfn.DAYS(入力シート!$J$24,'従業員情報(給与以外)'!$C97)/365,入力リスト!$K$18:$L$26,2,2))</f>
        <v/>
      </c>
      <c r="R97" s="209" t="str">
        <f>IF(D97="","",VLOOKUP('従業員情報(給与以外)'!$D97,入力シート!$AW$37:$BB$38,4,0))</f>
        <v/>
      </c>
      <c r="S97" s="209" t="str">
        <f>IF(A97="","",IF(E97="","非役職",VLOOKUP('従業員情報(給与以外)'!$E97,入力シート!$AH$37:$AO$62,5,0)))</f>
        <v/>
      </c>
      <c r="T97" s="102" t="str">
        <f>IF(OR(入力シート!$C$5&lt;&gt;入力リスト!$C$3,COUNTIF(入力シート!$J$16:$S$23,入力リスト!$H$9)=0),"",IF($A97="","",IF(ISERROR(AVERAGEIF(従業員の給与情報!$B:$B,$A97,従業員の給与情報!$C:$C)),0,IF(ISERROR(AVERAGEIF(従業員の給与情報!$B:$B,$A97,従業員の給与情報!$C:$C)),0,AVERAGEIF(従業員の給与情報!$B:$B,$A97,従業員の給与情報!$C:$C)))))</f>
        <v/>
      </c>
      <c r="U97" s="102" t="str">
        <f>IF(OR(入力シート!$C$5&lt;&gt;入力リスト!$C$3,COUNTIF(入力シート!$J$16:$S$23,入力リスト!$H$9)=0),"",IF(A97="","",IF(ISERROR(AVERAGEIF(従業員の給与情報!$B:$B,$A97,従業員の給与情報!$D:$D)),0,IF(ISERROR(AVERAGEIF(従業員の給与情報!$B:$B,$A97,従業員の給与情報!$D:$D)),0,AVERAGEIF(従業員の給与情報!$B:$B,$A97,従業員の給与情報!$D:$D)))))</f>
        <v/>
      </c>
      <c r="V97" s="102" t="str">
        <f>IF(OR(入力シート!$C$5&lt;&gt;入力リスト!$C$3,COUNTIF(入力シート!$J$16:$S$23,入力リスト!$H$9)=0),"",IF(A97="","",IF(ISERROR(AVERAGEIF(従業員の給与情報!$B:$B,$A97,従業員の給与情報!$E:$E)),0,IF(ISERROR(AVERAGEIF(従業員の給与情報!$B:$B,$A97,従業員の給与情報!$E:$E)),0,AVERAGEIF(従業員の給与情報!$B:$B,$A97,従業員の給与情報!$E:$E)))))</f>
        <v/>
      </c>
      <c r="W97" s="103" t="str">
        <f>IF(OR(入力シート!$C$5&lt;&gt;入力リスト!$C$3,COUNTIF(入力シート!$J$16:$S$23,入力リスト!$H$9)=0),"",IF(A97="","",IF(ISERROR(AVERAGEIF(従業員の給与情報!$B:$B,$A97,従業員の給与情報!$F:$F)),0,IF(ISERROR(AVERAGEIF(従業員の給与情報!$B:$B,$A97,従業員の給与情報!$F:$F)),0,AVERAGEIF(従業員の給与情報!$B:$B,$A97,従業員の給与情報!$F:$F)))))</f>
        <v/>
      </c>
    </row>
    <row r="98" spans="1:23" s="10" customFormat="1" ht="19.8">
      <c r="A98" s="252"/>
      <c r="B98" s="249"/>
      <c r="C98" s="250"/>
      <c r="D98" s="251"/>
      <c r="E98" s="252"/>
      <c r="F98" s="257" t="str">
        <f>IF($G$1,"",IF(COUNTIF(A98:E98,"")=5,"",IF(G98,入力リスト!$K$28,IF(OR(A98="",B98="",IF(COUNTIF($C$3,"*不要*"),"",C98=""),D98=""),IF(A98="","従業員番号","")&amp;IF(B98="","「雇用形態」","")&amp;IF(OR(入力シート!$J$18=入力リスト!$H$9,入力シート!$J$22=入力リスト!$H$9),IF(C98="","「入社年月日」",""),"")&amp;IF(D98="","「性別」","")&amp;IF(IF(A98="","従業員番号","")&amp;IF(B98="","「雇用形態」","")&amp;IF(OR(入力シート!$J$18=入力リスト!$H$9,入力シート!$J$22=入力リスト!$H$9),IF(C98="","「入社年月日」",""),"")&amp;IF(D98="","「性別」","")="","",入力リスト!$K$29),IF(J98,入力リスト!$K$30,"")&amp;IF(I98,入力リスト!$K$31,"")&amp;IF(H98,"「雇用形態」","")&amp;IF(K98,"「性別」","")&amp;IF(L98,"「役職」","")&amp;IF(OR(H98,K98,L98),入力リスト!$K$32,"")))))</f>
        <v/>
      </c>
      <c r="G98" s="209" t="b">
        <f>COUNTIF($A$4:A97,$A98)&gt;0</f>
        <v>0</v>
      </c>
      <c r="H98" s="210" t="b">
        <f>IF($H$1,FALSE,COUNTIF(入力シート!$S$37:$V$62,B98)=0)</f>
        <v>0</v>
      </c>
      <c r="I98" s="210" t="b">
        <f t="shared" si="4"/>
        <v>0</v>
      </c>
      <c r="J98" s="210" t="b">
        <f>IF($J$1,FALSE,IF(I98=TRUE,FALSE,IF(I98,FALSE,C98&gt;入力シート!$J$24)))</f>
        <v>0</v>
      </c>
      <c r="K98" s="210" t="b">
        <f>IF($K$1,FALSE,COUNTIF(入力シート!$AW$37:$BB$38,D98)=0)</f>
        <v>0</v>
      </c>
      <c r="L98" s="210" t="b">
        <f>IF($L$1,FALSE,IF($L$3,FALSE,IF(E98="",FALSE,COUNTIF(入力シート!$AH$37:$AK$62,E98)=0)))</f>
        <v>0</v>
      </c>
      <c r="M98" s="211" t="str">
        <f t="shared" si="3"/>
        <v/>
      </c>
      <c r="N98" s="211"/>
      <c r="O98" s="209" t="str">
        <f>IF(B98="","",VLOOKUP('従業員情報(給与以外)'!$B98,入力シート!$S$37:$Z$62,5,0))</f>
        <v/>
      </c>
      <c r="P98" s="156" t="str">
        <f>IF(ISNUMBER(C98)=FALSE,"",IF(C98&gt;入力シート!$J$24,"",_xlfn.DAYS(入力シート!$J$24,'従業員情報(給与以外)'!$C98)/365))</f>
        <v/>
      </c>
      <c r="Q98" s="210" t="str">
        <f>IF(P98="","",VLOOKUP(_xlfn.DAYS(入力シート!$J$24,'従業員情報(給与以外)'!$C98)/365,入力リスト!$K$18:$L$26,2,2))</f>
        <v/>
      </c>
      <c r="R98" s="209" t="str">
        <f>IF(D98="","",VLOOKUP('従業員情報(給与以外)'!$D98,入力シート!$AW$37:$BB$38,4,0))</f>
        <v/>
      </c>
      <c r="S98" s="209" t="str">
        <f>IF(A98="","",IF(E98="","非役職",VLOOKUP('従業員情報(給与以外)'!$E98,入力シート!$AH$37:$AO$62,5,0)))</f>
        <v/>
      </c>
      <c r="T98" s="102" t="str">
        <f>IF(OR(入力シート!$C$5&lt;&gt;入力リスト!$C$3,COUNTIF(入力シート!$J$16:$S$23,入力リスト!$H$9)=0),"",IF($A98="","",IF(ISERROR(AVERAGEIF(従業員の給与情報!$B:$B,$A98,従業員の給与情報!$C:$C)),0,IF(ISERROR(AVERAGEIF(従業員の給与情報!$B:$B,$A98,従業員の給与情報!$C:$C)),0,AVERAGEIF(従業員の給与情報!$B:$B,$A98,従業員の給与情報!$C:$C)))))</f>
        <v/>
      </c>
      <c r="U98" s="102" t="str">
        <f>IF(OR(入力シート!$C$5&lt;&gt;入力リスト!$C$3,COUNTIF(入力シート!$J$16:$S$23,入力リスト!$H$9)=0),"",IF(A98="","",IF(ISERROR(AVERAGEIF(従業員の給与情報!$B:$B,$A98,従業員の給与情報!$D:$D)),0,IF(ISERROR(AVERAGEIF(従業員の給与情報!$B:$B,$A98,従業員の給与情報!$D:$D)),0,AVERAGEIF(従業員の給与情報!$B:$B,$A98,従業員の給与情報!$D:$D)))))</f>
        <v/>
      </c>
      <c r="V98" s="102" t="str">
        <f>IF(OR(入力シート!$C$5&lt;&gt;入力リスト!$C$3,COUNTIF(入力シート!$J$16:$S$23,入力リスト!$H$9)=0),"",IF(A98="","",IF(ISERROR(AVERAGEIF(従業員の給与情報!$B:$B,$A98,従業員の給与情報!$E:$E)),0,IF(ISERROR(AVERAGEIF(従業員の給与情報!$B:$B,$A98,従業員の給与情報!$E:$E)),0,AVERAGEIF(従業員の給与情報!$B:$B,$A98,従業員の給与情報!$E:$E)))))</f>
        <v/>
      </c>
      <c r="W98" s="103" t="str">
        <f>IF(OR(入力シート!$C$5&lt;&gt;入力リスト!$C$3,COUNTIF(入力シート!$J$16:$S$23,入力リスト!$H$9)=0),"",IF(A98="","",IF(ISERROR(AVERAGEIF(従業員の給与情報!$B:$B,$A98,従業員の給与情報!$F:$F)),0,IF(ISERROR(AVERAGEIF(従業員の給与情報!$B:$B,$A98,従業員の給与情報!$F:$F)),0,AVERAGEIF(従業員の給与情報!$B:$B,$A98,従業員の給与情報!$F:$F)))))</f>
        <v/>
      </c>
    </row>
    <row r="99" spans="1:23" s="10" customFormat="1" ht="19.8">
      <c r="A99" s="252"/>
      <c r="B99" s="249"/>
      <c r="C99" s="250"/>
      <c r="D99" s="251"/>
      <c r="E99" s="252"/>
      <c r="F99" s="257" t="str">
        <f>IF($G$1,"",IF(COUNTIF(A99:E99,"")=5,"",IF(G99,入力リスト!$K$28,IF(OR(A99="",B99="",IF(COUNTIF($C$3,"*不要*"),"",C99=""),D99=""),IF(A99="","従業員番号","")&amp;IF(B99="","「雇用形態」","")&amp;IF(OR(入力シート!$J$18=入力リスト!$H$9,入力シート!$J$22=入力リスト!$H$9),IF(C99="","「入社年月日」",""),"")&amp;IF(D99="","「性別」","")&amp;IF(IF(A99="","従業員番号","")&amp;IF(B99="","「雇用形態」","")&amp;IF(OR(入力シート!$J$18=入力リスト!$H$9,入力シート!$J$22=入力リスト!$H$9),IF(C99="","「入社年月日」",""),"")&amp;IF(D99="","「性別」","")="","",入力リスト!$K$29),IF(J99,入力リスト!$K$30,"")&amp;IF(I99,入力リスト!$K$31,"")&amp;IF(H99,"「雇用形態」","")&amp;IF(K99,"「性別」","")&amp;IF(L99,"「役職」","")&amp;IF(OR(H99,K99,L99),入力リスト!$K$32,"")))))</f>
        <v/>
      </c>
      <c r="G99" s="209" t="b">
        <f>COUNTIF($A$4:A98,$A99)&gt;0</f>
        <v>0</v>
      </c>
      <c r="H99" s="210" t="b">
        <f>IF($H$1,FALSE,COUNTIF(入力シート!$S$37:$V$62,B99)=0)</f>
        <v>0</v>
      </c>
      <c r="I99" s="210" t="b">
        <f t="shared" si="4"/>
        <v>0</v>
      </c>
      <c r="J99" s="210" t="b">
        <f>IF($J$1,FALSE,IF(I99=TRUE,FALSE,IF(I99,FALSE,C99&gt;入力シート!$J$24)))</f>
        <v>0</v>
      </c>
      <c r="K99" s="210" t="b">
        <f>IF($K$1,FALSE,COUNTIF(入力シート!$AW$37:$BB$38,D99)=0)</f>
        <v>0</v>
      </c>
      <c r="L99" s="210" t="b">
        <f>IF($L$1,FALSE,IF($L$3,FALSE,IF(E99="",FALSE,COUNTIF(入力シート!$AH$37:$AK$62,E99)=0)))</f>
        <v>0</v>
      </c>
      <c r="M99" s="211" t="str">
        <f t="shared" si="3"/>
        <v/>
      </c>
      <c r="N99" s="211"/>
      <c r="O99" s="209" t="str">
        <f>IF(B99="","",VLOOKUP('従業員情報(給与以外)'!$B99,入力シート!$S$37:$Z$62,5,0))</f>
        <v/>
      </c>
      <c r="P99" s="156" t="str">
        <f>IF(ISNUMBER(C99)=FALSE,"",IF(C99&gt;入力シート!$J$24,"",_xlfn.DAYS(入力シート!$J$24,'従業員情報(給与以外)'!$C99)/365))</f>
        <v/>
      </c>
      <c r="Q99" s="210" t="str">
        <f>IF(P99="","",VLOOKUP(_xlfn.DAYS(入力シート!$J$24,'従業員情報(給与以外)'!$C99)/365,入力リスト!$K$18:$L$26,2,2))</f>
        <v/>
      </c>
      <c r="R99" s="209" t="str">
        <f>IF(D99="","",VLOOKUP('従業員情報(給与以外)'!$D99,入力シート!$AW$37:$BB$38,4,0))</f>
        <v/>
      </c>
      <c r="S99" s="209" t="str">
        <f>IF(A99="","",IF(E99="","非役職",VLOOKUP('従業員情報(給与以外)'!$E99,入力シート!$AH$37:$AO$62,5,0)))</f>
        <v/>
      </c>
      <c r="T99" s="102" t="str">
        <f>IF(OR(入力シート!$C$5&lt;&gt;入力リスト!$C$3,COUNTIF(入力シート!$J$16:$S$23,入力リスト!$H$9)=0),"",IF($A99="","",IF(ISERROR(AVERAGEIF(従業員の給与情報!$B:$B,$A99,従業員の給与情報!$C:$C)),0,IF(ISERROR(AVERAGEIF(従業員の給与情報!$B:$B,$A99,従業員の給与情報!$C:$C)),0,AVERAGEIF(従業員の給与情報!$B:$B,$A99,従業員の給与情報!$C:$C)))))</f>
        <v/>
      </c>
      <c r="U99" s="102" t="str">
        <f>IF(OR(入力シート!$C$5&lt;&gt;入力リスト!$C$3,COUNTIF(入力シート!$J$16:$S$23,入力リスト!$H$9)=0),"",IF(A99="","",IF(ISERROR(AVERAGEIF(従業員の給与情報!$B:$B,$A99,従業員の給与情報!$D:$D)),0,IF(ISERROR(AVERAGEIF(従業員の給与情報!$B:$B,$A99,従業員の給与情報!$D:$D)),0,AVERAGEIF(従業員の給与情報!$B:$B,$A99,従業員の給与情報!$D:$D)))))</f>
        <v/>
      </c>
      <c r="V99" s="102" t="str">
        <f>IF(OR(入力シート!$C$5&lt;&gt;入力リスト!$C$3,COUNTIF(入力シート!$J$16:$S$23,入力リスト!$H$9)=0),"",IF(A99="","",IF(ISERROR(AVERAGEIF(従業員の給与情報!$B:$B,$A99,従業員の給与情報!$E:$E)),0,IF(ISERROR(AVERAGEIF(従業員の給与情報!$B:$B,$A99,従業員の給与情報!$E:$E)),0,AVERAGEIF(従業員の給与情報!$B:$B,$A99,従業員の給与情報!$E:$E)))))</f>
        <v/>
      </c>
      <c r="W99" s="103" t="str">
        <f>IF(OR(入力シート!$C$5&lt;&gt;入力リスト!$C$3,COUNTIF(入力シート!$J$16:$S$23,入力リスト!$H$9)=0),"",IF(A99="","",IF(ISERROR(AVERAGEIF(従業員の給与情報!$B:$B,$A99,従業員の給与情報!$F:$F)),0,IF(ISERROR(AVERAGEIF(従業員の給与情報!$B:$B,$A99,従業員の給与情報!$F:$F)),0,AVERAGEIF(従業員の給与情報!$B:$B,$A99,従業員の給与情報!$F:$F)))))</f>
        <v/>
      </c>
    </row>
    <row r="100" spans="1:23" s="10" customFormat="1" ht="19.8">
      <c r="A100" s="252"/>
      <c r="B100" s="249"/>
      <c r="C100" s="250"/>
      <c r="D100" s="251"/>
      <c r="E100" s="252"/>
      <c r="F100" s="257" t="str">
        <f>IF($G$1,"",IF(COUNTIF(A100:E100,"")=5,"",IF(G100,入力リスト!$K$28,IF(OR(A100="",B100="",IF(COUNTIF($C$3,"*不要*"),"",C100=""),D100=""),IF(A100="","従業員番号","")&amp;IF(B100="","「雇用形態」","")&amp;IF(OR(入力シート!$J$18=入力リスト!$H$9,入力シート!$J$22=入力リスト!$H$9),IF(C100="","「入社年月日」",""),"")&amp;IF(D100="","「性別」","")&amp;IF(IF(A100="","従業員番号","")&amp;IF(B100="","「雇用形態」","")&amp;IF(OR(入力シート!$J$18=入力リスト!$H$9,入力シート!$J$22=入力リスト!$H$9),IF(C100="","「入社年月日」",""),"")&amp;IF(D100="","「性別」","")="","",入力リスト!$K$29),IF(J100,入力リスト!$K$30,"")&amp;IF(I100,入力リスト!$K$31,"")&amp;IF(H100,"「雇用形態」","")&amp;IF(K100,"「性別」","")&amp;IF(L100,"「役職」","")&amp;IF(OR(H100,K100,L100),入力リスト!$K$32,"")))))</f>
        <v/>
      </c>
      <c r="G100" s="209" t="b">
        <f>COUNTIF($A$4:A99,$A100)&gt;0</f>
        <v>0</v>
      </c>
      <c r="H100" s="210" t="b">
        <f>IF($H$1,FALSE,COUNTIF(入力シート!$S$37:$V$62,B100)=0)</f>
        <v>0</v>
      </c>
      <c r="I100" s="210" t="b">
        <f t="shared" si="4"/>
        <v>0</v>
      </c>
      <c r="J100" s="210" t="b">
        <f>IF($J$1,FALSE,IF(I100=TRUE,FALSE,IF(I100,FALSE,C100&gt;入力シート!$J$24)))</f>
        <v>0</v>
      </c>
      <c r="K100" s="210" t="b">
        <f>IF($K$1,FALSE,COUNTIF(入力シート!$AW$37:$BB$38,D100)=0)</f>
        <v>0</v>
      </c>
      <c r="L100" s="210" t="b">
        <f>IF($L$1,FALSE,IF($L$3,FALSE,IF(E100="",FALSE,COUNTIF(入力シート!$AH$37:$AK$62,E100)=0)))</f>
        <v>0</v>
      </c>
      <c r="M100" s="211" t="str">
        <f t="shared" si="3"/>
        <v/>
      </c>
      <c r="N100" s="211"/>
      <c r="O100" s="209" t="str">
        <f>IF(B100="","",VLOOKUP('従業員情報(給与以外)'!$B100,入力シート!$S$37:$Z$62,5,0))</f>
        <v/>
      </c>
      <c r="P100" s="156" t="str">
        <f>IF(ISNUMBER(C100)=FALSE,"",IF(C100&gt;入力シート!$J$24,"",_xlfn.DAYS(入力シート!$J$24,'従業員情報(給与以外)'!$C100)/365))</f>
        <v/>
      </c>
      <c r="Q100" s="210" t="str">
        <f>IF(P100="","",VLOOKUP(_xlfn.DAYS(入力シート!$J$24,'従業員情報(給与以外)'!$C100)/365,入力リスト!$K$18:$L$26,2,2))</f>
        <v/>
      </c>
      <c r="R100" s="209" t="str">
        <f>IF(D100="","",VLOOKUP('従業員情報(給与以外)'!$D100,入力シート!$AW$37:$BB$38,4,0))</f>
        <v/>
      </c>
      <c r="S100" s="209" t="str">
        <f>IF(A100="","",IF(E100="","非役職",VLOOKUP('従業員情報(給与以外)'!$E100,入力シート!$AH$37:$AO$62,5,0)))</f>
        <v/>
      </c>
      <c r="T100" s="102" t="str">
        <f>IF(OR(入力シート!$C$5&lt;&gt;入力リスト!$C$3,COUNTIF(入力シート!$J$16:$S$23,入力リスト!$H$9)=0),"",IF($A100="","",IF(ISERROR(AVERAGEIF(従業員の給与情報!$B:$B,$A100,従業員の給与情報!$C:$C)),0,IF(ISERROR(AVERAGEIF(従業員の給与情報!$B:$B,$A100,従業員の給与情報!$C:$C)),0,AVERAGEIF(従業員の給与情報!$B:$B,$A100,従業員の給与情報!$C:$C)))))</f>
        <v/>
      </c>
      <c r="U100" s="102" t="str">
        <f>IF(OR(入力シート!$C$5&lt;&gt;入力リスト!$C$3,COUNTIF(入力シート!$J$16:$S$23,入力リスト!$H$9)=0),"",IF(A100="","",IF(ISERROR(AVERAGEIF(従業員の給与情報!$B:$B,$A100,従業員の給与情報!$D:$D)),0,IF(ISERROR(AVERAGEIF(従業員の給与情報!$B:$B,$A100,従業員の給与情報!$D:$D)),0,AVERAGEIF(従業員の給与情報!$B:$B,$A100,従業員の給与情報!$D:$D)))))</f>
        <v/>
      </c>
      <c r="V100" s="102" t="str">
        <f>IF(OR(入力シート!$C$5&lt;&gt;入力リスト!$C$3,COUNTIF(入力シート!$J$16:$S$23,入力リスト!$H$9)=0),"",IF(A100="","",IF(ISERROR(AVERAGEIF(従業員の給与情報!$B:$B,$A100,従業員の給与情報!$E:$E)),0,IF(ISERROR(AVERAGEIF(従業員の給与情報!$B:$B,$A100,従業員の給与情報!$E:$E)),0,AVERAGEIF(従業員の給与情報!$B:$B,$A100,従業員の給与情報!$E:$E)))))</f>
        <v/>
      </c>
      <c r="W100" s="103" t="str">
        <f>IF(OR(入力シート!$C$5&lt;&gt;入力リスト!$C$3,COUNTIF(入力シート!$J$16:$S$23,入力リスト!$H$9)=0),"",IF(A100="","",IF(ISERROR(AVERAGEIF(従業員の給与情報!$B:$B,$A100,従業員の給与情報!$F:$F)),0,IF(ISERROR(AVERAGEIF(従業員の給与情報!$B:$B,$A100,従業員の給与情報!$F:$F)),0,AVERAGEIF(従業員の給与情報!$B:$B,$A100,従業員の給与情報!$F:$F)))))</f>
        <v/>
      </c>
    </row>
    <row r="101" spans="1:23" s="10" customFormat="1" ht="19.8">
      <c r="A101" s="252"/>
      <c r="B101" s="249"/>
      <c r="C101" s="250"/>
      <c r="D101" s="251"/>
      <c r="E101" s="249"/>
      <c r="F101" s="257" t="str">
        <f>IF($G$1,"",IF(COUNTIF(A101:E101,"")=5,"",IF(G101,入力リスト!$K$28,IF(OR(A101="",B101="",IF(COUNTIF($C$3,"*不要*"),"",C101=""),D101=""),IF(A101="","従業員番号","")&amp;IF(B101="","「雇用形態」","")&amp;IF(OR(入力シート!$J$18=入力リスト!$H$9,入力シート!$J$22=入力リスト!$H$9),IF(C101="","「入社年月日」",""),"")&amp;IF(D101="","「性別」","")&amp;IF(IF(A101="","従業員番号","")&amp;IF(B101="","「雇用形態」","")&amp;IF(OR(入力シート!$J$18=入力リスト!$H$9,入力シート!$J$22=入力リスト!$H$9),IF(C101="","「入社年月日」",""),"")&amp;IF(D101="","「性別」","")="","",入力リスト!$K$29),IF(J101,入力リスト!$K$30,"")&amp;IF(I101,入力リスト!$K$31,"")&amp;IF(H101,"「雇用形態」","")&amp;IF(K101,"「性別」","")&amp;IF(L101,"「役職」","")&amp;IF(OR(H101,K101,L101),入力リスト!$K$32,"")))))</f>
        <v/>
      </c>
      <c r="G101" s="209" t="b">
        <f>COUNTIF($A$4:A100,$A101)&gt;0</f>
        <v>0</v>
      </c>
      <c r="H101" s="210" t="b">
        <f>IF($H$1,FALSE,COUNTIF(入力シート!$S$37:$V$62,B101)=0)</f>
        <v>0</v>
      </c>
      <c r="I101" s="210" t="b">
        <f t="shared" si="4"/>
        <v>0</v>
      </c>
      <c r="J101" s="210" t="b">
        <f>IF($J$1,FALSE,IF(I101=TRUE,FALSE,IF(I101,FALSE,C101&gt;入力シート!$J$24)))</f>
        <v>0</v>
      </c>
      <c r="K101" s="210" t="b">
        <f>IF($K$1,FALSE,COUNTIF(入力シート!$AW$37:$BB$38,D101)=0)</f>
        <v>0</v>
      </c>
      <c r="L101" s="210" t="b">
        <f>IF($L$1,FALSE,IF($L$3,FALSE,IF(E101="",FALSE,COUNTIF(入力シート!$AH$37:$AK$62,E101)=0)))</f>
        <v>0</v>
      </c>
      <c r="M101" s="211" t="str">
        <f t="shared" si="3"/>
        <v/>
      </c>
      <c r="N101" s="211"/>
      <c r="O101" s="209" t="str">
        <f>IF(B101="","",VLOOKUP('従業員情報(給与以外)'!$B101,入力シート!$S$37:$Z$62,5,0))</f>
        <v/>
      </c>
      <c r="P101" s="156" t="str">
        <f>IF(ISNUMBER(C101)=FALSE,"",IF(C101&gt;入力シート!$J$24,"",_xlfn.DAYS(入力シート!$J$24,'従業員情報(給与以外)'!$C101)/365))</f>
        <v/>
      </c>
      <c r="Q101" s="210" t="str">
        <f>IF(P101="","",VLOOKUP(_xlfn.DAYS(入力シート!$J$24,'従業員情報(給与以外)'!$C101)/365,入力リスト!$K$18:$L$26,2,2))</f>
        <v/>
      </c>
      <c r="R101" s="209" t="str">
        <f>IF(D101="","",VLOOKUP('従業員情報(給与以外)'!$D101,入力シート!$AW$37:$BB$38,4,0))</f>
        <v/>
      </c>
      <c r="S101" s="209" t="str">
        <f>IF(A101="","",IF(E101="","非役職",VLOOKUP('従業員情報(給与以外)'!$E101,入力シート!$AH$37:$AO$62,5,0)))</f>
        <v/>
      </c>
      <c r="T101" s="102" t="str">
        <f>IF(OR(入力シート!$C$5&lt;&gt;入力リスト!$C$3,COUNTIF(入力シート!$J$16:$S$23,入力リスト!$H$9)=0),"",IF($A101="","",IF(ISERROR(AVERAGEIF(従業員の給与情報!$B:$B,$A101,従業員の給与情報!$C:$C)),0,IF(ISERROR(AVERAGEIF(従業員の給与情報!$B:$B,$A101,従業員の給与情報!$C:$C)),0,AVERAGEIF(従業員の給与情報!$B:$B,$A101,従業員の給与情報!$C:$C)))))</f>
        <v/>
      </c>
      <c r="U101" s="102" t="str">
        <f>IF(OR(入力シート!$C$5&lt;&gt;入力リスト!$C$3,COUNTIF(入力シート!$J$16:$S$23,入力リスト!$H$9)=0),"",IF(A101="","",IF(ISERROR(AVERAGEIF(従業員の給与情報!$B:$B,$A101,従業員の給与情報!$D:$D)),0,IF(ISERROR(AVERAGEIF(従業員の給与情報!$B:$B,$A101,従業員の給与情報!$D:$D)),0,AVERAGEIF(従業員の給与情報!$B:$B,$A101,従業員の給与情報!$D:$D)))))</f>
        <v/>
      </c>
      <c r="V101" s="102" t="str">
        <f>IF(OR(入力シート!$C$5&lt;&gt;入力リスト!$C$3,COUNTIF(入力シート!$J$16:$S$23,入力リスト!$H$9)=0),"",IF(A101="","",IF(ISERROR(AVERAGEIF(従業員の給与情報!$B:$B,$A101,従業員の給与情報!$E:$E)),0,IF(ISERROR(AVERAGEIF(従業員の給与情報!$B:$B,$A101,従業員の給与情報!$E:$E)),0,AVERAGEIF(従業員の給与情報!$B:$B,$A101,従業員の給与情報!$E:$E)))))</f>
        <v/>
      </c>
      <c r="W101" s="103" t="str">
        <f>IF(OR(入力シート!$C$5&lt;&gt;入力リスト!$C$3,COUNTIF(入力シート!$J$16:$S$23,入力リスト!$H$9)=0),"",IF(A101="","",IF(ISERROR(AVERAGEIF(従業員の給与情報!$B:$B,$A101,従業員の給与情報!$F:$F)),0,IF(ISERROR(AVERAGEIF(従業員の給与情報!$B:$B,$A101,従業員の給与情報!$F:$F)),0,AVERAGEIF(従業員の給与情報!$B:$B,$A101,従業員の給与情報!$F:$F)))))</f>
        <v/>
      </c>
    </row>
    <row r="102" spans="1:23" s="10" customFormat="1" ht="19.8">
      <c r="A102" s="252"/>
      <c r="B102" s="249"/>
      <c r="C102" s="250"/>
      <c r="D102" s="251"/>
      <c r="E102" s="252"/>
      <c r="F102" s="257" t="str">
        <f>IF($G$1,"",IF(COUNTIF(A102:E102,"")=5,"",IF(G102,入力リスト!$K$28,IF(OR(A102="",B102="",IF(COUNTIF($C$3,"*不要*"),"",C102=""),D102=""),IF(A102="","従業員番号","")&amp;IF(B102="","「雇用形態」","")&amp;IF(OR(入力シート!$J$18=入力リスト!$H$9,入力シート!$J$22=入力リスト!$H$9),IF(C102="","「入社年月日」",""),"")&amp;IF(D102="","「性別」","")&amp;IF(IF(A102="","従業員番号","")&amp;IF(B102="","「雇用形態」","")&amp;IF(OR(入力シート!$J$18=入力リスト!$H$9,入力シート!$J$22=入力リスト!$H$9),IF(C102="","「入社年月日」",""),"")&amp;IF(D102="","「性別」","")="","",入力リスト!$K$29),IF(J102,入力リスト!$K$30,"")&amp;IF(I102,入力リスト!$K$31,"")&amp;IF(H102,"「雇用形態」","")&amp;IF(K102,"「性別」","")&amp;IF(L102,"「役職」","")&amp;IF(OR(H102,K102,L102),入力リスト!$K$32,"")))))</f>
        <v/>
      </c>
      <c r="G102" s="209" t="b">
        <f>COUNTIF($A$4:A101,$A102)&gt;0</f>
        <v>0</v>
      </c>
      <c r="H102" s="210" t="b">
        <f>IF($H$1,FALSE,COUNTIF(入力シート!$S$37:$V$62,B102)=0)</f>
        <v>0</v>
      </c>
      <c r="I102" s="210" t="b">
        <f t="shared" si="4"/>
        <v>0</v>
      </c>
      <c r="J102" s="210" t="b">
        <f>IF($J$1,FALSE,IF(I102=TRUE,FALSE,IF(I102,FALSE,C102&gt;入力シート!$J$24)))</f>
        <v>0</v>
      </c>
      <c r="K102" s="210" t="b">
        <f>IF($K$1,FALSE,COUNTIF(入力シート!$AW$37:$BB$38,D102)=0)</f>
        <v>0</v>
      </c>
      <c r="L102" s="210" t="b">
        <f>IF($L$1,FALSE,IF($L$3,FALSE,IF(E102="",FALSE,COUNTIF(入力シート!$AH$37:$AK$62,E102)=0)))</f>
        <v>0</v>
      </c>
      <c r="M102" s="211" t="str">
        <f t="shared" si="3"/>
        <v/>
      </c>
      <c r="N102" s="211"/>
      <c r="O102" s="209" t="str">
        <f>IF(B102="","",VLOOKUP('従業員情報(給与以外)'!$B102,入力シート!$S$37:$Z$62,5,0))</f>
        <v/>
      </c>
      <c r="P102" s="156" t="str">
        <f>IF(ISNUMBER(C102)=FALSE,"",IF(C102&gt;入力シート!$J$24,"",_xlfn.DAYS(入力シート!$J$24,'従業員情報(給与以外)'!$C102)/365))</f>
        <v/>
      </c>
      <c r="Q102" s="210" t="str">
        <f>IF(P102="","",VLOOKUP(_xlfn.DAYS(入力シート!$J$24,'従業員情報(給与以外)'!$C102)/365,入力リスト!$K$18:$L$26,2,2))</f>
        <v/>
      </c>
      <c r="R102" s="209" t="str">
        <f>IF(D102="","",VLOOKUP('従業員情報(給与以外)'!$D102,入力シート!$AW$37:$BB$38,4,0))</f>
        <v/>
      </c>
      <c r="S102" s="209" t="str">
        <f>IF(A102="","",IF(E102="","非役職",VLOOKUP('従業員情報(給与以外)'!$E102,入力シート!$AH$37:$AO$62,5,0)))</f>
        <v/>
      </c>
      <c r="T102" s="102" t="str">
        <f>IF(OR(入力シート!$C$5&lt;&gt;入力リスト!$C$3,COUNTIF(入力シート!$J$16:$S$23,入力リスト!$H$9)=0),"",IF($A102="","",IF(ISERROR(AVERAGEIF(従業員の給与情報!$B:$B,$A102,従業員の給与情報!$C:$C)),0,IF(ISERROR(AVERAGEIF(従業員の給与情報!$B:$B,$A102,従業員の給与情報!$C:$C)),0,AVERAGEIF(従業員の給与情報!$B:$B,$A102,従業員の給与情報!$C:$C)))))</f>
        <v/>
      </c>
      <c r="U102" s="102" t="str">
        <f>IF(OR(入力シート!$C$5&lt;&gt;入力リスト!$C$3,COUNTIF(入力シート!$J$16:$S$23,入力リスト!$H$9)=0),"",IF(A102="","",IF(ISERROR(AVERAGEIF(従業員の給与情報!$B:$B,$A102,従業員の給与情報!$D:$D)),0,IF(ISERROR(AVERAGEIF(従業員の給与情報!$B:$B,$A102,従業員の給与情報!$D:$D)),0,AVERAGEIF(従業員の給与情報!$B:$B,$A102,従業員の給与情報!$D:$D)))))</f>
        <v/>
      </c>
      <c r="V102" s="102" t="str">
        <f>IF(OR(入力シート!$C$5&lt;&gt;入力リスト!$C$3,COUNTIF(入力シート!$J$16:$S$23,入力リスト!$H$9)=0),"",IF(A102="","",IF(ISERROR(AVERAGEIF(従業員の給与情報!$B:$B,$A102,従業員の給与情報!$E:$E)),0,IF(ISERROR(AVERAGEIF(従業員の給与情報!$B:$B,$A102,従業員の給与情報!$E:$E)),0,AVERAGEIF(従業員の給与情報!$B:$B,$A102,従業員の給与情報!$E:$E)))))</f>
        <v/>
      </c>
      <c r="W102" s="103" t="str">
        <f>IF(OR(入力シート!$C$5&lt;&gt;入力リスト!$C$3,COUNTIF(入力シート!$J$16:$S$23,入力リスト!$H$9)=0),"",IF(A102="","",IF(ISERROR(AVERAGEIF(従業員の給与情報!$B:$B,$A102,従業員の給与情報!$F:$F)),0,IF(ISERROR(AVERAGEIF(従業員の給与情報!$B:$B,$A102,従業員の給与情報!$F:$F)),0,AVERAGEIF(従業員の給与情報!$B:$B,$A102,従業員の給与情報!$F:$F)))))</f>
        <v/>
      </c>
    </row>
    <row r="103" spans="1:23" s="10" customFormat="1" ht="19.8">
      <c r="A103" s="252"/>
      <c r="B103" s="249"/>
      <c r="C103" s="250"/>
      <c r="D103" s="251"/>
      <c r="E103" s="252"/>
      <c r="F103" s="257" t="str">
        <f>IF($G$1,"",IF(COUNTIF(A103:E103,"")=5,"",IF(G103,入力リスト!$K$28,IF(OR(A103="",B103="",IF(COUNTIF($C$3,"*不要*"),"",C103=""),D103=""),IF(A103="","従業員番号","")&amp;IF(B103="","「雇用形態」","")&amp;IF(OR(入力シート!$J$18=入力リスト!$H$9,入力シート!$J$22=入力リスト!$H$9),IF(C103="","「入社年月日」",""),"")&amp;IF(D103="","「性別」","")&amp;IF(IF(A103="","従業員番号","")&amp;IF(B103="","「雇用形態」","")&amp;IF(OR(入力シート!$J$18=入力リスト!$H$9,入力シート!$J$22=入力リスト!$H$9),IF(C103="","「入社年月日」",""),"")&amp;IF(D103="","「性別」","")="","",入力リスト!$K$29),IF(J103,入力リスト!$K$30,"")&amp;IF(I103,入力リスト!$K$31,"")&amp;IF(H103,"「雇用形態」","")&amp;IF(K103,"「性別」","")&amp;IF(L103,"「役職」","")&amp;IF(OR(H103,K103,L103),入力リスト!$K$32,"")))))</f>
        <v/>
      </c>
      <c r="G103" s="209" t="b">
        <f>COUNTIF($A$4:A102,$A103)&gt;0</f>
        <v>0</v>
      </c>
      <c r="H103" s="210" t="b">
        <f>IF($H$1,FALSE,COUNTIF(入力シート!$S$37:$V$62,B103)=0)</f>
        <v>0</v>
      </c>
      <c r="I103" s="210" t="b">
        <f t="shared" si="4"/>
        <v>0</v>
      </c>
      <c r="J103" s="210" t="b">
        <f>IF($J$1,FALSE,IF(I103=TRUE,FALSE,IF(I103,FALSE,C103&gt;入力シート!$J$24)))</f>
        <v>0</v>
      </c>
      <c r="K103" s="210" t="b">
        <f>IF($K$1,FALSE,COUNTIF(入力シート!$AW$37:$BB$38,D103)=0)</f>
        <v>0</v>
      </c>
      <c r="L103" s="210" t="b">
        <f>IF($L$1,FALSE,IF($L$3,FALSE,IF(E103="",FALSE,COUNTIF(入力シート!$AH$37:$AK$62,E103)=0)))</f>
        <v>0</v>
      </c>
      <c r="M103" s="211" t="str">
        <f t="shared" si="3"/>
        <v/>
      </c>
      <c r="N103" s="211"/>
      <c r="O103" s="209" t="str">
        <f>IF(B103="","",VLOOKUP('従業員情報(給与以外)'!$B103,入力シート!$S$37:$Z$62,5,0))</f>
        <v/>
      </c>
      <c r="P103" s="156" t="str">
        <f>IF(ISNUMBER(C103)=FALSE,"",IF(C103&gt;入力シート!$J$24,"",_xlfn.DAYS(入力シート!$J$24,'従業員情報(給与以外)'!$C103)/365))</f>
        <v/>
      </c>
      <c r="Q103" s="210" t="str">
        <f>IF(P103="","",VLOOKUP(_xlfn.DAYS(入力シート!$J$24,'従業員情報(給与以外)'!$C103)/365,入力リスト!$K$18:$L$26,2,2))</f>
        <v/>
      </c>
      <c r="R103" s="209" t="str">
        <f>IF(D103="","",VLOOKUP('従業員情報(給与以外)'!$D103,入力シート!$AW$37:$BB$38,4,0))</f>
        <v/>
      </c>
      <c r="S103" s="209" t="str">
        <f>IF(A103="","",IF(E103="","非役職",VLOOKUP('従業員情報(給与以外)'!$E103,入力シート!$AH$37:$AO$62,5,0)))</f>
        <v/>
      </c>
      <c r="T103" s="102" t="str">
        <f>IF(OR(入力シート!$C$5&lt;&gt;入力リスト!$C$3,COUNTIF(入力シート!$J$16:$S$23,入力リスト!$H$9)=0),"",IF($A103="","",IF(ISERROR(AVERAGEIF(従業員の給与情報!$B:$B,$A103,従業員の給与情報!$C:$C)),0,IF(ISERROR(AVERAGEIF(従業員の給与情報!$B:$B,$A103,従業員の給与情報!$C:$C)),0,AVERAGEIF(従業員の給与情報!$B:$B,$A103,従業員の給与情報!$C:$C)))))</f>
        <v/>
      </c>
      <c r="U103" s="102" t="str">
        <f>IF(OR(入力シート!$C$5&lt;&gt;入力リスト!$C$3,COUNTIF(入力シート!$J$16:$S$23,入力リスト!$H$9)=0),"",IF(A103="","",IF(ISERROR(AVERAGEIF(従業員の給与情報!$B:$B,$A103,従業員の給与情報!$D:$D)),0,IF(ISERROR(AVERAGEIF(従業員の給与情報!$B:$B,$A103,従業員の給与情報!$D:$D)),0,AVERAGEIF(従業員の給与情報!$B:$B,$A103,従業員の給与情報!$D:$D)))))</f>
        <v/>
      </c>
      <c r="V103" s="102" t="str">
        <f>IF(OR(入力シート!$C$5&lt;&gt;入力リスト!$C$3,COUNTIF(入力シート!$J$16:$S$23,入力リスト!$H$9)=0),"",IF(A103="","",IF(ISERROR(AVERAGEIF(従業員の給与情報!$B:$B,$A103,従業員の給与情報!$E:$E)),0,IF(ISERROR(AVERAGEIF(従業員の給与情報!$B:$B,$A103,従業員の給与情報!$E:$E)),0,AVERAGEIF(従業員の給与情報!$B:$B,$A103,従業員の給与情報!$E:$E)))))</f>
        <v/>
      </c>
      <c r="W103" s="103" t="str">
        <f>IF(OR(入力シート!$C$5&lt;&gt;入力リスト!$C$3,COUNTIF(入力シート!$J$16:$S$23,入力リスト!$H$9)=0),"",IF(A103="","",IF(ISERROR(AVERAGEIF(従業員の給与情報!$B:$B,$A103,従業員の給与情報!$F:$F)),0,IF(ISERROR(AVERAGEIF(従業員の給与情報!$B:$B,$A103,従業員の給与情報!$F:$F)),0,AVERAGEIF(従業員の給与情報!$B:$B,$A103,従業員の給与情報!$F:$F)))))</f>
        <v/>
      </c>
    </row>
    <row r="104" spans="1:23" s="10" customFormat="1" ht="19.8">
      <c r="A104" s="252"/>
      <c r="B104" s="249"/>
      <c r="C104" s="250"/>
      <c r="D104" s="251"/>
      <c r="E104" s="252"/>
      <c r="F104" s="257" t="str">
        <f>IF($G$1,"",IF(COUNTIF(A104:E104,"")=5,"",IF(G104,入力リスト!$K$28,IF(OR(A104="",B104="",IF(COUNTIF($C$3,"*不要*"),"",C104=""),D104=""),IF(A104="","従業員番号","")&amp;IF(B104="","「雇用形態」","")&amp;IF(OR(入力シート!$J$18=入力リスト!$H$9,入力シート!$J$22=入力リスト!$H$9),IF(C104="","「入社年月日」",""),"")&amp;IF(D104="","「性別」","")&amp;IF(IF(A104="","従業員番号","")&amp;IF(B104="","「雇用形態」","")&amp;IF(OR(入力シート!$J$18=入力リスト!$H$9,入力シート!$J$22=入力リスト!$H$9),IF(C104="","「入社年月日」",""),"")&amp;IF(D104="","「性別」","")="","",入力リスト!$K$29),IF(J104,入力リスト!$K$30,"")&amp;IF(I104,入力リスト!$K$31,"")&amp;IF(H104,"「雇用形態」","")&amp;IF(K104,"「性別」","")&amp;IF(L104,"「役職」","")&amp;IF(OR(H104,K104,L104),入力リスト!$K$32,"")))))</f>
        <v/>
      </c>
      <c r="G104" s="209" t="b">
        <f>COUNTIF($A$4:A103,$A104)&gt;0</f>
        <v>0</v>
      </c>
      <c r="H104" s="210" t="b">
        <f>IF($H$1,FALSE,COUNTIF(入力シート!$S$37:$V$62,B104)=0)</f>
        <v>0</v>
      </c>
      <c r="I104" s="210" t="b">
        <f t="shared" si="4"/>
        <v>0</v>
      </c>
      <c r="J104" s="210" t="b">
        <f>IF($J$1,FALSE,IF(I104=TRUE,FALSE,IF(I104,FALSE,C104&gt;入力シート!$J$24)))</f>
        <v>0</v>
      </c>
      <c r="K104" s="210" t="b">
        <f>IF($K$1,FALSE,COUNTIF(入力シート!$AW$37:$BB$38,D104)=0)</f>
        <v>0</v>
      </c>
      <c r="L104" s="210" t="b">
        <f>IF($L$1,FALSE,IF($L$3,FALSE,IF(E104="",FALSE,COUNTIF(入力シート!$AH$37:$AK$62,E104)=0)))</f>
        <v>0</v>
      </c>
      <c r="M104" s="211" t="str">
        <f t="shared" si="3"/>
        <v/>
      </c>
      <c r="N104" s="211"/>
      <c r="O104" s="209" t="str">
        <f>IF(B104="","",VLOOKUP('従業員情報(給与以外)'!$B104,入力シート!$S$37:$Z$62,5,0))</f>
        <v/>
      </c>
      <c r="P104" s="156" t="str">
        <f>IF(ISNUMBER(C104)=FALSE,"",IF(C104&gt;入力シート!$J$24,"",_xlfn.DAYS(入力シート!$J$24,'従業員情報(給与以外)'!$C104)/365))</f>
        <v/>
      </c>
      <c r="Q104" s="210" t="str">
        <f>IF(P104="","",VLOOKUP(_xlfn.DAYS(入力シート!$J$24,'従業員情報(給与以外)'!$C104)/365,入力リスト!$K$18:$L$26,2,2))</f>
        <v/>
      </c>
      <c r="R104" s="209" t="str">
        <f>IF(D104="","",VLOOKUP('従業員情報(給与以外)'!$D104,入力シート!$AW$37:$BB$38,4,0))</f>
        <v/>
      </c>
      <c r="S104" s="209" t="str">
        <f>IF(A104="","",IF(E104="","非役職",VLOOKUP('従業員情報(給与以外)'!$E104,入力シート!$AH$37:$AO$62,5,0)))</f>
        <v/>
      </c>
      <c r="T104" s="102" t="str">
        <f>IF(OR(入力シート!$C$5&lt;&gt;入力リスト!$C$3,COUNTIF(入力シート!$J$16:$S$23,入力リスト!$H$9)=0),"",IF($A104="","",IF(ISERROR(AVERAGEIF(従業員の給与情報!$B:$B,$A104,従業員の給与情報!$C:$C)),0,IF(ISERROR(AVERAGEIF(従業員の給与情報!$B:$B,$A104,従業員の給与情報!$C:$C)),0,AVERAGEIF(従業員の給与情報!$B:$B,$A104,従業員の給与情報!$C:$C)))))</f>
        <v/>
      </c>
      <c r="U104" s="102" t="str">
        <f>IF(OR(入力シート!$C$5&lt;&gt;入力リスト!$C$3,COUNTIF(入力シート!$J$16:$S$23,入力リスト!$H$9)=0),"",IF(A104="","",IF(ISERROR(AVERAGEIF(従業員の給与情報!$B:$B,$A104,従業員の給与情報!$D:$D)),0,IF(ISERROR(AVERAGEIF(従業員の給与情報!$B:$B,$A104,従業員の給与情報!$D:$D)),0,AVERAGEIF(従業員の給与情報!$B:$B,$A104,従業員の給与情報!$D:$D)))))</f>
        <v/>
      </c>
      <c r="V104" s="102" t="str">
        <f>IF(OR(入力シート!$C$5&lt;&gt;入力リスト!$C$3,COUNTIF(入力シート!$J$16:$S$23,入力リスト!$H$9)=0),"",IF(A104="","",IF(ISERROR(AVERAGEIF(従業員の給与情報!$B:$B,$A104,従業員の給与情報!$E:$E)),0,IF(ISERROR(AVERAGEIF(従業員の給与情報!$B:$B,$A104,従業員の給与情報!$E:$E)),0,AVERAGEIF(従業員の給与情報!$B:$B,$A104,従業員の給与情報!$E:$E)))))</f>
        <v/>
      </c>
      <c r="W104" s="103" t="str">
        <f>IF(OR(入力シート!$C$5&lt;&gt;入力リスト!$C$3,COUNTIF(入力シート!$J$16:$S$23,入力リスト!$H$9)=0),"",IF(A104="","",IF(ISERROR(AVERAGEIF(従業員の給与情報!$B:$B,$A104,従業員の給与情報!$F:$F)),0,IF(ISERROR(AVERAGEIF(従業員の給与情報!$B:$B,$A104,従業員の給与情報!$F:$F)),0,AVERAGEIF(従業員の給与情報!$B:$B,$A104,従業員の給与情報!$F:$F)))))</f>
        <v/>
      </c>
    </row>
    <row r="105" spans="1:23" s="10" customFormat="1" ht="19.8">
      <c r="A105" s="252"/>
      <c r="B105" s="249"/>
      <c r="C105" s="250"/>
      <c r="D105" s="251"/>
      <c r="E105" s="252"/>
      <c r="F105" s="257" t="str">
        <f>IF($G$1,"",IF(COUNTIF(A105:E105,"")=5,"",IF(G105,入力リスト!$K$28,IF(OR(A105="",B105="",IF(COUNTIF($C$3,"*不要*"),"",C105=""),D105=""),IF(A105="","従業員番号","")&amp;IF(B105="","「雇用形態」","")&amp;IF(OR(入力シート!$J$18=入力リスト!$H$9,入力シート!$J$22=入力リスト!$H$9),IF(C105="","「入社年月日」",""),"")&amp;IF(D105="","「性別」","")&amp;IF(IF(A105="","従業員番号","")&amp;IF(B105="","「雇用形態」","")&amp;IF(OR(入力シート!$J$18=入力リスト!$H$9,入力シート!$J$22=入力リスト!$H$9),IF(C105="","「入社年月日」",""),"")&amp;IF(D105="","「性別」","")="","",入力リスト!$K$29),IF(J105,入力リスト!$K$30,"")&amp;IF(I105,入力リスト!$K$31,"")&amp;IF(H105,"「雇用形態」","")&amp;IF(K105,"「性別」","")&amp;IF(L105,"「役職」","")&amp;IF(OR(H105,K105,L105),入力リスト!$K$32,"")))))</f>
        <v/>
      </c>
      <c r="G105" s="209" t="b">
        <f>COUNTIF($A$4:A104,$A105)&gt;0</f>
        <v>0</v>
      </c>
      <c r="H105" s="210" t="b">
        <f>IF($H$1,FALSE,COUNTIF(入力シート!$S$37:$V$62,B105)=0)</f>
        <v>0</v>
      </c>
      <c r="I105" s="210" t="b">
        <f t="shared" si="4"/>
        <v>0</v>
      </c>
      <c r="J105" s="210" t="b">
        <f>IF($J$1,FALSE,IF(I105=TRUE,FALSE,IF(I105,FALSE,C105&gt;入力シート!$J$24)))</f>
        <v>0</v>
      </c>
      <c r="K105" s="210" t="b">
        <f>IF($K$1,FALSE,COUNTIF(入力シート!$AW$37:$BB$38,D105)=0)</f>
        <v>0</v>
      </c>
      <c r="L105" s="210" t="b">
        <f>IF($L$1,FALSE,IF($L$3,FALSE,IF(E105="",FALSE,COUNTIF(入力シート!$AH$37:$AK$62,E105)=0)))</f>
        <v>0</v>
      </c>
      <c r="M105" s="211" t="str">
        <f t="shared" si="3"/>
        <v/>
      </c>
      <c r="N105" s="211"/>
      <c r="O105" s="209" t="str">
        <f>IF(B105="","",VLOOKUP('従業員情報(給与以外)'!$B105,入力シート!$S$37:$Z$62,5,0))</f>
        <v/>
      </c>
      <c r="P105" s="156" t="str">
        <f>IF(ISNUMBER(C105)=FALSE,"",IF(C105&gt;入力シート!$J$24,"",_xlfn.DAYS(入力シート!$J$24,'従業員情報(給与以外)'!$C105)/365))</f>
        <v/>
      </c>
      <c r="Q105" s="210" t="str">
        <f>IF(P105="","",VLOOKUP(_xlfn.DAYS(入力シート!$J$24,'従業員情報(給与以外)'!$C105)/365,入力リスト!$K$18:$L$26,2,2))</f>
        <v/>
      </c>
      <c r="R105" s="209" t="str">
        <f>IF(D105="","",VLOOKUP('従業員情報(給与以外)'!$D105,入力シート!$AW$37:$BB$38,4,0))</f>
        <v/>
      </c>
      <c r="S105" s="209" t="str">
        <f>IF(A105="","",IF(E105="","非役職",VLOOKUP('従業員情報(給与以外)'!$E105,入力シート!$AH$37:$AO$62,5,0)))</f>
        <v/>
      </c>
      <c r="T105" s="102" t="str">
        <f>IF(OR(入力シート!$C$5&lt;&gt;入力リスト!$C$3,COUNTIF(入力シート!$J$16:$S$23,入力リスト!$H$9)=0),"",IF($A105="","",IF(ISERROR(AVERAGEIF(従業員の給与情報!$B:$B,$A105,従業員の給与情報!$C:$C)),0,IF(ISERROR(AVERAGEIF(従業員の給与情報!$B:$B,$A105,従業員の給与情報!$C:$C)),0,AVERAGEIF(従業員の給与情報!$B:$B,$A105,従業員の給与情報!$C:$C)))))</f>
        <v/>
      </c>
      <c r="U105" s="102" t="str">
        <f>IF(OR(入力シート!$C$5&lt;&gt;入力リスト!$C$3,COUNTIF(入力シート!$J$16:$S$23,入力リスト!$H$9)=0),"",IF(A105="","",IF(ISERROR(AVERAGEIF(従業員の給与情報!$B:$B,$A105,従業員の給与情報!$D:$D)),0,IF(ISERROR(AVERAGEIF(従業員の給与情報!$B:$B,$A105,従業員の給与情報!$D:$D)),0,AVERAGEIF(従業員の給与情報!$B:$B,$A105,従業員の給与情報!$D:$D)))))</f>
        <v/>
      </c>
      <c r="V105" s="102" t="str">
        <f>IF(OR(入力シート!$C$5&lt;&gt;入力リスト!$C$3,COUNTIF(入力シート!$J$16:$S$23,入力リスト!$H$9)=0),"",IF(A105="","",IF(ISERROR(AVERAGEIF(従業員の給与情報!$B:$B,$A105,従業員の給与情報!$E:$E)),0,IF(ISERROR(AVERAGEIF(従業員の給与情報!$B:$B,$A105,従業員の給与情報!$E:$E)),0,AVERAGEIF(従業員の給与情報!$B:$B,$A105,従業員の給与情報!$E:$E)))))</f>
        <v/>
      </c>
      <c r="W105" s="103" t="str">
        <f>IF(OR(入力シート!$C$5&lt;&gt;入力リスト!$C$3,COUNTIF(入力シート!$J$16:$S$23,入力リスト!$H$9)=0),"",IF(A105="","",IF(ISERROR(AVERAGEIF(従業員の給与情報!$B:$B,$A105,従業員の給与情報!$F:$F)),0,IF(ISERROR(AVERAGEIF(従業員の給与情報!$B:$B,$A105,従業員の給与情報!$F:$F)),0,AVERAGEIF(従業員の給与情報!$B:$B,$A105,従業員の給与情報!$F:$F)))))</f>
        <v/>
      </c>
    </row>
    <row r="106" spans="1:23" s="10" customFormat="1" ht="19.8">
      <c r="A106" s="252"/>
      <c r="B106" s="249"/>
      <c r="C106" s="250"/>
      <c r="D106" s="251"/>
      <c r="E106" s="249"/>
      <c r="F106" s="257" t="str">
        <f>IF($G$1,"",IF(COUNTIF(A106:E106,"")=5,"",IF(G106,入力リスト!$K$28,IF(OR(A106="",B106="",IF(COUNTIF($C$3,"*不要*"),"",C106=""),D106=""),IF(A106="","従業員番号","")&amp;IF(B106="","「雇用形態」","")&amp;IF(OR(入力シート!$J$18=入力リスト!$H$9,入力シート!$J$22=入力リスト!$H$9),IF(C106="","「入社年月日」",""),"")&amp;IF(D106="","「性別」","")&amp;IF(IF(A106="","従業員番号","")&amp;IF(B106="","「雇用形態」","")&amp;IF(OR(入力シート!$J$18=入力リスト!$H$9,入力シート!$J$22=入力リスト!$H$9),IF(C106="","「入社年月日」",""),"")&amp;IF(D106="","「性別」","")="","",入力リスト!$K$29),IF(J106,入力リスト!$K$30,"")&amp;IF(I106,入力リスト!$K$31,"")&amp;IF(H106,"「雇用形態」","")&amp;IF(K106,"「性別」","")&amp;IF(L106,"「役職」","")&amp;IF(OR(H106,K106,L106),入力リスト!$K$32,"")))))</f>
        <v/>
      </c>
      <c r="G106" s="209" t="b">
        <f>COUNTIF($A$4:A105,$A106)&gt;0</f>
        <v>0</v>
      </c>
      <c r="H106" s="210" t="b">
        <f>IF($H$1,FALSE,COUNTIF(入力シート!$S$37:$V$62,B106)=0)</f>
        <v>0</v>
      </c>
      <c r="I106" s="210" t="b">
        <f t="shared" si="4"/>
        <v>0</v>
      </c>
      <c r="J106" s="210" t="b">
        <f>IF($J$1,FALSE,IF(I106=TRUE,FALSE,IF(I106,FALSE,C106&gt;入力シート!$J$24)))</f>
        <v>0</v>
      </c>
      <c r="K106" s="210" t="b">
        <f>IF($K$1,FALSE,COUNTIF(入力シート!$AW$37:$BB$38,D106)=0)</f>
        <v>0</v>
      </c>
      <c r="L106" s="210" t="b">
        <f>IF($L$1,FALSE,IF($L$3,FALSE,IF(E106="",FALSE,COUNTIF(入力シート!$AH$37:$AK$62,E106)=0)))</f>
        <v>0</v>
      </c>
      <c r="M106" s="211" t="str">
        <f t="shared" si="3"/>
        <v/>
      </c>
      <c r="N106" s="211"/>
      <c r="O106" s="209" t="str">
        <f>IF(B106="","",VLOOKUP('従業員情報(給与以外)'!$B106,入力シート!$S$37:$Z$62,5,0))</f>
        <v/>
      </c>
      <c r="P106" s="156" t="str">
        <f>IF(ISNUMBER(C106)=FALSE,"",IF(C106&gt;入力シート!$J$24,"",_xlfn.DAYS(入力シート!$J$24,'従業員情報(給与以外)'!$C106)/365))</f>
        <v/>
      </c>
      <c r="Q106" s="210" t="str">
        <f>IF(P106="","",VLOOKUP(_xlfn.DAYS(入力シート!$J$24,'従業員情報(給与以外)'!$C106)/365,入力リスト!$K$18:$L$26,2,2))</f>
        <v/>
      </c>
      <c r="R106" s="209" t="str">
        <f>IF(D106="","",VLOOKUP('従業員情報(給与以外)'!$D106,入力シート!$AW$37:$BB$38,4,0))</f>
        <v/>
      </c>
      <c r="S106" s="209" t="str">
        <f>IF(A106="","",IF(E106="","非役職",VLOOKUP('従業員情報(給与以外)'!$E106,入力シート!$AH$37:$AO$62,5,0)))</f>
        <v/>
      </c>
      <c r="T106" s="102" t="str">
        <f>IF(OR(入力シート!$C$5&lt;&gt;入力リスト!$C$3,COUNTIF(入力シート!$J$16:$S$23,入力リスト!$H$9)=0),"",IF($A106="","",IF(ISERROR(AVERAGEIF(従業員の給与情報!$B:$B,$A106,従業員の給与情報!$C:$C)),0,IF(ISERROR(AVERAGEIF(従業員の給与情報!$B:$B,$A106,従業員の給与情報!$C:$C)),0,AVERAGEIF(従業員の給与情報!$B:$B,$A106,従業員の給与情報!$C:$C)))))</f>
        <v/>
      </c>
      <c r="U106" s="102" t="str">
        <f>IF(OR(入力シート!$C$5&lt;&gt;入力リスト!$C$3,COUNTIF(入力シート!$J$16:$S$23,入力リスト!$H$9)=0),"",IF(A106="","",IF(ISERROR(AVERAGEIF(従業員の給与情報!$B:$B,$A106,従業員の給与情報!$D:$D)),0,IF(ISERROR(AVERAGEIF(従業員の給与情報!$B:$B,$A106,従業員の給与情報!$D:$D)),0,AVERAGEIF(従業員の給与情報!$B:$B,$A106,従業員の給与情報!$D:$D)))))</f>
        <v/>
      </c>
      <c r="V106" s="102" t="str">
        <f>IF(OR(入力シート!$C$5&lt;&gt;入力リスト!$C$3,COUNTIF(入力シート!$J$16:$S$23,入力リスト!$H$9)=0),"",IF(A106="","",IF(ISERROR(AVERAGEIF(従業員の給与情報!$B:$B,$A106,従業員の給与情報!$E:$E)),0,IF(ISERROR(AVERAGEIF(従業員の給与情報!$B:$B,$A106,従業員の給与情報!$E:$E)),0,AVERAGEIF(従業員の給与情報!$B:$B,$A106,従業員の給与情報!$E:$E)))))</f>
        <v/>
      </c>
      <c r="W106" s="103" t="str">
        <f>IF(OR(入力シート!$C$5&lt;&gt;入力リスト!$C$3,COUNTIF(入力シート!$J$16:$S$23,入力リスト!$H$9)=0),"",IF(A106="","",IF(ISERROR(AVERAGEIF(従業員の給与情報!$B:$B,$A106,従業員の給与情報!$F:$F)),0,IF(ISERROR(AVERAGEIF(従業員の給与情報!$B:$B,$A106,従業員の給与情報!$F:$F)),0,AVERAGEIF(従業員の給与情報!$B:$B,$A106,従業員の給与情報!$F:$F)))))</f>
        <v/>
      </c>
    </row>
    <row r="107" spans="1:23" s="10" customFormat="1" ht="19.8">
      <c r="A107" s="252"/>
      <c r="B107" s="249"/>
      <c r="C107" s="250"/>
      <c r="D107" s="251"/>
      <c r="E107" s="252"/>
      <c r="F107" s="257" t="str">
        <f>IF($G$1,"",IF(COUNTIF(A107:E107,"")=5,"",IF(G107,入力リスト!$K$28,IF(OR(A107="",B107="",IF(COUNTIF($C$3,"*不要*"),"",C107=""),D107=""),IF(A107="","従業員番号","")&amp;IF(B107="","「雇用形態」","")&amp;IF(OR(入力シート!$J$18=入力リスト!$H$9,入力シート!$J$22=入力リスト!$H$9),IF(C107="","「入社年月日」",""),"")&amp;IF(D107="","「性別」","")&amp;IF(IF(A107="","従業員番号","")&amp;IF(B107="","「雇用形態」","")&amp;IF(OR(入力シート!$J$18=入力リスト!$H$9,入力シート!$J$22=入力リスト!$H$9),IF(C107="","「入社年月日」",""),"")&amp;IF(D107="","「性別」","")="","",入力リスト!$K$29),IF(J107,入力リスト!$K$30,"")&amp;IF(I107,入力リスト!$K$31,"")&amp;IF(H107,"「雇用形態」","")&amp;IF(K107,"「性別」","")&amp;IF(L107,"「役職」","")&amp;IF(OR(H107,K107,L107),入力リスト!$K$32,"")))))</f>
        <v/>
      </c>
      <c r="G107" s="209" t="b">
        <f>COUNTIF($A$4:A106,$A107)&gt;0</f>
        <v>0</v>
      </c>
      <c r="H107" s="210" t="b">
        <f>IF($H$1,FALSE,COUNTIF(入力シート!$S$37:$V$62,B107)=0)</f>
        <v>0</v>
      </c>
      <c r="I107" s="210" t="b">
        <f t="shared" si="4"/>
        <v>0</v>
      </c>
      <c r="J107" s="210" t="b">
        <f>IF($J$1,FALSE,IF(I107=TRUE,FALSE,IF(I107,FALSE,C107&gt;入力シート!$J$24)))</f>
        <v>0</v>
      </c>
      <c r="K107" s="210" t="b">
        <f>IF($K$1,FALSE,COUNTIF(入力シート!$AW$37:$BB$38,D107)=0)</f>
        <v>0</v>
      </c>
      <c r="L107" s="210" t="b">
        <f>IF($L$1,FALSE,IF($L$3,FALSE,IF(E107="",FALSE,COUNTIF(入力シート!$AH$37:$AK$62,E107)=0)))</f>
        <v>0</v>
      </c>
      <c r="M107" s="211" t="str">
        <f t="shared" si="3"/>
        <v/>
      </c>
      <c r="N107" s="211"/>
      <c r="O107" s="209" t="str">
        <f>IF(B107="","",VLOOKUP('従業員情報(給与以外)'!$B107,入力シート!$S$37:$Z$62,5,0))</f>
        <v/>
      </c>
      <c r="P107" s="156" t="str">
        <f>IF(ISNUMBER(C107)=FALSE,"",IF(C107&gt;入力シート!$J$24,"",_xlfn.DAYS(入力シート!$J$24,'従業員情報(給与以外)'!$C107)/365))</f>
        <v/>
      </c>
      <c r="Q107" s="210" t="str">
        <f>IF(P107="","",VLOOKUP(_xlfn.DAYS(入力シート!$J$24,'従業員情報(給与以外)'!$C107)/365,入力リスト!$K$18:$L$26,2,2))</f>
        <v/>
      </c>
      <c r="R107" s="209" t="str">
        <f>IF(D107="","",VLOOKUP('従業員情報(給与以外)'!$D107,入力シート!$AW$37:$BB$38,4,0))</f>
        <v/>
      </c>
      <c r="S107" s="209" t="str">
        <f>IF(A107="","",IF(E107="","非役職",VLOOKUP('従業員情報(給与以外)'!$E107,入力シート!$AH$37:$AO$62,5,0)))</f>
        <v/>
      </c>
      <c r="T107" s="102" t="str">
        <f>IF(OR(入力シート!$C$5&lt;&gt;入力リスト!$C$3,COUNTIF(入力シート!$J$16:$S$23,入力リスト!$H$9)=0),"",IF($A107="","",IF(ISERROR(AVERAGEIF(従業員の給与情報!$B:$B,$A107,従業員の給与情報!$C:$C)),0,IF(ISERROR(AVERAGEIF(従業員の給与情報!$B:$B,$A107,従業員の給与情報!$C:$C)),0,AVERAGEIF(従業員の給与情報!$B:$B,$A107,従業員の給与情報!$C:$C)))))</f>
        <v/>
      </c>
      <c r="U107" s="102" t="str">
        <f>IF(OR(入力シート!$C$5&lt;&gt;入力リスト!$C$3,COUNTIF(入力シート!$J$16:$S$23,入力リスト!$H$9)=0),"",IF(A107="","",IF(ISERROR(AVERAGEIF(従業員の給与情報!$B:$B,$A107,従業員の給与情報!$D:$D)),0,IF(ISERROR(AVERAGEIF(従業員の給与情報!$B:$B,$A107,従業員の給与情報!$D:$D)),0,AVERAGEIF(従業員の給与情報!$B:$B,$A107,従業員の給与情報!$D:$D)))))</f>
        <v/>
      </c>
      <c r="V107" s="102" t="str">
        <f>IF(OR(入力シート!$C$5&lt;&gt;入力リスト!$C$3,COUNTIF(入力シート!$J$16:$S$23,入力リスト!$H$9)=0),"",IF(A107="","",IF(ISERROR(AVERAGEIF(従業員の給与情報!$B:$B,$A107,従業員の給与情報!$E:$E)),0,IF(ISERROR(AVERAGEIF(従業員の給与情報!$B:$B,$A107,従業員の給与情報!$E:$E)),0,AVERAGEIF(従業員の給与情報!$B:$B,$A107,従業員の給与情報!$E:$E)))))</f>
        <v/>
      </c>
      <c r="W107" s="103" t="str">
        <f>IF(OR(入力シート!$C$5&lt;&gt;入力リスト!$C$3,COUNTIF(入力シート!$J$16:$S$23,入力リスト!$H$9)=0),"",IF(A107="","",IF(ISERROR(AVERAGEIF(従業員の給与情報!$B:$B,$A107,従業員の給与情報!$F:$F)),0,IF(ISERROR(AVERAGEIF(従業員の給与情報!$B:$B,$A107,従業員の給与情報!$F:$F)),0,AVERAGEIF(従業員の給与情報!$B:$B,$A107,従業員の給与情報!$F:$F)))))</f>
        <v/>
      </c>
    </row>
    <row r="108" spans="1:23" s="10" customFormat="1" ht="19.8">
      <c r="A108" s="252"/>
      <c r="B108" s="249"/>
      <c r="C108" s="250"/>
      <c r="D108" s="251"/>
      <c r="E108" s="252"/>
      <c r="F108" s="257" t="str">
        <f>IF($G$1,"",IF(COUNTIF(A108:E108,"")=5,"",IF(G108,入力リスト!$K$28,IF(OR(A108="",B108="",IF(COUNTIF($C$3,"*不要*"),"",C108=""),D108=""),IF(A108="","従業員番号","")&amp;IF(B108="","「雇用形態」","")&amp;IF(OR(入力シート!$J$18=入力リスト!$H$9,入力シート!$J$22=入力リスト!$H$9),IF(C108="","「入社年月日」",""),"")&amp;IF(D108="","「性別」","")&amp;IF(IF(A108="","従業員番号","")&amp;IF(B108="","「雇用形態」","")&amp;IF(OR(入力シート!$J$18=入力リスト!$H$9,入力シート!$J$22=入力リスト!$H$9),IF(C108="","「入社年月日」",""),"")&amp;IF(D108="","「性別」","")="","",入力リスト!$K$29),IF(J108,入力リスト!$K$30,"")&amp;IF(I108,入力リスト!$K$31,"")&amp;IF(H108,"「雇用形態」","")&amp;IF(K108,"「性別」","")&amp;IF(L108,"「役職」","")&amp;IF(OR(H108,K108,L108),入力リスト!$K$32,"")))))</f>
        <v/>
      </c>
      <c r="G108" s="209" t="b">
        <f>COUNTIF($A$4:A107,$A108)&gt;0</f>
        <v>0</v>
      </c>
      <c r="H108" s="210" t="b">
        <f>IF($H$1,FALSE,COUNTIF(入力シート!$S$37:$V$62,B108)=0)</f>
        <v>0</v>
      </c>
      <c r="I108" s="210" t="b">
        <f t="shared" si="4"/>
        <v>0</v>
      </c>
      <c r="J108" s="210" t="b">
        <f>IF($J$1,FALSE,IF(I108=TRUE,FALSE,IF(I108,FALSE,C108&gt;入力シート!$J$24)))</f>
        <v>0</v>
      </c>
      <c r="K108" s="210" t="b">
        <f>IF($K$1,FALSE,COUNTIF(入力シート!$AW$37:$BB$38,D108)=0)</f>
        <v>0</v>
      </c>
      <c r="L108" s="210" t="b">
        <f>IF($L$1,FALSE,IF($L$3,FALSE,IF(E108="",FALSE,COUNTIF(入力シート!$AH$37:$AK$62,E108)=0)))</f>
        <v>0</v>
      </c>
      <c r="M108" s="211" t="str">
        <f t="shared" si="3"/>
        <v/>
      </c>
      <c r="N108" s="211"/>
      <c r="O108" s="209" t="str">
        <f>IF(B108="","",VLOOKUP('従業員情報(給与以外)'!$B108,入力シート!$S$37:$Z$62,5,0))</f>
        <v/>
      </c>
      <c r="P108" s="156" t="str">
        <f>IF(ISNUMBER(C108)=FALSE,"",IF(C108&gt;入力シート!$J$24,"",_xlfn.DAYS(入力シート!$J$24,'従業員情報(給与以外)'!$C108)/365))</f>
        <v/>
      </c>
      <c r="Q108" s="210" t="str">
        <f>IF(P108="","",VLOOKUP(_xlfn.DAYS(入力シート!$J$24,'従業員情報(給与以外)'!$C108)/365,入力リスト!$K$18:$L$26,2,2))</f>
        <v/>
      </c>
      <c r="R108" s="209" t="str">
        <f>IF(D108="","",VLOOKUP('従業員情報(給与以外)'!$D108,入力シート!$AW$37:$BB$38,4,0))</f>
        <v/>
      </c>
      <c r="S108" s="209" t="str">
        <f>IF(A108="","",IF(E108="","非役職",VLOOKUP('従業員情報(給与以外)'!$E108,入力シート!$AH$37:$AO$62,5,0)))</f>
        <v/>
      </c>
      <c r="T108" s="102" t="str">
        <f>IF(OR(入力シート!$C$5&lt;&gt;入力リスト!$C$3,COUNTIF(入力シート!$J$16:$S$23,入力リスト!$H$9)=0),"",IF($A108="","",IF(ISERROR(AVERAGEIF(従業員の給与情報!$B:$B,$A108,従業員の給与情報!$C:$C)),0,IF(ISERROR(AVERAGEIF(従業員の給与情報!$B:$B,$A108,従業員の給与情報!$C:$C)),0,AVERAGEIF(従業員の給与情報!$B:$B,$A108,従業員の給与情報!$C:$C)))))</f>
        <v/>
      </c>
      <c r="U108" s="102" t="str">
        <f>IF(OR(入力シート!$C$5&lt;&gt;入力リスト!$C$3,COUNTIF(入力シート!$J$16:$S$23,入力リスト!$H$9)=0),"",IF(A108="","",IF(ISERROR(AVERAGEIF(従業員の給与情報!$B:$B,$A108,従業員の給与情報!$D:$D)),0,IF(ISERROR(AVERAGEIF(従業員の給与情報!$B:$B,$A108,従業員の給与情報!$D:$D)),0,AVERAGEIF(従業員の給与情報!$B:$B,$A108,従業員の給与情報!$D:$D)))))</f>
        <v/>
      </c>
      <c r="V108" s="102" t="str">
        <f>IF(OR(入力シート!$C$5&lt;&gt;入力リスト!$C$3,COUNTIF(入力シート!$J$16:$S$23,入力リスト!$H$9)=0),"",IF(A108="","",IF(ISERROR(AVERAGEIF(従業員の給与情報!$B:$B,$A108,従業員の給与情報!$E:$E)),0,IF(ISERROR(AVERAGEIF(従業員の給与情報!$B:$B,$A108,従業員の給与情報!$E:$E)),0,AVERAGEIF(従業員の給与情報!$B:$B,$A108,従業員の給与情報!$E:$E)))))</f>
        <v/>
      </c>
      <c r="W108" s="103" t="str">
        <f>IF(OR(入力シート!$C$5&lt;&gt;入力リスト!$C$3,COUNTIF(入力シート!$J$16:$S$23,入力リスト!$H$9)=0),"",IF(A108="","",IF(ISERROR(AVERAGEIF(従業員の給与情報!$B:$B,$A108,従業員の給与情報!$F:$F)),0,IF(ISERROR(AVERAGEIF(従業員の給与情報!$B:$B,$A108,従業員の給与情報!$F:$F)),0,AVERAGEIF(従業員の給与情報!$B:$B,$A108,従業員の給与情報!$F:$F)))))</f>
        <v/>
      </c>
    </row>
    <row r="109" spans="1:23" s="10" customFormat="1" ht="19.8">
      <c r="A109" s="252"/>
      <c r="B109" s="249"/>
      <c r="C109" s="250"/>
      <c r="D109" s="251"/>
      <c r="E109" s="252"/>
      <c r="F109" s="257" t="str">
        <f>IF($G$1,"",IF(COUNTIF(A109:E109,"")=5,"",IF(G109,入力リスト!$K$28,IF(OR(A109="",B109="",IF(COUNTIF($C$3,"*不要*"),"",C109=""),D109=""),IF(A109="","従業員番号","")&amp;IF(B109="","「雇用形態」","")&amp;IF(OR(入力シート!$J$18=入力リスト!$H$9,入力シート!$J$22=入力リスト!$H$9),IF(C109="","「入社年月日」",""),"")&amp;IF(D109="","「性別」","")&amp;IF(IF(A109="","従業員番号","")&amp;IF(B109="","「雇用形態」","")&amp;IF(OR(入力シート!$J$18=入力リスト!$H$9,入力シート!$J$22=入力リスト!$H$9),IF(C109="","「入社年月日」",""),"")&amp;IF(D109="","「性別」","")="","",入力リスト!$K$29),IF(J109,入力リスト!$K$30,"")&amp;IF(I109,入力リスト!$K$31,"")&amp;IF(H109,"「雇用形態」","")&amp;IF(K109,"「性別」","")&amp;IF(L109,"「役職」","")&amp;IF(OR(H109,K109,L109),入力リスト!$K$32,"")))))</f>
        <v/>
      </c>
      <c r="G109" s="209" t="b">
        <f>COUNTIF($A$4:A108,$A109)&gt;0</f>
        <v>0</v>
      </c>
      <c r="H109" s="210" t="b">
        <f>IF($H$1,FALSE,COUNTIF(入力シート!$S$37:$V$62,B109)=0)</f>
        <v>0</v>
      </c>
      <c r="I109" s="210" t="b">
        <f t="shared" si="4"/>
        <v>0</v>
      </c>
      <c r="J109" s="210" t="b">
        <f>IF($J$1,FALSE,IF(I109=TRUE,FALSE,IF(I109,FALSE,C109&gt;入力シート!$J$24)))</f>
        <v>0</v>
      </c>
      <c r="K109" s="210" t="b">
        <f>IF($K$1,FALSE,COUNTIF(入力シート!$AW$37:$BB$38,D109)=0)</f>
        <v>0</v>
      </c>
      <c r="L109" s="210" t="b">
        <f>IF($L$1,FALSE,IF($L$3,FALSE,IF(E109="",FALSE,COUNTIF(入力シート!$AH$37:$AK$62,E109)=0)))</f>
        <v>0</v>
      </c>
      <c r="M109" s="211" t="str">
        <f t="shared" si="3"/>
        <v/>
      </c>
      <c r="N109" s="211"/>
      <c r="O109" s="209" t="str">
        <f>IF(B109="","",VLOOKUP('従業員情報(給与以外)'!$B109,入力シート!$S$37:$Z$62,5,0))</f>
        <v/>
      </c>
      <c r="P109" s="156" t="str">
        <f>IF(ISNUMBER(C109)=FALSE,"",IF(C109&gt;入力シート!$J$24,"",_xlfn.DAYS(入力シート!$J$24,'従業員情報(給与以外)'!$C109)/365))</f>
        <v/>
      </c>
      <c r="Q109" s="210" t="str">
        <f>IF(P109="","",VLOOKUP(_xlfn.DAYS(入力シート!$J$24,'従業員情報(給与以外)'!$C109)/365,入力リスト!$K$18:$L$26,2,2))</f>
        <v/>
      </c>
      <c r="R109" s="209" t="str">
        <f>IF(D109="","",VLOOKUP('従業員情報(給与以外)'!$D109,入力シート!$AW$37:$BB$38,4,0))</f>
        <v/>
      </c>
      <c r="S109" s="209" t="str">
        <f>IF(A109="","",IF(E109="","非役職",VLOOKUP('従業員情報(給与以外)'!$E109,入力シート!$AH$37:$AO$62,5,0)))</f>
        <v/>
      </c>
      <c r="T109" s="102" t="str">
        <f>IF(OR(入力シート!$C$5&lt;&gt;入力リスト!$C$3,COUNTIF(入力シート!$J$16:$S$23,入力リスト!$H$9)=0),"",IF($A109="","",IF(ISERROR(AVERAGEIF(従業員の給与情報!$B:$B,$A109,従業員の給与情報!$C:$C)),0,IF(ISERROR(AVERAGEIF(従業員の給与情報!$B:$B,$A109,従業員の給与情報!$C:$C)),0,AVERAGEIF(従業員の給与情報!$B:$B,$A109,従業員の給与情報!$C:$C)))))</f>
        <v/>
      </c>
      <c r="U109" s="102" t="str">
        <f>IF(OR(入力シート!$C$5&lt;&gt;入力リスト!$C$3,COUNTIF(入力シート!$J$16:$S$23,入力リスト!$H$9)=0),"",IF(A109="","",IF(ISERROR(AVERAGEIF(従業員の給与情報!$B:$B,$A109,従業員の給与情報!$D:$D)),0,IF(ISERROR(AVERAGEIF(従業員の給与情報!$B:$B,$A109,従業員の給与情報!$D:$D)),0,AVERAGEIF(従業員の給与情報!$B:$B,$A109,従業員の給与情報!$D:$D)))))</f>
        <v/>
      </c>
      <c r="V109" s="102" t="str">
        <f>IF(OR(入力シート!$C$5&lt;&gt;入力リスト!$C$3,COUNTIF(入力シート!$J$16:$S$23,入力リスト!$H$9)=0),"",IF(A109="","",IF(ISERROR(AVERAGEIF(従業員の給与情報!$B:$B,$A109,従業員の給与情報!$E:$E)),0,IF(ISERROR(AVERAGEIF(従業員の給与情報!$B:$B,$A109,従業員の給与情報!$E:$E)),0,AVERAGEIF(従業員の給与情報!$B:$B,$A109,従業員の給与情報!$E:$E)))))</f>
        <v/>
      </c>
      <c r="W109" s="103" t="str">
        <f>IF(OR(入力シート!$C$5&lt;&gt;入力リスト!$C$3,COUNTIF(入力シート!$J$16:$S$23,入力リスト!$H$9)=0),"",IF(A109="","",IF(ISERROR(AVERAGEIF(従業員の給与情報!$B:$B,$A109,従業員の給与情報!$F:$F)),0,IF(ISERROR(AVERAGEIF(従業員の給与情報!$B:$B,$A109,従業員の給与情報!$F:$F)),0,AVERAGEIF(従業員の給与情報!$B:$B,$A109,従業員の給与情報!$F:$F)))))</f>
        <v/>
      </c>
    </row>
    <row r="110" spans="1:23" s="10" customFormat="1" ht="19.8">
      <c r="A110" s="252"/>
      <c r="B110" s="249"/>
      <c r="C110" s="250"/>
      <c r="D110" s="251"/>
      <c r="E110" s="252"/>
      <c r="F110" s="257" t="str">
        <f>IF($G$1,"",IF(COUNTIF(A110:E110,"")=5,"",IF(G110,入力リスト!$K$28,IF(OR(A110="",B110="",IF(COUNTIF($C$3,"*不要*"),"",C110=""),D110=""),IF(A110="","従業員番号","")&amp;IF(B110="","「雇用形態」","")&amp;IF(OR(入力シート!$J$18=入力リスト!$H$9,入力シート!$J$22=入力リスト!$H$9),IF(C110="","「入社年月日」",""),"")&amp;IF(D110="","「性別」","")&amp;IF(IF(A110="","従業員番号","")&amp;IF(B110="","「雇用形態」","")&amp;IF(OR(入力シート!$J$18=入力リスト!$H$9,入力シート!$J$22=入力リスト!$H$9),IF(C110="","「入社年月日」",""),"")&amp;IF(D110="","「性別」","")="","",入力リスト!$K$29),IF(J110,入力リスト!$K$30,"")&amp;IF(I110,入力リスト!$K$31,"")&amp;IF(H110,"「雇用形態」","")&amp;IF(K110,"「性別」","")&amp;IF(L110,"「役職」","")&amp;IF(OR(H110,K110,L110),入力リスト!$K$32,"")))))</f>
        <v/>
      </c>
      <c r="G110" s="209" t="b">
        <f>COUNTIF($A$4:A109,$A110)&gt;0</f>
        <v>0</v>
      </c>
      <c r="H110" s="210" t="b">
        <f>IF($H$1,FALSE,COUNTIF(入力シート!$S$37:$V$62,B110)=0)</f>
        <v>0</v>
      </c>
      <c r="I110" s="210" t="b">
        <f t="shared" si="4"/>
        <v>0</v>
      </c>
      <c r="J110" s="210" t="b">
        <f>IF($J$1,FALSE,IF(I110=TRUE,FALSE,IF(I110,FALSE,C110&gt;入力シート!$J$24)))</f>
        <v>0</v>
      </c>
      <c r="K110" s="210" t="b">
        <f>IF($K$1,FALSE,COUNTIF(入力シート!$AW$37:$BB$38,D110)=0)</f>
        <v>0</v>
      </c>
      <c r="L110" s="210" t="b">
        <f>IF($L$1,FALSE,IF($L$3,FALSE,IF(E110="",FALSE,COUNTIF(入力シート!$AH$37:$AK$62,E110)=0)))</f>
        <v>0</v>
      </c>
      <c r="M110" s="211" t="str">
        <f t="shared" si="3"/>
        <v/>
      </c>
      <c r="N110" s="211"/>
      <c r="O110" s="209" t="str">
        <f>IF(B110="","",VLOOKUP('従業員情報(給与以外)'!$B110,入力シート!$S$37:$Z$62,5,0))</f>
        <v/>
      </c>
      <c r="P110" s="156" t="str">
        <f>IF(ISNUMBER(C110)=FALSE,"",IF(C110&gt;入力シート!$J$24,"",_xlfn.DAYS(入力シート!$J$24,'従業員情報(給与以外)'!$C110)/365))</f>
        <v/>
      </c>
      <c r="Q110" s="210" t="str">
        <f>IF(P110="","",VLOOKUP(_xlfn.DAYS(入力シート!$J$24,'従業員情報(給与以外)'!$C110)/365,入力リスト!$K$18:$L$26,2,2))</f>
        <v/>
      </c>
      <c r="R110" s="209" t="str">
        <f>IF(D110="","",VLOOKUP('従業員情報(給与以外)'!$D110,入力シート!$AW$37:$BB$38,4,0))</f>
        <v/>
      </c>
      <c r="S110" s="209" t="str">
        <f>IF(A110="","",IF(E110="","非役職",VLOOKUP('従業員情報(給与以外)'!$E110,入力シート!$AH$37:$AO$62,5,0)))</f>
        <v/>
      </c>
      <c r="T110" s="102" t="str">
        <f>IF(OR(入力シート!$C$5&lt;&gt;入力リスト!$C$3,COUNTIF(入力シート!$J$16:$S$23,入力リスト!$H$9)=0),"",IF($A110="","",IF(ISERROR(AVERAGEIF(従業員の給与情報!$B:$B,$A110,従業員の給与情報!$C:$C)),0,IF(ISERROR(AVERAGEIF(従業員の給与情報!$B:$B,$A110,従業員の給与情報!$C:$C)),0,AVERAGEIF(従業員の給与情報!$B:$B,$A110,従業員の給与情報!$C:$C)))))</f>
        <v/>
      </c>
      <c r="U110" s="102" t="str">
        <f>IF(OR(入力シート!$C$5&lt;&gt;入力リスト!$C$3,COUNTIF(入力シート!$J$16:$S$23,入力リスト!$H$9)=0),"",IF(A110="","",IF(ISERROR(AVERAGEIF(従業員の給与情報!$B:$B,$A110,従業員の給与情報!$D:$D)),0,IF(ISERROR(AVERAGEIF(従業員の給与情報!$B:$B,$A110,従業員の給与情報!$D:$D)),0,AVERAGEIF(従業員の給与情報!$B:$B,$A110,従業員の給与情報!$D:$D)))))</f>
        <v/>
      </c>
      <c r="V110" s="102" t="str">
        <f>IF(OR(入力シート!$C$5&lt;&gt;入力リスト!$C$3,COUNTIF(入力シート!$J$16:$S$23,入力リスト!$H$9)=0),"",IF(A110="","",IF(ISERROR(AVERAGEIF(従業員の給与情報!$B:$B,$A110,従業員の給与情報!$E:$E)),0,IF(ISERROR(AVERAGEIF(従業員の給与情報!$B:$B,$A110,従業員の給与情報!$E:$E)),0,AVERAGEIF(従業員の給与情報!$B:$B,$A110,従業員の給与情報!$E:$E)))))</f>
        <v/>
      </c>
      <c r="W110" s="103" t="str">
        <f>IF(OR(入力シート!$C$5&lt;&gt;入力リスト!$C$3,COUNTIF(入力シート!$J$16:$S$23,入力リスト!$H$9)=0),"",IF(A110="","",IF(ISERROR(AVERAGEIF(従業員の給与情報!$B:$B,$A110,従業員の給与情報!$F:$F)),0,IF(ISERROR(AVERAGEIF(従業員の給与情報!$B:$B,$A110,従業員の給与情報!$F:$F)),0,AVERAGEIF(従業員の給与情報!$B:$B,$A110,従業員の給与情報!$F:$F)))))</f>
        <v/>
      </c>
    </row>
    <row r="111" spans="1:23" s="10" customFormat="1" ht="19.8">
      <c r="A111" s="252"/>
      <c r="B111" s="249"/>
      <c r="C111" s="250"/>
      <c r="D111" s="251"/>
      <c r="E111" s="252"/>
      <c r="F111" s="257" t="str">
        <f>IF($G$1,"",IF(COUNTIF(A111:E111,"")=5,"",IF(G111,入力リスト!$K$28,IF(OR(A111="",B111="",IF(COUNTIF($C$3,"*不要*"),"",C111=""),D111=""),IF(A111="","従業員番号","")&amp;IF(B111="","「雇用形態」","")&amp;IF(OR(入力シート!$J$18=入力リスト!$H$9,入力シート!$J$22=入力リスト!$H$9),IF(C111="","「入社年月日」",""),"")&amp;IF(D111="","「性別」","")&amp;IF(IF(A111="","従業員番号","")&amp;IF(B111="","「雇用形態」","")&amp;IF(OR(入力シート!$J$18=入力リスト!$H$9,入力シート!$J$22=入力リスト!$H$9),IF(C111="","「入社年月日」",""),"")&amp;IF(D111="","「性別」","")="","",入力リスト!$K$29),IF(J111,入力リスト!$K$30,"")&amp;IF(I111,入力リスト!$K$31,"")&amp;IF(H111,"「雇用形態」","")&amp;IF(K111,"「性別」","")&amp;IF(L111,"「役職」","")&amp;IF(OR(H111,K111,L111),入力リスト!$K$32,"")))))</f>
        <v/>
      </c>
      <c r="G111" s="209" t="b">
        <f>COUNTIF($A$4:A110,$A111)&gt;0</f>
        <v>0</v>
      </c>
      <c r="H111" s="210" t="b">
        <f>IF($H$1,FALSE,COUNTIF(入力シート!$S$37:$V$62,B111)=0)</f>
        <v>0</v>
      </c>
      <c r="I111" s="210" t="b">
        <f t="shared" si="4"/>
        <v>0</v>
      </c>
      <c r="J111" s="210" t="b">
        <f>IF($J$1,FALSE,IF(I111=TRUE,FALSE,IF(I111,FALSE,C111&gt;入力シート!$J$24)))</f>
        <v>0</v>
      </c>
      <c r="K111" s="210" t="b">
        <f>IF($K$1,FALSE,COUNTIF(入力シート!$AW$37:$BB$38,D111)=0)</f>
        <v>0</v>
      </c>
      <c r="L111" s="210" t="b">
        <f>IF($L$1,FALSE,IF($L$3,FALSE,IF(E111="",FALSE,COUNTIF(入力シート!$AH$37:$AK$62,E111)=0)))</f>
        <v>0</v>
      </c>
      <c r="M111" s="211" t="str">
        <f t="shared" si="3"/>
        <v/>
      </c>
      <c r="N111" s="211"/>
      <c r="O111" s="209" t="str">
        <f>IF(B111="","",VLOOKUP('従業員情報(給与以外)'!$B111,入力シート!$S$37:$Z$62,5,0))</f>
        <v/>
      </c>
      <c r="P111" s="156" t="str">
        <f>IF(ISNUMBER(C111)=FALSE,"",IF(C111&gt;入力シート!$J$24,"",_xlfn.DAYS(入力シート!$J$24,'従業員情報(給与以外)'!$C111)/365))</f>
        <v/>
      </c>
      <c r="Q111" s="210" t="str">
        <f>IF(P111="","",VLOOKUP(_xlfn.DAYS(入力シート!$J$24,'従業員情報(給与以外)'!$C111)/365,入力リスト!$K$18:$L$26,2,2))</f>
        <v/>
      </c>
      <c r="R111" s="209" t="str">
        <f>IF(D111="","",VLOOKUP('従業員情報(給与以外)'!$D111,入力シート!$AW$37:$BB$38,4,0))</f>
        <v/>
      </c>
      <c r="S111" s="209" t="str">
        <f>IF(A111="","",IF(E111="","非役職",VLOOKUP('従業員情報(給与以外)'!$E111,入力シート!$AH$37:$AO$62,5,0)))</f>
        <v/>
      </c>
      <c r="T111" s="102" t="str">
        <f>IF(OR(入力シート!$C$5&lt;&gt;入力リスト!$C$3,COUNTIF(入力シート!$J$16:$S$23,入力リスト!$H$9)=0),"",IF($A111="","",IF(ISERROR(AVERAGEIF(従業員の給与情報!$B:$B,$A111,従業員の給与情報!$C:$C)),0,IF(ISERROR(AVERAGEIF(従業員の給与情報!$B:$B,$A111,従業員の給与情報!$C:$C)),0,AVERAGEIF(従業員の給与情報!$B:$B,$A111,従業員の給与情報!$C:$C)))))</f>
        <v/>
      </c>
      <c r="U111" s="102" t="str">
        <f>IF(OR(入力シート!$C$5&lt;&gt;入力リスト!$C$3,COUNTIF(入力シート!$J$16:$S$23,入力リスト!$H$9)=0),"",IF(A111="","",IF(ISERROR(AVERAGEIF(従業員の給与情報!$B:$B,$A111,従業員の給与情報!$D:$D)),0,IF(ISERROR(AVERAGEIF(従業員の給与情報!$B:$B,$A111,従業員の給与情報!$D:$D)),0,AVERAGEIF(従業員の給与情報!$B:$B,$A111,従業員の給与情報!$D:$D)))))</f>
        <v/>
      </c>
      <c r="V111" s="102" t="str">
        <f>IF(OR(入力シート!$C$5&lt;&gt;入力リスト!$C$3,COUNTIF(入力シート!$J$16:$S$23,入力リスト!$H$9)=0),"",IF(A111="","",IF(ISERROR(AVERAGEIF(従業員の給与情報!$B:$B,$A111,従業員の給与情報!$E:$E)),0,IF(ISERROR(AVERAGEIF(従業員の給与情報!$B:$B,$A111,従業員の給与情報!$E:$E)),0,AVERAGEIF(従業員の給与情報!$B:$B,$A111,従業員の給与情報!$E:$E)))))</f>
        <v/>
      </c>
      <c r="W111" s="103" t="str">
        <f>IF(OR(入力シート!$C$5&lt;&gt;入力リスト!$C$3,COUNTIF(入力シート!$J$16:$S$23,入力リスト!$H$9)=0),"",IF(A111="","",IF(ISERROR(AVERAGEIF(従業員の給与情報!$B:$B,$A111,従業員の給与情報!$F:$F)),0,IF(ISERROR(AVERAGEIF(従業員の給与情報!$B:$B,$A111,従業員の給与情報!$F:$F)),0,AVERAGEIF(従業員の給与情報!$B:$B,$A111,従業員の給与情報!$F:$F)))))</f>
        <v/>
      </c>
    </row>
    <row r="112" spans="1:23" s="10" customFormat="1" ht="19.8">
      <c r="A112" s="252"/>
      <c r="B112" s="249"/>
      <c r="C112" s="250"/>
      <c r="D112" s="251"/>
      <c r="E112" s="252"/>
      <c r="F112" s="257" t="str">
        <f>IF($G$1,"",IF(COUNTIF(A112:E112,"")=5,"",IF(G112,入力リスト!$K$28,IF(OR(A112="",B112="",IF(COUNTIF($C$3,"*不要*"),"",C112=""),D112=""),IF(A112="","従業員番号","")&amp;IF(B112="","「雇用形態」","")&amp;IF(OR(入力シート!$J$18=入力リスト!$H$9,入力シート!$J$22=入力リスト!$H$9),IF(C112="","「入社年月日」",""),"")&amp;IF(D112="","「性別」","")&amp;IF(IF(A112="","従業員番号","")&amp;IF(B112="","「雇用形態」","")&amp;IF(OR(入力シート!$J$18=入力リスト!$H$9,入力シート!$J$22=入力リスト!$H$9),IF(C112="","「入社年月日」",""),"")&amp;IF(D112="","「性別」","")="","",入力リスト!$K$29),IF(J112,入力リスト!$K$30,"")&amp;IF(I112,入力リスト!$K$31,"")&amp;IF(H112,"「雇用形態」","")&amp;IF(K112,"「性別」","")&amp;IF(L112,"「役職」","")&amp;IF(OR(H112,K112,L112),入力リスト!$K$32,"")))))</f>
        <v/>
      </c>
      <c r="G112" s="209" t="b">
        <f>COUNTIF($A$4:A111,$A112)&gt;0</f>
        <v>0</v>
      </c>
      <c r="H112" s="210" t="b">
        <f>IF($H$1,FALSE,COUNTIF(入力シート!$S$37:$V$62,B112)=0)</f>
        <v>0</v>
      </c>
      <c r="I112" s="210" t="b">
        <f t="shared" si="4"/>
        <v>0</v>
      </c>
      <c r="J112" s="210" t="b">
        <f>IF($J$1,FALSE,IF(I112=TRUE,FALSE,IF(I112,FALSE,C112&gt;入力シート!$J$24)))</f>
        <v>0</v>
      </c>
      <c r="K112" s="210" t="b">
        <f>IF($K$1,FALSE,COUNTIF(入力シート!$AW$37:$BB$38,D112)=0)</f>
        <v>0</v>
      </c>
      <c r="L112" s="210" t="b">
        <f>IF($L$1,FALSE,IF($L$3,FALSE,IF(E112="",FALSE,COUNTIF(入力シート!$AH$37:$AK$62,E112)=0)))</f>
        <v>0</v>
      </c>
      <c r="M112" s="211" t="str">
        <f t="shared" si="3"/>
        <v/>
      </c>
      <c r="N112" s="211"/>
      <c r="O112" s="209" t="str">
        <f>IF(B112="","",VLOOKUP('従業員情報(給与以外)'!$B112,入力シート!$S$37:$Z$62,5,0))</f>
        <v/>
      </c>
      <c r="P112" s="156" t="str">
        <f>IF(ISNUMBER(C112)=FALSE,"",IF(C112&gt;入力シート!$J$24,"",_xlfn.DAYS(入力シート!$J$24,'従業員情報(給与以外)'!$C112)/365))</f>
        <v/>
      </c>
      <c r="Q112" s="210" t="str">
        <f>IF(P112="","",VLOOKUP(_xlfn.DAYS(入力シート!$J$24,'従業員情報(給与以外)'!$C112)/365,入力リスト!$K$18:$L$26,2,2))</f>
        <v/>
      </c>
      <c r="R112" s="209" t="str">
        <f>IF(D112="","",VLOOKUP('従業員情報(給与以外)'!$D112,入力シート!$AW$37:$BB$38,4,0))</f>
        <v/>
      </c>
      <c r="S112" s="209" t="str">
        <f>IF(A112="","",IF(E112="","非役職",VLOOKUP('従業員情報(給与以外)'!$E112,入力シート!$AH$37:$AO$62,5,0)))</f>
        <v/>
      </c>
      <c r="T112" s="102" t="str">
        <f>IF(OR(入力シート!$C$5&lt;&gt;入力リスト!$C$3,COUNTIF(入力シート!$J$16:$S$23,入力リスト!$H$9)=0),"",IF($A112="","",IF(ISERROR(AVERAGEIF(従業員の給与情報!$B:$B,$A112,従業員の給与情報!$C:$C)),0,IF(ISERROR(AVERAGEIF(従業員の給与情報!$B:$B,$A112,従業員の給与情報!$C:$C)),0,AVERAGEIF(従業員の給与情報!$B:$B,$A112,従業員の給与情報!$C:$C)))))</f>
        <v/>
      </c>
      <c r="U112" s="102" t="str">
        <f>IF(OR(入力シート!$C$5&lt;&gt;入力リスト!$C$3,COUNTIF(入力シート!$J$16:$S$23,入力リスト!$H$9)=0),"",IF(A112="","",IF(ISERROR(AVERAGEIF(従業員の給与情報!$B:$B,$A112,従業員の給与情報!$D:$D)),0,IF(ISERROR(AVERAGEIF(従業員の給与情報!$B:$B,$A112,従業員の給与情報!$D:$D)),0,AVERAGEIF(従業員の給与情報!$B:$B,$A112,従業員の給与情報!$D:$D)))))</f>
        <v/>
      </c>
      <c r="V112" s="102" t="str">
        <f>IF(OR(入力シート!$C$5&lt;&gt;入力リスト!$C$3,COUNTIF(入力シート!$J$16:$S$23,入力リスト!$H$9)=0),"",IF(A112="","",IF(ISERROR(AVERAGEIF(従業員の給与情報!$B:$B,$A112,従業員の給与情報!$E:$E)),0,IF(ISERROR(AVERAGEIF(従業員の給与情報!$B:$B,$A112,従業員の給与情報!$E:$E)),0,AVERAGEIF(従業員の給与情報!$B:$B,$A112,従業員の給与情報!$E:$E)))))</f>
        <v/>
      </c>
      <c r="W112" s="103" t="str">
        <f>IF(OR(入力シート!$C$5&lt;&gt;入力リスト!$C$3,COUNTIF(入力シート!$J$16:$S$23,入力リスト!$H$9)=0),"",IF(A112="","",IF(ISERROR(AVERAGEIF(従業員の給与情報!$B:$B,$A112,従業員の給与情報!$F:$F)),0,IF(ISERROR(AVERAGEIF(従業員の給与情報!$B:$B,$A112,従業員の給与情報!$F:$F)),0,AVERAGEIF(従業員の給与情報!$B:$B,$A112,従業員の給与情報!$F:$F)))))</f>
        <v/>
      </c>
    </row>
    <row r="113" spans="1:23" s="10" customFormat="1" ht="19.8">
      <c r="A113" s="252"/>
      <c r="B113" s="249"/>
      <c r="C113" s="250"/>
      <c r="D113" s="251"/>
      <c r="E113" s="252"/>
      <c r="F113" s="257" t="str">
        <f>IF($G$1,"",IF(COUNTIF(A113:E113,"")=5,"",IF(G113,入力リスト!$K$28,IF(OR(A113="",B113="",IF(COUNTIF($C$3,"*不要*"),"",C113=""),D113=""),IF(A113="","従業員番号","")&amp;IF(B113="","「雇用形態」","")&amp;IF(OR(入力シート!$J$18=入力リスト!$H$9,入力シート!$J$22=入力リスト!$H$9),IF(C113="","「入社年月日」",""),"")&amp;IF(D113="","「性別」","")&amp;IF(IF(A113="","従業員番号","")&amp;IF(B113="","「雇用形態」","")&amp;IF(OR(入力シート!$J$18=入力リスト!$H$9,入力シート!$J$22=入力リスト!$H$9),IF(C113="","「入社年月日」",""),"")&amp;IF(D113="","「性別」","")="","",入力リスト!$K$29),IF(J113,入力リスト!$K$30,"")&amp;IF(I113,入力リスト!$K$31,"")&amp;IF(H113,"「雇用形態」","")&amp;IF(K113,"「性別」","")&amp;IF(L113,"「役職」","")&amp;IF(OR(H113,K113,L113),入力リスト!$K$32,"")))))</f>
        <v/>
      </c>
      <c r="G113" s="209" t="b">
        <f>COUNTIF($A$4:A112,$A113)&gt;0</f>
        <v>0</v>
      </c>
      <c r="H113" s="210" t="b">
        <f>IF($H$1,FALSE,COUNTIF(入力シート!$S$37:$V$62,B113)=0)</f>
        <v>0</v>
      </c>
      <c r="I113" s="210" t="b">
        <f t="shared" si="4"/>
        <v>0</v>
      </c>
      <c r="J113" s="210" t="b">
        <f>IF($J$1,FALSE,IF(I113=TRUE,FALSE,IF(I113,FALSE,C113&gt;入力シート!$J$24)))</f>
        <v>0</v>
      </c>
      <c r="K113" s="210" t="b">
        <f>IF($K$1,FALSE,COUNTIF(入力シート!$AW$37:$BB$38,D113)=0)</f>
        <v>0</v>
      </c>
      <c r="L113" s="210" t="b">
        <f>IF($L$1,FALSE,IF($L$3,FALSE,IF(E113="",FALSE,COUNTIF(入力シート!$AH$37:$AK$62,E113)=0)))</f>
        <v>0</v>
      </c>
      <c r="M113" s="211" t="str">
        <f t="shared" si="3"/>
        <v/>
      </c>
      <c r="N113" s="211"/>
      <c r="O113" s="209" t="str">
        <f>IF(B113="","",VLOOKUP('従業員情報(給与以外)'!$B113,入力シート!$S$37:$Z$62,5,0))</f>
        <v/>
      </c>
      <c r="P113" s="156" t="str">
        <f>IF(ISNUMBER(C113)=FALSE,"",IF(C113&gt;入力シート!$J$24,"",_xlfn.DAYS(入力シート!$J$24,'従業員情報(給与以外)'!$C113)/365))</f>
        <v/>
      </c>
      <c r="Q113" s="210" t="str">
        <f>IF(P113="","",VLOOKUP(_xlfn.DAYS(入力シート!$J$24,'従業員情報(給与以外)'!$C113)/365,入力リスト!$K$18:$L$26,2,2))</f>
        <v/>
      </c>
      <c r="R113" s="209" t="str">
        <f>IF(D113="","",VLOOKUP('従業員情報(給与以外)'!$D113,入力シート!$AW$37:$BB$38,4,0))</f>
        <v/>
      </c>
      <c r="S113" s="209" t="str">
        <f>IF(A113="","",IF(E113="","非役職",VLOOKUP('従業員情報(給与以外)'!$E113,入力シート!$AH$37:$AO$62,5,0)))</f>
        <v/>
      </c>
      <c r="T113" s="102" t="str">
        <f>IF(OR(入力シート!$C$5&lt;&gt;入力リスト!$C$3,COUNTIF(入力シート!$J$16:$S$23,入力リスト!$H$9)=0),"",IF($A113="","",IF(ISERROR(AVERAGEIF(従業員の給与情報!$B:$B,$A113,従業員の給与情報!$C:$C)),0,IF(ISERROR(AVERAGEIF(従業員の給与情報!$B:$B,$A113,従業員の給与情報!$C:$C)),0,AVERAGEIF(従業員の給与情報!$B:$B,$A113,従業員の給与情報!$C:$C)))))</f>
        <v/>
      </c>
      <c r="U113" s="102" t="str">
        <f>IF(OR(入力シート!$C$5&lt;&gt;入力リスト!$C$3,COUNTIF(入力シート!$J$16:$S$23,入力リスト!$H$9)=0),"",IF(A113="","",IF(ISERROR(AVERAGEIF(従業員の給与情報!$B:$B,$A113,従業員の給与情報!$D:$D)),0,IF(ISERROR(AVERAGEIF(従業員の給与情報!$B:$B,$A113,従業員の給与情報!$D:$D)),0,AVERAGEIF(従業員の給与情報!$B:$B,$A113,従業員の給与情報!$D:$D)))))</f>
        <v/>
      </c>
      <c r="V113" s="102" t="str">
        <f>IF(OR(入力シート!$C$5&lt;&gt;入力リスト!$C$3,COUNTIF(入力シート!$J$16:$S$23,入力リスト!$H$9)=0),"",IF(A113="","",IF(ISERROR(AVERAGEIF(従業員の給与情報!$B:$B,$A113,従業員の給与情報!$E:$E)),0,IF(ISERROR(AVERAGEIF(従業員の給与情報!$B:$B,$A113,従業員の給与情報!$E:$E)),0,AVERAGEIF(従業員の給与情報!$B:$B,$A113,従業員の給与情報!$E:$E)))))</f>
        <v/>
      </c>
      <c r="W113" s="103" t="str">
        <f>IF(OR(入力シート!$C$5&lt;&gt;入力リスト!$C$3,COUNTIF(入力シート!$J$16:$S$23,入力リスト!$H$9)=0),"",IF(A113="","",IF(ISERROR(AVERAGEIF(従業員の給与情報!$B:$B,$A113,従業員の給与情報!$F:$F)),0,IF(ISERROR(AVERAGEIF(従業員の給与情報!$B:$B,$A113,従業員の給与情報!$F:$F)),0,AVERAGEIF(従業員の給与情報!$B:$B,$A113,従業員の給与情報!$F:$F)))))</f>
        <v/>
      </c>
    </row>
    <row r="114" spans="1:23" s="10" customFormat="1" ht="19.8">
      <c r="A114" s="252"/>
      <c r="B114" s="249"/>
      <c r="C114" s="250"/>
      <c r="D114" s="251"/>
      <c r="E114" s="252"/>
      <c r="F114" s="257" t="str">
        <f>IF($G$1,"",IF(COUNTIF(A114:E114,"")=5,"",IF(G114,入力リスト!$K$28,IF(OR(A114="",B114="",IF(COUNTIF($C$3,"*不要*"),"",C114=""),D114=""),IF(A114="","従業員番号","")&amp;IF(B114="","「雇用形態」","")&amp;IF(OR(入力シート!$J$18=入力リスト!$H$9,入力シート!$J$22=入力リスト!$H$9),IF(C114="","「入社年月日」",""),"")&amp;IF(D114="","「性別」","")&amp;IF(IF(A114="","従業員番号","")&amp;IF(B114="","「雇用形態」","")&amp;IF(OR(入力シート!$J$18=入力リスト!$H$9,入力シート!$J$22=入力リスト!$H$9),IF(C114="","「入社年月日」",""),"")&amp;IF(D114="","「性別」","")="","",入力リスト!$K$29),IF(J114,入力リスト!$K$30,"")&amp;IF(I114,入力リスト!$K$31,"")&amp;IF(H114,"「雇用形態」","")&amp;IF(K114,"「性別」","")&amp;IF(L114,"「役職」","")&amp;IF(OR(H114,K114,L114),入力リスト!$K$32,"")))))</f>
        <v/>
      </c>
      <c r="G114" s="209" t="b">
        <f>COUNTIF($A$4:A113,$A114)&gt;0</f>
        <v>0</v>
      </c>
      <c r="H114" s="210" t="b">
        <f>IF($H$1,FALSE,COUNTIF(入力シート!$S$37:$V$62,B114)=0)</f>
        <v>0</v>
      </c>
      <c r="I114" s="210" t="b">
        <f t="shared" si="4"/>
        <v>0</v>
      </c>
      <c r="J114" s="210" t="b">
        <f>IF($J$1,FALSE,IF(I114=TRUE,FALSE,IF(I114,FALSE,C114&gt;入力シート!$J$24)))</f>
        <v>0</v>
      </c>
      <c r="K114" s="210" t="b">
        <f>IF($K$1,FALSE,COUNTIF(入力シート!$AW$37:$BB$38,D114)=0)</f>
        <v>0</v>
      </c>
      <c r="L114" s="210" t="b">
        <f>IF($L$1,FALSE,IF($L$3,FALSE,IF(E114="",FALSE,COUNTIF(入力シート!$AH$37:$AK$62,E114)=0)))</f>
        <v>0</v>
      </c>
      <c r="M114" s="211" t="str">
        <f t="shared" si="3"/>
        <v/>
      </c>
      <c r="N114" s="211"/>
      <c r="O114" s="209" t="str">
        <f>IF(B114="","",VLOOKUP('従業員情報(給与以外)'!$B114,入力シート!$S$37:$Z$62,5,0))</f>
        <v/>
      </c>
      <c r="P114" s="156" t="str">
        <f>IF(ISNUMBER(C114)=FALSE,"",IF(C114&gt;入力シート!$J$24,"",_xlfn.DAYS(入力シート!$J$24,'従業員情報(給与以外)'!$C114)/365))</f>
        <v/>
      </c>
      <c r="Q114" s="210" t="str">
        <f>IF(P114="","",VLOOKUP(_xlfn.DAYS(入力シート!$J$24,'従業員情報(給与以外)'!$C114)/365,入力リスト!$K$18:$L$26,2,2))</f>
        <v/>
      </c>
      <c r="R114" s="209" t="str">
        <f>IF(D114="","",VLOOKUP('従業員情報(給与以外)'!$D114,入力シート!$AW$37:$BB$38,4,0))</f>
        <v/>
      </c>
      <c r="S114" s="209" t="str">
        <f>IF(A114="","",IF(E114="","非役職",VLOOKUP('従業員情報(給与以外)'!$E114,入力シート!$AH$37:$AO$62,5,0)))</f>
        <v/>
      </c>
      <c r="T114" s="102" t="str">
        <f>IF(OR(入力シート!$C$5&lt;&gt;入力リスト!$C$3,COUNTIF(入力シート!$J$16:$S$23,入力リスト!$H$9)=0),"",IF($A114="","",IF(ISERROR(AVERAGEIF(従業員の給与情報!$B:$B,$A114,従業員の給与情報!$C:$C)),0,IF(ISERROR(AVERAGEIF(従業員の給与情報!$B:$B,$A114,従業員の給与情報!$C:$C)),0,AVERAGEIF(従業員の給与情報!$B:$B,$A114,従業員の給与情報!$C:$C)))))</f>
        <v/>
      </c>
      <c r="U114" s="102" t="str">
        <f>IF(OR(入力シート!$C$5&lt;&gt;入力リスト!$C$3,COUNTIF(入力シート!$J$16:$S$23,入力リスト!$H$9)=0),"",IF(A114="","",IF(ISERROR(AVERAGEIF(従業員の給与情報!$B:$B,$A114,従業員の給与情報!$D:$D)),0,IF(ISERROR(AVERAGEIF(従業員の給与情報!$B:$B,$A114,従業員の給与情報!$D:$D)),0,AVERAGEIF(従業員の給与情報!$B:$B,$A114,従業員の給与情報!$D:$D)))))</f>
        <v/>
      </c>
      <c r="V114" s="102" t="str">
        <f>IF(OR(入力シート!$C$5&lt;&gt;入力リスト!$C$3,COUNTIF(入力シート!$J$16:$S$23,入力リスト!$H$9)=0),"",IF(A114="","",IF(ISERROR(AVERAGEIF(従業員の給与情報!$B:$B,$A114,従業員の給与情報!$E:$E)),0,IF(ISERROR(AVERAGEIF(従業員の給与情報!$B:$B,$A114,従業員の給与情報!$E:$E)),0,AVERAGEIF(従業員の給与情報!$B:$B,$A114,従業員の給与情報!$E:$E)))))</f>
        <v/>
      </c>
      <c r="W114" s="103" t="str">
        <f>IF(OR(入力シート!$C$5&lt;&gt;入力リスト!$C$3,COUNTIF(入力シート!$J$16:$S$23,入力リスト!$H$9)=0),"",IF(A114="","",IF(ISERROR(AVERAGEIF(従業員の給与情報!$B:$B,$A114,従業員の給与情報!$F:$F)),0,IF(ISERROR(AVERAGEIF(従業員の給与情報!$B:$B,$A114,従業員の給与情報!$F:$F)),0,AVERAGEIF(従業員の給与情報!$B:$B,$A114,従業員の給与情報!$F:$F)))))</f>
        <v/>
      </c>
    </row>
    <row r="115" spans="1:23" s="10" customFormat="1" ht="19.8">
      <c r="A115" s="252"/>
      <c r="B115" s="249"/>
      <c r="C115" s="250"/>
      <c r="D115" s="251"/>
      <c r="E115" s="252"/>
      <c r="F115" s="257" t="str">
        <f>IF($G$1,"",IF(COUNTIF(A115:E115,"")=5,"",IF(G115,入力リスト!$K$28,IF(OR(A115="",B115="",IF(COUNTIF($C$3,"*不要*"),"",C115=""),D115=""),IF(A115="","従業員番号","")&amp;IF(B115="","「雇用形態」","")&amp;IF(OR(入力シート!$J$18=入力リスト!$H$9,入力シート!$J$22=入力リスト!$H$9),IF(C115="","「入社年月日」",""),"")&amp;IF(D115="","「性別」","")&amp;IF(IF(A115="","従業員番号","")&amp;IF(B115="","「雇用形態」","")&amp;IF(OR(入力シート!$J$18=入力リスト!$H$9,入力シート!$J$22=入力リスト!$H$9),IF(C115="","「入社年月日」",""),"")&amp;IF(D115="","「性別」","")="","",入力リスト!$K$29),IF(J115,入力リスト!$K$30,"")&amp;IF(I115,入力リスト!$K$31,"")&amp;IF(H115,"「雇用形態」","")&amp;IF(K115,"「性別」","")&amp;IF(L115,"「役職」","")&amp;IF(OR(H115,K115,L115),入力リスト!$K$32,"")))))</f>
        <v/>
      </c>
      <c r="G115" s="209" t="b">
        <f>COUNTIF($A$4:A114,$A115)&gt;0</f>
        <v>0</v>
      </c>
      <c r="H115" s="210" t="b">
        <f>IF($H$1,FALSE,COUNTIF(入力シート!$S$37:$V$62,B115)=0)</f>
        <v>0</v>
      </c>
      <c r="I115" s="210" t="b">
        <f t="shared" si="4"/>
        <v>0</v>
      </c>
      <c r="J115" s="210" t="b">
        <f>IF($J$1,FALSE,IF(I115=TRUE,FALSE,IF(I115,FALSE,C115&gt;入力シート!$J$24)))</f>
        <v>0</v>
      </c>
      <c r="K115" s="210" t="b">
        <f>IF($K$1,FALSE,COUNTIF(入力シート!$AW$37:$BB$38,D115)=0)</f>
        <v>0</v>
      </c>
      <c r="L115" s="210" t="b">
        <f>IF($L$1,FALSE,IF($L$3,FALSE,IF(E115="",FALSE,COUNTIF(入力シート!$AH$37:$AK$62,E115)=0)))</f>
        <v>0</v>
      </c>
      <c r="M115" s="211" t="str">
        <f t="shared" si="3"/>
        <v/>
      </c>
      <c r="N115" s="211"/>
      <c r="O115" s="209" t="str">
        <f>IF(B115="","",VLOOKUP('従業員情報(給与以外)'!$B115,入力シート!$S$37:$Z$62,5,0))</f>
        <v/>
      </c>
      <c r="P115" s="156" t="str">
        <f>IF(ISNUMBER(C115)=FALSE,"",IF(C115&gt;入力シート!$J$24,"",_xlfn.DAYS(入力シート!$J$24,'従業員情報(給与以外)'!$C115)/365))</f>
        <v/>
      </c>
      <c r="Q115" s="210" t="str">
        <f>IF(P115="","",VLOOKUP(_xlfn.DAYS(入力シート!$J$24,'従業員情報(給与以外)'!$C115)/365,入力リスト!$K$18:$L$26,2,2))</f>
        <v/>
      </c>
      <c r="R115" s="209" t="str">
        <f>IF(D115="","",VLOOKUP('従業員情報(給与以外)'!$D115,入力シート!$AW$37:$BB$38,4,0))</f>
        <v/>
      </c>
      <c r="S115" s="209" t="str">
        <f>IF(A115="","",IF(E115="","非役職",VLOOKUP('従業員情報(給与以外)'!$E115,入力シート!$AH$37:$AO$62,5,0)))</f>
        <v/>
      </c>
      <c r="T115" s="102" t="str">
        <f>IF(OR(入力シート!$C$5&lt;&gt;入力リスト!$C$3,COUNTIF(入力シート!$J$16:$S$23,入力リスト!$H$9)=0),"",IF($A115="","",IF(ISERROR(AVERAGEIF(従業員の給与情報!$B:$B,$A115,従業員の給与情報!$C:$C)),0,IF(ISERROR(AVERAGEIF(従業員の給与情報!$B:$B,$A115,従業員の給与情報!$C:$C)),0,AVERAGEIF(従業員の給与情報!$B:$B,$A115,従業員の給与情報!$C:$C)))))</f>
        <v/>
      </c>
      <c r="U115" s="102" t="str">
        <f>IF(OR(入力シート!$C$5&lt;&gt;入力リスト!$C$3,COUNTIF(入力シート!$J$16:$S$23,入力リスト!$H$9)=0),"",IF(A115="","",IF(ISERROR(AVERAGEIF(従業員の給与情報!$B:$B,$A115,従業員の給与情報!$D:$D)),0,IF(ISERROR(AVERAGEIF(従業員の給与情報!$B:$B,$A115,従業員の給与情報!$D:$D)),0,AVERAGEIF(従業員の給与情報!$B:$B,$A115,従業員の給与情報!$D:$D)))))</f>
        <v/>
      </c>
      <c r="V115" s="102" t="str">
        <f>IF(OR(入力シート!$C$5&lt;&gt;入力リスト!$C$3,COUNTIF(入力シート!$J$16:$S$23,入力リスト!$H$9)=0),"",IF(A115="","",IF(ISERROR(AVERAGEIF(従業員の給与情報!$B:$B,$A115,従業員の給与情報!$E:$E)),0,IF(ISERROR(AVERAGEIF(従業員の給与情報!$B:$B,$A115,従業員の給与情報!$E:$E)),0,AVERAGEIF(従業員の給与情報!$B:$B,$A115,従業員の給与情報!$E:$E)))))</f>
        <v/>
      </c>
      <c r="W115" s="103" t="str">
        <f>IF(OR(入力シート!$C$5&lt;&gt;入力リスト!$C$3,COUNTIF(入力シート!$J$16:$S$23,入力リスト!$H$9)=0),"",IF(A115="","",IF(ISERROR(AVERAGEIF(従業員の給与情報!$B:$B,$A115,従業員の給与情報!$F:$F)),0,IF(ISERROR(AVERAGEIF(従業員の給与情報!$B:$B,$A115,従業員の給与情報!$F:$F)),0,AVERAGEIF(従業員の給与情報!$B:$B,$A115,従業員の給与情報!$F:$F)))))</f>
        <v/>
      </c>
    </row>
    <row r="116" spans="1:23" s="10" customFormat="1" ht="19.8">
      <c r="A116" s="252"/>
      <c r="B116" s="249"/>
      <c r="C116" s="250"/>
      <c r="D116" s="251"/>
      <c r="E116" s="252"/>
      <c r="F116" s="257" t="str">
        <f>IF($G$1,"",IF(COUNTIF(A116:E116,"")=5,"",IF(G116,入力リスト!$K$28,IF(OR(A116="",B116="",IF(COUNTIF($C$3,"*不要*"),"",C116=""),D116=""),IF(A116="","従業員番号","")&amp;IF(B116="","「雇用形態」","")&amp;IF(OR(入力シート!$J$18=入力リスト!$H$9,入力シート!$J$22=入力リスト!$H$9),IF(C116="","「入社年月日」",""),"")&amp;IF(D116="","「性別」","")&amp;IF(IF(A116="","従業員番号","")&amp;IF(B116="","「雇用形態」","")&amp;IF(OR(入力シート!$J$18=入力リスト!$H$9,入力シート!$J$22=入力リスト!$H$9),IF(C116="","「入社年月日」",""),"")&amp;IF(D116="","「性別」","")="","",入力リスト!$K$29),IF(J116,入力リスト!$K$30,"")&amp;IF(I116,入力リスト!$K$31,"")&amp;IF(H116,"「雇用形態」","")&amp;IF(K116,"「性別」","")&amp;IF(L116,"「役職」","")&amp;IF(OR(H116,K116,L116),入力リスト!$K$32,"")))))</f>
        <v/>
      </c>
      <c r="G116" s="209" t="b">
        <f>COUNTIF($A$4:A115,$A116)&gt;0</f>
        <v>0</v>
      </c>
      <c r="H116" s="210" t="b">
        <f>IF($H$1,FALSE,COUNTIF(入力シート!$S$37:$V$62,B116)=0)</f>
        <v>0</v>
      </c>
      <c r="I116" s="210" t="b">
        <f t="shared" si="4"/>
        <v>0</v>
      </c>
      <c r="J116" s="210" t="b">
        <f>IF($J$1,FALSE,IF(I116=TRUE,FALSE,IF(I116,FALSE,C116&gt;入力シート!$J$24)))</f>
        <v>0</v>
      </c>
      <c r="K116" s="210" t="b">
        <f>IF($K$1,FALSE,COUNTIF(入力シート!$AW$37:$BB$38,D116)=0)</f>
        <v>0</v>
      </c>
      <c r="L116" s="210" t="b">
        <f>IF($L$1,FALSE,IF($L$3,FALSE,IF(E116="",FALSE,COUNTIF(入力シート!$AH$37:$AK$62,E116)=0)))</f>
        <v>0</v>
      </c>
      <c r="M116" s="211" t="str">
        <f t="shared" si="3"/>
        <v/>
      </c>
      <c r="N116" s="211"/>
      <c r="O116" s="209" t="str">
        <f>IF(B116="","",VLOOKUP('従業員情報(給与以外)'!$B116,入力シート!$S$37:$Z$62,5,0))</f>
        <v/>
      </c>
      <c r="P116" s="156" t="str">
        <f>IF(ISNUMBER(C116)=FALSE,"",IF(C116&gt;入力シート!$J$24,"",_xlfn.DAYS(入力シート!$J$24,'従業員情報(給与以外)'!$C116)/365))</f>
        <v/>
      </c>
      <c r="Q116" s="210" t="str">
        <f>IF(P116="","",VLOOKUP(_xlfn.DAYS(入力シート!$J$24,'従業員情報(給与以外)'!$C116)/365,入力リスト!$K$18:$L$26,2,2))</f>
        <v/>
      </c>
      <c r="R116" s="209" t="str">
        <f>IF(D116="","",VLOOKUP('従業員情報(給与以外)'!$D116,入力シート!$AW$37:$BB$38,4,0))</f>
        <v/>
      </c>
      <c r="S116" s="209" t="str">
        <f>IF(A116="","",IF(E116="","非役職",VLOOKUP('従業員情報(給与以外)'!$E116,入力シート!$AH$37:$AO$62,5,0)))</f>
        <v/>
      </c>
      <c r="T116" s="102" t="str">
        <f>IF(OR(入力シート!$C$5&lt;&gt;入力リスト!$C$3,COUNTIF(入力シート!$J$16:$S$23,入力リスト!$H$9)=0),"",IF($A116="","",IF(ISERROR(AVERAGEIF(従業員の給与情報!$B:$B,$A116,従業員の給与情報!$C:$C)),0,IF(ISERROR(AVERAGEIF(従業員の給与情報!$B:$B,$A116,従業員の給与情報!$C:$C)),0,AVERAGEIF(従業員の給与情報!$B:$B,$A116,従業員の給与情報!$C:$C)))))</f>
        <v/>
      </c>
      <c r="U116" s="102" t="str">
        <f>IF(OR(入力シート!$C$5&lt;&gt;入力リスト!$C$3,COUNTIF(入力シート!$J$16:$S$23,入力リスト!$H$9)=0),"",IF(A116="","",IF(ISERROR(AVERAGEIF(従業員の給与情報!$B:$B,$A116,従業員の給与情報!$D:$D)),0,IF(ISERROR(AVERAGEIF(従業員の給与情報!$B:$B,$A116,従業員の給与情報!$D:$D)),0,AVERAGEIF(従業員の給与情報!$B:$B,$A116,従業員の給与情報!$D:$D)))))</f>
        <v/>
      </c>
      <c r="V116" s="102" t="str">
        <f>IF(OR(入力シート!$C$5&lt;&gt;入力リスト!$C$3,COUNTIF(入力シート!$J$16:$S$23,入力リスト!$H$9)=0),"",IF(A116="","",IF(ISERROR(AVERAGEIF(従業員の給与情報!$B:$B,$A116,従業員の給与情報!$E:$E)),0,IF(ISERROR(AVERAGEIF(従業員の給与情報!$B:$B,$A116,従業員の給与情報!$E:$E)),0,AVERAGEIF(従業員の給与情報!$B:$B,$A116,従業員の給与情報!$E:$E)))))</f>
        <v/>
      </c>
      <c r="W116" s="103" t="str">
        <f>IF(OR(入力シート!$C$5&lt;&gt;入力リスト!$C$3,COUNTIF(入力シート!$J$16:$S$23,入力リスト!$H$9)=0),"",IF(A116="","",IF(ISERROR(AVERAGEIF(従業員の給与情報!$B:$B,$A116,従業員の給与情報!$F:$F)),0,IF(ISERROR(AVERAGEIF(従業員の給与情報!$B:$B,$A116,従業員の給与情報!$F:$F)),0,AVERAGEIF(従業員の給与情報!$B:$B,$A116,従業員の給与情報!$F:$F)))))</f>
        <v/>
      </c>
    </row>
    <row r="117" spans="1:23" s="10" customFormat="1" ht="19.8">
      <c r="A117" s="252"/>
      <c r="B117" s="249"/>
      <c r="C117" s="250"/>
      <c r="D117" s="251"/>
      <c r="E117" s="252"/>
      <c r="F117" s="257" t="str">
        <f>IF($G$1,"",IF(COUNTIF(A117:E117,"")=5,"",IF(G117,入力リスト!$K$28,IF(OR(A117="",B117="",IF(COUNTIF($C$3,"*不要*"),"",C117=""),D117=""),IF(A117="","従業員番号","")&amp;IF(B117="","「雇用形態」","")&amp;IF(OR(入力シート!$J$18=入力リスト!$H$9,入力シート!$J$22=入力リスト!$H$9),IF(C117="","「入社年月日」",""),"")&amp;IF(D117="","「性別」","")&amp;IF(IF(A117="","従業員番号","")&amp;IF(B117="","「雇用形態」","")&amp;IF(OR(入力シート!$J$18=入力リスト!$H$9,入力シート!$J$22=入力リスト!$H$9),IF(C117="","「入社年月日」",""),"")&amp;IF(D117="","「性別」","")="","",入力リスト!$K$29),IF(J117,入力リスト!$K$30,"")&amp;IF(I117,入力リスト!$K$31,"")&amp;IF(H117,"「雇用形態」","")&amp;IF(K117,"「性別」","")&amp;IF(L117,"「役職」","")&amp;IF(OR(H117,K117,L117),入力リスト!$K$32,"")))))</f>
        <v/>
      </c>
      <c r="G117" s="209" t="b">
        <f>COUNTIF($A$4:A116,$A117)&gt;0</f>
        <v>0</v>
      </c>
      <c r="H117" s="210" t="b">
        <f>IF($H$1,FALSE,COUNTIF(入力シート!$S$37:$V$62,B117)=0)</f>
        <v>0</v>
      </c>
      <c r="I117" s="210" t="b">
        <f t="shared" si="4"/>
        <v>0</v>
      </c>
      <c r="J117" s="210" t="b">
        <f>IF($J$1,FALSE,IF(I117=TRUE,FALSE,IF(I117,FALSE,C117&gt;入力シート!$J$24)))</f>
        <v>0</v>
      </c>
      <c r="K117" s="210" t="b">
        <f>IF($K$1,FALSE,COUNTIF(入力シート!$AW$37:$BB$38,D117)=0)</f>
        <v>0</v>
      </c>
      <c r="L117" s="210" t="b">
        <f>IF($L$1,FALSE,IF($L$3,FALSE,IF(E117="",FALSE,COUNTIF(入力シート!$AH$37:$AK$62,E117)=0)))</f>
        <v>0</v>
      </c>
      <c r="M117" s="211" t="str">
        <f t="shared" si="3"/>
        <v/>
      </c>
      <c r="N117" s="211"/>
      <c r="O117" s="209" t="str">
        <f>IF(B117="","",VLOOKUP('従業員情報(給与以外)'!$B117,入力シート!$S$37:$Z$62,5,0))</f>
        <v/>
      </c>
      <c r="P117" s="156" t="str">
        <f>IF(ISNUMBER(C117)=FALSE,"",IF(C117&gt;入力シート!$J$24,"",_xlfn.DAYS(入力シート!$J$24,'従業員情報(給与以外)'!$C117)/365))</f>
        <v/>
      </c>
      <c r="Q117" s="210" t="str">
        <f>IF(P117="","",VLOOKUP(_xlfn.DAYS(入力シート!$J$24,'従業員情報(給与以外)'!$C117)/365,入力リスト!$K$18:$L$26,2,2))</f>
        <v/>
      </c>
      <c r="R117" s="209" t="str">
        <f>IF(D117="","",VLOOKUP('従業員情報(給与以外)'!$D117,入力シート!$AW$37:$BB$38,4,0))</f>
        <v/>
      </c>
      <c r="S117" s="209" t="str">
        <f>IF(A117="","",IF(E117="","非役職",VLOOKUP('従業員情報(給与以外)'!$E117,入力シート!$AH$37:$AO$62,5,0)))</f>
        <v/>
      </c>
      <c r="T117" s="102" t="str">
        <f>IF(OR(入力シート!$C$5&lt;&gt;入力リスト!$C$3,COUNTIF(入力シート!$J$16:$S$23,入力リスト!$H$9)=0),"",IF($A117="","",IF(ISERROR(AVERAGEIF(従業員の給与情報!$B:$B,$A117,従業員の給与情報!$C:$C)),0,IF(ISERROR(AVERAGEIF(従業員の給与情報!$B:$B,$A117,従業員の給与情報!$C:$C)),0,AVERAGEIF(従業員の給与情報!$B:$B,$A117,従業員の給与情報!$C:$C)))))</f>
        <v/>
      </c>
      <c r="U117" s="102" t="str">
        <f>IF(OR(入力シート!$C$5&lt;&gt;入力リスト!$C$3,COUNTIF(入力シート!$J$16:$S$23,入力リスト!$H$9)=0),"",IF(A117="","",IF(ISERROR(AVERAGEIF(従業員の給与情報!$B:$B,$A117,従業員の給与情報!$D:$D)),0,IF(ISERROR(AVERAGEIF(従業員の給与情報!$B:$B,$A117,従業員の給与情報!$D:$D)),0,AVERAGEIF(従業員の給与情報!$B:$B,$A117,従業員の給与情報!$D:$D)))))</f>
        <v/>
      </c>
      <c r="V117" s="102" t="str">
        <f>IF(OR(入力シート!$C$5&lt;&gt;入力リスト!$C$3,COUNTIF(入力シート!$J$16:$S$23,入力リスト!$H$9)=0),"",IF(A117="","",IF(ISERROR(AVERAGEIF(従業員の給与情報!$B:$B,$A117,従業員の給与情報!$E:$E)),0,IF(ISERROR(AVERAGEIF(従業員の給与情報!$B:$B,$A117,従業員の給与情報!$E:$E)),0,AVERAGEIF(従業員の給与情報!$B:$B,$A117,従業員の給与情報!$E:$E)))))</f>
        <v/>
      </c>
      <c r="W117" s="103" t="str">
        <f>IF(OR(入力シート!$C$5&lt;&gt;入力リスト!$C$3,COUNTIF(入力シート!$J$16:$S$23,入力リスト!$H$9)=0),"",IF(A117="","",IF(ISERROR(AVERAGEIF(従業員の給与情報!$B:$B,$A117,従業員の給与情報!$F:$F)),0,IF(ISERROR(AVERAGEIF(従業員の給与情報!$B:$B,$A117,従業員の給与情報!$F:$F)),0,AVERAGEIF(従業員の給与情報!$B:$B,$A117,従業員の給与情報!$F:$F)))))</f>
        <v/>
      </c>
    </row>
    <row r="118" spans="1:23" s="10" customFormat="1" ht="19.8">
      <c r="A118" s="252"/>
      <c r="B118" s="249"/>
      <c r="C118" s="250"/>
      <c r="D118" s="251"/>
      <c r="E118" s="252"/>
      <c r="F118" s="257" t="str">
        <f>IF($G$1,"",IF(COUNTIF(A118:E118,"")=5,"",IF(G118,入力リスト!$K$28,IF(OR(A118="",B118="",IF(COUNTIF($C$3,"*不要*"),"",C118=""),D118=""),IF(A118="","従業員番号","")&amp;IF(B118="","「雇用形態」","")&amp;IF(OR(入力シート!$J$18=入力リスト!$H$9,入力シート!$J$22=入力リスト!$H$9),IF(C118="","「入社年月日」",""),"")&amp;IF(D118="","「性別」","")&amp;IF(IF(A118="","従業員番号","")&amp;IF(B118="","「雇用形態」","")&amp;IF(OR(入力シート!$J$18=入力リスト!$H$9,入力シート!$J$22=入力リスト!$H$9),IF(C118="","「入社年月日」",""),"")&amp;IF(D118="","「性別」","")="","",入力リスト!$K$29),IF(J118,入力リスト!$K$30,"")&amp;IF(I118,入力リスト!$K$31,"")&amp;IF(H118,"「雇用形態」","")&amp;IF(K118,"「性別」","")&amp;IF(L118,"「役職」","")&amp;IF(OR(H118,K118,L118),入力リスト!$K$32,"")))))</f>
        <v/>
      </c>
      <c r="G118" s="209" t="b">
        <f>COUNTIF($A$4:A117,$A118)&gt;0</f>
        <v>0</v>
      </c>
      <c r="H118" s="210" t="b">
        <f>IF($H$1,FALSE,COUNTIF(入力シート!$S$37:$V$62,B118)=0)</f>
        <v>0</v>
      </c>
      <c r="I118" s="210" t="b">
        <f t="shared" si="4"/>
        <v>0</v>
      </c>
      <c r="J118" s="210" t="b">
        <f>IF($J$1,FALSE,IF(I118=TRUE,FALSE,IF(I118,FALSE,C118&gt;入力シート!$J$24)))</f>
        <v>0</v>
      </c>
      <c r="K118" s="210" t="b">
        <f>IF($K$1,FALSE,COUNTIF(入力シート!$AW$37:$BB$38,D118)=0)</f>
        <v>0</v>
      </c>
      <c r="L118" s="210" t="b">
        <f>IF($L$1,FALSE,IF($L$3,FALSE,IF(E118="",FALSE,COUNTIF(入力シート!$AH$37:$AK$62,E118)=0)))</f>
        <v>0</v>
      </c>
      <c r="M118" s="211" t="str">
        <f t="shared" si="3"/>
        <v/>
      </c>
      <c r="N118" s="211"/>
      <c r="O118" s="209" t="str">
        <f>IF(B118="","",VLOOKUP('従業員情報(給与以外)'!$B118,入力シート!$S$37:$Z$62,5,0))</f>
        <v/>
      </c>
      <c r="P118" s="156" t="str">
        <f>IF(ISNUMBER(C118)=FALSE,"",IF(C118&gt;入力シート!$J$24,"",_xlfn.DAYS(入力シート!$J$24,'従業員情報(給与以外)'!$C118)/365))</f>
        <v/>
      </c>
      <c r="Q118" s="210" t="str">
        <f>IF(P118="","",VLOOKUP(_xlfn.DAYS(入力シート!$J$24,'従業員情報(給与以外)'!$C118)/365,入力リスト!$K$18:$L$26,2,2))</f>
        <v/>
      </c>
      <c r="R118" s="209" t="str">
        <f>IF(D118="","",VLOOKUP('従業員情報(給与以外)'!$D118,入力シート!$AW$37:$BB$38,4,0))</f>
        <v/>
      </c>
      <c r="S118" s="209" t="str">
        <f>IF(A118="","",IF(E118="","非役職",VLOOKUP('従業員情報(給与以外)'!$E118,入力シート!$AH$37:$AO$62,5,0)))</f>
        <v/>
      </c>
      <c r="T118" s="102" t="str">
        <f>IF(OR(入力シート!$C$5&lt;&gt;入力リスト!$C$3,COUNTIF(入力シート!$J$16:$S$23,入力リスト!$H$9)=0),"",IF($A118="","",IF(ISERROR(AVERAGEIF(従業員の給与情報!$B:$B,$A118,従業員の給与情報!$C:$C)),0,IF(ISERROR(AVERAGEIF(従業員の給与情報!$B:$B,$A118,従業員の給与情報!$C:$C)),0,AVERAGEIF(従業員の給与情報!$B:$B,$A118,従業員の給与情報!$C:$C)))))</f>
        <v/>
      </c>
      <c r="U118" s="102" t="str">
        <f>IF(OR(入力シート!$C$5&lt;&gt;入力リスト!$C$3,COUNTIF(入力シート!$J$16:$S$23,入力リスト!$H$9)=0),"",IF(A118="","",IF(ISERROR(AVERAGEIF(従業員の給与情報!$B:$B,$A118,従業員の給与情報!$D:$D)),0,IF(ISERROR(AVERAGEIF(従業員の給与情報!$B:$B,$A118,従業員の給与情報!$D:$D)),0,AVERAGEIF(従業員の給与情報!$B:$B,$A118,従業員の給与情報!$D:$D)))))</f>
        <v/>
      </c>
      <c r="V118" s="102" t="str">
        <f>IF(OR(入力シート!$C$5&lt;&gt;入力リスト!$C$3,COUNTIF(入力シート!$J$16:$S$23,入力リスト!$H$9)=0),"",IF(A118="","",IF(ISERROR(AVERAGEIF(従業員の給与情報!$B:$B,$A118,従業員の給与情報!$E:$E)),0,IF(ISERROR(AVERAGEIF(従業員の給与情報!$B:$B,$A118,従業員の給与情報!$E:$E)),0,AVERAGEIF(従業員の給与情報!$B:$B,$A118,従業員の給与情報!$E:$E)))))</f>
        <v/>
      </c>
      <c r="W118" s="103" t="str">
        <f>IF(OR(入力シート!$C$5&lt;&gt;入力リスト!$C$3,COUNTIF(入力シート!$J$16:$S$23,入力リスト!$H$9)=0),"",IF(A118="","",IF(ISERROR(AVERAGEIF(従業員の給与情報!$B:$B,$A118,従業員の給与情報!$F:$F)),0,IF(ISERROR(AVERAGEIF(従業員の給与情報!$B:$B,$A118,従業員の給与情報!$F:$F)),0,AVERAGEIF(従業員の給与情報!$B:$B,$A118,従業員の給与情報!$F:$F)))))</f>
        <v/>
      </c>
    </row>
    <row r="119" spans="1:23" s="10" customFormat="1" ht="19.8">
      <c r="A119" s="252"/>
      <c r="B119" s="249"/>
      <c r="C119" s="250"/>
      <c r="D119" s="251"/>
      <c r="E119" s="252"/>
      <c r="F119" s="257" t="str">
        <f>IF($G$1,"",IF(COUNTIF(A119:E119,"")=5,"",IF(G119,入力リスト!$K$28,IF(OR(A119="",B119="",IF(COUNTIF($C$3,"*不要*"),"",C119=""),D119=""),IF(A119="","従業員番号","")&amp;IF(B119="","「雇用形態」","")&amp;IF(OR(入力シート!$J$18=入力リスト!$H$9,入力シート!$J$22=入力リスト!$H$9),IF(C119="","「入社年月日」",""),"")&amp;IF(D119="","「性別」","")&amp;IF(IF(A119="","従業員番号","")&amp;IF(B119="","「雇用形態」","")&amp;IF(OR(入力シート!$J$18=入力リスト!$H$9,入力シート!$J$22=入力リスト!$H$9),IF(C119="","「入社年月日」",""),"")&amp;IF(D119="","「性別」","")="","",入力リスト!$K$29),IF(J119,入力リスト!$K$30,"")&amp;IF(I119,入力リスト!$K$31,"")&amp;IF(H119,"「雇用形態」","")&amp;IF(K119,"「性別」","")&amp;IF(L119,"「役職」","")&amp;IF(OR(H119,K119,L119),入力リスト!$K$32,"")))))</f>
        <v/>
      </c>
      <c r="G119" s="209" t="b">
        <f>COUNTIF($A$4:A118,$A119)&gt;0</f>
        <v>0</v>
      </c>
      <c r="H119" s="210" t="b">
        <f>IF($H$1,FALSE,COUNTIF(入力シート!$S$37:$V$62,B119)=0)</f>
        <v>0</v>
      </c>
      <c r="I119" s="210" t="b">
        <f t="shared" si="4"/>
        <v>0</v>
      </c>
      <c r="J119" s="210" t="b">
        <f>IF($J$1,FALSE,IF(I119=TRUE,FALSE,IF(I119,FALSE,C119&gt;入力シート!$J$24)))</f>
        <v>0</v>
      </c>
      <c r="K119" s="210" t="b">
        <f>IF($K$1,FALSE,COUNTIF(入力シート!$AW$37:$BB$38,D119)=0)</f>
        <v>0</v>
      </c>
      <c r="L119" s="210" t="b">
        <f>IF($L$1,FALSE,IF($L$3,FALSE,IF(E119="",FALSE,COUNTIF(入力シート!$AH$37:$AK$62,E119)=0)))</f>
        <v>0</v>
      </c>
      <c r="M119" s="211" t="str">
        <f t="shared" si="3"/>
        <v/>
      </c>
      <c r="N119" s="211"/>
      <c r="O119" s="209" t="str">
        <f>IF(B119="","",VLOOKUP('従業員情報(給与以外)'!$B119,入力シート!$S$37:$Z$62,5,0))</f>
        <v/>
      </c>
      <c r="P119" s="156" t="str">
        <f>IF(ISNUMBER(C119)=FALSE,"",IF(C119&gt;入力シート!$J$24,"",_xlfn.DAYS(入力シート!$J$24,'従業員情報(給与以外)'!$C119)/365))</f>
        <v/>
      </c>
      <c r="Q119" s="210" t="str">
        <f>IF(P119="","",VLOOKUP(_xlfn.DAYS(入力シート!$J$24,'従業員情報(給与以外)'!$C119)/365,入力リスト!$K$18:$L$26,2,2))</f>
        <v/>
      </c>
      <c r="R119" s="209" t="str">
        <f>IF(D119="","",VLOOKUP('従業員情報(給与以外)'!$D119,入力シート!$AW$37:$BB$38,4,0))</f>
        <v/>
      </c>
      <c r="S119" s="209" t="str">
        <f>IF(A119="","",IF(E119="","非役職",VLOOKUP('従業員情報(給与以外)'!$E119,入力シート!$AH$37:$AO$62,5,0)))</f>
        <v/>
      </c>
      <c r="T119" s="102" t="str">
        <f>IF(OR(入力シート!$C$5&lt;&gt;入力リスト!$C$3,COUNTIF(入力シート!$J$16:$S$23,入力リスト!$H$9)=0),"",IF($A119="","",IF(ISERROR(AVERAGEIF(従業員の給与情報!$B:$B,$A119,従業員の給与情報!$C:$C)),0,IF(ISERROR(AVERAGEIF(従業員の給与情報!$B:$B,$A119,従業員の給与情報!$C:$C)),0,AVERAGEIF(従業員の給与情報!$B:$B,$A119,従業員の給与情報!$C:$C)))))</f>
        <v/>
      </c>
      <c r="U119" s="102" t="str">
        <f>IF(OR(入力シート!$C$5&lt;&gt;入力リスト!$C$3,COUNTIF(入力シート!$J$16:$S$23,入力リスト!$H$9)=0),"",IF(A119="","",IF(ISERROR(AVERAGEIF(従業員の給与情報!$B:$B,$A119,従業員の給与情報!$D:$D)),0,IF(ISERROR(AVERAGEIF(従業員の給与情報!$B:$B,$A119,従業員の給与情報!$D:$D)),0,AVERAGEIF(従業員の給与情報!$B:$B,$A119,従業員の給与情報!$D:$D)))))</f>
        <v/>
      </c>
      <c r="V119" s="102" t="str">
        <f>IF(OR(入力シート!$C$5&lt;&gt;入力リスト!$C$3,COUNTIF(入力シート!$J$16:$S$23,入力リスト!$H$9)=0),"",IF(A119="","",IF(ISERROR(AVERAGEIF(従業員の給与情報!$B:$B,$A119,従業員の給与情報!$E:$E)),0,IF(ISERROR(AVERAGEIF(従業員の給与情報!$B:$B,$A119,従業員の給与情報!$E:$E)),0,AVERAGEIF(従業員の給与情報!$B:$B,$A119,従業員の給与情報!$E:$E)))))</f>
        <v/>
      </c>
      <c r="W119" s="103" t="str">
        <f>IF(OR(入力シート!$C$5&lt;&gt;入力リスト!$C$3,COUNTIF(入力シート!$J$16:$S$23,入力リスト!$H$9)=0),"",IF(A119="","",IF(ISERROR(AVERAGEIF(従業員の給与情報!$B:$B,$A119,従業員の給与情報!$F:$F)),0,IF(ISERROR(AVERAGEIF(従業員の給与情報!$B:$B,$A119,従業員の給与情報!$F:$F)),0,AVERAGEIF(従業員の給与情報!$B:$B,$A119,従業員の給与情報!$F:$F)))))</f>
        <v/>
      </c>
    </row>
    <row r="120" spans="1:23" s="10" customFormat="1" ht="19.8">
      <c r="A120" s="252"/>
      <c r="B120" s="249"/>
      <c r="C120" s="250"/>
      <c r="D120" s="251"/>
      <c r="E120" s="252"/>
      <c r="F120" s="257" t="str">
        <f>IF($G$1,"",IF(COUNTIF(A120:E120,"")=5,"",IF(G120,入力リスト!$K$28,IF(OR(A120="",B120="",IF(COUNTIF($C$3,"*不要*"),"",C120=""),D120=""),IF(A120="","従業員番号","")&amp;IF(B120="","「雇用形態」","")&amp;IF(OR(入力シート!$J$18=入力リスト!$H$9,入力シート!$J$22=入力リスト!$H$9),IF(C120="","「入社年月日」",""),"")&amp;IF(D120="","「性別」","")&amp;IF(IF(A120="","従業員番号","")&amp;IF(B120="","「雇用形態」","")&amp;IF(OR(入力シート!$J$18=入力リスト!$H$9,入力シート!$J$22=入力リスト!$H$9),IF(C120="","「入社年月日」",""),"")&amp;IF(D120="","「性別」","")="","",入力リスト!$K$29),IF(J120,入力リスト!$K$30,"")&amp;IF(I120,入力リスト!$K$31,"")&amp;IF(H120,"「雇用形態」","")&amp;IF(K120,"「性別」","")&amp;IF(L120,"「役職」","")&amp;IF(OR(H120,K120,L120),入力リスト!$K$32,"")))))</f>
        <v/>
      </c>
      <c r="G120" s="209" t="b">
        <f>COUNTIF($A$4:A119,$A120)&gt;0</f>
        <v>0</v>
      </c>
      <c r="H120" s="210" t="b">
        <f>IF($H$1,FALSE,COUNTIF(入力シート!$S$37:$V$62,B120)=0)</f>
        <v>0</v>
      </c>
      <c r="I120" s="210" t="b">
        <f t="shared" si="4"/>
        <v>0</v>
      </c>
      <c r="J120" s="210" t="b">
        <f>IF($J$1,FALSE,IF(I120=TRUE,FALSE,IF(I120,FALSE,C120&gt;入力シート!$J$24)))</f>
        <v>0</v>
      </c>
      <c r="K120" s="210" t="b">
        <f>IF($K$1,FALSE,COUNTIF(入力シート!$AW$37:$BB$38,D120)=0)</f>
        <v>0</v>
      </c>
      <c r="L120" s="210" t="b">
        <f>IF($L$1,FALSE,IF($L$3,FALSE,IF(E120="",FALSE,COUNTIF(入力シート!$AH$37:$AK$62,E120)=0)))</f>
        <v>0</v>
      </c>
      <c r="M120" s="211" t="str">
        <f t="shared" si="3"/>
        <v/>
      </c>
      <c r="N120" s="211"/>
      <c r="O120" s="209" t="str">
        <f>IF(B120="","",VLOOKUP('従業員情報(給与以外)'!$B120,入力シート!$S$37:$Z$62,5,0))</f>
        <v/>
      </c>
      <c r="P120" s="156" t="str">
        <f>IF(ISNUMBER(C120)=FALSE,"",IF(C120&gt;入力シート!$J$24,"",_xlfn.DAYS(入力シート!$J$24,'従業員情報(給与以外)'!$C120)/365))</f>
        <v/>
      </c>
      <c r="Q120" s="210" t="str">
        <f>IF(P120="","",VLOOKUP(_xlfn.DAYS(入力シート!$J$24,'従業員情報(給与以外)'!$C120)/365,入力リスト!$K$18:$L$26,2,2))</f>
        <v/>
      </c>
      <c r="R120" s="209" t="str">
        <f>IF(D120="","",VLOOKUP('従業員情報(給与以外)'!$D120,入力シート!$AW$37:$BB$38,4,0))</f>
        <v/>
      </c>
      <c r="S120" s="209" t="str">
        <f>IF(A120="","",IF(E120="","非役職",VLOOKUP('従業員情報(給与以外)'!$E120,入力シート!$AH$37:$AO$62,5,0)))</f>
        <v/>
      </c>
      <c r="T120" s="102" t="str">
        <f>IF(OR(入力シート!$C$5&lt;&gt;入力リスト!$C$3,COUNTIF(入力シート!$J$16:$S$23,入力リスト!$H$9)=0),"",IF($A120="","",IF(ISERROR(AVERAGEIF(従業員の給与情報!$B:$B,$A120,従業員の給与情報!$C:$C)),0,IF(ISERROR(AVERAGEIF(従業員の給与情報!$B:$B,$A120,従業員の給与情報!$C:$C)),0,AVERAGEIF(従業員の給与情報!$B:$B,$A120,従業員の給与情報!$C:$C)))))</f>
        <v/>
      </c>
      <c r="U120" s="102" t="str">
        <f>IF(OR(入力シート!$C$5&lt;&gt;入力リスト!$C$3,COUNTIF(入力シート!$J$16:$S$23,入力リスト!$H$9)=0),"",IF(A120="","",IF(ISERROR(AVERAGEIF(従業員の給与情報!$B:$B,$A120,従業員の給与情報!$D:$D)),0,IF(ISERROR(AVERAGEIF(従業員の給与情報!$B:$B,$A120,従業員の給与情報!$D:$D)),0,AVERAGEIF(従業員の給与情報!$B:$B,$A120,従業員の給与情報!$D:$D)))))</f>
        <v/>
      </c>
      <c r="V120" s="102" t="str">
        <f>IF(OR(入力シート!$C$5&lt;&gt;入力リスト!$C$3,COUNTIF(入力シート!$J$16:$S$23,入力リスト!$H$9)=0),"",IF(A120="","",IF(ISERROR(AVERAGEIF(従業員の給与情報!$B:$B,$A120,従業員の給与情報!$E:$E)),0,IF(ISERROR(AVERAGEIF(従業員の給与情報!$B:$B,$A120,従業員の給与情報!$E:$E)),0,AVERAGEIF(従業員の給与情報!$B:$B,$A120,従業員の給与情報!$E:$E)))))</f>
        <v/>
      </c>
      <c r="W120" s="103" t="str">
        <f>IF(OR(入力シート!$C$5&lt;&gt;入力リスト!$C$3,COUNTIF(入力シート!$J$16:$S$23,入力リスト!$H$9)=0),"",IF(A120="","",IF(ISERROR(AVERAGEIF(従業員の給与情報!$B:$B,$A120,従業員の給与情報!$F:$F)),0,IF(ISERROR(AVERAGEIF(従業員の給与情報!$B:$B,$A120,従業員の給与情報!$F:$F)),0,AVERAGEIF(従業員の給与情報!$B:$B,$A120,従業員の給与情報!$F:$F)))))</f>
        <v/>
      </c>
    </row>
    <row r="121" spans="1:23" s="10" customFormat="1" ht="19.8">
      <c r="A121" s="252"/>
      <c r="B121" s="249"/>
      <c r="C121" s="250"/>
      <c r="D121" s="251"/>
      <c r="E121" s="249"/>
      <c r="F121" s="257" t="str">
        <f>IF($G$1,"",IF(COUNTIF(A121:E121,"")=5,"",IF(G121,入力リスト!$K$28,IF(OR(A121="",B121="",IF(COUNTIF($C$3,"*不要*"),"",C121=""),D121=""),IF(A121="","従業員番号","")&amp;IF(B121="","「雇用形態」","")&amp;IF(OR(入力シート!$J$18=入力リスト!$H$9,入力シート!$J$22=入力リスト!$H$9),IF(C121="","「入社年月日」",""),"")&amp;IF(D121="","「性別」","")&amp;IF(IF(A121="","従業員番号","")&amp;IF(B121="","「雇用形態」","")&amp;IF(OR(入力シート!$J$18=入力リスト!$H$9,入力シート!$J$22=入力リスト!$H$9),IF(C121="","「入社年月日」",""),"")&amp;IF(D121="","「性別」","")="","",入力リスト!$K$29),IF(J121,入力リスト!$K$30,"")&amp;IF(I121,入力リスト!$K$31,"")&amp;IF(H121,"「雇用形態」","")&amp;IF(K121,"「性別」","")&amp;IF(L121,"「役職」","")&amp;IF(OR(H121,K121,L121),入力リスト!$K$32,"")))))</f>
        <v/>
      </c>
      <c r="G121" s="209" t="b">
        <f>COUNTIF($A$4:A120,$A121)&gt;0</f>
        <v>0</v>
      </c>
      <c r="H121" s="210" t="b">
        <f>IF($H$1,FALSE,COUNTIF(入力シート!$S$37:$V$62,B121)=0)</f>
        <v>0</v>
      </c>
      <c r="I121" s="210" t="b">
        <f t="shared" si="4"/>
        <v>0</v>
      </c>
      <c r="J121" s="210" t="b">
        <f>IF($J$1,FALSE,IF(I121=TRUE,FALSE,IF(I121,FALSE,C121&gt;入力シート!$J$24)))</f>
        <v>0</v>
      </c>
      <c r="K121" s="210" t="b">
        <f>IF($K$1,FALSE,COUNTIF(入力シート!$AW$37:$BB$38,D121)=0)</f>
        <v>0</v>
      </c>
      <c r="L121" s="210" t="b">
        <f>IF($L$1,FALSE,IF($L$3,FALSE,IF(E121="",FALSE,COUNTIF(入力シート!$AH$37:$AK$62,E121)=0)))</f>
        <v>0</v>
      </c>
      <c r="M121" s="211" t="str">
        <f t="shared" si="3"/>
        <v/>
      </c>
      <c r="N121" s="211"/>
      <c r="O121" s="209" t="str">
        <f>IF(B121="","",VLOOKUP('従業員情報(給与以外)'!$B121,入力シート!$S$37:$Z$62,5,0))</f>
        <v/>
      </c>
      <c r="P121" s="156" t="str">
        <f>IF(ISNUMBER(C121)=FALSE,"",IF(C121&gt;入力シート!$J$24,"",_xlfn.DAYS(入力シート!$J$24,'従業員情報(給与以外)'!$C121)/365))</f>
        <v/>
      </c>
      <c r="Q121" s="210" t="str">
        <f>IF(P121="","",VLOOKUP(_xlfn.DAYS(入力シート!$J$24,'従業員情報(給与以外)'!$C121)/365,入力リスト!$K$18:$L$26,2,2))</f>
        <v/>
      </c>
      <c r="R121" s="209" t="str">
        <f>IF(D121="","",VLOOKUP('従業員情報(給与以外)'!$D121,入力シート!$AW$37:$BB$38,4,0))</f>
        <v/>
      </c>
      <c r="S121" s="209" t="str">
        <f>IF(A121="","",IF(E121="","非役職",VLOOKUP('従業員情報(給与以外)'!$E121,入力シート!$AH$37:$AO$62,5,0)))</f>
        <v/>
      </c>
      <c r="T121" s="102" t="str">
        <f>IF(OR(入力シート!$C$5&lt;&gt;入力リスト!$C$3,COUNTIF(入力シート!$J$16:$S$23,入力リスト!$H$9)=0),"",IF($A121="","",IF(ISERROR(AVERAGEIF(従業員の給与情報!$B:$B,$A121,従業員の給与情報!$C:$C)),0,IF(ISERROR(AVERAGEIF(従業員の給与情報!$B:$B,$A121,従業員の給与情報!$C:$C)),0,AVERAGEIF(従業員の給与情報!$B:$B,$A121,従業員の給与情報!$C:$C)))))</f>
        <v/>
      </c>
      <c r="U121" s="102" t="str">
        <f>IF(OR(入力シート!$C$5&lt;&gt;入力リスト!$C$3,COUNTIF(入力シート!$J$16:$S$23,入力リスト!$H$9)=0),"",IF(A121="","",IF(ISERROR(AVERAGEIF(従業員の給与情報!$B:$B,$A121,従業員の給与情報!$D:$D)),0,IF(ISERROR(AVERAGEIF(従業員の給与情報!$B:$B,$A121,従業員の給与情報!$D:$D)),0,AVERAGEIF(従業員の給与情報!$B:$B,$A121,従業員の給与情報!$D:$D)))))</f>
        <v/>
      </c>
      <c r="V121" s="102" t="str">
        <f>IF(OR(入力シート!$C$5&lt;&gt;入力リスト!$C$3,COUNTIF(入力シート!$J$16:$S$23,入力リスト!$H$9)=0),"",IF(A121="","",IF(ISERROR(AVERAGEIF(従業員の給与情報!$B:$B,$A121,従業員の給与情報!$E:$E)),0,IF(ISERROR(AVERAGEIF(従業員の給与情報!$B:$B,$A121,従業員の給与情報!$E:$E)),0,AVERAGEIF(従業員の給与情報!$B:$B,$A121,従業員の給与情報!$E:$E)))))</f>
        <v/>
      </c>
      <c r="W121" s="103" t="str">
        <f>IF(OR(入力シート!$C$5&lt;&gt;入力リスト!$C$3,COUNTIF(入力シート!$J$16:$S$23,入力リスト!$H$9)=0),"",IF(A121="","",IF(ISERROR(AVERAGEIF(従業員の給与情報!$B:$B,$A121,従業員の給与情報!$F:$F)),0,IF(ISERROR(AVERAGEIF(従業員の給与情報!$B:$B,$A121,従業員の給与情報!$F:$F)),0,AVERAGEIF(従業員の給与情報!$B:$B,$A121,従業員の給与情報!$F:$F)))))</f>
        <v/>
      </c>
    </row>
    <row r="122" spans="1:23" s="10" customFormat="1" ht="19.8">
      <c r="A122" s="252"/>
      <c r="B122" s="249"/>
      <c r="C122" s="250"/>
      <c r="D122" s="251"/>
      <c r="E122" s="252"/>
      <c r="F122" s="257" t="str">
        <f>IF($G$1,"",IF(COUNTIF(A122:E122,"")=5,"",IF(G122,入力リスト!$K$28,IF(OR(A122="",B122="",IF(COUNTIF($C$3,"*不要*"),"",C122=""),D122=""),IF(A122="","従業員番号","")&amp;IF(B122="","「雇用形態」","")&amp;IF(OR(入力シート!$J$18=入力リスト!$H$9,入力シート!$J$22=入力リスト!$H$9),IF(C122="","「入社年月日」",""),"")&amp;IF(D122="","「性別」","")&amp;IF(IF(A122="","従業員番号","")&amp;IF(B122="","「雇用形態」","")&amp;IF(OR(入力シート!$J$18=入力リスト!$H$9,入力シート!$J$22=入力リスト!$H$9),IF(C122="","「入社年月日」",""),"")&amp;IF(D122="","「性別」","")="","",入力リスト!$K$29),IF(J122,入力リスト!$K$30,"")&amp;IF(I122,入力リスト!$K$31,"")&amp;IF(H122,"「雇用形態」","")&amp;IF(K122,"「性別」","")&amp;IF(L122,"「役職」","")&amp;IF(OR(H122,K122,L122),入力リスト!$K$32,"")))))</f>
        <v/>
      </c>
      <c r="G122" s="209" t="b">
        <f>COUNTIF($A$4:A121,$A122)&gt;0</f>
        <v>0</v>
      </c>
      <c r="H122" s="210" t="b">
        <f>IF($H$1,FALSE,COUNTIF(入力シート!$S$37:$V$62,B122)=0)</f>
        <v>0</v>
      </c>
      <c r="I122" s="210" t="b">
        <f t="shared" si="4"/>
        <v>0</v>
      </c>
      <c r="J122" s="210" t="b">
        <f>IF($J$1,FALSE,IF(I122=TRUE,FALSE,IF(I122,FALSE,C122&gt;入力シート!$J$24)))</f>
        <v>0</v>
      </c>
      <c r="K122" s="210" t="b">
        <f>IF($K$1,FALSE,COUNTIF(入力シート!$AW$37:$BB$38,D122)=0)</f>
        <v>0</v>
      </c>
      <c r="L122" s="210" t="b">
        <f>IF($L$1,FALSE,IF($L$3,FALSE,IF(E122="",FALSE,COUNTIF(入力シート!$AH$37:$AK$62,E122)=0)))</f>
        <v>0</v>
      </c>
      <c r="M122" s="211" t="str">
        <f t="shared" si="3"/>
        <v/>
      </c>
      <c r="N122" s="211"/>
      <c r="O122" s="209" t="str">
        <f>IF(B122="","",VLOOKUP('従業員情報(給与以外)'!$B122,入力シート!$S$37:$Z$62,5,0))</f>
        <v/>
      </c>
      <c r="P122" s="156" t="str">
        <f>IF(ISNUMBER(C122)=FALSE,"",IF(C122&gt;入力シート!$J$24,"",_xlfn.DAYS(入力シート!$J$24,'従業員情報(給与以外)'!$C122)/365))</f>
        <v/>
      </c>
      <c r="Q122" s="210" t="str">
        <f>IF(P122="","",VLOOKUP(_xlfn.DAYS(入力シート!$J$24,'従業員情報(給与以外)'!$C122)/365,入力リスト!$K$18:$L$26,2,2))</f>
        <v/>
      </c>
      <c r="R122" s="209" t="str">
        <f>IF(D122="","",VLOOKUP('従業員情報(給与以外)'!$D122,入力シート!$AW$37:$BB$38,4,0))</f>
        <v/>
      </c>
      <c r="S122" s="209" t="str">
        <f>IF(A122="","",IF(E122="","非役職",VLOOKUP('従業員情報(給与以外)'!$E122,入力シート!$AH$37:$AO$62,5,0)))</f>
        <v/>
      </c>
      <c r="T122" s="102" t="str">
        <f>IF(OR(入力シート!$C$5&lt;&gt;入力リスト!$C$3,COUNTIF(入力シート!$J$16:$S$23,入力リスト!$H$9)=0),"",IF($A122="","",IF(ISERROR(AVERAGEIF(従業員の給与情報!$B:$B,$A122,従業員の給与情報!$C:$C)),0,IF(ISERROR(AVERAGEIF(従業員の給与情報!$B:$B,$A122,従業員の給与情報!$C:$C)),0,AVERAGEIF(従業員の給与情報!$B:$B,$A122,従業員の給与情報!$C:$C)))))</f>
        <v/>
      </c>
      <c r="U122" s="102" t="str">
        <f>IF(OR(入力シート!$C$5&lt;&gt;入力リスト!$C$3,COUNTIF(入力シート!$J$16:$S$23,入力リスト!$H$9)=0),"",IF(A122="","",IF(ISERROR(AVERAGEIF(従業員の給与情報!$B:$B,$A122,従業員の給与情報!$D:$D)),0,IF(ISERROR(AVERAGEIF(従業員の給与情報!$B:$B,$A122,従業員の給与情報!$D:$D)),0,AVERAGEIF(従業員の給与情報!$B:$B,$A122,従業員の給与情報!$D:$D)))))</f>
        <v/>
      </c>
      <c r="V122" s="102" t="str">
        <f>IF(OR(入力シート!$C$5&lt;&gt;入力リスト!$C$3,COUNTIF(入力シート!$J$16:$S$23,入力リスト!$H$9)=0),"",IF(A122="","",IF(ISERROR(AVERAGEIF(従業員の給与情報!$B:$B,$A122,従業員の給与情報!$E:$E)),0,IF(ISERROR(AVERAGEIF(従業員の給与情報!$B:$B,$A122,従業員の給与情報!$E:$E)),0,AVERAGEIF(従業員の給与情報!$B:$B,$A122,従業員の給与情報!$E:$E)))))</f>
        <v/>
      </c>
      <c r="W122" s="103" t="str">
        <f>IF(OR(入力シート!$C$5&lt;&gt;入力リスト!$C$3,COUNTIF(入力シート!$J$16:$S$23,入力リスト!$H$9)=0),"",IF(A122="","",IF(ISERROR(AVERAGEIF(従業員の給与情報!$B:$B,$A122,従業員の給与情報!$F:$F)),0,IF(ISERROR(AVERAGEIF(従業員の給与情報!$B:$B,$A122,従業員の給与情報!$F:$F)),0,AVERAGEIF(従業員の給与情報!$B:$B,$A122,従業員の給与情報!$F:$F)))))</f>
        <v/>
      </c>
    </row>
    <row r="123" spans="1:23" s="10" customFormat="1" ht="19.8">
      <c r="A123" s="252"/>
      <c r="B123" s="249"/>
      <c r="C123" s="250"/>
      <c r="D123" s="251"/>
      <c r="E123" s="252"/>
      <c r="F123" s="257" t="str">
        <f>IF($G$1,"",IF(COUNTIF(A123:E123,"")=5,"",IF(G123,入力リスト!$K$28,IF(OR(A123="",B123="",IF(COUNTIF($C$3,"*不要*"),"",C123=""),D123=""),IF(A123="","従業員番号","")&amp;IF(B123="","「雇用形態」","")&amp;IF(OR(入力シート!$J$18=入力リスト!$H$9,入力シート!$J$22=入力リスト!$H$9),IF(C123="","「入社年月日」",""),"")&amp;IF(D123="","「性別」","")&amp;IF(IF(A123="","従業員番号","")&amp;IF(B123="","「雇用形態」","")&amp;IF(OR(入力シート!$J$18=入力リスト!$H$9,入力シート!$J$22=入力リスト!$H$9),IF(C123="","「入社年月日」",""),"")&amp;IF(D123="","「性別」","")="","",入力リスト!$K$29),IF(J123,入力リスト!$K$30,"")&amp;IF(I123,入力リスト!$K$31,"")&amp;IF(H123,"「雇用形態」","")&amp;IF(K123,"「性別」","")&amp;IF(L123,"「役職」","")&amp;IF(OR(H123,K123,L123),入力リスト!$K$32,"")))))</f>
        <v/>
      </c>
      <c r="G123" s="209" t="b">
        <f>COUNTIF($A$4:A122,$A123)&gt;0</f>
        <v>0</v>
      </c>
      <c r="H123" s="210" t="b">
        <f>IF($H$1,FALSE,COUNTIF(入力シート!$S$37:$V$62,B123)=0)</f>
        <v>0</v>
      </c>
      <c r="I123" s="210" t="b">
        <f t="shared" si="4"/>
        <v>0</v>
      </c>
      <c r="J123" s="210" t="b">
        <f>IF($J$1,FALSE,IF(I123=TRUE,FALSE,IF(I123,FALSE,C123&gt;入力シート!$J$24)))</f>
        <v>0</v>
      </c>
      <c r="K123" s="210" t="b">
        <f>IF($K$1,FALSE,COUNTIF(入力シート!$AW$37:$BB$38,D123)=0)</f>
        <v>0</v>
      </c>
      <c r="L123" s="210" t="b">
        <f>IF($L$1,FALSE,IF($L$3,FALSE,IF(E123="",FALSE,COUNTIF(入力シート!$AH$37:$AK$62,E123)=0)))</f>
        <v>0</v>
      </c>
      <c r="M123" s="211" t="str">
        <f t="shared" si="3"/>
        <v/>
      </c>
      <c r="N123" s="211"/>
      <c r="O123" s="209" t="str">
        <f>IF(B123="","",VLOOKUP('従業員情報(給与以外)'!$B123,入力シート!$S$37:$Z$62,5,0))</f>
        <v/>
      </c>
      <c r="P123" s="156" t="str">
        <f>IF(ISNUMBER(C123)=FALSE,"",IF(C123&gt;入力シート!$J$24,"",_xlfn.DAYS(入力シート!$J$24,'従業員情報(給与以外)'!$C123)/365))</f>
        <v/>
      </c>
      <c r="Q123" s="210" t="str">
        <f>IF(P123="","",VLOOKUP(_xlfn.DAYS(入力シート!$J$24,'従業員情報(給与以外)'!$C123)/365,入力リスト!$K$18:$L$26,2,2))</f>
        <v/>
      </c>
      <c r="R123" s="209" t="str">
        <f>IF(D123="","",VLOOKUP('従業員情報(給与以外)'!$D123,入力シート!$AW$37:$BB$38,4,0))</f>
        <v/>
      </c>
      <c r="S123" s="209" t="str">
        <f>IF(A123="","",IF(E123="","非役職",VLOOKUP('従業員情報(給与以外)'!$E123,入力シート!$AH$37:$AO$62,5,0)))</f>
        <v/>
      </c>
      <c r="T123" s="102" t="str">
        <f>IF(OR(入力シート!$C$5&lt;&gt;入力リスト!$C$3,COUNTIF(入力シート!$J$16:$S$23,入力リスト!$H$9)=0),"",IF($A123="","",IF(ISERROR(AVERAGEIF(従業員の給与情報!$B:$B,$A123,従業員の給与情報!$C:$C)),0,IF(ISERROR(AVERAGEIF(従業員の給与情報!$B:$B,$A123,従業員の給与情報!$C:$C)),0,AVERAGEIF(従業員の給与情報!$B:$B,$A123,従業員の給与情報!$C:$C)))))</f>
        <v/>
      </c>
      <c r="U123" s="102" t="str">
        <f>IF(OR(入力シート!$C$5&lt;&gt;入力リスト!$C$3,COUNTIF(入力シート!$J$16:$S$23,入力リスト!$H$9)=0),"",IF(A123="","",IF(ISERROR(AVERAGEIF(従業員の給与情報!$B:$B,$A123,従業員の給与情報!$D:$D)),0,IF(ISERROR(AVERAGEIF(従業員の給与情報!$B:$B,$A123,従業員の給与情報!$D:$D)),0,AVERAGEIF(従業員の給与情報!$B:$B,$A123,従業員の給与情報!$D:$D)))))</f>
        <v/>
      </c>
      <c r="V123" s="102" t="str">
        <f>IF(OR(入力シート!$C$5&lt;&gt;入力リスト!$C$3,COUNTIF(入力シート!$J$16:$S$23,入力リスト!$H$9)=0),"",IF(A123="","",IF(ISERROR(AVERAGEIF(従業員の給与情報!$B:$B,$A123,従業員の給与情報!$E:$E)),0,IF(ISERROR(AVERAGEIF(従業員の給与情報!$B:$B,$A123,従業員の給与情報!$E:$E)),0,AVERAGEIF(従業員の給与情報!$B:$B,$A123,従業員の給与情報!$E:$E)))))</f>
        <v/>
      </c>
      <c r="W123" s="103" t="str">
        <f>IF(OR(入力シート!$C$5&lt;&gt;入力リスト!$C$3,COUNTIF(入力シート!$J$16:$S$23,入力リスト!$H$9)=0),"",IF(A123="","",IF(ISERROR(AVERAGEIF(従業員の給与情報!$B:$B,$A123,従業員の給与情報!$F:$F)),0,IF(ISERROR(AVERAGEIF(従業員の給与情報!$B:$B,$A123,従業員の給与情報!$F:$F)),0,AVERAGEIF(従業員の給与情報!$B:$B,$A123,従業員の給与情報!$F:$F)))))</f>
        <v/>
      </c>
    </row>
    <row r="124" spans="1:23" s="10" customFormat="1" ht="19.8">
      <c r="A124" s="252"/>
      <c r="B124" s="249"/>
      <c r="C124" s="250"/>
      <c r="D124" s="251"/>
      <c r="E124" s="252"/>
      <c r="F124" s="257" t="str">
        <f>IF($G$1,"",IF(COUNTIF(A124:E124,"")=5,"",IF(G124,入力リスト!$K$28,IF(OR(A124="",B124="",IF(COUNTIF($C$3,"*不要*"),"",C124=""),D124=""),IF(A124="","従業員番号","")&amp;IF(B124="","「雇用形態」","")&amp;IF(OR(入力シート!$J$18=入力リスト!$H$9,入力シート!$J$22=入力リスト!$H$9),IF(C124="","「入社年月日」",""),"")&amp;IF(D124="","「性別」","")&amp;IF(IF(A124="","従業員番号","")&amp;IF(B124="","「雇用形態」","")&amp;IF(OR(入力シート!$J$18=入力リスト!$H$9,入力シート!$J$22=入力リスト!$H$9),IF(C124="","「入社年月日」",""),"")&amp;IF(D124="","「性別」","")="","",入力リスト!$K$29),IF(J124,入力リスト!$K$30,"")&amp;IF(I124,入力リスト!$K$31,"")&amp;IF(H124,"「雇用形態」","")&amp;IF(K124,"「性別」","")&amp;IF(L124,"「役職」","")&amp;IF(OR(H124,K124,L124),入力リスト!$K$32,"")))))</f>
        <v/>
      </c>
      <c r="G124" s="209" t="b">
        <f>COUNTIF($A$4:A123,$A124)&gt;0</f>
        <v>0</v>
      </c>
      <c r="H124" s="210" t="b">
        <f>IF($H$1,FALSE,COUNTIF(入力シート!$S$37:$V$62,B124)=0)</f>
        <v>0</v>
      </c>
      <c r="I124" s="210" t="b">
        <f t="shared" si="4"/>
        <v>0</v>
      </c>
      <c r="J124" s="210" t="b">
        <f>IF($J$1,FALSE,IF(I124=TRUE,FALSE,IF(I124,FALSE,C124&gt;入力シート!$J$24)))</f>
        <v>0</v>
      </c>
      <c r="K124" s="210" t="b">
        <f>IF($K$1,FALSE,COUNTIF(入力シート!$AW$37:$BB$38,D124)=0)</f>
        <v>0</v>
      </c>
      <c r="L124" s="210" t="b">
        <f>IF($L$1,FALSE,IF($L$3,FALSE,IF(E124="",FALSE,COUNTIF(入力シート!$AH$37:$AK$62,E124)=0)))</f>
        <v>0</v>
      </c>
      <c r="M124" s="211" t="str">
        <f t="shared" si="3"/>
        <v/>
      </c>
      <c r="N124" s="211"/>
      <c r="O124" s="209" t="str">
        <f>IF(B124="","",VLOOKUP('従業員情報(給与以外)'!$B124,入力シート!$S$37:$Z$62,5,0))</f>
        <v/>
      </c>
      <c r="P124" s="156" t="str">
        <f>IF(ISNUMBER(C124)=FALSE,"",IF(C124&gt;入力シート!$J$24,"",_xlfn.DAYS(入力シート!$J$24,'従業員情報(給与以外)'!$C124)/365))</f>
        <v/>
      </c>
      <c r="Q124" s="210" t="str">
        <f>IF(P124="","",VLOOKUP(_xlfn.DAYS(入力シート!$J$24,'従業員情報(給与以外)'!$C124)/365,入力リスト!$K$18:$L$26,2,2))</f>
        <v/>
      </c>
      <c r="R124" s="209" t="str">
        <f>IF(D124="","",VLOOKUP('従業員情報(給与以外)'!$D124,入力シート!$AW$37:$BB$38,4,0))</f>
        <v/>
      </c>
      <c r="S124" s="209" t="str">
        <f>IF(A124="","",IF(E124="","非役職",VLOOKUP('従業員情報(給与以外)'!$E124,入力シート!$AH$37:$AO$62,5,0)))</f>
        <v/>
      </c>
      <c r="T124" s="102" t="str">
        <f>IF(OR(入力シート!$C$5&lt;&gt;入力リスト!$C$3,COUNTIF(入力シート!$J$16:$S$23,入力リスト!$H$9)=0),"",IF($A124="","",IF(ISERROR(AVERAGEIF(従業員の給与情報!$B:$B,$A124,従業員の給与情報!$C:$C)),0,IF(ISERROR(AVERAGEIF(従業員の給与情報!$B:$B,$A124,従業員の給与情報!$C:$C)),0,AVERAGEIF(従業員の給与情報!$B:$B,$A124,従業員の給与情報!$C:$C)))))</f>
        <v/>
      </c>
      <c r="U124" s="102" t="str">
        <f>IF(OR(入力シート!$C$5&lt;&gt;入力リスト!$C$3,COUNTIF(入力シート!$J$16:$S$23,入力リスト!$H$9)=0),"",IF(A124="","",IF(ISERROR(AVERAGEIF(従業員の給与情報!$B:$B,$A124,従業員の給与情報!$D:$D)),0,IF(ISERROR(AVERAGEIF(従業員の給与情報!$B:$B,$A124,従業員の給与情報!$D:$D)),0,AVERAGEIF(従業員の給与情報!$B:$B,$A124,従業員の給与情報!$D:$D)))))</f>
        <v/>
      </c>
      <c r="V124" s="102" t="str">
        <f>IF(OR(入力シート!$C$5&lt;&gt;入力リスト!$C$3,COUNTIF(入力シート!$J$16:$S$23,入力リスト!$H$9)=0),"",IF(A124="","",IF(ISERROR(AVERAGEIF(従業員の給与情報!$B:$B,$A124,従業員の給与情報!$E:$E)),0,IF(ISERROR(AVERAGEIF(従業員の給与情報!$B:$B,$A124,従業員の給与情報!$E:$E)),0,AVERAGEIF(従業員の給与情報!$B:$B,$A124,従業員の給与情報!$E:$E)))))</f>
        <v/>
      </c>
      <c r="W124" s="103" t="str">
        <f>IF(OR(入力シート!$C$5&lt;&gt;入力リスト!$C$3,COUNTIF(入力シート!$J$16:$S$23,入力リスト!$H$9)=0),"",IF(A124="","",IF(ISERROR(AVERAGEIF(従業員の給与情報!$B:$B,$A124,従業員の給与情報!$F:$F)),0,IF(ISERROR(AVERAGEIF(従業員の給与情報!$B:$B,$A124,従業員の給与情報!$F:$F)),0,AVERAGEIF(従業員の給与情報!$B:$B,$A124,従業員の給与情報!$F:$F)))))</f>
        <v/>
      </c>
    </row>
    <row r="125" spans="1:23" s="10" customFormat="1" ht="19.8">
      <c r="A125" s="252"/>
      <c r="B125" s="249"/>
      <c r="C125" s="250"/>
      <c r="D125" s="251"/>
      <c r="E125" s="249"/>
      <c r="F125" s="257" t="str">
        <f>IF($G$1,"",IF(COUNTIF(A125:E125,"")=5,"",IF(G125,入力リスト!$K$28,IF(OR(A125="",B125="",IF(COUNTIF($C$3,"*不要*"),"",C125=""),D125=""),IF(A125="","従業員番号","")&amp;IF(B125="","「雇用形態」","")&amp;IF(OR(入力シート!$J$18=入力リスト!$H$9,入力シート!$J$22=入力リスト!$H$9),IF(C125="","「入社年月日」",""),"")&amp;IF(D125="","「性別」","")&amp;IF(IF(A125="","従業員番号","")&amp;IF(B125="","「雇用形態」","")&amp;IF(OR(入力シート!$J$18=入力リスト!$H$9,入力シート!$J$22=入力リスト!$H$9),IF(C125="","「入社年月日」",""),"")&amp;IF(D125="","「性別」","")="","",入力リスト!$K$29),IF(J125,入力リスト!$K$30,"")&amp;IF(I125,入力リスト!$K$31,"")&amp;IF(H125,"「雇用形態」","")&amp;IF(K125,"「性別」","")&amp;IF(L125,"「役職」","")&amp;IF(OR(H125,K125,L125),入力リスト!$K$32,"")))))</f>
        <v/>
      </c>
      <c r="G125" s="209" t="b">
        <f>COUNTIF($A$4:A124,$A125)&gt;0</f>
        <v>0</v>
      </c>
      <c r="H125" s="210" t="b">
        <f>IF($H$1,FALSE,COUNTIF(入力シート!$S$37:$V$62,B125)=0)</f>
        <v>0</v>
      </c>
      <c r="I125" s="210" t="b">
        <f t="shared" si="4"/>
        <v>0</v>
      </c>
      <c r="J125" s="210" t="b">
        <f>IF($J$1,FALSE,IF(I125=TRUE,FALSE,IF(I125,FALSE,C125&gt;入力シート!$J$24)))</f>
        <v>0</v>
      </c>
      <c r="K125" s="210" t="b">
        <f>IF($K$1,FALSE,COUNTIF(入力シート!$AW$37:$BB$38,D125)=0)</f>
        <v>0</v>
      </c>
      <c r="L125" s="210" t="b">
        <f>IF($L$1,FALSE,IF($L$3,FALSE,IF(E125="",FALSE,COUNTIF(入力シート!$AH$37:$AK$62,E125)=0)))</f>
        <v>0</v>
      </c>
      <c r="M125" s="211" t="str">
        <f t="shared" si="3"/>
        <v/>
      </c>
      <c r="N125" s="211"/>
      <c r="O125" s="209" t="str">
        <f>IF(B125="","",VLOOKUP('従業員情報(給与以外)'!$B125,入力シート!$S$37:$Z$62,5,0))</f>
        <v/>
      </c>
      <c r="P125" s="156" t="str">
        <f>IF(ISNUMBER(C125)=FALSE,"",IF(C125&gt;入力シート!$J$24,"",_xlfn.DAYS(入力シート!$J$24,'従業員情報(給与以外)'!$C125)/365))</f>
        <v/>
      </c>
      <c r="Q125" s="210" t="str">
        <f>IF(P125="","",VLOOKUP(_xlfn.DAYS(入力シート!$J$24,'従業員情報(給与以外)'!$C125)/365,入力リスト!$K$18:$L$26,2,2))</f>
        <v/>
      </c>
      <c r="R125" s="209" t="str">
        <f>IF(D125="","",VLOOKUP('従業員情報(給与以外)'!$D125,入力シート!$AW$37:$BB$38,4,0))</f>
        <v/>
      </c>
      <c r="S125" s="209" t="str">
        <f>IF(A125="","",IF(E125="","非役職",VLOOKUP('従業員情報(給与以外)'!$E125,入力シート!$AH$37:$AO$62,5,0)))</f>
        <v/>
      </c>
      <c r="T125" s="102" t="str">
        <f>IF(OR(入力シート!$C$5&lt;&gt;入力リスト!$C$3,COUNTIF(入力シート!$J$16:$S$23,入力リスト!$H$9)=0),"",IF($A125="","",IF(ISERROR(AVERAGEIF(従業員の給与情報!$B:$B,$A125,従業員の給与情報!$C:$C)),0,IF(ISERROR(AVERAGEIF(従業員の給与情報!$B:$B,$A125,従業員の給与情報!$C:$C)),0,AVERAGEIF(従業員の給与情報!$B:$B,$A125,従業員の給与情報!$C:$C)))))</f>
        <v/>
      </c>
      <c r="U125" s="102" t="str">
        <f>IF(OR(入力シート!$C$5&lt;&gt;入力リスト!$C$3,COUNTIF(入力シート!$J$16:$S$23,入力リスト!$H$9)=0),"",IF(A125="","",IF(ISERROR(AVERAGEIF(従業員の給与情報!$B:$B,$A125,従業員の給与情報!$D:$D)),0,IF(ISERROR(AVERAGEIF(従業員の給与情報!$B:$B,$A125,従業員の給与情報!$D:$D)),0,AVERAGEIF(従業員の給与情報!$B:$B,$A125,従業員の給与情報!$D:$D)))))</f>
        <v/>
      </c>
      <c r="V125" s="102" t="str">
        <f>IF(OR(入力シート!$C$5&lt;&gt;入力リスト!$C$3,COUNTIF(入力シート!$J$16:$S$23,入力リスト!$H$9)=0),"",IF(A125="","",IF(ISERROR(AVERAGEIF(従業員の給与情報!$B:$B,$A125,従業員の給与情報!$E:$E)),0,IF(ISERROR(AVERAGEIF(従業員の給与情報!$B:$B,$A125,従業員の給与情報!$E:$E)),0,AVERAGEIF(従業員の給与情報!$B:$B,$A125,従業員の給与情報!$E:$E)))))</f>
        <v/>
      </c>
      <c r="W125" s="103" t="str">
        <f>IF(OR(入力シート!$C$5&lt;&gt;入力リスト!$C$3,COUNTIF(入力シート!$J$16:$S$23,入力リスト!$H$9)=0),"",IF(A125="","",IF(ISERROR(AVERAGEIF(従業員の給与情報!$B:$B,$A125,従業員の給与情報!$F:$F)),0,IF(ISERROR(AVERAGEIF(従業員の給与情報!$B:$B,$A125,従業員の給与情報!$F:$F)),0,AVERAGEIF(従業員の給与情報!$B:$B,$A125,従業員の給与情報!$F:$F)))))</f>
        <v/>
      </c>
    </row>
    <row r="126" spans="1:23" s="10" customFormat="1" ht="19.8">
      <c r="A126" s="252"/>
      <c r="B126" s="249"/>
      <c r="C126" s="250"/>
      <c r="D126" s="251"/>
      <c r="E126" s="252"/>
      <c r="F126" s="257" t="str">
        <f>IF($G$1,"",IF(COUNTIF(A126:E126,"")=5,"",IF(G126,入力リスト!$K$28,IF(OR(A126="",B126="",IF(COUNTIF($C$3,"*不要*"),"",C126=""),D126=""),IF(A126="","従業員番号","")&amp;IF(B126="","「雇用形態」","")&amp;IF(OR(入力シート!$J$18=入力リスト!$H$9,入力シート!$J$22=入力リスト!$H$9),IF(C126="","「入社年月日」",""),"")&amp;IF(D126="","「性別」","")&amp;IF(IF(A126="","従業員番号","")&amp;IF(B126="","「雇用形態」","")&amp;IF(OR(入力シート!$J$18=入力リスト!$H$9,入力シート!$J$22=入力リスト!$H$9),IF(C126="","「入社年月日」",""),"")&amp;IF(D126="","「性別」","")="","",入力リスト!$K$29),IF(J126,入力リスト!$K$30,"")&amp;IF(I126,入力リスト!$K$31,"")&amp;IF(H126,"「雇用形態」","")&amp;IF(K126,"「性別」","")&amp;IF(L126,"「役職」","")&amp;IF(OR(H126,K126,L126),入力リスト!$K$32,"")))))</f>
        <v/>
      </c>
      <c r="G126" s="209" t="b">
        <f>COUNTIF($A$4:A125,$A126)&gt;0</f>
        <v>0</v>
      </c>
      <c r="H126" s="210" t="b">
        <f>IF($H$1,FALSE,COUNTIF(入力シート!$S$37:$V$62,B126)=0)</f>
        <v>0</v>
      </c>
      <c r="I126" s="210" t="b">
        <f t="shared" si="4"/>
        <v>0</v>
      </c>
      <c r="J126" s="210" t="b">
        <f>IF($J$1,FALSE,IF(I126=TRUE,FALSE,IF(I126,FALSE,C126&gt;入力シート!$J$24)))</f>
        <v>0</v>
      </c>
      <c r="K126" s="210" t="b">
        <f>IF($K$1,FALSE,COUNTIF(入力シート!$AW$37:$BB$38,D126)=0)</f>
        <v>0</v>
      </c>
      <c r="L126" s="210" t="b">
        <f>IF($L$1,FALSE,IF($L$3,FALSE,IF(E126="",FALSE,COUNTIF(入力シート!$AH$37:$AK$62,E126)=0)))</f>
        <v>0</v>
      </c>
      <c r="M126" s="211" t="str">
        <f t="shared" si="3"/>
        <v/>
      </c>
      <c r="N126" s="211"/>
      <c r="O126" s="209" t="str">
        <f>IF(B126="","",VLOOKUP('従業員情報(給与以外)'!$B126,入力シート!$S$37:$Z$62,5,0))</f>
        <v/>
      </c>
      <c r="P126" s="156" t="str">
        <f>IF(ISNUMBER(C126)=FALSE,"",IF(C126&gt;入力シート!$J$24,"",_xlfn.DAYS(入力シート!$J$24,'従業員情報(給与以外)'!$C126)/365))</f>
        <v/>
      </c>
      <c r="Q126" s="210" t="str">
        <f>IF(P126="","",VLOOKUP(_xlfn.DAYS(入力シート!$J$24,'従業員情報(給与以外)'!$C126)/365,入力リスト!$K$18:$L$26,2,2))</f>
        <v/>
      </c>
      <c r="R126" s="209" t="str">
        <f>IF(D126="","",VLOOKUP('従業員情報(給与以外)'!$D126,入力シート!$AW$37:$BB$38,4,0))</f>
        <v/>
      </c>
      <c r="S126" s="209" t="str">
        <f>IF(A126="","",IF(E126="","非役職",VLOOKUP('従業員情報(給与以外)'!$E126,入力シート!$AH$37:$AO$62,5,0)))</f>
        <v/>
      </c>
      <c r="T126" s="102" t="str">
        <f>IF(OR(入力シート!$C$5&lt;&gt;入力リスト!$C$3,COUNTIF(入力シート!$J$16:$S$23,入力リスト!$H$9)=0),"",IF($A126="","",IF(ISERROR(AVERAGEIF(従業員の給与情報!$B:$B,$A126,従業員の給与情報!$C:$C)),0,IF(ISERROR(AVERAGEIF(従業員の給与情報!$B:$B,$A126,従業員の給与情報!$C:$C)),0,AVERAGEIF(従業員の給与情報!$B:$B,$A126,従業員の給与情報!$C:$C)))))</f>
        <v/>
      </c>
      <c r="U126" s="102" t="str">
        <f>IF(OR(入力シート!$C$5&lt;&gt;入力リスト!$C$3,COUNTIF(入力シート!$J$16:$S$23,入力リスト!$H$9)=0),"",IF(A126="","",IF(ISERROR(AVERAGEIF(従業員の給与情報!$B:$B,$A126,従業員の給与情報!$D:$D)),0,IF(ISERROR(AVERAGEIF(従業員の給与情報!$B:$B,$A126,従業員の給与情報!$D:$D)),0,AVERAGEIF(従業員の給与情報!$B:$B,$A126,従業員の給与情報!$D:$D)))))</f>
        <v/>
      </c>
      <c r="V126" s="102" t="str">
        <f>IF(OR(入力シート!$C$5&lt;&gt;入力リスト!$C$3,COUNTIF(入力シート!$J$16:$S$23,入力リスト!$H$9)=0),"",IF(A126="","",IF(ISERROR(AVERAGEIF(従業員の給与情報!$B:$B,$A126,従業員の給与情報!$E:$E)),0,IF(ISERROR(AVERAGEIF(従業員の給与情報!$B:$B,$A126,従業員の給与情報!$E:$E)),0,AVERAGEIF(従業員の給与情報!$B:$B,$A126,従業員の給与情報!$E:$E)))))</f>
        <v/>
      </c>
      <c r="W126" s="103" t="str">
        <f>IF(OR(入力シート!$C$5&lt;&gt;入力リスト!$C$3,COUNTIF(入力シート!$J$16:$S$23,入力リスト!$H$9)=0),"",IF(A126="","",IF(ISERROR(AVERAGEIF(従業員の給与情報!$B:$B,$A126,従業員の給与情報!$F:$F)),0,IF(ISERROR(AVERAGEIF(従業員の給与情報!$B:$B,$A126,従業員の給与情報!$F:$F)),0,AVERAGEIF(従業員の給与情報!$B:$B,$A126,従業員の給与情報!$F:$F)))))</f>
        <v/>
      </c>
    </row>
    <row r="127" spans="1:23" s="10" customFormat="1" ht="19.8">
      <c r="A127" s="252"/>
      <c r="B127" s="249"/>
      <c r="C127" s="250"/>
      <c r="D127" s="251"/>
      <c r="E127" s="252"/>
      <c r="F127" s="257" t="str">
        <f>IF($G$1,"",IF(COUNTIF(A127:E127,"")=5,"",IF(G127,入力リスト!$K$28,IF(OR(A127="",B127="",IF(COUNTIF($C$3,"*不要*"),"",C127=""),D127=""),IF(A127="","従業員番号","")&amp;IF(B127="","「雇用形態」","")&amp;IF(OR(入力シート!$J$18=入力リスト!$H$9,入力シート!$J$22=入力リスト!$H$9),IF(C127="","「入社年月日」",""),"")&amp;IF(D127="","「性別」","")&amp;IF(IF(A127="","従業員番号","")&amp;IF(B127="","「雇用形態」","")&amp;IF(OR(入力シート!$J$18=入力リスト!$H$9,入力シート!$J$22=入力リスト!$H$9),IF(C127="","「入社年月日」",""),"")&amp;IF(D127="","「性別」","")="","",入力リスト!$K$29),IF(J127,入力リスト!$K$30,"")&amp;IF(I127,入力リスト!$K$31,"")&amp;IF(H127,"「雇用形態」","")&amp;IF(K127,"「性別」","")&amp;IF(L127,"「役職」","")&amp;IF(OR(H127,K127,L127),入力リスト!$K$32,"")))))</f>
        <v/>
      </c>
      <c r="G127" s="209" t="b">
        <f>COUNTIF($A$4:A126,$A127)&gt;0</f>
        <v>0</v>
      </c>
      <c r="H127" s="210" t="b">
        <f>IF($H$1,FALSE,COUNTIF(入力シート!$S$37:$V$62,B127)=0)</f>
        <v>0</v>
      </c>
      <c r="I127" s="210" t="b">
        <f t="shared" si="4"/>
        <v>0</v>
      </c>
      <c r="J127" s="210" t="b">
        <f>IF($J$1,FALSE,IF(I127=TRUE,FALSE,IF(I127,FALSE,C127&gt;入力シート!$J$24)))</f>
        <v>0</v>
      </c>
      <c r="K127" s="210" t="b">
        <f>IF($K$1,FALSE,COUNTIF(入力シート!$AW$37:$BB$38,D127)=0)</f>
        <v>0</v>
      </c>
      <c r="L127" s="210" t="b">
        <f>IF($L$1,FALSE,IF($L$3,FALSE,IF(E127="",FALSE,COUNTIF(入力シート!$AH$37:$AK$62,E127)=0)))</f>
        <v>0</v>
      </c>
      <c r="M127" s="211" t="str">
        <f t="shared" si="3"/>
        <v/>
      </c>
      <c r="N127" s="211"/>
      <c r="O127" s="209" t="str">
        <f>IF(B127="","",VLOOKUP('従業員情報(給与以外)'!$B127,入力シート!$S$37:$Z$62,5,0))</f>
        <v/>
      </c>
      <c r="P127" s="156" t="str">
        <f>IF(ISNUMBER(C127)=FALSE,"",IF(C127&gt;入力シート!$J$24,"",_xlfn.DAYS(入力シート!$J$24,'従業員情報(給与以外)'!$C127)/365))</f>
        <v/>
      </c>
      <c r="Q127" s="210" t="str">
        <f>IF(P127="","",VLOOKUP(_xlfn.DAYS(入力シート!$J$24,'従業員情報(給与以外)'!$C127)/365,入力リスト!$K$18:$L$26,2,2))</f>
        <v/>
      </c>
      <c r="R127" s="209" t="str">
        <f>IF(D127="","",VLOOKUP('従業員情報(給与以外)'!$D127,入力シート!$AW$37:$BB$38,4,0))</f>
        <v/>
      </c>
      <c r="S127" s="209" t="str">
        <f>IF(A127="","",IF(E127="","非役職",VLOOKUP('従業員情報(給与以外)'!$E127,入力シート!$AH$37:$AO$62,5,0)))</f>
        <v/>
      </c>
      <c r="T127" s="102" t="str">
        <f>IF(OR(入力シート!$C$5&lt;&gt;入力リスト!$C$3,COUNTIF(入力シート!$J$16:$S$23,入力リスト!$H$9)=0),"",IF($A127="","",IF(ISERROR(AVERAGEIF(従業員の給与情報!$B:$B,$A127,従業員の給与情報!$C:$C)),0,IF(ISERROR(AVERAGEIF(従業員の給与情報!$B:$B,$A127,従業員の給与情報!$C:$C)),0,AVERAGEIF(従業員の給与情報!$B:$B,$A127,従業員の給与情報!$C:$C)))))</f>
        <v/>
      </c>
      <c r="U127" s="102" t="str">
        <f>IF(OR(入力シート!$C$5&lt;&gt;入力リスト!$C$3,COUNTIF(入力シート!$J$16:$S$23,入力リスト!$H$9)=0),"",IF(A127="","",IF(ISERROR(AVERAGEIF(従業員の給与情報!$B:$B,$A127,従業員の給与情報!$D:$D)),0,IF(ISERROR(AVERAGEIF(従業員の給与情報!$B:$B,$A127,従業員の給与情報!$D:$D)),0,AVERAGEIF(従業員の給与情報!$B:$B,$A127,従業員の給与情報!$D:$D)))))</f>
        <v/>
      </c>
      <c r="V127" s="102" t="str">
        <f>IF(OR(入力シート!$C$5&lt;&gt;入力リスト!$C$3,COUNTIF(入力シート!$J$16:$S$23,入力リスト!$H$9)=0),"",IF(A127="","",IF(ISERROR(AVERAGEIF(従業員の給与情報!$B:$B,$A127,従業員の給与情報!$E:$E)),0,IF(ISERROR(AVERAGEIF(従業員の給与情報!$B:$B,$A127,従業員の給与情報!$E:$E)),0,AVERAGEIF(従業員の給与情報!$B:$B,$A127,従業員の給与情報!$E:$E)))))</f>
        <v/>
      </c>
      <c r="W127" s="103" t="str">
        <f>IF(OR(入力シート!$C$5&lt;&gt;入力リスト!$C$3,COUNTIF(入力シート!$J$16:$S$23,入力リスト!$H$9)=0),"",IF(A127="","",IF(ISERROR(AVERAGEIF(従業員の給与情報!$B:$B,$A127,従業員の給与情報!$F:$F)),0,IF(ISERROR(AVERAGEIF(従業員の給与情報!$B:$B,$A127,従業員の給与情報!$F:$F)),0,AVERAGEIF(従業員の給与情報!$B:$B,$A127,従業員の給与情報!$F:$F)))))</f>
        <v/>
      </c>
    </row>
    <row r="128" spans="1:23" s="10" customFormat="1" ht="19.8">
      <c r="A128" s="252"/>
      <c r="B128" s="249"/>
      <c r="C128" s="250"/>
      <c r="D128" s="251"/>
      <c r="E128" s="252"/>
      <c r="F128" s="257" t="str">
        <f>IF($G$1,"",IF(COUNTIF(A128:E128,"")=5,"",IF(G128,入力リスト!$K$28,IF(OR(A128="",B128="",IF(COUNTIF($C$3,"*不要*"),"",C128=""),D128=""),IF(A128="","従業員番号","")&amp;IF(B128="","「雇用形態」","")&amp;IF(OR(入力シート!$J$18=入力リスト!$H$9,入力シート!$J$22=入力リスト!$H$9),IF(C128="","「入社年月日」",""),"")&amp;IF(D128="","「性別」","")&amp;IF(IF(A128="","従業員番号","")&amp;IF(B128="","「雇用形態」","")&amp;IF(OR(入力シート!$J$18=入力リスト!$H$9,入力シート!$J$22=入力リスト!$H$9),IF(C128="","「入社年月日」",""),"")&amp;IF(D128="","「性別」","")="","",入力リスト!$K$29),IF(J128,入力リスト!$K$30,"")&amp;IF(I128,入力リスト!$K$31,"")&amp;IF(H128,"「雇用形態」","")&amp;IF(K128,"「性別」","")&amp;IF(L128,"「役職」","")&amp;IF(OR(H128,K128,L128),入力リスト!$K$32,"")))))</f>
        <v/>
      </c>
      <c r="G128" s="209" t="b">
        <f>COUNTIF($A$4:A127,$A128)&gt;0</f>
        <v>0</v>
      </c>
      <c r="H128" s="210" t="b">
        <f>IF($H$1,FALSE,COUNTIF(入力シート!$S$37:$V$62,B128)=0)</f>
        <v>0</v>
      </c>
      <c r="I128" s="210" t="b">
        <f t="shared" si="4"/>
        <v>0</v>
      </c>
      <c r="J128" s="210" t="b">
        <f>IF($J$1,FALSE,IF(I128=TRUE,FALSE,IF(I128,FALSE,C128&gt;入力シート!$J$24)))</f>
        <v>0</v>
      </c>
      <c r="K128" s="210" t="b">
        <f>IF($K$1,FALSE,COUNTIF(入力シート!$AW$37:$BB$38,D128)=0)</f>
        <v>0</v>
      </c>
      <c r="L128" s="210" t="b">
        <f>IF($L$1,FALSE,IF($L$3,FALSE,IF(E128="",FALSE,COUNTIF(入力シート!$AH$37:$AK$62,E128)=0)))</f>
        <v>0</v>
      </c>
      <c r="M128" s="211" t="str">
        <f t="shared" si="3"/>
        <v/>
      </c>
      <c r="N128" s="211"/>
      <c r="O128" s="209" t="str">
        <f>IF(B128="","",VLOOKUP('従業員情報(給与以外)'!$B128,入力シート!$S$37:$Z$62,5,0))</f>
        <v/>
      </c>
      <c r="P128" s="156" t="str">
        <f>IF(ISNUMBER(C128)=FALSE,"",IF(C128&gt;入力シート!$J$24,"",_xlfn.DAYS(入力シート!$J$24,'従業員情報(給与以外)'!$C128)/365))</f>
        <v/>
      </c>
      <c r="Q128" s="210" t="str">
        <f>IF(P128="","",VLOOKUP(_xlfn.DAYS(入力シート!$J$24,'従業員情報(給与以外)'!$C128)/365,入力リスト!$K$18:$L$26,2,2))</f>
        <v/>
      </c>
      <c r="R128" s="209" t="str">
        <f>IF(D128="","",VLOOKUP('従業員情報(給与以外)'!$D128,入力シート!$AW$37:$BB$38,4,0))</f>
        <v/>
      </c>
      <c r="S128" s="209" t="str">
        <f>IF(A128="","",IF(E128="","非役職",VLOOKUP('従業員情報(給与以外)'!$E128,入力シート!$AH$37:$AO$62,5,0)))</f>
        <v/>
      </c>
      <c r="T128" s="102" t="str">
        <f>IF(OR(入力シート!$C$5&lt;&gt;入力リスト!$C$3,COUNTIF(入力シート!$J$16:$S$23,入力リスト!$H$9)=0),"",IF($A128="","",IF(ISERROR(AVERAGEIF(従業員の給与情報!$B:$B,$A128,従業員の給与情報!$C:$C)),0,IF(ISERROR(AVERAGEIF(従業員の給与情報!$B:$B,$A128,従業員の給与情報!$C:$C)),0,AVERAGEIF(従業員の給与情報!$B:$B,$A128,従業員の給与情報!$C:$C)))))</f>
        <v/>
      </c>
      <c r="U128" s="102" t="str">
        <f>IF(OR(入力シート!$C$5&lt;&gt;入力リスト!$C$3,COUNTIF(入力シート!$J$16:$S$23,入力リスト!$H$9)=0),"",IF(A128="","",IF(ISERROR(AVERAGEIF(従業員の給与情報!$B:$B,$A128,従業員の給与情報!$D:$D)),0,IF(ISERROR(AVERAGEIF(従業員の給与情報!$B:$B,$A128,従業員の給与情報!$D:$D)),0,AVERAGEIF(従業員の給与情報!$B:$B,$A128,従業員の給与情報!$D:$D)))))</f>
        <v/>
      </c>
      <c r="V128" s="102" t="str">
        <f>IF(OR(入力シート!$C$5&lt;&gt;入力リスト!$C$3,COUNTIF(入力シート!$J$16:$S$23,入力リスト!$H$9)=0),"",IF(A128="","",IF(ISERROR(AVERAGEIF(従業員の給与情報!$B:$B,$A128,従業員の給与情報!$E:$E)),0,IF(ISERROR(AVERAGEIF(従業員の給与情報!$B:$B,$A128,従業員の給与情報!$E:$E)),0,AVERAGEIF(従業員の給与情報!$B:$B,$A128,従業員の給与情報!$E:$E)))))</f>
        <v/>
      </c>
      <c r="W128" s="103" t="str">
        <f>IF(OR(入力シート!$C$5&lt;&gt;入力リスト!$C$3,COUNTIF(入力シート!$J$16:$S$23,入力リスト!$H$9)=0),"",IF(A128="","",IF(ISERROR(AVERAGEIF(従業員の給与情報!$B:$B,$A128,従業員の給与情報!$F:$F)),0,IF(ISERROR(AVERAGEIF(従業員の給与情報!$B:$B,$A128,従業員の給与情報!$F:$F)),0,AVERAGEIF(従業員の給与情報!$B:$B,$A128,従業員の給与情報!$F:$F)))))</f>
        <v/>
      </c>
    </row>
    <row r="129" spans="1:23" s="10" customFormat="1" ht="19.8">
      <c r="A129" s="252"/>
      <c r="B129" s="249"/>
      <c r="C129" s="250"/>
      <c r="D129" s="251"/>
      <c r="E129" s="249"/>
      <c r="F129" s="257" t="str">
        <f>IF($G$1,"",IF(COUNTIF(A129:E129,"")=5,"",IF(G129,入力リスト!$K$28,IF(OR(A129="",B129="",IF(COUNTIF($C$3,"*不要*"),"",C129=""),D129=""),IF(A129="","従業員番号","")&amp;IF(B129="","「雇用形態」","")&amp;IF(OR(入力シート!$J$18=入力リスト!$H$9,入力シート!$J$22=入力リスト!$H$9),IF(C129="","「入社年月日」",""),"")&amp;IF(D129="","「性別」","")&amp;IF(IF(A129="","従業員番号","")&amp;IF(B129="","「雇用形態」","")&amp;IF(OR(入力シート!$J$18=入力リスト!$H$9,入力シート!$J$22=入力リスト!$H$9),IF(C129="","「入社年月日」",""),"")&amp;IF(D129="","「性別」","")="","",入力リスト!$K$29),IF(J129,入力リスト!$K$30,"")&amp;IF(I129,入力リスト!$K$31,"")&amp;IF(H129,"「雇用形態」","")&amp;IF(K129,"「性別」","")&amp;IF(L129,"「役職」","")&amp;IF(OR(H129,K129,L129),入力リスト!$K$32,"")))))</f>
        <v/>
      </c>
      <c r="G129" s="209" t="b">
        <f>COUNTIF($A$4:A128,$A129)&gt;0</f>
        <v>0</v>
      </c>
      <c r="H129" s="210" t="b">
        <f>IF($H$1,FALSE,COUNTIF(入力シート!$S$37:$V$62,B129)=0)</f>
        <v>0</v>
      </c>
      <c r="I129" s="210" t="b">
        <f t="shared" si="4"/>
        <v>0</v>
      </c>
      <c r="J129" s="210" t="b">
        <f>IF($J$1,FALSE,IF(I129=TRUE,FALSE,IF(I129,FALSE,C129&gt;入力シート!$J$24)))</f>
        <v>0</v>
      </c>
      <c r="K129" s="210" t="b">
        <f>IF($K$1,FALSE,COUNTIF(入力シート!$AW$37:$BB$38,D129)=0)</f>
        <v>0</v>
      </c>
      <c r="L129" s="210" t="b">
        <f>IF($L$1,FALSE,IF($L$3,FALSE,IF(E129="",FALSE,COUNTIF(入力シート!$AH$37:$AK$62,E129)=0)))</f>
        <v>0</v>
      </c>
      <c r="M129" s="211" t="str">
        <f t="shared" si="3"/>
        <v/>
      </c>
      <c r="N129" s="211"/>
      <c r="O129" s="209" t="str">
        <f>IF(B129="","",VLOOKUP('従業員情報(給与以外)'!$B129,入力シート!$S$37:$Z$62,5,0))</f>
        <v/>
      </c>
      <c r="P129" s="156" t="str">
        <f>IF(ISNUMBER(C129)=FALSE,"",IF(C129&gt;入力シート!$J$24,"",_xlfn.DAYS(入力シート!$J$24,'従業員情報(給与以外)'!$C129)/365))</f>
        <v/>
      </c>
      <c r="Q129" s="210" t="str">
        <f>IF(P129="","",VLOOKUP(_xlfn.DAYS(入力シート!$J$24,'従業員情報(給与以外)'!$C129)/365,入力リスト!$K$18:$L$26,2,2))</f>
        <v/>
      </c>
      <c r="R129" s="209" t="str">
        <f>IF(D129="","",VLOOKUP('従業員情報(給与以外)'!$D129,入力シート!$AW$37:$BB$38,4,0))</f>
        <v/>
      </c>
      <c r="S129" s="209" t="str">
        <f>IF(A129="","",IF(E129="","非役職",VLOOKUP('従業員情報(給与以外)'!$E129,入力シート!$AH$37:$AO$62,5,0)))</f>
        <v/>
      </c>
      <c r="T129" s="102" t="str">
        <f>IF(OR(入力シート!$C$5&lt;&gt;入力リスト!$C$3,COUNTIF(入力シート!$J$16:$S$23,入力リスト!$H$9)=0),"",IF($A129="","",IF(ISERROR(AVERAGEIF(従業員の給与情報!$B:$B,$A129,従業員の給与情報!$C:$C)),0,IF(ISERROR(AVERAGEIF(従業員の給与情報!$B:$B,$A129,従業員の給与情報!$C:$C)),0,AVERAGEIF(従業員の給与情報!$B:$B,$A129,従業員の給与情報!$C:$C)))))</f>
        <v/>
      </c>
      <c r="U129" s="102" t="str">
        <f>IF(OR(入力シート!$C$5&lt;&gt;入力リスト!$C$3,COUNTIF(入力シート!$J$16:$S$23,入力リスト!$H$9)=0),"",IF(A129="","",IF(ISERROR(AVERAGEIF(従業員の給与情報!$B:$B,$A129,従業員の給与情報!$D:$D)),0,IF(ISERROR(AVERAGEIF(従業員の給与情報!$B:$B,$A129,従業員の給与情報!$D:$D)),0,AVERAGEIF(従業員の給与情報!$B:$B,$A129,従業員の給与情報!$D:$D)))))</f>
        <v/>
      </c>
      <c r="V129" s="102" t="str">
        <f>IF(OR(入力シート!$C$5&lt;&gt;入力リスト!$C$3,COUNTIF(入力シート!$J$16:$S$23,入力リスト!$H$9)=0),"",IF(A129="","",IF(ISERROR(AVERAGEIF(従業員の給与情報!$B:$B,$A129,従業員の給与情報!$E:$E)),0,IF(ISERROR(AVERAGEIF(従業員の給与情報!$B:$B,$A129,従業員の給与情報!$E:$E)),0,AVERAGEIF(従業員の給与情報!$B:$B,$A129,従業員の給与情報!$E:$E)))))</f>
        <v/>
      </c>
      <c r="W129" s="103" t="str">
        <f>IF(OR(入力シート!$C$5&lt;&gt;入力リスト!$C$3,COUNTIF(入力シート!$J$16:$S$23,入力リスト!$H$9)=0),"",IF(A129="","",IF(ISERROR(AVERAGEIF(従業員の給与情報!$B:$B,$A129,従業員の給与情報!$F:$F)),0,IF(ISERROR(AVERAGEIF(従業員の給与情報!$B:$B,$A129,従業員の給与情報!$F:$F)),0,AVERAGEIF(従業員の給与情報!$B:$B,$A129,従業員の給与情報!$F:$F)))))</f>
        <v/>
      </c>
    </row>
    <row r="130" spans="1:23" s="10" customFormat="1" ht="19.8">
      <c r="A130" s="252"/>
      <c r="B130" s="249"/>
      <c r="C130" s="250"/>
      <c r="D130" s="251"/>
      <c r="E130" s="252"/>
      <c r="F130" s="257" t="str">
        <f>IF($G$1,"",IF(COUNTIF(A130:E130,"")=5,"",IF(G130,入力リスト!$K$28,IF(OR(A130="",B130="",IF(COUNTIF($C$3,"*不要*"),"",C130=""),D130=""),IF(A130="","従業員番号","")&amp;IF(B130="","「雇用形態」","")&amp;IF(OR(入力シート!$J$18=入力リスト!$H$9,入力シート!$J$22=入力リスト!$H$9),IF(C130="","「入社年月日」",""),"")&amp;IF(D130="","「性別」","")&amp;IF(IF(A130="","従業員番号","")&amp;IF(B130="","「雇用形態」","")&amp;IF(OR(入力シート!$J$18=入力リスト!$H$9,入力シート!$J$22=入力リスト!$H$9),IF(C130="","「入社年月日」",""),"")&amp;IF(D130="","「性別」","")="","",入力リスト!$K$29),IF(J130,入力リスト!$K$30,"")&amp;IF(I130,入力リスト!$K$31,"")&amp;IF(H130,"「雇用形態」","")&amp;IF(K130,"「性別」","")&amp;IF(L130,"「役職」","")&amp;IF(OR(H130,K130,L130),入力リスト!$K$32,"")))))</f>
        <v/>
      </c>
      <c r="G130" s="209" t="b">
        <f>COUNTIF($A$4:A129,$A130)&gt;0</f>
        <v>0</v>
      </c>
      <c r="H130" s="210" t="b">
        <f>IF($H$1,FALSE,COUNTIF(入力シート!$S$37:$V$62,B130)=0)</f>
        <v>0</v>
      </c>
      <c r="I130" s="210" t="b">
        <f t="shared" si="4"/>
        <v>0</v>
      </c>
      <c r="J130" s="210" t="b">
        <f>IF($J$1,FALSE,IF(I130=TRUE,FALSE,IF(I130,FALSE,C130&gt;入力シート!$J$24)))</f>
        <v>0</v>
      </c>
      <c r="K130" s="210" t="b">
        <f>IF($K$1,FALSE,COUNTIF(入力シート!$AW$37:$BB$38,D130)=0)</f>
        <v>0</v>
      </c>
      <c r="L130" s="210" t="b">
        <f>IF($L$1,FALSE,IF($L$3,FALSE,IF(E130="",FALSE,COUNTIF(入力シート!$AH$37:$AK$62,E130)=0)))</f>
        <v>0</v>
      </c>
      <c r="M130" s="211" t="str">
        <f t="shared" si="3"/>
        <v/>
      </c>
      <c r="N130" s="211"/>
      <c r="O130" s="209" t="str">
        <f>IF(B130="","",VLOOKUP('従業員情報(給与以外)'!$B130,入力シート!$S$37:$Z$62,5,0))</f>
        <v/>
      </c>
      <c r="P130" s="156" t="str">
        <f>IF(ISNUMBER(C130)=FALSE,"",IF(C130&gt;入力シート!$J$24,"",_xlfn.DAYS(入力シート!$J$24,'従業員情報(給与以外)'!$C130)/365))</f>
        <v/>
      </c>
      <c r="Q130" s="210" t="str">
        <f>IF(P130="","",VLOOKUP(_xlfn.DAYS(入力シート!$J$24,'従業員情報(給与以外)'!$C130)/365,入力リスト!$K$18:$L$26,2,2))</f>
        <v/>
      </c>
      <c r="R130" s="209" t="str">
        <f>IF(D130="","",VLOOKUP('従業員情報(給与以外)'!$D130,入力シート!$AW$37:$BB$38,4,0))</f>
        <v/>
      </c>
      <c r="S130" s="209" t="str">
        <f>IF(A130="","",IF(E130="","非役職",VLOOKUP('従業員情報(給与以外)'!$E130,入力シート!$AH$37:$AO$62,5,0)))</f>
        <v/>
      </c>
      <c r="T130" s="102" t="str">
        <f>IF(OR(入力シート!$C$5&lt;&gt;入力リスト!$C$3,COUNTIF(入力シート!$J$16:$S$23,入力リスト!$H$9)=0),"",IF($A130="","",IF(ISERROR(AVERAGEIF(従業員の給与情報!$B:$B,$A130,従業員の給与情報!$C:$C)),0,IF(ISERROR(AVERAGEIF(従業員の給与情報!$B:$B,$A130,従業員の給与情報!$C:$C)),0,AVERAGEIF(従業員の給与情報!$B:$B,$A130,従業員の給与情報!$C:$C)))))</f>
        <v/>
      </c>
      <c r="U130" s="102" t="str">
        <f>IF(OR(入力シート!$C$5&lt;&gt;入力リスト!$C$3,COUNTIF(入力シート!$J$16:$S$23,入力リスト!$H$9)=0),"",IF(A130="","",IF(ISERROR(AVERAGEIF(従業員の給与情報!$B:$B,$A130,従業員の給与情報!$D:$D)),0,IF(ISERROR(AVERAGEIF(従業員の給与情報!$B:$B,$A130,従業員の給与情報!$D:$D)),0,AVERAGEIF(従業員の給与情報!$B:$B,$A130,従業員の給与情報!$D:$D)))))</f>
        <v/>
      </c>
      <c r="V130" s="102" t="str">
        <f>IF(OR(入力シート!$C$5&lt;&gt;入力リスト!$C$3,COUNTIF(入力シート!$J$16:$S$23,入力リスト!$H$9)=0),"",IF(A130="","",IF(ISERROR(AVERAGEIF(従業員の給与情報!$B:$B,$A130,従業員の給与情報!$E:$E)),0,IF(ISERROR(AVERAGEIF(従業員の給与情報!$B:$B,$A130,従業員の給与情報!$E:$E)),0,AVERAGEIF(従業員の給与情報!$B:$B,$A130,従業員の給与情報!$E:$E)))))</f>
        <v/>
      </c>
      <c r="W130" s="103" t="str">
        <f>IF(OR(入力シート!$C$5&lt;&gt;入力リスト!$C$3,COUNTIF(入力シート!$J$16:$S$23,入力リスト!$H$9)=0),"",IF(A130="","",IF(ISERROR(AVERAGEIF(従業員の給与情報!$B:$B,$A130,従業員の給与情報!$F:$F)),0,IF(ISERROR(AVERAGEIF(従業員の給与情報!$B:$B,$A130,従業員の給与情報!$F:$F)),0,AVERAGEIF(従業員の給与情報!$B:$B,$A130,従業員の給与情報!$F:$F)))))</f>
        <v/>
      </c>
    </row>
    <row r="131" spans="1:23" s="10" customFormat="1" ht="19.8">
      <c r="A131" s="252"/>
      <c r="B131" s="249"/>
      <c r="C131" s="250"/>
      <c r="D131" s="251"/>
      <c r="E131" s="252"/>
      <c r="F131" s="257" t="str">
        <f>IF($G$1,"",IF(COUNTIF(A131:E131,"")=5,"",IF(G131,入力リスト!$K$28,IF(OR(A131="",B131="",IF(COUNTIF($C$3,"*不要*"),"",C131=""),D131=""),IF(A131="","従業員番号","")&amp;IF(B131="","「雇用形態」","")&amp;IF(OR(入力シート!$J$18=入力リスト!$H$9,入力シート!$J$22=入力リスト!$H$9),IF(C131="","「入社年月日」",""),"")&amp;IF(D131="","「性別」","")&amp;IF(IF(A131="","従業員番号","")&amp;IF(B131="","「雇用形態」","")&amp;IF(OR(入力シート!$J$18=入力リスト!$H$9,入力シート!$J$22=入力リスト!$H$9),IF(C131="","「入社年月日」",""),"")&amp;IF(D131="","「性別」","")="","",入力リスト!$K$29),IF(J131,入力リスト!$K$30,"")&amp;IF(I131,入力リスト!$K$31,"")&amp;IF(H131,"「雇用形態」","")&amp;IF(K131,"「性別」","")&amp;IF(L131,"「役職」","")&amp;IF(OR(H131,K131,L131),入力リスト!$K$32,"")))))</f>
        <v/>
      </c>
      <c r="G131" s="209" t="b">
        <f>COUNTIF($A$4:A130,$A131)&gt;0</f>
        <v>0</v>
      </c>
      <c r="H131" s="210" t="b">
        <f>IF($H$1,FALSE,COUNTIF(入力シート!$S$37:$V$62,B131)=0)</f>
        <v>0</v>
      </c>
      <c r="I131" s="210" t="b">
        <f t="shared" si="4"/>
        <v>0</v>
      </c>
      <c r="J131" s="210" t="b">
        <f>IF($J$1,FALSE,IF(I131=TRUE,FALSE,IF(I131,FALSE,C131&gt;入力シート!$J$24)))</f>
        <v>0</v>
      </c>
      <c r="K131" s="210" t="b">
        <f>IF($K$1,FALSE,COUNTIF(入力シート!$AW$37:$BB$38,D131)=0)</f>
        <v>0</v>
      </c>
      <c r="L131" s="210" t="b">
        <f>IF($L$1,FALSE,IF($L$3,FALSE,IF(E131="",FALSE,COUNTIF(入力シート!$AH$37:$AK$62,E131)=0)))</f>
        <v>0</v>
      </c>
      <c r="M131" s="211" t="str">
        <f t="shared" si="3"/>
        <v/>
      </c>
      <c r="N131" s="211"/>
      <c r="O131" s="209" t="str">
        <f>IF(B131="","",VLOOKUP('従業員情報(給与以外)'!$B131,入力シート!$S$37:$Z$62,5,0))</f>
        <v/>
      </c>
      <c r="P131" s="156" t="str">
        <f>IF(ISNUMBER(C131)=FALSE,"",IF(C131&gt;入力シート!$J$24,"",_xlfn.DAYS(入力シート!$J$24,'従業員情報(給与以外)'!$C131)/365))</f>
        <v/>
      </c>
      <c r="Q131" s="210" t="str">
        <f>IF(P131="","",VLOOKUP(_xlfn.DAYS(入力シート!$J$24,'従業員情報(給与以外)'!$C131)/365,入力リスト!$K$18:$L$26,2,2))</f>
        <v/>
      </c>
      <c r="R131" s="209" t="str">
        <f>IF(D131="","",VLOOKUP('従業員情報(給与以外)'!$D131,入力シート!$AW$37:$BB$38,4,0))</f>
        <v/>
      </c>
      <c r="S131" s="209" t="str">
        <f>IF(A131="","",IF(E131="","非役職",VLOOKUP('従業員情報(給与以外)'!$E131,入力シート!$AH$37:$AO$62,5,0)))</f>
        <v/>
      </c>
      <c r="T131" s="102" t="str">
        <f>IF(OR(入力シート!$C$5&lt;&gt;入力リスト!$C$3,COUNTIF(入力シート!$J$16:$S$23,入力リスト!$H$9)=0),"",IF($A131="","",IF(ISERROR(AVERAGEIF(従業員の給与情報!$B:$B,$A131,従業員の給与情報!$C:$C)),0,IF(ISERROR(AVERAGEIF(従業員の給与情報!$B:$B,$A131,従業員の給与情報!$C:$C)),0,AVERAGEIF(従業員の給与情報!$B:$B,$A131,従業員の給与情報!$C:$C)))))</f>
        <v/>
      </c>
      <c r="U131" s="102" t="str">
        <f>IF(OR(入力シート!$C$5&lt;&gt;入力リスト!$C$3,COUNTIF(入力シート!$J$16:$S$23,入力リスト!$H$9)=0),"",IF(A131="","",IF(ISERROR(AVERAGEIF(従業員の給与情報!$B:$B,$A131,従業員の給与情報!$D:$D)),0,IF(ISERROR(AVERAGEIF(従業員の給与情報!$B:$B,$A131,従業員の給与情報!$D:$D)),0,AVERAGEIF(従業員の給与情報!$B:$B,$A131,従業員の給与情報!$D:$D)))))</f>
        <v/>
      </c>
      <c r="V131" s="102" t="str">
        <f>IF(OR(入力シート!$C$5&lt;&gt;入力リスト!$C$3,COUNTIF(入力シート!$J$16:$S$23,入力リスト!$H$9)=0),"",IF(A131="","",IF(ISERROR(AVERAGEIF(従業員の給与情報!$B:$B,$A131,従業員の給与情報!$E:$E)),0,IF(ISERROR(AVERAGEIF(従業員の給与情報!$B:$B,$A131,従業員の給与情報!$E:$E)),0,AVERAGEIF(従業員の給与情報!$B:$B,$A131,従業員の給与情報!$E:$E)))))</f>
        <v/>
      </c>
      <c r="W131" s="103" t="str">
        <f>IF(OR(入力シート!$C$5&lt;&gt;入力リスト!$C$3,COUNTIF(入力シート!$J$16:$S$23,入力リスト!$H$9)=0),"",IF(A131="","",IF(ISERROR(AVERAGEIF(従業員の給与情報!$B:$B,$A131,従業員の給与情報!$F:$F)),0,IF(ISERROR(AVERAGEIF(従業員の給与情報!$B:$B,$A131,従業員の給与情報!$F:$F)),0,AVERAGEIF(従業員の給与情報!$B:$B,$A131,従業員の給与情報!$F:$F)))))</f>
        <v/>
      </c>
    </row>
    <row r="132" spans="1:23" s="10" customFormat="1" ht="19.8">
      <c r="A132" s="252"/>
      <c r="B132" s="249"/>
      <c r="C132" s="250"/>
      <c r="D132" s="251"/>
      <c r="E132" s="249"/>
      <c r="F132" s="257" t="str">
        <f>IF($G$1,"",IF(COUNTIF(A132:E132,"")=5,"",IF(G132,入力リスト!$K$28,IF(OR(A132="",B132="",IF(COUNTIF($C$3,"*不要*"),"",C132=""),D132=""),IF(A132="","従業員番号","")&amp;IF(B132="","「雇用形態」","")&amp;IF(OR(入力シート!$J$18=入力リスト!$H$9,入力シート!$J$22=入力リスト!$H$9),IF(C132="","「入社年月日」",""),"")&amp;IF(D132="","「性別」","")&amp;IF(IF(A132="","従業員番号","")&amp;IF(B132="","「雇用形態」","")&amp;IF(OR(入力シート!$J$18=入力リスト!$H$9,入力シート!$J$22=入力リスト!$H$9),IF(C132="","「入社年月日」",""),"")&amp;IF(D132="","「性別」","")="","",入力リスト!$K$29),IF(J132,入力リスト!$K$30,"")&amp;IF(I132,入力リスト!$K$31,"")&amp;IF(H132,"「雇用形態」","")&amp;IF(K132,"「性別」","")&amp;IF(L132,"「役職」","")&amp;IF(OR(H132,K132,L132),入力リスト!$K$32,"")))))</f>
        <v/>
      </c>
      <c r="G132" s="209" t="b">
        <f>COUNTIF($A$4:A131,$A132)&gt;0</f>
        <v>0</v>
      </c>
      <c r="H132" s="210" t="b">
        <f>IF($H$1,FALSE,COUNTIF(入力シート!$S$37:$V$62,B132)=0)</f>
        <v>0</v>
      </c>
      <c r="I132" s="210" t="b">
        <f t="shared" si="4"/>
        <v>0</v>
      </c>
      <c r="J132" s="210" t="b">
        <f>IF($J$1,FALSE,IF(I132=TRUE,FALSE,IF(I132,FALSE,C132&gt;入力シート!$J$24)))</f>
        <v>0</v>
      </c>
      <c r="K132" s="210" t="b">
        <f>IF($K$1,FALSE,COUNTIF(入力シート!$AW$37:$BB$38,D132)=0)</f>
        <v>0</v>
      </c>
      <c r="L132" s="210" t="b">
        <f>IF($L$1,FALSE,IF($L$3,FALSE,IF(E132="",FALSE,COUNTIF(入力シート!$AH$37:$AK$62,E132)=0)))</f>
        <v>0</v>
      </c>
      <c r="M132" s="211" t="str">
        <f t="shared" si="3"/>
        <v/>
      </c>
      <c r="N132" s="211"/>
      <c r="O132" s="209" t="str">
        <f>IF(B132="","",VLOOKUP('従業員情報(給与以外)'!$B132,入力シート!$S$37:$Z$62,5,0))</f>
        <v/>
      </c>
      <c r="P132" s="156" t="str">
        <f>IF(ISNUMBER(C132)=FALSE,"",IF(C132&gt;入力シート!$J$24,"",_xlfn.DAYS(入力シート!$J$24,'従業員情報(給与以外)'!$C132)/365))</f>
        <v/>
      </c>
      <c r="Q132" s="210" t="str">
        <f>IF(P132="","",VLOOKUP(_xlfn.DAYS(入力シート!$J$24,'従業員情報(給与以外)'!$C132)/365,入力リスト!$K$18:$L$26,2,2))</f>
        <v/>
      </c>
      <c r="R132" s="209" t="str">
        <f>IF(D132="","",VLOOKUP('従業員情報(給与以外)'!$D132,入力シート!$AW$37:$BB$38,4,0))</f>
        <v/>
      </c>
      <c r="S132" s="209" t="str">
        <f>IF(A132="","",IF(E132="","非役職",VLOOKUP('従業員情報(給与以外)'!$E132,入力シート!$AH$37:$AO$62,5,0)))</f>
        <v/>
      </c>
      <c r="T132" s="102" t="str">
        <f>IF(OR(入力シート!$C$5&lt;&gt;入力リスト!$C$3,COUNTIF(入力シート!$J$16:$S$23,入力リスト!$H$9)=0),"",IF($A132="","",IF(ISERROR(AVERAGEIF(従業員の給与情報!$B:$B,$A132,従業員の給与情報!$C:$C)),0,IF(ISERROR(AVERAGEIF(従業員の給与情報!$B:$B,$A132,従業員の給与情報!$C:$C)),0,AVERAGEIF(従業員の給与情報!$B:$B,$A132,従業員の給与情報!$C:$C)))))</f>
        <v/>
      </c>
      <c r="U132" s="102" t="str">
        <f>IF(OR(入力シート!$C$5&lt;&gt;入力リスト!$C$3,COUNTIF(入力シート!$J$16:$S$23,入力リスト!$H$9)=0),"",IF(A132="","",IF(ISERROR(AVERAGEIF(従業員の給与情報!$B:$B,$A132,従業員の給与情報!$D:$D)),0,IF(ISERROR(AVERAGEIF(従業員の給与情報!$B:$B,$A132,従業員の給与情報!$D:$D)),0,AVERAGEIF(従業員の給与情報!$B:$B,$A132,従業員の給与情報!$D:$D)))))</f>
        <v/>
      </c>
      <c r="V132" s="102" t="str">
        <f>IF(OR(入力シート!$C$5&lt;&gt;入力リスト!$C$3,COUNTIF(入力シート!$J$16:$S$23,入力リスト!$H$9)=0),"",IF(A132="","",IF(ISERROR(AVERAGEIF(従業員の給与情報!$B:$B,$A132,従業員の給与情報!$E:$E)),0,IF(ISERROR(AVERAGEIF(従業員の給与情報!$B:$B,$A132,従業員の給与情報!$E:$E)),0,AVERAGEIF(従業員の給与情報!$B:$B,$A132,従業員の給与情報!$E:$E)))))</f>
        <v/>
      </c>
      <c r="W132" s="103" t="str">
        <f>IF(OR(入力シート!$C$5&lt;&gt;入力リスト!$C$3,COUNTIF(入力シート!$J$16:$S$23,入力リスト!$H$9)=0),"",IF(A132="","",IF(ISERROR(AVERAGEIF(従業員の給与情報!$B:$B,$A132,従業員の給与情報!$F:$F)),0,IF(ISERROR(AVERAGEIF(従業員の給与情報!$B:$B,$A132,従業員の給与情報!$F:$F)),0,AVERAGEIF(従業員の給与情報!$B:$B,$A132,従業員の給与情報!$F:$F)))))</f>
        <v/>
      </c>
    </row>
    <row r="133" spans="1:23" s="10" customFormat="1" ht="19.8">
      <c r="A133" s="252"/>
      <c r="B133" s="249"/>
      <c r="C133" s="250"/>
      <c r="D133" s="251"/>
      <c r="E133" s="252"/>
      <c r="F133" s="257" t="str">
        <f>IF($G$1,"",IF(COUNTIF(A133:E133,"")=5,"",IF(G133,入力リスト!$K$28,IF(OR(A133="",B133="",IF(COUNTIF($C$3,"*不要*"),"",C133=""),D133=""),IF(A133="","従業員番号","")&amp;IF(B133="","「雇用形態」","")&amp;IF(OR(入力シート!$J$18=入力リスト!$H$9,入力シート!$J$22=入力リスト!$H$9),IF(C133="","「入社年月日」",""),"")&amp;IF(D133="","「性別」","")&amp;IF(IF(A133="","従業員番号","")&amp;IF(B133="","「雇用形態」","")&amp;IF(OR(入力シート!$J$18=入力リスト!$H$9,入力シート!$J$22=入力リスト!$H$9),IF(C133="","「入社年月日」",""),"")&amp;IF(D133="","「性別」","")="","",入力リスト!$K$29),IF(J133,入力リスト!$K$30,"")&amp;IF(I133,入力リスト!$K$31,"")&amp;IF(H133,"「雇用形態」","")&amp;IF(K133,"「性別」","")&amp;IF(L133,"「役職」","")&amp;IF(OR(H133,K133,L133),入力リスト!$K$32,"")))))</f>
        <v/>
      </c>
      <c r="G133" s="209" t="b">
        <f>COUNTIF($A$4:A132,$A133)&gt;0</f>
        <v>0</v>
      </c>
      <c r="H133" s="210" t="b">
        <f>IF($H$1,FALSE,COUNTIF(入力シート!$S$37:$V$62,B133)=0)</f>
        <v>0</v>
      </c>
      <c r="I133" s="210" t="b">
        <f t="shared" si="4"/>
        <v>0</v>
      </c>
      <c r="J133" s="210" t="b">
        <f>IF($J$1,FALSE,IF(I133=TRUE,FALSE,IF(I133,FALSE,C133&gt;入力シート!$J$24)))</f>
        <v>0</v>
      </c>
      <c r="K133" s="210" t="b">
        <f>IF($K$1,FALSE,COUNTIF(入力シート!$AW$37:$BB$38,D133)=0)</f>
        <v>0</v>
      </c>
      <c r="L133" s="210" t="b">
        <f>IF($L$1,FALSE,IF($L$3,FALSE,IF(E133="",FALSE,COUNTIF(入力シート!$AH$37:$AK$62,E133)=0)))</f>
        <v>0</v>
      </c>
      <c r="M133" s="211" t="str">
        <f t="shared" ref="M133:M196" si="5">IF(COUNTIF(F133,"*入社年月日に数値以外*"),"※1900/0/0以前は数値として認識されません。","")</f>
        <v/>
      </c>
      <c r="N133" s="211"/>
      <c r="O133" s="209" t="str">
        <f>IF(B133="","",VLOOKUP('従業員情報(給与以外)'!$B133,入力シート!$S$37:$Z$62,5,0))</f>
        <v/>
      </c>
      <c r="P133" s="156" t="str">
        <f>IF(ISNUMBER(C133)=FALSE,"",IF(C133&gt;入力シート!$J$24,"",_xlfn.DAYS(入力シート!$J$24,'従業員情報(給与以外)'!$C133)/365))</f>
        <v/>
      </c>
      <c r="Q133" s="210" t="str">
        <f>IF(P133="","",VLOOKUP(_xlfn.DAYS(入力シート!$J$24,'従業員情報(給与以外)'!$C133)/365,入力リスト!$K$18:$L$26,2,2))</f>
        <v/>
      </c>
      <c r="R133" s="209" t="str">
        <f>IF(D133="","",VLOOKUP('従業員情報(給与以外)'!$D133,入力シート!$AW$37:$BB$38,4,0))</f>
        <v/>
      </c>
      <c r="S133" s="209" t="str">
        <f>IF(A133="","",IF(E133="","非役職",VLOOKUP('従業員情報(給与以外)'!$E133,入力シート!$AH$37:$AO$62,5,0)))</f>
        <v/>
      </c>
      <c r="T133" s="102" t="str">
        <f>IF(OR(入力シート!$C$5&lt;&gt;入力リスト!$C$3,COUNTIF(入力シート!$J$16:$S$23,入力リスト!$H$9)=0),"",IF($A133="","",IF(ISERROR(AVERAGEIF(従業員の給与情報!$B:$B,$A133,従業員の給与情報!$C:$C)),0,IF(ISERROR(AVERAGEIF(従業員の給与情報!$B:$B,$A133,従業員の給与情報!$C:$C)),0,AVERAGEIF(従業員の給与情報!$B:$B,$A133,従業員の給与情報!$C:$C)))))</f>
        <v/>
      </c>
      <c r="U133" s="102" t="str">
        <f>IF(OR(入力シート!$C$5&lt;&gt;入力リスト!$C$3,COUNTIF(入力シート!$J$16:$S$23,入力リスト!$H$9)=0),"",IF(A133="","",IF(ISERROR(AVERAGEIF(従業員の給与情報!$B:$B,$A133,従業員の給与情報!$D:$D)),0,IF(ISERROR(AVERAGEIF(従業員の給与情報!$B:$B,$A133,従業員の給与情報!$D:$D)),0,AVERAGEIF(従業員の給与情報!$B:$B,$A133,従業員の給与情報!$D:$D)))))</f>
        <v/>
      </c>
      <c r="V133" s="102" t="str">
        <f>IF(OR(入力シート!$C$5&lt;&gt;入力リスト!$C$3,COUNTIF(入力シート!$J$16:$S$23,入力リスト!$H$9)=0),"",IF(A133="","",IF(ISERROR(AVERAGEIF(従業員の給与情報!$B:$B,$A133,従業員の給与情報!$E:$E)),0,IF(ISERROR(AVERAGEIF(従業員の給与情報!$B:$B,$A133,従業員の給与情報!$E:$E)),0,AVERAGEIF(従業員の給与情報!$B:$B,$A133,従業員の給与情報!$E:$E)))))</f>
        <v/>
      </c>
      <c r="W133" s="103" t="str">
        <f>IF(OR(入力シート!$C$5&lt;&gt;入力リスト!$C$3,COUNTIF(入力シート!$J$16:$S$23,入力リスト!$H$9)=0),"",IF(A133="","",IF(ISERROR(AVERAGEIF(従業員の給与情報!$B:$B,$A133,従業員の給与情報!$F:$F)),0,IF(ISERROR(AVERAGEIF(従業員の給与情報!$B:$B,$A133,従業員の給与情報!$F:$F)),0,AVERAGEIF(従業員の給与情報!$B:$B,$A133,従業員の給与情報!$F:$F)))))</f>
        <v/>
      </c>
    </row>
    <row r="134" spans="1:23" s="10" customFormat="1" ht="19.8">
      <c r="A134" s="252"/>
      <c r="B134" s="249"/>
      <c r="C134" s="250"/>
      <c r="D134" s="251"/>
      <c r="E134" s="252"/>
      <c r="F134" s="257" t="str">
        <f>IF($G$1,"",IF(COUNTIF(A134:E134,"")=5,"",IF(G134,入力リスト!$K$28,IF(OR(A134="",B134="",IF(COUNTIF($C$3,"*不要*"),"",C134=""),D134=""),IF(A134="","従業員番号","")&amp;IF(B134="","「雇用形態」","")&amp;IF(OR(入力シート!$J$18=入力リスト!$H$9,入力シート!$J$22=入力リスト!$H$9),IF(C134="","「入社年月日」",""),"")&amp;IF(D134="","「性別」","")&amp;IF(IF(A134="","従業員番号","")&amp;IF(B134="","「雇用形態」","")&amp;IF(OR(入力シート!$J$18=入力リスト!$H$9,入力シート!$J$22=入力リスト!$H$9),IF(C134="","「入社年月日」",""),"")&amp;IF(D134="","「性別」","")="","",入力リスト!$K$29),IF(J134,入力リスト!$K$30,"")&amp;IF(I134,入力リスト!$K$31,"")&amp;IF(H134,"「雇用形態」","")&amp;IF(K134,"「性別」","")&amp;IF(L134,"「役職」","")&amp;IF(OR(H134,K134,L134),入力リスト!$K$32,"")))))</f>
        <v/>
      </c>
      <c r="G134" s="209" t="b">
        <f>COUNTIF($A$4:A133,$A134)&gt;0</f>
        <v>0</v>
      </c>
      <c r="H134" s="210" t="b">
        <f>IF($H$1,FALSE,COUNTIF(入力シート!$S$37:$V$62,B134)=0)</f>
        <v>0</v>
      </c>
      <c r="I134" s="210" t="b">
        <f t="shared" ref="I134:I197" si="6">IF($I$1,IF(ISNUMBER(C134),FALSE,TRUE),FALSE)</f>
        <v>0</v>
      </c>
      <c r="J134" s="210" t="b">
        <f>IF($J$1,FALSE,IF(I134=TRUE,FALSE,IF(I134,FALSE,C134&gt;入力シート!$J$24)))</f>
        <v>0</v>
      </c>
      <c r="K134" s="210" t="b">
        <f>IF($K$1,FALSE,COUNTIF(入力シート!$AW$37:$BB$38,D134)=0)</f>
        <v>0</v>
      </c>
      <c r="L134" s="210" t="b">
        <f>IF($L$1,FALSE,IF($L$3,FALSE,IF(E134="",FALSE,COUNTIF(入力シート!$AH$37:$AK$62,E134)=0)))</f>
        <v>0</v>
      </c>
      <c r="M134" s="211" t="str">
        <f t="shared" si="5"/>
        <v/>
      </c>
      <c r="N134" s="211"/>
      <c r="O134" s="209" t="str">
        <f>IF(B134="","",VLOOKUP('従業員情報(給与以外)'!$B134,入力シート!$S$37:$Z$62,5,0))</f>
        <v/>
      </c>
      <c r="P134" s="156" t="str">
        <f>IF(ISNUMBER(C134)=FALSE,"",IF(C134&gt;入力シート!$J$24,"",_xlfn.DAYS(入力シート!$J$24,'従業員情報(給与以外)'!$C134)/365))</f>
        <v/>
      </c>
      <c r="Q134" s="210" t="str">
        <f>IF(P134="","",VLOOKUP(_xlfn.DAYS(入力シート!$J$24,'従業員情報(給与以外)'!$C134)/365,入力リスト!$K$18:$L$26,2,2))</f>
        <v/>
      </c>
      <c r="R134" s="209" t="str">
        <f>IF(D134="","",VLOOKUP('従業員情報(給与以外)'!$D134,入力シート!$AW$37:$BB$38,4,0))</f>
        <v/>
      </c>
      <c r="S134" s="209" t="str">
        <f>IF(A134="","",IF(E134="","非役職",VLOOKUP('従業員情報(給与以外)'!$E134,入力シート!$AH$37:$AO$62,5,0)))</f>
        <v/>
      </c>
      <c r="T134" s="102" t="str">
        <f>IF(OR(入力シート!$C$5&lt;&gt;入力リスト!$C$3,COUNTIF(入力シート!$J$16:$S$23,入力リスト!$H$9)=0),"",IF($A134="","",IF(ISERROR(AVERAGEIF(従業員の給与情報!$B:$B,$A134,従業員の給与情報!$C:$C)),0,IF(ISERROR(AVERAGEIF(従業員の給与情報!$B:$B,$A134,従業員の給与情報!$C:$C)),0,AVERAGEIF(従業員の給与情報!$B:$B,$A134,従業員の給与情報!$C:$C)))))</f>
        <v/>
      </c>
      <c r="U134" s="102" t="str">
        <f>IF(OR(入力シート!$C$5&lt;&gt;入力リスト!$C$3,COUNTIF(入力シート!$J$16:$S$23,入力リスト!$H$9)=0),"",IF(A134="","",IF(ISERROR(AVERAGEIF(従業員の給与情報!$B:$B,$A134,従業員の給与情報!$D:$D)),0,IF(ISERROR(AVERAGEIF(従業員の給与情報!$B:$B,$A134,従業員の給与情報!$D:$D)),0,AVERAGEIF(従業員の給与情報!$B:$B,$A134,従業員の給与情報!$D:$D)))))</f>
        <v/>
      </c>
      <c r="V134" s="102" t="str">
        <f>IF(OR(入力シート!$C$5&lt;&gt;入力リスト!$C$3,COUNTIF(入力シート!$J$16:$S$23,入力リスト!$H$9)=0),"",IF(A134="","",IF(ISERROR(AVERAGEIF(従業員の給与情報!$B:$B,$A134,従業員の給与情報!$E:$E)),0,IF(ISERROR(AVERAGEIF(従業員の給与情報!$B:$B,$A134,従業員の給与情報!$E:$E)),0,AVERAGEIF(従業員の給与情報!$B:$B,$A134,従業員の給与情報!$E:$E)))))</f>
        <v/>
      </c>
      <c r="W134" s="103" t="str">
        <f>IF(OR(入力シート!$C$5&lt;&gt;入力リスト!$C$3,COUNTIF(入力シート!$J$16:$S$23,入力リスト!$H$9)=0),"",IF(A134="","",IF(ISERROR(AVERAGEIF(従業員の給与情報!$B:$B,$A134,従業員の給与情報!$F:$F)),0,IF(ISERROR(AVERAGEIF(従業員の給与情報!$B:$B,$A134,従業員の給与情報!$F:$F)),0,AVERAGEIF(従業員の給与情報!$B:$B,$A134,従業員の給与情報!$F:$F)))))</f>
        <v/>
      </c>
    </row>
    <row r="135" spans="1:23" s="10" customFormat="1" ht="19.8">
      <c r="A135" s="252"/>
      <c r="B135" s="249"/>
      <c r="C135" s="250"/>
      <c r="D135" s="251"/>
      <c r="E135" s="252"/>
      <c r="F135" s="257" t="str">
        <f>IF($G$1,"",IF(COUNTIF(A135:E135,"")=5,"",IF(G135,入力リスト!$K$28,IF(OR(A135="",B135="",IF(COUNTIF($C$3,"*不要*"),"",C135=""),D135=""),IF(A135="","従業員番号","")&amp;IF(B135="","「雇用形態」","")&amp;IF(OR(入力シート!$J$18=入力リスト!$H$9,入力シート!$J$22=入力リスト!$H$9),IF(C135="","「入社年月日」",""),"")&amp;IF(D135="","「性別」","")&amp;IF(IF(A135="","従業員番号","")&amp;IF(B135="","「雇用形態」","")&amp;IF(OR(入力シート!$J$18=入力リスト!$H$9,入力シート!$J$22=入力リスト!$H$9),IF(C135="","「入社年月日」",""),"")&amp;IF(D135="","「性別」","")="","",入力リスト!$K$29),IF(J135,入力リスト!$K$30,"")&amp;IF(I135,入力リスト!$K$31,"")&amp;IF(H135,"「雇用形態」","")&amp;IF(K135,"「性別」","")&amp;IF(L135,"「役職」","")&amp;IF(OR(H135,K135,L135),入力リスト!$K$32,"")))))</f>
        <v/>
      </c>
      <c r="G135" s="209" t="b">
        <f>COUNTIF($A$4:A134,$A135)&gt;0</f>
        <v>0</v>
      </c>
      <c r="H135" s="210" t="b">
        <f>IF($H$1,FALSE,COUNTIF(入力シート!$S$37:$V$62,B135)=0)</f>
        <v>0</v>
      </c>
      <c r="I135" s="210" t="b">
        <f t="shared" si="6"/>
        <v>0</v>
      </c>
      <c r="J135" s="210" t="b">
        <f>IF($J$1,FALSE,IF(I135=TRUE,FALSE,IF(I135,FALSE,C135&gt;入力シート!$J$24)))</f>
        <v>0</v>
      </c>
      <c r="K135" s="210" t="b">
        <f>IF($K$1,FALSE,COUNTIF(入力シート!$AW$37:$BB$38,D135)=0)</f>
        <v>0</v>
      </c>
      <c r="L135" s="210" t="b">
        <f>IF($L$1,FALSE,IF($L$3,FALSE,IF(E135="",FALSE,COUNTIF(入力シート!$AH$37:$AK$62,E135)=0)))</f>
        <v>0</v>
      </c>
      <c r="M135" s="211" t="str">
        <f t="shared" si="5"/>
        <v/>
      </c>
      <c r="N135" s="211"/>
      <c r="O135" s="209" t="str">
        <f>IF(B135="","",VLOOKUP('従業員情報(給与以外)'!$B135,入力シート!$S$37:$Z$62,5,0))</f>
        <v/>
      </c>
      <c r="P135" s="156" t="str">
        <f>IF(ISNUMBER(C135)=FALSE,"",IF(C135&gt;入力シート!$J$24,"",_xlfn.DAYS(入力シート!$J$24,'従業員情報(給与以外)'!$C135)/365))</f>
        <v/>
      </c>
      <c r="Q135" s="210" t="str">
        <f>IF(P135="","",VLOOKUP(_xlfn.DAYS(入力シート!$J$24,'従業員情報(給与以外)'!$C135)/365,入力リスト!$K$18:$L$26,2,2))</f>
        <v/>
      </c>
      <c r="R135" s="209" t="str">
        <f>IF(D135="","",VLOOKUP('従業員情報(給与以外)'!$D135,入力シート!$AW$37:$BB$38,4,0))</f>
        <v/>
      </c>
      <c r="S135" s="209" t="str">
        <f>IF(A135="","",IF(E135="","非役職",VLOOKUP('従業員情報(給与以外)'!$E135,入力シート!$AH$37:$AO$62,5,0)))</f>
        <v/>
      </c>
      <c r="T135" s="102" t="str">
        <f>IF(OR(入力シート!$C$5&lt;&gt;入力リスト!$C$3,COUNTIF(入力シート!$J$16:$S$23,入力リスト!$H$9)=0),"",IF($A135="","",IF(ISERROR(AVERAGEIF(従業員の給与情報!$B:$B,$A135,従業員の給与情報!$C:$C)),0,IF(ISERROR(AVERAGEIF(従業員の給与情報!$B:$B,$A135,従業員の給与情報!$C:$C)),0,AVERAGEIF(従業員の給与情報!$B:$B,$A135,従業員の給与情報!$C:$C)))))</f>
        <v/>
      </c>
      <c r="U135" s="102" t="str">
        <f>IF(OR(入力シート!$C$5&lt;&gt;入力リスト!$C$3,COUNTIF(入力シート!$J$16:$S$23,入力リスト!$H$9)=0),"",IF(A135="","",IF(ISERROR(AVERAGEIF(従業員の給与情報!$B:$B,$A135,従業員の給与情報!$D:$D)),0,IF(ISERROR(AVERAGEIF(従業員の給与情報!$B:$B,$A135,従業員の給与情報!$D:$D)),0,AVERAGEIF(従業員の給与情報!$B:$B,$A135,従業員の給与情報!$D:$D)))))</f>
        <v/>
      </c>
      <c r="V135" s="102" t="str">
        <f>IF(OR(入力シート!$C$5&lt;&gt;入力リスト!$C$3,COUNTIF(入力シート!$J$16:$S$23,入力リスト!$H$9)=0),"",IF(A135="","",IF(ISERROR(AVERAGEIF(従業員の給与情報!$B:$B,$A135,従業員の給与情報!$E:$E)),0,IF(ISERROR(AVERAGEIF(従業員の給与情報!$B:$B,$A135,従業員の給与情報!$E:$E)),0,AVERAGEIF(従業員の給与情報!$B:$B,$A135,従業員の給与情報!$E:$E)))))</f>
        <v/>
      </c>
      <c r="W135" s="103" t="str">
        <f>IF(OR(入力シート!$C$5&lt;&gt;入力リスト!$C$3,COUNTIF(入力シート!$J$16:$S$23,入力リスト!$H$9)=0),"",IF(A135="","",IF(ISERROR(AVERAGEIF(従業員の給与情報!$B:$B,$A135,従業員の給与情報!$F:$F)),0,IF(ISERROR(AVERAGEIF(従業員の給与情報!$B:$B,$A135,従業員の給与情報!$F:$F)),0,AVERAGEIF(従業員の給与情報!$B:$B,$A135,従業員の給与情報!$F:$F)))))</f>
        <v/>
      </c>
    </row>
    <row r="136" spans="1:23" s="10" customFormat="1" ht="19.8">
      <c r="A136" s="252"/>
      <c r="B136" s="249"/>
      <c r="C136" s="250"/>
      <c r="D136" s="251"/>
      <c r="E136" s="252"/>
      <c r="F136" s="257" t="str">
        <f>IF($G$1,"",IF(COUNTIF(A136:E136,"")=5,"",IF(G136,入力リスト!$K$28,IF(OR(A136="",B136="",IF(COUNTIF($C$3,"*不要*"),"",C136=""),D136=""),IF(A136="","従業員番号","")&amp;IF(B136="","「雇用形態」","")&amp;IF(OR(入力シート!$J$18=入力リスト!$H$9,入力シート!$J$22=入力リスト!$H$9),IF(C136="","「入社年月日」",""),"")&amp;IF(D136="","「性別」","")&amp;IF(IF(A136="","従業員番号","")&amp;IF(B136="","「雇用形態」","")&amp;IF(OR(入力シート!$J$18=入力リスト!$H$9,入力シート!$J$22=入力リスト!$H$9),IF(C136="","「入社年月日」",""),"")&amp;IF(D136="","「性別」","")="","",入力リスト!$K$29),IF(J136,入力リスト!$K$30,"")&amp;IF(I136,入力リスト!$K$31,"")&amp;IF(H136,"「雇用形態」","")&amp;IF(K136,"「性別」","")&amp;IF(L136,"「役職」","")&amp;IF(OR(H136,K136,L136),入力リスト!$K$32,"")))))</f>
        <v/>
      </c>
      <c r="G136" s="209" t="b">
        <f>COUNTIF($A$4:A135,$A136)&gt;0</f>
        <v>0</v>
      </c>
      <c r="H136" s="210" t="b">
        <f>IF($H$1,FALSE,COUNTIF(入力シート!$S$37:$V$62,B136)=0)</f>
        <v>0</v>
      </c>
      <c r="I136" s="210" t="b">
        <f t="shared" si="6"/>
        <v>0</v>
      </c>
      <c r="J136" s="210" t="b">
        <f>IF($J$1,FALSE,IF(I136=TRUE,FALSE,IF(I136,FALSE,C136&gt;入力シート!$J$24)))</f>
        <v>0</v>
      </c>
      <c r="K136" s="210" t="b">
        <f>IF($K$1,FALSE,COUNTIF(入力シート!$AW$37:$BB$38,D136)=0)</f>
        <v>0</v>
      </c>
      <c r="L136" s="210" t="b">
        <f>IF($L$1,FALSE,IF($L$3,FALSE,IF(E136="",FALSE,COUNTIF(入力シート!$AH$37:$AK$62,E136)=0)))</f>
        <v>0</v>
      </c>
      <c r="M136" s="211" t="str">
        <f t="shared" si="5"/>
        <v/>
      </c>
      <c r="N136" s="211"/>
      <c r="O136" s="209" t="str">
        <f>IF(B136="","",VLOOKUP('従業員情報(給与以外)'!$B136,入力シート!$S$37:$Z$62,5,0))</f>
        <v/>
      </c>
      <c r="P136" s="156" t="str">
        <f>IF(ISNUMBER(C136)=FALSE,"",IF(C136&gt;入力シート!$J$24,"",_xlfn.DAYS(入力シート!$J$24,'従業員情報(給与以外)'!$C136)/365))</f>
        <v/>
      </c>
      <c r="Q136" s="210" t="str">
        <f>IF(P136="","",VLOOKUP(_xlfn.DAYS(入力シート!$J$24,'従業員情報(給与以外)'!$C136)/365,入力リスト!$K$18:$L$26,2,2))</f>
        <v/>
      </c>
      <c r="R136" s="209" t="str">
        <f>IF(D136="","",VLOOKUP('従業員情報(給与以外)'!$D136,入力シート!$AW$37:$BB$38,4,0))</f>
        <v/>
      </c>
      <c r="S136" s="209" t="str">
        <f>IF(A136="","",IF(E136="","非役職",VLOOKUP('従業員情報(給与以外)'!$E136,入力シート!$AH$37:$AO$62,5,0)))</f>
        <v/>
      </c>
      <c r="T136" s="102" t="str">
        <f>IF(OR(入力シート!$C$5&lt;&gt;入力リスト!$C$3,COUNTIF(入力シート!$J$16:$S$23,入力リスト!$H$9)=0),"",IF($A136="","",IF(ISERROR(AVERAGEIF(従業員の給与情報!$B:$B,$A136,従業員の給与情報!$C:$C)),0,IF(ISERROR(AVERAGEIF(従業員の給与情報!$B:$B,$A136,従業員の給与情報!$C:$C)),0,AVERAGEIF(従業員の給与情報!$B:$B,$A136,従業員の給与情報!$C:$C)))))</f>
        <v/>
      </c>
      <c r="U136" s="102" t="str">
        <f>IF(OR(入力シート!$C$5&lt;&gt;入力リスト!$C$3,COUNTIF(入力シート!$J$16:$S$23,入力リスト!$H$9)=0),"",IF(A136="","",IF(ISERROR(AVERAGEIF(従業員の給与情報!$B:$B,$A136,従業員の給与情報!$D:$D)),0,IF(ISERROR(AVERAGEIF(従業員の給与情報!$B:$B,$A136,従業員の給与情報!$D:$D)),0,AVERAGEIF(従業員の給与情報!$B:$B,$A136,従業員の給与情報!$D:$D)))))</f>
        <v/>
      </c>
      <c r="V136" s="102" t="str">
        <f>IF(OR(入力シート!$C$5&lt;&gt;入力リスト!$C$3,COUNTIF(入力シート!$J$16:$S$23,入力リスト!$H$9)=0),"",IF(A136="","",IF(ISERROR(AVERAGEIF(従業員の給与情報!$B:$B,$A136,従業員の給与情報!$E:$E)),0,IF(ISERROR(AVERAGEIF(従業員の給与情報!$B:$B,$A136,従業員の給与情報!$E:$E)),0,AVERAGEIF(従業員の給与情報!$B:$B,$A136,従業員の給与情報!$E:$E)))))</f>
        <v/>
      </c>
      <c r="W136" s="103" t="str">
        <f>IF(OR(入力シート!$C$5&lt;&gt;入力リスト!$C$3,COUNTIF(入力シート!$J$16:$S$23,入力リスト!$H$9)=0),"",IF(A136="","",IF(ISERROR(AVERAGEIF(従業員の給与情報!$B:$B,$A136,従業員の給与情報!$F:$F)),0,IF(ISERROR(AVERAGEIF(従業員の給与情報!$B:$B,$A136,従業員の給与情報!$F:$F)),0,AVERAGEIF(従業員の給与情報!$B:$B,$A136,従業員の給与情報!$F:$F)))))</f>
        <v/>
      </c>
    </row>
    <row r="137" spans="1:23" s="10" customFormat="1" ht="19.8">
      <c r="A137" s="252"/>
      <c r="B137" s="249"/>
      <c r="C137" s="250"/>
      <c r="D137" s="251"/>
      <c r="E137" s="249"/>
      <c r="F137" s="257" t="str">
        <f>IF($G$1,"",IF(COUNTIF(A137:E137,"")=5,"",IF(G137,入力リスト!$K$28,IF(OR(A137="",B137="",IF(COUNTIF($C$3,"*不要*"),"",C137=""),D137=""),IF(A137="","従業員番号","")&amp;IF(B137="","「雇用形態」","")&amp;IF(OR(入力シート!$J$18=入力リスト!$H$9,入力シート!$J$22=入力リスト!$H$9),IF(C137="","「入社年月日」",""),"")&amp;IF(D137="","「性別」","")&amp;IF(IF(A137="","従業員番号","")&amp;IF(B137="","「雇用形態」","")&amp;IF(OR(入力シート!$J$18=入力リスト!$H$9,入力シート!$J$22=入力リスト!$H$9),IF(C137="","「入社年月日」",""),"")&amp;IF(D137="","「性別」","")="","",入力リスト!$K$29),IF(J137,入力リスト!$K$30,"")&amp;IF(I137,入力リスト!$K$31,"")&amp;IF(H137,"「雇用形態」","")&amp;IF(K137,"「性別」","")&amp;IF(L137,"「役職」","")&amp;IF(OR(H137,K137,L137),入力リスト!$K$32,"")))))</f>
        <v/>
      </c>
      <c r="G137" s="209" t="b">
        <f>COUNTIF($A$4:A136,$A137)&gt;0</f>
        <v>0</v>
      </c>
      <c r="H137" s="210" t="b">
        <f>IF($H$1,FALSE,COUNTIF(入力シート!$S$37:$V$62,B137)=0)</f>
        <v>0</v>
      </c>
      <c r="I137" s="210" t="b">
        <f t="shared" si="6"/>
        <v>0</v>
      </c>
      <c r="J137" s="210" t="b">
        <f>IF($J$1,FALSE,IF(I137=TRUE,FALSE,IF(I137,FALSE,C137&gt;入力シート!$J$24)))</f>
        <v>0</v>
      </c>
      <c r="K137" s="210" t="b">
        <f>IF($K$1,FALSE,COUNTIF(入力シート!$AW$37:$BB$38,D137)=0)</f>
        <v>0</v>
      </c>
      <c r="L137" s="210" t="b">
        <f>IF($L$1,FALSE,IF($L$3,FALSE,IF(E137="",FALSE,COUNTIF(入力シート!$AH$37:$AK$62,E137)=0)))</f>
        <v>0</v>
      </c>
      <c r="M137" s="211" t="str">
        <f t="shared" si="5"/>
        <v/>
      </c>
      <c r="N137" s="211"/>
      <c r="O137" s="209" t="str">
        <f>IF(B137="","",VLOOKUP('従業員情報(給与以外)'!$B137,入力シート!$S$37:$Z$62,5,0))</f>
        <v/>
      </c>
      <c r="P137" s="156" t="str">
        <f>IF(ISNUMBER(C137)=FALSE,"",IF(C137&gt;入力シート!$J$24,"",_xlfn.DAYS(入力シート!$J$24,'従業員情報(給与以外)'!$C137)/365))</f>
        <v/>
      </c>
      <c r="Q137" s="210" t="str">
        <f>IF(P137="","",VLOOKUP(_xlfn.DAYS(入力シート!$J$24,'従業員情報(給与以外)'!$C137)/365,入力リスト!$K$18:$L$26,2,2))</f>
        <v/>
      </c>
      <c r="R137" s="209" t="str">
        <f>IF(D137="","",VLOOKUP('従業員情報(給与以外)'!$D137,入力シート!$AW$37:$BB$38,4,0))</f>
        <v/>
      </c>
      <c r="S137" s="209" t="str">
        <f>IF(A137="","",IF(E137="","非役職",VLOOKUP('従業員情報(給与以外)'!$E137,入力シート!$AH$37:$AO$62,5,0)))</f>
        <v/>
      </c>
      <c r="T137" s="102" t="str">
        <f>IF(OR(入力シート!$C$5&lt;&gt;入力リスト!$C$3,COUNTIF(入力シート!$J$16:$S$23,入力リスト!$H$9)=0),"",IF($A137="","",IF(ISERROR(AVERAGEIF(従業員の給与情報!$B:$B,$A137,従業員の給与情報!$C:$C)),0,IF(ISERROR(AVERAGEIF(従業員の給与情報!$B:$B,$A137,従業員の給与情報!$C:$C)),0,AVERAGEIF(従業員の給与情報!$B:$B,$A137,従業員の給与情報!$C:$C)))))</f>
        <v/>
      </c>
      <c r="U137" s="102" t="str">
        <f>IF(OR(入力シート!$C$5&lt;&gt;入力リスト!$C$3,COUNTIF(入力シート!$J$16:$S$23,入力リスト!$H$9)=0),"",IF(A137="","",IF(ISERROR(AVERAGEIF(従業員の給与情報!$B:$B,$A137,従業員の給与情報!$D:$D)),0,IF(ISERROR(AVERAGEIF(従業員の給与情報!$B:$B,$A137,従業員の給与情報!$D:$D)),0,AVERAGEIF(従業員の給与情報!$B:$B,$A137,従業員の給与情報!$D:$D)))))</f>
        <v/>
      </c>
      <c r="V137" s="102" t="str">
        <f>IF(OR(入力シート!$C$5&lt;&gt;入力リスト!$C$3,COUNTIF(入力シート!$J$16:$S$23,入力リスト!$H$9)=0),"",IF(A137="","",IF(ISERROR(AVERAGEIF(従業員の給与情報!$B:$B,$A137,従業員の給与情報!$E:$E)),0,IF(ISERROR(AVERAGEIF(従業員の給与情報!$B:$B,$A137,従業員の給与情報!$E:$E)),0,AVERAGEIF(従業員の給与情報!$B:$B,$A137,従業員の給与情報!$E:$E)))))</f>
        <v/>
      </c>
      <c r="W137" s="103" t="str">
        <f>IF(OR(入力シート!$C$5&lt;&gt;入力リスト!$C$3,COUNTIF(入力シート!$J$16:$S$23,入力リスト!$H$9)=0),"",IF(A137="","",IF(ISERROR(AVERAGEIF(従業員の給与情報!$B:$B,$A137,従業員の給与情報!$F:$F)),0,IF(ISERROR(AVERAGEIF(従業員の給与情報!$B:$B,$A137,従業員の給与情報!$F:$F)),0,AVERAGEIF(従業員の給与情報!$B:$B,$A137,従業員の給与情報!$F:$F)))))</f>
        <v/>
      </c>
    </row>
    <row r="138" spans="1:23" s="10" customFormat="1" ht="19.8">
      <c r="A138" s="252"/>
      <c r="B138" s="249"/>
      <c r="C138" s="250"/>
      <c r="D138" s="251"/>
      <c r="E138" s="252"/>
      <c r="F138" s="257" t="str">
        <f>IF($G$1,"",IF(COUNTIF(A138:E138,"")=5,"",IF(G138,入力リスト!$K$28,IF(OR(A138="",B138="",IF(COUNTIF($C$3,"*不要*"),"",C138=""),D138=""),IF(A138="","従業員番号","")&amp;IF(B138="","「雇用形態」","")&amp;IF(OR(入力シート!$J$18=入力リスト!$H$9,入力シート!$J$22=入力リスト!$H$9),IF(C138="","「入社年月日」",""),"")&amp;IF(D138="","「性別」","")&amp;IF(IF(A138="","従業員番号","")&amp;IF(B138="","「雇用形態」","")&amp;IF(OR(入力シート!$J$18=入力リスト!$H$9,入力シート!$J$22=入力リスト!$H$9),IF(C138="","「入社年月日」",""),"")&amp;IF(D138="","「性別」","")="","",入力リスト!$K$29),IF(J138,入力リスト!$K$30,"")&amp;IF(I138,入力リスト!$K$31,"")&amp;IF(H138,"「雇用形態」","")&amp;IF(K138,"「性別」","")&amp;IF(L138,"「役職」","")&amp;IF(OR(H138,K138,L138),入力リスト!$K$32,"")))))</f>
        <v/>
      </c>
      <c r="G138" s="209" t="b">
        <f>COUNTIF($A$4:A137,$A138)&gt;0</f>
        <v>0</v>
      </c>
      <c r="H138" s="210" t="b">
        <f>IF($H$1,FALSE,COUNTIF(入力シート!$S$37:$V$62,B138)=0)</f>
        <v>0</v>
      </c>
      <c r="I138" s="210" t="b">
        <f t="shared" si="6"/>
        <v>0</v>
      </c>
      <c r="J138" s="210" t="b">
        <f>IF($J$1,FALSE,IF(I138=TRUE,FALSE,IF(I138,FALSE,C138&gt;入力シート!$J$24)))</f>
        <v>0</v>
      </c>
      <c r="K138" s="210" t="b">
        <f>IF($K$1,FALSE,COUNTIF(入力シート!$AW$37:$BB$38,D138)=0)</f>
        <v>0</v>
      </c>
      <c r="L138" s="210" t="b">
        <f>IF($L$1,FALSE,IF($L$3,FALSE,IF(E138="",FALSE,COUNTIF(入力シート!$AH$37:$AK$62,E138)=0)))</f>
        <v>0</v>
      </c>
      <c r="M138" s="211" t="str">
        <f t="shared" si="5"/>
        <v/>
      </c>
      <c r="N138" s="211"/>
      <c r="O138" s="209" t="str">
        <f>IF(B138="","",VLOOKUP('従業員情報(給与以外)'!$B138,入力シート!$S$37:$Z$62,5,0))</f>
        <v/>
      </c>
      <c r="P138" s="156" t="str">
        <f>IF(ISNUMBER(C138)=FALSE,"",IF(C138&gt;入力シート!$J$24,"",_xlfn.DAYS(入力シート!$J$24,'従業員情報(給与以外)'!$C138)/365))</f>
        <v/>
      </c>
      <c r="Q138" s="210" t="str">
        <f>IF(P138="","",VLOOKUP(_xlfn.DAYS(入力シート!$J$24,'従業員情報(給与以外)'!$C138)/365,入力リスト!$K$18:$L$26,2,2))</f>
        <v/>
      </c>
      <c r="R138" s="209" t="str">
        <f>IF(D138="","",VLOOKUP('従業員情報(給与以外)'!$D138,入力シート!$AW$37:$BB$38,4,0))</f>
        <v/>
      </c>
      <c r="S138" s="209" t="str">
        <f>IF(A138="","",IF(E138="","非役職",VLOOKUP('従業員情報(給与以外)'!$E138,入力シート!$AH$37:$AO$62,5,0)))</f>
        <v/>
      </c>
      <c r="T138" s="102" t="str">
        <f>IF(OR(入力シート!$C$5&lt;&gt;入力リスト!$C$3,COUNTIF(入力シート!$J$16:$S$23,入力リスト!$H$9)=0),"",IF($A138="","",IF(ISERROR(AVERAGEIF(従業員の給与情報!$B:$B,$A138,従業員の給与情報!$C:$C)),0,IF(ISERROR(AVERAGEIF(従業員の給与情報!$B:$B,$A138,従業員の給与情報!$C:$C)),0,AVERAGEIF(従業員の給与情報!$B:$B,$A138,従業員の給与情報!$C:$C)))))</f>
        <v/>
      </c>
      <c r="U138" s="102" t="str">
        <f>IF(OR(入力シート!$C$5&lt;&gt;入力リスト!$C$3,COUNTIF(入力シート!$J$16:$S$23,入力リスト!$H$9)=0),"",IF(A138="","",IF(ISERROR(AVERAGEIF(従業員の給与情報!$B:$B,$A138,従業員の給与情報!$D:$D)),0,IF(ISERROR(AVERAGEIF(従業員の給与情報!$B:$B,$A138,従業員の給与情報!$D:$D)),0,AVERAGEIF(従業員の給与情報!$B:$B,$A138,従業員の給与情報!$D:$D)))))</f>
        <v/>
      </c>
      <c r="V138" s="102" t="str">
        <f>IF(OR(入力シート!$C$5&lt;&gt;入力リスト!$C$3,COUNTIF(入力シート!$J$16:$S$23,入力リスト!$H$9)=0),"",IF(A138="","",IF(ISERROR(AVERAGEIF(従業員の給与情報!$B:$B,$A138,従業員の給与情報!$E:$E)),0,IF(ISERROR(AVERAGEIF(従業員の給与情報!$B:$B,$A138,従業員の給与情報!$E:$E)),0,AVERAGEIF(従業員の給与情報!$B:$B,$A138,従業員の給与情報!$E:$E)))))</f>
        <v/>
      </c>
      <c r="W138" s="103" t="str">
        <f>IF(OR(入力シート!$C$5&lt;&gt;入力リスト!$C$3,COUNTIF(入力シート!$J$16:$S$23,入力リスト!$H$9)=0),"",IF(A138="","",IF(ISERROR(AVERAGEIF(従業員の給与情報!$B:$B,$A138,従業員の給与情報!$F:$F)),0,IF(ISERROR(AVERAGEIF(従業員の給与情報!$B:$B,$A138,従業員の給与情報!$F:$F)),0,AVERAGEIF(従業員の給与情報!$B:$B,$A138,従業員の給与情報!$F:$F)))))</f>
        <v/>
      </c>
    </row>
    <row r="139" spans="1:23" s="10" customFormat="1" ht="19.8">
      <c r="A139" s="252"/>
      <c r="B139" s="249"/>
      <c r="C139" s="250"/>
      <c r="D139" s="251"/>
      <c r="E139" s="252"/>
      <c r="F139" s="257" t="str">
        <f>IF($G$1,"",IF(COUNTIF(A139:E139,"")=5,"",IF(G139,入力リスト!$K$28,IF(OR(A139="",B139="",IF(COUNTIF($C$3,"*不要*"),"",C139=""),D139=""),IF(A139="","従業員番号","")&amp;IF(B139="","「雇用形態」","")&amp;IF(OR(入力シート!$J$18=入力リスト!$H$9,入力シート!$J$22=入力リスト!$H$9),IF(C139="","「入社年月日」",""),"")&amp;IF(D139="","「性別」","")&amp;IF(IF(A139="","従業員番号","")&amp;IF(B139="","「雇用形態」","")&amp;IF(OR(入力シート!$J$18=入力リスト!$H$9,入力シート!$J$22=入力リスト!$H$9),IF(C139="","「入社年月日」",""),"")&amp;IF(D139="","「性別」","")="","",入力リスト!$K$29),IF(J139,入力リスト!$K$30,"")&amp;IF(I139,入力リスト!$K$31,"")&amp;IF(H139,"「雇用形態」","")&amp;IF(K139,"「性別」","")&amp;IF(L139,"「役職」","")&amp;IF(OR(H139,K139,L139),入力リスト!$K$32,"")))))</f>
        <v/>
      </c>
      <c r="G139" s="209" t="b">
        <f>COUNTIF($A$4:A138,$A139)&gt;0</f>
        <v>0</v>
      </c>
      <c r="H139" s="210" t="b">
        <f>IF($H$1,FALSE,COUNTIF(入力シート!$S$37:$V$62,B139)=0)</f>
        <v>0</v>
      </c>
      <c r="I139" s="210" t="b">
        <f t="shared" si="6"/>
        <v>0</v>
      </c>
      <c r="J139" s="210" t="b">
        <f>IF($J$1,FALSE,IF(I139=TRUE,FALSE,IF(I139,FALSE,C139&gt;入力シート!$J$24)))</f>
        <v>0</v>
      </c>
      <c r="K139" s="210" t="b">
        <f>IF($K$1,FALSE,COUNTIF(入力シート!$AW$37:$BB$38,D139)=0)</f>
        <v>0</v>
      </c>
      <c r="L139" s="210" t="b">
        <f>IF($L$1,FALSE,IF($L$3,FALSE,IF(E139="",FALSE,COUNTIF(入力シート!$AH$37:$AK$62,E139)=0)))</f>
        <v>0</v>
      </c>
      <c r="M139" s="211" t="str">
        <f t="shared" si="5"/>
        <v/>
      </c>
      <c r="N139" s="211"/>
      <c r="O139" s="209" t="str">
        <f>IF(B139="","",VLOOKUP('従業員情報(給与以外)'!$B139,入力シート!$S$37:$Z$62,5,0))</f>
        <v/>
      </c>
      <c r="P139" s="156" t="str">
        <f>IF(ISNUMBER(C139)=FALSE,"",IF(C139&gt;入力シート!$J$24,"",_xlfn.DAYS(入力シート!$J$24,'従業員情報(給与以外)'!$C139)/365))</f>
        <v/>
      </c>
      <c r="Q139" s="210" t="str">
        <f>IF(P139="","",VLOOKUP(_xlfn.DAYS(入力シート!$J$24,'従業員情報(給与以外)'!$C139)/365,入力リスト!$K$18:$L$26,2,2))</f>
        <v/>
      </c>
      <c r="R139" s="209" t="str">
        <f>IF(D139="","",VLOOKUP('従業員情報(給与以外)'!$D139,入力シート!$AW$37:$BB$38,4,0))</f>
        <v/>
      </c>
      <c r="S139" s="209" t="str">
        <f>IF(A139="","",IF(E139="","非役職",VLOOKUP('従業員情報(給与以外)'!$E139,入力シート!$AH$37:$AO$62,5,0)))</f>
        <v/>
      </c>
      <c r="T139" s="102" t="str">
        <f>IF(OR(入力シート!$C$5&lt;&gt;入力リスト!$C$3,COUNTIF(入力シート!$J$16:$S$23,入力リスト!$H$9)=0),"",IF($A139="","",IF(ISERROR(AVERAGEIF(従業員の給与情報!$B:$B,$A139,従業員の給与情報!$C:$C)),0,IF(ISERROR(AVERAGEIF(従業員の給与情報!$B:$B,$A139,従業員の給与情報!$C:$C)),0,AVERAGEIF(従業員の給与情報!$B:$B,$A139,従業員の給与情報!$C:$C)))))</f>
        <v/>
      </c>
      <c r="U139" s="102" t="str">
        <f>IF(OR(入力シート!$C$5&lt;&gt;入力リスト!$C$3,COUNTIF(入力シート!$J$16:$S$23,入力リスト!$H$9)=0),"",IF(A139="","",IF(ISERROR(AVERAGEIF(従業員の給与情報!$B:$B,$A139,従業員の給与情報!$D:$D)),0,IF(ISERROR(AVERAGEIF(従業員の給与情報!$B:$B,$A139,従業員の給与情報!$D:$D)),0,AVERAGEIF(従業員の給与情報!$B:$B,$A139,従業員の給与情報!$D:$D)))))</f>
        <v/>
      </c>
      <c r="V139" s="102" t="str">
        <f>IF(OR(入力シート!$C$5&lt;&gt;入力リスト!$C$3,COUNTIF(入力シート!$J$16:$S$23,入力リスト!$H$9)=0),"",IF(A139="","",IF(ISERROR(AVERAGEIF(従業員の給与情報!$B:$B,$A139,従業員の給与情報!$E:$E)),0,IF(ISERROR(AVERAGEIF(従業員の給与情報!$B:$B,$A139,従業員の給与情報!$E:$E)),0,AVERAGEIF(従業員の給与情報!$B:$B,$A139,従業員の給与情報!$E:$E)))))</f>
        <v/>
      </c>
      <c r="W139" s="103" t="str">
        <f>IF(OR(入力シート!$C$5&lt;&gt;入力リスト!$C$3,COUNTIF(入力シート!$J$16:$S$23,入力リスト!$H$9)=0),"",IF(A139="","",IF(ISERROR(AVERAGEIF(従業員の給与情報!$B:$B,$A139,従業員の給与情報!$F:$F)),0,IF(ISERROR(AVERAGEIF(従業員の給与情報!$B:$B,$A139,従業員の給与情報!$F:$F)),0,AVERAGEIF(従業員の給与情報!$B:$B,$A139,従業員の給与情報!$F:$F)))))</f>
        <v/>
      </c>
    </row>
    <row r="140" spans="1:23" s="10" customFormat="1" ht="19.8">
      <c r="A140" s="252"/>
      <c r="B140" s="249"/>
      <c r="C140" s="250"/>
      <c r="D140" s="251"/>
      <c r="E140" s="252"/>
      <c r="F140" s="257" t="str">
        <f>IF($G$1,"",IF(COUNTIF(A140:E140,"")=5,"",IF(G140,入力リスト!$K$28,IF(OR(A140="",B140="",IF(COUNTIF($C$3,"*不要*"),"",C140=""),D140=""),IF(A140="","従業員番号","")&amp;IF(B140="","「雇用形態」","")&amp;IF(OR(入力シート!$J$18=入力リスト!$H$9,入力シート!$J$22=入力リスト!$H$9),IF(C140="","「入社年月日」",""),"")&amp;IF(D140="","「性別」","")&amp;IF(IF(A140="","従業員番号","")&amp;IF(B140="","「雇用形態」","")&amp;IF(OR(入力シート!$J$18=入力リスト!$H$9,入力シート!$J$22=入力リスト!$H$9),IF(C140="","「入社年月日」",""),"")&amp;IF(D140="","「性別」","")="","",入力リスト!$K$29),IF(J140,入力リスト!$K$30,"")&amp;IF(I140,入力リスト!$K$31,"")&amp;IF(H140,"「雇用形態」","")&amp;IF(K140,"「性別」","")&amp;IF(L140,"「役職」","")&amp;IF(OR(H140,K140,L140),入力リスト!$K$32,"")))))</f>
        <v/>
      </c>
      <c r="G140" s="209" t="b">
        <f>COUNTIF($A$4:A139,$A140)&gt;0</f>
        <v>0</v>
      </c>
      <c r="H140" s="210" t="b">
        <f>IF($H$1,FALSE,COUNTIF(入力シート!$S$37:$V$62,B140)=0)</f>
        <v>0</v>
      </c>
      <c r="I140" s="210" t="b">
        <f t="shared" si="6"/>
        <v>0</v>
      </c>
      <c r="J140" s="210" t="b">
        <f>IF($J$1,FALSE,IF(I140=TRUE,FALSE,IF(I140,FALSE,C140&gt;入力シート!$J$24)))</f>
        <v>0</v>
      </c>
      <c r="K140" s="210" t="b">
        <f>IF($K$1,FALSE,COUNTIF(入力シート!$AW$37:$BB$38,D140)=0)</f>
        <v>0</v>
      </c>
      <c r="L140" s="210" t="b">
        <f>IF($L$1,FALSE,IF($L$3,FALSE,IF(E140="",FALSE,COUNTIF(入力シート!$AH$37:$AK$62,E140)=0)))</f>
        <v>0</v>
      </c>
      <c r="M140" s="211" t="str">
        <f t="shared" si="5"/>
        <v/>
      </c>
      <c r="N140" s="211"/>
      <c r="O140" s="209" t="str">
        <f>IF(B140="","",VLOOKUP('従業員情報(給与以外)'!$B140,入力シート!$S$37:$Z$62,5,0))</f>
        <v/>
      </c>
      <c r="P140" s="156" t="str">
        <f>IF(ISNUMBER(C140)=FALSE,"",IF(C140&gt;入力シート!$J$24,"",_xlfn.DAYS(入力シート!$J$24,'従業員情報(給与以外)'!$C140)/365))</f>
        <v/>
      </c>
      <c r="Q140" s="210" t="str">
        <f>IF(P140="","",VLOOKUP(_xlfn.DAYS(入力シート!$J$24,'従業員情報(給与以外)'!$C140)/365,入力リスト!$K$18:$L$26,2,2))</f>
        <v/>
      </c>
      <c r="R140" s="209" t="str">
        <f>IF(D140="","",VLOOKUP('従業員情報(給与以外)'!$D140,入力シート!$AW$37:$BB$38,4,0))</f>
        <v/>
      </c>
      <c r="S140" s="209" t="str">
        <f>IF(A140="","",IF(E140="","非役職",VLOOKUP('従業員情報(給与以外)'!$E140,入力シート!$AH$37:$AO$62,5,0)))</f>
        <v/>
      </c>
      <c r="T140" s="102" t="str">
        <f>IF(OR(入力シート!$C$5&lt;&gt;入力リスト!$C$3,COUNTIF(入力シート!$J$16:$S$23,入力リスト!$H$9)=0),"",IF($A140="","",IF(ISERROR(AVERAGEIF(従業員の給与情報!$B:$B,$A140,従業員の給与情報!$C:$C)),0,IF(ISERROR(AVERAGEIF(従業員の給与情報!$B:$B,$A140,従業員の給与情報!$C:$C)),0,AVERAGEIF(従業員の給与情報!$B:$B,$A140,従業員の給与情報!$C:$C)))))</f>
        <v/>
      </c>
      <c r="U140" s="102" t="str">
        <f>IF(OR(入力シート!$C$5&lt;&gt;入力リスト!$C$3,COUNTIF(入力シート!$J$16:$S$23,入力リスト!$H$9)=0),"",IF(A140="","",IF(ISERROR(AVERAGEIF(従業員の給与情報!$B:$B,$A140,従業員の給与情報!$D:$D)),0,IF(ISERROR(AVERAGEIF(従業員の給与情報!$B:$B,$A140,従業員の給与情報!$D:$D)),0,AVERAGEIF(従業員の給与情報!$B:$B,$A140,従業員の給与情報!$D:$D)))))</f>
        <v/>
      </c>
      <c r="V140" s="102" t="str">
        <f>IF(OR(入力シート!$C$5&lt;&gt;入力リスト!$C$3,COUNTIF(入力シート!$J$16:$S$23,入力リスト!$H$9)=0),"",IF(A140="","",IF(ISERROR(AVERAGEIF(従業員の給与情報!$B:$B,$A140,従業員の給与情報!$E:$E)),0,IF(ISERROR(AVERAGEIF(従業員の給与情報!$B:$B,$A140,従業員の給与情報!$E:$E)),0,AVERAGEIF(従業員の給与情報!$B:$B,$A140,従業員の給与情報!$E:$E)))))</f>
        <v/>
      </c>
      <c r="W140" s="103" t="str">
        <f>IF(OR(入力シート!$C$5&lt;&gt;入力リスト!$C$3,COUNTIF(入力シート!$J$16:$S$23,入力リスト!$H$9)=0),"",IF(A140="","",IF(ISERROR(AVERAGEIF(従業員の給与情報!$B:$B,$A140,従業員の給与情報!$F:$F)),0,IF(ISERROR(AVERAGEIF(従業員の給与情報!$B:$B,$A140,従業員の給与情報!$F:$F)),0,AVERAGEIF(従業員の給与情報!$B:$B,$A140,従業員の給与情報!$F:$F)))))</f>
        <v/>
      </c>
    </row>
    <row r="141" spans="1:23" s="10" customFormat="1" ht="19.8">
      <c r="A141" s="252"/>
      <c r="B141" s="249"/>
      <c r="C141" s="250"/>
      <c r="D141" s="251"/>
      <c r="E141" s="252"/>
      <c r="F141" s="257" t="str">
        <f>IF($G$1,"",IF(COUNTIF(A141:E141,"")=5,"",IF(G141,入力リスト!$K$28,IF(OR(A141="",B141="",IF(COUNTIF($C$3,"*不要*"),"",C141=""),D141=""),IF(A141="","従業員番号","")&amp;IF(B141="","「雇用形態」","")&amp;IF(OR(入力シート!$J$18=入力リスト!$H$9,入力シート!$J$22=入力リスト!$H$9),IF(C141="","「入社年月日」",""),"")&amp;IF(D141="","「性別」","")&amp;IF(IF(A141="","従業員番号","")&amp;IF(B141="","「雇用形態」","")&amp;IF(OR(入力シート!$J$18=入力リスト!$H$9,入力シート!$J$22=入力リスト!$H$9),IF(C141="","「入社年月日」",""),"")&amp;IF(D141="","「性別」","")="","",入力リスト!$K$29),IF(J141,入力リスト!$K$30,"")&amp;IF(I141,入力リスト!$K$31,"")&amp;IF(H141,"「雇用形態」","")&amp;IF(K141,"「性別」","")&amp;IF(L141,"「役職」","")&amp;IF(OR(H141,K141,L141),入力リスト!$K$32,"")))))</f>
        <v/>
      </c>
      <c r="G141" s="209" t="b">
        <f>COUNTIF($A$4:A140,$A141)&gt;0</f>
        <v>0</v>
      </c>
      <c r="H141" s="210" t="b">
        <f>IF($H$1,FALSE,COUNTIF(入力シート!$S$37:$V$62,B141)=0)</f>
        <v>0</v>
      </c>
      <c r="I141" s="210" t="b">
        <f t="shared" si="6"/>
        <v>0</v>
      </c>
      <c r="J141" s="210" t="b">
        <f>IF($J$1,FALSE,IF(I141=TRUE,FALSE,IF(I141,FALSE,C141&gt;入力シート!$J$24)))</f>
        <v>0</v>
      </c>
      <c r="K141" s="210" t="b">
        <f>IF($K$1,FALSE,COUNTIF(入力シート!$AW$37:$BB$38,D141)=0)</f>
        <v>0</v>
      </c>
      <c r="L141" s="210" t="b">
        <f>IF($L$1,FALSE,IF($L$3,FALSE,IF(E141="",FALSE,COUNTIF(入力シート!$AH$37:$AK$62,E141)=0)))</f>
        <v>0</v>
      </c>
      <c r="M141" s="211" t="str">
        <f t="shared" si="5"/>
        <v/>
      </c>
      <c r="N141" s="211"/>
      <c r="O141" s="209" t="str">
        <f>IF(B141="","",VLOOKUP('従業員情報(給与以外)'!$B141,入力シート!$S$37:$Z$62,5,0))</f>
        <v/>
      </c>
      <c r="P141" s="156" t="str">
        <f>IF(ISNUMBER(C141)=FALSE,"",IF(C141&gt;入力シート!$J$24,"",_xlfn.DAYS(入力シート!$J$24,'従業員情報(給与以外)'!$C141)/365))</f>
        <v/>
      </c>
      <c r="Q141" s="210" t="str">
        <f>IF(P141="","",VLOOKUP(_xlfn.DAYS(入力シート!$J$24,'従業員情報(給与以外)'!$C141)/365,入力リスト!$K$18:$L$26,2,2))</f>
        <v/>
      </c>
      <c r="R141" s="209" t="str">
        <f>IF(D141="","",VLOOKUP('従業員情報(給与以外)'!$D141,入力シート!$AW$37:$BB$38,4,0))</f>
        <v/>
      </c>
      <c r="S141" s="209" t="str">
        <f>IF(A141="","",IF(E141="","非役職",VLOOKUP('従業員情報(給与以外)'!$E141,入力シート!$AH$37:$AO$62,5,0)))</f>
        <v/>
      </c>
      <c r="T141" s="102" t="str">
        <f>IF(OR(入力シート!$C$5&lt;&gt;入力リスト!$C$3,COUNTIF(入力シート!$J$16:$S$23,入力リスト!$H$9)=0),"",IF($A141="","",IF(ISERROR(AVERAGEIF(従業員の給与情報!$B:$B,$A141,従業員の給与情報!$C:$C)),0,IF(ISERROR(AVERAGEIF(従業員の給与情報!$B:$B,$A141,従業員の給与情報!$C:$C)),0,AVERAGEIF(従業員の給与情報!$B:$B,$A141,従業員の給与情報!$C:$C)))))</f>
        <v/>
      </c>
      <c r="U141" s="102" t="str">
        <f>IF(OR(入力シート!$C$5&lt;&gt;入力リスト!$C$3,COUNTIF(入力シート!$J$16:$S$23,入力リスト!$H$9)=0),"",IF(A141="","",IF(ISERROR(AVERAGEIF(従業員の給与情報!$B:$B,$A141,従業員の給与情報!$D:$D)),0,IF(ISERROR(AVERAGEIF(従業員の給与情報!$B:$B,$A141,従業員の給与情報!$D:$D)),0,AVERAGEIF(従業員の給与情報!$B:$B,$A141,従業員の給与情報!$D:$D)))))</f>
        <v/>
      </c>
      <c r="V141" s="102" t="str">
        <f>IF(OR(入力シート!$C$5&lt;&gt;入力リスト!$C$3,COUNTIF(入力シート!$J$16:$S$23,入力リスト!$H$9)=0),"",IF(A141="","",IF(ISERROR(AVERAGEIF(従業員の給与情報!$B:$B,$A141,従業員の給与情報!$E:$E)),0,IF(ISERROR(AVERAGEIF(従業員の給与情報!$B:$B,$A141,従業員の給与情報!$E:$E)),0,AVERAGEIF(従業員の給与情報!$B:$B,$A141,従業員の給与情報!$E:$E)))))</f>
        <v/>
      </c>
      <c r="W141" s="103" t="str">
        <f>IF(OR(入力シート!$C$5&lt;&gt;入力リスト!$C$3,COUNTIF(入力シート!$J$16:$S$23,入力リスト!$H$9)=0),"",IF(A141="","",IF(ISERROR(AVERAGEIF(従業員の給与情報!$B:$B,$A141,従業員の給与情報!$F:$F)),0,IF(ISERROR(AVERAGEIF(従業員の給与情報!$B:$B,$A141,従業員の給与情報!$F:$F)),0,AVERAGEIF(従業員の給与情報!$B:$B,$A141,従業員の給与情報!$F:$F)))))</f>
        <v/>
      </c>
    </row>
    <row r="142" spans="1:23" s="10" customFormat="1" ht="19.8">
      <c r="A142" s="252"/>
      <c r="B142" s="249"/>
      <c r="C142" s="250"/>
      <c r="D142" s="251"/>
      <c r="E142" s="249"/>
      <c r="F142" s="257" t="str">
        <f>IF($G$1,"",IF(COUNTIF(A142:E142,"")=5,"",IF(G142,入力リスト!$K$28,IF(OR(A142="",B142="",IF(COUNTIF($C$3,"*不要*"),"",C142=""),D142=""),IF(A142="","従業員番号","")&amp;IF(B142="","「雇用形態」","")&amp;IF(OR(入力シート!$J$18=入力リスト!$H$9,入力シート!$J$22=入力リスト!$H$9),IF(C142="","「入社年月日」",""),"")&amp;IF(D142="","「性別」","")&amp;IF(IF(A142="","従業員番号","")&amp;IF(B142="","「雇用形態」","")&amp;IF(OR(入力シート!$J$18=入力リスト!$H$9,入力シート!$J$22=入力リスト!$H$9),IF(C142="","「入社年月日」",""),"")&amp;IF(D142="","「性別」","")="","",入力リスト!$K$29),IF(J142,入力リスト!$K$30,"")&amp;IF(I142,入力リスト!$K$31,"")&amp;IF(H142,"「雇用形態」","")&amp;IF(K142,"「性別」","")&amp;IF(L142,"「役職」","")&amp;IF(OR(H142,K142,L142),入力リスト!$K$32,"")))))</f>
        <v/>
      </c>
      <c r="G142" s="209" t="b">
        <f>COUNTIF($A$4:A141,$A142)&gt;0</f>
        <v>0</v>
      </c>
      <c r="H142" s="210" t="b">
        <f>IF($H$1,FALSE,COUNTIF(入力シート!$S$37:$V$62,B142)=0)</f>
        <v>0</v>
      </c>
      <c r="I142" s="210" t="b">
        <f t="shared" si="6"/>
        <v>0</v>
      </c>
      <c r="J142" s="210" t="b">
        <f>IF($J$1,FALSE,IF(I142=TRUE,FALSE,IF(I142,FALSE,C142&gt;入力シート!$J$24)))</f>
        <v>0</v>
      </c>
      <c r="K142" s="210" t="b">
        <f>IF($K$1,FALSE,COUNTIF(入力シート!$AW$37:$BB$38,D142)=0)</f>
        <v>0</v>
      </c>
      <c r="L142" s="210" t="b">
        <f>IF($L$1,FALSE,IF($L$3,FALSE,IF(E142="",FALSE,COUNTIF(入力シート!$AH$37:$AK$62,E142)=0)))</f>
        <v>0</v>
      </c>
      <c r="M142" s="211" t="str">
        <f t="shared" si="5"/>
        <v/>
      </c>
      <c r="N142" s="211"/>
      <c r="O142" s="209" t="str">
        <f>IF(B142="","",VLOOKUP('従業員情報(給与以外)'!$B142,入力シート!$S$37:$Z$62,5,0))</f>
        <v/>
      </c>
      <c r="P142" s="156" t="str">
        <f>IF(ISNUMBER(C142)=FALSE,"",IF(C142&gt;入力シート!$J$24,"",_xlfn.DAYS(入力シート!$J$24,'従業員情報(給与以外)'!$C142)/365))</f>
        <v/>
      </c>
      <c r="Q142" s="210" t="str">
        <f>IF(P142="","",VLOOKUP(_xlfn.DAYS(入力シート!$J$24,'従業員情報(給与以外)'!$C142)/365,入力リスト!$K$18:$L$26,2,2))</f>
        <v/>
      </c>
      <c r="R142" s="209" t="str">
        <f>IF(D142="","",VLOOKUP('従業員情報(給与以外)'!$D142,入力シート!$AW$37:$BB$38,4,0))</f>
        <v/>
      </c>
      <c r="S142" s="209" t="str">
        <f>IF(A142="","",IF(E142="","非役職",VLOOKUP('従業員情報(給与以外)'!$E142,入力シート!$AH$37:$AO$62,5,0)))</f>
        <v/>
      </c>
      <c r="T142" s="102" t="str">
        <f>IF(OR(入力シート!$C$5&lt;&gt;入力リスト!$C$3,COUNTIF(入力シート!$J$16:$S$23,入力リスト!$H$9)=0),"",IF($A142="","",IF(ISERROR(AVERAGEIF(従業員の給与情報!$B:$B,$A142,従業員の給与情報!$C:$C)),0,IF(ISERROR(AVERAGEIF(従業員の給与情報!$B:$B,$A142,従業員の給与情報!$C:$C)),0,AVERAGEIF(従業員の給与情報!$B:$B,$A142,従業員の給与情報!$C:$C)))))</f>
        <v/>
      </c>
      <c r="U142" s="102" t="str">
        <f>IF(OR(入力シート!$C$5&lt;&gt;入力リスト!$C$3,COUNTIF(入力シート!$J$16:$S$23,入力リスト!$H$9)=0),"",IF(A142="","",IF(ISERROR(AVERAGEIF(従業員の給与情報!$B:$B,$A142,従業員の給与情報!$D:$D)),0,IF(ISERROR(AVERAGEIF(従業員の給与情報!$B:$B,$A142,従業員の給与情報!$D:$D)),0,AVERAGEIF(従業員の給与情報!$B:$B,$A142,従業員の給与情報!$D:$D)))))</f>
        <v/>
      </c>
      <c r="V142" s="102" t="str">
        <f>IF(OR(入力シート!$C$5&lt;&gt;入力リスト!$C$3,COUNTIF(入力シート!$J$16:$S$23,入力リスト!$H$9)=0),"",IF(A142="","",IF(ISERROR(AVERAGEIF(従業員の給与情報!$B:$B,$A142,従業員の給与情報!$E:$E)),0,IF(ISERROR(AVERAGEIF(従業員の給与情報!$B:$B,$A142,従業員の給与情報!$E:$E)),0,AVERAGEIF(従業員の給与情報!$B:$B,$A142,従業員の給与情報!$E:$E)))))</f>
        <v/>
      </c>
      <c r="W142" s="103" t="str">
        <f>IF(OR(入力シート!$C$5&lt;&gt;入力リスト!$C$3,COUNTIF(入力シート!$J$16:$S$23,入力リスト!$H$9)=0),"",IF(A142="","",IF(ISERROR(AVERAGEIF(従業員の給与情報!$B:$B,$A142,従業員の給与情報!$F:$F)),0,IF(ISERROR(AVERAGEIF(従業員の給与情報!$B:$B,$A142,従業員の給与情報!$F:$F)),0,AVERAGEIF(従業員の給与情報!$B:$B,$A142,従業員の給与情報!$F:$F)))))</f>
        <v/>
      </c>
    </row>
    <row r="143" spans="1:23" s="10" customFormat="1" ht="19.8">
      <c r="A143" s="252"/>
      <c r="B143" s="249"/>
      <c r="C143" s="250"/>
      <c r="D143" s="251"/>
      <c r="E143" s="252"/>
      <c r="F143" s="257" t="str">
        <f>IF($G$1,"",IF(COUNTIF(A143:E143,"")=5,"",IF(G143,入力リスト!$K$28,IF(OR(A143="",B143="",IF(COUNTIF($C$3,"*不要*"),"",C143=""),D143=""),IF(A143="","従業員番号","")&amp;IF(B143="","「雇用形態」","")&amp;IF(OR(入力シート!$J$18=入力リスト!$H$9,入力シート!$J$22=入力リスト!$H$9),IF(C143="","「入社年月日」",""),"")&amp;IF(D143="","「性別」","")&amp;IF(IF(A143="","従業員番号","")&amp;IF(B143="","「雇用形態」","")&amp;IF(OR(入力シート!$J$18=入力リスト!$H$9,入力シート!$J$22=入力リスト!$H$9),IF(C143="","「入社年月日」",""),"")&amp;IF(D143="","「性別」","")="","",入力リスト!$K$29),IF(J143,入力リスト!$K$30,"")&amp;IF(I143,入力リスト!$K$31,"")&amp;IF(H143,"「雇用形態」","")&amp;IF(K143,"「性別」","")&amp;IF(L143,"「役職」","")&amp;IF(OR(H143,K143,L143),入力リスト!$K$32,"")))))</f>
        <v/>
      </c>
      <c r="G143" s="209" t="b">
        <f>COUNTIF($A$4:A142,$A143)&gt;0</f>
        <v>0</v>
      </c>
      <c r="H143" s="210" t="b">
        <f>IF($H$1,FALSE,COUNTIF(入力シート!$S$37:$V$62,B143)=0)</f>
        <v>0</v>
      </c>
      <c r="I143" s="210" t="b">
        <f t="shared" si="6"/>
        <v>0</v>
      </c>
      <c r="J143" s="210" t="b">
        <f>IF($J$1,FALSE,IF(I143=TRUE,FALSE,IF(I143,FALSE,C143&gt;入力シート!$J$24)))</f>
        <v>0</v>
      </c>
      <c r="K143" s="210" t="b">
        <f>IF($K$1,FALSE,COUNTIF(入力シート!$AW$37:$BB$38,D143)=0)</f>
        <v>0</v>
      </c>
      <c r="L143" s="210" t="b">
        <f>IF($L$1,FALSE,IF($L$3,FALSE,IF(E143="",FALSE,COUNTIF(入力シート!$AH$37:$AK$62,E143)=0)))</f>
        <v>0</v>
      </c>
      <c r="M143" s="211" t="str">
        <f t="shared" si="5"/>
        <v/>
      </c>
      <c r="N143" s="211"/>
      <c r="O143" s="209" t="str">
        <f>IF(B143="","",VLOOKUP('従業員情報(給与以外)'!$B143,入力シート!$S$37:$Z$62,5,0))</f>
        <v/>
      </c>
      <c r="P143" s="156" t="str">
        <f>IF(ISNUMBER(C143)=FALSE,"",IF(C143&gt;入力シート!$J$24,"",_xlfn.DAYS(入力シート!$J$24,'従業員情報(給与以外)'!$C143)/365))</f>
        <v/>
      </c>
      <c r="Q143" s="210" t="str">
        <f>IF(P143="","",VLOOKUP(_xlfn.DAYS(入力シート!$J$24,'従業員情報(給与以外)'!$C143)/365,入力リスト!$K$18:$L$26,2,2))</f>
        <v/>
      </c>
      <c r="R143" s="209" t="str">
        <f>IF(D143="","",VLOOKUP('従業員情報(給与以外)'!$D143,入力シート!$AW$37:$BB$38,4,0))</f>
        <v/>
      </c>
      <c r="S143" s="209" t="str">
        <f>IF(A143="","",IF(E143="","非役職",VLOOKUP('従業員情報(給与以外)'!$E143,入力シート!$AH$37:$AO$62,5,0)))</f>
        <v/>
      </c>
      <c r="T143" s="102" t="str">
        <f>IF(OR(入力シート!$C$5&lt;&gt;入力リスト!$C$3,COUNTIF(入力シート!$J$16:$S$23,入力リスト!$H$9)=0),"",IF($A143="","",IF(ISERROR(AVERAGEIF(従業員の給与情報!$B:$B,$A143,従業員の給与情報!$C:$C)),0,IF(ISERROR(AVERAGEIF(従業員の給与情報!$B:$B,$A143,従業員の給与情報!$C:$C)),0,AVERAGEIF(従業員の給与情報!$B:$B,$A143,従業員の給与情報!$C:$C)))))</f>
        <v/>
      </c>
      <c r="U143" s="102" t="str">
        <f>IF(OR(入力シート!$C$5&lt;&gt;入力リスト!$C$3,COUNTIF(入力シート!$J$16:$S$23,入力リスト!$H$9)=0),"",IF(A143="","",IF(ISERROR(AVERAGEIF(従業員の給与情報!$B:$B,$A143,従業員の給与情報!$D:$D)),0,IF(ISERROR(AVERAGEIF(従業員の給与情報!$B:$B,$A143,従業員の給与情報!$D:$D)),0,AVERAGEIF(従業員の給与情報!$B:$B,$A143,従業員の給与情報!$D:$D)))))</f>
        <v/>
      </c>
      <c r="V143" s="102" t="str">
        <f>IF(OR(入力シート!$C$5&lt;&gt;入力リスト!$C$3,COUNTIF(入力シート!$J$16:$S$23,入力リスト!$H$9)=0),"",IF(A143="","",IF(ISERROR(AVERAGEIF(従業員の給与情報!$B:$B,$A143,従業員の給与情報!$E:$E)),0,IF(ISERROR(AVERAGEIF(従業員の給与情報!$B:$B,$A143,従業員の給与情報!$E:$E)),0,AVERAGEIF(従業員の給与情報!$B:$B,$A143,従業員の給与情報!$E:$E)))))</f>
        <v/>
      </c>
      <c r="W143" s="103" t="str">
        <f>IF(OR(入力シート!$C$5&lt;&gt;入力リスト!$C$3,COUNTIF(入力シート!$J$16:$S$23,入力リスト!$H$9)=0),"",IF(A143="","",IF(ISERROR(AVERAGEIF(従業員の給与情報!$B:$B,$A143,従業員の給与情報!$F:$F)),0,IF(ISERROR(AVERAGEIF(従業員の給与情報!$B:$B,$A143,従業員の給与情報!$F:$F)),0,AVERAGEIF(従業員の給与情報!$B:$B,$A143,従業員の給与情報!$F:$F)))))</f>
        <v/>
      </c>
    </row>
    <row r="144" spans="1:23" s="10" customFormat="1" ht="19.8">
      <c r="A144" s="252"/>
      <c r="B144" s="249"/>
      <c r="C144" s="250"/>
      <c r="D144" s="251"/>
      <c r="E144" s="249"/>
      <c r="F144" s="257" t="str">
        <f>IF($G$1,"",IF(COUNTIF(A144:E144,"")=5,"",IF(G144,入力リスト!$K$28,IF(OR(A144="",B144="",IF(COUNTIF($C$3,"*不要*"),"",C144=""),D144=""),IF(A144="","従業員番号","")&amp;IF(B144="","「雇用形態」","")&amp;IF(OR(入力シート!$J$18=入力リスト!$H$9,入力シート!$J$22=入力リスト!$H$9),IF(C144="","「入社年月日」",""),"")&amp;IF(D144="","「性別」","")&amp;IF(IF(A144="","従業員番号","")&amp;IF(B144="","「雇用形態」","")&amp;IF(OR(入力シート!$J$18=入力リスト!$H$9,入力シート!$J$22=入力リスト!$H$9),IF(C144="","「入社年月日」",""),"")&amp;IF(D144="","「性別」","")="","",入力リスト!$K$29),IF(J144,入力リスト!$K$30,"")&amp;IF(I144,入力リスト!$K$31,"")&amp;IF(H144,"「雇用形態」","")&amp;IF(K144,"「性別」","")&amp;IF(L144,"「役職」","")&amp;IF(OR(H144,K144,L144),入力リスト!$K$32,"")))))</f>
        <v/>
      </c>
      <c r="G144" s="209" t="b">
        <f>COUNTIF($A$4:A143,$A144)&gt;0</f>
        <v>0</v>
      </c>
      <c r="H144" s="210" t="b">
        <f>IF($H$1,FALSE,COUNTIF(入力シート!$S$37:$V$62,B144)=0)</f>
        <v>0</v>
      </c>
      <c r="I144" s="210" t="b">
        <f t="shared" si="6"/>
        <v>0</v>
      </c>
      <c r="J144" s="210" t="b">
        <f>IF($J$1,FALSE,IF(I144=TRUE,FALSE,IF(I144,FALSE,C144&gt;入力シート!$J$24)))</f>
        <v>0</v>
      </c>
      <c r="K144" s="210" t="b">
        <f>IF($K$1,FALSE,COUNTIF(入力シート!$AW$37:$BB$38,D144)=0)</f>
        <v>0</v>
      </c>
      <c r="L144" s="210" t="b">
        <f>IF($L$1,FALSE,IF($L$3,FALSE,IF(E144="",FALSE,COUNTIF(入力シート!$AH$37:$AK$62,E144)=0)))</f>
        <v>0</v>
      </c>
      <c r="M144" s="211" t="str">
        <f t="shared" si="5"/>
        <v/>
      </c>
      <c r="N144" s="211"/>
      <c r="O144" s="209" t="str">
        <f>IF(B144="","",VLOOKUP('従業員情報(給与以外)'!$B144,入力シート!$S$37:$Z$62,5,0))</f>
        <v/>
      </c>
      <c r="P144" s="156" t="str">
        <f>IF(ISNUMBER(C144)=FALSE,"",IF(C144&gt;入力シート!$J$24,"",_xlfn.DAYS(入力シート!$J$24,'従業員情報(給与以外)'!$C144)/365))</f>
        <v/>
      </c>
      <c r="Q144" s="210" t="str">
        <f>IF(P144="","",VLOOKUP(_xlfn.DAYS(入力シート!$J$24,'従業員情報(給与以外)'!$C144)/365,入力リスト!$K$18:$L$26,2,2))</f>
        <v/>
      </c>
      <c r="R144" s="209" t="str">
        <f>IF(D144="","",VLOOKUP('従業員情報(給与以外)'!$D144,入力シート!$AW$37:$BB$38,4,0))</f>
        <v/>
      </c>
      <c r="S144" s="209" t="str">
        <f>IF(A144="","",IF(E144="","非役職",VLOOKUP('従業員情報(給与以外)'!$E144,入力シート!$AH$37:$AO$62,5,0)))</f>
        <v/>
      </c>
      <c r="T144" s="102" t="str">
        <f>IF(OR(入力シート!$C$5&lt;&gt;入力リスト!$C$3,COUNTIF(入力シート!$J$16:$S$23,入力リスト!$H$9)=0),"",IF($A144="","",IF(ISERROR(AVERAGEIF(従業員の給与情報!$B:$B,$A144,従業員の給与情報!$C:$C)),0,IF(ISERROR(AVERAGEIF(従業員の給与情報!$B:$B,$A144,従業員の給与情報!$C:$C)),0,AVERAGEIF(従業員の給与情報!$B:$B,$A144,従業員の給与情報!$C:$C)))))</f>
        <v/>
      </c>
      <c r="U144" s="102" t="str">
        <f>IF(OR(入力シート!$C$5&lt;&gt;入力リスト!$C$3,COUNTIF(入力シート!$J$16:$S$23,入力リスト!$H$9)=0),"",IF(A144="","",IF(ISERROR(AVERAGEIF(従業員の給与情報!$B:$B,$A144,従業員の給与情報!$D:$D)),0,IF(ISERROR(AVERAGEIF(従業員の給与情報!$B:$B,$A144,従業員の給与情報!$D:$D)),0,AVERAGEIF(従業員の給与情報!$B:$B,$A144,従業員の給与情報!$D:$D)))))</f>
        <v/>
      </c>
      <c r="V144" s="102" t="str">
        <f>IF(OR(入力シート!$C$5&lt;&gt;入力リスト!$C$3,COUNTIF(入力シート!$J$16:$S$23,入力リスト!$H$9)=0),"",IF(A144="","",IF(ISERROR(AVERAGEIF(従業員の給与情報!$B:$B,$A144,従業員の給与情報!$E:$E)),0,IF(ISERROR(AVERAGEIF(従業員の給与情報!$B:$B,$A144,従業員の給与情報!$E:$E)),0,AVERAGEIF(従業員の給与情報!$B:$B,$A144,従業員の給与情報!$E:$E)))))</f>
        <v/>
      </c>
      <c r="W144" s="103" t="str">
        <f>IF(OR(入力シート!$C$5&lt;&gt;入力リスト!$C$3,COUNTIF(入力シート!$J$16:$S$23,入力リスト!$H$9)=0),"",IF(A144="","",IF(ISERROR(AVERAGEIF(従業員の給与情報!$B:$B,$A144,従業員の給与情報!$F:$F)),0,IF(ISERROR(AVERAGEIF(従業員の給与情報!$B:$B,$A144,従業員の給与情報!$F:$F)),0,AVERAGEIF(従業員の給与情報!$B:$B,$A144,従業員の給与情報!$F:$F)))))</f>
        <v/>
      </c>
    </row>
    <row r="145" spans="1:23" s="10" customFormat="1" ht="19.8">
      <c r="A145" s="252"/>
      <c r="B145" s="249"/>
      <c r="C145" s="250"/>
      <c r="D145" s="251"/>
      <c r="E145" s="249"/>
      <c r="F145" s="257" t="str">
        <f>IF($G$1,"",IF(COUNTIF(A145:E145,"")=5,"",IF(G145,入力リスト!$K$28,IF(OR(A145="",B145="",IF(COUNTIF($C$3,"*不要*"),"",C145=""),D145=""),IF(A145="","従業員番号","")&amp;IF(B145="","「雇用形態」","")&amp;IF(OR(入力シート!$J$18=入力リスト!$H$9,入力シート!$J$22=入力リスト!$H$9),IF(C145="","「入社年月日」",""),"")&amp;IF(D145="","「性別」","")&amp;IF(IF(A145="","従業員番号","")&amp;IF(B145="","「雇用形態」","")&amp;IF(OR(入力シート!$J$18=入力リスト!$H$9,入力シート!$J$22=入力リスト!$H$9),IF(C145="","「入社年月日」",""),"")&amp;IF(D145="","「性別」","")="","",入力リスト!$K$29),IF(J145,入力リスト!$K$30,"")&amp;IF(I145,入力リスト!$K$31,"")&amp;IF(H145,"「雇用形態」","")&amp;IF(K145,"「性別」","")&amp;IF(L145,"「役職」","")&amp;IF(OR(H145,K145,L145),入力リスト!$K$32,"")))))</f>
        <v/>
      </c>
      <c r="G145" s="209" t="b">
        <f>COUNTIF($A$4:A144,$A145)&gt;0</f>
        <v>0</v>
      </c>
      <c r="H145" s="210" t="b">
        <f>IF($H$1,FALSE,COUNTIF(入力シート!$S$37:$V$62,B145)=0)</f>
        <v>0</v>
      </c>
      <c r="I145" s="210" t="b">
        <f t="shared" si="6"/>
        <v>0</v>
      </c>
      <c r="J145" s="210" t="b">
        <f>IF($J$1,FALSE,IF(I145=TRUE,FALSE,IF(I145,FALSE,C145&gt;入力シート!$J$24)))</f>
        <v>0</v>
      </c>
      <c r="K145" s="210" t="b">
        <f>IF($K$1,FALSE,COUNTIF(入力シート!$AW$37:$BB$38,D145)=0)</f>
        <v>0</v>
      </c>
      <c r="L145" s="210" t="b">
        <f>IF($L$1,FALSE,IF($L$3,FALSE,IF(E145="",FALSE,COUNTIF(入力シート!$AH$37:$AK$62,E145)=0)))</f>
        <v>0</v>
      </c>
      <c r="M145" s="211" t="str">
        <f t="shared" si="5"/>
        <v/>
      </c>
      <c r="N145" s="211"/>
      <c r="O145" s="209" t="str">
        <f>IF(B145="","",VLOOKUP('従業員情報(給与以外)'!$B145,入力シート!$S$37:$Z$62,5,0))</f>
        <v/>
      </c>
      <c r="P145" s="156" t="str">
        <f>IF(ISNUMBER(C145)=FALSE,"",IF(C145&gt;入力シート!$J$24,"",_xlfn.DAYS(入力シート!$J$24,'従業員情報(給与以外)'!$C145)/365))</f>
        <v/>
      </c>
      <c r="Q145" s="210" t="str">
        <f>IF(P145="","",VLOOKUP(_xlfn.DAYS(入力シート!$J$24,'従業員情報(給与以外)'!$C145)/365,入力リスト!$K$18:$L$26,2,2))</f>
        <v/>
      </c>
      <c r="R145" s="209" t="str">
        <f>IF(D145="","",VLOOKUP('従業員情報(給与以外)'!$D145,入力シート!$AW$37:$BB$38,4,0))</f>
        <v/>
      </c>
      <c r="S145" s="209" t="str">
        <f>IF(A145="","",IF(E145="","非役職",VLOOKUP('従業員情報(給与以外)'!$E145,入力シート!$AH$37:$AO$62,5,0)))</f>
        <v/>
      </c>
      <c r="T145" s="102" t="str">
        <f>IF(OR(入力シート!$C$5&lt;&gt;入力リスト!$C$3,COUNTIF(入力シート!$J$16:$S$23,入力リスト!$H$9)=0),"",IF($A145="","",IF(ISERROR(AVERAGEIF(従業員の給与情報!$B:$B,$A145,従業員の給与情報!$C:$C)),0,IF(ISERROR(AVERAGEIF(従業員の給与情報!$B:$B,$A145,従業員の給与情報!$C:$C)),0,AVERAGEIF(従業員の給与情報!$B:$B,$A145,従業員の給与情報!$C:$C)))))</f>
        <v/>
      </c>
      <c r="U145" s="102" t="str">
        <f>IF(OR(入力シート!$C$5&lt;&gt;入力リスト!$C$3,COUNTIF(入力シート!$J$16:$S$23,入力リスト!$H$9)=0),"",IF(A145="","",IF(ISERROR(AVERAGEIF(従業員の給与情報!$B:$B,$A145,従業員の給与情報!$D:$D)),0,IF(ISERROR(AVERAGEIF(従業員の給与情報!$B:$B,$A145,従業員の給与情報!$D:$D)),0,AVERAGEIF(従業員の給与情報!$B:$B,$A145,従業員の給与情報!$D:$D)))))</f>
        <v/>
      </c>
      <c r="V145" s="102" t="str">
        <f>IF(OR(入力シート!$C$5&lt;&gt;入力リスト!$C$3,COUNTIF(入力シート!$J$16:$S$23,入力リスト!$H$9)=0),"",IF(A145="","",IF(ISERROR(AVERAGEIF(従業員の給与情報!$B:$B,$A145,従業員の給与情報!$E:$E)),0,IF(ISERROR(AVERAGEIF(従業員の給与情報!$B:$B,$A145,従業員の給与情報!$E:$E)),0,AVERAGEIF(従業員の給与情報!$B:$B,$A145,従業員の給与情報!$E:$E)))))</f>
        <v/>
      </c>
      <c r="W145" s="103" t="str">
        <f>IF(OR(入力シート!$C$5&lt;&gt;入力リスト!$C$3,COUNTIF(入力シート!$J$16:$S$23,入力リスト!$H$9)=0),"",IF(A145="","",IF(ISERROR(AVERAGEIF(従業員の給与情報!$B:$B,$A145,従業員の給与情報!$F:$F)),0,IF(ISERROR(AVERAGEIF(従業員の給与情報!$B:$B,$A145,従業員の給与情報!$F:$F)),0,AVERAGEIF(従業員の給与情報!$B:$B,$A145,従業員の給与情報!$F:$F)))))</f>
        <v/>
      </c>
    </row>
    <row r="146" spans="1:23" s="10" customFormat="1" ht="19.8">
      <c r="A146" s="252"/>
      <c r="B146" s="249"/>
      <c r="C146" s="250"/>
      <c r="D146" s="251"/>
      <c r="E146" s="252"/>
      <c r="F146" s="257" t="str">
        <f>IF($G$1,"",IF(COUNTIF(A146:E146,"")=5,"",IF(G146,入力リスト!$K$28,IF(OR(A146="",B146="",IF(COUNTIF($C$3,"*不要*"),"",C146=""),D146=""),IF(A146="","従業員番号","")&amp;IF(B146="","「雇用形態」","")&amp;IF(OR(入力シート!$J$18=入力リスト!$H$9,入力シート!$J$22=入力リスト!$H$9),IF(C146="","「入社年月日」",""),"")&amp;IF(D146="","「性別」","")&amp;IF(IF(A146="","従業員番号","")&amp;IF(B146="","「雇用形態」","")&amp;IF(OR(入力シート!$J$18=入力リスト!$H$9,入力シート!$J$22=入力リスト!$H$9),IF(C146="","「入社年月日」",""),"")&amp;IF(D146="","「性別」","")="","",入力リスト!$K$29),IF(J146,入力リスト!$K$30,"")&amp;IF(I146,入力リスト!$K$31,"")&amp;IF(H146,"「雇用形態」","")&amp;IF(K146,"「性別」","")&amp;IF(L146,"「役職」","")&amp;IF(OR(H146,K146,L146),入力リスト!$K$32,"")))))</f>
        <v/>
      </c>
      <c r="G146" s="209" t="b">
        <f>COUNTIF($A$4:A145,$A146)&gt;0</f>
        <v>0</v>
      </c>
      <c r="H146" s="210" t="b">
        <f>IF($H$1,FALSE,COUNTIF(入力シート!$S$37:$V$62,B146)=0)</f>
        <v>0</v>
      </c>
      <c r="I146" s="210" t="b">
        <f t="shared" si="6"/>
        <v>0</v>
      </c>
      <c r="J146" s="210" t="b">
        <f>IF($J$1,FALSE,IF(I146=TRUE,FALSE,IF(I146,FALSE,C146&gt;入力シート!$J$24)))</f>
        <v>0</v>
      </c>
      <c r="K146" s="210" t="b">
        <f>IF($K$1,FALSE,COUNTIF(入力シート!$AW$37:$BB$38,D146)=0)</f>
        <v>0</v>
      </c>
      <c r="L146" s="210" t="b">
        <f>IF($L$1,FALSE,IF($L$3,FALSE,IF(E146="",FALSE,COUNTIF(入力シート!$AH$37:$AK$62,E146)=0)))</f>
        <v>0</v>
      </c>
      <c r="M146" s="211" t="str">
        <f t="shared" si="5"/>
        <v/>
      </c>
      <c r="N146" s="211"/>
      <c r="O146" s="209" t="str">
        <f>IF(B146="","",VLOOKUP('従業員情報(給与以外)'!$B146,入力シート!$S$37:$Z$62,5,0))</f>
        <v/>
      </c>
      <c r="P146" s="156" t="str">
        <f>IF(ISNUMBER(C146)=FALSE,"",IF(C146&gt;入力シート!$J$24,"",_xlfn.DAYS(入力シート!$J$24,'従業員情報(給与以外)'!$C146)/365))</f>
        <v/>
      </c>
      <c r="Q146" s="210" t="str">
        <f>IF(P146="","",VLOOKUP(_xlfn.DAYS(入力シート!$J$24,'従業員情報(給与以外)'!$C146)/365,入力リスト!$K$18:$L$26,2,2))</f>
        <v/>
      </c>
      <c r="R146" s="209" t="str">
        <f>IF(D146="","",VLOOKUP('従業員情報(給与以外)'!$D146,入力シート!$AW$37:$BB$38,4,0))</f>
        <v/>
      </c>
      <c r="S146" s="209" t="str">
        <f>IF(A146="","",IF(E146="","非役職",VLOOKUP('従業員情報(給与以外)'!$E146,入力シート!$AH$37:$AO$62,5,0)))</f>
        <v/>
      </c>
      <c r="T146" s="102" t="str">
        <f>IF(OR(入力シート!$C$5&lt;&gt;入力リスト!$C$3,COUNTIF(入力シート!$J$16:$S$23,入力リスト!$H$9)=0),"",IF($A146="","",IF(ISERROR(AVERAGEIF(従業員の給与情報!$B:$B,$A146,従業員の給与情報!$C:$C)),0,IF(ISERROR(AVERAGEIF(従業員の給与情報!$B:$B,$A146,従業員の給与情報!$C:$C)),0,AVERAGEIF(従業員の給与情報!$B:$B,$A146,従業員の給与情報!$C:$C)))))</f>
        <v/>
      </c>
      <c r="U146" s="102" t="str">
        <f>IF(OR(入力シート!$C$5&lt;&gt;入力リスト!$C$3,COUNTIF(入力シート!$J$16:$S$23,入力リスト!$H$9)=0),"",IF(A146="","",IF(ISERROR(AVERAGEIF(従業員の給与情報!$B:$B,$A146,従業員の給与情報!$D:$D)),0,IF(ISERROR(AVERAGEIF(従業員の給与情報!$B:$B,$A146,従業員の給与情報!$D:$D)),0,AVERAGEIF(従業員の給与情報!$B:$B,$A146,従業員の給与情報!$D:$D)))))</f>
        <v/>
      </c>
      <c r="V146" s="102" t="str">
        <f>IF(OR(入力シート!$C$5&lt;&gt;入力リスト!$C$3,COUNTIF(入力シート!$J$16:$S$23,入力リスト!$H$9)=0),"",IF(A146="","",IF(ISERROR(AVERAGEIF(従業員の給与情報!$B:$B,$A146,従業員の給与情報!$E:$E)),0,IF(ISERROR(AVERAGEIF(従業員の給与情報!$B:$B,$A146,従業員の給与情報!$E:$E)),0,AVERAGEIF(従業員の給与情報!$B:$B,$A146,従業員の給与情報!$E:$E)))))</f>
        <v/>
      </c>
      <c r="W146" s="103" t="str">
        <f>IF(OR(入力シート!$C$5&lt;&gt;入力リスト!$C$3,COUNTIF(入力シート!$J$16:$S$23,入力リスト!$H$9)=0),"",IF(A146="","",IF(ISERROR(AVERAGEIF(従業員の給与情報!$B:$B,$A146,従業員の給与情報!$F:$F)),0,IF(ISERROR(AVERAGEIF(従業員の給与情報!$B:$B,$A146,従業員の給与情報!$F:$F)),0,AVERAGEIF(従業員の給与情報!$B:$B,$A146,従業員の給与情報!$F:$F)))))</f>
        <v/>
      </c>
    </row>
    <row r="147" spans="1:23" s="10" customFormat="1" ht="19.8">
      <c r="A147" s="252"/>
      <c r="B147" s="249"/>
      <c r="C147" s="250"/>
      <c r="D147" s="251"/>
      <c r="E147" s="249"/>
      <c r="F147" s="257" t="str">
        <f>IF($G$1,"",IF(COUNTIF(A147:E147,"")=5,"",IF(G147,入力リスト!$K$28,IF(OR(A147="",B147="",IF(COUNTIF($C$3,"*不要*"),"",C147=""),D147=""),IF(A147="","従業員番号","")&amp;IF(B147="","「雇用形態」","")&amp;IF(OR(入力シート!$J$18=入力リスト!$H$9,入力シート!$J$22=入力リスト!$H$9),IF(C147="","「入社年月日」",""),"")&amp;IF(D147="","「性別」","")&amp;IF(IF(A147="","従業員番号","")&amp;IF(B147="","「雇用形態」","")&amp;IF(OR(入力シート!$J$18=入力リスト!$H$9,入力シート!$J$22=入力リスト!$H$9),IF(C147="","「入社年月日」",""),"")&amp;IF(D147="","「性別」","")="","",入力リスト!$K$29),IF(J147,入力リスト!$K$30,"")&amp;IF(I147,入力リスト!$K$31,"")&amp;IF(H147,"「雇用形態」","")&amp;IF(K147,"「性別」","")&amp;IF(L147,"「役職」","")&amp;IF(OR(H147,K147,L147),入力リスト!$K$32,"")))))</f>
        <v/>
      </c>
      <c r="G147" s="209" t="b">
        <f>COUNTIF($A$4:A146,$A147)&gt;0</f>
        <v>0</v>
      </c>
      <c r="H147" s="210" t="b">
        <f>IF($H$1,FALSE,COUNTIF(入力シート!$S$37:$V$62,B147)=0)</f>
        <v>0</v>
      </c>
      <c r="I147" s="210" t="b">
        <f t="shared" si="6"/>
        <v>0</v>
      </c>
      <c r="J147" s="210" t="b">
        <f>IF($J$1,FALSE,IF(I147=TRUE,FALSE,IF(I147,FALSE,C147&gt;入力シート!$J$24)))</f>
        <v>0</v>
      </c>
      <c r="K147" s="210" t="b">
        <f>IF($K$1,FALSE,COUNTIF(入力シート!$AW$37:$BB$38,D147)=0)</f>
        <v>0</v>
      </c>
      <c r="L147" s="210" t="b">
        <f>IF($L$1,FALSE,IF($L$3,FALSE,IF(E147="",FALSE,COUNTIF(入力シート!$AH$37:$AK$62,E147)=0)))</f>
        <v>0</v>
      </c>
      <c r="M147" s="211" t="str">
        <f t="shared" si="5"/>
        <v/>
      </c>
      <c r="N147" s="211"/>
      <c r="O147" s="209" t="str">
        <f>IF(B147="","",VLOOKUP('従業員情報(給与以外)'!$B147,入力シート!$S$37:$Z$62,5,0))</f>
        <v/>
      </c>
      <c r="P147" s="156" t="str">
        <f>IF(ISNUMBER(C147)=FALSE,"",IF(C147&gt;入力シート!$J$24,"",_xlfn.DAYS(入力シート!$J$24,'従業員情報(給与以外)'!$C147)/365))</f>
        <v/>
      </c>
      <c r="Q147" s="210" t="str">
        <f>IF(P147="","",VLOOKUP(_xlfn.DAYS(入力シート!$J$24,'従業員情報(給与以外)'!$C147)/365,入力リスト!$K$18:$L$26,2,2))</f>
        <v/>
      </c>
      <c r="R147" s="209" t="str">
        <f>IF(D147="","",VLOOKUP('従業員情報(給与以外)'!$D147,入力シート!$AW$37:$BB$38,4,0))</f>
        <v/>
      </c>
      <c r="S147" s="209" t="str">
        <f>IF(A147="","",IF(E147="","非役職",VLOOKUP('従業員情報(給与以外)'!$E147,入力シート!$AH$37:$AO$62,5,0)))</f>
        <v/>
      </c>
      <c r="T147" s="102" t="str">
        <f>IF(OR(入力シート!$C$5&lt;&gt;入力リスト!$C$3,COUNTIF(入力シート!$J$16:$S$23,入力リスト!$H$9)=0),"",IF($A147="","",IF(ISERROR(AVERAGEIF(従業員の給与情報!$B:$B,$A147,従業員の給与情報!$C:$C)),0,IF(ISERROR(AVERAGEIF(従業員の給与情報!$B:$B,$A147,従業員の給与情報!$C:$C)),0,AVERAGEIF(従業員の給与情報!$B:$B,$A147,従業員の給与情報!$C:$C)))))</f>
        <v/>
      </c>
      <c r="U147" s="102" t="str">
        <f>IF(OR(入力シート!$C$5&lt;&gt;入力リスト!$C$3,COUNTIF(入力シート!$J$16:$S$23,入力リスト!$H$9)=0),"",IF(A147="","",IF(ISERROR(AVERAGEIF(従業員の給与情報!$B:$B,$A147,従業員の給与情報!$D:$D)),0,IF(ISERROR(AVERAGEIF(従業員の給与情報!$B:$B,$A147,従業員の給与情報!$D:$D)),0,AVERAGEIF(従業員の給与情報!$B:$B,$A147,従業員の給与情報!$D:$D)))))</f>
        <v/>
      </c>
      <c r="V147" s="102" t="str">
        <f>IF(OR(入力シート!$C$5&lt;&gt;入力リスト!$C$3,COUNTIF(入力シート!$J$16:$S$23,入力リスト!$H$9)=0),"",IF(A147="","",IF(ISERROR(AVERAGEIF(従業員の給与情報!$B:$B,$A147,従業員の給与情報!$E:$E)),0,IF(ISERROR(AVERAGEIF(従業員の給与情報!$B:$B,$A147,従業員の給与情報!$E:$E)),0,AVERAGEIF(従業員の給与情報!$B:$B,$A147,従業員の給与情報!$E:$E)))))</f>
        <v/>
      </c>
      <c r="W147" s="103" t="str">
        <f>IF(OR(入力シート!$C$5&lt;&gt;入力リスト!$C$3,COUNTIF(入力シート!$J$16:$S$23,入力リスト!$H$9)=0),"",IF(A147="","",IF(ISERROR(AVERAGEIF(従業員の給与情報!$B:$B,$A147,従業員の給与情報!$F:$F)),0,IF(ISERROR(AVERAGEIF(従業員の給与情報!$B:$B,$A147,従業員の給与情報!$F:$F)),0,AVERAGEIF(従業員の給与情報!$B:$B,$A147,従業員の給与情報!$F:$F)))))</f>
        <v/>
      </c>
    </row>
    <row r="148" spans="1:23" s="10" customFormat="1" ht="19.8">
      <c r="A148" s="252"/>
      <c r="B148" s="249"/>
      <c r="C148" s="250"/>
      <c r="D148" s="251"/>
      <c r="E148" s="252"/>
      <c r="F148" s="257" t="str">
        <f>IF($G$1,"",IF(COUNTIF(A148:E148,"")=5,"",IF(G148,入力リスト!$K$28,IF(OR(A148="",B148="",IF(COUNTIF($C$3,"*不要*"),"",C148=""),D148=""),IF(A148="","従業員番号","")&amp;IF(B148="","「雇用形態」","")&amp;IF(OR(入力シート!$J$18=入力リスト!$H$9,入力シート!$J$22=入力リスト!$H$9),IF(C148="","「入社年月日」",""),"")&amp;IF(D148="","「性別」","")&amp;IF(IF(A148="","従業員番号","")&amp;IF(B148="","「雇用形態」","")&amp;IF(OR(入力シート!$J$18=入力リスト!$H$9,入力シート!$J$22=入力リスト!$H$9),IF(C148="","「入社年月日」",""),"")&amp;IF(D148="","「性別」","")="","",入力リスト!$K$29),IF(J148,入力リスト!$K$30,"")&amp;IF(I148,入力リスト!$K$31,"")&amp;IF(H148,"「雇用形態」","")&amp;IF(K148,"「性別」","")&amp;IF(L148,"「役職」","")&amp;IF(OR(H148,K148,L148),入力リスト!$K$32,"")))))</f>
        <v/>
      </c>
      <c r="G148" s="209" t="b">
        <f>COUNTIF($A$4:A147,$A148)&gt;0</f>
        <v>0</v>
      </c>
      <c r="H148" s="210" t="b">
        <f>IF($H$1,FALSE,COUNTIF(入力シート!$S$37:$V$62,B148)=0)</f>
        <v>0</v>
      </c>
      <c r="I148" s="210" t="b">
        <f t="shared" si="6"/>
        <v>0</v>
      </c>
      <c r="J148" s="210" t="b">
        <f>IF($J$1,FALSE,IF(I148=TRUE,FALSE,IF(I148,FALSE,C148&gt;入力シート!$J$24)))</f>
        <v>0</v>
      </c>
      <c r="K148" s="210" t="b">
        <f>IF($K$1,FALSE,COUNTIF(入力シート!$AW$37:$BB$38,D148)=0)</f>
        <v>0</v>
      </c>
      <c r="L148" s="210" t="b">
        <f>IF($L$1,FALSE,IF($L$3,FALSE,IF(E148="",FALSE,COUNTIF(入力シート!$AH$37:$AK$62,E148)=0)))</f>
        <v>0</v>
      </c>
      <c r="M148" s="211" t="str">
        <f t="shared" si="5"/>
        <v/>
      </c>
      <c r="N148" s="211"/>
      <c r="O148" s="209" t="str">
        <f>IF(B148="","",VLOOKUP('従業員情報(給与以外)'!$B148,入力シート!$S$37:$Z$62,5,0))</f>
        <v/>
      </c>
      <c r="P148" s="156" t="str">
        <f>IF(ISNUMBER(C148)=FALSE,"",IF(C148&gt;入力シート!$J$24,"",_xlfn.DAYS(入力シート!$J$24,'従業員情報(給与以外)'!$C148)/365))</f>
        <v/>
      </c>
      <c r="Q148" s="210" t="str">
        <f>IF(P148="","",VLOOKUP(_xlfn.DAYS(入力シート!$J$24,'従業員情報(給与以外)'!$C148)/365,入力リスト!$K$18:$L$26,2,2))</f>
        <v/>
      </c>
      <c r="R148" s="209" t="str">
        <f>IF(D148="","",VLOOKUP('従業員情報(給与以外)'!$D148,入力シート!$AW$37:$BB$38,4,0))</f>
        <v/>
      </c>
      <c r="S148" s="209" t="str">
        <f>IF(A148="","",IF(E148="","非役職",VLOOKUP('従業員情報(給与以外)'!$E148,入力シート!$AH$37:$AO$62,5,0)))</f>
        <v/>
      </c>
      <c r="T148" s="102" t="str">
        <f>IF(OR(入力シート!$C$5&lt;&gt;入力リスト!$C$3,COUNTIF(入力シート!$J$16:$S$23,入力リスト!$H$9)=0),"",IF($A148="","",IF(ISERROR(AVERAGEIF(従業員の給与情報!$B:$B,$A148,従業員の給与情報!$C:$C)),0,IF(ISERROR(AVERAGEIF(従業員の給与情報!$B:$B,$A148,従業員の給与情報!$C:$C)),0,AVERAGEIF(従業員の給与情報!$B:$B,$A148,従業員の給与情報!$C:$C)))))</f>
        <v/>
      </c>
      <c r="U148" s="102" t="str">
        <f>IF(OR(入力シート!$C$5&lt;&gt;入力リスト!$C$3,COUNTIF(入力シート!$J$16:$S$23,入力リスト!$H$9)=0),"",IF(A148="","",IF(ISERROR(AVERAGEIF(従業員の給与情報!$B:$B,$A148,従業員の給与情報!$D:$D)),0,IF(ISERROR(AVERAGEIF(従業員の給与情報!$B:$B,$A148,従業員の給与情報!$D:$D)),0,AVERAGEIF(従業員の給与情報!$B:$B,$A148,従業員の給与情報!$D:$D)))))</f>
        <v/>
      </c>
      <c r="V148" s="102" t="str">
        <f>IF(OR(入力シート!$C$5&lt;&gt;入力リスト!$C$3,COUNTIF(入力シート!$J$16:$S$23,入力リスト!$H$9)=0),"",IF(A148="","",IF(ISERROR(AVERAGEIF(従業員の給与情報!$B:$B,$A148,従業員の給与情報!$E:$E)),0,IF(ISERROR(AVERAGEIF(従業員の給与情報!$B:$B,$A148,従業員の給与情報!$E:$E)),0,AVERAGEIF(従業員の給与情報!$B:$B,$A148,従業員の給与情報!$E:$E)))))</f>
        <v/>
      </c>
      <c r="W148" s="103" t="str">
        <f>IF(OR(入力シート!$C$5&lt;&gt;入力リスト!$C$3,COUNTIF(入力シート!$J$16:$S$23,入力リスト!$H$9)=0),"",IF(A148="","",IF(ISERROR(AVERAGEIF(従業員の給与情報!$B:$B,$A148,従業員の給与情報!$F:$F)),0,IF(ISERROR(AVERAGEIF(従業員の給与情報!$B:$B,$A148,従業員の給与情報!$F:$F)),0,AVERAGEIF(従業員の給与情報!$B:$B,$A148,従業員の給与情報!$F:$F)))))</f>
        <v/>
      </c>
    </row>
    <row r="149" spans="1:23" s="10" customFormat="1" ht="19.8">
      <c r="A149" s="252"/>
      <c r="B149" s="249"/>
      <c r="C149" s="250"/>
      <c r="D149" s="251"/>
      <c r="E149" s="252"/>
      <c r="F149" s="257" t="str">
        <f>IF($G$1,"",IF(COUNTIF(A149:E149,"")=5,"",IF(G149,入力リスト!$K$28,IF(OR(A149="",B149="",IF(COUNTIF($C$3,"*不要*"),"",C149=""),D149=""),IF(A149="","従業員番号","")&amp;IF(B149="","「雇用形態」","")&amp;IF(OR(入力シート!$J$18=入力リスト!$H$9,入力シート!$J$22=入力リスト!$H$9),IF(C149="","「入社年月日」",""),"")&amp;IF(D149="","「性別」","")&amp;IF(IF(A149="","従業員番号","")&amp;IF(B149="","「雇用形態」","")&amp;IF(OR(入力シート!$J$18=入力リスト!$H$9,入力シート!$J$22=入力リスト!$H$9),IF(C149="","「入社年月日」",""),"")&amp;IF(D149="","「性別」","")="","",入力リスト!$K$29),IF(J149,入力リスト!$K$30,"")&amp;IF(I149,入力リスト!$K$31,"")&amp;IF(H149,"「雇用形態」","")&amp;IF(K149,"「性別」","")&amp;IF(L149,"「役職」","")&amp;IF(OR(H149,K149,L149),入力リスト!$K$32,"")))))</f>
        <v/>
      </c>
      <c r="G149" s="209" t="b">
        <f>COUNTIF($A$4:A148,$A149)&gt;0</f>
        <v>0</v>
      </c>
      <c r="H149" s="210" t="b">
        <f>IF($H$1,FALSE,COUNTIF(入力シート!$S$37:$V$62,B149)=0)</f>
        <v>0</v>
      </c>
      <c r="I149" s="210" t="b">
        <f t="shared" si="6"/>
        <v>0</v>
      </c>
      <c r="J149" s="210" t="b">
        <f>IF($J$1,FALSE,IF(I149=TRUE,FALSE,IF(I149,FALSE,C149&gt;入力シート!$J$24)))</f>
        <v>0</v>
      </c>
      <c r="K149" s="210" t="b">
        <f>IF($K$1,FALSE,COUNTIF(入力シート!$AW$37:$BB$38,D149)=0)</f>
        <v>0</v>
      </c>
      <c r="L149" s="210" t="b">
        <f>IF($L$1,FALSE,IF($L$3,FALSE,IF(E149="",FALSE,COUNTIF(入力シート!$AH$37:$AK$62,E149)=0)))</f>
        <v>0</v>
      </c>
      <c r="M149" s="211" t="str">
        <f t="shared" si="5"/>
        <v/>
      </c>
      <c r="N149" s="211"/>
      <c r="O149" s="209" t="str">
        <f>IF(B149="","",VLOOKUP('従業員情報(給与以外)'!$B149,入力シート!$S$37:$Z$62,5,0))</f>
        <v/>
      </c>
      <c r="P149" s="156" t="str">
        <f>IF(ISNUMBER(C149)=FALSE,"",IF(C149&gt;入力シート!$J$24,"",_xlfn.DAYS(入力シート!$J$24,'従業員情報(給与以外)'!$C149)/365))</f>
        <v/>
      </c>
      <c r="Q149" s="210" t="str">
        <f>IF(P149="","",VLOOKUP(_xlfn.DAYS(入力シート!$J$24,'従業員情報(給与以外)'!$C149)/365,入力リスト!$K$18:$L$26,2,2))</f>
        <v/>
      </c>
      <c r="R149" s="209" t="str">
        <f>IF(D149="","",VLOOKUP('従業員情報(給与以外)'!$D149,入力シート!$AW$37:$BB$38,4,0))</f>
        <v/>
      </c>
      <c r="S149" s="209" t="str">
        <f>IF(A149="","",IF(E149="","非役職",VLOOKUP('従業員情報(給与以外)'!$E149,入力シート!$AH$37:$AO$62,5,0)))</f>
        <v/>
      </c>
      <c r="T149" s="102" t="str">
        <f>IF(OR(入力シート!$C$5&lt;&gt;入力リスト!$C$3,COUNTIF(入力シート!$J$16:$S$23,入力リスト!$H$9)=0),"",IF($A149="","",IF(ISERROR(AVERAGEIF(従業員の給与情報!$B:$B,$A149,従業員の給与情報!$C:$C)),0,IF(ISERROR(AVERAGEIF(従業員の給与情報!$B:$B,$A149,従業員の給与情報!$C:$C)),0,AVERAGEIF(従業員の給与情報!$B:$B,$A149,従業員の給与情報!$C:$C)))))</f>
        <v/>
      </c>
      <c r="U149" s="102" t="str">
        <f>IF(OR(入力シート!$C$5&lt;&gt;入力リスト!$C$3,COUNTIF(入力シート!$J$16:$S$23,入力リスト!$H$9)=0),"",IF(A149="","",IF(ISERROR(AVERAGEIF(従業員の給与情報!$B:$B,$A149,従業員の給与情報!$D:$D)),0,IF(ISERROR(AVERAGEIF(従業員の給与情報!$B:$B,$A149,従業員の給与情報!$D:$D)),0,AVERAGEIF(従業員の給与情報!$B:$B,$A149,従業員の給与情報!$D:$D)))))</f>
        <v/>
      </c>
      <c r="V149" s="102" t="str">
        <f>IF(OR(入力シート!$C$5&lt;&gt;入力リスト!$C$3,COUNTIF(入力シート!$J$16:$S$23,入力リスト!$H$9)=0),"",IF(A149="","",IF(ISERROR(AVERAGEIF(従業員の給与情報!$B:$B,$A149,従業員の給与情報!$E:$E)),0,IF(ISERROR(AVERAGEIF(従業員の給与情報!$B:$B,$A149,従業員の給与情報!$E:$E)),0,AVERAGEIF(従業員の給与情報!$B:$B,$A149,従業員の給与情報!$E:$E)))))</f>
        <v/>
      </c>
      <c r="W149" s="103" t="str">
        <f>IF(OR(入力シート!$C$5&lt;&gt;入力リスト!$C$3,COUNTIF(入力シート!$J$16:$S$23,入力リスト!$H$9)=0),"",IF(A149="","",IF(ISERROR(AVERAGEIF(従業員の給与情報!$B:$B,$A149,従業員の給与情報!$F:$F)),0,IF(ISERROR(AVERAGEIF(従業員の給与情報!$B:$B,$A149,従業員の給与情報!$F:$F)),0,AVERAGEIF(従業員の給与情報!$B:$B,$A149,従業員の給与情報!$F:$F)))))</f>
        <v/>
      </c>
    </row>
    <row r="150" spans="1:23" s="10" customFormat="1" ht="19.8">
      <c r="A150" s="252"/>
      <c r="B150" s="249"/>
      <c r="C150" s="250"/>
      <c r="D150" s="251"/>
      <c r="E150" s="249"/>
      <c r="F150" s="257" t="str">
        <f>IF($G$1,"",IF(COUNTIF(A150:E150,"")=5,"",IF(G150,入力リスト!$K$28,IF(OR(A150="",B150="",IF(COUNTIF($C$3,"*不要*"),"",C150=""),D150=""),IF(A150="","従業員番号","")&amp;IF(B150="","「雇用形態」","")&amp;IF(OR(入力シート!$J$18=入力リスト!$H$9,入力シート!$J$22=入力リスト!$H$9),IF(C150="","「入社年月日」",""),"")&amp;IF(D150="","「性別」","")&amp;IF(IF(A150="","従業員番号","")&amp;IF(B150="","「雇用形態」","")&amp;IF(OR(入力シート!$J$18=入力リスト!$H$9,入力シート!$J$22=入力リスト!$H$9),IF(C150="","「入社年月日」",""),"")&amp;IF(D150="","「性別」","")="","",入力リスト!$K$29),IF(J150,入力リスト!$K$30,"")&amp;IF(I150,入力リスト!$K$31,"")&amp;IF(H150,"「雇用形態」","")&amp;IF(K150,"「性別」","")&amp;IF(L150,"「役職」","")&amp;IF(OR(H150,K150,L150),入力リスト!$K$32,"")))))</f>
        <v/>
      </c>
      <c r="G150" s="209" t="b">
        <f>COUNTIF($A$4:A149,$A150)&gt;0</f>
        <v>0</v>
      </c>
      <c r="H150" s="210" t="b">
        <f>IF($H$1,FALSE,COUNTIF(入力シート!$S$37:$V$62,B150)=0)</f>
        <v>0</v>
      </c>
      <c r="I150" s="210" t="b">
        <f t="shared" si="6"/>
        <v>0</v>
      </c>
      <c r="J150" s="210" t="b">
        <f>IF($J$1,FALSE,IF(I150=TRUE,FALSE,IF(I150,FALSE,C150&gt;入力シート!$J$24)))</f>
        <v>0</v>
      </c>
      <c r="K150" s="210" t="b">
        <f>IF($K$1,FALSE,COUNTIF(入力シート!$AW$37:$BB$38,D150)=0)</f>
        <v>0</v>
      </c>
      <c r="L150" s="210" t="b">
        <f>IF($L$1,FALSE,IF($L$3,FALSE,IF(E150="",FALSE,COUNTIF(入力シート!$AH$37:$AK$62,E150)=0)))</f>
        <v>0</v>
      </c>
      <c r="M150" s="211" t="str">
        <f t="shared" si="5"/>
        <v/>
      </c>
      <c r="N150" s="211"/>
      <c r="O150" s="209" t="str">
        <f>IF(B150="","",VLOOKUP('従業員情報(給与以外)'!$B150,入力シート!$S$37:$Z$62,5,0))</f>
        <v/>
      </c>
      <c r="P150" s="156" t="str">
        <f>IF(ISNUMBER(C150)=FALSE,"",IF(C150&gt;入力シート!$J$24,"",_xlfn.DAYS(入力シート!$J$24,'従業員情報(給与以外)'!$C150)/365))</f>
        <v/>
      </c>
      <c r="Q150" s="210" t="str">
        <f>IF(P150="","",VLOOKUP(_xlfn.DAYS(入力シート!$J$24,'従業員情報(給与以外)'!$C150)/365,入力リスト!$K$18:$L$26,2,2))</f>
        <v/>
      </c>
      <c r="R150" s="209" t="str">
        <f>IF(D150="","",VLOOKUP('従業員情報(給与以外)'!$D150,入力シート!$AW$37:$BB$38,4,0))</f>
        <v/>
      </c>
      <c r="S150" s="209" t="str">
        <f>IF(A150="","",IF(E150="","非役職",VLOOKUP('従業員情報(給与以外)'!$E150,入力シート!$AH$37:$AO$62,5,0)))</f>
        <v/>
      </c>
      <c r="T150" s="102" t="str">
        <f>IF(OR(入力シート!$C$5&lt;&gt;入力リスト!$C$3,COUNTIF(入力シート!$J$16:$S$23,入力リスト!$H$9)=0),"",IF($A150="","",IF(ISERROR(AVERAGEIF(従業員の給与情報!$B:$B,$A150,従業員の給与情報!$C:$C)),0,IF(ISERROR(AVERAGEIF(従業員の給与情報!$B:$B,$A150,従業員の給与情報!$C:$C)),0,AVERAGEIF(従業員の給与情報!$B:$B,$A150,従業員の給与情報!$C:$C)))))</f>
        <v/>
      </c>
      <c r="U150" s="102" t="str">
        <f>IF(OR(入力シート!$C$5&lt;&gt;入力リスト!$C$3,COUNTIF(入力シート!$J$16:$S$23,入力リスト!$H$9)=0),"",IF(A150="","",IF(ISERROR(AVERAGEIF(従業員の給与情報!$B:$B,$A150,従業員の給与情報!$D:$D)),0,IF(ISERROR(AVERAGEIF(従業員の給与情報!$B:$B,$A150,従業員の給与情報!$D:$D)),0,AVERAGEIF(従業員の給与情報!$B:$B,$A150,従業員の給与情報!$D:$D)))))</f>
        <v/>
      </c>
      <c r="V150" s="102" t="str">
        <f>IF(OR(入力シート!$C$5&lt;&gt;入力リスト!$C$3,COUNTIF(入力シート!$J$16:$S$23,入力リスト!$H$9)=0),"",IF(A150="","",IF(ISERROR(AVERAGEIF(従業員の給与情報!$B:$B,$A150,従業員の給与情報!$E:$E)),0,IF(ISERROR(AVERAGEIF(従業員の給与情報!$B:$B,$A150,従業員の給与情報!$E:$E)),0,AVERAGEIF(従業員の給与情報!$B:$B,$A150,従業員の給与情報!$E:$E)))))</f>
        <v/>
      </c>
      <c r="W150" s="103" t="str">
        <f>IF(OR(入力シート!$C$5&lt;&gt;入力リスト!$C$3,COUNTIF(入力シート!$J$16:$S$23,入力リスト!$H$9)=0),"",IF(A150="","",IF(ISERROR(AVERAGEIF(従業員の給与情報!$B:$B,$A150,従業員の給与情報!$F:$F)),0,IF(ISERROR(AVERAGEIF(従業員の給与情報!$B:$B,$A150,従業員の給与情報!$F:$F)),0,AVERAGEIF(従業員の給与情報!$B:$B,$A150,従業員の給与情報!$F:$F)))))</f>
        <v/>
      </c>
    </row>
    <row r="151" spans="1:23" s="10" customFormat="1" ht="19.8">
      <c r="A151" s="252"/>
      <c r="B151" s="249"/>
      <c r="C151" s="250"/>
      <c r="D151" s="251"/>
      <c r="E151" s="252"/>
      <c r="F151" s="257" t="str">
        <f>IF($G$1,"",IF(COUNTIF(A151:E151,"")=5,"",IF(G151,入力リスト!$K$28,IF(OR(A151="",B151="",IF(COUNTIF($C$3,"*不要*"),"",C151=""),D151=""),IF(A151="","従業員番号","")&amp;IF(B151="","「雇用形態」","")&amp;IF(OR(入力シート!$J$18=入力リスト!$H$9,入力シート!$J$22=入力リスト!$H$9),IF(C151="","「入社年月日」",""),"")&amp;IF(D151="","「性別」","")&amp;IF(IF(A151="","従業員番号","")&amp;IF(B151="","「雇用形態」","")&amp;IF(OR(入力シート!$J$18=入力リスト!$H$9,入力シート!$J$22=入力リスト!$H$9),IF(C151="","「入社年月日」",""),"")&amp;IF(D151="","「性別」","")="","",入力リスト!$K$29),IF(J151,入力リスト!$K$30,"")&amp;IF(I151,入力リスト!$K$31,"")&amp;IF(H151,"「雇用形態」","")&amp;IF(K151,"「性別」","")&amp;IF(L151,"「役職」","")&amp;IF(OR(H151,K151,L151),入力リスト!$K$32,"")))))</f>
        <v/>
      </c>
      <c r="G151" s="209" t="b">
        <f>COUNTIF($A$4:A150,$A151)&gt;0</f>
        <v>0</v>
      </c>
      <c r="H151" s="210" t="b">
        <f>IF($H$1,FALSE,COUNTIF(入力シート!$S$37:$V$62,B151)=0)</f>
        <v>0</v>
      </c>
      <c r="I151" s="210" t="b">
        <f t="shared" si="6"/>
        <v>0</v>
      </c>
      <c r="J151" s="210" t="b">
        <f>IF($J$1,FALSE,IF(I151=TRUE,FALSE,IF(I151,FALSE,C151&gt;入力シート!$J$24)))</f>
        <v>0</v>
      </c>
      <c r="K151" s="210" t="b">
        <f>IF($K$1,FALSE,COUNTIF(入力シート!$AW$37:$BB$38,D151)=0)</f>
        <v>0</v>
      </c>
      <c r="L151" s="210" t="b">
        <f>IF($L$1,FALSE,IF($L$3,FALSE,IF(E151="",FALSE,COUNTIF(入力シート!$AH$37:$AK$62,E151)=0)))</f>
        <v>0</v>
      </c>
      <c r="M151" s="211" t="str">
        <f t="shared" si="5"/>
        <v/>
      </c>
      <c r="N151" s="211"/>
      <c r="O151" s="209" t="str">
        <f>IF(B151="","",VLOOKUP('従業員情報(給与以外)'!$B151,入力シート!$S$37:$Z$62,5,0))</f>
        <v/>
      </c>
      <c r="P151" s="156" t="str">
        <f>IF(ISNUMBER(C151)=FALSE,"",IF(C151&gt;入力シート!$J$24,"",_xlfn.DAYS(入力シート!$J$24,'従業員情報(給与以外)'!$C151)/365))</f>
        <v/>
      </c>
      <c r="Q151" s="210" t="str">
        <f>IF(P151="","",VLOOKUP(_xlfn.DAYS(入力シート!$J$24,'従業員情報(給与以外)'!$C151)/365,入力リスト!$K$18:$L$26,2,2))</f>
        <v/>
      </c>
      <c r="R151" s="209" t="str">
        <f>IF(D151="","",VLOOKUP('従業員情報(給与以外)'!$D151,入力シート!$AW$37:$BB$38,4,0))</f>
        <v/>
      </c>
      <c r="S151" s="209" t="str">
        <f>IF(A151="","",IF(E151="","非役職",VLOOKUP('従業員情報(給与以外)'!$E151,入力シート!$AH$37:$AO$62,5,0)))</f>
        <v/>
      </c>
      <c r="T151" s="102" t="str">
        <f>IF(OR(入力シート!$C$5&lt;&gt;入力リスト!$C$3,COUNTIF(入力シート!$J$16:$S$23,入力リスト!$H$9)=0),"",IF($A151="","",IF(ISERROR(AVERAGEIF(従業員の給与情報!$B:$B,$A151,従業員の給与情報!$C:$C)),0,IF(ISERROR(AVERAGEIF(従業員の給与情報!$B:$B,$A151,従業員の給与情報!$C:$C)),0,AVERAGEIF(従業員の給与情報!$B:$B,$A151,従業員の給与情報!$C:$C)))))</f>
        <v/>
      </c>
      <c r="U151" s="102" t="str">
        <f>IF(OR(入力シート!$C$5&lt;&gt;入力リスト!$C$3,COUNTIF(入力シート!$J$16:$S$23,入力リスト!$H$9)=0),"",IF(A151="","",IF(ISERROR(AVERAGEIF(従業員の給与情報!$B:$B,$A151,従業員の給与情報!$D:$D)),0,IF(ISERROR(AVERAGEIF(従業員の給与情報!$B:$B,$A151,従業員の給与情報!$D:$D)),0,AVERAGEIF(従業員の給与情報!$B:$B,$A151,従業員の給与情報!$D:$D)))))</f>
        <v/>
      </c>
      <c r="V151" s="102" t="str">
        <f>IF(OR(入力シート!$C$5&lt;&gt;入力リスト!$C$3,COUNTIF(入力シート!$J$16:$S$23,入力リスト!$H$9)=0),"",IF(A151="","",IF(ISERROR(AVERAGEIF(従業員の給与情報!$B:$B,$A151,従業員の給与情報!$E:$E)),0,IF(ISERROR(AVERAGEIF(従業員の給与情報!$B:$B,$A151,従業員の給与情報!$E:$E)),0,AVERAGEIF(従業員の給与情報!$B:$B,$A151,従業員の給与情報!$E:$E)))))</f>
        <v/>
      </c>
      <c r="W151" s="103" t="str">
        <f>IF(OR(入力シート!$C$5&lt;&gt;入力リスト!$C$3,COUNTIF(入力シート!$J$16:$S$23,入力リスト!$H$9)=0),"",IF(A151="","",IF(ISERROR(AVERAGEIF(従業員の給与情報!$B:$B,$A151,従業員の給与情報!$F:$F)),0,IF(ISERROR(AVERAGEIF(従業員の給与情報!$B:$B,$A151,従業員の給与情報!$F:$F)),0,AVERAGEIF(従業員の給与情報!$B:$B,$A151,従業員の給与情報!$F:$F)))))</f>
        <v/>
      </c>
    </row>
    <row r="152" spans="1:23" s="10" customFormat="1" ht="19.8">
      <c r="A152" s="252"/>
      <c r="B152" s="249"/>
      <c r="C152" s="250"/>
      <c r="D152" s="251"/>
      <c r="E152" s="252"/>
      <c r="F152" s="257" t="str">
        <f>IF($G$1,"",IF(COUNTIF(A152:E152,"")=5,"",IF(G152,入力リスト!$K$28,IF(OR(A152="",B152="",IF(COUNTIF($C$3,"*不要*"),"",C152=""),D152=""),IF(A152="","従業員番号","")&amp;IF(B152="","「雇用形態」","")&amp;IF(OR(入力シート!$J$18=入力リスト!$H$9,入力シート!$J$22=入力リスト!$H$9),IF(C152="","「入社年月日」",""),"")&amp;IF(D152="","「性別」","")&amp;IF(IF(A152="","従業員番号","")&amp;IF(B152="","「雇用形態」","")&amp;IF(OR(入力シート!$J$18=入力リスト!$H$9,入力シート!$J$22=入力リスト!$H$9),IF(C152="","「入社年月日」",""),"")&amp;IF(D152="","「性別」","")="","",入力リスト!$K$29),IF(J152,入力リスト!$K$30,"")&amp;IF(I152,入力リスト!$K$31,"")&amp;IF(H152,"「雇用形態」","")&amp;IF(K152,"「性別」","")&amp;IF(L152,"「役職」","")&amp;IF(OR(H152,K152,L152),入力リスト!$K$32,"")))))</f>
        <v/>
      </c>
      <c r="G152" s="209" t="b">
        <f>COUNTIF($A$4:A151,$A152)&gt;0</f>
        <v>0</v>
      </c>
      <c r="H152" s="210" t="b">
        <f>IF($H$1,FALSE,COUNTIF(入力シート!$S$37:$V$62,B152)=0)</f>
        <v>0</v>
      </c>
      <c r="I152" s="210" t="b">
        <f t="shared" si="6"/>
        <v>0</v>
      </c>
      <c r="J152" s="210" t="b">
        <f>IF($J$1,FALSE,IF(I152=TRUE,FALSE,IF(I152,FALSE,C152&gt;入力シート!$J$24)))</f>
        <v>0</v>
      </c>
      <c r="K152" s="210" t="b">
        <f>IF($K$1,FALSE,COUNTIF(入力シート!$AW$37:$BB$38,D152)=0)</f>
        <v>0</v>
      </c>
      <c r="L152" s="210" t="b">
        <f>IF($L$1,FALSE,IF($L$3,FALSE,IF(E152="",FALSE,COUNTIF(入力シート!$AH$37:$AK$62,E152)=0)))</f>
        <v>0</v>
      </c>
      <c r="M152" s="211" t="str">
        <f t="shared" si="5"/>
        <v/>
      </c>
      <c r="N152" s="211"/>
      <c r="O152" s="209" t="str">
        <f>IF(B152="","",VLOOKUP('従業員情報(給与以外)'!$B152,入力シート!$S$37:$Z$62,5,0))</f>
        <v/>
      </c>
      <c r="P152" s="156" t="str">
        <f>IF(ISNUMBER(C152)=FALSE,"",IF(C152&gt;入力シート!$J$24,"",_xlfn.DAYS(入力シート!$J$24,'従業員情報(給与以外)'!$C152)/365))</f>
        <v/>
      </c>
      <c r="Q152" s="210" t="str">
        <f>IF(P152="","",VLOOKUP(_xlfn.DAYS(入力シート!$J$24,'従業員情報(給与以外)'!$C152)/365,入力リスト!$K$18:$L$26,2,2))</f>
        <v/>
      </c>
      <c r="R152" s="209" t="str">
        <f>IF(D152="","",VLOOKUP('従業員情報(給与以外)'!$D152,入力シート!$AW$37:$BB$38,4,0))</f>
        <v/>
      </c>
      <c r="S152" s="209" t="str">
        <f>IF(A152="","",IF(E152="","非役職",VLOOKUP('従業員情報(給与以外)'!$E152,入力シート!$AH$37:$AO$62,5,0)))</f>
        <v/>
      </c>
      <c r="T152" s="102" t="str">
        <f>IF(OR(入力シート!$C$5&lt;&gt;入力リスト!$C$3,COUNTIF(入力シート!$J$16:$S$23,入力リスト!$H$9)=0),"",IF($A152="","",IF(ISERROR(AVERAGEIF(従業員の給与情報!$B:$B,$A152,従業員の給与情報!$C:$C)),0,IF(ISERROR(AVERAGEIF(従業員の給与情報!$B:$B,$A152,従業員の給与情報!$C:$C)),0,AVERAGEIF(従業員の給与情報!$B:$B,$A152,従業員の給与情報!$C:$C)))))</f>
        <v/>
      </c>
      <c r="U152" s="102" t="str">
        <f>IF(OR(入力シート!$C$5&lt;&gt;入力リスト!$C$3,COUNTIF(入力シート!$J$16:$S$23,入力リスト!$H$9)=0),"",IF(A152="","",IF(ISERROR(AVERAGEIF(従業員の給与情報!$B:$B,$A152,従業員の給与情報!$D:$D)),0,IF(ISERROR(AVERAGEIF(従業員の給与情報!$B:$B,$A152,従業員の給与情報!$D:$D)),0,AVERAGEIF(従業員の給与情報!$B:$B,$A152,従業員の給与情報!$D:$D)))))</f>
        <v/>
      </c>
      <c r="V152" s="102" t="str">
        <f>IF(OR(入力シート!$C$5&lt;&gt;入力リスト!$C$3,COUNTIF(入力シート!$J$16:$S$23,入力リスト!$H$9)=0),"",IF(A152="","",IF(ISERROR(AVERAGEIF(従業員の給与情報!$B:$B,$A152,従業員の給与情報!$E:$E)),0,IF(ISERROR(AVERAGEIF(従業員の給与情報!$B:$B,$A152,従業員の給与情報!$E:$E)),0,AVERAGEIF(従業員の給与情報!$B:$B,$A152,従業員の給与情報!$E:$E)))))</f>
        <v/>
      </c>
      <c r="W152" s="103" t="str">
        <f>IF(OR(入力シート!$C$5&lt;&gt;入力リスト!$C$3,COUNTIF(入力シート!$J$16:$S$23,入力リスト!$H$9)=0),"",IF(A152="","",IF(ISERROR(AVERAGEIF(従業員の給与情報!$B:$B,$A152,従業員の給与情報!$F:$F)),0,IF(ISERROR(AVERAGEIF(従業員の給与情報!$B:$B,$A152,従業員の給与情報!$F:$F)),0,AVERAGEIF(従業員の給与情報!$B:$B,$A152,従業員の給与情報!$F:$F)))))</f>
        <v/>
      </c>
    </row>
    <row r="153" spans="1:23" s="10" customFormat="1" ht="19.8">
      <c r="A153" s="252"/>
      <c r="B153" s="249"/>
      <c r="C153" s="250"/>
      <c r="D153" s="251"/>
      <c r="E153" s="252"/>
      <c r="F153" s="257" t="str">
        <f>IF($G$1,"",IF(COUNTIF(A153:E153,"")=5,"",IF(G153,入力リスト!$K$28,IF(OR(A153="",B153="",IF(COUNTIF($C$3,"*不要*"),"",C153=""),D153=""),IF(A153="","従業員番号","")&amp;IF(B153="","「雇用形態」","")&amp;IF(OR(入力シート!$J$18=入力リスト!$H$9,入力シート!$J$22=入力リスト!$H$9),IF(C153="","「入社年月日」",""),"")&amp;IF(D153="","「性別」","")&amp;IF(IF(A153="","従業員番号","")&amp;IF(B153="","「雇用形態」","")&amp;IF(OR(入力シート!$J$18=入力リスト!$H$9,入力シート!$J$22=入力リスト!$H$9),IF(C153="","「入社年月日」",""),"")&amp;IF(D153="","「性別」","")="","",入力リスト!$K$29),IF(J153,入力リスト!$K$30,"")&amp;IF(I153,入力リスト!$K$31,"")&amp;IF(H153,"「雇用形態」","")&amp;IF(K153,"「性別」","")&amp;IF(L153,"「役職」","")&amp;IF(OR(H153,K153,L153),入力リスト!$K$32,"")))))</f>
        <v/>
      </c>
      <c r="G153" s="209" t="b">
        <f>COUNTIF($A$4:A152,$A153)&gt;0</f>
        <v>0</v>
      </c>
      <c r="H153" s="210" t="b">
        <f>IF($H$1,FALSE,COUNTIF(入力シート!$S$37:$V$62,B153)=0)</f>
        <v>0</v>
      </c>
      <c r="I153" s="210" t="b">
        <f t="shared" si="6"/>
        <v>0</v>
      </c>
      <c r="J153" s="210" t="b">
        <f>IF($J$1,FALSE,IF(I153=TRUE,FALSE,IF(I153,FALSE,C153&gt;入力シート!$J$24)))</f>
        <v>0</v>
      </c>
      <c r="K153" s="210" t="b">
        <f>IF($K$1,FALSE,COUNTIF(入力シート!$AW$37:$BB$38,D153)=0)</f>
        <v>0</v>
      </c>
      <c r="L153" s="210" t="b">
        <f>IF($L$1,FALSE,IF($L$3,FALSE,IF(E153="",FALSE,COUNTIF(入力シート!$AH$37:$AK$62,E153)=0)))</f>
        <v>0</v>
      </c>
      <c r="M153" s="211" t="str">
        <f t="shared" si="5"/>
        <v/>
      </c>
      <c r="N153" s="211"/>
      <c r="O153" s="209" t="str">
        <f>IF(B153="","",VLOOKUP('従業員情報(給与以外)'!$B153,入力シート!$S$37:$Z$62,5,0))</f>
        <v/>
      </c>
      <c r="P153" s="156" t="str">
        <f>IF(ISNUMBER(C153)=FALSE,"",IF(C153&gt;入力シート!$J$24,"",_xlfn.DAYS(入力シート!$J$24,'従業員情報(給与以外)'!$C153)/365))</f>
        <v/>
      </c>
      <c r="Q153" s="210" t="str">
        <f>IF(P153="","",VLOOKUP(_xlfn.DAYS(入力シート!$J$24,'従業員情報(給与以外)'!$C153)/365,入力リスト!$K$18:$L$26,2,2))</f>
        <v/>
      </c>
      <c r="R153" s="209" t="str">
        <f>IF(D153="","",VLOOKUP('従業員情報(給与以外)'!$D153,入力シート!$AW$37:$BB$38,4,0))</f>
        <v/>
      </c>
      <c r="S153" s="209" t="str">
        <f>IF(A153="","",IF(E153="","非役職",VLOOKUP('従業員情報(給与以外)'!$E153,入力シート!$AH$37:$AO$62,5,0)))</f>
        <v/>
      </c>
      <c r="T153" s="102" t="str">
        <f>IF(OR(入力シート!$C$5&lt;&gt;入力リスト!$C$3,COUNTIF(入力シート!$J$16:$S$23,入力リスト!$H$9)=0),"",IF($A153="","",IF(ISERROR(AVERAGEIF(従業員の給与情報!$B:$B,$A153,従業員の給与情報!$C:$C)),0,IF(ISERROR(AVERAGEIF(従業員の給与情報!$B:$B,$A153,従業員の給与情報!$C:$C)),0,AVERAGEIF(従業員の給与情報!$B:$B,$A153,従業員の給与情報!$C:$C)))))</f>
        <v/>
      </c>
      <c r="U153" s="102" t="str">
        <f>IF(OR(入力シート!$C$5&lt;&gt;入力リスト!$C$3,COUNTIF(入力シート!$J$16:$S$23,入力リスト!$H$9)=0),"",IF(A153="","",IF(ISERROR(AVERAGEIF(従業員の給与情報!$B:$B,$A153,従業員の給与情報!$D:$D)),0,IF(ISERROR(AVERAGEIF(従業員の給与情報!$B:$B,$A153,従業員の給与情報!$D:$D)),0,AVERAGEIF(従業員の給与情報!$B:$B,$A153,従業員の給与情報!$D:$D)))))</f>
        <v/>
      </c>
      <c r="V153" s="102" t="str">
        <f>IF(OR(入力シート!$C$5&lt;&gt;入力リスト!$C$3,COUNTIF(入力シート!$J$16:$S$23,入力リスト!$H$9)=0),"",IF(A153="","",IF(ISERROR(AVERAGEIF(従業員の給与情報!$B:$B,$A153,従業員の給与情報!$E:$E)),0,IF(ISERROR(AVERAGEIF(従業員の給与情報!$B:$B,$A153,従業員の給与情報!$E:$E)),0,AVERAGEIF(従業員の給与情報!$B:$B,$A153,従業員の給与情報!$E:$E)))))</f>
        <v/>
      </c>
      <c r="W153" s="103" t="str">
        <f>IF(OR(入力シート!$C$5&lt;&gt;入力リスト!$C$3,COUNTIF(入力シート!$J$16:$S$23,入力リスト!$H$9)=0),"",IF(A153="","",IF(ISERROR(AVERAGEIF(従業員の給与情報!$B:$B,$A153,従業員の給与情報!$F:$F)),0,IF(ISERROR(AVERAGEIF(従業員の給与情報!$B:$B,$A153,従業員の給与情報!$F:$F)),0,AVERAGEIF(従業員の給与情報!$B:$B,$A153,従業員の給与情報!$F:$F)))))</f>
        <v/>
      </c>
    </row>
    <row r="154" spans="1:23" s="10" customFormat="1" ht="19.8">
      <c r="A154" s="252"/>
      <c r="B154" s="249"/>
      <c r="C154" s="250"/>
      <c r="D154" s="251"/>
      <c r="E154" s="252"/>
      <c r="F154" s="257" t="str">
        <f>IF($G$1,"",IF(COUNTIF(A154:E154,"")=5,"",IF(G154,入力リスト!$K$28,IF(OR(A154="",B154="",IF(COUNTIF($C$3,"*不要*"),"",C154=""),D154=""),IF(A154="","従業員番号","")&amp;IF(B154="","「雇用形態」","")&amp;IF(OR(入力シート!$J$18=入力リスト!$H$9,入力シート!$J$22=入力リスト!$H$9),IF(C154="","「入社年月日」",""),"")&amp;IF(D154="","「性別」","")&amp;IF(IF(A154="","従業員番号","")&amp;IF(B154="","「雇用形態」","")&amp;IF(OR(入力シート!$J$18=入力リスト!$H$9,入力シート!$J$22=入力リスト!$H$9),IF(C154="","「入社年月日」",""),"")&amp;IF(D154="","「性別」","")="","",入力リスト!$K$29),IF(J154,入力リスト!$K$30,"")&amp;IF(I154,入力リスト!$K$31,"")&amp;IF(H154,"「雇用形態」","")&amp;IF(K154,"「性別」","")&amp;IF(L154,"「役職」","")&amp;IF(OR(H154,K154,L154),入力リスト!$K$32,"")))))</f>
        <v/>
      </c>
      <c r="G154" s="209" t="b">
        <f>COUNTIF($A$4:A153,$A154)&gt;0</f>
        <v>0</v>
      </c>
      <c r="H154" s="210" t="b">
        <f>IF($H$1,FALSE,COUNTIF(入力シート!$S$37:$V$62,B154)=0)</f>
        <v>0</v>
      </c>
      <c r="I154" s="210" t="b">
        <f t="shared" si="6"/>
        <v>0</v>
      </c>
      <c r="J154" s="210" t="b">
        <f>IF($J$1,FALSE,IF(I154=TRUE,FALSE,IF(I154,FALSE,C154&gt;入力シート!$J$24)))</f>
        <v>0</v>
      </c>
      <c r="K154" s="210" t="b">
        <f>IF($K$1,FALSE,COUNTIF(入力シート!$AW$37:$BB$38,D154)=0)</f>
        <v>0</v>
      </c>
      <c r="L154" s="210" t="b">
        <f>IF($L$1,FALSE,IF($L$3,FALSE,IF(E154="",FALSE,COUNTIF(入力シート!$AH$37:$AK$62,E154)=0)))</f>
        <v>0</v>
      </c>
      <c r="M154" s="211" t="str">
        <f t="shared" si="5"/>
        <v/>
      </c>
      <c r="N154" s="211"/>
      <c r="O154" s="209" t="str">
        <f>IF(B154="","",VLOOKUP('従業員情報(給与以外)'!$B154,入力シート!$S$37:$Z$62,5,0))</f>
        <v/>
      </c>
      <c r="P154" s="156" t="str">
        <f>IF(ISNUMBER(C154)=FALSE,"",IF(C154&gt;入力シート!$J$24,"",_xlfn.DAYS(入力シート!$J$24,'従業員情報(給与以外)'!$C154)/365))</f>
        <v/>
      </c>
      <c r="Q154" s="210" t="str">
        <f>IF(P154="","",VLOOKUP(_xlfn.DAYS(入力シート!$J$24,'従業員情報(給与以外)'!$C154)/365,入力リスト!$K$18:$L$26,2,2))</f>
        <v/>
      </c>
      <c r="R154" s="209" t="str">
        <f>IF(D154="","",VLOOKUP('従業員情報(給与以外)'!$D154,入力シート!$AW$37:$BB$38,4,0))</f>
        <v/>
      </c>
      <c r="S154" s="209" t="str">
        <f>IF(A154="","",IF(E154="","非役職",VLOOKUP('従業員情報(給与以外)'!$E154,入力シート!$AH$37:$AO$62,5,0)))</f>
        <v/>
      </c>
      <c r="T154" s="102" t="str">
        <f>IF(OR(入力シート!$C$5&lt;&gt;入力リスト!$C$3,COUNTIF(入力シート!$J$16:$S$23,入力リスト!$H$9)=0),"",IF($A154="","",IF(ISERROR(AVERAGEIF(従業員の給与情報!$B:$B,$A154,従業員の給与情報!$C:$C)),0,IF(ISERROR(AVERAGEIF(従業員の給与情報!$B:$B,$A154,従業員の給与情報!$C:$C)),0,AVERAGEIF(従業員の給与情報!$B:$B,$A154,従業員の給与情報!$C:$C)))))</f>
        <v/>
      </c>
      <c r="U154" s="102" t="str">
        <f>IF(OR(入力シート!$C$5&lt;&gt;入力リスト!$C$3,COUNTIF(入力シート!$J$16:$S$23,入力リスト!$H$9)=0),"",IF(A154="","",IF(ISERROR(AVERAGEIF(従業員の給与情報!$B:$B,$A154,従業員の給与情報!$D:$D)),0,IF(ISERROR(AVERAGEIF(従業員の給与情報!$B:$B,$A154,従業員の給与情報!$D:$D)),0,AVERAGEIF(従業員の給与情報!$B:$B,$A154,従業員の給与情報!$D:$D)))))</f>
        <v/>
      </c>
      <c r="V154" s="102" t="str">
        <f>IF(OR(入力シート!$C$5&lt;&gt;入力リスト!$C$3,COUNTIF(入力シート!$J$16:$S$23,入力リスト!$H$9)=0),"",IF(A154="","",IF(ISERROR(AVERAGEIF(従業員の給与情報!$B:$B,$A154,従業員の給与情報!$E:$E)),0,IF(ISERROR(AVERAGEIF(従業員の給与情報!$B:$B,$A154,従業員の給与情報!$E:$E)),0,AVERAGEIF(従業員の給与情報!$B:$B,$A154,従業員の給与情報!$E:$E)))))</f>
        <v/>
      </c>
      <c r="W154" s="103" t="str">
        <f>IF(OR(入力シート!$C$5&lt;&gt;入力リスト!$C$3,COUNTIF(入力シート!$J$16:$S$23,入力リスト!$H$9)=0),"",IF(A154="","",IF(ISERROR(AVERAGEIF(従業員の給与情報!$B:$B,$A154,従業員の給与情報!$F:$F)),0,IF(ISERROR(AVERAGEIF(従業員の給与情報!$B:$B,$A154,従業員の給与情報!$F:$F)),0,AVERAGEIF(従業員の給与情報!$B:$B,$A154,従業員の給与情報!$F:$F)))))</f>
        <v/>
      </c>
    </row>
    <row r="155" spans="1:23" s="10" customFormat="1" ht="19.8">
      <c r="A155" s="252"/>
      <c r="B155" s="249"/>
      <c r="C155" s="250"/>
      <c r="D155" s="251"/>
      <c r="E155" s="252"/>
      <c r="F155" s="257" t="str">
        <f>IF($G$1,"",IF(COUNTIF(A155:E155,"")=5,"",IF(G155,入力リスト!$K$28,IF(OR(A155="",B155="",IF(COUNTIF($C$3,"*不要*"),"",C155=""),D155=""),IF(A155="","従業員番号","")&amp;IF(B155="","「雇用形態」","")&amp;IF(OR(入力シート!$J$18=入力リスト!$H$9,入力シート!$J$22=入力リスト!$H$9),IF(C155="","「入社年月日」",""),"")&amp;IF(D155="","「性別」","")&amp;IF(IF(A155="","従業員番号","")&amp;IF(B155="","「雇用形態」","")&amp;IF(OR(入力シート!$J$18=入力リスト!$H$9,入力シート!$J$22=入力リスト!$H$9),IF(C155="","「入社年月日」",""),"")&amp;IF(D155="","「性別」","")="","",入力リスト!$K$29),IF(J155,入力リスト!$K$30,"")&amp;IF(I155,入力リスト!$K$31,"")&amp;IF(H155,"「雇用形態」","")&amp;IF(K155,"「性別」","")&amp;IF(L155,"「役職」","")&amp;IF(OR(H155,K155,L155),入力リスト!$K$32,"")))))</f>
        <v/>
      </c>
      <c r="G155" s="209" t="b">
        <f>COUNTIF($A$4:A154,$A155)&gt;0</f>
        <v>0</v>
      </c>
      <c r="H155" s="210" t="b">
        <f>IF($H$1,FALSE,COUNTIF(入力シート!$S$37:$V$62,B155)=0)</f>
        <v>0</v>
      </c>
      <c r="I155" s="210" t="b">
        <f t="shared" si="6"/>
        <v>0</v>
      </c>
      <c r="J155" s="210" t="b">
        <f>IF($J$1,FALSE,IF(I155=TRUE,FALSE,IF(I155,FALSE,C155&gt;入力シート!$J$24)))</f>
        <v>0</v>
      </c>
      <c r="K155" s="210" t="b">
        <f>IF($K$1,FALSE,COUNTIF(入力シート!$AW$37:$BB$38,D155)=0)</f>
        <v>0</v>
      </c>
      <c r="L155" s="210" t="b">
        <f>IF($L$1,FALSE,IF($L$3,FALSE,IF(E155="",FALSE,COUNTIF(入力シート!$AH$37:$AK$62,E155)=0)))</f>
        <v>0</v>
      </c>
      <c r="M155" s="211" t="str">
        <f t="shared" si="5"/>
        <v/>
      </c>
      <c r="N155" s="211"/>
      <c r="O155" s="209" t="str">
        <f>IF(B155="","",VLOOKUP('従業員情報(給与以外)'!$B155,入力シート!$S$37:$Z$62,5,0))</f>
        <v/>
      </c>
      <c r="P155" s="156" t="str">
        <f>IF(ISNUMBER(C155)=FALSE,"",IF(C155&gt;入力シート!$J$24,"",_xlfn.DAYS(入力シート!$J$24,'従業員情報(給与以外)'!$C155)/365))</f>
        <v/>
      </c>
      <c r="Q155" s="210" t="str">
        <f>IF(P155="","",VLOOKUP(_xlfn.DAYS(入力シート!$J$24,'従業員情報(給与以外)'!$C155)/365,入力リスト!$K$18:$L$26,2,2))</f>
        <v/>
      </c>
      <c r="R155" s="209" t="str">
        <f>IF(D155="","",VLOOKUP('従業員情報(給与以外)'!$D155,入力シート!$AW$37:$BB$38,4,0))</f>
        <v/>
      </c>
      <c r="S155" s="209" t="str">
        <f>IF(A155="","",IF(E155="","非役職",VLOOKUP('従業員情報(給与以外)'!$E155,入力シート!$AH$37:$AO$62,5,0)))</f>
        <v/>
      </c>
      <c r="T155" s="102" t="str">
        <f>IF(OR(入力シート!$C$5&lt;&gt;入力リスト!$C$3,COUNTIF(入力シート!$J$16:$S$23,入力リスト!$H$9)=0),"",IF($A155="","",IF(ISERROR(AVERAGEIF(従業員の給与情報!$B:$B,$A155,従業員の給与情報!$C:$C)),0,IF(ISERROR(AVERAGEIF(従業員の給与情報!$B:$B,$A155,従業員の給与情報!$C:$C)),0,AVERAGEIF(従業員の給与情報!$B:$B,$A155,従業員の給与情報!$C:$C)))))</f>
        <v/>
      </c>
      <c r="U155" s="102" t="str">
        <f>IF(OR(入力シート!$C$5&lt;&gt;入力リスト!$C$3,COUNTIF(入力シート!$J$16:$S$23,入力リスト!$H$9)=0),"",IF(A155="","",IF(ISERROR(AVERAGEIF(従業員の給与情報!$B:$B,$A155,従業員の給与情報!$D:$D)),0,IF(ISERROR(AVERAGEIF(従業員の給与情報!$B:$B,$A155,従業員の給与情報!$D:$D)),0,AVERAGEIF(従業員の給与情報!$B:$B,$A155,従業員の給与情報!$D:$D)))))</f>
        <v/>
      </c>
      <c r="V155" s="102" t="str">
        <f>IF(OR(入力シート!$C$5&lt;&gt;入力リスト!$C$3,COUNTIF(入力シート!$J$16:$S$23,入力リスト!$H$9)=0),"",IF(A155="","",IF(ISERROR(AVERAGEIF(従業員の給与情報!$B:$B,$A155,従業員の給与情報!$E:$E)),0,IF(ISERROR(AVERAGEIF(従業員の給与情報!$B:$B,$A155,従業員の給与情報!$E:$E)),0,AVERAGEIF(従業員の給与情報!$B:$B,$A155,従業員の給与情報!$E:$E)))))</f>
        <v/>
      </c>
      <c r="W155" s="103" t="str">
        <f>IF(OR(入力シート!$C$5&lt;&gt;入力リスト!$C$3,COUNTIF(入力シート!$J$16:$S$23,入力リスト!$H$9)=0),"",IF(A155="","",IF(ISERROR(AVERAGEIF(従業員の給与情報!$B:$B,$A155,従業員の給与情報!$F:$F)),0,IF(ISERROR(AVERAGEIF(従業員の給与情報!$B:$B,$A155,従業員の給与情報!$F:$F)),0,AVERAGEIF(従業員の給与情報!$B:$B,$A155,従業員の給与情報!$F:$F)))))</f>
        <v/>
      </c>
    </row>
    <row r="156" spans="1:23" s="10" customFormat="1" ht="19.8">
      <c r="A156" s="252"/>
      <c r="B156" s="249"/>
      <c r="C156" s="250"/>
      <c r="D156" s="251"/>
      <c r="E156" s="249"/>
      <c r="F156" s="257" t="str">
        <f>IF($G$1,"",IF(COUNTIF(A156:E156,"")=5,"",IF(G156,入力リスト!$K$28,IF(OR(A156="",B156="",IF(COUNTIF($C$3,"*不要*"),"",C156=""),D156=""),IF(A156="","従業員番号","")&amp;IF(B156="","「雇用形態」","")&amp;IF(OR(入力シート!$J$18=入力リスト!$H$9,入力シート!$J$22=入力リスト!$H$9),IF(C156="","「入社年月日」",""),"")&amp;IF(D156="","「性別」","")&amp;IF(IF(A156="","従業員番号","")&amp;IF(B156="","「雇用形態」","")&amp;IF(OR(入力シート!$J$18=入力リスト!$H$9,入力シート!$J$22=入力リスト!$H$9),IF(C156="","「入社年月日」",""),"")&amp;IF(D156="","「性別」","")="","",入力リスト!$K$29),IF(J156,入力リスト!$K$30,"")&amp;IF(I156,入力リスト!$K$31,"")&amp;IF(H156,"「雇用形態」","")&amp;IF(K156,"「性別」","")&amp;IF(L156,"「役職」","")&amp;IF(OR(H156,K156,L156),入力リスト!$K$32,"")))))</f>
        <v/>
      </c>
      <c r="G156" s="209" t="b">
        <f>COUNTIF($A$4:A155,$A156)&gt;0</f>
        <v>0</v>
      </c>
      <c r="H156" s="210" t="b">
        <f>IF($H$1,FALSE,COUNTIF(入力シート!$S$37:$V$62,B156)=0)</f>
        <v>0</v>
      </c>
      <c r="I156" s="210" t="b">
        <f t="shared" si="6"/>
        <v>0</v>
      </c>
      <c r="J156" s="210" t="b">
        <f>IF($J$1,FALSE,IF(I156=TRUE,FALSE,IF(I156,FALSE,C156&gt;入力シート!$J$24)))</f>
        <v>0</v>
      </c>
      <c r="K156" s="210" t="b">
        <f>IF($K$1,FALSE,COUNTIF(入力シート!$AW$37:$BB$38,D156)=0)</f>
        <v>0</v>
      </c>
      <c r="L156" s="210" t="b">
        <f>IF($L$1,FALSE,IF($L$3,FALSE,IF(E156="",FALSE,COUNTIF(入力シート!$AH$37:$AK$62,E156)=0)))</f>
        <v>0</v>
      </c>
      <c r="M156" s="211" t="str">
        <f t="shared" si="5"/>
        <v/>
      </c>
      <c r="N156" s="211"/>
      <c r="O156" s="209" t="str">
        <f>IF(B156="","",VLOOKUP('従業員情報(給与以外)'!$B156,入力シート!$S$37:$Z$62,5,0))</f>
        <v/>
      </c>
      <c r="P156" s="156" t="str">
        <f>IF(ISNUMBER(C156)=FALSE,"",IF(C156&gt;入力シート!$J$24,"",_xlfn.DAYS(入力シート!$J$24,'従業員情報(給与以外)'!$C156)/365))</f>
        <v/>
      </c>
      <c r="Q156" s="210" t="str">
        <f>IF(P156="","",VLOOKUP(_xlfn.DAYS(入力シート!$J$24,'従業員情報(給与以外)'!$C156)/365,入力リスト!$K$18:$L$26,2,2))</f>
        <v/>
      </c>
      <c r="R156" s="209" t="str">
        <f>IF(D156="","",VLOOKUP('従業員情報(給与以外)'!$D156,入力シート!$AW$37:$BB$38,4,0))</f>
        <v/>
      </c>
      <c r="S156" s="209" t="str">
        <f>IF(A156="","",IF(E156="","非役職",VLOOKUP('従業員情報(給与以外)'!$E156,入力シート!$AH$37:$AO$62,5,0)))</f>
        <v/>
      </c>
      <c r="T156" s="102" t="str">
        <f>IF(OR(入力シート!$C$5&lt;&gt;入力リスト!$C$3,COUNTIF(入力シート!$J$16:$S$23,入力リスト!$H$9)=0),"",IF($A156="","",IF(ISERROR(AVERAGEIF(従業員の給与情報!$B:$B,$A156,従業員の給与情報!$C:$C)),0,IF(ISERROR(AVERAGEIF(従業員の給与情報!$B:$B,$A156,従業員の給与情報!$C:$C)),0,AVERAGEIF(従業員の給与情報!$B:$B,$A156,従業員の給与情報!$C:$C)))))</f>
        <v/>
      </c>
      <c r="U156" s="102" t="str">
        <f>IF(OR(入力シート!$C$5&lt;&gt;入力リスト!$C$3,COUNTIF(入力シート!$J$16:$S$23,入力リスト!$H$9)=0),"",IF(A156="","",IF(ISERROR(AVERAGEIF(従業員の給与情報!$B:$B,$A156,従業員の給与情報!$D:$D)),0,IF(ISERROR(AVERAGEIF(従業員の給与情報!$B:$B,$A156,従業員の給与情報!$D:$D)),0,AVERAGEIF(従業員の給与情報!$B:$B,$A156,従業員の給与情報!$D:$D)))))</f>
        <v/>
      </c>
      <c r="V156" s="102" t="str">
        <f>IF(OR(入力シート!$C$5&lt;&gt;入力リスト!$C$3,COUNTIF(入力シート!$J$16:$S$23,入力リスト!$H$9)=0),"",IF(A156="","",IF(ISERROR(AVERAGEIF(従業員の給与情報!$B:$B,$A156,従業員の給与情報!$E:$E)),0,IF(ISERROR(AVERAGEIF(従業員の給与情報!$B:$B,$A156,従業員の給与情報!$E:$E)),0,AVERAGEIF(従業員の給与情報!$B:$B,$A156,従業員の給与情報!$E:$E)))))</f>
        <v/>
      </c>
      <c r="W156" s="103" t="str">
        <f>IF(OR(入力シート!$C$5&lt;&gt;入力リスト!$C$3,COUNTIF(入力シート!$J$16:$S$23,入力リスト!$H$9)=0),"",IF(A156="","",IF(ISERROR(AVERAGEIF(従業員の給与情報!$B:$B,$A156,従業員の給与情報!$F:$F)),0,IF(ISERROR(AVERAGEIF(従業員の給与情報!$B:$B,$A156,従業員の給与情報!$F:$F)),0,AVERAGEIF(従業員の給与情報!$B:$B,$A156,従業員の給与情報!$F:$F)))))</f>
        <v/>
      </c>
    </row>
    <row r="157" spans="1:23" s="10" customFormat="1" ht="19.8">
      <c r="A157" s="252"/>
      <c r="B157" s="249"/>
      <c r="C157" s="250"/>
      <c r="D157" s="251"/>
      <c r="E157" s="252"/>
      <c r="F157" s="257" t="str">
        <f>IF($G$1,"",IF(COUNTIF(A157:E157,"")=5,"",IF(G157,入力リスト!$K$28,IF(OR(A157="",B157="",IF(COUNTIF($C$3,"*不要*"),"",C157=""),D157=""),IF(A157="","従業員番号","")&amp;IF(B157="","「雇用形態」","")&amp;IF(OR(入力シート!$J$18=入力リスト!$H$9,入力シート!$J$22=入力リスト!$H$9),IF(C157="","「入社年月日」",""),"")&amp;IF(D157="","「性別」","")&amp;IF(IF(A157="","従業員番号","")&amp;IF(B157="","「雇用形態」","")&amp;IF(OR(入力シート!$J$18=入力リスト!$H$9,入力シート!$J$22=入力リスト!$H$9),IF(C157="","「入社年月日」",""),"")&amp;IF(D157="","「性別」","")="","",入力リスト!$K$29),IF(J157,入力リスト!$K$30,"")&amp;IF(I157,入力リスト!$K$31,"")&amp;IF(H157,"「雇用形態」","")&amp;IF(K157,"「性別」","")&amp;IF(L157,"「役職」","")&amp;IF(OR(H157,K157,L157),入力リスト!$K$32,"")))))</f>
        <v/>
      </c>
      <c r="G157" s="209" t="b">
        <f>COUNTIF($A$4:A156,$A157)&gt;0</f>
        <v>0</v>
      </c>
      <c r="H157" s="210" t="b">
        <f>IF($H$1,FALSE,COUNTIF(入力シート!$S$37:$V$62,B157)=0)</f>
        <v>0</v>
      </c>
      <c r="I157" s="210" t="b">
        <f t="shared" si="6"/>
        <v>0</v>
      </c>
      <c r="J157" s="210" t="b">
        <f>IF($J$1,FALSE,IF(I157=TRUE,FALSE,IF(I157,FALSE,C157&gt;入力シート!$J$24)))</f>
        <v>0</v>
      </c>
      <c r="K157" s="210" t="b">
        <f>IF($K$1,FALSE,COUNTIF(入力シート!$AW$37:$BB$38,D157)=0)</f>
        <v>0</v>
      </c>
      <c r="L157" s="210" t="b">
        <f>IF($L$1,FALSE,IF($L$3,FALSE,IF(E157="",FALSE,COUNTIF(入力シート!$AH$37:$AK$62,E157)=0)))</f>
        <v>0</v>
      </c>
      <c r="M157" s="211" t="str">
        <f t="shared" si="5"/>
        <v/>
      </c>
      <c r="N157" s="211"/>
      <c r="O157" s="209" t="str">
        <f>IF(B157="","",VLOOKUP('従業員情報(給与以外)'!$B157,入力シート!$S$37:$Z$62,5,0))</f>
        <v/>
      </c>
      <c r="P157" s="156" t="str">
        <f>IF(ISNUMBER(C157)=FALSE,"",IF(C157&gt;入力シート!$J$24,"",_xlfn.DAYS(入力シート!$J$24,'従業員情報(給与以外)'!$C157)/365))</f>
        <v/>
      </c>
      <c r="Q157" s="210" t="str">
        <f>IF(P157="","",VLOOKUP(_xlfn.DAYS(入力シート!$J$24,'従業員情報(給与以外)'!$C157)/365,入力リスト!$K$18:$L$26,2,2))</f>
        <v/>
      </c>
      <c r="R157" s="209" t="str">
        <f>IF(D157="","",VLOOKUP('従業員情報(給与以外)'!$D157,入力シート!$AW$37:$BB$38,4,0))</f>
        <v/>
      </c>
      <c r="S157" s="209" t="str">
        <f>IF(A157="","",IF(E157="","非役職",VLOOKUP('従業員情報(給与以外)'!$E157,入力シート!$AH$37:$AO$62,5,0)))</f>
        <v/>
      </c>
      <c r="T157" s="102" t="str">
        <f>IF(OR(入力シート!$C$5&lt;&gt;入力リスト!$C$3,COUNTIF(入力シート!$J$16:$S$23,入力リスト!$H$9)=0),"",IF($A157="","",IF(ISERROR(AVERAGEIF(従業員の給与情報!$B:$B,$A157,従業員の給与情報!$C:$C)),0,IF(ISERROR(AVERAGEIF(従業員の給与情報!$B:$B,$A157,従業員の給与情報!$C:$C)),0,AVERAGEIF(従業員の給与情報!$B:$B,$A157,従業員の給与情報!$C:$C)))))</f>
        <v/>
      </c>
      <c r="U157" s="102" t="str">
        <f>IF(OR(入力シート!$C$5&lt;&gt;入力リスト!$C$3,COUNTIF(入力シート!$J$16:$S$23,入力リスト!$H$9)=0),"",IF(A157="","",IF(ISERROR(AVERAGEIF(従業員の給与情報!$B:$B,$A157,従業員の給与情報!$D:$D)),0,IF(ISERROR(AVERAGEIF(従業員の給与情報!$B:$B,$A157,従業員の給与情報!$D:$D)),0,AVERAGEIF(従業員の給与情報!$B:$B,$A157,従業員の給与情報!$D:$D)))))</f>
        <v/>
      </c>
      <c r="V157" s="102" t="str">
        <f>IF(OR(入力シート!$C$5&lt;&gt;入力リスト!$C$3,COUNTIF(入力シート!$J$16:$S$23,入力リスト!$H$9)=0),"",IF(A157="","",IF(ISERROR(AVERAGEIF(従業員の給与情報!$B:$B,$A157,従業員の給与情報!$E:$E)),0,IF(ISERROR(AVERAGEIF(従業員の給与情報!$B:$B,$A157,従業員の給与情報!$E:$E)),0,AVERAGEIF(従業員の給与情報!$B:$B,$A157,従業員の給与情報!$E:$E)))))</f>
        <v/>
      </c>
      <c r="W157" s="103" t="str">
        <f>IF(OR(入力シート!$C$5&lt;&gt;入力リスト!$C$3,COUNTIF(入力シート!$J$16:$S$23,入力リスト!$H$9)=0),"",IF(A157="","",IF(ISERROR(AVERAGEIF(従業員の給与情報!$B:$B,$A157,従業員の給与情報!$F:$F)),0,IF(ISERROR(AVERAGEIF(従業員の給与情報!$B:$B,$A157,従業員の給与情報!$F:$F)),0,AVERAGEIF(従業員の給与情報!$B:$B,$A157,従業員の給与情報!$F:$F)))))</f>
        <v/>
      </c>
    </row>
    <row r="158" spans="1:23" s="10" customFormat="1" ht="19.8">
      <c r="A158" s="252"/>
      <c r="B158" s="249"/>
      <c r="C158" s="250"/>
      <c r="D158" s="251"/>
      <c r="E158" s="252"/>
      <c r="F158" s="257" t="str">
        <f>IF($G$1,"",IF(COUNTIF(A158:E158,"")=5,"",IF(G158,入力リスト!$K$28,IF(OR(A158="",B158="",IF(COUNTIF($C$3,"*不要*"),"",C158=""),D158=""),IF(A158="","従業員番号","")&amp;IF(B158="","「雇用形態」","")&amp;IF(OR(入力シート!$J$18=入力リスト!$H$9,入力シート!$J$22=入力リスト!$H$9),IF(C158="","「入社年月日」",""),"")&amp;IF(D158="","「性別」","")&amp;IF(IF(A158="","従業員番号","")&amp;IF(B158="","「雇用形態」","")&amp;IF(OR(入力シート!$J$18=入力リスト!$H$9,入力シート!$J$22=入力リスト!$H$9),IF(C158="","「入社年月日」",""),"")&amp;IF(D158="","「性別」","")="","",入力リスト!$K$29),IF(J158,入力リスト!$K$30,"")&amp;IF(I158,入力リスト!$K$31,"")&amp;IF(H158,"「雇用形態」","")&amp;IF(K158,"「性別」","")&amp;IF(L158,"「役職」","")&amp;IF(OR(H158,K158,L158),入力リスト!$K$32,"")))))</f>
        <v/>
      </c>
      <c r="G158" s="209" t="b">
        <f>COUNTIF($A$4:A157,$A158)&gt;0</f>
        <v>0</v>
      </c>
      <c r="H158" s="210" t="b">
        <f>IF($H$1,FALSE,COUNTIF(入力シート!$S$37:$V$62,B158)=0)</f>
        <v>0</v>
      </c>
      <c r="I158" s="210" t="b">
        <f t="shared" si="6"/>
        <v>0</v>
      </c>
      <c r="J158" s="210" t="b">
        <f>IF($J$1,FALSE,IF(I158=TRUE,FALSE,IF(I158,FALSE,C158&gt;入力シート!$J$24)))</f>
        <v>0</v>
      </c>
      <c r="K158" s="210" t="b">
        <f>IF($K$1,FALSE,COUNTIF(入力シート!$AW$37:$BB$38,D158)=0)</f>
        <v>0</v>
      </c>
      <c r="L158" s="210" t="b">
        <f>IF($L$1,FALSE,IF($L$3,FALSE,IF(E158="",FALSE,COUNTIF(入力シート!$AH$37:$AK$62,E158)=0)))</f>
        <v>0</v>
      </c>
      <c r="M158" s="211" t="str">
        <f t="shared" si="5"/>
        <v/>
      </c>
      <c r="N158" s="211"/>
      <c r="O158" s="209" t="str">
        <f>IF(B158="","",VLOOKUP('従業員情報(給与以外)'!$B158,入力シート!$S$37:$Z$62,5,0))</f>
        <v/>
      </c>
      <c r="P158" s="156" t="str">
        <f>IF(ISNUMBER(C158)=FALSE,"",IF(C158&gt;入力シート!$J$24,"",_xlfn.DAYS(入力シート!$J$24,'従業員情報(給与以外)'!$C158)/365))</f>
        <v/>
      </c>
      <c r="Q158" s="210" t="str">
        <f>IF(P158="","",VLOOKUP(_xlfn.DAYS(入力シート!$J$24,'従業員情報(給与以外)'!$C158)/365,入力リスト!$K$18:$L$26,2,2))</f>
        <v/>
      </c>
      <c r="R158" s="209" t="str">
        <f>IF(D158="","",VLOOKUP('従業員情報(給与以外)'!$D158,入力シート!$AW$37:$BB$38,4,0))</f>
        <v/>
      </c>
      <c r="S158" s="209" t="str">
        <f>IF(A158="","",IF(E158="","非役職",VLOOKUP('従業員情報(給与以外)'!$E158,入力シート!$AH$37:$AO$62,5,0)))</f>
        <v/>
      </c>
      <c r="T158" s="102" t="str">
        <f>IF(OR(入力シート!$C$5&lt;&gt;入力リスト!$C$3,COUNTIF(入力シート!$J$16:$S$23,入力リスト!$H$9)=0),"",IF($A158="","",IF(ISERROR(AVERAGEIF(従業員の給与情報!$B:$B,$A158,従業員の給与情報!$C:$C)),0,IF(ISERROR(AVERAGEIF(従業員の給与情報!$B:$B,$A158,従業員の給与情報!$C:$C)),0,AVERAGEIF(従業員の給与情報!$B:$B,$A158,従業員の給与情報!$C:$C)))))</f>
        <v/>
      </c>
      <c r="U158" s="102" t="str">
        <f>IF(OR(入力シート!$C$5&lt;&gt;入力リスト!$C$3,COUNTIF(入力シート!$J$16:$S$23,入力リスト!$H$9)=0),"",IF(A158="","",IF(ISERROR(AVERAGEIF(従業員の給与情報!$B:$B,$A158,従業員の給与情報!$D:$D)),0,IF(ISERROR(AVERAGEIF(従業員の給与情報!$B:$B,$A158,従業員の給与情報!$D:$D)),0,AVERAGEIF(従業員の給与情報!$B:$B,$A158,従業員の給与情報!$D:$D)))))</f>
        <v/>
      </c>
      <c r="V158" s="102" t="str">
        <f>IF(OR(入力シート!$C$5&lt;&gt;入力リスト!$C$3,COUNTIF(入力シート!$J$16:$S$23,入力リスト!$H$9)=0),"",IF(A158="","",IF(ISERROR(AVERAGEIF(従業員の給与情報!$B:$B,$A158,従業員の給与情報!$E:$E)),0,IF(ISERROR(AVERAGEIF(従業員の給与情報!$B:$B,$A158,従業員の給与情報!$E:$E)),0,AVERAGEIF(従業員の給与情報!$B:$B,$A158,従業員の給与情報!$E:$E)))))</f>
        <v/>
      </c>
      <c r="W158" s="103" t="str">
        <f>IF(OR(入力シート!$C$5&lt;&gt;入力リスト!$C$3,COUNTIF(入力シート!$J$16:$S$23,入力リスト!$H$9)=0),"",IF(A158="","",IF(ISERROR(AVERAGEIF(従業員の給与情報!$B:$B,$A158,従業員の給与情報!$F:$F)),0,IF(ISERROR(AVERAGEIF(従業員の給与情報!$B:$B,$A158,従業員の給与情報!$F:$F)),0,AVERAGEIF(従業員の給与情報!$B:$B,$A158,従業員の給与情報!$F:$F)))))</f>
        <v/>
      </c>
    </row>
    <row r="159" spans="1:23" s="10" customFormat="1" ht="19.8">
      <c r="A159" s="252"/>
      <c r="B159" s="249"/>
      <c r="C159" s="250"/>
      <c r="D159" s="251"/>
      <c r="E159" s="252"/>
      <c r="F159" s="257" t="str">
        <f>IF($G$1,"",IF(COUNTIF(A159:E159,"")=5,"",IF(G159,入力リスト!$K$28,IF(OR(A159="",B159="",IF(COUNTIF($C$3,"*不要*"),"",C159=""),D159=""),IF(A159="","従業員番号","")&amp;IF(B159="","「雇用形態」","")&amp;IF(OR(入力シート!$J$18=入力リスト!$H$9,入力シート!$J$22=入力リスト!$H$9),IF(C159="","「入社年月日」",""),"")&amp;IF(D159="","「性別」","")&amp;IF(IF(A159="","従業員番号","")&amp;IF(B159="","「雇用形態」","")&amp;IF(OR(入力シート!$J$18=入力リスト!$H$9,入力シート!$J$22=入力リスト!$H$9),IF(C159="","「入社年月日」",""),"")&amp;IF(D159="","「性別」","")="","",入力リスト!$K$29),IF(J159,入力リスト!$K$30,"")&amp;IF(I159,入力リスト!$K$31,"")&amp;IF(H159,"「雇用形態」","")&amp;IF(K159,"「性別」","")&amp;IF(L159,"「役職」","")&amp;IF(OR(H159,K159,L159),入力リスト!$K$32,"")))))</f>
        <v/>
      </c>
      <c r="G159" s="209" t="b">
        <f>COUNTIF($A$4:A158,$A159)&gt;0</f>
        <v>0</v>
      </c>
      <c r="H159" s="210" t="b">
        <f>IF($H$1,FALSE,COUNTIF(入力シート!$S$37:$V$62,B159)=0)</f>
        <v>0</v>
      </c>
      <c r="I159" s="210" t="b">
        <f t="shared" si="6"/>
        <v>0</v>
      </c>
      <c r="J159" s="210" t="b">
        <f>IF($J$1,FALSE,IF(I159=TRUE,FALSE,IF(I159,FALSE,C159&gt;入力シート!$J$24)))</f>
        <v>0</v>
      </c>
      <c r="K159" s="210" t="b">
        <f>IF($K$1,FALSE,COUNTIF(入力シート!$AW$37:$BB$38,D159)=0)</f>
        <v>0</v>
      </c>
      <c r="L159" s="210" t="b">
        <f>IF($L$1,FALSE,IF($L$3,FALSE,IF(E159="",FALSE,COUNTIF(入力シート!$AH$37:$AK$62,E159)=0)))</f>
        <v>0</v>
      </c>
      <c r="M159" s="211" t="str">
        <f t="shared" si="5"/>
        <v/>
      </c>
      <c r="N159" s="211"/>
      <c r="O159" s="209" t="str">
        <f>IF(B159="","",VLOOKUP('従業員情報(給与以外)'!$B159,入力シート!$S$37:$Z$62,5,0))</f>
        <v/>
      </c>
      <c r="P159" s="156" t="str">
        <f>IF(ISNUMBER(C159)=FALSE,"",IF(C159&gt;入力シート!$J$24,"",_xlfn.DAYS(入力シート!$J$24,'従業員情報(給与以外)'!$C159)/365))</f>
        <v/>
      </c>
      <c r="Q159" s="210" t="str">
        <f>IF(P159="","",VLOOKUP(_xlfn.DAYS(入力シート!$J$24,'従業員情報(給与以外)'!$C159)/365,入力リスト!$K$18:$L$26,2,2))</f>
        <v/>
      </c>
      <c r="R159" s="209" t="str">
        <f>IF(D159="","",VLOOKUP('従業員情報(給与以外)'!$D159,入力シート!$AW$37:$BB$38,4,0))</f>
        <v/>
      </c>
      <c r="S159" s="209" t="str">
        <f>IF(A159="","",IF(E159="","非役職",VLOOKUP('従業員情報(給与以外)'!$E159,入力シート!$AH$37:$AO$62,5,0)))</f>
        <v/>
      </c>
      <c r="T159" s="102" t="str">
        <f>IF(OR(入力シート!$C$5&lt;&gt;入力リスト!$C$3,COUNTIF(入力シート!$J$16:$S$23,入力リスト!$H$9)=0),"",IF($A159="","",IF(ISERROR(AVERAGEIF(従業員の給与情報!$B:$B,$A159,従業員の給与情報!$C:$C)),0,IF(ISERROR(AVERAGEIF(従業員の給与情報!$B:$B,$A159,従業員の給与情報!$C:$C)),0,AVERAGEIF(従業員の給与情報!$B:$B,$A159,従業員の給与情報!$C:$C)))))</f>
        <v/>
      </c>
      <c r="U159" s="102" t="str">
        <f>IF(OR(入力シート!$C$5&lt;&gt;入力リスト!$C$3,COUNTIF(入力シート!$J$16:$S$23,入力リスト!$H$9)=0),"",IF(A159="","",IF(ISERROR(AVERAGEIF(従業員の給与情報!$B:$B,$A159,従業員の給与情報!$D:$D)),0,IF(ISERROR(AVERAGEIF(従業員の給与情報!$B:$B,$A159,従業員の給与情報!$D:$D)),0,AVERAGEIF(従業員の給与情報!$B:$B,$A159,従業員の給与情報!$D:$D)))))</f>
        <v/>
      </c>
      <c r="V159" s="102" t="str">
        <f>IF(OR(入力シート!$C$5&lt;&gt;入力リスト!$C$3,COUNTIF(入力シート!$J$16:$S$23,入力リスト!$H$9)=0),"",IF(A159="","",IF(ISERROR(AVERAGEIF(従業員の給与情報!$B:$B,$A159,従業員の給与情報!$E:$E)),0,IF(ISERROR(AVERAGEIF(従業員の給与情報!$B:$B,$A159,従業員の給与情報!$E:$E)),0,AVERAGEIF(従業員の給与情報!$B:$B,$A159,従業員の給与情報!$E:$E)))))</f>
        <v/>
      </c>
      <c r="W159" s="103" t="str">
        <f>IF(OR(入力シート!$C$5&lt;&gt;入力リスト!$C$3,COUNTIF(入力シート!$J$16:$S$23,入力リスト!$H$9)=0),"",IF(A159="","",IF(ISERROR(AVERAGEIF(従業員の給与情報!$B:$B,$A159,従業員の給与情報!$F:$F)),0,IF(ISERROR(AVERAGEIF(従業員の給与情報!$B:$B,$A159,従業員の給与情報!$F:$F)),0,AVERAGEIF(従業員の給与情報!$B:$B,$A159,従業員の給与情報!$F:$F)))))</f>
        <v/>
      </c>
    </row>
    <row r="160" spans="1:23" s="10" customFormat="1" ht="19.8">
      <c r="A160" s="252"/>
      <c r="B160" s="249"/>
      <c r="C160" s="250"/>
      <c r="D160" s="251"/>
      <c r="E160" s="252"/>
      <c r="F160" s="257" t="str">
        <f>IF($G$1,"",IF(COUNTIF(A160:E160,"")=5,"",IF(G160,入力リスト!$K$28,IF(OR(A160="",B160="",IF(COUNTIF($C$3,"*不要*"),"",C160=""),D160=""),IF(A160="","従業員番号","")&amp;IF(B160="","「雇用形態」","")&amp;IF(OR(入力シート!$J$18=入力リスト!$H$9,入力シート!$J$22=入力リスト!$H$9),IF(C160="","「入社年月日」",""),"")&amp;IF(D160="","「性別」","")&amp;IF(IF(A160="","従業員番号","")&amp;IF(B160="","「雇用形態」","")&amp;IF(OR(入力シート!$J$18=入力リスト!$H$9,入力シート!$J$22=入力リスト!$H$9),IF(C160="","「入社年月日」",""),"")&amp;IF(D160="","「性別」","")="","",入力リスト!$K$29),IF(J160,入力リスト!$K$30,"")&amp;IF(I160,入力リスト!$K$31,"")&amp;IF(H160,"「雇用形態」","")&amp;IF(K160,"「性別」","")&amp;IF(L160,"「役職」","")&amp;IF(OR(H160,K160,L160),入力リスト!$K$32,"")))))</f>
        <v/>
      </c>
      <c r="G160" s="209" t="b">
        <f>COUNTIF($A$4:A159,$A160)&gt;0</f>
        <v>0</v>
      </c>
      <c r="H160" s="210" t="b">
        <f>IF($H$1,FALSE,COUNTIF(入力シート!$S$37:$V$62,B160)=0)</f>
        <v>0</v>
      </c>
      <c r="I160" s="210" t="b">
        <f t="shared" si="6"/>
        <v>0</v>
      </c>
      <c r="J160" s="210" t="b">
        <f>IF($J$1,FALSE,IF(I160=TRUE,FALSE,IF(I160,FALSE,C160&gt;入力シート!$J$24)))</f>
        <v>0</v>
      </c>
      <c r="K160" s="210" t="b">
        <f>IF($K$1,FALSE,COUNTIF(入力シート!$AW$37:$BB$38,D160)=0)</f>
        <v>0</v>
      </c>
      <c r="L160" s="210" t="b">
        <f>IF($L$1,FALSE,IF($L$3,FALSE,IF(E160="",FALSE,COUNTIF(入力シート!$AH$37:$AK$62,E160)=0)))</f>
        <v>0</v>
      </c>
      <c r="M160" s="211" t="str">
        <f t="shared" si="5"/>
        <v/>
      </c>
      <c r="N160" s="211"/>
      <c r="O160" s="209" t="str">
        <f>IF(B160="","",VLOOKUP('従業員情報(給与以外)'!$B160,入力シート!$S$37:$Z$62,5,0))</f>
        <v/>
      </c>
      <c r="P160" s="156" t="str">
        <f>IF(ISNUMBER(C160)=FALSE,"",IF(C160&gt;入力シート!$J$24,"",_xlfn.DAYS(入力シート!$J$24,'従業員情報(給与以外)'!$C160)/365))</f>
        <v/>
      </c>
      <c r="Q160" s="210" t="str">
        <f>IF(P160="","",VLOOKUP(_xlfn.DAYS(入力シート!$J$24,'従業員情報(給与以外)'!$C160)/365,入力リスト!$K$18:$L$26,2,2))</f>
        <v/>
      </c>
      <c r="R160" s="209" t="str">
        <f>IF(D160="","",VLOOKUP('従業員情報(給与以外)'!$D160,入力シート!$AW$37:$BB$38,4,0))</f>
        <v/>
      </c>
      <c r="S160" s="209" t="str">
        <f>IF(A160="","",IF(E160="","非役職",VLOOKUP('従業員情報(給与以外)'!$E160,入力シート!$AH$37:$AO$62,5,0)))</f>
        <v/>
      </c>
      <c r="T160" s="102" t="str">
        <f>IF(OR(入力シート!$C$5&lt;&gt;入力リスト!$C$3,COUNTIF(入力シート!$J$16:$S$23,入力リスト!$H$9)=0),"",IF($A160="","",IF(ISERROR(AVERAGEIF(従業員の給与情報!$B:$B,$A160,従業員の給与情報!$C:$C)),0,IF(ISERROR(AVERAGEIF(従業員の給与情報!$B:$B,$A160,従業員の給与情報!$C:$C)),0,AVERAGEIF(従業員の給与情報!$B:$B,$A160,従業員の給与情報!$C:$C)))))</f>
        <v/>
      </c>
      <c r="U160" s="102" t="str">
        <f>IF(OR(入力シート!$C$5&lt;&gt;入力リスト!$C$3,COUNTIF(入力シート!$J$16:$S$23,入力リスト!$H$9)=0),"",IF(A160="","",IF(ISERROR(AVERAGEIF(従業員の給与情報!$B:$B,$A160,従業員の給与情報!$D:$D)),0,IF(ISERROR(AVERAGEIF(従業員の給与情報!$B:$B,$A160,従業員の給与情報!$D:$D)),0,AVERAGEIF(従業員の給与情報!$B:$B,$A160,従業員の給与情報!$D:$D)))))</f>
        <v/>
      </c>
      <c r="V160" s="102" t="str">
        <f>IF(OR(入力シート!$C$5&lt;&gt;入力リスト!$C$3,COUNTIF(入力シート!$J$16:$S$23,入力リスト!$H$9)=0),"",IF(A160="","",IF(ISERROR(AVERAGEIF(従業員の給与情報!$B:$B,$A160,従業員の給与情報!$E:$E)),0,IF(ISERROR(AVERAGEIF(従業員の給与情報!$B:$B,$A160,従業員の給与情報!$E:$E)),0,AVERAGEIF(従業員の給与情報!$B:$B,$A160,従業員の給与情報!$E:$E)))))</f>
        <v/>
      </c>
      <c r="W160" s="103" t="str">
        <f>IF(OR(入力シート!$C$5&lt;&gt;入力リスト!$C$3,COUNTIF(入力シート!$J$16:$S$23,入力リスト!$H$9)=0),"",IF(A160="","",IF(ISERROR(AVERAGEIF(従業員の給与情報!$B:$B,$A160,従業員の給与情報!$F:$F)),0,IF(ISERROR(AVERAGEIF(従業員の給与情報!$B:$B,$A160,従業員の給与情報!$F:$F)),0,AVERAGEIF(従業員の給与情報!$B:$B,$A160,従業員の給与情報!$F:$F)))))</f>
        <v/>
      </c>
    </row>
    <row r="161" spans="1:23" s="10" customFormat="1" ht="19.8">
      <c r="A161" s="252"/>
      <c r="B161" s="249"/>
      <c r="C161" s="250"/>
      <c r="D161" s="251"/>
      <c r="E161" s="252"/>
      <c r="F161" s="257" t="str">
        <f>IF($G$1,"",IF(COUNTIF(A161:E161,"")=5,"",IF(G161,入力リスト!$K$28,IF(OR(A161="",B161="",IF(COUNTIF($C$3,"*不要*"),"",C161=""),D161=""),IF(A161="","従業員番号","")&amp;IF(B161="","「雇用形態」","")&amp;IF(OR(入力シート!$J$18=入力リスト!$H$9,入力シート!$J$22=入力リスト!$H$9),IF(C161="","「入社年月日」",""),"")&amp;IF(D161="","「性別」","")&amp;IF(IF(A161="","従業員番号","")&amp;IF(B161="","「雇用形態」","")&amp;IF(OR(入力シート!$J$18=入力リスト!$H$9,入力シート!$J$22=入力リスト!$H$9),IF(C161="","「入社年月日」",""),"")&amp;IF(D161="","「性別」","")="","",入力リスト!$K$29),IF(J161,入力リスト!$K$30,"")&amp;IF(I161,入力リスト!$K$31,"")&amp;IF(H161,"「雇用形態」","")&amp;IF(K161,"「性別」","")&amp;IF(L161,"「役職」","")&amp;IF(OR(H161,K161,L161),入力リスト!$K$32,"")))))</f>
        <v/>
      </c>
      <c r="G161" s="209" t="b">
        <f>COUNTIF($A$4:A160,$A161)&gt;0</f>
        <v>0</v>
      </c>
      <c r="H161" s="210" t="b">
        <f>IF($H$1,FALSE,COUNTIF(入力シート!$S$37:$V$62,B161)=0)</f>
        <v>0</v>
      </c>
      <c r="I161" s="210" t="b">
        <f t="shared" si="6"/>
        <v>0</v>
      </c>
      <c r="J161" s="210" t="b">
        <f>IF($J$1,FALSE,IF(I161=TRUE,FALSE,IF(I161,FALSE,C161&gt;入力シート!$J$24)))</f>
        <v>0</v>
      </c>
      <c r="K161" s="210" t="b">
        <f>IF($K$1,FALSE,COUNTIF(入力シート!$AW$37:$BB$38,D161)=0)</f>
        <v>0</v>
      </c>
      <c r="L161" s="210" t="b">
        <f>IF($L$1,FALSE,IF($L$3,FALSE,IF(E161="",FALSE,COUNTIF(入力シート!$AH$37:$AK$62,E161)=0)))</f>
        <v>0</v>
      </c>
      <c r="M161" s="211" t="str">
        <f t="shared" si="5"/>
        <v/>
      </c>
      <c r="N161" s="211"/>
      <c r="O161" s="209" t="str">
        <f>IF(B161="","",VLOOKUP('従業員情報(給与以外)'!$B161,入力シート!$S$37:$Z$62,5,0))</f>
        <v/>
      </c>
      <c r="P161" s="156" t="str">
        <f>IF(ISNUMBER(C161)=FALSE,"",IF(C161&gt;入力シート!$J$24,"",_xlfn.DAYS(入力シート!$J$24,'従業員情報(給与以外)'!$C161)/365))</f>
        <v/>
      </c>
      <c r="Q161" s="210" t="str">
        <f>IF(P161="","",VLOOKUP(_xlfn.DAYS(入力シート!$J$24,'従業員情報(給与以外)'!$C161)/365,入力リスト!$K$18:$L$26,2,2))</f>
        <v/>
      </c>
      <c r="R161" s="209" t="str">
        <f>IF(D161="","",VLOOKUP('従業員情報(給与以外)'!$D161,入力シート!$AW$37:$BB$38,4,0))</f>
        <v/>
      </c>
      <c r="S161" s="209" t="str">
        <f>IF(A161="","",IF(E161="","非役職",VLOOKUP('従業員情報(給与以外)'!$E161,入力シート!$AH$37:$AO$62,5,0)))</f>
        <v/>
      </c>
      <c r="T161" s="102" t="str">
        <f>IF(OR(入力シート!$C$5&lt;&gt;入力リスト!$C$3,COUNTIF(入力シート!$J$16:$S$23,入力リスト!$H$9)=0),"",IF($A161="","",IF(ISERROR(AVERAGEIF(従業員の給与情報!$B:$B,$A161,従業員の給与情報!$C:$C)),0,IF(ISERROR(AVERAGEIF(従業員の給与情報!$B:$B,$A161,従業員の給与情報!$C:$C)),0,AVERAGEIF(従業員の給与情報!$B:$B,$A161,従業員の給与情報!$C:$C)))))</f>
        <v/>
      </c>
      <c r="U161" s="102" t="str">
        <f>IF(OR(入力シート!$C$5&lt;&gt;入力リスト!$C$3,COUNTIF(入力シート!$J$16:$S$23,入力リスト!$H$9)=0),"",IF(A161="","",IF(ISERROR(AVERAGEIF(従業員の給与情報!$B:$B,$A161,従業員の給与情報!$D:$D)),0,IF(ISERROR(AVERAGEIF(従業員の給与情報!$B:$B,$A161,従業員の給与情報!$D:$D)),0,AVERAGEIF(従業員の給与情報!$B:$B,$A161,従業員の給与情報!$D:$D)))))</f>
        <v/>
      </c>
      <c r="V161" s="102" t="str">
        <f>IF(OR(入力シート!$C$5&lt;&gt;入力リスト!$C$3,COUNTIF(入力シート!$J$16:$S$23,入力リスト!$H$9)=0),"",IF(A161="","",IF(ISERROR(AVERAGEIF(従業員の給与情報!$B:$B,$A161,従業員の給与情報!$E:$E)),0,IF(ISERROR(AVERAGEIF(従業員の給与情報!$B:$B,$A161,従業員の給与情報!$E:$E)),0,AVERAGEIF(従業員の給与情報!$B:$B,$A161,従業員の給与情報!$E:$E)))))</f>
        <v/>
      </c>
      <c r="W161" s="103" t="str">
        <f>IF(OR(入力シート!$C$5&lt;&gt;入力リスト!$C$3,COUNTIF(入力シート!$J$16:$S$23,入力リスト!$H$9)=0),"",IF(A161="","",IF(ISERROR(AVERAGEIF(従業員の給与情報!$B:$B,$A161,従業員の給与情報!$F:$F)),0,IF(ISERROR(AVERAGEIF(従業員の給与情報!$B:$B,$A161,従業員の給与情報!$F:$F)),0,AVERAGEIF(従業員の給与情報!$B:$B,$A161,従業員の給与情報!$F:$F)))))</f>
        <v/>
      </c>
    </row>
    <row r="162" spans="1:23" s="10" customFormat="1" ht="19.8">
      <c r="A162" s="252"/>
      <c r="B162" s="249"/>
      <c r="C162" s="250"/>
      <c r="D162" s="251"/>
      <c r="E162" s="252"/>
      <c r="F162" s="257" t="str">
        <f>IF($G$1,"",IF(COUNTIF(A162:E162,"")=5,"",IF(G162,入力リスト!$K$28,IF(OR(A162="",B162="",IF(COUNTIF($C$3,"*不要*"),"",C162=""),D162=""),IF(A162="","従業員番号","")&amp;IF(B162="","「雇用形態」","")&amp;IF(OR(入力シート!$J$18=入力リスト!$H$9,入力シート!$J$22=入力リスト!$H$9),IF(C162="","「入社年月日」",""),"")&amp;IF(D162="","「性別」","")&amp;IF(IF(A162="","従業員番号","")&amp;IF(B162="","「雇用形態」","")&amp;IF(OR(入力シート!$J$18=入力リスト!$H$9,入力シート!$J$22=入力リスト!$H$9),IF(C162="","「入社年月日」",""),"")&amp;IF(D162="","「性別」","")="","",入力リスト!$K$29),IF(J162,入力リスト!$K$30,"")&amp;IF(I162,入力リスト!$K$31,"")&amp;IF(H162,"「雇用形態」","")&amp;IF(K162,"「性別」","")&amp;IF(L162,"「役職」","")&amp;IF(OR(H162,K162,L162),入力リスト!$K$32,"")))))</f>
        <v/>
      </c>
      <c r="G162" s="209" t="b">
        <f>COUNTIF($A$4:A161,$A162)&gt;0</f>
        <v>0</v>
      </c>
      <c r="H162" s="210" t="b">
        <f>IF($H$1,FALSE,COUNTIF(入力シート!$S$37:$V$62,B162)=0)</f>
        <v>0</v>
      </c>
      <c r="I162" s="210" t="b">
        <f t="shared" si="6"/>
        <v>0</v>
      </c>
      <c r="J162" s="210" t="b">
        <f>IF($J$1,FALSE,IF(I162=TRUE,FALSE,IF(I162,FALSE,C162&gt;入力シート!$J$24)))</f>
        <v>0</v>
      </c>
      <c r="K162" s="210" t="b">
        <f>IF($K$1,FALSE,COUNTIF(入力シート!$AW$37:$BB$38,D162)=0)</f>
        <v>0</v>
      </c>
      <c r="L162" s="210" t="b">
        <f>IF($L$1,FALSE,IF($L$3,FALSE,IF(E162="",FALSE,COUNTIF(入力シート!$AH$37:$AK$62,E162)=0)))</f>
        <v>0</v>
      </c>
      <c r="M162" s="211" t="str">
        <f t="shared" si="5"/>
        <v/>
      </c>
      <c r="N162" s="211"/>
      <c r="O162" s="209" t="str">
        <f>IF(B162="","",VLOOKUP('従業員情報(給与以外)'!$B162,入力シート!$S$37:$Z$62,5,0))</f>
        <v/>
      </c>
      <c r="P162" s="156" t="str">
        <f>IF(ISNUMBER(C162)=FALSE,"",IF(C162&gt;入力シート!$J$24,"",_xlfn.DAYS(入力シート!$J$24,'従業員情報(給与以外)'!$C162)/365))</f>
        <v/>
      </c>
      <c r="Q162" s="210" t="str">
        <f>IF(P162="","",VLOOKUP(_xlfn.DAYS(入力シート!$J$24,'従業員情報(給与以外)'!$C162)/365,入力リスト!$K$18:$L$26,2,2))</f>
        <v/>
      </c>
      <c r="R162" s="209" t="str">
        <f>IF(D162="","",VLOOKUP('従業員情報(給与以外)'!$D162,入力シート!$AW$37:$BB$38,4,0))</f>
        <v/>
      </c>
      <c r="S162" s="209" t="str">
        <f>IF(A162="","",IF(E162="","非役職",VLOOKUP('従業員情報(給与以外)'!$E162,入力シート!$AH$37:$AO$62,5,0)))</f>
        <v/>
      </c>
      <c r="T162" s="102" t="str">
        <f>IF(OR(入力シート!$C$5&lt;&gt;入力リスト!$C$3,COUNTIF(入力シート!$J$16:$S$23,入力リスト!$H$9)=0),"",IF($A162="","",IF(ISERROR(AVERAGEIF(従業員の給与情報!$B:$B,$A162,従業員の給与情報!$C:$C)),0,IF(ISERROR(AVERAGEIF(従業員の給与情報!$B:$B,$A162,従業員の給与情報!$C:$C)),0,AVERAGEIF(従業員の給与情報!$B:$B,$A162,従業員の給与情報!$C:$C)))))</f>
        <v/>
      </c>
      <c r="U162" s="102" t="str">
        <f>IF(OR(入力シート!$C$5&lt;&gt;入力リスト!$C$3,COUNTIF(入力シート!$J$16:$S$23,入力リスト!$H$9)=0),"",IF(A162="","",IF(ISERROR(AVERAGEIF(従業員の給与情報!$B:$B,$A162,従業員の給与情報!$D:$D)),0,IF(ISERROR(AVERAGEIF(従業員の給与情報!$B:$B,$A162,従業員の給与情報!$D:$D)),0,AVERAGEIF(従業員の給与情報!$B:$B,$A162,従業員の給与情報!$D:$D)))))</f>
        <v/>
      </c>
      <c r="V162" s="102" t="str">
        <f>IF(OR(入力シート!$C$5&lt;&gt;入力リスト!$C$3,COUNTIF(入力シート!$J$16:$S$23,入力リスト!$H$9)=0),"",IF(A162="","",IF(ISERROR(AVERAGEIF(従業員の給与情報!$B:$B,$A162,従業員の給与情報!$E:$E)),0,IF(ISERROR(AVERAGEIF(従業員の給与情報!$B:$B,$A162,従業員の給与情報!$E:$E)),0,AVERAGEIF(従業員の給与情報!$B:$B,$A162,従業員の給与情報!$E:$E)))))</f>
        <v/>
      </c>
      <c r="W162" s="103" t="str">
        <f>IF(OR(入力シート!$C$5&lt;&gt;入力リスト!$C$3,COUNTIF(入力シート!$J$16:$S$23,入力リスト!$H$9)=0),"",IF(A162="","",IF(ISERROR(AVERAGEIF(従業員の給与情報!$B:$B,$A162,従業員の給与情報!$F:$F)),0,IF(ISERROR(AVERAGEIF(従業員の給与情報!$B:$B,$A162,従業員の給与情報!$F:$F)),0,AVERAGEIF(従業員の給与情報!$B:$B,$A162,従業員の給与情報!$F:$F)))))</f>
        <v/>
      </c>
    </row>
    <row r="163" spans="1:23" s="10" customFormat="1" ht="19.8">
      <c r="A163" s="252"/>
      <c r="B163" s="249"/>
      <c r="C163" s="250"/>
      <c r="D163" s="251"/>
      <c r="E163" s="252"/>
      <c r="F163" s="257" t="str">
        <f>IF($G$1,"",IF(COUNTIF(A163:E163,"")=5,"",IF(G163,入力リスト!$K$28,IF(OR(A163="",B163="",IF(COUNTIF($C$3,"*不要*"),"",C163=""),D163=""),IF(A163="","従業員番号","")&amp;IF(B163="","「雇用形態」","")&amp;IF(OR(入力シート!$J$18=入力リスト!$H$9,入力シート!$J$22=入力リスト!$H$9),IF(C163="","「入社年月日」",""),"")&amp;IF(D163="","「性別」","")&amp;IF(IF(A163="","従業員番号","")&amp;IF(B163="","「雇用形態」","")&amp;IF(OR(入力シート!$J$18=入力リスト!$H$9,入力シート!$J$22=入力リスト!$H$9),IF(C163="","「入社年月日」",""),"")&amp;IF(D163="","「性別」","")="","",入力リスト!$K$29),IF(J163,入力リスト!$K$30,"")&amp;IF(I163,入力リスト!$K$31,"")&amp;IF(H163,"「雇用形態」","")&amp;IF(K163,"「性別」","")&amp;IF(L163,"「役職」","")&amp;IF(OR(H163,K163,L163),入力リスト!$K$32,"")))))</f>
        <v/>
      </c>
      <c r="G163" s="209" t="b">
        <f>COUNTIF($A$4:A162,$A163)&gt;0</f>
        <v>0</v>
      </c>
      <c r="H163" s="210" t="b">
        <f>IF($H$1,FALSE,COUNTIF(入力シート!$S$37:$V$62,B163)=0)</f>
        <v>0</v>
      </c>
      <c r="I163" s="210" t="b">
        <f t="shared" si="6"/>
        <v>0</v>
      </c>
      <c r="J163" s="210" t="b">
        <f>IF($J$1,FALSE,IF(I163=TRUE,FALSE,IF(I163,FALSE,C163&gt;入力シート!$J$24)))</f>
        <v>0</v>
      </c>
      <c r="K163" s="210" t="b">
        <f>IF($K$1,FALSE,COUNTIF(入力シート!$AW$37:$BB$38,D163)=0)</f>
        <v>0</v>
      </c>
      <c r="L163" s="210" t="b">
        <f>IF($L$1,FALSE,IF($L$3,FALSE,IF(E163="",FALSE,COUNTIF(入力シート!$AH$37:$AK$62,E163)=0)))</f>
        <v>0</v>
      </c>
      <c r="M163" s="211" t="str">
        <f t="shared" si="5"/>
        <v/>
      </c>
      <c r="N163" s="211"/>
      <c r="O163" s="209" t="str">
        <f>IF(B163="","",VLOOKUP('従業員情報(給与以外)'!$B163,入力シート!$S$37:$Z$62,5,0))</f>
        <v/>
      </c>
      <c r="P163" s="156" t="str">
        <f>IF(ISNUMBER(C163)=FALSE,"",IF(C163&gt;入力シート!$J$24,"",_xlfn.DAYS(入力シート!$J$24,'従業員情報(給与以外)'!$C163)/365))</f>
        <v/>
      </c>
      <c r="Q163" s="210" t="str">
        <f>IF(P163="","",VLOOKUP(_xlfn.DAYS(入力シート!$J$24,'従業員情報(給与以外)'!$C163)/365,入力リスト!$K$18:$L$26,2,2))</f>
        <v/>
      </c>
      <c r="R163" s="209" t="str">
        <f>IF(D163="","",VLOOKUP('従業員情報(給与以外)'!$D163,入力シート!$AW$37:$BB$38,4,0))</f>
        <v/>
      </c>
      <c r="S163" s="209" t="str">
        <f>IF(A163="","",IF(E163="","非役職",VLOOKUP('従業員情報(給与以外)'!$E163,入力シート!$AH$37:$AO$62,5,0)))</f>
        <v/>
      </c>
      <c r="T163" s="102" t="str">
        <f>IF(OR(入力シート!$C$5&lt;&gt;入力リスト!$C$3,COUNTIF(入力シート!$J$16:$S$23,入力リスト!$H$9)=0),"",IF($A163="","",IF(ISERROR(AVERAGEIF(従業員の給与情報!$B:$B,$A163,従業員の給与情報!$C:$C)),0,IF(ISERROR(AVERAGEIF(従業員の給与情報!$B:$B,$A163,従業員の給与情報!$C:$C)),0,AVERAGEIF(従業員の給与情報!$B:$B,$A163,従業員の給与情報!$C:$C)))))</f>
        <v/>
      </c>
      <c r="U163" s="102" t="str">
        <f>IF(OR(入力シート!$C$5&lt;&gt;入力リスト!$C$3,COUNTIF(入力シート!$J$16:$S$23,入力リスト!$H$9)=0),"",IF(A163="","",IF(ISERROR(AVERAGEIF(従業員の給与情報!$B:$B,$A163,従業員の給与情報!$D:$D)),0,IF(ISERROR(AVERAGEIF(従業員の給与情報!$B:$B,$A163,従業員の給与情報!$D:$D)),0,AVERAGEIF(従業員の給与情報!$B:$B,$A163,従業員の給与情報!$D:$D)))))</f>
        <v/>
      </c>
      <c r="V163" s="102" t="str">
        <f>IF(OR(入力シート!$C$5&lt;&gt;入力リスト!$C$3,COUNTIF(入力シート!$J$16:$S$23,入力リスト!$H$9)=0),"",IF(A163="","",IF(ISERROR(AVERAGEIF(従業員の給与情報!$B:$B,$A163,従業員の給与情報!$E:$E)),0,IF(ISERROR(AVERAGEIF(従業員の給与情報!$B:$B,$A163,従業員の給与情報!$E:$E)),0,AVERAGEIF(従業員の給与情報!$B:$B,$A163,従業員の給与情報!$E:$E)))))</f>
        <v/>
      </c>
      <c r="W163" s="103" t="str">
        <f>IF(OR(入力シート!$C$5&lt;&gt;入力リスト!$C$3,COUNTIF(入力シート!$J$16:$S$23,入力リスト!$H$9)=0),"",IF(A163="","",IF(ISERROR(AVERAGEIF(従業員の給与情報!$B:$B,$A163,従業員の給与情報!$F:$F)),0,IF(ISERROR(AVERAGEIF(従業員の給与情報!$B:$B,$A163,従業員の給与情報!$F:$F)),0,AVERAGEIF(従業員の給与情報!$B:$B,$A163,従業員の給与情報!$F:$F)))))</f>
        <v/>
      </c>
    </row>
    <row r="164" spans="1:23" s="10" customFormat="1" ht="19.8">
      <c r="A164" s="252"/>
      <c r="B164" s="249"/>
      <c r="C164" s="250"/>
      <c r="D164" s="251"/>
      <c r="E164" s="252"/>
      <c r="F164" s="257" t="str">
        <f>IF($G$1,"",IF(COUNTIF(A164:E164,"")=5,"",IF(G164,入力リスト!$K$28,IF(OR(A164="",B164="",IF(COUNTIF($C$3,"*不要*"),"",C164=""),D164=""),IF(A164="","従業員番号","")&amp;IF(B164="","「雇用形態」","")&amp;IF(OR(入力シート!$J$18=入力リスト!$H$9,入力シート!$J$22=入力リスト!$H$9),IF(C164="","「入社年月日」",""),"")&amp;IF(D164="","「性別」","")&amp;IF(IF(A164="","従業員番号","")&amp;IF(B164="","「雇用形態」","")&amp;IF(OR(入力シート!$J$18=入力リスト!$H$9,入力シート!$J$22=入力リスト!$H$9),IF(C164="","「入社年月日」",""),"")&amp;IF(D164="","「性別」","")="","",入力リスト!$K$29),IF(J164,入力リスト!$K$30,"")&amp;IF(I164,入力リスト!$K$31,"")&amp;IF(H164,"「雇用形態」","")&amp;IF(K164,"「性別」","")&amp;IF(L164,"「役職」","")&amp;IF(OR(H164,K164,L164),入力リスト!$K$32,"")))))</f>
        <v/>
      </c>
      <c r="G164" s="209" t="b">
        <f>COUNTIF($A$4:A163,$A164)&gt;0</f>
        <v>0</v>
      </c>
      <c r="H164" s="210" t="b">
        <f>IF($H$1,FALSE,COUNTIF(入力シート!$S$37:$V$62,B164)=0)</f>
        <v>0</v>
      </c>
      <c r="I164" s="210" t="b">
        <f t="shared" si="6"/>
        <v>0</v>
      </c>
      <c r="J164" s="210" t="b">
        <f>IF($J$1,FALSE,IF(I164=TRUE,FALSE,IF(I164,FALSE,C164&gt;入力シート!$J$24)))</f>
        <v>0</v>
      </c>
      <c r="K164" s="210" t="b">
        <f>IF($K$1,FALSE,COUNTIF(入力シート!$AW$37:$BB$38,D164)=0)</f>
        <v>0</v>
      </c>
      <c r="L164" s="210" t="b">
        <f>IF($L$1,FALSE,IF($L$3,FALSE,IF(E164="",FALSE,COUNTIF(入力シート!$AH$37:$AK$62,E164)=0)))</f>
        <v>0</v>
      </c>
      <c r="M164" s="211" t="str">
        <f t="shared" si="5"/>
        <v/>
      </c>
      <c r="N164" s="211"/>
      <c r="O164" s="209" t="str">
        <f>IF(B164="","",VLOOKUP('従業員情報(給与以外)'!$B164,入力シート!$S$37:$Z$62,5,0))</f>
        <v/>
      </c>
      <c r="P164" s="156" t="str">
        <f>IF(ISNUMBER(C164)=FALSE,"",IF(C164&gt;入力シート!$J$24,"",_xlfn.DAYS(入力シート!$J$24,'従業員情報(給与以外)'!$C164)/365))</f>
        <v/>
      </c>
      <c r="Q164" s="210" t="str">
        <f>IF(P164="","",VLOOKUP(_xlfn.DAYS(入力シート!$J$24,'従業員情報(給与以外)'!$C164)/365,入力リスト!$K$18:$L$26,2,2))</f>
        <v/>
      </c>
      <c r="R164" s="209" t="str">
        <f>IF(D164="","",VLOOKUP('従業員情報(給与以外)'!$D164,入力シート!$AW$37:$BB$38,4,0))</f>
        <v/>
      </c>
      <c r="S164" s="209" t="str">
        <f>IF(A164="","",IF(E164="","非役職",VLOOKUP('従業員情報(給与以外)'!$E164,入力シート!$AH$37:$AO$62,5,0)))</f>
        <v/>
      </c>
      <c r="T164" s="102" t="str">
        <f>IF(OR(入力シート!$C$5&lt;&gt;入力リスト!$C$3,COUNTIF(入力シート!$J$16:$S$23,入力リスト!$H$9)=0),"",IF($A164="","",IF(ISERROR(AVERAGEIF(従業員の給与情報!$B:$B,$A164,従業員の給与情報!$C:$C)),0,IF(ISERROR(AVERAGEIF(従業員の給与情報!$B:$B,$A164,従業員の給与情報!$C:$C)),0,AVERAGEIF(従業員の給与情報!$B:$B,$A164,従業員の給与情報!$C:$C)))))</f>
        <v/>
      </c>
      <c r="U164" s="102" t="str">
        <f>IF(OR(入力シート!$C$5&lt;&gt;入力リスト!$C$3,COUNTIF(入力シート!$J$16:$S$23,入力リスト!$H$9)=0),"",IF(A164="","",IF(ISERROR(AVERAGEIF(従業員の給与情報!$B:$B,$A164,従業員の給与情報!$D:$D)),0,IF(ISERROR(AVERAGEIF(従業員の給与情報!$B:$B,$A164,従業員の給与情報!$D:$D)),0,AVERAGEIF(従業員の給与情報!$B:$B,$A164,従業員の給与情報!$D:$D)))))</f>
        <v/>
      </c>
      <c r="V164" s="102" t="str">
        <f>IF(OR(入力シート!$C$5&lt;&gt;入力リスト!$C$3,COUNTIF(入力シート!$J$16:$S$23,入力リスト!$H$9)=0),"",IF(A164="","",IF(ISERROR(AVERAGEIF(従業員の給与情報!$B:$B,$A164,従業員の給与情報!$E:$E)),0,IF(ISERROR(AVERAGEIF(従業員の給与情報!$B:$B,$A164,従業員の給与情報!$E:$E)),0,AVERAGEIF(従業員の給与情報!$B:$B,$A164,従業員の給与情報!$E:$E)))))</f>
        <v/>
      </c>
      <c r="W164" s="103" t="str">
        <f>IF(OR(入力シート!$C$5&lt;&gt;入力リスト!$C$3,COUNTIF(入力シート!$J$16:$S$23,入力リスト!$H$9)=0),"",IF(A164="","",IF(ISERROR(AVERAGEIF(従業員の給与情報!$B:$B,$A164,従業員の給与情報!$F:$F)),0,IF(ISERROR(AVERAGEIF(従業員の給与情報!$B:$B,$A164,従業員の給与情報!$F:$F)),0,AVERAGEIF(従業員の給与情報!$B:$B,$A164,従業員の給与情報!$F:$F)))))</f>
        <v/>
      </c>
    </row>
    <row r="165" spans="1:23" s="10" customFormat="1" ht="19.8">
      <c r="A165" s="252"/>
      <c r="B165" s="249"/>
      <c r="C165" s="250"/>
      <c r="D165" s="251"/>
      <c r="E165" s="252"/>
      <c r="F165" s="257" t="str">
        <f>IF($G$1,"",IF(COUNTIF(A165:E165,"")=5,"",IF(G165,入力リスト!$K$28,IF(OR(A165="",B165="",IF(COUNTIF($C$3,"*不要*"),"",C165=""),D165=""),IF(A165="","従業員番号","")&amp;IF(B165="","「雇用形態」","")&amp;IF(OR(入力シート!$J$18=入力リスト!$H$9,入力シート!$J$22=入力リスト!$H$9),IF(C165="","「入社年月日」",""),"")&amp;IF(D165="","「性別」","")&amp;IF(IF(A165="","従業員番号","")&amp;IF(B165="","「雇用形態」","")&amp;IF(OR(入力シート!$J$18=入力リスト!$H$9,入力シート!$J$22=入力リスト!$H$9),IF(C165="","「入社年月日」",""),"")&amp;IF(D165="","「性別」","")="","",入力リスト!$K$29),IF(J165,入力リスト!$K$30,"")&amp;IF(I165,入力リスト!$K$31,"")&amp;IF(H165,"「雇用形態」","")&amp;IF(K165,"「性別」","")&amp;IF(L165,"「役職」","")&amp;IF(OR(H165,K165,L165),入力リスト!$K$32,"")))))</f>
        <v/>
      </c>
      <c r="G165" s="209" t="b">
        <f>COUNTIF($A$4:A164,$A165)&gt;0</f>
        <v>0</v>
      </c>
      <c r="H165" s="210" t="b">
        <f>IF($H$1,FALSE,COUNTIF(入力シート!$S$37:$V$62,B165)=0)</f>
        <v>0</v>
      </c>
      <c r="I165" s="210" t="b">
        <f t="shared" si="6"/>
        <v>0</v>
      </c>
      <c r="J165" s="210" t="b">
        <f>IF($J$1,FALSE,IF(I165=TRUE,FALSE,IF(I165,FALSE,C165&gt;入力シート!$J$24)))</f>
        <v>0</v>
      </c>
      <c r="K165" s="210" t="b">
        <f>IF($K$1,FALSE,COUNTIF(入力シート!$AW$37:$BB$38,D165)=0)</f>
        <v>0</v>
      </c>
      <c r="L165" s="210" t="b">
        <f>IF($L$1,FALSE,IF($L$3,FALSE,IF(E165="",FALSE,COUNTIF(入力シート!$AH$37:$AK$62,E165)=0)))</f>
        <v>0</v>
      </c>
      <c r="M165" s="211" t="str">
        <f t="shared" si="5"/>
        <v/>
      </c>
      <c r="N165" s="211"/>
      <c r="O165" s="209" t="str">
        <f>IF(B165="","",VLOOKUP('従業員情報(給与以外)'!$B165,入力シート!$S$37:$Z$62,5,0))</f>
        <v/>
      </c>
      <c r="P165" s="156" t="str">
        <f>IF(ISNUMBER(C165)=FALSE,"",IF(C165&gt;入力シート!$J$24,"",_xlfn.DAYS(入力シート!$J$24,'従業員情報(給与以外)'!$C165)/365))</f>
        <v/>
      </c>
      <c r="Q165" s="210" t="str">
        <f>IF(P165="","",VLOOKUP(_xlfn.DAYS(入力シート!$J$24,'従業員情報(給与以外)'!$C165)/365,入力リスト!$K$18:$L$26,2,2))</f>
        <v/>
      </c>
      <c r="R165" s="209" t="str">
        <f>IF(D165="","",VLOOKUP('従業員情報(給与以外)'!$D165,入力シート!$AW$37:$BB$38,4,0))</f>
        <v/>
      </c>
      <c r="S165" s="209" t="str">
        <f>IF(A165="","",IF(E165="","非役職",VLOOKUP('従業員情報(給与以外)'!$E165,入力シート!$AH$37:$AO$62,5,0)))</f>
        <v/>
      </c>
      <c r="T165" s="102" t="str">
        <f>IF(OR(入力シート!$C$5&lt;&gt;入力リスト!$C$3,COUNTIF(入力シート!$J$16:$S$23,入力リスト!$H$9)=0),"",IF($A165="","",IF(ISERROR(AVERAGEIF(従業員の給与情報!$B:$B,$A165,従業員の給与情報!$C:$C)),0,IF(ISERROR(AVERAGEIF(従業員の給与情報!$B:$B,$A165,従業員の給与情報!$C:$C)),0,AVERAGEIF(従業員の給与情報!$B:$B,$A165,従業員の給与情報!$C:$C)))))</f>
        <v/>
      </c>
      <c r="U165" s="102" t="str">
        <f>IF(OR(入力シート!$C$5&lt;&gt;入力リスト!$C$3,COUNTIF(入力シート!$J$16:$S$23,入力リスト!$H$9)=0),"",IF(A165="","",IF(ISERROR(AVERAGEIF(従業員の給与情報!$B:$B,$A165,従業員の給与情報!$D:$D)),0,IF(ISERROR(AVERAGEIF(従業員の給与情報!$B:$B,$A165,従業員の給与情報!$D:$D)),0,AVERAGEIF(従業員の給与情報!$B:$B,$A165,従業員の給与情報!$D:$D)))))</f>
        <v/>
      </c>
      <c r="V165" s="102" t="str">
        <f>IF(OR(入力シート!$C$5&lt;&gt;入力リスト!$C$3,COUNTIF(入力シート!$J$16:$S$23,入力リスト!$H$9)=0),"",IF(A165="","",IF(ISERROR(AVERAGEIF(従業員の給与情報!$B:$B,$A165,従業員の給与情報!$E:$E)),0,IF(ISERROR(AVERAGEIF(従業員の給与情報!$B:$B,$A165,従業員の給与情報!$E:$E)),0,AVERAGEIF(従業員の給与情報!$B:$B,$A165,従業員の給与情報!$E:$E)))))</f>
        <v/>
      </c>
      <c r="W165" s="103" t="str">
        <f>IF(OR(入力シート!$C$5&lt;&gt;入力リスト!$C$3,COUNTIF(入力シート!$J$16:$S$23,入力リスト!$H$9)=0),"",IF(A165="","",IF(ISERROR(AVERAGEIF(従業員の給与情報!$B:$B,$A165,従業員の給与情報!$F:$F)),0,IF(ISERROR(AVERAGEIF(従業員の給与情報!$B:$B,$A165,従業員の給与情報!$F:$F)),0,AVERAGEIF(従業員の給与情報!$B:$B,$A165,従業員の給与情報!$F:$F)))))</f>
        <v/>
      </c>
    </row>
    <row r="166" spans="1:23" s="10" customFormat="1" ht="19.8">
      <c r="A166" s="252"/>
      <c r="B166" s="249"/>
      <c r="C166" s="250"/>
      <c r="D166" s="251"/>
      <c r="E166" s="252"/>
      <c r="F166" s="257" t="str">
        <f>IF($G$1,"",IF(COUNTIF(A166:E166,"")=5,"",IF(G166,入力リスト!$K$28,IF(OR(A166="",B166="",IF(COUNTIF($C$3,"*不要*"),"",C166=""),D166=""),IF(A166="","従業員番号","")&amp;IF(B166="","「雇用形態」","")&amp;IF(OR(入力シート!$J$18=入力リスト!$H$9,入力シート!$J$22=入力リスト!$H$9),IF(C166="","「入社年月日」",""),"")&amp;IF(D166="","「性別」","")&amp;IF(IF(A166="","従業員番号","")&amp;IF(B166="","「雇用形態」","")&amp;IF(OR(入力シート!$J$18=入力リスト!$H$9,入力シート!$J$22=入力リスト!$H$9),IF(C166="","「入社年月日」",""),"")&amp;IF(D166="","「性別」","")="","",入力リスト!$K$29),IF(J166,入力リスト!$K$30,"")&amp;IF(I166,入力リスト!$K$31,"")&amp;IF(H166,"「雇用形態」","")&amp;IF(K166,"「性別」","")&amp;IF(L166,"「役職」","")&amp;IF(OR(H166,K166,L166),入力リスト!$K$32,"")))))</f>
        <v/>
      </c>
      <c r="G166" s="209" t="b">
        <f>COUNTIF($A$4:A165,$A166)&gt;0</f>
        <v>0</v>
      </c>
      <c r="H166" s="210" t="b">
        <f>IF($H$1,FALSE,COUNTIF(入力シート!$S$37:$V$62,B166)=0)</f>
        <v>0</v>
      </c>
      <c r="I166" s="210" t="b">
        <f t="shared" si="6"/>
        <v>0</v>
      </c>
      <c r="J166" s="210" t="b">
        <f>IF($J$1,FALSE,IF(I166=TRUE,FALSE,IF(I166,FALSE,C166&gt;入力シート!$J$24)))</f>
        <v>0</v>
      </c>
      <c r="K166" s="210" t="b">
        <f>IF($K$1,FALSE,COUNTIF(入力シート!$AW$37:$BB$38,D166)=0)</f>
        <v>0</v>
      </c>
      <c r="L166" s="210" t="b">
        <f>IF($L$1,FALSE,IF($L$3,FALSE,IF(E166="",FALSE,COUNTIF(入力シート!$AH$37:$AK$62,E166)=0)))</f>
        <v>0</v>
      </c>
      <c r="M166" s="211" t="str">
        <f t="shared" si="5"/>
        <v/>
      </c>
      <c r="N166" s="211"/>
      <c r="O166" s="209" t="str">
        <f>IF(B166="","",VLOOKUP('従業員情報(給与以外)'!$B166,入力シート!$S$37:$Z$62,5,0))</f>
        <v/>
      </c>
      <c r="P166" s="156" t="str">
        <f>IF(ISNUMBER(C166)=FALSE,"",IF(C166&gt;入力シート!$J$24,"",_xlfn.DAYS(入力シート!$J$24,'従業員情報(給与以外)'!$C166)/365))</f>
        <v/>
      </c>
      <c r="Q166" s="210" t="str">
        <f>IF(P166="","",VLOOKUP(_xlfn.DAYS(入力シート!$J$24,'従業員情報(給与以外)'!$C166)/365,入力リスト!$K$18:$L$26,2,2))</f>
        <v/>
      </c>
      <c r="R166" s="209" t="str">
        <f>IF(D166="","",VLOOKUP('従業員情報(給与以外)'!$D166,入力シート!$AW$37:$BB$38,4,0))</f>
        <v/>
      </c>
      <c r="S166" s="209" t="str">
        <f>IF(A166="","",IF(E166="","非役職",VLOOKUP('従業員情報(給与以外)'!$E166,入力シート!$AH$37:$AO$62,5,0)))</f>
        <v/>
      </c>
      <c r="T166" s="102" t="str">
        <f>IF(OR(入力シート!$C$5&lt;&gt;入力リスト!$C$3,COUNTIF(入力シート!$J$16:$S$23,入力リスト!$H$9)=0),"",IF($A166="","",IF(ISERROR(AVERAGEIF(従業員の給与情報!$B:$B,$A166,従業員の給与情報!$C:$C)),0,IF(ISERROR(AVERAGEIF(従業員の給与情報!$B:$B,$A166,従業員の給与情報!$C:$C)),0,AVERAGEIF(従業員の給与情報!$B:$B,$A166,従業員の給与情報!$C:$C)))))</f>
        <v/>
      </c>
      <c r="U166" s="102" t="str">
        <f>IF(OR(入力シート!$C$5&lt;&gt;入力リスト!$C$3,COUNTIF(入力シート!$J$16:$S$23,入力リスト!$H$9)=0),"",IF(A166="","",IF(ISERROR(AVERAGEIF(従業員の給与情報!$B:$B,$A166,従業員の給与情報!$D:$D)),0,IF(ISERROR(AVERAGEIF(従業員の給与情報!$B:$B,$A166,従業員の給与情報!$D:$D)),0,AVERAGEIF(従業員の給与情報!$B:$B,$A166,従業員の給与情報!$D:$D)))))</f>
        <v/>
      </c>
      <c r="V166" s="102" t="str">
        <f>IF(OR(入力シート!$C$5&lt;&gt;入力リスト!$C$3,COUNTIF(入力シート!$J$16:$S$23,入力リスト!$H$9)=0),"",IF(A166="","",IF(ISERROR(AVERAGEIF(従業員の給与情報!$B:$B,$A166,従業員の給与情報!$E:$E)),0,IF(ISERROR(AVERAGEIF(従業員の給与情報!$B:$B,$A166,従業員の給与情報!$E:$E)),0,AVERAGEIF(従業員の給与情報!$B:$B,$A166,従業員の給与情報!$E:$E)))))</f>
        <v/>
      </c>
      <c r="W166" s="103" t="str">
        <f>IF(OR(入力シート!$C$5&lt;&gt;入力リスト!$C$3,COUNTIF(入力シート!$J$16:$S$23,入力リスト!$H$9)=0),"",IF(A166="","",IF(ISERROR(AVERAGEIF(従業員の給与情報!$B:$B,$A166,従業員の給与情報!$F:$F)),0,IF(ISERROR(AVERAGEIF(従業員の給与情報!$B:$B,$A166,従業員の給与情報!$F:$F)),0,AVERAGEIF(従業員の給与情報!$B:$B,$A166,従業員の給与情報!$F:$F)))))</f>
        <v/>
      </c>
    </row>
    <row r="167" spans="1:23" s="10" customFormat="1" ht="19.8">
      <c r="A167" s="252"/>
      <c r="B167" s="249"/>
      <c r="C167" s="250"/>
      <c r="D167" s="251"/>
      <c r="E167" s="252"/>
      <c r="F167" s="257" t="str">
        <f>IF($G$1,"",IF(COUNTIF(A167:E167,"")=5,"",IF(G167,入力リスト!$K$28,IF(OR(A167="",B167="",IF(COUNTIF($C$3,"*不要*"),"",C167=""),D167=""),IF(A167="","従業員番号","")&amp;IF(B167="","「雇用形態」","")&amp;IF(OR(入力シート!$J$18=入力リスト!$H$9,入力シート!$J$22=入力リスト!$H$9),IF(C167="","「入社年月日」",""),"")&amp;IF(D167="","「性別」","")&amp;IF(IF(A167="","従業員番号","")&amp;IF(B167="","「雇用形態」","")&amp;IF(OR(入力シート!$J$18=入力リスト!$H$9,入力シート!$J$22=入力リスト!$H$9),IF(C167="","「入社年月日」",""),"")&amp;IF(D167="","「性別」","")="","",入力リスト!$K$29),IF(J167,入力リスト!$K$30,"")&amp;IF(I167,入力リスト!$K$31,"")&amp;IF(H167,"「雇用形態」","")&amp;IF(K167,"「性別」","")&amp;IF(L167,"「役職」","")&amp;IF(OR(H167,K167,L167),入力リスト!$K$32,"")))))</f>
        <v/>
      </c>
      <c r="G167" s="209" t="b">
        <f>COUNTIF($A$4:A166,$A167)&gt;0</f>
        <v>0</v>
      </c>
      <c r="H167" s="210" t="b">
        <f>IF($H$1,FALSE,COUNTIF(入力シート!$S$37:$V$62,B167)=0)</f>
        <v>0</v>
      </c>
      <c r="I167" s="210" t="b">
        <f t="shared" si="6"/>
        <v>0</v>
      </c>
      <c r="J167" s="210" t="b">
        <f>IF($J$1,FALSE,IF(I167=TRUE,FALSE,IF(I167,FALSE,C167&gt;入力シート!$J$24)))</f>
        <v>0</v>
      </c>
      <c r="K167" s="210" t="b">
        <f>IF($K$1,FALSE,COUNTIF(入力シート!$AW$37:$BB$38,D167)=0)</f>
        <v>0</v>
      </c>
      <c r="L167" s="210" t="b">
        <f>IF($L$1,FALSE,IF($L$3,FALSE,IF(E167="",FALSE,COUNTIF(入力シート!$AH$37:$AK$62,E167)=0)))</f>
        <v>0</v>
      </c>
      <c r="M167" s="211" t="str">
        <f t="shared" si="5"/>
        <v/>
      </c>
      <c r="N167" s="211"/>
      <c r="O167" s="209" t="str">
        <f>IF(B167="","",VLOOKUP('従業員情報(給与以外)'!$B167,入力シート!$S$37:$Z$62,5,0))</f>
        <v/>
      </c>
      <c r="P167" s="156" t="str">
        <f>IF(ISNUMBER(C167)=FALSE,"",IF(C167&gt;入力シート!$J$24,"",_xlfn.DAYS(入力シート!$J$24,'従業員情報(給与以外)'!$C167)/365))</f>
        <v/>
      </c>
      <c r="Q167" s="210" t="str">
        <f>IF(P167="","",VLOOKUP(_xlfn.DAYS(入力シート!$J$24,'従業員情報(給与以外)'!$C167)/365,入力リスト!$K$18:$L$26,2,2))</f>
        <v/>
      </c>
      <c r="R167" s="209" t="str">
        <f>IF(D167="","",VLOOKUP('従業員情報(給与以外)'!$D167,入力シート!$AW$37:$BB$38,4,0))</f>
        <v/>
      </c>
      <c r="S167" s="209" t="str">
        <f>IF(A167="","",IF(E167="","非役職",VLOOKUP('従業員情報(給与以外)'!$E167,入力シート!$AH$37:$AO$62,5,0)))</f>
        <v/>
      </c>
      <c r="T167" s="102" t="str">
        <f>IF(OR(入力シート!$C$5&lt;&gt;入力リスト!$C$3,COUNTIF(入力シート!$J$16:$S$23,入力リスト!$H$9)=0),"",IF($A167="","",IF(ISERROR(AVERAGEIF(従業員の給与情報!$B:$B,$A167,従業員の給与情報!$C:$C)),0,IF(ISERROR(AVERAGEIF(従業員の給与情報!$B:$B,$A167,従業員の給与情報!$C:$C)),0,AVERAGEIF(従業員の給与情報!$B:$B,$A167,従業員の給与情報!$C:$C)))))</f>
        <v/>
      </c>
      <c r="U167" s="102" t="str">
        <f>IF(OR(入力シート!$C$5&lt;&gt;入力リスト!$C$3,COUNTIF(入力シート!$J$16:$S$23,入力リスト!$H$9)=0),"",IF(A167="","",IF(ISERROR(AVERAGEIF(従業員の給与情報!$B:$B,$A167,従業員の給与情報!$D:$D)),0,IF(ISERROR(AVERAGEIF(従業員の給与情報!$B:$B,$A167,従業員の給与情報!$D:$D)),0,AVERAGEIF(従業員の給与情報!$B:$B,$A167,従業員の給与情報!$D:$D)))))</f>
        <v/>
      </c>
      <c r="V167" s="102" t="str">
        <f>IF(OR(入力シート!$C$5&lt;&gt;入力リスト!$C$3,COUNTIF(入力シート!$J$16:$S$23,入力リスト!$H$9)=0),"",IF(A167="","",IF(ISERROR(AVERAGEIF(従業員の給与情報!$B:$B,$A167,従業員の給与情報!$E:$E)),0,IF(ISERROR(AVERAGEIF(従業員の給与情報!$B:$B,$A167,従業員の給与情報!$E:$E)),0,AVERAGEIF(従業員の給与情報!$B:$B,$A167,従業員の給与情報!$E:$E)))))</f>
        <v/>
      </c>
      <c r="W167" s="103" t="str">
        <f>IF(OR(入力シート!$C$5&lt;&gt;入力リスト!$C$3,COUNTIF(入力シート!$J$16:$S$23,入力リスト!$H$9)=0),"",IF(A167="","",IF(ISERROR(AVERAGEIF(従業員の給与情報!$B:$B,$A167,従業員の給与情報!$F:$F)),0,IF(ISERROR(AVERAGEIF(従業員の給与情報!$B:$B,$A167,従業員の給与情報!$F:$F)),0,AVERAGEIF(従業員の給与情報!$B:$B,$A167,従業員の給与情報!$F:$F)))))</f>
        <v/>
      </c>
    </row>
    <row r="168" spans="1:23" s="10" customFormat="1" ht="19.8">
      <c r="A168" s="252"/>
      <c r="B168" s="249"/>
      <c r="C168" s="250"/>
      <c r="D168" s="251"/>
      <c r="E168" s="252"/>
      <c r="F168" s="257" t="str">
        <f>IF($G$1,"",IF(COUNTIF(A168:E168,"")=5,"",IF(G168,入力リスト!$K$28,IF(OR(A168="",B168="",IF(COUNTIF($C$3,"*不要*"),"",C168=""),D168=""),IF(A168="","従業員番号","")&amp;IF(B168="","「雇用形態」","")&amp;IF(OR(入力シート!$J$18=入力リスト!$H$9,入力シート!$J$22=入力リスト!$H$9),IF(C168="","「入社年月日」",""),"")&amp;IF(D168="","「性別」","")&amp;IF(IF(A168="","従業員番号","")&amp;IF(B168="","「雇用形態」","")&amp;IF(OR(入力シート!$J$18=入力リスト!$H$9,入力シート!$J$22=入力リスト!$H$9),IF(C168="","「入社年月日」",""),"")&amp;IF(D168="","「性別」","")="","",入力リスト!$K$29),IF(J168,入力リスト!$K$30,"")&amp;IF(I168,入力リスト!$K$31,"")&amp;IF(H168,"「雇用形態」","")&amp;IF(K168,"「性別」","")&amp;IF(L168,"「役職」","")&amp;IF(OR(H168,K168,L168),入力リスト!$K$32,"")))))</f>
        <v/>
      </c>
      <c r="G168" s="209" t="b">
        <f>COUNTIF($A$4:A167,$A168)&gt;0</f>
        <v>0</v>
      </c>
      <c r="H168" s="210" t="b">
        <f>IF($H$1,FALSE,COUNTIF(入力シート!$S$37:$V$62,B168)=0)</f>
        <v>0</v>
      </c>
      <c r="I168" s="210" t="b">
        <f t="shared" si="6"/>
        <v>0</v>
      </c>
      <c r="J168" s="210" t="b">
        <f>IF($J$1,FALSE,IF(I168=TRUE,FALSE,IF(I168,FALSE,C168&gt;入力シート!$J$24)))</f>
        <v>0</v>
      </c>
      <c r="K168" s="210" t="b">
        <f>IF($K$1,FALSE,COUNTIF(入力シート!$AW$37:$BB$38,D168)=0)</f>
        <v>0</v>
      </c>
      <c r="L168" s="210" t="b">
        <f>IF($L$1,FALSE,IF($L$3,FALSE,IF(E168="",FALSE,COUNTIF(入力シート!$AH$37:$AK$62,E168)=0)))</f>
        <v>0</v>
      </c>
      <c r="M168" s="211" t="str">
        <f t="shared" si="5"/>
        <v/>
      </c>
      <c r="N168" s="211"/>
      <c r="O168" s="209" t="str">
        <f>IF(B168="","",VLOOKUP('従業員情報(給与以外)'!$B168,入力シート!$S$37:$Z$62,5,0))</f>
        <v/>
      </c>
      <c r="P168" s="156" t="str">
        <f>IF(ISNUMBER(C168)=FALSE,"",IF(C168&gt;入力シート!$J$24,"",_xlfn.DAYS(入力シート!$J$24,'従業員情報(給与以外)'!$C168)/365))</f>
        <v/>
      </c>
      <c r="Q168" s="210" t="str">
        <f>IF(P168="","",VLOOKUP(_xlfn.DAYS(入力シート!$J$24,'従業員情報(給与以外)'!$C168)/365,入力リスト!$K$18:$L$26,2,2))</f>
        <v/>
      </c>
      <c r="R168" s="209" t="str">
        <f>IF(D168="","",VLOOKUP('従業員情報(給与以外)'!$D168,入力シート!$AW$37:$BB$38,4,0))</f>
        <v/>
      </c>
      <c r="S168" s="209" t="str">
        <f>IF(A168="","",IF(E168="","非役職",VLOOKUP('従業員情報(給与以外)'!$E168,入力シート!$AH$37:$AO$62,5,0)))</f>
        <v/>
      </c>
      <c r="T168" s="102" t="str">
        <f>IF(OR(入力シート!$C$5&lt;&gt;入力リスト!$C$3,COUNTIF(入力シート!$J$16:$S$23,入力リスト!$H$9)=0),"",IF($A168="","",IF(ISERROR(AVERAGEIF(従業員の給与情報!$B:$B,$A168,従業員の給与情報!$C:$C)),0,IF(ISERROR(AVERAGEIF(従業員の給与情報!$B:$B,$A168,従業員の給与情報!$C:$C)),0,AVERAGEIF(従業員の給与情報!$B:$B,$A168,従業員の給与情報!$C:$C)))))</f>
        <v/>
      </c>
      <c r="U168" s="102" t="str">
        <f>IF(OR(入力シート!$C$5&lt;&gt;入力リスト!$C$3,COUNTIF(入力シート!$J$16:$S$23,入力リスト!$H$9)=0),"",IF(A168="","",IF(ISERROR(AVERAGEIF(従業員の給与情報!$B:$B,$A168,従業員の給与情報!$D:$D)),0,IF(ISERROR(AVERAGEIF(従業員の給与情報!$B:$B,$A168,従業員の給与情報!$D:$D)),0,AVERAGEIF(従業員の給与情報!$B:$B,$A168,従業員の給与情報!$D:$D)))))</f>
        <v/>
      </c>
      <c r="V168" s="102" t="str">
        <f>IF(OR(入力シート!$C$5&lt;&gt;入力リスト!$C$3,COUNTIF(入力シート!$J$16:$S$23,入力リスト!$H$9)=0),"",IF(A168="","",IF(ISERROR(AVERAGEIF(従業員の給与情報!$B:$B,$A168,従業員の給与情報!$E:$E)),0,IF(ISERROR(AVERAGEIF(従業員の給与情報!$B:$B,$A168,従業員の給与情報!$E:$E)),0,AVERAGEIF(従業員の給与情報!$B:$B,$A168,従業員の給与情報!$E:$E)))))</f>
        <v/>
      </c>
      <c r="W168" s="103" t="str">
        <f>IF(OR(入力シート!$C$5&lt;&gt;入力リスト!$C$3,COUNTIF(入力シート!$J$16:$S$23,入力リスト!$H$9)=0),"",IF(A168="","",IF(ISERROR(AVERAGEIF(従業員の給与情報!$B:$B,$A168,従業員の給与情報!$F:$F)),0,IF(ISERROR(AVERAGEIF(従業員の給与情報!$B:$B,$A168,従業員の給与情報!$F:$F)),0,AVERAGEIF(従業員の給与情報!$B:$B,$A168,従業員の給与情報!$F:$F)))))</f>
        <v/>
      </c>
    </row>
    <row r="169" spans="1:23" s="10" customFormat="1" ht="19.8">
      <c r="A169" s="252"/>
      <c r="B169" s="249"/>
      <c r="C169" s="250"/>
      <c r="D169" s="251"/>
      <c r="E169" s="252"/>
      <c r="F169" s="257" t="str">
        <f>IF($G$1,"",IF(COUNTIF(A169:E169,"")=5,"",IF(G169,入力リスト!$K$28,IF(OR(A169="",B169="",IF(COUNTIF($C$3,"*不要*"),"",C169=""),D169=""),IF(A169="","従業員番号","")&amp;IF(B169="","「雇用形態」","")&amp;IF(OR(入力シート!$J$18=入力リスト!$H$9,入力シート!$J$22=入力リスト!$H$9),IF(C169="","「入社年月日」",""),"")&amp;IF(D169="","「性別」","")&amp;IF(IF(A169="","従業員番号","")&amp;IF(B169="","「雇用形態」","")&amp;IF(OR(入力シート!$J$18=入力リスト!$H$9,入力シート!$J$22=入力リスト!$H$9),IF(C169="","「入社年月日」",""),"")&amp;IF(D169="","「性別」","")="","",入力リスト!$K$29),IF(J169,入力リスト!$K$30,"")&amp;IF(I169,入力リスト!$K$31,"")&amp;IF(H169,"「雇用形態」","")&amp;IF(K169,"「性別」","")&amp;IF(L169,"「役職」","")&amp;IF(OR(H169,K169,L169),入力リスト!$K$32,"")))))</f>
        <v/>
      </c>
      <c r="G169" s="209" t="b">
        <f>COUNTIF($A$4:A168,$A169)&gt;0</f>
        <v>0</v>
      </c>
      <c r="H169" s="210" t="b">
        <f>IF($H$1,FALSE,COUNTIF(入力シート!$S$37:$V$62,B169)=0)</f>
        <v>0</v>
      </c>
      <c r="I169" s="210" t="b">
        <f t="shared" si="6"/>
        <v>0</v>
      </c>
      <c r="J169" s="210" t="b">
        <f>IF($J$1,FALSE,IF(I169=TRUE,FALSE,IF(I169,FALSE,C169&gt;入力シート!$J$24)))</f>
        <v>0</v>
      </c>
      <c r="K169" s="210" t="b">
        <f>IF($K$1,FALSE,COUNTIF(入力シート!$AW$37:$BB$38,D169)=0)</f>
        <v>0</v>
      </c>
      <c r="L169" s="210" t="b">
        <f>IF($L$1,FALSE,IF($L$3,FALSE,IF(E169="",FALSE,COUNTIF(入力シート!$AH$37:$AK$62,E169)=0)))</f>
        <v>0</v>
      </c>
      <c r="M169" s="211" t="str">
        <f t="shared" si="5"/>
        <v/>
      </c>
      <c r="N169" s="211"/>
      <c r="O169" s="209" t="str">
        <f>IF(B169="","",VLOOKUP('従業員情報(給与以外)'!$B169,入力シート!$S$37:$Z$62,5,0))</f>
        <v/>
      </c>
      <c r="P169" s="156" t="str">
        <f>IF(ISNUMBER(C169)=FALSE,"",IF(C169&gt;入力シート!$J$24,"",_xlfn.DAYS(入力シート!$J$24,'従業員情報(給与以外)'!$C169)/365))</f>
        <v/>
      </c>
      <c r="Q169" s="210" t="str">
        <f>IF(P169="","",VLOOKUP(_xlfn.DAYS(入力シート!$J$24,'従業員情報(給与以外)'!$C169)/365,入力リスト!$K$18:$L$26,2,2))</f>
        <v/>
      </c>
      <c r="R169" s="209" t="str">
        <f>IF(D169="","",VLOOKUP('従業員情報(給与以外)'!$D169,入力シート!$AW$37:$BB$38,4,0))</f>
        <v/>
      </c>
      <c r="S169" s="209" t="str">
        <f>IF(A169="","",IF(E169="","非役職",VLOOKUP('従業員情報(給与以外)'!$E169,入力シート!$AH$37:$AO$62,5,0)))</f>
        <v/>
      </c>
      <c r="T169" s="102" t="str">
        <f>IF(OR(入力シート!$C$5&lt;&gt;入力リスト!$C$3,COUNTIF(入力シート!$J$16:$S$23,入力リスト!$H$9)=0),"",IF($A169="","",IF(ISERROR(AVERAGEIF(従業員の給与情報!$B:$B,$A169,従業員の給与情報!$C:$C)),0,IF(ISERROR(AVERAGEIF(従業員の給与情報!$B:$B,$A169,従業員の給与情報!$C:$C)),0,AVERAGEIF(従業員の給与情報!$B:$B,$A169,従業員の給与情報!$C:$C)))))</f>
        <v/>
      </c>
      <c r="U169" s="102" t="str">
        <f>IF(OR(入力シート!$C$5&lt;&gt;入力リスト!$C$3,COUNTIF(入力シート!$J$16:$S$23,入力リスト!$H$9)=0),"",IF(A169="","",IF(ISERROR(AVERAGEIF(従業員の給与情報!$B:$B,$A169,従業員の給与情報!$D:$D)),0,IF(ISERROR(AVERAGEIF(従業員の給与情報!$B:$B,$A169,従業員の給与情報!$D:$D)),0,AVERAGEIF(従業員の給与情報!$B:$B,$A169,従業員の給与情報!$D:$D)))))</f>
        <v/>
      </c>
      <c r="V169" s="102" t="str">
        <f>IF(OR(入力シート!$C$5&lt;&gt;入力リスト!$C$3,COUNTIF(入力シート!$J$16:$S$23,入力リスト!$H$9)=0),"",IF(A169="","",IF(ISERROR(AVERAGEIF(従業員の給与情報!$B:$B,$A169,従業員の給与情報!$E:$E)),0,IF(ISERROR(AVERAGEIF(従業員の給与情報!$B:$B,$A169,従業員の給与情報!$E:$E)),0,AVERAGEIF(従業員の給与情報!$B:$B,$A169,従業員の給与情報!$E:$E)))))</f>
        <v/>
      </c>
      <c r="W169" s="103" t="str">
        <f>IF(OR(入力シート!$C$5&lt;&gt;入力リスト!$C$3,COUNTIF(入力シート!$J$16:$S$23,入力リスト!$H$9)=0),"",IF(A169="","",IF(ISERROR(AVERAGEIF(従業員の給与情報!$B:$B,$A169,従業員の給与情報!$F:$F)),0,IF(ISERROR(AVERAGEIF(従業員の給与情報!$B:$B,$A169,従業員の給与情報!$F:$F)),0,AVERAGEIF(従業員の給与情報!$B:$B,$A169,従業員の給与情報!$F:$F)))))</f>
        <v/>
      </c>
    </row>
    <row r="170" spans="1:23" s="10" customFormat="1" ht="19.8">
      <c r="A170" s="252"/>
      <c r="B170" s="249"/>
      <c r="C170" s="250"/>
      <c r="D170" s="251"/>
      <c r="E170" s="249"/>
      <c r="F170" s="257" t="str">
        <f>IF($G$1,"",IF(COUNTIF(A170:E170,"")=5,"",IF(G170,入力リスト!$K$28,IF(OR(A170="",B170="",IF(COUNTIF($C$3,"*不要*"),"",C170=""),D170=""),IF(A170="","従業員番号","")&amp;IF(B170="","「雇用形態」","")&amp;IF(OR(入力シート!$J$18=入力リスト!$H$9,入力シート!$J$22=入力リスト!$H$9),IF(C170="","「入社年月日」",""),"")&amp;IF(D170="","「性別」","")&amp;IF(IF(A170="","従業員番号","")&amp;IF(B170="","「雇用形態」","")&amp;IF(OR(入力シート!$J$18=入力リスト!$H$9,入力シート!$J$22=入力リスト!$H$9),IF(C170="","「入社年月日」",""),"")&amp;IF(D170="","「性別」","")="","",入力リスト!$K$29),IF(J170,入力リスト!$K$30,"")&amp;IF(I170,入力リスト!$K$31,"")&amp;IF(H170,"「雇用形態」","")&amp;IF(K170,"「性別」","")&amp;IF(L170,"「役職」","")&amp;IF(OR(H170,K170,L170),入力リスト!$K$32,"")))))</f>
        <v/>
      </c>
      <c r="G170" s="209" t="b">
        <f>COUNTIF($A$4:A169,$A170)&gt;0</f>
        <v>0</v>
      </c>
      <c r="H170" s="210" t="b">
        <f>IF($H$1,FALSE,COUNTIF(入力シート!$S$37:$V$62,B170)=0)</f>
        <v>0</v>
      </c>
      <c r="I170" s="210" t="b">
        <f t="shared" si="6"/>
        <v>0</v>
      </c>
      <c r="J170" s="210" t="b">
        <f>IF($J$1,FALSE,IF(I170=TRUE,FALSE,IF(I170,FALSE,C170&gt;入力シート!$J$24)))</f>
        <v>0</v>
      </c>
      <c r="K170" s="210" t="b">
        <f>IF($K$1,FALSE,COUNTIF(入力シート!$AW$37:$BB$38,D170)=0)</f>
        <v>0</v>
      </c>
      <c r="L170" s="210" t="b">
        <f>IF($L$1,FALSE,IF($L$3,FALSE,IF(E170="",FALSE,COUNTIF(入力シート!$AH$37:$AK$62,E170)=0)))</f>
        <v>0</v>
      </c>
      <c r="M170" s="211" t="str">
        <f t="shared" si="5"/>
        <v/>
      </c>
      <c r="N170" s="211"/>
      <c r="O170" s="209" t="str">
        <f>IF(B170="","",VLOOKUP('従業員情報(給与以外)'!$B170,入力シート!$S$37:$Z$62,5,0))</f>
        <v/>
      </c>
      <c r="P170" s="156" t="str">
        <f>IF(ISNUMBER(C170)=FALSE,"",IF(C170&gt;入力シート!$J$24,"",_xlfn.DAYS(入力シート!$J$24,'従業員情報(給与以外)'!$C170)/365))</f>
        <v/>
      </c>
      <c r="Q170" s="210" t="str">
        <f>IF(P170="","",VLOOKUP(_xlfn.DAYS(入力シート!$J$24,'従業員情報(給与以外)'!$C170)/365,入力リスト!$K$18:$L$26,2,2))</f>
        <v/>
      </c>
      <c r="R170" s="209" t="str">
        <f>IF(D170="","",VLOOKUP('従業員情報(給与以外)'!$D170,入力シート!$AW$37:$BB$38,4,0))</f>
        <v/>
      </c>
      <c r="S170" s="209" t="str">
        <f>IF(A170="","",IF(E170="","非役職",VLOOKUP('従業員情報(給与以外)'!$E170,入力シート!$AH$37:$AO$62,5,0)))</f>
        <v/>
      </c>
      <c r="T170" s="102" t="str">
        <f>IF(OR(入力シート!$C$5&lt;&gt;入力リスト!$C$3,COUNTIF(入力シート!$J$16:$S$23,入力リスト!$H$9)=0),"",IF($A170="","",IF(ISERROR(AVERAGEIF(従業員の給与情報!$B:$B,$A170,従業員の給与情報!$C:$C)),0,IF(ISERROR(AVERAGEIF(従業員の給与情報!$B:$B,$A170,従業員の給与情報!$C:$C)),0,AVERAGEIF(従業員の給与情報!$B:$B,$A170,従業員の給与情報!$C:$C)))))</f>
        <v/>
      </c>
      <c r="U170" s="102" t="str">
        <f>IF(OR(入力シート!$C$5&lt;&gt;入力リスト!$C$3,COUNTIF(入力シート!$J$16:$S$23,入力リスト!$H$9)=0),"",IF(A170="","",IF(ISERROR(AVERAGEIF(従業員の給与情報!$B:$B,$A170,従業員の給与情報!$D:$D)),0,IF(ISERROR(AVERAGEIF(従業員の給与情報!$B:$B,$A170,従業員の給与情報!$D:$D)),0,AVERAGEIF(従業員の給与情報!$B:$B,$A170,従業員の給与情報!$D:$D)))))</f>
        <v/>
      </c>
      <c r="V170" s="102" t="str">
        <f>IF(OR(入力シート!$C$5&lt;&gt;入力リスト!$C$3,COUNTIF(入力シート!$J$16:$S$23,入力リスト!$H$9)=0),"",IF(A170="","",IF(ISERROR(AVERAGEIF(従業員の給与情報!$B:$B,$A170,従業員の給与情報!$E:$E)),0,IF(ISERROR(AVERAGEIF(従業員の給与情報!$B:$B,$A170,従業員の給与情報!$E:$E)),0,AVERAGEIF(従業員の給与情報!$B:$B,$A170,従業員の給与情報!$E:$E)))))</f>
        <v/>
      </c>
      <c r="W170" s="103" t="str">
        <f>IF(OR(入力シート!$C$5&lt;&gt;入力リスト!$C$3,COUNTIF(入力シート!$J$16:$S$23,入力リスト!$H$9)=0),"",IF(A170="","",IF(ISERROR(AVERAGEIF(従業員の給与情報!$B:$B,$A170,従業員の給与情報!$F:$F)),0,IF(ISERROR(AVERAGEIF(従業員の給与情報!$B:$B,$A170,従業員の給与情報!$F:$F)),0,AVERAGEIF(従業員の給与情報!$B:$B,$A170,従業員の給与情報!$F:$F)))))</f>
        <v/>
      </c>
    </row>
    <row r="171" spans="1:23" s="10" customFormat="1" ht="19.8">
      <c r="A171" s="252"/>
      <c r="B171" s="249"/>
      <c r="C171" s="250"/>
      <c r="D171" s="251"/>
      <c r="E171" s="252"/>
      <c r="F171" s="257" t="str">
        <f>IF($G$1,"",IF(COUNTIF(A171:E171,"")=5,"",IF(G171,入力リスト!$K$28,IF(OR(A171="",B171="",IF(COUNTIF($C$3,"*不要*"),"",C171=""),D171=""),IF(A171="","従業員番号","")&amp;IF(B171="","「雇用形態」","")&amp;IF(OR(入力シート!$J$18=入力リスト!$H$9,入力シート!$J$22=入力リスト!$H$9),IF(C171="","「入社年月日」",""),"")&amp;IF(D171="","「性別」","")&amp;IF(IF(A171="","従業員番号","")&amp;IF(B171="","「雇用形態」","")&amp;IF(OR(入力シート!$J$18=入力リスト!$H$9,入力シート!$J$22=入力リスト!$H$9),IF(C171="","「入社年月日」",""),"")&amp;IF(D171="","「性別」","")="","",入力リスト!$K$29),IF(J171,入力リスト!$K$30,"")&amp;IF(I171,入力リスト!$K$31,"")&amp;IF(H171,"「雇用形態」","")&amp;IF(K171,"「性別」","")&amp;IF(L171,"「役職」","")&amp;IF(OR(H171,K171,L171),入力リスト!$K$32,"")))))</f>
        <v/>
      </c>
      <c r="G171" s="209" t="b">
        <f>COUNTIF($A$4:A170,$A171)&gt;0</f>
        <v>0</v>
      </c>
      <c r="H171" s="210" t="b">
        <f>IF($H$1,FALSE,COUNTIF(入力シート!$S$37:$V$62,B171)=0)</f>
        <v>0</v>
      </c>
      <c r="I171" s="210" t="b">
        <f t="shared" si="6"/>
        <v>0</v>
      </c>
      <c r="J171" s="210" t="b">
        <f>IF($J$1,FALSE,IF(I171=TRUE,FALSE,IF(I171,FALSE,C171&gt;入力シート!$J$24)))</f>
        <v>0</v>
      </c>
      <c r="K171" s="210" t="b">
        <f>IF($K$1,FALSE,COUNTIF(入力シート!$AW$37:$BB$38,D171)=0)</f>
        <v>0</v>
      </c>
      <c r="L171" s="210" t="b">
        <f>IF($L$1,FALSE,IF($L$3,FALSE,IF(E171="",FALSE,COUNTIF(入力シート!$AH$37:$AK$62,E171)=0)))</f>
        <v>0</v>
      </c>
      <c r="M171" s="211" t="str">
        <f t="shared" si="5"/>
        <v/>
      </c>
      <c r="N171" s="211"/>
      <c r="O171" s="209" t="str">
        <f>IF(B171="","",VLOOKUP('従業員情報(給与以外)'!$B171,入力シート!$S$37:$Z$62,5,0))</f>
        <v/>
      </c>
      <c r="P171" s="156" t="str">
        <f>IF(ISNUMBER(C171)=FALSE,"",IF(C171&gt;入力シート!$J$24,"",_xlfn.DAYS(入力シート!$J$24,'従業員情報(給与以外)'!$C171)/365))</f>
        <v/>
      </c>
      <c r="Q171" s="210" t="str">
        <f>IF(P171="","",VLOOKUP(_xlfn.DAYS(入力シート!$J$24,'従業員情報(給与以外)'!$C171)/365,入力リスト!$K$18:$L$26,2,2))</f>
        <v/>
      </c>
      <c r="R171" s="209" t="str">
        <f>IF(D171="","",VLOOKUP('従業員情報(給与以外)'!$D171,入力シート!$AW$37:$BB$38,4,0))</f>
        <v/>
      </c>
      <c r="S171" s="209" t="str">
        <f>IF(A171="","",IF(E171="","非役職",VLOOKUP('従業員情報(給与以外)'!$E171,入力シート!$AH$37:$AO$62,5,0)))</f>
        <v/>
      </c>
      <c r="T171" s="102" t="str">
        <f>IF(OR(入力シート!$C$5&lt;&gt;入力リスト!$C$3,COUNTIF(入力シート!$J$16:$S$23,入力リスト!$H$9)=0),"",IF($A171="","",IF(ISERROR(AVERAGEIF(従業員の給与情報!$B:$B,$A171,従業員の給与情報!$C:$C)),0,IF(ISERROR(AVERAGEIF(従業員の給与情報!$B:$B,$A171,従業員の給与情報!$C:$C)),0,AVERAGEIF(従業員の給与情報!$B:$B,$A171,従業員の給与情報!$C:$C)))))</f>
        <v/>
      </c>
      <c r="U171" s="102" t="str">
        <f>IF(OR(入力シート!$C$5&lt;&gt;入力リスト!$C$3,COUNTIF(入力シート!$J$16:$S$23,入力リスト!$H$9)=0),"",IF(A171="","",IF(ISERROR(AVERAGEIF(従業員の給与情報!$B:$B,$A171,従業員の給与情報!$D:$D)),0,IF(ISERROR(AVERAGEIF(従業員の給与情報!$B:$B,$A171,従業員の給与情報!$D:$D)),0,AVERAGEIF(従業員の給与情報!$B:$B,$A171,従業員の給与情報!$D:$D)))))</f>
        <v/>
      </c>
      <c r="V171" s="102" t="str">
        <f>IF(OR(入力シート!$C$5&lt;&gt;入力リスト!$C$3,COUNTIF(入力シート!$J$16:$S$23,入力リスト!$H$9)=0),"",IF(A171="","",IF(ISERROR(AVERAGEIF(従業員の給与情報!$B:$B,$A171,従業員の給与情報!$E:$E)),0,IF(ISERROR(AVERAGEIF(従業員の給与情報!$B:$B,$A171,従業員の給与情報!$E:$E)),0,AVERAGEIF(従業員の給与情報!$B:$B,$A171,従業員の給与情報!$E:$E)))))</f>
        <v/>
      </c>
      <c r="W171" s="103" t="str">
        <f>IF(OR(入力シート!$C$5&lt;&gt;入力リスト!$C$3,COUNTIF(入力シート!$J$16:$S$23,入力リスト!$H$9)=0),"",IF(A171="","",IF(ISERROR(AVERAGEIF(従業員の給与情報!$B:$B,$A171,従業員の給与情報!$F:$F)),0,IF(ISERROR(AVERAGEIF(従業員の給与情報!$B:$B,$A171,従業員の給与情報!$F:$F)),0,AVERAGEIF(従業員の給与情報!$B:$B,$A171,従業員の給与情報!$F:$F)))))</f>
        <v/>
      </c>
    </row>
    <row r="172" spans="1:23" s="10" customFormat="1" ht="19.8">
      <c r="A172" s="252"/>
      <c r="B172" s="251"/>
      <c r="C172" s="250"/>
      <c r="D172" s="251"/>
      <c r="E172" s="252"/>
      <c r="F172" s="257" t="str">
        <f>IF($G$1,"",IF(COUNTIF(A172:E172,"")=5,"",IF(G172,入力リスト!$K$28,IF(OR(A172="",B172="",IF(COUNTIF($C$3,"*不要*"),"",C172=""),D172=""),IF(A172="","従業員番号","")&amp;IF(B172="","「雇用形態」","")&amp;IF(OR(入力シート!$J$18=入力リスト!$H$9,入力シート!$J$22=入力リスト!$H$9),IF(C172="","「入社年月日」",""),"")&amp;IF(D172="","「性別」","")&amp;IF(IF(A172="","従業員番号","")&amp;IF(B172="","「雇用形態」","")&amp;IF(OR(入力シート!$J$18=入力リスト!$H$9,入力シート!$J$22=入力リスト!$H$9),IF(C172="","「入社年月日」",""),"")&amp;IF(D172="","「性別」","")="","",入力リスト!$K$29),IF(J172,入力リスト!$K$30,"")&amp;IF(I172,入力リスト!$K$31,"")&amp;IF(H172,"「雇用形態」","")&amp;IF(K172,"「性別」","")&amp;IF(L172,"「役職」","")&amp;IF(OR(H172,K172,L172),入力リスト!$K$32,"")))))</f>
        <v/>
      </c>
      <c r="G172" s="209" t="b">
        <f>COUNTIF($A$4:A171,$A172)&gt;0</f>
        <v>0</v>
      </c>
      <c r="H172" s="210" t="b">
        <f>IF($H$1,FALSE,COUNTIF(入力シート!$S$37:$V$62,B172)=0)</f>
        <v>0</v>
      </c>
      <c r="I172" s="210" t="b">
        <f t="shared" si="6"/>
        <v>0</v>
      </c>
      <c r="J172" s="210" t="b">
        <f>IF($J$1,FALSE,IF(I172=TRUE,FALSE,IF(I172,FALSE,C172&gt;入力シート!$J$24)))</f>
        <v>0</v>
      </c>
      <c r="K172" s="210" t="b">
        <f>IF($K$1,FALSE,COUNTIF(入力シート!$AW$37:$BB$38,D172)=0)</f>
        <v>0</v>
      </c>
      <c r="L172" s="210" t="b">
        <f>IF($L$1,FALSE,IF($L$3,FALSE,IF(E172="",FALSE,COUNTIF(入力シート!$AH$37:$AK$62,E172)=0)))</f>
        <v>0</v>
      </c>
      <c r="M172" s="211" t="str">
        <f t="shared" si="5"/>
        <v/>
      </c>
      <c r="N172" s="211"/>
      <c r="O172" s="209" t="str">
        <f>IF(B172="","",VLOOKUP('従業員情報(給与以外)'!$B172,入力シート!$S$37:$Z$62,5,0))</f>
        <v/>
      </c>
      <c r="P172" s="156" t="str">
        <f>IF(ISNUMBER(C172)=FALSE,"",IF(C172&gt;入力シート!$J$24,"",_xlfn.DAYS(入力シート!$J$24,'従業員情報(給与以外)'!$C172)/365))</f>
        <v/>
      </c>
      <c r="Q172" s="210" t="str">
        <f>IF(P172="","",VLOOKUP(_xlfn.DAYS(入力シート!$J$24,'従業員情報(給与以外)'!$C172)/365,入力リスト!$K$18:$L$26,2,2))</f>
        <v/>
      </c>
      <c r="R172" s="209" t="str">
        <f>IF(D172="","",VLOOKUP('従業員情報(給与以外)'!$D172,入力シート!$AW$37:$BB$38,4,0))</f>
        <v/>
      </c>
      <c r="S172" s="209" t="str">
        <f>IF(A172="","",IF(E172="","非役職",VLOOKUP('従業員情報(給与以外)'!$E172,入力シート!$AH$37:$AO$62,5,0)))</f>
        <v/>
      </c>
      <c r="T172" s="102" t="str">
        <f>IF(OR(入力シート!$C$5&lt;&gt;入力リスト!$C$3,COUNTIF(入力シート!$J$16:$S$23,入力リスト!$H$9)=0),"",IF($A172="","",IF(ISERROR(AVERAGEIF(従業員の給与情報!$B:$B,$A172,従業員の給与情報!$C:$C)),0,IF(ISERROR(AVERAGEIF(従業員の給与情報!$B:$B,$A172,従業員の給与情報!$C:$C)),0,AVERAGEIF(従業員の給与情報!$B:$B,$A172,従業員の給与情報!$C:$C)))))</f>
        <v/>
      </c>
      <c r="U172" s="102" t="str">
        <f>IF(OR(入力シート!$C$5&lt;&gt;入力リスト!$C$3,COUNTIF(入力シート!$J$16:$S$23,入力リスト!$H$9)=0),"",IF(A172="","",IF(ISERROR(AVERAGEIF(従業員の給与情報!$B:$B,$A172,従業員の給与情報!$D:$D)),0,IF(ISERROR(AVERAGEIF(従業員の給与情報!$B:$B,$A172,従業員の給与情報!$D:$D)),0,AVERAGEIF(従業員の給与情報!$B:$B,$A172,従業員の給与情報!$D:$D)))))</f>
        <v/>
      </c>
      <c r="V172" s="102" t="str">
        <f>IF(OR(入力シート!$C$5&lt;&gt;入力リスト!$C$3,COUNTIF(入力シート!$J$16:$S$23,入力リスト!$H$9)=0),"",IF(A172="","",IF(ISERROR(AVERAGEIF(従業員の給与情報!$B:$B,$A172,従業員の給与情報!$E:$E)),0,IF(ISERROR(AVERAGEIF(従業員の給与情報!$B:$B,$A172,従業員の給与情報!$E:$E)),0,AVERAGEIF(従業員の給与情報!$B:$B,$A172,従業員の給与情報!$E:$E)))))</f>
        <v/>
      </c>
      <c r="W172" s="103" t="str">
        <f>IF(OR(入力シート!$C$5&lt;&gt;入力リスト!$C$3,COUNTIF(入力シート!$J$16:$S$23,入力リスト!$H$9)=0),"",IF(A172="","",IF(ISERROR(AVERAGEIF(従業員の給与情報!$B:$B,$A172,従業員の給与情報!$F:$F)),0,IF(ISERROR(AVERAGEIF(従業員の給与情報!$B:$B,$A172,従業員の給与情報!$F:$F)),0,AVERAGEIF(従業員の給与情報!$B:$B,$A172,従業員の給与情報!$F:$F)))))</f>
        <v/>
      </c>
    </row>
    <row r="173" spans="1:23" s="10" customFormat="1" ht="19.8">
      <c r="A173" s="252"/>
      <c r="B173" s="251"/>
      <c r="C173" s="250"/>
      <c r="D173" s="251"/>
      <c r="E173" s="252"/>
      <c r="F173" s="257" t="str">
        <f>IF($G$1,"",IF(COUNTIF(A173:E173,"")=5,"",IF(G173,入力リスト!$K$28,IF(OR(A173="",B173="",IF(COUNTIF($C$3,"*不要*"),"",C173=""),D173=""),IF(A173="","従業員番号","")&amp;IF(B173="","「雇用形態」","")&amp;IF(OR(入力シート!$J$18=入力リスト!$H$9,入力シート!$J$22=入力リスト!$H$9),IF(C173="","「入社年月日」",""),"")&amp;IF(D173="","「性別」","")&amp;IF(IF(A173="","従業員番号","")&amp;IF(B173="","「雇用形態」","")&amp;IF(OR(入力シート!$J$18=入力リスト!$H$9,入力シート!$J$22=入力リスト!$H$9),IF(C173="","「入社年月日」",""),"")&amp;IF(D173="","「性別」","")="","",入力リスト!$K$29),IF(J173,入力リスト!$K$30,"")&amp;IF(I173,入力リスト!$K$31,"")&amp;IF(H173,"「雇用形態」","")&amp;IF(K173,"「性別」","")&amp;IF(L173,"「役職」","")&amp;IF(OR(H173,K173,L173),入力リスト!$K$32,"")))))</f>
        <v/>
      </c>
      <c r="G173" s="209" t="b">
        <f>COUNTIF($A$4:A172,$A173)&gt;0</f>
        <v>0</v>
      </c>
      <c r="H173" s="210" t="b">
        <f>IF($H$1,FALSE,COUNTIF(入力シート!$S$37:$V$62,B173)=0)</f>
        <v>0</v>
      </c>
      <c r="I173" s="210" t="b">
        <f t="shared" si="6"/>
        <v>0</v>
      </c>
      <c r="J173" s="210" t="b">
        <f>IF($J$1,FALSE,IF(I173=TRUE,FALSE,IF(I173,FALSE,C173&gt;入力シート!$J$24)))</f>
        <v>0</v>
      </c>
      <c r="K173" s="210" t="b">
        <f>IF($K$1,FALSE,COUNTIF(入力シート!$AW$37:$BB$38,D173)=0)</f>
        <v>0</v>
      </c>
      <c r="L173" s="210" t="b">
        <f>IF($L$1,FALSE,IF($L$3,FALSE,IF(E173="",FALSE,COUNTIF(入力シート!$AH$37:$AK$62,E173)=0)))</f>
        <v>0</v>
      </c>
      <c r="M173" s="211" t="str">
        <f t="shared" si="5"/>
        <v/>
      </c>
      <c r="N173" s="211"/>
      <c r="O173" s="209" t="str">
        <f>IF(B173="","",VLOOKUP('従業員情報(給与以外)'!$B173,入力シート!$S$37:$Z$62,5,0))</f>
        <v/>
      </c>
      <c r="P173" s="156" t="str">
        <f>IF(ISNUMBER(C173)=FALSE,"",IF(C173&gt;入力シート!$J$24,"",_xlfn.DAYS(入力シート!$J$24,'従業員情報(給与以外)'!$C173)/365))</f>
        <v/>
      </c>
      <c r="Q173" s="210" t="str">
        <f>IF(P173="","",VLOOKUP(_xlfn.DAYS(入力シート!$J$24,'従業員情報(給与以外)'!$C173)/365,入力リスト!$K$18:$L$26,2,2))</f>
        <v/>
      </c>
      <c r="R173" s="209" t="str">
        <f>IF(D173="","",VLOOKUP('従業員情報(給与以外)'!$D173,入力シート!$AW$37:$BB$38,4,0))</f>
        <v/>
      </c>
      <c r="S173" s="209" t="str">
        <f>IF(A173="","",IF(E173="","非役職",VLOOKUP('従業員情報(給与以外)'!$E173,入力シート!$AH$37:$AO$62,5,0)))</f>
        <v/>
      </c>
      <c r="T173" s="102" t="str">
        <f>IF(OR(入力シート!$C$5&lt;&gt;入力リスト!$C$3,COUNTIF(入力シート!$J$16:$S$23,入力リスト!$H$9)=0),"",IF($A173="","",IF(ISERROR(AVERAGEIF(従業員の給与情報!$B:$B,$A173,従業員の給与情報!$C:$C)),0,IF(ISERROR(AVERAGEIF(従業員の給与情報!$B:$B,$A173,従業員の給与情報!$C:$C)),0,AVERAGEIF(従業員の給与情報!$B:$B,$A173,従業員の給与情報!$C:$C)))))</f>
        <v/>
      </c>
      <c r="U173" s="102" t="str">
        <f>IF(OR(入力シート!$C$5&lt;&gt;入力リスト!$C$3,COUNTIF(入力シート!$J$16:$S$23,入力リスト!$H$9)=0),"",IF(A173="","",IF(ISERROR(AVERAGEIF(従業員の給与情報!$B:$B,$A173,従業員の給与情報!$D:$D)),0,IF(ISERROR(AVERAGEIF(従業員の給与情報!$B:$B,$A173,従業員の給与情報!$D:$D)),0,AVERAGEIF(従業員の給与情報!$B:$B,$A173,従業員の給与情報!$D:$D)))))</f>
        <v/>
      </c>
      <c r="V173" s="102" t="str">
        <f>IF(OR(入力シート!$C$5&lt;&gt;入力リスト!$C$3,COUNTIF(入力シート!$J$16:$S$23,入力リスト!$H$9)=0),"",IF(A173="","",IF(ISERROR(AVERAGEIF(従業員の給与情報!$B:$B,$A173,従業員の給与情報!$E:$E)),0,IF(ISERROR(AVERAGEIF(従業員の給与情報!$B:$B,$A173,従業員の給与情報!$E:$E)),0,AVERAGEIF(従業員の給与情報!$B:$B,$A173,従業員の給与情報!$E:$E)))))</f>
        <v/>
      </c>
      <c r="W173" s="103" t="str">
        <f>IF(OR(入力シート!$C$5&lt;&gt;入力リスト!$C$3,COUNTIF(入力シート!$J$16:$S$23,入力リスト!$H$9)=0),"",IF(A173="","",IF(ISERROR(AVERAGEIF(従業員の給与情報!$B:$B,$A173,従業員の給与情報!$F:$F)),0,IF(ISERROR(AVERAGEIF(従業員の給与情報!$B:$B,$A173,従業員の給与情報!$F:$F)),0,AVERAGEIF(従業員の給与情報!$B:$B,$A173,従業員の給与情報!$F:$F)))))</f>
        <v/>
      </c>
    </row>
    <row r="174" spans="1:23" s="10" customFormat="1" ht="19.8">
      <c r="A174" s="252"/>
      <c r="B174" s="251"/>
      <c r="C174" s="250"/>
      <c r="D174" s="251"/>
      <c r="E174" s="252"/>
      <c r="F174" s="257" t="str">
        <f>IF($G$1,"",IF(COUNTIF(A174:E174,"")=5,"",IF(G174,入力リスト!$K$28,IF(OR(A174="",B174="",IF(COUNTIF($C$3,"*不要*"),"",C174=""),D174=""),IF(A174="","従業員番号","")&amp;IF(B174="","「雇用形態」","")&amp;IF(OR(入力シート!$J$18=入力リスト!$H$9,入力シート!$J$22=入力リスト!$H$9),IF(C174="","「入社年月日」",""),"")&amp;IF(D174="","「性別」","")&amp;IF(IF(A174="","従業員番号","")&amp;IF(B174="","「雇用形態」","")&amp;IF(OR(入力シート!$J$18=入力リスト!$H$9,入力シート!$J$22=入力リスト!$H$9),IF(C174="","「入社年月日」",""),"")&amp;IF(D174="","「性別」","")="","",入力リスト!$K$29),IF(J174,入力リスト!$K$30,"")&amp;IF(I174,入力リスト!$K$31,"")&amp;IF(H174,"「雇用形態」","")&amp;IF(K174,"「性別」","")&amp;IF(L174,"「役職」","")&amp;IF(OR(H174,K174,L174),入力リスト!$K$32,"")))))</f>
        <v/>
      </c>
      <c r="G174" s="209" t="b">
        <f>COUNTIF($A$4:A173,$A174)&gt;0</f>
        <v>0</v>
      </c>
      <c r="H174" s="210" t="b">
        <f>IF($H$1,FALSE,COUNTIF(入力シート!$S$37:$V$62,B174)=0)</f>
        <v>0</v>
      </c>
      <c r="I174" s="210" t="b">
        <f t="shared" si="6"/>
        <v>0</v>
      </c>
      <c r="J174" s="210" t="b">
        <f>IF($J$1,FALSE,IF(I174=TRUE,FALSE,IF(I174,FALSE,C174&gt;入力シート!$J$24)))</f>
        <v>0</v>
      </c>
      <c r="K174" s="210" t="b">
        <f>IF($K$1,FALSE,COUNTIF(入力シート!$AW$37:$BB$38,D174)=0)</f>
        <v>0</v>
      </c>
      <c r="L174" s="210" t="b">
        <f>IF($L$1,FALSE,IF($L$3,FALSE,IF(E174="",FALSE,COUNTIF(入力シート!$AH$37:$AK$62,E174)=0)))</f>
        <v>0</v>
      </c>
      <c r="M174" s="211" t="str">
        <f t="shared" si="5"/>
        <v/>
      </c>
      <c r="N174" s="211"/>
      <c r="O174" s="209" t="str">
        <f>IF(B174="","",VLOOKUP('従業員情報(給与以外)'!$B174,入力シート!$S$37:$Z$62,5,0))</f>
        <v/>
      </c>
      <c r="P174" s="156" t="str">
        <f>IF(ISNUMBER(C174)=FALSE,"",IF(C174&gt;入力シート!$J$24,"",_xlfn.DAYS(入力シート!$J$24,'従業員情報(給与以外)'!$C174)/365))</f>
        <v/>
      </c>
      <c r="Q174" s="210" t="str">
        <f>IF(P174="","",VLOOKUP(_xlfn.DAYS(入力シート!$J$24,'従業員情報(給与以外)'!$C174)/365,入力リスト!$K$18:$L$26,2,2))</f>
        <v/>
      </c>
      <c r="R174" s="209" t="str">
        <f>IF(D174="","",VLOOKUP('従業員情報(給与以外)'!$D174,入力シート!$AW$37:$BB$38,4,0))</f>
        <v/>
      </c>
      <c r="S174" s="209" t="str">
        <f>IF(A174="","",IF(E174="","非役職",VLOOKUP('従業員情報(給与以外)'!$E174,入力シート!$AH$37:$AO$62,5,0)))</f>
        <v/>
      </c>
      <c r="T174" s="102" t="str">
        <f>IF(OR(入力シート!$C$5&lt;&gt;入力リスト!$C$3,COUNTIF(入力シート!$J$16:$S$23,入力リスト!$H$9)=0),"",IF($A174="","",IF(ISERROR(AVERAGEIF(従業員の給与情報!$B:$B,$A174,従業員の給与情報!$C:$C)),0,IF(ISERROR(AVERAGEIF(従業員の給与情報!$B:$B,$A174,従業員の給与情報!$C:$C)),0,AVERAGEIF(従業員の給与情報!$B:$B,$A174,従業員の給与情報!$C:$C)))))</f>
        <v/>
      </c>
      <c r="U174" s="102" t="str">
        <f>IF(OR(入力シート!$C$5&lt;&gt;入力リスト!$C$3,COUNTIF(入力シート!$J$16:$S$23,入力リスト!$H$9)=0),"",IF(A174="","",IF(ISERROR(AVERAGEIF(従業員の給与情報!$B:$B,$A174,従業員の給与情報!$D:$D)),0,IF(ISERROR(AVERAGEIF(従業員の給与情報!$B:$B,$A174,従業員の給与情報!$D:$D)),0,AVERAGEIF(従業員の給与情報!$B:$B,$A174,従業員の給与情報!$D:$D)))))</f>
        <v/>
      </c>
      <c r="V174" s="102" t="str">
        <f>IF(OR(入力シート!$C$5&lt;&gt;入力リスト!$C$3,COUNTIF(入力シート!$J$16:$S$23,入力リスト!$H$9)=0),"",IF(A174="","",IF(ISERROR(AVERAGEIF(従業員の給与情報!$B:$B,$A174,従業員の給与情報!$E:$E)),0,IF(ISERROR(AVERAGEIF(従業員の給与情報!$B:$B,$A174,従業員の給与情報!$E:$E)),0,AVERAGEIF(従業員の給与情報!$B:$B,$A174,従業員の給与情報!$E:$E)))))</f>
        <v/>
      </c>
      <c r="W174" s="103" t="str">
        <f>IF(OR(入力シート!$C$5&lt;&gt;入力リスト!$C$3,COUNTIF(入力シート!$J$16:$S$23,入力リスト!$H$9)=0),"",IF(A174="","",IF(ISERROR(AVERAGEIF(従業員の給与情報!$B:$B,$A174,従業員の給与情報!$F:$F)),0,IF(ISERROR(AVERAGEIF(従業員の給与情報!$B:$B,$A174,従業員の給与情報!$F:$F)),0,AVERAGEIF(従業員の給与情報!$B:$B,$A174,従業員の給与情報!$F:$F)))))</f>
        <v/>
      </c>
    </row>
    <row r="175" spans="1:23" s="10" customFormat="1" ht="19.8">
      <c r="A175" s="252"/>
      <c r="B175" s="251"/>
      <c r="C175" s="250"/>
      <c r="D175" s="251"/>
      <c r="E175" s="252"/>
      <c r="F175" s="257" t="str">
        <f>IF($G$1,"",IF(COUNTIF(A175:E175,"")=5,"",IF(G175,入力リスト!$K$28,IF(OR(A175="",B175="",IF(COUNTIF($C$3,"*不要*"),"",C175=""),D175=""),IF(A175="","従業員番号","")&amp;IF(B175="","「雇用形態」","")&amp;IF(OR(入力シート!$J$18=入力リスト!$H$9,入力シート!$J$22=入力リスト!$H$9),IF(C175="","「入社年月日」",""),"")&amp;IF(D175="","「性別」","")&amp;IF(IF(A175="","従業員番号","")&amp;IF(B175="","「雇用形態」","")&amp;IF(OR(入力シート!$J$18=入力リスト!$H$9,入力シート!$J$22=入力リスト!$H$9),IF(C175="","「入社年月日」",""),"")&amp;IF(D175="","「性別」","")="","",入力リスト!$K$29),IF(J175,入力リスト!$K$30,"")&amp;IF(I175,入力リスト!$K$31,"")&amp;IF(H175,"「雇用形態」","")&amp;IF(K175,"「性別」","")&amp;IF(L175,"「役職」","")&amp;IF(OR(H175,K175,L175),入力リスト!$K$32,"")))))</f>
        <v/>
      </c>
      <c r="G175" s="209" t="b">
        <f>COUNTIF($A$4:A174,$A175)&gt;0</f>
        <v>0</v>
      </c>
      <c r="H175" s="210" t="b">
        <f>IF($H$1,FALSE,COUNTIF(入力シート!$S$37:$V$62,B175)=0)</f>
        <v>0</v>
      </c>
      <c r="I175" s="210" t="b">
        <f t="shared" si="6"/>
        <v>0</v>
      </c>
      <c r="J175" s="210" t="b">
        <f>IF($J$1,FALSE,IF(I175=TRUE,FALSE,IF(I175,FALSE,C175&gt;入力シート!$J$24)))</f>
        <v>0</v>
      </c>
      <c r="K175" s="210" t="b">
        <f>IF($K$1,FALSE,COUNTIF(入力シート!$AW$37:$BB$38,D175)=0)</f>
        <v>0</v>
      </c>
      <c r="L175" s="210" t="b">
        <f>IF($L$1,FALSE,IF($L$3,FALSE,IF(E175="",FALSE,COUNTIF(入力シート!$AH$37:$AK$62,E175)=0)))</f>
        <v>0</v>
      </c>
      <c r="M175" s="211" t="str">
        <f t="shared" si="5"/>
        <v/>
      </c>
      <c r="N175" s="211"/>
      <c r="O175" s="209" t="str">
        <f>IF(B175="","",VLOOKUP('従業員情報(給与以外)'!$B175,入力シート!$S$37:$Z$62,5,0))</f>
        <v/>
      </c>
      <c r="P175" s="156" t="str">
        <f>IF(ISNUMBER(C175)=FALSE,"",IF(C175&gt;入力シート!$J$24,"",_xlfn.DAYS(入力シート!$J$24,'従業員情報(給与以外)'!$C175)/365))</f>
        <v/>
      </c>
      <c r="Q175" s="210" t="str">
        <f>IF(P175="","",VLOOKUP(_xlfn.DAYS(入力シート!$J$24,'従業員情報(給与以外)'!$C175)/365,入力リスト!$K$18:$L$26,2,2))</f>
        <v/>
      </c>
      <c r="R175" s="209" t="str">
        <f>IF(D175="","",VLOOKUP('従業員情報(給与以外)'!$D175,入力シート!$AW$37:$BB$38,4,0))</f>
        <v/>
      </c>
      <c r="S175" s="209" t="str">
        <f>IF(A175="","",IF(E175="","非役職",VLOOKUP('従業員情報(給与以外)'!$E175,入力シート!$AH$37:$AO$62,5,0)))</f>
        <v/>
      </c>
      <c r="T175" s="102" t="str">
        <f>IF(OR(入力シート!$C$5&lt;&gt;入力リスト!$C$3,COUNTIF(入力シート!$J$16:$S$23,入力リスト!$H$9)=0),"",IF($A175="","",IF(ISERROR(AVERAGEIF(従業員の給与情報!$B:$B,$A175,従業員の給与情報!$C:$C)),0,IF(ISERROR(AVERAGEIF(従業員の給与情報!$B:$B,$A175,従業員の給与情報!$C:$C)),0,AVERAGEIF(従業員の給与情報!$B:$B,$A175,従業員の給与情報!$C:$C)))))</f>
        <v/>
      </c>
      <c r="U175" s="102" t="str">
        <f>IF(OR(入力シート!$C$5&lt;&gt;入力リスト!$C$3,COUNTIF(入力シート!$J$16:$S$23,入力リスト!$H$9)=0),"",IF(A175="","",IF(ISERROR(AVERAGEIF(従業員の給与情報!$B:$B,$A175,従業員の給与情報!$D:$D)),0,IF(ISERROR(AVERAGEIF(従業員の給与情報!$B:$B,$A175,従業員の給与情報!$D:$D)),0,AVERAGEIF(従業員の給与情報!$B:$B,$A175,従業員の給与情報!$D:$D)))))</f>
        <v/>
      </c>
      <c r="V175" s="102" t="str">
        <f>IF(OR(入力シート!$C$5&lt;&gt;入力リスト!$C$3,COUNTIF(入力シート!$J$16:$S$23,入力リスト!$H$9)=0),"",IF(A175="","",IF(ISERROR(AVERAGEIF(従業員の給与情報!$B:$B,$A175,従業員の給与情報!$E:$E)),0,IF(ISERROR(AVERAGEIF(従業員の給与情報!$B:$B,$A175,従業員の給与情報!$E:$E)),0,AVERAGEIF(従業員の給与情報!$B:$B,$A175,従業員の給与情報!$E:$E)))))</f>
        <v/>
      </c>
      <c r="W175" s="103" t="str">
        <f>IF(OR(入力シート!$C$5&lt;&gt;入力リスト!$C$3,COUNTIF(入力シート!$J$16:$S$23,入力リスト!$H$9)=0),"",IF(A175="","",IF(ISERROR(AVERAGEIF(従業員の給与情報!$B:$B,$A175,従業員の給与情報!$F:$F)),0,IF(ISERROR(AVERAGEIF(従業員の給与情報!$B:$B,$A175,従業員の給与情報!$F:$F)),0,AVERAGEIF(従業員の給与情報!$B:$B,$A175,従業員の給与情報!$F:$F)))))</f>
        <v/>
      </c>
    </row>
    <row r="176" spans="1:23" s="10" customFormat="1" ht="19.8">
      <c r="A176" s="252"/>
      <c r="B176" s="251"/>
      <c r="C176" s="250"/>
      <c r="D176" s="251"/>
      <c r="E176" s="252"/>
      <c r="F176" s="257" t="str">
        <f>IF($G$1,"",IF(COUNTIF(A176:E176,"")=5,"",IF(G176,入力リスト!$K$28,IF(OR(A176="",B176="",IF(COUNTIF($C$3,"*不要*"),"",C176=""),D176=""),IF(A176="","従業員番号","")&amp;IF(B176="","「雇用形態」","")&amp;IF(OR(入力シート!$J$18=入力リスト!$H$9,入力シート!$J$22=入力リスト!$H$9),IF(C176="","「入社年月日」",""),"")&amp;IF(D176="","「性別」","")&amp;IF(IF(A176="","従業員番号","")&amp;IF(B176="","「雇用形態」","")&amp;IF(OR(入力シート!$J$18=入力リスト!$H$9,入力シート!$J$22=入力リスト!$H$9),IF(C176="","「入社年月日」",""),"")&amp;IF(D176="","「性別」","")="","",入力リスト!$K$29),IF(J176,入力リスト!$K$30,"")&amp;IF(I176,入力リスト!$K$31,"")&amp;IF(H176,"「雇用形態」","")&amp;IF(K176,"「性別」","")&amp;IF(L176,"「役職」","")&amp;IF(OR(H176,K176,L176),入力リスト!$K$32,"")))))</f>
        <v/>
      </c>
      <c r="G176" s="209" t="b">
        <f>COUNTIF($A$4:A175,$A176)&gt;0</f>
        <v>0</v>
      </c>
      <c r="H176" s="210" t="b">
        <f>IF($H$1,FALSE,COUNTIF(入力シート!$S$37:$V$62,B176)=0)</f>
        <v>0</v>
      </c>
      <c r="I176" s="210" t="b">
        <f t="shared" si="6"/>
        <v>0</v>
      </c>
      <c r="J176" s="210" t="b">
        <f>IF($J$1,FALSE,IF(I176=TRUE,FALSE,IF(I176,FALSE,C176&gt;入力シート!$J$24)))</f>
        <v>0</v>
      </c>
      <c r="K176" s="210" t="b">
        <f>IF($K$1,FALSE,COUNTIF(入力シート!$AW$37:$BB$38,D176)=0)</f>
        <v>0</v>
      </c>
      <c r="L176" s="210" t="b">
        <f>IF($L$1,FALSE,IF($L$3,FALSE,IF(E176="",FALSE,COUNTIF(入力シート!$AH$37:$AK$62,E176)=0)))</f>
        <v>0</v>
      </c>
      <c r="M176" s="211" t="str">
        <f t="shared" si="5"/>
        <v/>
      </c>
      <c r="N176" s="211"/>
      <c r="O176" s="209" t="str">
        <f>IF(B176="","",VLOOKUP('従業員情報(給与以外)'!$B176,入力シート!$S$37:$Z$62,5,0))</f>
        <v/>
      </c>
      <c r="P176" s="156" t="str">
        <f>IF(ISNUMBER(C176)=FALSE,"",IF(C176&gt;入力シート!$J$24,"",_xlfn.DAYS(入力シート!$J$24,'従業員情報(給与以外)'!$C176)/365))</f>
        <v/>
      </c>
      <c r="Q176" s="210" t="str">
        <f>IF(P176="","",VLOOKUP(_xlfn.DAYS(入力シート!$J$24,'従業員情報(給与以外)'!$C176)/365,入力リスト!$K$18:$L$26,2,2))</f>
        <v/>
      </c>
      <c r="R176" s="209" t="str">
        <f>IF(D176="","",VLOOKUP('従業員情報(給与以外)'!$D176,入力シート!$AW$37:$BB$38,4,0))</f>
        <v/>
      </c>
      <c r="S176" s="209" t="str">
        <f>IF(A176="","",IF(E176="","非役職",VLOOKUP('従業員情報(給与以外)'!$E176,入力シート!$AH$37:$AO$62,5,0)))</f>
        <v/>
      </c>
      <c r="T176" s="102" t="str">
        <f>IF(OR(入力シート!$C$5&lt;&gt;入力リスト!$C$3,COUNTIF(入力シート!$J$16:$S$23,入力リスト!$H$9)=0),"",IF($A176="","",IF(ISERROR(AVERAGEIF(従業員の給与情報!$B:$B,$A176,従業員の給与情報!$C:$C)),0,IF(ISERROR(AVERAGEIF(従業員の給与情報!$B:$B,$A176,従業員の給与情報!$C:$C)),0,AVERAGEIF(従業員の給与情報!$B:$B,$A176,従業員の給与情報!$C:$C)))))</f>
        <v/>
      </c>
      <c r="U176" s="102" t="str">
        <f>IF(OR(入力シート!$C$5&lt;&gt;入力リスト!$C$3,COUNTIF(入力シート!$J$16:$S$23,入力リスト!$H$9)=0),"",IF(A176="","",IF(ISERROR(AVERAGEIF(従業員の給与情報!$B:$B,$A176,従業員の給与情報!$D:$D)),0,IF(ISERROR(AVERAGEIF(従業員の給与情報!$B:$B,$A176,従業員の給与情報!$D:$D)),0,AVERAGEIF(従業員の給与情報!$B:$B,$A176,従業員の給与情報!$D:$D)))))</f>
        <v/>
      </c>
      <c r="V176" s="102" t="str">
        <f>IF(OR(入力シート!$C$5&lt;&gt;入力リスト!$C$3,COUNTIF(入力シート!$J$16:$S$23,入力リスト!$H$9)=0),"",IF(A176="","",IF(ISERROR(AVERAGEIF(従業員の給与情報!$B:$B,$A176,従業員の給与情報!$E:$E)),0,IF(ISERROR(AVERAGEIF(従業員の給与情報!$B:$B,$A176,従業員の給与情報!$E:$E)),0,AVERAGEIF(従業員の給与情報!$B:$B,$A176,従業員の給与情報!$E:$E)))))</f>
        <v/>
      </c>
      <c r="W176" s="103" t="str">
        <f>IF(OR(入力シート!$C$5&lt;&gt;入力リスト!$C$3,COUNTIF(入力シート!$J$16:$S$23,入力リスト!$H$9)=0),"",IF(A176="","",IF(ISERROR(AVERAGEIF(従業員の給与情報!$B:$B,$A176,従業員の給与情報!$F:$F)),0,IF(ISERROR(AVERAGEIF(従業員の給与情報!$B:$B,$A176,従業員の給与情報!$F:$F)),0,AVERAGEIF(従業員の給与情報!$B:$B,$A176,従業員の給与情報!$F:$F)))))</f>
        <v/>
      </c>
    </row>
    <row r="177" spans="1:23" s="10" customFormat="1" ht="19.8">
      <c r="A177" s="251"/>
      <c r="B177" s="251"/>
      <c r="C177" s="250"/>
      <c r="D177" s="251"/>
      <c r="E177" s="251"/>
      <c r="F177" s="257" t="str">
        <f>IF($G$1,"",IF(COUNTIF(A177:E177,"")=5,"",IF(G177,入力リスト!$K$28,IF(OR(A177="",B177="",IF(COUNTIF($C$3,"*不要*"),"",C177=""),D177=""),IF(A177="","従業員番号","")&amp;IF(B177="","「雇用形態」","")&amp;IF(OR(入力シート!$J$18=入力リスト!$H$9,入力シート!$J$22=入力リスト!$H$9),IF(C177="","「入社年月日」",""),"")&amp;IF(D177="","「性別」","")&amp;IF(IF(A177="","従業員番号","")&amp;IF(B177="","「雇用形態」","")&amp;IF(OR(入力シート!$J$18=入力リスト!$H$9,入力シート!$J$22=入力リスト!$H$9),IF(C177="","「入社年月日」",""),"")&amp;IF(D177="","「性別」","")="","",入力リスト!$K$29),IF(J177,入力リスト!$K$30,"")&amp;IF(I177,入力リスト!$K$31,"")&amp;IF(H177,"「雇用形態」","")&amp;IF(K177,"「性別」","")&amp;IF(L177,"「役職」","")&amp;IF(OR(H177,K177,L177),入力リスト!$K$32,"")))))</f>
        <v/>
      </c>
      <c r="G177" s="209" t="b">
        <f>COUNTIF($A$4:A176,$A177)&gt;0</f>
        <v>0</v>
      </c>
      <c r="H177" s="210" t="b">
        <f>IF($H$1,FALSE,COUNTIF(入力シート!$S$37:$V$62,B177)=0)</f>
        <v>0</v>
      </c>
      <c r="I177" s="210" t="b">
        <f t="shared" si="6"/>
        <v>0</v>
      </c>
      <c r="J177" s="210" t="b">
        <f>IF($J$1,FALSE,IF(I177=TRUE,FALSE,IF(I177,FALSE,C177&gt;入力シート!$J$24)))</f>
        <v>0</v>
      </c>
      <c r="K177" s="210" t="b">
        <f>IF($K$1,FALSE,COUNTIF(入力シート!$AW$37:$BB$38,D177)=0)</f>
        <v>0</v>
      </c>
      <c r="L177" s="210" t="b">
        <f>IF($L$1,FALSE,IF($L$3,FALSE,IF(E177="",FALSE,COUNTIF(入力シート!$AH$37:$AK$62,E177)=0)))</f>
        <v>0</v>
      </c>
      <c r="M177" s="211" t="str">
        <f t="shared" si="5"/>
        <v/>
      </c>
      <c r="N177" s="211"/>
      <c r="O177" s="209" t="str">
        <f>IF(B177="","",VLOOKUP('従業員情報(給与以外)'!$B177,入力シート!$S$37:$Z$62,5,0))</f>
        <v/>
      </c>
      <c r="P177" s="156" t="str">
        <f>IF(ISNUMBER(C177)=FALSE,"",IF(C177&gt;入力シート!$J$24,"",_xlfn.DAYS(入力シート!$J$24,'従業員情報(給与以外)'!$C177)/365))</f>
        <v/>
      </c>
      <c r="Q177" s="210" t="str">
        <f>IF(P177="","",VLOOKUP(_xlfn.DAYS(入力シート!$J$24,'従業員情報(給与以外)'!$C177)/365,入力リスト!$K$18:$L$26,2,2))</f>
        <v/>
      </c>
      <c r="R177" s="209" t="str">
        <f>IF(D177="","",VLOOKUP('従業員情報(給与以外)'!$D177,入力シート!$AW$37:$BB$38,4,0))</f>
        <v/>
      </c>
      <c r="S177" s="209" t="str">
        <f>IF(A177="","",IF(E177="","非役職",VLOOKUP('従業員情報(給与以外)'!$E177,入力シート!$AH$37:$AO$62,5,0)))</f>
        <v/>
      </c>
      <c r="T177" s="102" t="str">
        <f>IF(OR(入力シート!$C$5&lt;&gt;入力リスト!$C$3,COUNTIF(入力シート!$J$16:$S$23,入力リスト!$H$9)=0),"",IF($A177="","",IF(ISERROR(AVERAGEIF(従業員の給与情報!$B:$B,$A177,従業員の給与情報!$C:$C)),0,IF(ISERROR(AVERAGEIF(従業員の給与情報!$B:$B,$A177,従業員の給与情報!$C:$C)),0,AVERAGEIF(従業員の給与情報!$B:$B,$A177,従業員の給与情報!$C:$C)))))</f>
        <v/>
      </c>
      <c r="U177" s="102" t="str">
        <f>IF(OR(入力シート!$C$5&lt;&gt;入力リスト!$C$3,COUNTIF(入力シート!$J$16:$S$23,入力リスト!$H$9)=0),"",IF(A177="","",IF(ISERROR(AVERAGEIF(従業員の給与情報!$B:$B,$A177,従業員の給与情報!$D:$D)),0,IF(ISERROR(AVERAGEIF(従業員の給与情報!$B:$B,$A177,従業員の給与情報!$D:$D)),0,AVERAGEIF(従業員の給与情報!$B:$B,$A177,従業員の給与情報!$D:$D)))))</f>
        <v/>
      </c>
      <c r="V177" s="102" t="str">
        <f>IF(OR(入力シート!$C$5&lt;&gt;入力リスト!$C$3,COUNTIF(入力シート!$J$16:$S$23,入力リスト!$H$9)=0),"",IF(A177="","",IF(ISERROR(AVERAGEIF(従業員の給与情報!$B:$B,$A177,従業員の給与情報!$E:$E)),0,IF(ISERROR(AVERAGEIF(従業員の給与情報!$B:$B,$A177,従業員の給与情報!$E:$E)),0,AVERAGEIF(従業員の給与情報!$B:$B,$A177,従業員の給与情報!$E:$E)))))</f>
        <v/>
      </c>
      <c r="W177" s="103" t="str">
        <f>IF(OR(入力シート!$C$5&lt;&gt;入力リスト!$C$3,COUNTIF(入力シート!$J$16:$S$23,入力リスト!$H$9)=0),"",IF(A177="","",IF(ISERROR(AVERAGEIF(従業員の給与情報!$B:$B,$A177,従業員の給与情報!$F:$F)),0,IF(ISERROR(AVERAGEIF(従業員の給与情報!$B:$B,$A177,従業員の給与情報!$F:$F)),0,AVERAGEIF(従業員の給与情報!$B:$B,$A177,従業員の給与情報!$F:$F)))))</f>
        <v/>
      </c>
    </row>
    <row r="178" spans="1:23" s="10" customFormat="1" ht="19.8">
      <c r="A178" s="251"/>
      <c r="B178" s="251"/>
      <c r="C178" s="250"/>
      <c r="D178" s="251"/>
      <c r="E178" s="251"/>
      <c r="F178" s="257" t="str">
        <f>IF($G$1,"",IF(COUNTIF(A178:E178,"")=5,"",IF(G178,入力リスト!$K$28,IF(OR(A178="",B178="",IF(COUNTIF($C$3,"*不要*"),"",C178=""),D178=""),IF(A178="","従業員番号","")&amp;IF(B178="","「雇用形態」","")&amp;IF(OR(入力シート!$J$18=入力リスト!$H$9,入力シート!$J$22=入力リスト!$H$9),IF(C178="","「入社年月日」",""),"")&amp;IF(D178="","「性別」","")&amp;IF(IF(A178="","従業員番号","")&amp;IF(B178="","「雇用形態」","")&amp;IF(OR(入力シート!$J$18=入力リスト!$H$9,入力シート!$J$22=入力リスト!$H$9),IF(C178="","「入社年月日」",""),"")&amp;IF(D178="","「性別」","")="","",入力リスト!$K$29),IF(J178,入力リスト!$K$30,"")&amp;IF(I178,入力リスト!$K$31,"")&amp;IF(H178,"「雇用形態」","")&amp;IF(K178,"「性別」","")&amp;IF(L178,"「役職」","")&amp;IF(OR(H178,K178,L178),入力リスト!$K$32,"")))))</f>
        <v/>
      </c>
      <c r="G178" s="209" t="b">
        <f>COUNTIF($A$4:A177,$A178)&gt;0</f>
        <v>0</v>
      </c>
      <c r="H178" s="210" t="b">
        <f>IF($H$1,FALSE,COUNTIF(入力シート!$S$37:$V$62,B178)=0)</f>
        <v>0</v>
      </c>
      <c r="I178" s="210" t="b">
        <f t="shared" si="6"/>
        <v>0</v>
      </c>
      <c r="J178" s="210" t="b">
        <f>IF($J$1,FALSE,IF(I178=TRUE,FALSE,IF(I178,FALSE,C178&gt;入力シート!$J$24)))</f>
        <v>0</v>
      </c>
      <c r="K178" s="210" t="b">
        <f>IF($K$1,FALSE,COUNTIF(入力シート!$AW$37:$BB$38,D178)=0)</f>
        <v>0</v>
      </c>
      <c r="L178" s="210" t="b">
        <f>IF($L$1,FALSE,IF($L$3,FALSE,IF(E178="",FALSE,COUNTIF(入力シート!$AH$37:$AK$62,E178)=0)))</f>
        <v>0</v>
      </c>
      <c r="M178" s="211" t="str">
        <f t="shared" si="5"/>
        <v/>
      </c>
      <c r="N178" s="211"/>
      <c r="O178" s="209" t="str">
        <f>IF(B178="","",VLOOKUP('従業員情報(給与以外)'!$B178,入力シート!$S$37:$Z$62,5,0))</f>
        <v/>
      </c>
      <c r="P178" s="156" t="str">
        <f>IF(ISNUMBER(C178)=FALSE,"",IF(C178&gt;入力シート!$J$24,"",_xlfn.DAYS(入力シート!$J$24,'従業員情報(給与以外)'!$C178)/365))</f>
        <v/>
      </c>
      <c r="Q178" s="210" t="str">
        <f>IF(P178="","",VLOOKUP(_xlfn.DAYS(入力シート!$J$24,'従業員情報(給与以外)'!$C178)/365,入力リスト!$K$18:$L$26,2,2))</f>
        <v/>
      </c>
      <c r="R178" s="209" t="str">
        <f>IF(D178="","",VLOOKUP('従業員情報(給与以外)'!$D178,入力シート!$AW$37:$BB$38,4,0))</f>
        <v/>
      </c>
      <c r="S178" s="209" t="str">
        <f>IF(A178="","",IF(E178="","非役職",VLOOKUP('従業員情報(給与以外)'!$E178,入力シート!$AH$37:$AO$62,5,0)))</f>
        <v/>
      </c>
      <c r="T178" s="102" t="str">
        <f>IF(OR(入力シート!$C$5&lt;&gt;入力リスト!$C$3,COUNTIF(入力シート!$J$16:$S$23,入力リスト!$H$9)=0),"",IF($A178="","",IF(ISERROR(AVERAGEIF(従業員の給与情報!$B:$B,$A178,従業員の給与情報!$C:$C)),0,IF(ISERROR(AVERAGEIF(従業員の給与情報!$B:$B,$A178,従業員の給与情報!$C:$C)),0,AVERAGEIF(従業員の給与情報!$B:$B,$A178,従業員の給与情報!$C:$C)))))</f>
        <v/>
      </c>
      <c r="U178" s="102" t="str">
        <f>IF(OR(入力シート!$C$5&lt;&gt;入力リスト!$C$3,COUNTIF(入力シート!$J$16:$S$23,入力リスト!$H$9)=0),"",IF(A178="","",IF(ISERROR(AVERAGEIF(従業員の給与情報!$B:$B,$A178,従業員の給与情報!$D:$D)),0,IF(ISERROR(AVERAGEIF(従業員の給与情報!$B:$B,$A178,従業員の給与情報!$D:$D)),0,AVERAGEIF(従業員の給与情報!$B:$B,$A178,従業員の給与情報!$D:$D)))))</f>
        <v/>
      </c>
      <c r="V178" s="102" t="str">
        <f>IF(OR(入力シート!$C$5&lt;&gt;入力リスト!$C$3,COUNTIF(入力シート!$J$16:$S$23,入力リスト!$H$9)=0),"",IF(A178="","",IF(ISERROR(AVERAGEIF(従業員の給与情報!$B:$B,$A178,従業員の給与情報!$E:$E)),0,IF(ISERROR(AVERAGEIF(従業員の給与情報!$B:$B,$A178,従業員の給与情報!$E:$E)),0,AVERAGEIF(従業員の給与情報!$B:$B,$A178,従業員の給与情報!$E:$E)))))</f>
        <v/>
      </c>
      <c r="W178" s="103" t="str">
        <f>IF(OR(入力シート!$C$5&lt;&gt;入力リスト!$C$3,COUNTIF(入力シート!$J$16:$S$23,入力リスト!$H$9)=0),"",IF(A178="","",IF(ISERROR(AVERAGEIF(従業員の給与情報!$B:$B,$A178,従業員の給与情報!$F:$F)),0,IF(ISERROR(AVERAGEIF(従業員の給与情報!$B:$B,$A178,従業員の給与情報!$F:$F)),0,AVERAGEIF(従業員の給与情報!$B:$B,$A178,従業員の給与情報!$F:$F)))))</f>
        <v/>
      </c>
    </row>
    <row r="179" spans="1:23" s="10" customFormat="1" ht="19.8">
      <c r="A179" s="251"/>
      <c r="B179" s="251"/>
      <c r="C179" s="250"/>
      <c r="D179" s="251"/>
      <c r="E179" s="251"/>
      <c r="F179" s="257" t="str">
        <f>IF($G$1,"",IF(COUNTIF(A179:E179,"")=5,"",IF(G179,入力リスト!$K$28,IF(OR(A179="",B179="",IF(COUNTIF($C$3,"*不要*"),"",C179=""),D179=""),IF(A179="","従業員番号","")&amp;IF(B179="","「雇用形態」","")&amp;IF(OR(入力シート!$J$18=入力リスト!$H$9,入力シート!$J$22=入力リスト!$H$9),IF(C179="","「入社年月日」",""),"")&amp;IF(D179="","「性別」","")&amp;IF(IF(A179="","従業員番号","")&amp;IF(B179="","「雇用形態」","")&amp;IF(OR(入力シート!$J$18=入力リスト!$H$9,入力シート!$J$22=入力リスト!$H$9),IF(C179="","「入社年月日」",""),"")&amp;IF(D179="","「性別」","")="","",入力リスト!$K$29),IF(J179,入力リスト!$K$30,"")&amp;IF(I179,入力リスト!$K$31,"")&amp;IF(H179,"「雇用形態」","")&amp;IF(K179,"「性別」","")&amp;IF(L179,"「役職」","")&amp;IF(OR(H179,K179,L179),入力リスト!$K$32,"")))))</f>
        <v/>
      </c>
      <c r="G179" s="209" t="b">
        <f>COUNTIF($A$4:A178,$A179)&gt;0</f>
        <v>0</v>
      </c>
      <c r="H179" s="210" t="b">
        <f>IF($H$1,FALSE,COUNTIF(入力シート!$S$37:$V$62,B179)=0)</f>
        <v>0</v>
      </c>
      <c r="I179" s="210" t="b">
        <f t="shared" si="6"/>
        <v>0</v>
      </c>
      <c r="J179" s="210" t="b">
        <f>IF($J$1,FALSE,IF(I179=TRUE,FALSE,IF(I179,FALSE,C179&gt;入力シート!$J$24)))</f>
        <v>0</v>
      </c>
      <c r="K179" s="210" t="b">
        <f>IF($K$1,FALSE,COUNTIF(入力シート!$AW$37:$BB$38,D179)=0)</f>
        <v>0</v>
      </c>
      <c r="L179" s="210" t="b">
        <f>IF($L$1,FALSE,IF($L$3,FALSE,IF(E179="",FALSE,COUNTIF(入力シート!$AH$37:$AK$62,E179)=0)))</f>
        <v>0</v>
      </c>
      <c r="M179" s="211" t="str">
        <f t="shared" si="5"/>
        <v/>
      </c>
      <c r="N179" s="211"/>
      <c r="O179" s="209" t="str">
        <f>IF(B179="","",VLOOKUP('従業員情報(給与以外)'!$B179,入力シート!$S$37:$Z$62,5,0))</f>
        <v/>
      </c>
      <c r="P179" s="156" t="str">
        <f>IF(ISNUMBER(C179)=FALSE,"",IF(C179&gt;入力シート!$J$24,"",_xlfn.DAYS(入力シート!$J$24,'従業員情報(給与以外)'!$C179)/365))</f>
        <v/>
      </c>
      <c r="Q179" s="210" t="str">
        <f>IF(P179="","",VLOOKUP(_xlfn.DAYS(入力シート!$J$24,'従業員情報(給与以外)'!$C179)/365,入力リスト!$K$18:$L$26,2,2))</f>
        <v/>
      </c>
      <c r="R179" s="209" t="str">
        <f>IF(D179="","",VLOOKUP('従業員情報(給与以外)'!$D179,入力シート!$AW$37:$BB$38,4,0))</f>
        <v/>
      </c>
      <c r="S179" s="209" t="str">
        <f>IF(A179="","",IF(E179="","非役職",VLOOKUP('従業員情報(給与以外)'!$E179,入力シート!$AH$37:$AO$62,5,0)))</f>
        <v/>
      </c>
      <c r="T179" s="102" t="str">
        <f>IF(OR(入力シート!$C$5&lt;&gt;入力リスト!$C$3,COUNTIF(入力シート!$J$16:$S$23,入力リスト!$H$9)=0),"",IF($A179="","",IF(ISERROR(AVERAGEIF(従業員の給与情報!$B:$B,$A179,従業員の給与情報!$C:$C)),0,IF(ISERROR(AVERAGEIF(従業員の給与情報!$B:$B,$A179,従業員の給与情報!$C:$C)),0,AVERAGEIF(従業員の給与情報!$B:$B,$A179,従業員の給与情報!$C:$C)))))</f>
        <v/>
      </c>
      <c r="U179" s="102" t="str">
        <f>IF(OR(入力シート!$C$5&lt;&gt;入力リスト!$C$3,COUNTIF(入力シート!$J$16:$S$23,入力リスト!$H$9)=0),"",IF(A179="","",IF(ISERROR(AVERAGEIF(従業員の給与情報!$B:$B,$A179,従業員の給与情報!$D:$D)),0,IF(ISERROR(AVERAGEIF(従業員の給与情報!$B:$B,$A179,従業員の給与情報!$D:$D)),0,AVERAGEIF(従業員の給与情報!$B:$B,$A179,従業員の給与情報!$D:$D)))))</f>
        <v/>
      </c>
      <c r="V179" s="102" t="str">
        <f>IF(OR(入力シート!$C$5&lt;&gt;入力リスト!$C$3,COUNTIF(入力シート!$J$16:$S$23,入力リスト!$H$9)=0),"",IF(A179="","",IF(ISERROR(AVERAGEIF(従業員の給与情報!$B:$B,$A179,従業員の給与情報!$E:$E)),0,IF(ISERROR(AVERAGEIF(従業員の給与情報!$B:$B,$A179,従業員の給与情報!$E:$E)),0,AVERAGEIF(従業員の給与情報!$B:$B,$A179,従業員の給与情報!$E:$E)))))</f>
        <v/>
      </c>
      <c r="W179" s="103" t="str">
        <f>IF(OR(入力シート!$C$5&lt;&gt;入力リスト!$C$3,COUNTIF(入力シート!$J$16:$S$23,入力リスト!$H$9)=0),"",IF(A179="","",IF(ISERROR(AVERAGEIF(従業員の給与情報!$B:$B,$A179,従業員の給与情報!$F:$F)),0,IF(ISERROR(AVERAGEIF(従業員の給与情報!$B:$B,$A179,従業員の給与情報!$F:$F)),0,AVERAGEIF(従業員の給与情報!$B:$B,$A179,従業員の給与情報!$F:$F)))))</f>
        <v/>
      </c>
    </row>
    <row r="180" spans="1:23" s="10" customFormat="1" ht="19.8">
      <c r="A180" s="251"/>
      <c r="B180" s="251"/>
      <c r="C180" s="250"/>
      <c r="D180" s="251"/>
      <c r="E180" s="251"/>
      <c r="F180" s="257" t="str">
        <f>IF($G$1,"",IF(COUNTIF(A180:E180,"")=5,"",IF(G180,入力リスト!$K$28,IF(OR(A180="",B180="",IF(COUNTIF($C$3,"*不要*"),"",C180=""),D180=""),IF(A180="","従業員番号","")&amp;IF(B180="","「雇用形態」","")&amp;IF(OR(入力シート!$J$18=入力リスト!$H$9,入力シート!$J$22=入力リスト!$H$9),IF(C180="","「入社年月日」",""),"")&amp;IF(D180="","「性別」","")&amp;IF(IF(A180="","従業員番号","")&amp;IF(B180="","「雇用形態」","")&amp;IF(OR(入力シート!$J$18=入力リスト!$H$9,入力シート!$J$22=入力リスト!$H$9),IF(C180="","「入社年月日」",""),"")&amp;IF(D180="","「性別」","")="","",入力リスト!$K$29),IF(J180,入力リスト!$K$30,"")&amp;IF(I180,入力リスト!$K$31,"")&amp;IF(H180,"「雇用形態」","")&amp;IF(K180,"「性別」","")&amp;IF(L180,"「役職」","")&amp;IF(OR(H180,K180,L180),入力リスト!$K$32,"")))))</f>
        <v/>
      </c>
      <c r="G180" s="209" t="b">
        <f>COUNTIF($A$4:A179,$A180)&gt;0</f>
        <v>0</v>
      </c>
      <c r="H180" s="210" t="b">
        <f>IF($H$1,FALSE,COUNTIF(入力シート!$S$37:$V$62,B180)=0)</f>
        <v>0</v>
      </c>
      <c r="I180" s="210" t="b">
        <f t="shared" si="6"/>
        <v>0</v>
      </c>
      <c r="J180" s="210" t="b">
        <f>IF($J$1,FALSE,IF(I180=TRUE,FALSE,IF(I180,FALSE,C180&gt;入力シート!$J$24)))</f>
        <v>0</v>
      </c>
      <c r="K180" s="210" t="b">
        <f>IF($K$1,FALSE,COUNTIF(入力シート!$AW$37:$BB$38,D180)=0)</f>
        <v>0</v>
      </c>
      <c r="L180" s="210" t="b">
        <f>IF($L$1,FALSE,IF($L$3,FALSE,IF(E180="",FALSE,COUNTIF(入力シート!$AH$37:$AK$62,E180)=0)))</f>
        <v>0</v>
      </c>
      <c r="M180" s="211" t="str">
        <f t="shared" si="5"/>
        <v/>
      </c>
      <c r="N180" s="211"/>
      <c r="O180" s="209" t="str">
        <f>IF(B180="","",VLOOKUP('従業員情報(給与以外)'!$B180,入力シート!$S$37:$Z$62,5,0))</f>
        <v/>
      </c>
      <c r="P180" s="156" t="str">
        <f>IF(ISNUMBER(C180)=FALSE,"",IF(C180&gt;入力シート!$J$24,"",_xlfn.DAYS(入力シート!$J$24,'従業員情報(給与以外)'!$C180)/365))</f>
        <v/>
      </c>
      <c r="Q180" s="210" t="str">
        <f>IF(P180="","",VLOOKUP(_xlfn.DAYS(入力シート!$J$24,'従業員情報(給与以外)'!$C180)/365,入力リスト!$K$18:$L$26,2,2))</f>
        <v/>
      </c>
      <c r="R180" s="209" t="str">
        <f>IF(D180="","",VLOOKUP('従業員情報(給与以外)'!$D180,入力シート!$AW$37:$BB$38,4,0))</f>
        <v/>
      </c>
      <c r="S180" s="209" t="str">
        <f>IF(A180="","",IF(E180="","非役職",VLOOKUP('従業員情報(給与以外)'!$E180,入力シート!$AH$37:$AO$62,5,0)))</f>
        <v/>
      </c>
      <c r="T180" s="102" t="str">
        <f>IF(OR(入力シート!$C$5&lt;&gt;入力リスト!$C$3,COUNTIF(入力シート!$J$16:$S$23,入力リスト!$H$9)=0),"",IF($A180="","",IF(ISERROR(AVERAGEIF(従業員の給与情報!$B:$B,$A180,従業員の給与情報!$C:$C)),0,IF(ISERROR(AVERAGEIF(従業員の給与情報!$B:$B,$A180,従業員の給与情報!$C:$C)),0,AVERAGEIF(従業員の給与情報!$B:$B,$A180,従業員の給与情報!$C:$C)))))</f>
        <v/>
      </c>
      <c r="U180" s="102" t="str">
        <f>IF(OR(入力シート!$C$5&lt;&gt;入力リスト!$C$3,COUNTIF(入力シート!$J$16:$S$23,入力リスト!$H$9)=0),"",IF(A180="","",IF(ISERROR(AVERAGEIF(従業員の給与情報!$B:$B,$A180,従業員の給与情報!$D:$D)),0,IF(ISERROR(AVERAGEIF(従業員の給与情報!$B:$B,$A180,従業員の給与情報!$D:$D)),0,AVERAGEIF(従業員の給与情報!$B:$B,$A180,従業員の給与情報!$D:$D)))))</f>
        <v/>
      </c>
      <c r="V180" s="102" t="str">
        <f>IF(OR(入力シート!$C$5&lt;&gt;入力リスト!$C$3,COUNTIF(入力シート!$J$16:$S$23,入力リスト!$H$9)=0),"",IF(A180="","",IF(ISERROR(AVERAGEIF(従業員の給与情報!$B:$B,$A180,従業員の給与情報!$E:$E)),0,IF(ISERROR(AVERAGEIF(従業員の給与情報!$B:$B,$A180,従業員の給与情報!$E:$E)),0,AVERAGEIF(従業員の給与情報!$B:$B,$A180,従業員の給与情報!$E:$E)))))</f>
        <v/>
      </c>
      <c r="W180" s="103" t="str">
        <f>IF(OR(入力シート!$C$5&lt;&gt;入力リスト!$C$3,COUNTIF(入力シート!$J$16:$S$23,入力リスト!$H$9)=0),"",IF(A180="","",IF(ISERROR(AVERAGEIF(従業員の給与情報!$B:$B,$A180,従業員の給与情報!$F:$F)),0,IF(ISERROR(AVERAGEIF(従業員の給与情報!$B:$B,$A180,従業員の給与情報!$F:$F)),0,AVERAGEIF(従業員の給与情報!$B:$B,$A180,従業員の給与情報!$F:$F)))))</f>
        <v/>
      </c>
    </row>
    <row r="181" spans="1:23" s="10" customFormat="1" ht="19.8">
      <c r="A181" s="251"/>
      <c r="B181" s="251"/>
      <c r="C181" s="250"/>
      <c r="D181" s="251"/>
      <c r="E181" s="251"/>
      <c r="F181" s="257" t="str">
        <f>IF($G$1,"",IF(COUNTIF(A181:E181,"")=5,"",IF(G181,入力リスト!$K$28,IF(OR(A181="",B181="",IF(COUNTIF($C$3,"*不要*"),"",C181=""),D181=""),IF(A181="","従業員番号","")&amp;IF(B181="","「雇用形態」","")&amp;IF(OR(入力シート!$J$18=入力リスト!$H$9,入力シート!$J$22=入力リスト!$H$9),IF(C181="","「入社年月日」",""),"")&amp;IF(D181="","「性別」","")&amp;IF(IF(A181="","従業員番号","")&amp;IF(B181="","「雇用形態」","")&amp;IF(OR(入力シート!$J$18=入力リスト!$H$9,入力シート!$J$22=入力リスト!$H$9),IF(C181="","「入社年月日」",""),"")&amp;IF(D181="","「性別」","")="","",入力リスト!$K$29),IF(J181,入力リスト!$K$30,"")&amp;IF(I181,入力リスト!$K$31,"")&amp;IF(H181,"「雇用形態」","")&amp;IF(K181,"「性別」","")&amp;IF(L181,"「役職」","")&amp;IF(OR(H181,K181,L181),入力リスト!$K$32,"")))))</f>
        <v/>
      </c>
      <c r="G181" s="209" t="b">
        <f>COUNTIF($A$4:A180,$A181)&gt;0</f>
        <v>0</v>
      </c>
      <c r="H181" s="210" t="b">
        <f>IF($H$1,FALSE,COUNTIF(入力シート!$S$37:$V$62,B181)=0)</f>
        <v>0</v>
      </c>
      <c r="I181" s="210" t="b">
        <f t="shared" si="6"/>
        <v>0</v>
      </c>
      <c r="J181" s="210" t="b">
        <f>IF($J$1,FALSE,IF(I181=TRUE,FALSE,IF(I181,FALSE,C181&gt;入力シート!$J$24)))</f>
        <v>0</v>
      </c>
      <c r="K181" s="210" t="b">
        <f>IF($K$1,FALSE,COUNTIF(入力シート!$AW$37:$BB$38,D181)=0)</f>
        <v>0</v>
      </c>
      <c r="L181" s="210" t="b">
        <f>IF($L$1,FALSE,IF($L$3,FALSE,IF(E181="",FALSE,COUNTIF(入力シート!$AH$37:$AK$62,E181)=0)))</f>
        <v>0</v>
      </c>
      <c r="M181" s="211" t="str">
        <f t="shared" si="5"/>
        <v/>
      </c>
      <c r="N181" s="211"/>
      <c r="O181" s="209" t="str">
        <f>IF(B181="","",VLOOKUP('従業員情報(給与以外)'!$B181,入力シート!$S$37:$Z$62,5,0))</f>
        <v/>
      </c>
      <c r="P181" s="156" t="str">
        <f>IF(ISNUMBER(C181)=FALSE,"",IF(C181&gt;入力シート!$J$24,"",_xlfn.DAYS(入力シート!$J$24,'従業員情報(給与以外)'!$C181)/365))</f>
        <v/>
      </c>
      <c r="Q181" s="210" t="str">
        <f>IF(P181="","",VLOOKUP(_xlfn.DAYS(入力シート!$J$24,'従業員情報(給与以外)'!$C181)/365,入力リスト!$K$18:$L$26,2,2))</f>
        <v/>
      </c>
      <c r="R181" s="209" t="str">
        <f>IF(D181="","",VLOOKUP('従業員情報(給与以外)'!$D181,入力シート!$AW$37:$BB$38,4,0))</f>
        <v/>
      </c>
      <c r="S181" s="209" t="str">
        <f>IF(A181="","",IF(E181="","非役職",VLOOKUP('従業員情報(給与以外)'!$E181,入力シート!$AH$37:$AO$62,5,0)))</f>
        <v/>
      </c>
      <c r="T181" s="102" t="str">
        <f>IF(OR(入力シート!$C$5&lt;&gt;入力リスト!$C$3,COUNTIF(入力シート!$J$16:$S$23,入力リスト!$H$9)=0),"",IF($A181="","",IF(ISERROR(AVERAGEIF(従業員の給与情報!$B:$B,$A181,従業員の給与情報!$C:$C)),0,IF(ISERROR(AVERAGEIF(従業員の給与情報!$B:$B,$A181,従業員の給与情報!$C:$C)),0,AVERAGEIF(従業員の給与情報!$B:$B,$A181,従業員の給与情報!$C:$C)))))</f>
        <v/>
      </c>
      <c r="U181" s="102" t="str">
        <f>IF(OR(入力シート!$C$5&lt;&gt;入力リスト!$C$3,COUNTIF(入力シート!$J$16:$S$23,入力リスト!$H$9)=0),"",IF(A181="","",IF(ISERROR(AVERAGEIF(従業員の給与情報!$B:$B,$A181,従業員の給与情報!$D:$D)),0,IF(ISERROR(AVERAGEIF(従業員の給与情報!$B:$B,$A181,従業員の給与情報!$D:$D)),0,AVERAGEIF(従業員の給与情報!$B:$B,$A181,従業員の給与情報!$D:$D)))))</f>
        <v/>
      </c>
      <c r="V181" s="102" t="str">
        <f>IF(OR(入力シート!$C$5&lt;&gt;入力リスト!$C$3,COUNTIF(入力シート!$J$16:$S$23,入力リスト!$H$9)=0),"",IF(A181="","",IF(ISERROR(AVERAGEIF(従業員の給与情報!$B:$B,$A181,従業員の給与情報!$E:$E)),0,IF(ISERROR(AVERAGEIF(従業員の給与情報!$B:$B,$A181,従業員の給与情報!$E:$E)),0,AVERAGEIF(従業員の給与情報!$B:$B,$A181,従業員の給与情報!$E:$E)))))</f>
        <v/>
      </c>
      <c r="W181" s="103" t="str">
        <f>IF(OR(入力シート!$C$5&lt;&gt;入力リスト!$C$3,COUNTIF(入力シート!$J$16:$S$23,入力リスト!$H$9)=0),"",IF(A181="","",IF(ISERROR(AVERAGEIF(従業員の給与情報!$B:$B,$A181,従業員の給与情報!$F:$F)),0,IF(ISERROR(AVERAGEIF(従業員の給与情報!$B:$B,$A181,従業員の給与情報!$F:$F)),0,AVERAGEIF(従業員の給与情報!$B:$B,$A181,従業員の給与情報!$F:$F)))))</f>
        <v/>
      </c>
    </row>
    <row r="182" spans="1:23" s="10" customFormat="1" ht="19.8">
      <c r="A182" s="251"/>
      <c r="B182" s="251"/>
      <c r="C182" s="250"/>
      <c r="D182" s="251"/>
      <c r="E182" s="251"/>
      <c r="F182" s="257" t="str">
        <f>IF($G$1,"",IF(COUNTIF(A182:E182,"")=5,"",IF(G182,入力リスト!$K$28,IF(OR(A182="",B182="",IF(COUNTIF($C$3,"*不要*"),"",C182=""),D182=""),IF(A182="","従業員番号","")&amp;IF(B182="","「雇用形態」","")&amp;IF(OR(入力シート!$J$18=入力リスト!$H$9,入力シート!$J$22=入力リスト!$H$9),IF(C182="","「入社年月日」",""),"")&amp;IF(D182="","「性別」","")&amp;IF(IF(A182="","従業員番号","")&amp;IF(B182="","「雇用形態」","")&amp;IF(OR(入力シート!$J$18=入力リスト!$H$9,入力シート!$J$22=入力リスト!$H$9),IF(C182="","「入社年月日」",""),"")&amp;IF(D182="","「性別」","")="","",入力リスト!$K$29),IF(J182,入力リスト!$K$30,"")&amp;IF(I182,入力リスト!$K$31,"")&amp;IF(H182,"「雇用形態」","")&amp;IF(K182,"「性別」","")&amp;IF(L182,"「役職」","")&amp;IF(OR(H182,K182,L182),入力リスト!$K$32,"")))))</f>
        <v/>
      </c>
      <c r="G182" s="209" t="b">
        <f>COUNTIF($A$4:A181,$A182)&gt;0</f>
        <v>0</v>
      </c>
      <c r="H182" s="210" t="b">
        <f>IF($H$1,FALSE,COUNTIF(入力シート!$S$37:$V$62,B182)=0)</f>
        <v>0</v>
      </c>
      <c r="I182" s="210" t="b">
        <f t="shared" si="6"/>
        <v>0</v>
      </c>
      <c r="J182" s="210" t="b">
        <f>IF($J$1,FALSE,IF(I182=TRUE,FALSE,IF(I182,FALSE,C182&gt;入力シート!$J$24)))</f>
        <v>0</v>
      </c>
      <c r="K182" s="210" t="b">
        <f>IF($K$1,FALSE,COUNTIF(入力シート!$AW$37:$BB$38,D182)=0)</f>
        <v>0</v>
      </c>
      <c r="L182" s="210" t="b">
        <f>IF($L$1,FALSE,IF($L$3,FALSE,IF(E182="",FALSE,COUNTIF(入力シート!$AH$37:$AK$62,E182)=0)))</f>
        <v>0</v>
      </c>
      <c r="M182" s="211" t="str">
        <f t="shared" si="5"/>
        <v/>
      </c>
      <c r="N182" s="211"/>
      <c r="O182" s="209" t="str">
        <f>IF(B182="","",VLOOKUP('従業員情報(給与以外)'!$B182,入力シート!$S$37:$Z$62,5,0))</f>
        <v/>
      </c>
      <c r="P182" s="156" t="str">
        <f>IF(ISNUMBER(C182)=FALSE,"",IF(C182&gt;入力シート!$J$24,"",_xlfn.DAYS(入力シート!$J$24,'従業員情報(給与以外)'!$C182)/365))</f>
        <v/>
      </c>
      <c r="Q182" s="210" t="str">
        <f>IF(P182="","",VLOOKUP(_xlfn.DAYS(入力シート!$J$24,'従業員情報(給与以外)'!$C182)/365,入力リスト!$K$18:$L$26,2,2))</f>
        <v/>
      </c>
      <c r="R182" s="209" t="str">
        <f>IF(D182="","",VLOOKUP('従業員情報(給与以外)'!$D182,入力シート!$AW$37:$BB$38,4,0))</f>
        <v/>
      </c>
      <c r="S182" s="209" t="str">
        <f>IF(A182="","",IF(E182="","非役職",VLOOKUP('従業員情報(給与以外)'!$E182,入力シート!$AH$37:$AO$62,5,0)))</f>
        <v/>
      </c>
      <c r="T182" s="102" t="str">
        <f>IF(OR(入力シート!$C$5&lt;&gt;入力リスト!$C$3,COUNTIF(入力シート!$J$16:$S$23,入力リスト!$H$9)=0),"",IF($A182="","",IF(ISERROR(AVERAGEIF(従業員の給与情報!$B:$B,$A182,従業員の給与情報!$C:$C)),0,IF(ISERROR(AVERAGEIF(従業員の給与情報!$B:$B,$A182,従業員の給与情報!$C:$C)),0,AVERAGEIF(従業員の給与情報!$B:$B,$A182,従業員の給与情報!$C:$C)))))</f>
        <v/>
      </c>
      <c r="U182" s="102" t="str">
        <f>IF(OR(入力シート!$C$5&lt;&gt;入力リスト!$C$3,COUNTIF(入力シート!$J$16:$S$23,入力リスト!$H$9)=0),"",IF(A182="","",IF(ISERROR(AVERAGEIF(従業員の給与情報!$B:$B,$A182,従業員の給与情報!$D:$D)),0,IF(ISERROR(AVERAGEIF(従業員の給与情報!$B:$B,$A182,従業員の給与情報!$D:$D)),0,AVERAGEIF(従業員の給与情報!$B:$B,$A182,従業員の給与情報!$D:$D)))))</f>
        <v/>
      </c>
      <c r="V182" s="102" t="str">
        <f>IF(OR(入力シート!$C$5&lt;&gt;入力リスト!$C$3,COUNTIF(入力シート!$J$16:$S$23,入力リスト!$H$9)=0),"",IF(A182="","",IF(ISERROR(AVERAGEIF(従業員の給与情報!$B:$B,$A182,従業員の給与情報!$E:$E)),0,IF(ISERROR(AVERAGEIF(従業員の給与情報!$B:$B,$A182,従業員の給与情報!$E:$E)),0,AVERAGEIF(従業員の給与情報!$B:$B,$A182,従業員の給与情報!$E:$E)))))</f>
        <v/>
      </c>
      <c r="W182" s="103" t="str">
        <f>IF(OR(入力シート!$C$5&lt;&gt;入力リスト!$C$3,COUNTIF(入力シート!$J$16:$S$23,入力リスト!$H$9)=0),"",IF(A182="","",IF(ISERROR(AVERAGEIF(従業員の給与情報!$B:$B,$A182,従業員の給与情報!$F:$F)),0,IF(ISERROR(AVERAGEIF(従業員の給与情報!$B:$B,$A182,従業員の給与情報!$F:$F)),0,AVERAGEIF(従業員の給与情報!$B:$B,$A182,従業員の給与情報!$F:$F)))))</f>
        <v/>
      </c>
    </row>
    <row r="183" spans="1:23" s="10" customFormat="1" ht="19.8">
      <c r="A183" s="251"/>
      <c r="B183" s="251"/>
      <c r="C183" s="250"/>
      <c r="D183" s="251"/>
      <c r="E183" s="251"/>
      <c r="F183" s="257" t="str">
        <f>IF($G$1,"",IF(COUNTIF(A183:E183,"")=5,"",IF(G183,入力リスト!$K$28,IF(OR(A183="",B183="",IF(COUNTIF($C$3,"*不要*"),"",C183=""),D183=""),IF(A183="","従業員番号","")&amp;IF(B183="","「雇用形態」","")&amp;IF(OR(入力シート!$J$18=入力リスト!$H$9,入力シート!$J$22=入力リスト!$H$9),IF(C183="","「入社年月日」",""),"")&amp;IF(D183="","「性別」","")&amp;IF(IF(A183="","従業員番号","")&amp;IF(B183="","「雇用形態」","")&amp;IF(OR(入力シート!$J$18=入力リスト!$H$9,入力シート!$J$22=入力リスト!$H$9),IF(C183="","「入社年月日」",""),"")&amp;IF(D183="","「性別」","")="","",入力リスト!$K$29),IF(J183,入力リスト!$K$30,"")&amp;IF(I183,入力リスト!$K$31,"")&amp;IF(H183,"「雇用形態」","")&amp;IF(K183,"「性別」","")&amp;IF(L183,"「役職」","")&amp;IF(OR(H183,K183,L183),入力リスト!$K$32,"")))))</f>
        <v/>
      </c>
      <c r="G183" s="209" t="b">
        <f>COUNTIF($A$4:A182,$A183)&gt;0</f>
        <v>0</v>
      </c>
      <c r="H183" s="210" t="b">
        <f>IF($H$1,FALSE,COUNTIF(入力シート!$S$37:$V$62,B183)=0)</f>
        <v>0</v>
      </c>
      <c r="I183" s="210" t="b">
        <f t="shared" si="6"/>
        <v>0</v>
      </c>
      <c r="J183" s="210" t="b">
        <f>IF($J$1,FALSE,IF(I183=TRUE,FALSE,IF(I183,FALSE,C183&gt;入力シート!$J$24)))</f>
        <v>0</v>
      </c>
      <c r="K183" s="210" t="b">
        <f>IF($K$1,FALSE,COUNTIF(入力シート!$AW$37:$BB$38,D183)=0)</f>
        <v>0</v>
      </c>
      <c r="L183" s="210" t="b">
        <f>IF($L$1,FALSE,IF($L$3,FALSE,IF(E183="",FALSE,COUNTIF(入力シート!$AH$37:$AK$62,E183)=0)))</f>
        <v>0</v>
      </c>
      <c r="M183" s="211" t="str">
        <f t="shared" si="5"/>
        <v/>
      </c>
      <c r="N183" s="211"/>
      <c r="O183" s="209" t="str">
        <f>IF(B183="","",VLOOKUP('従業員情報(給与以外)'!$B183,入力シート!$S$37:$Z$62,5,0))</f>
        <v/>
      </c>
      <c r="P183" s="156" t="str">
        <f>IF(ISNUMBER(C183)=FALSE,"",IF(C183&gt;入力シート!$J$24,"",_xlfn.DAYS(入力シート!$J$24,'従業員情報(給与以外)'!$C183)/365))</f>
        <v/>
      </c>
      <c r="Q183" s="210" t="str">
        <f>IF(P183="","",VLOOKUP(_xlfn.DAYS(入力シート!$J$24,'従業員情報(給与以外)'!$C183)/365,入力リスト!$K$18:$L$26,2,2))</f>
        <v/>
      </c>
      <c r="R183" s="209" t="str">
        <f>IF(D183="","",VLOOKUP('従業員情報(給与以外)'!$D183,入力シート!$AW$37:$BB$38,4,0))</f>
        <v/>
      </c>
      <c r="S183" s="209" t="str">
        <f>IF(A183="","",IF(E183="","非役職",VLOOKUP('従業員情報(給与以外)'!$E183,入力シート!$AH$37:$AO$62,5,0)))</f>
        <v/>
      </c>
      <c r="T183" s="102" t="str">
        <f>IF(OR(入力シート!$C$5&lt;&gt;入力リスト!$C$3,COUNTIF(入力シート!$J$16:$S$23,入力リスト!$H$9)=0),"",IF($A183="","",IF(ISERROR(AVERAGEIF(従業員の給与情報!$B:$B,$A183,従業員の給与情報!$C:$C)),0,IF(ISERROR(AVERAGEIF(従業員の給与情報!$B:$B,$A183,従業員の給与情報!$C:$C)),0,AVERAGEIF(従業員の給与情報!$B:$B,$A183,従業員の給与情報!$C:$C)))))</f>
        <v/>
      </c>
      <c r="U183" s="102" t="str">
        <f>IF(OR(入力シート!$C$5&lt;&gt;入力リスト!$C$3,COUNTIF(入力シート!$J$16:$S$23,入力リスト!$H$9)=0),"",IF(A183="","",IF(ISERROR(AVERAGEIF(従業員の給与情報!$B:$B,$A183,従業員の給与情報!$D:$D)),0,IF(ISERROR(AVERAGEIF(従業員の給与情報!$B:$B,$A183,従業員の給与情報!$D:$D)),0,AVERAGEIF(従業員の給与情報!$B:$B,$A183,従業員の給与情報!$D:$D)))))</f>
        <v/>
      </c>
      <c r="V183" s="102" t="str">
        <f>IF(OR(入力シート!$C$5&lt;&gt;入力リスト!$C$3,COUNTIF(入力シート!$J$16:$S$23,入力リスト!$H$9)=0),"",IF(A183="","",IF(ISERROR(AVERAGEIF(従業員の給与情報!$B:$B,$A183,従業員の給与情報!$E:$E)),0,IF(ISERROR(AVERAGEIF(従業員の給与情報!$B:$B,$A183,従業員の給与情報!$E:$E)),0,AVERAGEIF(従業員の給与情報!$B:$B,$A183,従業員の給与情報!$E:$E)))))</f>
        <v/>
      </c>
      <c r="W183" s="103" t="str">
        <f>IF(OR(入力シート!$C$5&lt;&gt;入力リスト!$C$3,COUNTIF(入力シート!$J$16:$S$23,入力リスト!$H$9)=0),"",IF(A183="","",IF(ISERROR(AVERAGEIF(従業員の給与情報!$B:$B,$A183,従業員の給与情報!$F:$F)),0,IF(ISERROR(AVERAGEIF(従業員の給与情報!$B:$B,$A183,従業員の給与情報!$F:$F)),0,AVERAGEIF(従業員の給与情報!$B:$B,$A183,従業員の給与情報!$F:$F)))))</f>
        <v/>
      </c>
    </row>
    <row r="184" spans="1:23" s="10" customFormat="1" ht="19.8">
      <c r="A184" s="251"/>
      <c r="B184" s="251"/>
      <c r="C184" s="250"/>
      <c r="D184" s="251"/>
      <c r="E184" s="251"/>
      <c r="F184" s="257" t="str">
        <f>IF($G$1,"",IF(COUNTIF(A184:E184,"")=5,"",IF(G184,入力リスト!$K$28,IF(OR(A184="",B184="",IF(COUNTIF($C$3,"*不要*"),"",C184=""),D184=""),IF(A184="","従業員番号","")&amp;IF(B184="","「雇用形態」","")&amp;IF(OR(入力シート!$J$18=入力リスト!$H$9,入力シート!$J$22=入力リスト!$H$9),IF(C184="","「入社年月日」",""),"")&amp;IF(D184="","「性別」","")&amp;IF(IF(A184="","従業員番号","")&amp;IF(B184="","「雇用形態」","")&amp;IF(OR(入力シート!$J$18=入力リスト!$H$9,入力シート!$J$22=入力リスト!$H$9),IF(C184="","「入社年月日」",""),"")&amp;IF(D184="","「性別」","")="","",入力リスト!$K$29),IF(J184,入力リスト!$K$30,"")&amp;IF(I184,入力リスト!$K$31,"")&amp;IF(H184,"「雇用形態」","")&amp;IF(K184,"「性別」","")&amp;IF(L184,"「役職」","")&amp;IF(OR(H184,K184,L184),入力リスト!$K$32,"")))))</f>
        <v/>
      </c>
      <c r="G184" s="209" t="b">
        <f>COUNTIF($A$4:A183,$A184)&gt;0</f>
        <v>0</v>
      </c>
      <c r="H184" s="210" t="b">
        <f>IF($H$1,FALSE,COUNTIF(入力シート!$S$37:$V$62,B184)=0)</f>
        <v>0</v>
      </c>
      <c r="I184" s="210" t="b">
        <f t="shared" si="6"/>
        <v>0</v>
      </c>
      <c r="J184" s="210" t="b">
        <f>IF($J$1,FALSE,IF(I184=TRUE,FALSE,IF(I184,FALSE,C184&gt;入力シート!$J$24)))</f>
        <v>0</v>
      </c>
      <c r="K184" s="210" t="b">
        <f>IF($K$1,FALSE,COUNTIF(入力シート!$AW$37:$BB$38,D184)=0)</f>
        <v>0</v>
      </c>
      <c r="L184" s="210" t="b">
        <f>IF($L$1,FALSE,IF($L$3,FALSE,IF(E184="",FALSE,COUNTIF(入力シート!$AH$37:$AK$62,E184)=0)))</f>
        <v>0</v>
      </c>
      <c r="M184" s="211" t="str">
        <f t="shared" si="5"/>
        <v/>
      </c>
      <c r="N184" s="211"/>
      <c r="O184" s="209" t="str">
        <f>IF(B184="","",VLOOKUP('従業員情報(給与以外)'!$B184,入力シート!$S$37:$Z$62,5,0))</f>
        <v/>
      </c>
      <c r="P184" s="156" t="str">
        <f>IF(ISNUMBER(C184)=FALSE,"",IF(C184&gt;入力シート!$J$24,"",_xlfn.DAYS(入力シート!$J$24,'従業員情報(給与以外)'!$C184)/365))</f>
        <v/>
      </c>
      <c r="Q184" s="210" t="str">
        <f>IF(P184="","",VLOOKUP(_xlfn.DAYS(入力シート!$J$24,'従業員情報(給与以外)'!$C184)/365,入力リスト!$K$18:$L$26,2,2))</f>
        <v/>
      </c>
      <c r="R184" s="209" t="str">
        <f>IF(D184="","",VLOOKUP('従業員情報(給与以外)'!$D184,入力シート!$AW$37:$BB$38,4,0))</f>
        <v/>
      </c>
      <c r="S184" s="209" t="str">
        <f>IF(A184="","",IF(E184="","非役職",VLOOKUP('従業員情報(給与以外)'!$E184,入力シート!$AH$37:$AO$62,5,0)))</f>
        <v/>
      </c>
      <c r="T184" s="102" t="str">
        <f>IF(OR(入力シート!$C$5&lt;&gt;入力リスト!$C$3,COUNTIF(入力シート!$J$16:$S$23,入力リスト!$H$9)=0),"",IF($A184="","",IF(ISERROR(AVERAGEIF(従業員の給与情報!$B:$B,$A184,従業員の給与情報!$C:$C)),0,IF(ISERROR(AVERAGEIF(従業員の給与情報!$B:$B,$A184,従業員の給与情報!$C:$C)),0,AVERAGEIF(従業員の給与情報!$B:$B,$A184,従業員の給与情報!$C:$C)))))</f>
        <v/>
      </c>
      <c r="U184" s="102" t="str">
        <f>IF(OR(入力シート!$C$5&lt;&gt;入力リスト!$C$3,COUNTIF(入力シート!$J$16:$S$23,入力リスト!$H$9)=0),"",IF(A184="","",IF(ISERROR(AVERAGEIF(従業員の給与情報!$B:$B,$A184,従業員の給与情報!$D:$D)),0,IF(ISERROR(AVERAGEIF(従業員の給与情報!$B:$B,$A184,従業員の給与情報!$D:$D)),0,AVERAGEIF(従業員の給与情報!$B:$B,$A184,従業員の給与情報!$D:$D)))))</f>
        <v/>
      </c>
      <c r="V184" s="102" t="str">
        <f>IF(OR(入力シート!$C$5&lt;&gt;入力リスト!$C$3,COUNTIF(入力シート!$J$16:$S$23,入力リスト!$H$9)=0),"",IF(A184="","",IF(ISERROR(AVERAGEIF(従業員の給与情報!$B:$B,$A184,従業員の給与情報!$E:$E)),0,IF(ISERROR(AVERAGEIF(従業員の給与情報!$B:$B,$A184,従業員の給与情報!$E:$E)),0,AVERAGEIF(従業員の給与情報!$B:$B,$A184,従業員の給与情報!$E:$E)))))</f>
        <v/>
      </c>
      <c r="W184" s="103" t="str">
        <f>IF(OR(入力シート!$C$5&lt;&gt;入力リスト!$C$3,COUNTIF(入力シート!$J$16:$S$23,入力リスト!$H$9)=0),"",IF(A184="","",IF(ISERROR(AVERAGEIF(従業員の給与情報!$B:$B,$A184,従業員の給与情報!$F:$F)),0,IF(ISERROR(AVERAGEIF(従業員の給与情報!$B:$B,$A184,従業員の給与情報!$F:$F)),0,AVERAGEIF(従業員の給与情報!$B:$B,$A184,従業員の給与情報!$F:$F)))))</f>
        <v/>
      </c>
    </row>
    <row r="185" spans="1:23" s="10" customFormat="1" ht="19.8">
      <c r="A185" s="251"/>
      <c r="B185" s="251"/>
      <c r="C185" s="250"/>
      <c r="D185" s="251"/>
      <c r="E185" s="251"/>
      <c r="F185" s="257" t="str">
        <f>IF($G$1,"",IF(COUNTIF(A185:E185,"")=5,"",IF(G185,入力リスト!$K$28,IF(OR(A185="",B185="",IF(COUNTIF($C$3,"*不要*"),"",C185=""),D185=""),IF(A185="","従業員番号","")&amp;IF(B185="","「雇用形態」","")&amp;IF(OR(入力シート!$J$18=入力リスト!$H$9,入力シート!$J$22=入力リスト!$H$9),IF(C185="","「入社年月日」",""),"")&amp;IF(D185="","「性別」","")&amp;IF(IF(A185="","従業員番号","")&amp;IF(B185="","「雇用形態」","")&amp;IF(OR(入力シート!$J$18=入力リスト!$H$9,入力シート!$J$22=入力リスト!$H$9),IF(C185="","「入社年月日」",""),"")&amp;IF(D185="","「性別」","")="","",入力リスト!$K$29),IF(J185,入力リスト!$K$30,"")&amp;IF(I185,入力リスト!$K$31,"")&amp;IF(H185,"「雇用形態」","")&amp;IF(K185,"「性別」","")&amp;IF(L185,"「役職」","")&amp;IF(OR(H185,K185,L185),入力リスト!$K$32,"")))))</f>
        <v/>
      </c>
      <c r="G185" s="209" t="b">
        <f>COUNTIF($A$4:A184,$A185)&gt;0</f>
        <v>0</v>
      </c>
      <c r="H185" s="210" t="b">
        <f>IF($H$1,FALSE,COUNTIF(入力シート!$S$37:$V$62,B185)=0)</f>
        <v>0</v>
      </c>
      <c r="I185" s="210" t="b">
        <f t="shared" si="6"/>
        <v>0</v>
      </c>
      <c r="J185" s="210" t="b">
        <f>IF($J$1,FALSE,IF(I185=TRUE,FALSE,IF(I185,FALSE,C185&gt;入力シート!$J$24)))</f>
        <v>0</v>
      </c>
      <c r="K185" s="210" t="b">
        <f>IF($K$1,FALSE,COUNTIF(入力シート!$AW$37:$BB$38,D185)=0)</f>
        <v>0</v>
      </c>
      <c r="L185" s="210" t="b">
        <f>IF($L$1,FALSE,IF($L$3,FALSE,IF(E185="",FALSE,COUNTIF(入力シート!$AH$37:$AK$62,E185)=0)))</f>
        <v>0</v>
      </c>
      <c r="M185" s="211" t="str">
        <f t="shared" si="5"/>
        <v/>
      </c>
      <c r="N185" s="211"/>
      <c r="O185" s="209" t="str">
        <f>IF(B185="","",VLOOKUP('従業員情報(給与以外)'!$B185,入力シート!$S$37:$Z$62,5,0))</f>
        <v/>
      </c>
      <c r="P185" s="156" t="str">
        <f>IF(ISNUMBER(C185)=FALSE,"",IF(C185&gt;入力シート!$J$24,"",_xlfn.DAYS(入力シート!$J$24,'従業員情報(給与以外)'!$C185)/365))</f>
        <v/>
      </c>
      <c r="Q185" s="210" t="str">
        <f>IF(P185="","",VLOOKUP(_xlfn.DAYS(入力シート!$J$24,'従業員情報(給与以外)'!$C185)/365,入力リスト!$K$18:$L$26,2,2))</f>
        <v/>
      </c>
      <c r="R185" s="209" t="str">
        <f>IF(D185="","",VLOOKUP('従業員情報(給与以外)'!$D185,入力シート!$AW$37:$BB$38,4,0))</f>
        <v/>
      </c>
      <c r="S185" s="209" t="str">
        <f>IF(A185="","",IF(E185="","非役職",VLOOKUP('従業員情報(給与以外)'!$E185,入力シート!$AH$37:$AO$62,5,0)))</f>
        <v/>
      </c>
      <c r="T185" s="102" t="str">
        <f>IF(OR(入力シート!$C$5&lt;&gt;入力リスト!$C$3,COUNTIF(入力シート!$J$16:$S$23,入力リスト!$H$9)=0),"",IF($A185="","",IF(ISERROR(AVERAGEIF(従業員の給与情報!$B:$B,$A185,従業員の給与情報!$C:$C)),0,IF(ISERROR(AVERAGEIF(従業員の給与情報!$B:$B,$A185,従業員の給与情報!$C:$C)),0,AVERAGEIF(従業員の給与情報!$B:$B,$A185,従業員の給与情報!$C:$C)))))</f>
        <v/>
      </c>
      <c r="U185" s="102" t="str">
        <f>IF(OR(入力シート!$C$5&lt;&gt;入力リスト!$C$3,COUNTIF(入力シート!$J$16:$S$23,入力リスト!$H$9)=0),"",IF(A185="","",IF(ISERROR(AVERAGEIF(従業員の給与情報!$B:$B,$A185,従業員の給与情報!$D:$D)),0,IF(ISERROR(AVERAGEIF(従業員の給与情報!$B:$B,$A185,従業員の給与情報!$D:$D)),0,AVERAGEIF(従業員の給与情報!$B:$B,$A185,従業員の給与情報!$D:$D)))))</f>
        <v/>
      </c>
      <c r="V185" s="102" t="str">
        <f>IF(OR(入力シート!$C$5&lt;&gt;入力リスト!$C$3,COUNTIF(入力シート!$J$16:$S$23,入力リスト!$H$9)=0),"",IF(A185="","",IF(ISERROR(AVERAGEIF(従業員の給与情報!$B:$B,$A185,従業員の給与情報!$E:$E)),0,IF(ISERROR(AVERAGEIF(従業員の給与情報!$B:$B,$A185,従業員の給与情報!$E:$E)),0,AVERAGEIF(従業員の給与情報!$B:$B,$A185,従業員の給与情報!$E:$E)))))</f>
        <v/>
      </c>
      <c r="W185" s="103" t="str">
        <f>IF(OR(入力シート!$C$5&lt;&gt;入力リスト!$C$3,COUNTIF(入力シート!$J$16:$S$23,入力リスト!$H$9)=0),"",IF(A185="","",IF(ISERROR(AVERAGEIF(従業員の給与情報!$B:$B,$A185,従業員の給与情報!$F:$F)),0,IF(ISERROR(AVERAGEIF(従業員の給与情報!$B:$B,$A185,従業員の給与情報!$F:$F)),0,AVERAGEIF(従業員の給与情報!$B:$B,$A185,従業員の給与情報!$F:$F)))))</f>
        <v/>
      </c>
    </row>
    <row r="186" spans="1:23" s="10" customFormat="1" ht="19.8">
      <c r="A186" s="251"/>
      <c r="B186" s="251"/>
      <c r="C186" s="250"/>
      <c r="D186" s="251"/>
      <c r="E186" s="251"/>
      <c r="F186" s="257" t="str">
        <f>IF($G$1,"",IF(COUNTIF(A186:E186,"")=5,"",IF(G186,入力リスト!$K$28,IF(OR(A186="",B186="",IF(COUNTIF($C$3,"*不要*"),"",C186=""),D186=""),IF(A186="","従業員番号","")&amp;IF(B186="","「雇用形態」","")&amp;IF(OR(入力シート!$J$18=入力リスト!$H$9,入力シート!$J$22=入力リスト!$H$9),IF(C186="","「入社年月日」",""),"")&amp;IF(D186="","「性別」","")&amp;IF(IF(A186="","従業員番号","")&amp;IF(B186="","「雇用形態」","")&amp;IF(OR(入力シート!$J$18=入力リスト!$H$9,入力シート!$J$22=入力リスト!$H$9),IF(C186="","「入社年月日」",""),"")&amp;IF(D186="","「性別」","")="","",入力リスト!$K$29),IF(J186,入力リスト!$K$30,"")&amp;IF(I186,入力リスト!$K$31,"")&amp;IF(H186,"「雇用形態」","")&amp;IF(K186,"「性別」","")&amp;IF(L186,"「役職」","")&amp;IF(OR(H186,K186,L186),入力リスト!$K$32,"")))))</f>
        <v/>
      </c>
      <c r="G186" s="209" t="b">
        <f>COUNTIF($A$4:A185,$A186)&gt;0</f>
        <v>0</v>
      </c>
      <c r="H186" s="210" t="b">
        <f>IF($H$1,FALSE,COUNTIF(入力シート!$S$37:$V$62,B186)=0)</f>
        <v>0</v>
      </c>
      <c r="I186" s="210" t="b">
        <f t="shared" si="6"/>
        <v>0</v>
      </c>
      <c r="J186" s="210" t="b">
        <f>IF($J$1,FALSE,IF(I186=TRUE,FALSE,IF(I186,FALSE,C186&gt;入力シート!$J$24)))</f>
        <v>0</v>
      </c>
      <c r="K186" s="210" t="b">
        <f>IF($K$1,FALSE,COUNTIF(入力シート!$AW$37:$BB$38,D186)=0)</f>
        <v>0</v>
      </c>
      <c r="L186" s="210" t="b">
        <f>IF($L$1,FALSE,IF($L$3,FALSE,IF(E186="",FALSE,COUNTIF(入力シート!$AH$37:$AK$62,E186)=0)))</f>
        <v>0</v>
      </c>
      <c r="M186" s="211" t="str">
        <f t="shared" si="5"/>
        <v/>
      </c>
      <c r="N186" s="211"/>
      <c r="O186" s="209" t="str">
        <f>IF(B186="","",VLOOKUP('従業員情報(給与以外)'!$B186,入力シート!$S$37:$Z$62,5,0))</f>
        <v/>
      </c>
      <c r="P186" s="156" t="str">
        <f>IF(ISNUMBER(C186)=FALSE,"",IF(C186&gt;入力シート!$J$24,"",_xlfn.DAYS(入力シート!$J$24,'従業員情報(給与以外)'!$C186)/365))</f>
        <v/>
      </c>
      <c r="Q186" s="210" t="str">
        <f>IF(P186="","",VLOOKUP(_xlfn.DAYS(入力シート!$J$24,'従業員情報(給与以外)'!$C186)/365,入力リスト!$K$18:$L$26,2,2))</f>
        <v/>
      </c>
      <c r="R186" s="209" t="str">
        <f>IF(D186="","",VLOOKUP('従業員情報(給与以外)'!$D186,入力シート!$AW$37:$BB$38,4,0))</f>
        <v/>
      </c>
      <c r="S186" s="209" t="str">
        <f>IF(A186="","",IF(E186="","非役職",VLOOKUP('従業員情報(給与以外)'!$E186,入力シート!$AH$37:$AO$62,5,0)))</f>
        <v/>
      </c>
      <c r="T186" s="102" t="str">
        <f>IF(OR(入力シート!$C$5&lt;&gt;入力リスト!$C$3,COUNTIF(入力シート!$J$16:$S$23,入力リスト!$H$9)=0),"",IF($A186="","",IF(ISERROR(AVERAGEIF(従業員の給与情報!$B:$B,$A186,従業員の給与情報!$C:$C)),0,IF(ISERROR(AVERAGEIF(従業員の給与情報!$B:$B,$A186,従業員の給与情報!$C:$C)),0,AVERAGEIF(従業員の給与情報!$B:$B,$A186,従業員の給与情報!$C:$C)))))</f>
        <v/>
      </c>
      <c r="U186" s="102" t="str">
        <f>IF(OR(入力シート!$C$5&lt;&gt;入力リスト!$C$3,COUNTIF(入力シート!$J$16:$S$23,入力リスト!$H$9)=0),"",IF(A186="","",IF(ISERROR(AVERAGEIF(従業員の給与情報!$B:$B,$A186,従業員の給与情報!$D:$D)),0,IF(ISERROR(AVERAGEIF(従業員の給与情報!$B:$B,$A186,従業員の給与情報!$D:$D)),0,AVERAGEIF(従業員の給与情報!$B:$B,$A186,従業員の給与情報!$D:$D)))))</f>
        <v/>
      </c>
      <c r="V186" s="102" t="str">
        <f>IF(OR(入力シート!$C$5&lt;&gt;入力リスト!$C$3,COUNTIF(入力シート!$J$16:$S$23,入力リスト!$H$9)=0),"",IF(A186="","",IF(ISERROR(AVERAGEIF(従業員の給与情報!$B:$B,$A186,従業員の給与情報!$E:$E)),0,IF(ISERROR(AVERAGEIF(従業員の給与情報!$B:$B,$A186,従業員の給与情報!$E:$E)),0,AVERAGEIF(従業員の給与情報!$B:$B,$A186,従業員の給与情報!$E:$E)))))</f>
        <v/>
      </c>
      <c r="W186" s="103" t="str">
        <f>IF(OR(入力シート!$C$5&lt;&gt;入力リスト!$C$3,COUNTIF(入力シート!$J$16:$S$23,入力リスト!$H$9)=0),"",IF(A186="","",IF(ISERROR(AVERAGEIF(従業員の給与情報!$B:$B,$A186,従業員の給与情報!$F:$F)),0,IF(ISERROR(AVERAGEIF(従業員の給与情報!$B:$B,$A186,従業員の給与情報!$F:$F)),0,AVERAGEIF(従業員の給与情報!$B:$B,$A186,従業員の給与情報!$F:$F)))))</f>
        <v/>
      </c>
    </row>
    <row r="187" spans="1:23" s="10" customFormat="1" ht="19.8">
      <c r="A187" s="251"/>
      <c r="B187" s="251"/>
      <c r="C187" s="250"/>
      <c r="D187" s="251"/>
      <c r="E187" s="251"/>
      <c r="F187" s="257" t="str">
        <f>IF($G$1,"",IF(COUNTIF(A187:E187,"")=5,"",IF(G187,入力リスト!$K$28,IF(OR(A187="",B187="",IF(COUNTIF($C$3,"*不要*"),"",C187=""),D187=""),IF(A187="","従業員番号","")&amp;IF(B187="","「雇用形態」","")&amp;IF(OR(入力シート!$J$18=入力リスト!$H$9,入力シート!$J$22=入力リスト!$H$9),IF(C187="","「入社年月日」",""),"")&amp;IF(D187="","「性別」","")&amp;IF(IF(A187="","従業員番号","")&amp;IF(B187="","「雇用形態」","")&amp;IF(OR(入力シート!$J$18=入力リスト!$H$9,入力シート!$J$22=入力リスト!$H$9),IF(C187="","「入社年月日」",""),"")&amp;IF(D187="","「性別」","")="","",入力リスト!$K$29),IF(J187,入力リスト!$K$30,"")&amp;IF(I187,入力リスト!$K$31,"")&amp;IF(H187,"「雇用形態」","")&amp;IF(K187,"「性別」","")&amp;IF(L187,"「役職」","")&amp;IF(OR(H187,K187,L187),入力リスト!$K$32,"")))))</f>
        <v/>
      </c>
      <c r="G187" s="209" t="b">
        <f>COUNTIF($A$4:A186,$A187)&gt;0</f>
        <v>0</v>
      </c>
      <c r="H187" s="210" t="b">
        <f>IF($H$1,FALSE,COUNTIF(入力シート!$S$37:$V$62,B187)=0)</f>
        <v>0</v>
      </c>
      <c r="I187" s="210" t="b">
        <f t="shared" si="6"/>
        <v>0</v>
      </c>
      <c r="J187" s="210" t="b">
        <f>IF($J$1,FALSE,IF(I187=TRUE,FALSE,IF(I187,FALSE,C187&gt;入力シート!$J$24)))</f>
        <v>0</v>
      </c>
      <c r="K187" s="210" t="b">
        <f>IF($K$1,FALSE,COUNTIF(入力シート!$AW$37:$BB$38,D187)=0)</f>
        <v>0</v>
      </c>
      <c r="L187" s="210" t="b">
        <f>IF($L$1,FALSE,IF($L$3,FALSE,IF(E187="",FALSE,COUNTIF(入力シート!$AH$37:$AK$62,E187)=0)))</f>
        <v>0</v>
      </c>
      <c r="M187" s="211" t="str">
        <f t="shared" si="5"/>
        <v/>
      </c>
      <c r="N187" s="211"/>
      <c r="O187" s="209" t="str">
        <f>IF(B187="","",VLOOKUP('従業員情報(給与以外)'!$B187,入力シート!$S$37:$Z$62,5,0))</f>
        <v/>
      </c>
      <c r="P187" s="156" t="str">
        <f>IF(ISNUMBER(C187)=FALSE,"",IF(C187&gt;入力シート!$J$24,"",_xlfn.DAYS(入力シート!$J$24,'従業員情報(給与以外)'!$C187)/365))</f>
        <v/>
      </c>
      <c r="Q187" s="210" t="str">
        <f>IF(P187="","",VLOOKUP(_xlfn.DAYS(入力シート!$J$24,'従業員情報(給与以外)'!$C187)/365,入力リスト!$K$18:$L$26,2,2))</f>
        <v/>
      </c>
      <c r="R187" s="209" t="str">
        <f>IF(D187="","",VLOOKUP('従業員情報(給与以外)'!$D187,入力シート!$AW$37:$BB$38,4,0))</f>
        <v/>
      </c>
      <c r="S187" s="209" t="str">
        <f>IF(A187="","",IF(E187="","非役職",VLOOKUP('従業員情報(給与以外)'!$E187,入力シート!$AH$37:$AO$62,5,0)))</f>
        <v/>
      </c>
      <c r="T187" s="102" t="str">
        <f>IF(OR(入力シート!$C$5&lt;&gt;入力リスト!$C$3,COUNTIF(入力シート!$J$16:$S$23,入力リスト!$H$9)=0),"",IF($A187="","",IF(ISERROR(AVERAGEIF(従業員の給与情報!$B:$B,$A187,従業員の給与情報!$C:$C)),0,IF(ISERROR(AVERAGEIF(従業員の給与情報!$B:$B,$A187,従業員の給与情報!$C:$C)),0,AVERAGEIF(従業員の給与情報!$B:$B,$A187,従業員の給与情報!$C:$C)))))</f>
        <v/>
      </c>
      <c r="U187" s="102" t="str">
        <f>IF(OR(入力シート!$C$5&lt;&gt;入力リスト!$C$3,COUNTIF(入力シート!$J$16:$S$23,入力リスト!$H$9)=0),"",IF(A187="","",IF(ISERROR(AVERAGEIF(従業員の給与情報!$B:$B,$A187,従業員の給与情報!$D:$D)),0,IF(ISERROR(AVERAGEIF(従業員の給与情報!$B:$B,$A187,従業員の給与情報!$D:$D)),0,AVERAGEIF(従業員の給与情報!$B:$B,$A187,従業員の給与情報!$D:$D)))))</f>
        <v/>
      </c>
      <c r="V187" s="102" t="str">
        <f>IF(OR(入力シート!$C$5&lt;&gt;入力リスト!$C$3,COUNTIF(入力シート!$J$16:$S$23,入力リスト!$H$9)=0),"",IF(A187="","",IF(ISERROR(AVERAGEIF(従業員の給与情報!$B:$B,$A187,従業員の給与情報!$E:$E)),0,IF(ISERROR(AVERAGEIF(従業員の給与情報!$B:$B,$A187,従業員の給与情報!$E:$E)),0,AVERAGEIF(従業員の給与情報!$B:$B,$A187,従業員の給与情報!$E:$E)))))</f>
        <v/>
      </c>
      <c r="W187" s="103" t="str">
        <f>IF(OR(入力シート!$C$5&lt;&gt;入力リスト!$C$3,COUNTIF(入力シート!$J$16:$S$23,入力リスト!$H$9)=0),"",IF(A187="","",IF(ISERROR(AVERAGEIF(従業員の給与情報!$B:$B,$A187,従業員の給与情報!$F:$F)),0,IF(ISERROR(AVERAGEIF(従業員の給与情報!$B:$B,$A187,従業員の給与情報!$F:$F)),0,AVERAGEIF(従業員の給与情報!$B:$B,$A187,従業員の給与情報!$F:$F)))))</f>
        <v/>
      </c>
    </row>
    <row r="188" spans="1:23" s="10" customFormat="1" ht="19.8">
      <c r="A188" s="251"/>
      <c r="B188" s="251"/>
      <c r="C188" s="250"/>
      <c r="D188" s="251"/>
      <c r="E188" s="251"/>
      <c r="F188" s="257" t="str">
        <f>IF($G$1,"",IF(COUNTIF(A188:E188,"")=5,"",IF(G188,入力リスト!$K$28,IF(OR(A188="",B188="",IF(COUNTIF($C$3,"*不要*"),"",C188=""),D188=""),IF(A188="","従業員番号","")&amp;IF(B188="","「雇用形態」","")&amp;IF(OR(入力シート!$J$18=入力リスト!$H$9,入力シート!$J$22=入力リスト!$H$9),IF(C188="","「入社年月日」",""),"")&amp;IF(D188="","「性別」","")&amp;IF(IF(A188="","従業員番号","")&amp;IF(B188="","「雇用形態」","")&amp;IF(OR(入力シート!$J$18=入力リスト!$H$9,入力シート!$J$22=入力リスト!$H$9),IF(C188="","「入社年月日」",""),"")&amp;IF(D188="","「性別」","")="","",入力リスト!$K$29),IF(J188,入力リスト!$K$30,"")&amp;IF(I188,入力リスト!$K$31,"")&amp;IF(H188,"「雇用形態」","")&amp;IF(K188,"「性別」","")&amp;IF(L188,"「役職」","")&amp;IF(OR(H188,K188,L188),入力リスト!$K$32,"")))))</f>
        <v/>
      </c>
      <c r="G188" s="209" t="b">
        <f>COUNTIF($A$4:A187,$A188)&gt;0</f>
        <v>0</v>
      </c>
      <c r="H188" s="210" t="b">
        <f>IF($H$1,FALSE,COUNTIF(入力シート!$S$37:$V$62,B188)=0)</f>
        <v>0</v>
      </c>
      <c r="I188" s="210" t="b">
        <f t="shared" si="6"/>
        <v>0</v>
      </c>
      <c r="J188" s="210" t="b">
        <f>IF($J$1,FALSE,IF(I188=TRUE,FALSE,IF(I188,FALSE,C188&gt;入力シート!$J$24)))</f>
        <v>0</v>
      </c>
      <c r="K188" s="210" t="b">
        <f>IF($K$1,FALSE,COUNTIF(入力シート!$AW$37:$BB$38,D188)=0)</f>
        <v>0</v>
      </c>
      <c r="L188" s="210" t="b">
        <f>IF($L$1,FALSE,IF($L$3,FALSE,IF(E188="",FALSE,COUNTIF(入力シート!$AH$37:$AK$62,E188)=0)))</f>
        <v>0</v>
      </c>
      <c r="M188" s="211" t="str">
        <f t="shared" si="5"/>
        <v/>
      </c>
      <c r="N188" s="211"/>
      <c r="O188" s="209" t="str">
        <f>IF(B188="","",VLOOKUP('従業員情報(給与以外)'!$B188,入力シート!$S$37:$Z$62,5,0))</f>
        <v/>
      </c>
      <c r="P188" s="156" t="str">
        <f>IF(ISNUMBER(C188)=FALSE,"",IF(C188&gt;入力シート!$J$24,"",_xlfn.DAYS(入力シート!$J$24,'従業員情報(給与以外)'!$C188)/365))</f>
        <v/>
      </c>
      <c r="Q188" s="210" t="str">
        <f>IF(P188="","",VLOOKUP(_xlfn.DAYS(入力シート!$J$24,'従業員情報(給与以外)'!$C188)/365,入力リスト!$K$18:$L$26,2,2))</f>
        <v/>
      </c>
      <c r="R188" s="209" t="str">
        <f>IF(D188="","",VLOOKUP('従業員情報(給与以外)'!$D188,入力シート!$AW$37:$BB$38,4,0))</f>
        <v/>
      </c>
      <c r="S188" s="209" t="str">
        <f>IF(A188="","",IF(E188="","非役職",VLOOKUP('従業員情報(給与以外)'!$E188,入力シート!$AH$37:$AO$62,5,0)))</f>
        <v/>
      </c>
      <c r="T188" s="102" t="str">
        <f>IF(OR(入力シート!$C$5&lt;&gt;入力リスト!$C$3,COUNTIF(入力シート!$J$16:$S$23,入力リスト!$H$9)=0),"",IF($A188="","",IF(ISERROR(AVERAGEIF(従業員の給与情報!$B:$B,$A188,従業員の給与情報!$C:$C)),0,IF(ISERROR(AVERAGEIF(従業員の給与情報!$B:$B,$A188,従業員の給与情報!$C:$C)),0,AVERAGEIF(従業員の給与情報!$B:$B,$A188,従業員の給与情報!$C:$C)))))</f>
        <v/>
      </c>
      <c r="U188" s="102" t="str">
        <f>IF(OR(入力シート!$C$5&lt;&gt;入力リスト!$C$3,COUNTIF(入力シート!$J$16:$S$23,入力リスト!$H$9)=0),"",IF(A188="","",IF(ISERROR(AVERAGEIF(従業員の給与情報!$B:$B,$A188,従業員の給与情報!$D:$D)),0,IF(ISERROR(AVERAGEIF(従業員の給与情報!$B:$B,$A188,従業員の給与情報!$D:$D)),0,AVERAGEIF(従業員の給与情報!$B:$B,$A188,従業員の給与情報!$D:$D)))))</f>
        <v/>
      </c>
      <c r="V188" s="102" t="str">
        <f>IF(OR(入力シート!$C$5&lt;&gt;入力リスト!$C$3,COUNTIF(入力シート!$J$16:$S$23,入力リスト!$H$9)=0),"",IF(A188="","",IF(ISERROR(AVERAGEIF(従業員の給与情報!$B:$B,$A188,従業員の給与情報!$E:$E)),0,IF(ISERROR(AVERAGEIF(従業員の給与情報!$B:$B,$A188,従業員の給与情報!$E:$E)),0,AVERAGEIF(従業員の給与情報!$B:$B,$A188,従業員の給与情報!$E:$E)))))</f>
        <v/>
      </c>
      <c r="W188" s="103" t="str">
        <f>IF(OR(入力シート!$C$5&lt;&gt;入力リスト!$C$3,COUNTIF(入力シート!$J$16:$S$23,入力リスト!$H$9)=0),"",IF(A188="","",IF(ISERROR(AVERAGEIF(従業員の給与情報!$B:$B,$A188,従業員の給与情報!$F:$F)),0,IF(ISERROR(AVERAGEIF(従業員の給与情報!$B:$B,$A188,従業員の給与情報!$F:$F)),0,AVERAGEIF(従業員の給与情報!$B:$B,$A188,従業員の給与情報!$F:$F)))))</f>
        <v/>
      </c>
    </row>
    <row r="189" spans="1:23" s="10" customFormat="1" ht="19.8">
      <c r="A189" s="251"/>
      <c r="B189" s="251"/>
      <c r="C189" s="250"/>
      <c r="D189" s="251"/>
      <c r="E189" s="251"/>
      <c r="F189" s="257" t="str">
        <f>IF($G$1,"",IF(COUNTIF(A189:E189,"")=5,"",IF(G189,入力リスト!$K$28,IF(OR(A189="",B189="",IF(COUNTIF($C$3,"*不要*"),"",C189=""),D189=""),IF(A189="","従業員番号","")&amp;IF(B189="","「雇用形態」","")&amp;IF(OR(入力シート!$J$18=入力リスト!$H$9,入力シート!$J$22=入力リスト!$H$9),IF(C189="","「入社年月日」",""),"")&amp;IF(D189="","「性別」","")&amp;IF(IF(A189="","従業員番号","")&amp;IF(B189="","「雇用形態」","")&amp;IF(OR(入力シート!$J$18=入力リスト!$H$9,入力シート!$J$22=入力リスト!$H$9),IF(C189="","「入社年月日」",""),"")&amp;IF(D189="","「性別」","")="","",入力リスト!$K$29),IF(J189,入力リスト!$K$30,"")&amp;IF(I189,入力リスト!$K$31,"")&amp;IF(H189,"「雇用形態」","")&amp;IF(K189,"「性別」","")&amp;IF(L189,"「役職」","")&amp;IF(OR(H189,K189,L189),入力リスト!$K$32,"")))))</f>
        <v/>
      </c>
      <c r="G189" s="209" t="b">
        <f>COUNTIF($A$4:A188,$A189)&gt;0</f>
        <v>0</v>
      </c>
      <c r="H189" s="210" t="b">
        <f>IF($H$1,FALSE,COUNTIF(入力シート!$S$37:$V$62,B189)=0)</f>
        <v>0</v>
      </c>
      <c r="I189" s="210" t="b">
        <f t="shared" si="6"/>
        <v>0</v>
      </c>
      <c r="J189" s="210" t="b">
        <f>IF($J$1,FALSE,IF(I189=TRUE,FALSE,IF(I189,FALSE,C189&gt;入力シート!$J$24)))</f>
        <v>0</v>
      </c>
      <c r="K189" s="210" t="b">
        <f>IF($K$1,FALSE,COUNTIF(入力シート!$AW$37:$BB$38,D189)=0)</f>
        <v>0</v>
      </c>
      <c r="L189" s="210" t="b">
        <f>IF($L$1,FALSE,IF($L$3,FALSE,IF(E189="",FALSE,COUNTIF(入力シート!$AH$37:$AK$62,E189)=0)))</f>
        <v>0</v>
      </c>
      <c r="M189" s="211" t="str">
        <f t="shared" si="5"/>
        <v/>
      </c>
      <c r="N189" s="211"/>
      <c r="O189" s="209" t="str">
        <f>IF(B189="","",VLOOKUP('従業員情報(給与以外)'!$B189,入力シート!$S$37:$Z$62,5,0))</f>
        <v/>
      </c>
      <c r="P189" s="156" t="str">
        <f>IF(ISNUMBER(C189)=FALSE,"",IF(C189&gt;入力シート!$J$24,"",_xlfn.DAYS(入力シート!$J$24,'従業員情報(給与以外)'!$C189)/365))</f>
        <v/>
      </c>
      <c r="Q189" s="210" t="str">
        <f>IF(P189="","",VLOOKUP(_xlfn.DAYS(入力シート!$J$24,'従業員情報(給与以外)'!$C189)/365,入力リスト!$K$18:$L$26,2,2))</f>
        <v/>
      </c>
      <c r="R189" s="209" t="str">
        <f>IF(D189="","",VLOOKUP('従業員情報(給与以外)'!$D189,入力シート!$AW$37:$BB$38,4,0))</f>
        <v/>
      </c>
      <c r="S189" s="209" t="str">
        <f>IF(A189="","",IF(E189="","非役職",VLOOKUP('従業員情報(給与以外)'!$E189,入力シート!$AH$37:$AO$62,5,0)))</f>
        <v/>
      </c>
      <c r="T189" s="102" t="str">
        <f>IF(OR(入力シート!$C$5&lt;&gt;入力リスト!$C$3,COUNTIF(入力シート!$J$16:$S$23,入力リスト!$H$9)=0),"",IF($A189="","",IF(ISERROR(AVERAGEIF(従業員の給与情報!$B:$B,$A189,従業員の給与情報!$C:$C)),0,IF(ISERROR(AVERAGEIF(従業員の給与情報!$B:$B,$A189,従業員の給与情報!$C:$C)),0,AVERAGEIF(従業員の給与情報!$B:$B,$A189,従業員の給与情報!$C:$C)))))</f>
        <v/>
      </c>
      <c r="U189" s="102" t="str">
        <f>IF(OR(入力シート!$C$5&lt;&gt;入力リスト!$C$3,COUNTIF(入力シート!$J$16:$S$23,入力リスト!$H$9)=0),"",IF(A189="","",IF(ISERROR(AVERAGEIF(従業員の給与情報!$B:$B,$A189,従業員の給与情報!$D:$D)),0,IF(ISERROR(AVERAGEIF(従業員の給与情報!$B:$B,$A189,従業員の給与情報!$D:$D)),0,AVERAGEIF(従業員の給与情報!$B:$B,$A189,従業員の給与情報!$D:$D)))))</f>
        <v/>
      </c>
      <c r="V189" s="102" t="str">
        <f>IF(OR(入力シート!$C$5&lt;&gt;入力リスト!$C$3,COUNTIF(入力シート!$J$16:$S$23,入力リスト!$H$9)=0),"",IF(A189="","",IF(ISERROR(AVERAGEIF(従業員の給与情報!$B:$B,$A189,従業員の給与情報!$E:$E)),0,IF(ISERROR(AVERAGEIF(従業員の給与情報!$B:$B,$A189,従業員の給与情報!$E:$E)),0,AVERAGEIF(従業員の給与情報!$B:$B,$A189,従業員の給与情報!$E:$E)))))</f>
        <v/>
      </c>
      <c r="W189" s="103" t="str">
        <f>IF(OR(入力シート!$C$5&lt;&gt;入力リスト!$C$3,COUNTIF(入力シート!$J$16:$S$23,入力リスト!$H$9)=0),"",IF(A189="","",IF(ISERROR(AVERAGEIF(従業員の給与情報!$B:$B,$A189,従業員の給与情報!$F:$F)),0,IF(ISERROR(AVERAGEIF(従業員の給与情報!$B:$B,$A189,従業員の給与情報!$F:$F)),0,AVERAGEIF(従業員の給与情報!$B:$B,$A189,従業員の給与情報!$F:$F)))))</f>
        <v/>
      </c>
    </row>
    <row r="190" spans="1:23" s="10" customFormat="1" ht="19.8">
      <c r="A190" s="251"/>
      <c r="B190" s="251"/>
      <c r="C190" s="250"/>
      <c r="D190" s="251"/>
      <c r="E190" s="251"/>
      <c r="F190" s="257" t="str">
        <f>IF($G$1,"",IF(COUNTIF(A190:E190,"")=5,"",IF(G190,入力リスト!$K$28,IF(OR(A190="",B190="",IF(COUNTIF($C$3,"*不要*"),"",C190=""),D190=""),IF(A190="","従業員番号","")&amp;IF(B190="","「雇用形態」","")&amp;IF(OR(入力シート!$J$18=入力リスト!$H$9,入力シート!$J$22=入力リスト!$H$9),IF(C190="","「入社年月日」",""),"")&amp;IF(D190="","「性別」","")&amp;IF(IF(A190="","従業員番号","")&amp;IF(B190="","「雇用形態」","")&amp;IF(OR(入力シート!$J$18=入力リスト!$H$9,入力シート!$J$22=入力リスト!$H$9),IF(C190="","「入社年月日」",""),"")&amp;IF(D190="","「性別」","")="","",入力リスト!$K$29),IF(J190,入力リスト!$K$30,"")&amp;IF(I190,入力リスト!$K$31,"")&amp;IF(H190,"「雇用形態」","")&amp;IF(K190,"「性別」","")&amp;IF(L190,"「役職」","")&amp;IF(OR(H190,K190,L190),入力リスト!$K$32,"")))))</f>
        <v/>
      </c>
      <c r="G190" s="209" t="b">
        <f>COUNTIF($A$4:A189,$A190)&gt;0</f>
        <v>0</v>
      </c>
      <c r="H190" s="210" t="b">
        <f>IF($H$1,FALSE,COUNTIF(入力シート!$S$37:$V$62,B190)=0)</f>
        <v>0</v>
      </c>
      <c r="I190" s="210" t="b">
        <f t="shared" si="6"/>
        <v>0</v>
      </c>
      <c r="J190" s="210" t="b">
        <f>IF($J$1,FALSE,IF(I190=TRUE,FALSE,IF(I190,FALSE,C190&gt;入力シート!$J$24)))</f>
        <v>0</v>
      </c>
      <c r="K190" s="210" t="b">
        <f>IF($K$1,FALSE,COUNTIF(入力シート!$AW$37:$BB$38,D190)=0)</f>
        <v>0</v>
      </c>
      <c r="L190" s="210" t="b">
        <f>IF($L$1,FALSE,IF($L$3,FALSE,IF(E190="",FALSE,COUNTIF(入力シート!$AH$37:$AK$62,E190)=0)))</f>
        <v>0</v>
      </c>
      <c r="M190" s="211" t="str">
        <f t="shared" si="5"/>
        <v/>
      </c>
      <c r="N190" s="211"/>
      <c r="O190" s="209" t="str">
        <f>IF(B190="","",VLOOKUP('従業員情報(給与以外)'!$B190,入力シート!$S$37:$Z$62,5,0))</f>
        <v/>
      </c>
      <c r="P190" s="156" t="str">
        <f>IF(ISNUMBER(C190)=FALSE,"",IF(C190&gt;入力シート!$J$24,"",_xlfn.DAYS(入力シート!$J$24,'従業員情報(給与以外)'!$C190)/365))</f>
        <v/>
      </c>
      <c r="Q190" s="210" t="str">
        <f>IF(P190="","",VLOOKUP(_xlfn.DAYS(入力シート!$J$24,'従業員情報(給与以外)'!$C190)/365,入力リスト!$K$18:$L$26,2,2))</f>
        <v/>
      </c>
      <c r="R190" s="209" t="str">
        <f>IF(D190="","",VLOOKUP('従業員情報(給与以外)'!$D190,入力シート!$AW$37:$BB$38,4,0))</f>
        <v/>
      </c>
      <c r="S190" s="209" t="str">
        <f>IF(A190="","",IF(E190="","非役職",VLOOKUP('従業員情報(給与以外)'!$E190,入力シート!$AH$37:$AO$62,5,0)))</f>
        <v/>
      </c>
      <c r="T190" s="102" t="str">
        <f>IF(OR(入力シート!$C$5&lt;&gt;入力リスト!$C$3,COUNTIF(入力シート!$J$16:$S$23,入力リスト!$H$9)=0),"",IF($A190="","",IF(ISERROR(AVERAGEIF(従業員の給与情報!$B:$B,$A190,従業員の給与情報!$C:$C)),0,IF(ISERROR(AVERAGEIF(従業員の給与情報!$B:$B,$A190,従業員の給与情報!$C:$C)),0,AVERAGEIF(従業員の給与情報!$B:$B,$A190,従業員の給与情報!$C:$C)))))</f>
        <v/>
      </c>
      <c r="U190" s="102" t="str">
        <f>IF(OR(入力シート!$C$5&lt;&gt;入力リスト!$C$3,COUNTIF(入力シート!$J$16:$S$23,入力リスト!$H$9)=0),"",IF(A190="","",IF(ISERROR(AVERAGEIF(従業員の給与情報!$B:$B,$A190,従業員の給与情報!$D:$D)),0,IF(ISERROR(AVERAGEIF(従業員の給与情報!$B:$B,$A190,従業員の給与情報!$D:$D)),0,AVERAGEIF(従業員の給与情報!$B:$B,$A190,従業員の給与情報!$D:$D)))))</f>
        <v/>
      </c>
      <c r="V190" s="102" t="str">
        <f>IF(OR(入力シート!$C$5&lt;&gt;入力リスト!$C$3,COUNTIF(入力シート!$J$16:$S$23,入力リスト!$H$9)=0),"",IF(A190="","",IF(ISERROR(AVERAGEIF(従業員の給与情報!$B:$B,$A190,従業員の給与情報!$E:$E)),0,IF(ISERROR(AVERAGEIF(従業員の給与情報!$B:$B,$A190,従業員の給与情報!$E:$E)),0,AVERAGEIF(従業員の給与情報!$B:$B,$A190,従業員の給与情報!$E:$E)))))</f>
        <v/>
      </c>
      <c r="W190" s="103" t="str">
        <f>IF(OR(入力シート!$C$5&lt;&gt;入力リスト!$C$3,COUNTIF(入力シート!$J$16:$S$23,入力リスト!$H$9)=0),"",IF(A190="","",IF(ISERROR(AVERAGEIF(従業員の給与情報!$B:$B,$A190,従業員の給与情報!$F:$F)),0,IF(ISERROR(AVERAGEIF(従業員の給与情報!$B:$B,$A190,従業員の給与情報!$F:$F)),0,AVERAGEIF(従業員の給与情報!$B:$B,$A190,従業員の給与情報!$F:$F)))))</f>
        <v/>
      </c>
    </row>
    <row r="191" spans="1:23" s="10" customFormat="1" ht="19.8">
      <c r="A191" s="251"/>
      <c r="B191" s="251"/>
      <c r="C191" s="250"/>
      <c r="D191" s="251"/>
      <c r="E191" s="251"/>
      <c r="F191" s="257" t="str">
        <f>IF($G$1,"",IF(COUNTIF(A191:E191,"")=5,"",IF(G191,入力リスト!$K$28,IF(OR(A191="",B191="",IF(COUNTIF($C$3,"*不要*"),"",C191=""),D191=""),IF(A191="","従業員番号","")&amp;IF(B191="","「雇用形態」","")&amp;IF(OR(入力シート!$J$18=入力リスト!$H$9,入力シート!$J$22=入力リスト!$H$9),IF(C191="","「入社年月日」",""),"")&amp;IF(D191="","「性別」","")&amp;IF(IF(A191="","従業員番号","")&amp;IF(B191="","「雇用形態」","")&amp;IF(OR(入力シート!$J$18=入力リスト!$H$9,入力シート!$J$22=入力リスト!$H$9),IF(C191="","「入社年月日」",""),"")&amp;IF(D191="","「性別」","")="","",入力リスト!$K$29),IF(J191,入力リスト!$K$30,"")&amp;IF(I191,入力リスト!$K$31,"")&amp;IF(H191,"「雇用形態」","")&amp;IF(K191,"「性別」","")&amp;IF(L191,"「役職」","")&amp;IF(OR(H191,K191,L191),入力リスト!$K$32,"")))))</f>
        <v/>
      </c>
      <c r="G191" s="209" t="b">
        <f>COUNTIF($A$4:A190,$A191)&gt;0</f>
        <v>0</v>
      </c>
      <c r="H191" s="210" t="b">
        <f>IF($H$1,FALSE,COUNTIF(入力シート!$S$37:$V$62,B191)=0)</f>
        <v>0</v>
      </c>
      <c r="I191" s="210" t="b">
        <f t="shared" si="6"/>
        <v>0</v>
      </c>
      <c r="J191" s="210" t="b">
        <f>IF($J$1,FALSE,IF(I191=TRUE,FALSE,IF(I191,FALSE,C191&gt;入力シート!$J$24)))</f>
        <v>0</v>
      </c>
      <c r="K191" s="210" t="b">
        <f>IF($K$1,FALSE,COUNTIF(入力シート!$AW$37:$BB$38,D191)=0)</f>
        <v>0</v>
      </c>
      <c r="L191" s="210" t="b">
        <f>IF($L$1,FALSE,IF($L$3,FALSE,IF(E191="",FALSE,COUNTIF(入力シート!$AH$37:$AK$62,E191)=0)))</f>
        <v>0</v>
      </c>
      <c r="M191" s="211" t="str">
        <f t="shared" si="5"/>
        <v/>
      </c>
      <c r="N191" s="211"/>
      <c r="O191" s="209" t="str">
        <f>IF(B191="","",VLOOKUP('従業員情報(給与以外)'!$B191,入力シート!$S$37:$Z$62,5,0))</f>
        <v/>
      </c>
      <c r="P191" s="156" t="str">
        <f>IF(ISNUMBER(C191)=FALSE,"",IF(C191&gt;入力シート!$J$24,"",_xlfn.DAYS(入力シート!$J$24,'従業員情報(給与以外)'!$C191)/365))</f>
        <v/>
      </c>
      <c r="Q191" s="210" t="str">
        <f>IF(P191="","",VLOOKUP(_xlfn.DAYS(入力シート!$J$24,'従業員情報(給与以外)'!$C191)/365,入力リスト!$K$18:$L$26,2,2))</f>
        <v/>
      </c>
      <c r="R191" s="209" t="str">
        <f>IF(D191="","",VLOOKUP('従業員情報(給与以外)'!$D191,入力シート!$AW$37:$BB$38,4,0))</f>
        <v/>
      </c>
      <c r="S191" s="209" t="str">
        <f>IF(A191="","",IF(E191="","非役職",VLOOKUP('従業員情報(給与以外)'!$E191,入力シート!$AH$37:$AO$62,5,0)))</f>
        <v/>
      </c>
      <c r="T191" s="102" t="str">
        <f>IF(OR(入力シート!$C$5&lt;&gt;入力リスト!$C$3,COUNTIF(入力シート!$J$16:$S$23,入力リスト!$H$9)=0),"",IF($A191="","",IF(ISERROR(AVERAGEIF(従業員の給与情報!$B:$B,$A191,従業員の給与情報!$C:$C)),0,IF(ISERROR(AVERAGEIF(従業員の給与情報!$B:$B,$A191,従業員の給与情報!$C:$C)),0,AVERAGEIF(従業員の給与情報!$B:$B,$A191,従業員の給与情報!$C:$C)))))</f>
        <v/>
      </c>
      <c r="U191" s="102" t="str">
        <f>IF(OR(入力シート!$C$5&lt;&gt;入力リスト!$C$3,COUNTIF(入力シート!$J$16:$S$23,入力リスト!$H$9)=0),"",IF(A191="","",IF(ISERROR(AVERAGEIF(従業員の給与情報!$B:$B,$A191,従業員の給与情報!$D:$D)),0,IF(ISERROR(AVERAGEIF(従業員の給与情報!$B:$B,$A191,従業員の給与情報!$D:$D)),0,AVERAGEIF(従業員の給与情報!$B:$B,$A191,従業員の給与情報!$D:$D)))))</f>
        <v/>
      </c>
      <c r="V191" s="102" t="str">
        <f>IF(OR(入力シート!$C$5&lt;&gt;入力リスト!$C$3,COUNTIF(入力シート!$J$16:$S$23,入力リスト!$H$9)=0),"",IF(A191="","",IF(ISERROR(AVERAGEIF(従業員の給与情報!$B:$B,$A191,従業員の給与情報!$E:$E)),0,IF(ISERROR(AVERAGEIF(従業員の給与情報!$B:$B,$A191,従業員の給与情報!$E:$E)),0,AVERAGEIF(従業員の給与情報!$B:$B,$A191,従業員の給与情報!$E:$E)))))</f>
        <v/>
      </c>
      <c r="W191" s="103" t="str">
        <f>IF(OR(入力シート!$C$5&lt;&gt;入力リスト!$C$3,COUNTIF(入力シート!$J$16:$S$23,入力リスト!$H$9)=0),"",IF(A191="","",IF(ISERROR(AVERAGEIF(従業員の給与情報!$B:$B,$A191,従業員の給与情報!$F:$F)),0,IF(ISERROR(AVERAGEIF(従業員の給与情報!$B:$B,$A191,従業員の給与情報!$F:$F)),0,AVERAGEIF(従業員の給与情報!$B:$B,$A191,従業員の給与情報!$F:$F)))))</f>
        <v/>
      </c>
    </row>
    <row r="192" spans="1:23" s="10" customFormat="1" ht="19.8">
      <c r="A192" s="251"/>
      <c r="B192" s="251"/>
      <c r="C192" s="250"/>
      <c r="D192" s="251"/>
      <c r="E192" s="251"/>
      <c r="F192" s="257" t="str">
        <f>IF($G$1,"",IF(COUNTIF(A192:E192,"")=5,"",IF(G192,入力リスト!$K$28,IF(OR(A192="",B192="",IF(COUNTIF($C$3,"*不要*"),"",C192=""),D192=""),IF(A192="","従業員番号","")&amp;IF(B192="","「雇用形態」","")&amp;IF(OR(入力シート!$J$18=入力リスト!$H$9,入力シート!$J$22=入力リスト!$H$9),IF(C192="","「入社年月日」",""),"")&amp;IF(D192="","「性別」","")&amp;IF(IF(A192="","従業員番号","")&amp;IF(B192="","「雇用形態」","")&amp;IF(OR(入力シート!$J$18=入力リスト!$H$9,入力シート!$J$22=入力リスト!$H$9),IF(C192="","「入社年月日」",""),"")&amp;IF(D192="","「性別」","")="","",入力リスト!$K$29),IF(J192,入力リスト!$K$30,"")&amp;IF(I192,入力リスト!$K$31,"")&amp;IF(H192,"「雇用形態」","")&amp;IF(K192,"「性別」","")&amp;IF(L192,"「役職」","")&amp;IF(OR(H192,K192,L192),入力リスト!$K$32,"")))))</f>
        <v/>
      </c>
      <c r="G192" s="209" t="b">
        <f>COUNTIF($A$4:A191,$A192)&gt;0</f>
        <v>0</v>
      </c>
      <c r="H192" s="210" t="b">
        <f>IF($H$1,FALSE,COUNTIF(入力シート!$S$37:$V$62,B192)=0)</f>
        <v>0</v>
      </c>
      <c r="I192" s="210" t="b">
        <f t="shared" si="6"/>
        <v>0</v>
      </c>
      <c r="J192" s="210" t="b">
        <f>IF($J$1,FALSE,IF(I192=TRUE,FALSE,IF(I192,FALSE,C192&gt;入力シート!$J$24)))</f>
        <v>0</v>
      </c>
      <c r="K192" s="210" t="b">
        <f>IF($K$1,FALSE,COUNTIF(入力シート!$AW$37:$BB$38,D192)=0)</f>
        <v>0</v>
      </c>
      <c r="L192" s="210" t="b">
        <f>IF($L$1,FALSE,IF($L$3,FALSE,IF(E192="",FALSE,COUNTIF(入力シート!$AH$37:$AK$62,E192)=0)))</f>
        <v>0</v>
      </c>
      <c r="M192" s="211" t="str">
        <f t="shared" si="5"/>
        <v/>
      </c>
      <c r="N192" s="211"/>
      <c r="O192" s="209" t="str">
        <f>IF(B192="","",VLOOKUP('従業員情報(給与以外)'!$B192,入力シート!$S$37:$Z$62,5,0))</f>
        <v/>
      </c>
      <c r="P192" s="156" t="str">
        <f>IF(ISNUMBER(C192)=FALSE,"",IF(C192&gt;入力シート!$J$24,"",_xlfn.DAYS(入力シート!$J$24,'従業員情報(給与以外)'!$C192)/365))</f>
        <v/>
      </c>
      <c r="Q192" s="210" t="str">
        <f>IF(P192="","",VLOOKUP(_xlfn.DAYS(入力シート!$J$24,'従業員情報(給与以外)'!$C192)/365,入力リスト!$K$18:$L$26,2,2))</f>
        <v/>
      </c>
      <c r="R192" s="209" t="str">
        <f>IF(D192="","",VLOOKUP('従業員情報(給与以外)'!$D192,入力シート!$AW$37:$BB$38,4,0))</f>
        <v/>
      </c>
      <c r="S192" s="209" t="str">
        <f>IF(A192="","",IF(E192="","非役職",VLOOKUP('従業員情報(給与以外)'!$E192,入力シート!$AH$37:$AO$62,5,0)))</f>
        <v/>
      </c>
      <c r="T192" s="102" t="str">
        <f>IF(OR(入力シート!$C$5&lt;&gt;入力リスト!$C$3,COUNTIF(入力シート!$J$16:$S$23,入力リスト!$H$9)=0),"",IF($A192="","",IF(ISERROR(AVERAGEIF(従業員の給与情報!$B:$B,$A192,従業員の給与情報!$C:$C)),0,IF(ISERROR(AVERAGEIF(従業員の給与情報!$B:$B,$A192,従業員の給与情報!$C:$C)),0,AVERAGEIF(従業員の給与情報!$B:$B,$A192,従業員の給与情報!$C:$C)))))</f>
        <v/>
      </c>
      <c r="U192" s="102" t="str">
        <f>IF(OR(入力シート!$C$5&lt;&gt;入力リスト!$C$3,COUNTIF(入力シート!$J$16:$S$23,入力リスト!$H$9)=0),"",IF(A192="","",IF(ISERROR(AVERAGEIF(従業員の給与情報!$B:$B,$A192,従業員の給与情報!$D:$D)),0,IF(ISERROR(AVERAGEIF(従業員の給与情報!$B:$B,$A192,従業員の給与情報!$D:$D)),0,AVERAGEIF(従業員の給与情報!$B:$B,$A192,従業員の給与情報!$D:$D)))))</f>
        <v/>
      </c>
      <c r="V192" s="102" t="str">
        <f>IF(OR(入力シート!$C$5&lt;&gt;入力リスト!$C$3,COUNTIF(入力シート!$J$16:$S$23,入力リスト!$H$9)=0),"",IF(A192="","",IF(ISERROR(AVERAGEIF(従業員の給与情報!$B:$B,$A192,従業員の給与情報!$E:$E)),0,IF(ISERROR(AVERAGEIF(従業員の給与情報!$B:$B,$A192,従業員の給与情報!$E:$E)),0,AVERAGEIF(従業員の給与情報!$B:$B,$A192,従業員の給与情報!$E:$E)))))</f>
        <v/>
      </c>
      <c r="W192" s="103" t="str">
        <f>IF(OR(入力シート!$C$5&lt;&gt;入力リスト!$C$3,COUNTIF(入力シート!$J$16:$S$23,入力リスト!$H$9)=0),"",IF(A192="","",IF(ISERROR(AVERAGEIF(従業員の給与情報!$B:$B,$A192,従業員の給与情報!$F:$F)),0,IF(ISERROR(AVERAGEIF(従業員の給与情報!$B:$B,$A192,従業員の給与情報!$F:$F)),0,AVERAGEIF(従業員の給与情報!$B:$B,$A192,従業員の給与情報!$F:$F)))))</f>
        <v/>
      </c>
    </row>
    <row r="193" spans="1:23" s="10" customFormat="1" ht="19.8">
      <c r="A193" s="251"/>
      <c r="B193" s="251"/>
      <c r="C193" s="250"/>
      <c r="D193" s="251"/>
      <c r="E193" s="251"/>
      <c r="F193" s="257" t="str">
        <f>IF($G$1,"",IF(COUNTIF(A193:E193,"")=5,"",IF(G193,入力リスト!$K$28,IF(OR(A193="",B193="",IF(COUNTIF($C$3,"*不要*"),"",C193=""),D193=""),IF(A193="","従業員番号","")&amp;IF(B193="","「雇用形態」","")&amp;IF(OR(入力シート!$J$18=入力リスト!$H$9,入力シート!$J$22=入力リスト!$H$9),IF(C193="","「入社年月日」",""),"")&amp;IF(D193="","「性別」","")&amp;IF(IF(A193="","従業員番号","")&amp;IF(B193="","「雇用形態」","")&amp;IF(OR(入力シート!$J$18=入力リスト!$H$9,入力シート!$J$22=入力リスト!$H$9),IF(C193="","「入社年月日」",""),"")&amp;IF(D193="","「性別」","")="","",入力リスト!$K$29),IF(J193,入力リスト!$K$30,"")&amp;IF(I193,入力リスト!$K$31,"")&amp;IF(H193,"「雇用形態」","")&amp;IF(K193,"「性別」","")&amp;IF(L193,"「役職」","")&amp;IF(OR(H193,K193,L193),入力リスト!$K$32,"")))))</f>
        <v/>
      </c>
      <c r="G193" s="209" t="b">
        <f>COUNTIF($A$4:A192,$A193)&gt;0</f>
        <v>0</v>
      </c>
      <c r="H193" s="210" t="b">
        <f>IF($H$1,FALSE,COUNTIF(入力シート!$S$37:$V$62,B193)=0)</f>
        <v>0</v>
      </c>
      <c r="I193" s="210" t="b">
        <f t="shared" si="6"/>
        <v>0</v>
      </c>
      <c r="J193" s="210" t="b">
        <f>IF($J$1,FALSE,IF(I193=TRUE,FALSE,IF(I193,FALSE,C193&gt;入力シート!$J$24)))</f>
        <v>0</v>
      </c>
      <c r="K193" s="210" t="b">
        <f>IF($K$1,FALSE,COUNTIF(入力シート!$AW$37:$BB$38,D193)=0)</f>
        <v>0</v>
      </c>
      <c r="L193" s="210" t="b">
        <f>IF($L$1,FALSE,IF($L$3,FALSE,IF(E193="",FALSE,COUNTIF(入力シート!$AH$37:$AK$62,E193)=0)))</f>
        <v>0</v>
      </c>
      <c r="M193" s="211" t="str">
        <f t="shared" si="5"/>
        <v/>
      </c>
      <c r="N193" s="211"/>
      <c r="O193" s="209" t="str">
        <f>IF(B193="","",VLOOKUP('従業員情報(給与以外)'!$B193,入力シート!$S$37:$Z$62,5,0))</f>
        <v/>
      </c>
      <c r="P193" s="156" t="str">
        <f>IF(ISNUMBER(C193)=FALSE,"",IF(C193&gt;入力シート!$J$24,"",_xlfn.DAYS(入力シート!$J$24,'従業員情報(給与以外)'!$C193)/365))</f>
        <v/>
      </c>
      <c r="Q193" s="210" t="str">
        <f>IF(P193="","",VLOOKUP(_xlfn.DAYS(入力シート!$J$24,'従業員情報(給与以外)'!$C193)/365,入力リスト!$K$18:$L$26,2,2))</f>
        <v/>
      </c>
      <c r="R193" s="209" t="str">
        <f>IF(D193="","",VLOOKUP('従業員情報(給与以外)'!$D193,入力シート!$AW$37:$BB$38,4,0))</f>
        <v/>
      </c>
      <c r="S193" s="209" t="str">
        <f>IF(A193="","",IF(E193="","非役職",VLOOKUP('従業員情報(給与以外)'!$E193,入力シート!$AH$37:$AO$62,5,0)))</f>
        <v/>
      </c>
      <c r="T193" s="102" t="str">
        <f>IF(OR(入力シート!$C$5&lt;&gt;入力リスト!$C$3,COUNTIF(入力シート!$J$16:$S$23,入力リスト!$H$9)=0),"",IF($A193="","",IF(ISERROR(AVERAGEIF(従業員の給与情報!$B:$B,$A193,従業員の給与情報!$C:$C)),0,IF(ISERROR(AVERAGEIF(従業員の給与情報!$B:$B,$A193,従業員の給与情報!$C:$C)),0,AVERAGEIF(従業員の給与情報!$B:$B,$A193,従業員の給与情報!$C:$C)))))</f>
        <v/>
      </c>
      <c r="U193" s="102" t="str">
        <f>IF(OR(入力シート!$C$5&lt;&gt;入力リスト!$C$3,COUNTIF(入力シート!$J$16:$S$23,入力リスト!$H$9)=0),"",IF(A193="","",IF(ISERROR(AVERAGEIF(従業員の給与情報!$B:$B,$A193,従業員の給与情報!$D:$D)),0,IF(ISERROR(AVERAGEIF(従業員の給与情報!$B:$B,$A193,従業員の給与情報!$D:$D)),0,AVERAGEIF(従業員の給与情報!$B:$B,$A193,従業員の給与情報!$D:$D)))))</f>
        <v/>
      </c>
      <c r="V193" s="102" t="str">
        <f>IF(OR(入力シート!$C$5&lt;&gt;入力リスト!$C$3,COUNTIF(入力シート!$J$16:$S$23,入力リスト!$H$9)=0),"",IF(A193="","",IF(ISERROR(AVERAGEIF(従業員の給与情報!$B:$B,$A193,従業員の給与情報!$E:$E)),0,IF(ISERROR(AVERAGEIF(従業員の給与情報!$B:$B,$A193,従業員の給与情報!$E:$E)),0,AVERAGEIF(従業員の給与情報!$B:$B,$A193,従業員の給与情報!$E:$E)))))</f>
        <v/>
      </c>
      <c r="W193" s="103" t="str">
        <f>IF(OR(入力シート!$C$5&lt;&gt;入力リスト!$C$3,COUNTIF(入力シート!$J$16:$S$23,入力リスト!$H$9)=0),"",IF(A193="","",IF(ISERROR(AVERAGEIF(従業員の給与情報!$B:$B,$A193,従業員の給与情報!$F:$F)),0,IF(ISERROR(AVERAGEIF(従業員の給与情報!$B:$B,$A193,従業員の給与情報!$F:$F)),0,AVERAGEIF(従業員の給与情報!$B:$B,$A193,従業員の給与情報!$F:$F)))))</f>
        <v/>
      </c>
    </row>
    <row r="194" spans="1:23" s="10" customFormat="1" ht="19.8">
      <c r="A194" s="251"/>
      <c r="B194" s="251"/>
      <c r="C194" s="250"/>
      <c r="D194" s="251"/>
      <c r="E194" s="251"/>
      <c r="F194" s="257" t="str">
        <f>IF($G$1,"",IF(COUNTIF(A194:E194,"")=5,"",IF(G194,入力リスト!$K$28,IF(OR(A194="",B194="",IF(COUNTIF($C$3,"*不要*"),"",C194=""),D194=""),IF(A194="","従業員番号","")&amp;IF(B194="","「雇用形態」","")&amp;IF(OR(入力シート!$J$18=入力リスト!$H$9,入力シート!$J$22=入力リスト!$H$9),IF(C194="","「入社年月日」",""),"")&amp;IF(D194="","「性別」","")&amp;IF(IF(A194="","従業員番号","")&amp;IF(B194="","「雇用形態」","")&amp;IF(OR(入力シート!$J$18=入力リスト!$H$9,入力シート!$J$22=入力リスト!$H$9),IF(C194="","「入社年月日」",""),"")&amp;IF(D194="","「性別」","")="","",入力リスト!$K$29),IF(J194,入力リスト!$K$30,"")&amp;IF(I194,入力リスト!$K$31,"")&amp;IF(H194,"「雇用形態」","")&amp;IF(K194,"「性別」","")&amp;IF(L194,"「役職」","")&amp;IF(OR(H194,K194,L194),入力リスト!$K$32,"")))))</f>
        <v/>
      </c>
      <c r="G194" s="209" t="b">
        <f>COUNTIF($A$4:A193,$A194)&gt;0</f>
        <v>0</v>
      </c>
      <c r="H194" s="210" t="b">
        <f>IF($H$1,FALSE,COUNTIF(入力シート!$S$37:$V$62,B194)=0)</f>
        <v>0</v>
      </c>
      <c r="I194" s="210" t="b">
        <f t="shared" si="6"/>
        <v>0</v>
      </c>
      <c r="J194" s="210" t="b">
        <f>IF($J$1,FALSE,IF(I194=TRUE,FALSE,IF(I194,FALSE,C194&gt;入力シート!$J$24)))</f>
        <v>0</v>
      </c>
      <c r="K194" s="210" t="b">
        <f>IF($K$1,FALSE,COUNTIF(入力シート!$AW$37:$BB$38,D194)=0)</f>
        <v>0</v>
      </c>
      <c r="L194" s="210" t="b">
        <f>IF($L$1,FALSE,IF($L$3,FALSE,IF(E194="",FALSE,COUNTIF(入力シート!$AH$37:$AK$62,E194)=0)))</f>
        <v>0</v>
      </c>
      <c r="M194" s="211" t="str">
        <f t="shared" si="5"/>
        <v/>
      </c>
      <c r="N194" s="211"/>
      <c r="O194" s="209" t="str">
        <f>IF(B194="","",VLOOKUP('従業員情報(給与以外)'!$B194,入力シート!$S$37:$Z$62,5,0))</f>
        <v/>
      </c>
      <c r="P194" s="156" t="str">
        <f>IF(ISNUMBER(C194)=FALSE,"",IF(C194&gt;入力シート!$J$24,"",_xlfn.DAYS(入力シート!$J$24,'従業員情報(給与以外)'!$C194)/365))</f>
        <v/>
      </c>
      <c r="Q194" s="210" t="str">
        <f>IF(P194="","",VLOOKUP(_xlfn.DAYS(入力シート!$J$24,'従業員情報(給与以外)'!$C194)/365,入力リスト!$K$18:$L$26,2,2))</f>
        <v/>
      </c>
      <c r="R194" s="209" t="str">
        <f>IF(D194="","",VLOOKUP('従業員情報(給与以外)'!$D194,入力シート!$AW$37:$BB$38,4,0))</f>
        <v/>
      </c>
      <c r="S194" s="209" t="str">
        <f>IF(A194="","",IF(E194="","非役職",VLOOKUP('従業員情報(給与以外)'!$E194,入力シート!$AH$37:$AO$62,5,0)))</f>
        <v/>
      </c>
      <c r="T194" s="102" t="str">
        <f>IF(OR(入力シート!$C$5&lt;&gt;入力リスト!$C$3,COUNTIF(入力シート!$J$16:$S$23,入力リスト!$H$9)=0),"",IF($A194="","",IF(ISERROR(AVERAGEIF(従業員の給与情報!$B:$B,$A194,従業員の給与情報!$C:$C)),0,IF(ISERROR(AVERAGEIF(従業員の給与情報!$B:$B,$A194,従業員の給与情報!$C:$C)),0,AVERAGEIF(従業員の給与情報!$B:$B,$A194,従業員の給与情報!$C:$C)))))</f>
        <v/>
      </c>
      <c r="U194" s="102" t="str">
        <f>IF(OR(入力シート!$C$5&lt;&gt;入力リスト!$C$3,COUNTIF(入力シート!$J$16:$S$23,入力リスト!$H$9)=0),"",IF(A194="","",IF(ISERROR(AVERAGEIF(従業員の給与情報!$B:$B,$A194,従業員の給与情報!$D:$D)),0,IF(ISERROR(AVERAGEIF(従業員の給与情報!$B:$B,$A194,従業員の給与情報!$D:$D)),0,AVERAGEIF(従業員の給与情報!$B:$B,$A194,従業員の給与情報!$D:$D)))))</f>
        <v/>
      </c>
      <c r="V194" s="102" t="str">
        <f>IF(OR(入力シート!$C$5&lt;&gt;入力リスト!$C$3,COUNTIF(入力シート!$J$16:$S$23,入力リスト!$H$9)=0),"",IF(A194="","",IF(ISERROR(AVERAGEIF(従業員の給与情報!$B:$B,$A194,従業員の給与情報!$E:$E)),0,IF(ISERROR(AVERAGEIF(従業員の給与情報!$B:$B,$A194,従業員の給与情報!$E:$E)),0,AVERAGEIF(従業員の給与情報!$B:$B,$A194,従業員の給与情報!$E:$E)))))</f>
        <v/>
      </c>
      <c r="W194" s="103" t="str">
        <f>IF(OR(入力シート!$C$5&lt;&gt;入力リスト!$C$3,COUNTIF(入力シート!$J$16:$S$23,入力リスト!$H$9)=0),"",IF(A194="","",IF(ISERROR(AVERAGEIF(従業員の給与情報!$B:$B,$A194,従業員の給与情報!$F:$F)),0,IF(ISERROR(AVERAGEIF(従業員の給与情報!$B:$B,$A194,従業員の給与情報!$F:$F)),0,AVERAGEIF(従業員の給与情報!$B:$B,$A194,従業員の給与情報!$F:$F)))))</f>
        <v/>
      </c>
    </row>
    <row r="195" spans="1:23" s="10" customFormat="1" ht="19.8">
      <c r="A195" s="251"/>
      <c r="B195" s="251"/>
      <c r="C195" s="250"/>
      <c r="D195" s="251"/>
      <c r="E195" s="251"/>
      <c r="F195" s="257" t="str">
        <f>IF($G$1,"",IF(COUNTIF(A195:E195,"")=5,"",IF(G195,入力リスト!$K$28,IF(OR(A195="",B195="",IF(COUNTIF($C$3,"*不要*"),"",C195=""),D195=""),IF(A195="","従業員番号","")&amp;IF(B195="","「雇用形態」","")&amp;IF(OR(入力シート!$J$18=入力リスト!$H$9,入力シート!$J$22=入力リスト!$H$9),IF(C195="","「入社年月日」",""),"")&amp;IF(D195="","「性別」","")&amp;IF(IF(A195="","従業員番号","")&amp;IF(B195="","「雇用形態」","")&amp;IF(OR(入力シート!$J$18=入力リスト!$H$9,入力シート!$J$22=入力リスト!$H$9),IF(C195="","「入社年月日」",""),"")&amp;IF(D195="","「性別」","")="","",入力リスト!$K$29),IF(J195,入力リスト!$K$30,"")&amp;IF(I195,入力リスト!$K$31,"")&amp;IF(H195,"「雇用形態」","")&amp;IF(K195,"「性別」","")&amp;IF(L195,"「役職」","")&amp;IF(OR(H195,K195,L195),入力リスト!$K$32,"")))))</f>
        <v/>
      </c>
      <c r="G195" s="209" t="b">
        <f>COUNTIF($A$4:A194,$A195)&gt;0</f>
        <v>0</v>
      </c>
      <c r="H195" s="210" t="b">
        <f>IF($H$1,FALSE,COUNTIF(入力シート!$S$37:$V$62,B195)=0)</f>
        <v>0</v>
      </c>
      <c r="I195" s="210" t="b">
        <f t="shared" si="6"/>
        <v>0</v>
      </c>
      <c r="J195" s="210" t="b">
        <f>IF($J$1,FALSE,IF(I195=TRUE,FALSE,IF(I195,FALSE,C195&gt;入力シート!$J$24)))</f>
        <v>0</v>
      </c>
      <c r="K195" s="210" t="b">
        <f>IF($K$1,FALSE,COUNTIF(入力シート!$AW$37:$BB$38,D195)=0)</f>
        <v>0</v>
      </c>
      <c r="L195" s="210" t="b">
        <f>IF($L$1,FALSE,IF($L$3,FALSE,IF(E195="",FALSE,COUNTIF(入力シート!$AH$37:$AK$62,E195)=0)))</f>
        <v>0</v>
      </c>
      <c r="M195" s="211" t="str">
        <f t="shared" si="5"/>
        <v/>
      </c>
      <c r="N195" s="211"/>
      <c r="O195" s="209" t="str">
        <f>IF(B195="","",VLOOKUP('従業員情報(給与以外)'!$B195,入力シート!$S$37:$Z$62,5,0))</f>
        <v/>
      </c>
      <c r="P195" s="156" t="str">
        <f>IF(ISNUMBER(C195)=FALSE,"",IF(C195&gt;入力シート!$J$24,"",_xlfn.DAYS(入力シート!$J$24,'従業員情報(給与以外)'!$C195)/365))</f>
        <v/>
      </c>
      <c r="Q195" s="210" t="str">
        <f>IF(P195="","",VLOOKUP(_xlfn.DAYS(入力シート!$J$24,'従業員情報(給与以外)'!$C195)/365,入力リスト!$K$18:$L$26,2,2))</f>
        <v/>
      </c>
      <c r="R195" s="209" t="str">
        <f>IF(D195="","",VLOOKUP('従業員情報(給与以外)'!$D195,入力シート!$AW$37:$BB$38,4,0))</f>
        <v/>
      </c>
      <c r="S195" s="209" t="str">
        <f>IF(A195="","",IF(E195="","非役職",VLOOKUP('従業員情報(給与以外)'!$E195,入力シート!$AH$37:$AO$62,5,0)))</f>
        <v/>
      </c>
      <c r="T195" s="102" t="str">
        <f>IF(OR(入力シート!$C$5&lt;&gt;入力リスト!$C$3,COUNTIF(入力シート!$J$16:$S$23,入力リスト!$H$9)=0),"",IF($A195="","",IF(ISERROR(AVERAGEIF(従業員の給与情報!$B:$B,$A195,従業員の給与情報!$C:$C)),0,IF(ISERROR(AVERAGEIF(従業員の給与情報!$B:$B,$A195,従業員の給与情報!$C:$C)),0,AVERAGEIF(従業員の給与情報!$B:$B,$A195,従業員の給与情報!$C:$C)))))</f>
        <v/>
      </c>
      <c r="U195" s="102" t="str">
        <f>IF(OR(入力シート!$C$5&lt;&gt;入力リスト!$C$3,COUNTIF(入力シート!$J$16:$S$23,入力リスト!$H$9)=0),"",IF(A195="","",IF(ISERROR(AVERAGEIF(従業員の給与情報!$B:$B,$A195,従業員の給与情報!$D:$D)),0,IF(ISERROR(AVERAGEIF(従業員の給与情報!$B:$B,$A195,従業員の給与情報!$D:$D)),0,AVERAGEIF(従業員の給与情報!$B:$B,$A195,従業員の給与情報!$D:$D)))))</f>
        <v/>
      </c>
      <c r="V195" s="102" t="str">
        <f>IF(OR(入力シート!$C$5&lt;&gt;入力リスト!$C$3,COUNTIF(入力シート!$J$16:$S$23,入力リスト!$H$9)=0),"",IF(A195="","",IF(ISERROR(AVERAGEIF(従業員の給与情報!$B:$B,$A195,従業員の給与情報!$E:$E)),0,IF(ISERROR(AVERAGEIF(従業員の給与情報!$B:$B,$A195,従業員の給与情報!$E:$E)),0,AVERAGEIF(従業員の給与情報!$B:$B,$A195,従業員の給与情報!$E:$E)))))</f>
        <v/>
      </c>
      <c r="W195" s="103" t="str">
        <f>IF(OR(入力シート!$C$5&lt;&gt;入力リスト!$C$3,COUNTIF(入力シート!$J$16:$S$23,入力リスト!$H$9)=0),"",IF(A195="","",IF(ISERROR(AVERAGEIF(従業員の給与情報!$B:$B,$A195,従業員の給与情報!$F:$F)),0,IF(ISERROR(AVERAGEIF(従業員の給与情報!$B:$B,$A195,従業員の給与情報!$F:$F)),0,AVERAGEIF(従業員の給与情報!$B:$B,$A195,従業員の給与情報!$F:$F)))))</f>
        <v/>
      </c>
    </row>
    <row r="196" spans="1:23" s="10" customFormat="1" ht="19.8">
      <c r="A196" s="251"/>
      <c r="B196" s="251"/>
      <c r="C196" s="250"/>
      <c r="D196" s="251"/>
      <c r="E196" s="251"/>
      <c r="F196" s="257" t="str">
        <f>IF($G$1,"",IF(COUNTIF(A196:E196,"")=5,"",IF(G196,入力リスト!$K$28,IF(OR(A196="",B196="",IF(COUNTIF($C$3,"*不要*"),"",C196=""),D196=""),IF(A196="","従業員番号","")&amp;IF(B196="","「雇用形態」","")&amp;IF(OR(入力シート!$J$18=入力リスト!$H$9,入力シート!$J$22=入力リスト!$H$9),IF(C196="","「入社年月日」",""),"")&amp;IF(D196="","「性別」","")&amp;IF(IF(A196="","従業員番号","")&amp;IF(B196="","「雇用形態」","")&amp;IF(OR(入力シート!$J$18=入力リスト!$H$9,入力シート!$J$22=入力リスト!$H$9),IF(C196="","「入社年月日」",""),"")&amp;IF(D196="","「性別」","")="","",入力リスト!$K$29),IF(J196,入力リスト!$K$30,"")&amp;IF(I196,入力リスト!$K$31,"")&amp;IF(H196,"「雇用形態」","")&amp;IF(K196,"「性別」","")&amp;IF(L196,"「役職」","")&amp;IF(OR(H196,K196,L196),入力リスト!$K$32,"")))))</f>
        <v/>
      </c>
      <c r="G196" s="209" t="b">
        <f>COUNTIF($A$4:A195,$A196)&gt;0</f>
        <v>0</v>
      </c>
      <c r="H196" s="210" t="b">
        <f>IF($H$1,FALSE,COUNTIF(入力シート!$S$37:$V$62,B196)=0)</f>
        <v>0</v>
      </c>
      <c r="I196" s="210" t="b">
        <f t="shared" si="6"/>
        <v>0</v>
      </c>
      <c r="J196" s="210" t="b">
        <f>IF($J$1,FALSE,IF(I196=TRUE,FALSE,IF(I196,FALSE,C196&gt;入力シート!$J$24)))</f>
        <v>0</v>
      </c>
      <c r="K196" s="210" t="b">
        <f>IF($K$1,FALSE,COUNTIF(入力シート!$AW$37:$BB$38,D196)=0)</f>
        <v>0</v>
      </c>
      <c r="L196" s="210" t="b">
        <f>IF($L$1,FALSE,IF($L$3,FALSE,IF(E196="",FALSE,COUNTIF(入力シート!$AH$37:$AK$62,E196)=0)))</f>
        <v>0</v>
      </c>
      <c r="M196" s="211" t="str">
        <f t="shared" si="5"/>
        <v/>
      </c>
      <c r="N196" s="211"/>
      <c r="O196" s="209" t="str">
        <f>IF(B196="","",VLOOKUP('従業員情報(給与以外)'!$B196,入力シート!$S$37:$Z$62,5,0))</f>
        <v/>
      </c>
      <c r="P196" s="156" t="str">
        <f>IF(ISNUMBER(C196)=FALSE,"",IF(C196&gt;入力シート!$J$24,"",_xlfn.DAYS(入力シート!$J$24,'従業員情報(給与以外)'!$C196)/365))</f>
        <v/>
      </c>
      <c r="Q196" s="210" t="str">
        <f>IF(P196="","",VLOOKUP(_xlfn.DAYS(入力シート!$J$24,'従業員情報(給与以外)'!$C196)/365,入力リスト!$K$18:$L$26,2,2))</f>
        <v/>
      </c>
      <c r="R196" s="209" t="str">
        <f>IF(D196="","",VLOOKUP('従業員情報(給与以外)'!$D196,入力シート!$AW$37:$BB$38,4,0))</f>
        <v/>
      </c>
      <c r="S196" s="209" t="str">
        <f>IF(A196="","",IF(E196="","非役職",VLOOKUP('従業員情報(給与以外)'!$E196,入力シート!$AH$37:$AO$62,5,0)))</f>
        <v/>
      </c>
      <c r="T196" s="102" t="str">
        <f>IF(OR(入力シート!$C$5&lt;&gt;入力リスト!$C$3,COUNTIF(入力シート!$J$16:$S$23,入力リスト!$H$9)=0),"",IF($A196="","",IF(ISERROR(AVERAGEIF(従業員の給与情報!$B:$B,$A196,従業員の給与情報!$C:$C)),0,IF(ISERROR(AVERAGEIF(従業員の給与情報!$B:$B,$A196,従業員の給与情報!$C:$C)),0,AVERAGEIF(従業員の給与情報!$B:$B,$A196,従業員の給与情報!$C:$C)))))</f>
        <v/>
      </c>
      <c r="U196" s="102" t="str">
        <f>IF(OR(入力シート!$C$5&lt;&gt;入力リスト!$C$3,COUNTIF(入力シート!$J$16:$S$23,入力リスト!$H$9)=0),"",IF(A196="","",IF(ISERROR(AVERAGEIF(従業員の給与情報!$B:$B,$A196,従業員の給与情報!$D:$D)),0,IF(ISERROR(AVERAGEIF(従業員の給与情報!$B:$B,$A196,従業員の給与情報!$D:$D)),0,AVERAGEIF(従業員の給与情報!$B:$B,$A196,従業員の給与情報!$D:$D)))))</f>
        <v/>
      </c>
      <c r="V196" s="102" t="str">
        <f>IF(OR(入力シート!$C$5&lt;&gt;入力リスト!$C$3,COUNTIF(入力シート!$J$16:$S$23,入力リスト!$H$9)=0),"",IF(A196="","",IF(ISERROR(AVERAGEIF(従業員の給与情報!$B:$B,$A196,従業員の給与情報!$E:$E)),0,IF(ISERROR(AVERAGEIF(従業員の給与情報!$B:$B,$A196,従業員の給与情報!$E:$E)),0,AVERAGEIF(従業員の給与情報!$B:$B,$A196,従業員の給与情報!$E:$E)))))</f>
        <v/>
      </c>
      <c r="W196" s="103" t="str">
        <f>IF(OR(入力シート!$C$5&lt;&gt;入力リスト!$C$3,COUNTIF(入力シート!$J$16:$S$23,入力リスト!$H$9)=0),"",IF(A196="","",IF(ISERROR(AVERAGEIF(従業員の給与情報!$B:$B,$A196,従業員の給与情報!$F:$F)),0,IF(ISERROR(AVERAGEIF(従業員の給与情報!$B:$B,$A196,従業員の給与情報!$F:$F)),0,AVERAGEIF(従業員の給与情報!$B:$B,$A196,従業員の給与情報!$F:$F)))))</f>
        <v/>
      </c>
    </row>
    <row r="197" spans="1:23" s="10" customFormat="1" ht="19.8">
      <c r="A197" s="251"/>
      <c r="B197" s="251"/>
      <c r="C197" s="250"/>
      <c r="D197" s="251"/>
      <c r="E197" s="251"/>
      <c r="F197" s="257" t="str">
        <f>IF($G$1,"",IF(COUNTIF(A197:E197,"")=5,"",IF(G197,入力リスト!$K$28,IF(OR(A197="",B197="",IF(COUNTIF($C$3,"*不要*"),"",C197=""),D197=""),IF(A197="","従業員番号","")&amp;IF(B197="","「雇用形態」","")&amp;IF(OR(入力シート!$J$18=入力リスト!$H$9,入力シート!$J$22=入力リスト!$H$9),IF(C197="","「入社年月日」",""),"")&amp;IF(D197="","「性別」","")&amp;IF(IF(A197="","従業員番号","")&amp;IF(B197="","「雇用形態」","")&amp;IF(OR(入力シート!$J$18=入力リスト!$H$9,入力シート!$J$22=入力リスト!$H$9),IF(C197="","「入社年月日」",""),"")&amp;IF(D197="","「性別」","")="","",入力リスト!$K$29),IF(J197,入力リスト!$K$30,"")&amp;IF(I197,入力リスト!$K$31,"")&amp;IF(H197,"「雇用形態」","")&amp;IF(K197,"「性別」","")&amp;IF(L197,"「役職」","")&amp;IF(OR(H197,K197,L197),入力リスト!$K$32,"")))))</f>
        <v/>
      </c>
      <c r="G197" s="209" t="b">
        <f>COUNTIF($A$4:A196,$A197)&gt;0</f>
        <v>0</v>
      </c>
      <c r="H197" s="210" t="b">
        <f>IF($H$1,FALSE,COUNTIF(入力シート!$S$37:$V$62,B197)=0)</f>
        <v>0</v>
      </c>
      <c r="I197" s="210" t="b">
        <f t="shared" si="6"/>
        <v>0</v>
      </c>
      <c r="J197" s="210" t="b">
        <f>IF($J$1,FALSE,IF(I197=TRUE,FALSE,IF(I197,FALSE,C197&gt;入力シート!$J$24)))</f>
        <v>0</v>
      </c>
      <c r="K197" s="210" t="b">
        <f>IF($K$1,FALSE,COUNTIF(入力シート!$AW$37:$BB$38,D197)=0)</f>
        <v>0</v>
      </c>
      <c r="L197" s="210" t="b">
        <f>IF($L$1,FALSE,IF($L$3,FALSE,IF(E197="",FALSE,COUNTIF(入力シート!$AH$37:$AK$62,E197)=0)))</f>
        <v>0</v>
      </c>
      <c r="M197" s="211" t="str">
        <f t="shared" ref="M197:M260" si="7">IF(COUNTIF(F197,"*入社年月日に数値以外*"),"※1900/0/0以前は数値として認識されません。","")</f>
        <v/>
      </c>
      <c r="N197" s="211"/>
      <c r="O197" s="209" t="str">
        <f>IF(B197="","",VLOOKUP('従業員情報(給与以外)'!$B197,入力シート!$S$37:$Z$62,5,0))</f>
        <v/>
      </c>
      <c r="P197" s="156" t="str">
        <f>IF(ISNUMBER(C197)=FALSE,"",IF(C197&gt;入力シート!$J$24,"",_xlfn.DAYS(入力シート!$J$24,'従業員情報(給与以外)'!$C197)/365))</f>
        <v/>
      </c>
      <c r="Q197" s="210" t="str">
        <f>IF(P197="","",VLOOKUP(_xlfn.DAYS(入力シート!$J$24,'従業員情報(給与以外)'!$C197)/365,入力リスト!$K$18:$L$26,2,2))</f>
        <v/>
      </c>
      <c r="R197" s="209" t="str">
        <f>IF(D197="","",VLOOKUP('従業員情報(給与以外)'!$D197,入力シート!$AW$37:$BB$38,4,0))</f>
        <v/>
      </c>
      <c r="S197" s="209" t="str">
        <f>IF(A197="","",IF(E197="","非役職",VLOOKUP('従業員情報(給与以外)'!$E197,入力シート!$AH$37:$AO$62,5,0)))</f>
        <v/>
      </c>
      <c r="T197" s="102" t="str">
        <f>IF(OR(入力シート!$C$5&lt;&gt;入力リスト!$C$3,COUNTIF(入力シート!$J$16:$S$23,入力リスト!$H$9)=0),"",IF($A197="","",IF(ISERROR(AVERAGEIF(従業員の給与情報!$B:$B,$A197,従業員の給与情報!$C:$C)),0,IF(ISERROR(AVERAGEIF(従業員の給与情報!$B:$B,$A197,従業員の給与情報!$C:$C)),0,AVERAGEIF(従業員の給与情報!$B:$B,$A197,従業員の給与情報!$C:$C)))))</f>
        <v/>
      </c>
      <c r="U197" s="102" t="str">
        <f>IF(OR(入力シート!$C$5&lt;&gt;入力リスト!$C$3,COUNTIF(入力シート!$J$16:$S$23,入力リスト!$H$9)=0),"",IF(A197="","",IF(ISERROR(AVERAGEIF(従業員の給与情報!$B:$B,$A197,従業員の給与情報!$D:$D)),0,IF(ISERROR(AVERAGEIF(従業員の給与情報!$B:$B,$A197,従業員の給与情報!$D:$D)),0,AVERAGEIF(従業員の給与情報!$B:$B,$A197,従業員の給与情報!$D:$D)))))</f>
        <v/>
      </c>
      <c r="V197" s="102" t="str">
        <f>IF(OR(入力シート!$C$5&lt;&gt;入力リスト!$C$3,COUNTIF(入力シート!$J$16:$S$23,入力リスト!$H$9)=0),"",IF(A197="","",IF(ISERROR(AVERAGEIF(従業員の給与情報!$B:$B,$A197,従業員の給与情報!$E:$E)),0,IF(ISERROR(AVERAGEIF(従業員の給与情報!$B:$B,$A197,従業員の給与情報!$E:$E)),0,AVERAGEIF(従業員の給与情報!$B:$B,$A197,従業員の給与情報!$E:$E)))))</f>
        <v/>
      </c>
      <c r="W197" s="103" t="str">
        <f>IF(OR(入力シート!$C$5&lt;&gt;入力リスト!$C$3,COUNTIF(入力シート!$J$16:$S$23,入力リスト!$H$9)=0),"",IF(A197="","",IF(ISERROR(AVERAGEIF(従業員の給与情報!$B:$B,$A197,従業員の給与情報!$F:$F)),0,IF(ISERROR(AVERAGEIF(従業員の給与情報!$B:$B,$A197,従業員の給与情報!$F:$F)),0,AVERAGEIF(従業員の給与情報!$B:$B,$A197,従業員の給与情報!$F:$F)))))</f>
        <v/>
      </c>
    </row>
    <row r="198" spans="1:23" s="10" customFormat="1" ht="19.8">
      <c r="A198" s="251"/>
      <c r="B198" s="251"/>
      <c r="C198" s="250"/>
      <c r="D198" s="251"/>
      <c r="E198" s="251"/>
      <c r="F198" s="257" t="str">
        <f>IF($G$1,"",IF(COUNTIF(A198:E198,"")=5,"",IF(G198,入力リスト!$K$28,IF(OR(A198="",B198="",IF(COUNTIF($C$3,"*不要*"),"",C198=""),D198=""),IF(A198="","従業員番号","")&amp;IF(B198="","「雇用形態」","")&amp;IF(OR(入力シート!$J$18=入力リスト!$H$9,入力シート!$J$22=入力リスト!$H$9),IF(C198="","「入社年月日」",""),"")&amp;IF(D198="","「性別」","")&amp;IF(IF(A198="","従業員番号","")&amp;IF(B198="","「雇用形態」","")&amp;IF(OR(入力シート!$J$18=入力リスト!$H$9,入力シート!$J$22=入力リスト!$H$9),IF(C198="","「入社年月日」",""),"")&amp;IF(D198="","「性別」","")="","",入力リスト!$K$29),IF(J198,入力リスト!$K$30,"")&amp;IF(I198,入力リスト!$K$31,"")&amp;IF(H198,"「雇用形態」","")&amp;IF(K198,"「性別」","")&amp;IF(L198,"「役職」","")&amp;IF(OR(H198,K198,L198),入力リスト!$K$32,"")))))</f>
        <v/>
      </c>
      <c r="G198" s="209" t="b">
        <f>COUNTIF($A$4:A197,$A198)&gt;0</f>
        <v>0</v>
      </c>
      <c r="H198" s="210" t="b">
        <f>IF($H$1,FALSE,COUNTIF(入力シート!$S$37:$V$62,B198)=0)</f>
        <v>0</v>
      </c>
      <c r="I198" s="210" t="b">
        <f t="shared" ref="I198:I261" si="8">IF($I$1,IF(ISNUMBER(C198),FALSE,TRUE),FALSE)</f>
        <v>0</v>
      </c>
      <c r="J198" s="210" t="b">
        <f>IF($J$1,FALSE,IF(I198=TRUE,FALSE,IF(I198,FALSE,C198&gt;入力シート!$J$24)))</f>
        <v>0</v>
      </c>
      <c r="K198" s="210" t="b">
        <f>IF($K$1,FALSE,COUNTIF(入力シート!$AW$37:$BB$38,D198)=0)</f>
        <v>0</v>
      </c>
      <c r="L198" s="210" t="b">
        <f>IF($L$1,FALSE,IF($L$3,FALSE,IF(E198="",FALSE,COUNTIF(入力シート!$AH$37:$AK$62,E198)=0)))</f>
        <v>0</v>
      </c>
      <c r="M198" s="211" t="str">
        <f t="shared" si="7"/>
        <v/>
      </c>
      <c r="N198" s="211"/>
      <c r="O198" s="209" t="str">
        <f>IF(B198="","",VLOOKUP('従業員情報(給与以外)'!$B198,入力シート!$S$37:$Z$62,5,0))</f>
        <v/>
      </c>
      <c r="P198" s="156" t="str">
        <f>IF(ISNUMBER(C198)=FALSE,"",IF(C198&gt;入力シート!$J$24,"",_xlfn.DAYS(入力シート!$J$24,'従業員情報(給与以外)'!$C198)/365))</f>
        <v/>
      </c>
      <c r="Q198" s="210" t="str">
        <f>IF(P198="","",VLOOKUP(_xlfn.DAYS(入力シート!$J$24,'従業員情報(給与以外)'!$C198)/365,入力リスト!$K$18:$L$26,2,2))</f>
        <v/>
      </c>
      <c r="R198" s="209" t="str">
        <f>IF(D198="","",VLOOKUP('従業員情報(給与以外)'!$D198,入力シート!$AW$37:$BB$38,4,0))</f>
        <v/>
      </c>
      <c r="S198" s="209" t="str">
        <f>IF(A198="","",IF(E198="","非役職",VLOOKUP('従業員情報(給与以外)'!$E198,入力シート!$AH$37:$AO$62,5,0)))</f>
        <v/>
      </c>
      <c r="T198" s="102" t="str">
        <f>IF(OR(入力シート!$C$5&lt;&gt;入力リスト!$C$3,COUNTIF(入力シート!$J$16:$S$23,入力リスト!$H$9)=0),"",IF($A198="","",IF(ISERROR(AVERAGEIF(従業員の給与情報!$B:$B,$A198,従業員の給与情報!$C:$C)),0,IF(ISERROR(AVERAGEIF(従業員の給与情報!$B:$B,$A198,従業員の給与情報!$C:$C)),0,AVERAGEIF(従業員の給与情報!$B:$B,$A198,従業員の給与情報!$C:$C)))))</f>
        <v/>
      </c>
      <c r="U198" s="102" t="str">
        <f>IF(OR(入力シート!$C$5&lt;&gt;入力リスト!$C$3,COUNTIF(入力シート!$J$16:$S$23,入力リスト!$H$9)=0),"",IF(A198="","",IF(ISERROR(AVERAGEIF(従業員の給与情報!$B:$B,$A198,従業員の給与情報!$D:$D)),0,IF(ISERROR(AVERAGEIF(従業員の給与情報!$B:$B,$A198,従業員の給与情報!$D:$D)),0,AVERAGEIF(従業員の給与情報!$B:$B,$A198,従業員の給与情報!$D:$D)))))</f>
        <v/>
      </c>
      <c r="V198" s="102" t="str">
        <f>IF(OR(入力シート!$C$5&lt;&gt;入力リスト!$C$3,COUNTIF(入力シート!$J$16:$S$23,入力リスト!$H$9)=0),"",IF(A198="","",IF(ISERROR(AVERAGEIF(従業員の給与情報!$B:$B,$A198,従業員の給与情報!$E:$E)),0,IF(ISERROR(AVERAGEIF(従業員の給与情報!$B:$B,$A198,従業員の給与情報!$E:$E)),0,AVERAGEIF(従業員の給与情報!$B:$B,$A198,従業員の給与情報!$E:$E)))))</f>
        <v/>
      </c>
      <c r="W198" s="103" t="str">
        <f>IF(OR(入力シート!$C$5&lt;&gt;入力リスト!$C$3,COUNTIF(入力シート!$J$16:$S$23,入力リスト!$H$9)=0),"",IF(A198="","",IF(ISERROR(AVERAGEIF(従業員の給与情報!$B:$B,$A198,従業員の給与情報!$F:$F)),0,IF(ISERROR(AVERAGEIF(従業員の給与情報!$B:$B,$A198,従業員の給与情報!$F:$F)),0,AVERAGEIF(従業員の給与情報!$B:$B,$A198,従業員の給与情報!$F:$F)))))</f>
        <v/>
      </c>
    </row>
    <row r="199" spans="1:23" s="10" customFormat="1" ht="19.8">
      <c r="A199" s="251"/>
      <c r="B199" s="251"/>
      <c r="C199" s="250"/>
      <c r="D199" s="251"/>
      <c r="E199" s="251"/>
      <c r="F199" s="257" t="str">
        <f>IF($G$1,"",IF(COUNTIF(A199:E199,"")=5,"",IF(G199,入力リスト!$K$28,IF(OR(A199="",B199="",IF(COUNTIF($C$3,"*不要*"),"",C199=""),D199=""),IF(A199="","従業員番号","")&amp;IF(B199="","「雇用形態」","")&amp;IF(OR(入力シート!$J$18=入力リスト!$H$9,入力シート!$J$22=入力リスト!$H$9),IF(C199="","「入社年月日」",""),"")&amp;IF(D199="","「性別」","")&amp;IF(IF(A199="","従業員番号","")&amp;IF(B199="","「雇用形態」","")&amp;IF(OR(入力シート!$J$18=入力リスト!$H$9,入力シート!$J$22=入力リスト!$H$9),IF(C199="","「入社年月日」",""),"")&amp;IF(D199="","「性別」","")="","",入力リスト!$K$29),IF(J199,入力リスト!$K$30,"")&amp;IF(I199,入力リスト!$K$31,"")&amp;IF(H199,"「雇用形態」","")&amp;IF(K199,"「性別」","")&amp;IF(L199,"「役職」","")&amp;IF(OR(H199,K199,L199),入力リスト!$K$32,"")))))</f>
        <v/>
      </c>
      <c r="G199" s="209" t="b">
        <f>COUNTIF($A$4:A198,$A199)&gt;0</f>
        <v>0</v>
      </c>
      <c r="H199" s="210" t="b">
        <f>IF($H$1,FALSE,COUNTIF(入力シート!$S$37:$V$62,B199)=0)</f>
        <v>0</v>
      </c>
      <c r="I199" s="210" t="b">
        <f t="shared" si="8"/>
        <v>0</v>
      </c>
      <c r="J199" s="210" t="b">
        <f>IF($J$1,FALSE,IF(I199=TRUE,FALSE,IF(I199,FALSE,C199&gt;入力シート!$J$24)))</f>
        <v>0</v>
      </c>
      <c r="K199" s="210" t="b">
        <f>IF($K$1,FALSE,COUNTIF(入力シート!$AW$37:$BB$38,D199)=0)</f>
        <v>0</v>
      </c>
      <c r="L199" s="210" t="b">
        <f>IF($L$1,FALSE,IF($L$3,FALSE,IF(E199="",FALSE,COUNTIF(入力シート!$AH$37:$AK$62,E199)=0)))</f>
        <v>0</v>
      </c>
      <c r="M199" s="211" t="str">
        <f t="shared" si="7"/>
        <v/>
      </c>
      <c r="N199" s="211"/>
      <c r="O199" s="209" t="str">
        <f>IF(B199="","",VLOOKUP('従業員情報(給与以外)'!$B199,入力シート!$S$37:$Z$62,5,0))</f>
        <v/>
      </c>
      <c r="P199" s="156" t="str">
        <f>IF(ISNUMBER(C199)=FALSE,"",IF(C199&gt;入力シート!$J$24,"",_xlfn.DAYS(入力シート!$J$24,'従業員情報(給与以外)'!$C199)/365))</f>
        <v/>
      </c>
      <c r="Q199" s="210" t="str">
        <f>IF(P199="","",VLOOKUP(_xlfn.DAYS(入力シート!$J$24,'従業員情報(給与以外)'!$C199)/365,入力リスト!$K$18:$L$26,2,2))</f>
        <v/>
      </c>
      <c r="R199" s="209" t="str">
        <f>IF(D199="","",VLOOKUP('従業員情報(給与以外)'!$D199,入力シート!$AW$37:$BB$38,4,0))</f>
        <v/>
      </c>
      <c r="S199" s="209" t="str">
        <f>IF(A199="","",IF(E199="","非役職",VLOOKUP('従業員情報(給与以外)'!$E199,入力シート!$AH$37:$AO$62,5,0)))</f>
        <v/>
      </c>
      <c r="T199" s="102" t="str">
        <f>IF(OR(入力シート!$C$5&lt;&gt;入力リスト!$C$3,COUNTIF(入力シート!$J$16:$S$23,入力リスト!$H$9)=0),"",IF($A199="","",IF(ISERROR(AVERAGEIF(従業員の給与情報!$B:$B,$A199,従業員の給与情報!$C:$C)),0,IF(ISERROR(AVERAGEIF(従業員の給与情報!$B:$B,$A199,従業員の給与情報!$C:$C)),0,AVERAGEIF(従業員の給与情報!$B:$B,$A199,従業員の給与情報!$C:$C)))))</f>
        <v/>
      </c>
      <c r="U199" s="102" t="str">
        <f>IF(OR(入力シート!$C$5&lt;&gt;入力リスト!$C$3,COUNTIF(入力シート!$J$16:$S$23,入力リスト!$H$9)=0),"",IF(A199="","",IF(ISERROR(AVERAGEIF(従業員の給与情報!$B:$B,$A199,従業員の給与情報!$D:$D)),0,IF(ISERROR(AVERAGEIF(従業員の給与情報!$B:$B,$A199,従業員の給与情報!$D:$D)),0,AVERAGEIF(従業員の給与情報!$B:$B,$A199,従業員の給与情報!$D:$D)))))</f>
        <v/>
      </c>
      <c r="V199" s="102" t="str">
        <f>IF(OR(入力シート!$C$5&lt;&gt;入力リスト!$C$3,COUNTIF(入力シート!$J$16:$S$23,入力リスト!$H$9)=0),"",IF(A199="","",IF(ISERROR(AVERAGEIF(従業員の給与情報!$B:$B,$A199,従業員の給与情報!$E:$E)),0,IF(ISERROR(AVERAGEIF(従業員の給与情報!$B:$B,$A199,従業員の給与情報!$E:$E)),0,AVERAGEIF(従業員の給与情報!$B:$B,$A199,従業員の給与情報!$E:$E)))))</f>
        <v/>
      </c>
      <c r="W199" s="103" t="str">
        <f>IF(OR(入力シート!$C$5&lt;&gt;入力リスト!$C$3,COUNTIF(入力シート!$J$16:$S$23,入力リスト!$H$9)=0),"",IF(A199="","",IF(ISERROR(AVERAGEIF(従業員の給与情報!$B:$B,$A199,従業員の給与情報!$F:$F)),0,IF(ISERROR(AVERAGEIF(従業員の給与情報!$B:$B,$A199,従業員の給与情報!$F:$F)),0,AVERAGEIF(従業員の給与情報!$B:$B,$A199,従業員の給与情報!$F:$F)))))</f>
        <v/>
      </c>
    </row>
    <row r="200" spans="1:23" s="10" customFormat="1" ht="19.8">
      <c r="A200" s="251"/>
      <c r="B200" s="251"/>
      <c r="C200" s="250"/>
      <c r="D200" s="251"/>
      <c r="E200" s="251"/>
      <c r="F200" s="257" t="str">
        <f>IF($G$1,"",IF(COUNTIF(A200:E200,"")=5,"",IF(G200,入力リスト!$K$28,IF(OR(A200="",B200="",IF(COUNTIF($C$3,"*不要*"),"",C200=""),D200=""),IF(A200="","従業員番号","")&amp;IF(B200="","「雇用形態」","")&amp;IF(OR(入力シート!$J$18=入力リスト!$H$9,入力シート!$J$22=入力リスト!$H$9),IF(C200="","「入社年月日」",""),"")&amp;IF(D200="","「性別」","")&amp;IF(IF(A200="","従業員番号","")&amp;IF(B200="","「雇用形態」","")&amp;IF(OR(入力シート!$J$18=入力リスト!$H$9,入力シート!$J$22=入力リスト!$H$9),IF(C200="","「入社年月日」",""),"")&amp;IF(D200="","「性別」","")="","",入力リスト!$K$29),IF(J200,入力リスト!$K$30,"")&amp;IF(I200,入力リスト!$K$31,"")&amp;IF(H200,"「雇用形態」","")&amp;IF(K200,"「性別」","")&amp;IF(L200,"「役職」","")&amp;IF(OR(H200,K200,L200),入力リスト!$K$32,"")))))</f>
        <v/>
      </c>
      <c r="G200" s="209" t="b">
        <f>COUNTIF($A$4:A199,$A200)&gt;0</f>
        <v>0</v>
      </c>
      <c r="H200" s="210" t="b">
        <f>IF($H$1,FALSE,COUNTIF(入力シート!$S$37:$V$62,B200)=0)</f>
        <v>0</v>
      </c>
      <c r="I200" s="210" t="b">
        <f t="shared" si="8"/>
        <v>0</v>
      </c>
      <c r="J200" s="210" t="b">
        <f>IF($J$1,FALSE,IF(I200=TRUE,FALSE,IF(I200,FALSE,C200&gt;入力シート!$J$24)))</f>
        <v>0</v>
      </c>
      <c r="K200" s="210" t="b">
        <f>IF($K$1,FALSE,COUNTIF(入力シート!$AW$37:$BB$38,D200)=0)</f>
        <v>0</v>
      </c>
      <c r="L200" s="210" t="b">
        <f>IF($L$1,FALSE,IF($L$3,FALSE,IF(E200="",FALSE,COUNTIF(入力シート!$AH$37:$AK$62,E200)=0)))</f>
        <v>0</v>
      </c>
      <c r="M200" s="211" t="str">
        <f t="shared" si="7"/>
        <v/>
      </c>
      <c r="N200" s="211"/>
      <c r="O200" s="209" t="str">
        <f>IF(B200="","",VLOOKUP('従業員情報(給与以外)'!$B200,入力シート!$S$37:$Z$62,5,0))</f>
        <v/>
      </c>
      <c r="P200" s="156" t="str">
        <f>IF(ISNUMBER(C200)=FALSE,"",IF(C200&gt;入力シート!$J$24,"",_xlfn.DAYS(入力シート!$J$24,'従業員情報(給与以外)'!$C200)/365))</f>
        <v/>
      </c>
      <c r="Q200" s="210" t="str">
        <f>IF(P200="","",VLOOKUP(_xlfn.DAYS(入力シート!$J$24,'従業員情報(給与以外)'!$C200)/365,入力リスト!$K$18:$L$26,2,2))</f>
        <v/>
      </c>
      <c r="R200" s="209" t="str">
        <f>IF(D200="","",VLOOKUP('従業員情報(給与以外)'!$D200,入力シート!$AW$37:$BB$38,4,0))</f>
        <v/>
      </c>
      <c r="S200" s="209" t="str">
        <f>IF(A200="","",IF(E200="","非役職",VLOOKUP('従業員情報(給与以外)'!$E200,入力シート!$AH$37:$AO$62,5,0)))</f>
        <v/>
      </c>
      <c r="T200" s="102" t="str">
        <f>IF(OR(入力シート!$C$5&lt;&gt;入力リスト!$C$3,COUNTIF(入力シート!$J$16:$S$23,入力リスト!$H$9)=0),"",IF($A200="","",IF(ISERROR(AVERAGEIF(従業員の給与情報!$B:$B,$A200,従業員の給与情報!$C:$C)),0,IF(ISERROR(AVERAGEIF(従業員の給与情報!$B:$B,$A200,従業員の給与情報!$C:$C)),0,AVERAGEIF(従業員の給与情報!$B:$B,$A200,従業員の給与情報!$C:$C)))))</f>
        <v/>
      </c>
      <c r="U200" s="102" t="str">
        <f>IF(OR(入力シート!$C$5&lt;&gt;入力リスト!$C$3,COUNTIF(入力シート!$J$16:$S$23,入力リスト!$H$9)=0),"",IF(A200="","",IF(ISERROR(AVERAGEIF(従業員の給与情報!$B:$B,$A200,従業員の給与情報!$D:$D)),0,IF(ISERROR(AVERAGEIF(従業員の給与情報!$B:$B,$A200,従業員の給与情報!$D:$D)),0,AVERAGEIF(従業員の給与情報!$B:$B,$A200,従業員の給与情報!$D:$D)))))</f>
        <v/>
      </c>
      <c r="V200" s="102" t="str">
        <f>IF(OR(入力シート!$C$5&lt;&gt;入力リスト!$C$3,COUNTIF(入力シート!$J$16:$S$23,入力リスト!$H$9)=0),"",IF(A200="","",IF(ISERROR(AVERAGEIF(従業員の給与情報!$B:$B,$A200,従業員の給与情報!$E:$E)),0,IF(ISERROR(AVERAGEIF(従業員の給与情報!$B:$B,$A200,従業員の給与情報!$E:$E)),0,AVERAGEIF(従業員の給与情報!$B:$B,$A200,従業員の給与情報!$E:$E)))))</f>
        <v/>
      </c>
      <c r="W200" s="103" t="str">
        <f>IF(OR(入力シート!$C$5&lt;&gt;入力リスト!$C$3,COUNTIF(入力シート!$J$16:$S$23,入力リスト!$H$9)=0),"",IF(A200="","",IF(ISERROR(AVERAGEIF(従業員の給与情報!$B:$B,$A200,従業員の給与情報!$F:$F)),0,IF(ISERROR(AVERAGEIF(従業員の給与情報!$B:$B,$A200,従業員の給与情報!$F:$F)),0,AVERAGEIF(従業員の給与情報!$B:$B,$A200,従業員の給与情報!$F:$F)))))</f>
        <v/>
      </c>
    </row>
    <row r="201" spans="1:23" s="10" customFormat="1" ht="19.8">
      <c r="A201" s="251"/>
      <c r="B201" s="251"/>
      <c r="C201" s="250"/>
      <c r="D201" s="251"/>
      <c r="E201" s="251"/>
      <c r="F201" s="257" t="str">
        <f>IF($G$1,"",IF(COUNTIF(A201:E201,"")=5,"",IF(G201,入力リスト!$K$28,IF(OR(A201="",B201="",IF(COUNTIF($C$3,"*不要*"),"",C201=""),D201=""),IF(A201="","従業員番号","")&amp;IF(B201="","「雇用形態」","")&amp;IF(OR(入力シート!$J$18=入力リスト!$H$9,入力シート!$J$22=入力リスト!$H$9),IF(C201="","「入社年月日」",""),"")&amp;IF(D201="","「性別」","")&amp;IF(IF(A201="","従業員番号","")&amp;IF(B201="","「雇用形態」","")&amp;IF(OR(入力シート!$J$18=入力リスト!$H$9,入力シート!$J$22=入力リスト!$H$9),IF(C201="","「入社年月日」",""),"")&amp;IF(D201="","「性別」","")="","",入力リスト!$K$29),IF(J201,入力リスト!$K$30,"")&amp;IF(I201,入力リスト!$K$31,"")&amp;IF(H201,"「雇用形態」","")&amp;IF(K201,"「性別」","")&amp;IF(L201,"「役職」","")&amp;IF(OR(H201,K201,L201),入力リスト!$K$32,"")))))</f>
        <v/>
      </c>
      <c r="G201" s="209" t="b">
        <f>COUNTIF($A$4:A200,$A201)&gt;0</f>
        <v>0</v>
      </c>
      <c r="H201" s="210" t="b">
        <f>IF($H$1,FALSE,COUNTIF(入力シート!$S$37:$V$62,B201)=0)</f>
        <v>0</v>
      </c>
      <c r="I201" s="210" t="b">
        <f t="shared" si="8"/>
        <v>0</v>
      </c>
      <c r="J201" s="210" t="b">
        <f>IF($J$1,FALSE,IF(I201=TRUE,FALSE,IF(I201,FALSE,C201&gt;入力シート!$J$24)))</f>
        <v>0</v>
      </c>
      <c r="K201" s="210" t="b">
        <f>IF($K$1,FALSE,COUNTIF(入力シート!$AW$37:$BB$38,D201)=0)</f>
        <v>0</v>
      </c>
      <c r="L201" s="210" t="b">
        <f>IF($L$1,FALSE,IF($L$3,FALSE,IF(E201="",FALSE,COUNTIF(入力シート!$AH$37:$AK$62,E201)=0)))</f>
        <v>0</v>
      </c>
      <c r="M201" s="211" t="str">
        <f t="shared" si="7"/>
        <v/>
      </c>
      <c r="N201" s="211"/>
      <c r="O201" s="209" t="str">
        <f>IF(B201="","",VLOOKUP('従業員情報(給与以外)'!$B201,入力シート!$S$37:$Z$62,5,0))</f>
        <v/>
      </c>
      <c r="P201" s="156" t="str">
        <f>IF(ISNUMBER(C201)=FALSE,"",IF(C201&gt;入力シート!$J$24,"",_xlfn.DAYS(入力シート!$J$24,'従業員情報(給与以外)'!$C201)/365))</f>
        <v/>
      </c>
      <c r="Q201" s="210" t="str">
        <f>IF(P201="","",VLOOKUP(_xlfn.DAYS(入力シート!$J$24,'従業員情報(給与以外)'!$C201)/365,入力リスト!$K$18:$L$26,2,2))</f>
        <v/>
      </c>
      <c r="R201" s="209" t="str">
        <f>IF(D201="","",VLOOKUP('従業員情報(給与以外)'!$D201,入力シート!$AW$37:$BB$38,4,0))</f>
        <v/>
      </c>
      <c r="S201" s="209" t="str">
        <f>IF(A201="","",IF(E201="","非役職",VLOOKUP('従業員情報(給与以外)'!$E201,入力シート!$AH$37:$AO$62,5,0)))</f>
        <v/>
      </c>
      <c r="T201" s="102" t="str">
        <f>IF(OR(入力シート!$C$5&lt;&gt;入力リスト!$C$3,COUNTIF(入力シート!$J$16:$S$23,入力リスト!$H$9)=0),"",IF($A201="","",IF(ISERROR(AVERAGEIF(従業員の給与情報!$B:$B,$A201,従業員の給与情報!$C:$C)),0,IF(ISERROR(AVERAGEIF(従業員の給与情報!$B:$B,$A201,従業員の給与情報!$C:$C)),0,AVERAGEIF(従業員の給与情報!$B:$B,$A201,従業員の給与情報!$C:$C)))))</f>
        <v/>
      </c>
      <c r="U201" s="102" t="str">
        <f>IF(OR(入力シート!$C$5&lt;&gt;入力リスト!$C$3,COUNTIF(入力シート!$J$16:$S$23,入力リスト!$H$9)=0),"",IF(A201="","",IF(ISERROR(AVERAGEIF(従業員の給与情報!$B:$B,$A201,従業員の給与情報!$D:$D)),0,IF(ISERROR(AVERAGEIF(従業員の給与情報!$B:$B,$A201,従業員の給与情報!$D:$D)),0,AVERAGEIF(従業員の給与情報!$B:$B,$A201,従業員の給与情報!$D:$D)))))</f>
        <v/>
      </c>
      <c r="V201" s="102" t="str">
        <f>IF(OR(入力シート!$C$5&lt;&gt;入力リスト!$C$3,COUNTIF(入力シート!$J$16:$S$23,入力リスト!$H$9)=0),"",IF(A201="","",IF(ISERROR(AVERAGEIF(従業員の給与情報!$B:$B,$A201,従業員の給与情報!$E:$E)),0,IF(ISERROR(AVERAGEIF(従業員の給与情報!$B:$B,$A201,従業員の給与情報!$E:$E)),0,AVERAGEIF(従業員の給与情報!$B:$B,$A201,従業員の給与情報!$E:$E)))))</f>
        <v/>
      </c>
      <c r="W201" s="103" t="str">
        <f>IF(OR(入力シート!$C$5&lt;&gt;入力リスト!$C$3,COUNTIF(入力シート!$J$16:$S$23,入力リスト!$H$9)=0),"",IF(A201="","",IF(ISERROR(AVERAGEIF(従業員の給与情報!$B:$B,$A201,従業員の給与情報!$F:$F)),0,IF(ISERROR(AVERAGEIF(従業員の給与情報!$B:$B,$A201,従業員の給与情報!$F:$F)),0,AVERAGEIF(従業員の給与情報!$B:$B,$A201,従業員の給与情報!$F:$F)))))</f>
        <v/>
      </c>
    </row>
    <row r="202" spans="1:23" s="10" customFormat="1" ht="19.8">
      <c r="A202" s="251"/>
      <c r="B202" s="251"/>
      <c r="C202" s="250"/>
      <c r="D202" s="251"/>
      <c r="E202" s="251"/>
      <c r="F202" s="257" t="str">
        <f>IF($G$1,"",IF(COUNTIF(A202:E202,"")=5,"",IF(G202,入力リスト!$K$28,IF(OR(A202="",B202="",IF(COUNTIF($C$3,"*不要*"),"",C202=""),D202=""),IF(A202="","従業員番号","")&amp;IF(B202="","「雇用形態」","")&amp;IF(OR(入力シート!$J$18=入力リスト!$H$9,入力シート!$J$22=入力リスト!$H$9),IF(C202="","「入社年月日」",""),"")&amp;IF(D202="","「性別」","")&amp;IF(IF(A202="","従業員番号","")&amp;IF(B202="","「雇用形態」","")&amp;IF(OR(入力シート!$J$18=入力リスト!$H$9,入力シート!$J$22=入力リスト!$H$9),IF(C202="","「入社年月日」",""),"")&amp;IF(D202="","「性別」","")="","",入力リスト!$K$29),IF(J202,入力リスト!$K$30,"")&amp;IF(I202,入力リスト!$K$31,"")&amp;IF(H202,"「雇用形態」","")&amp;IF(K202,"「性別」","")&amp;IF(L202,"「役職」","")&amp;IF(OR(H202,K202,L202),入力リスト!$K$32,"")))))</f>
        <v/>
      </c>
      <c r="G202" s="209" t="b">
        <f>COUNTIF($A$4:A201,$A202)&gt;0</f>
        <v>0</v>
      </c>
      <c r="H202" s="210" t="b">
        <f>IF($H$1,FALSE,COUNTIF(入力シート!$S$37:$V$62,B202)=0)</f>
        <v>0</v>
      </c>
      <c r="I202" s="210" t="b">
        <f t="shared" si="8"/>
        <v>0</v>
      </c>
      <c r="J202" s="210" t="b">
        <f>IF($J$1,FALSE,IF(I202=TRUE,FALSE,IF(I202,FALSE,C202&gt;入力シート!$J$24)))</f>
        <v>0</v>
      </c>
      <c r="K202" s="210" t="b">
        <f>IF($K$1,FALSE,COUNTIF(入力シート!$AW$37:$BB$38,D202)=0)</f>
        <v>0</v>
      </c>
      <c r="L202" s="210" t="b">
        <f>IF($L$1,FALSE,IF($L$3,FALSE,IF(E202="",FALSE,COUNTIF(入力シート!$AH$37:$AK$62,E202)=0)))</f>
        <v>0</v>
      </c>
      <c r="M202" s="211" t="str">
        <f t="shared" si="7"/>
        <v/>
      </c>
      <c r="N202" s="211"/>
      <c r="O202" s="209" t="str">
        <f>IF(B202="","",VLOOKUP('従業員情報(給与以外)'!$B202,入力シート!$S$37:$Z$62,5,0))</f>
        <v/>
      </c>
      <c r="P202" s="156" t="str">
        <f>IF(ISNUMBER(C202)=FALSE,"",IF(C202&gt;入力シート!$J$24,"",_xlfn.DAYS(入力シート!$J$24,'従業員情報(給与以外)'!$C202)/365))</f>
        <v/>
      </c>
      <c r="Q202" s="210" t="str">
        <f>IF(P202="","",VLOOKUP(_xlfn.DAYS(入力シート!$J$24,'従業員情報(給与以外)'!$C202)/365,入力リスト!$K$18:$L$26,2,2))</f>
        <v/>
      </c>
      <c r="R202" s="209" t="str">
        <f>IF(D202="","",VLOOKUP('従業員情報(給与以外)'!$D202,入力シート!$AW$37:$BB$38,4,0))</f>
        <v/>
      </c>
      <c r="S202" s="209" t="str">
        <f>IF(A202="","",IF(E202="","非役職",VLOOKUP('従業員情報(給与以外)'!$E202,入力シート!$AH$37:$AO$62,5,0)))</f>
        <v/>
      </c>
      <c r="T202" s="102" t="str">
        <f>IF(OR(入力シート!$C$5&lt;&gt;入力リスト!$C$3,COUNTIF(入力シート!$J$16:$S$23,入力リスト!$H$9)=0),"",IF($A202="","",IF(ISERROR(AVERAGEIF(従業員の給与情報!$B:$B,$A202,従業員の給与情報!$C:$C)),0,IF(ISERROR(AVERAGEIF(従業員の給与情報!$B:$B,$A202,従業員の給与情報!$C:$C)),0,AVERAGEIF(従業員の給与情報!$B:$B,$A202,従業員の給与情報!$C:$C)))))</f>
        <v/>
      </c>
      <c r="U202" s="102" t="str">
        <f>IF(OR(入力シート!$C$5&lt;&gt;入力リスト!$C$3,COUNTIF(入力シート!$J$16:$S$23,入力リスト!$H$9)=0),"",IF(A202="","",IF(ISERROR(AVERAGEIF(従業員の給与情報!$B:$B,$A202,従業員の給与情報!$D:$D)),0,IF(ISERROR(AVERAGEIF(従業員の給与情報!$B:$B,$A202,従業員の給与情報!$D:$D)),0,AVERAGEIF(従業員の給与情報!$B:$B,$A202,従業員の給与情報!$D:$D)))))</f>
        <v/>
      </c>
      <c r="V202" s="102" t="str">
        <f>IF(OR(入力シート!$C$5&lt;&gt;入力リスト!$C$3,COUNTIF(入力シート!$J$16:$S$23,入力リスト!$H$9)=0),"",IF(A202="","",IF(ISERROR(AVERAGEIF(従業員の給与情報!$B:$B,$A202,従業員の給与情報!$E:$E)),0,IF(ISERROR(AVERAGEIF(従業員の給与情報!$B:$B,$A202,従業員の給与情報!$E:$E)),0,AVERAGEIF(従業員の給与情報!$B:$B,$A202,従業員の給与情報!$E:$E)))))</f>
        <v/>
      </c>
      <c r="W202" s="103" t="str">
        <f>IF(OR(入力シート!$C$5&lt;&gt;入力リスト!$C$3,COUNTIF(入力シート!$J$16:$S$23,入力リスト!$H$9)=0),"",IF(A202="","",IF(ISERROR(AVERAGEIF(従業員の給与情報!$B:$B,$A202,従業員の給与情報!$F:$F)),0,IF(ISERROR(AVERAGEIF(従業員の給与情報!$B:$B,$A202,従業員の給与情報!$F:$F)),0,AVERAGEIF(従業員の給与情報!$B:$B,$A202,従業員の給与情報!$F:$F)))))</f>
        <v/>
      </c>
    </row>
    <row r="203" spans="1:23" s="10" customFormat="1" ht="19.8">
      <c r="A203" s="251"/>
      <c r="B203" s="251"/>
      <c r="C203" s="250"/>
      <c r="D203" s="251"/>
      <c r="E203" s="251"/>
      <c r="F203" s="257" t="str">
        <f>IF($G$1,"",IF(COUNTIF(A203:E203,"")=5,"",IF(G203,入力リスト!$K$28,IF(OR(A203="",B203="",IF(COUNTIF($C$3,"*不要*"),"",C203=""),D203=""),IF(A203="","従業員番号","")&amp;IF(B203="","「雇用形態」","")&amp;IF(OR(入力シート!$J$18=入力リスト!$H$9,入力シート!$J$22=入力リスト!$H$9),IF(C203="","「入社年月日」",""),"")&amp;IF(D203="","「性別」","")&amp;IF(IF(A203="","従業員番号","")&amp;IF(B203="","「雇用形態」","")&amp;IF(OR(入力シート!$J$18=入力リスト!$H$9,入力シート!$J$22=入力リスト!$H$9),IF(C203="","「入社年月日」",""),"")&amp;IF(D203="","「性別」","")="","",入力リスト!$K$29),IF(J203,入力リスト!$K$30,"")&amp;IF(I203,入力リスト!$K$31,"")&amp;IF(H203,"「雇用形態」","")&amp;IF(K203,"「性別」","")&amp;IF(L203,"「役職」","")&amp;IF(OR(H203,K203,L203),入力リスト!$K$32,"")))))</f>
        <v/>
      </c>
      <c r="G203" s="209" t="b">
        <f>COUNTIF($A$4:A202,$A203)&gt;0</f>
        <v>0</v>
      </c>
      <c r="H203" s="210" t="b">
        <f>IF($H$1,FALSE,COUNTIF(入力シート!$S$37:$V$62,B203)=0)</f>
        <v>0</v>
      </c>
      <c r="I203" s="210" t="b">
        <f t="shared" si="8"/>
        <v>0</v>
      </c>
      <c r="J203" s="210" t="b">
        <f>IF($J$1,FALSE,IF(I203=TRUE,FALSE,IF(I203,FALSE,C203&gt;入力シート!$J$24)))</f>
        <v>0</v>
      </c>
      <c r="K203" s="210" t="b">
        <f>IF($K$1,FALSE,COUNTIF(入力シート!$AW$37:$BB$38,D203)=0)</f>
        <v>0</v>
      </c>
      <c r="L203" s="210" t="b">
        <f>IF($L$1,FALSE,IF($L$3,FALSE,IF(E203="",FALSE,COUNTIF(入力シート!$AH$37:$AK$62,E203)=0)))</f>
        <v>0</v>
      </c>
      <c r="M203" s="211" t="str">
        <f t="shared" si="7"/>
        <v/>
      </c>
      <c r="N203" s="211"/>
      <c r="O203" s="209" t="str">
        <f>IF(B203="","",VLOOKUP('従業員情報(給与以外)'!$B203,入力シート!$S$37:$Z$62,5,0))</f>
        <v/>
      </c>
      <c r="P203" s="156" t="str">
        <f>IF(ISNUMBER(C203)=FALSE,"",IF(C203&gt;入力シート!$J$24,"",_xlfn.DAYS(入力シート!$J$24,'従業員情報(給与以外)'!$C203)/365))</f>
        <v/>
      </c>
      <c r="Q203" s="210" t="str">
        <f>IF(P203="","",VLOOKUP(_xlfn.DAYS(入力シート!$J$24,'従業員情報(給与以外)'!$C203)/365,入力リスト!$K$18:$L$26,2,2))</f>
        <v/>
      </c>
      <c r="R203" s="209" t="str">
        <f>IF(D203="","",VLOOKUP('従業員情報(給与以外)'!$D203,入力シート!$AW$37:$BB$38,4,0))</f>
        <v/>
      </c>
      <c r="S203" s="209" t="str">
        <f>IF(A203="","",IF(E203="","非役職",VLOOKUP('従業員情報(給与以外)'!$E203,入力シート!$AH$37:$AO$62,5,0)))</f>
        <v/>
      </c>
      <c r="T203" s="102" t="str">
        <f>IF(OR(入力シート!$C$5&lt;&gt;入力リスト!$C$3,COUNTIF(入力シート!$J$16:$S$23,入力リスト!$H$9)=0),"",IF($A203="","",IF(ISERROR(AVERAGEIF(従業員の給与情報!$B:$B,$A203,従業員の給与情報!$C:$C)),0,IF(ISERROR(AVERAGEIF(従業員の給与情報!$B:$B,$A203,従業員の給与情報!$C:$C)),0,AVERAGEIF(従業員の給与情報!$B:$B,$A203,従業員の給与情報!$C:$C)))))</f>
        <v/>
      </c>
      <c r="U203" s="102" t="str">
        <f>IF(OR(入力シート!$C$5&lt;&gt;入力リスト!$C$3,COUNTIF(入力シート!$J$16:$S$23,入力リスト!$H$9)=0),"",IF(A203="","",IF(ISERROR(AVERAGEIF(従業員の給与情報!$B:$B,$A203,従業員の給与情報!$D:$D)),0,IF(ISERROR(AVERAGEIF(従業員の給与情報!$B:$B,$A203,従業員の給与情報!$D:$D)),0,AVERAGEIF(従業員の給与情報!$B:$B,$A203,従業員の給与情報!$D:$D)))))</f>
        <v/>
      </c>
      <c r="V203" s="102" t="str">
        <f>IF(OR(入力シート!$C$5&lt;&gt;入力リスト!$C$3,COUNTIF(入力シート!$J$16:$S$23,入力リスト!$H$9)=0),"",IF(A203="","",IF(ISERROR(AVERAGEIF(従業員の給与情報!$B:$B,$A203,従業員の給与情報!$E:$E)),0,IF(ISERROR(AVERAGEIF(従業員の給与情報!$B:$B,$A203,従業員の給与情報!$E:$E)),0,AVERAGEIF(従業員の給与情報!$B:$B,$A203,従業員の給与情報!$E:$E)))))</f>
        <v/>
      </c>
      <c r="W203" s="103" t="str">
        <f>IF(OR(入力シート!$C$5&lt;&gt;入力リスト!$C$3,COUNTIF(入力シート!$J$16:$S$23,入力リスト!$H$9)=0),"",IF(A203="","",IF(ISERROR(AVERAGEIF(従業員の給与情報!$B:$B,$A203,従業員の給与情報!$F:$F)),0,IF(ISERROR(AVERAGEIF(従業員の給与情報!$B:$B,$A203,従業員の給与情報!$F:$F)),0,AVERAGEIF(従業員の給与情報!$B:$B,$A203,従業員の給与情報!$F:$F)))))</f>
        <v/>
      </c>
    </row>
    <row r="204" spans="1:23" s="10" customFormat="1" ht="19.8">
      <c r="A204" s="251"/>
      <c r="B204" s="251"/>
      <c r="C204" s="250"/>
      <c r="D204" s="251"/>
      <c r="E204" s="251"/>
      <c r="F204" s="257" t="str">
        <f>IF($G$1,"",IF(COUNTIF(A204:E204,"")=5,"",IF(G204,入力リスト!$K$28,IF(OR(A204="",B204="",IF(COUNTIF($C$3,"*不要*"),"",C204=""),D204=""),IF(A204="","従業員番号","")&amp;IF(B204="","「雇用形態」","")&amp;IF(OR(入力シート!$J$18=入力リスト!$H$9,入力シート!$J$22=入力リスト!$H$9),IF(C204="","「入社年月日」",""),"")&amp;IF(D204="","「性別」","")&amp;IF(IF(A204="","従業員番号","")&amp;IF(B204="","「雇用形態」","")&amp;IF(OR(入力シート!$J$18=入力リスト!$H$9,入力シート!$J$22=入力リスト!$H$9),IF(C204="","「入社年月日」",""),"")&amp;IF(D204="","「性別」","")="","",入力リスト!$K$29),IF(J204,入力リスト!$K$30,"")&amp;IF(I204,入力リスト!$K$31,"")&amp;IF(H204,"「雇用形態」","")&amp;IF(K204,"「性別」","")&amp;IF(L204,"「役職」","")&amp;IF(OR(H204,K204,L204),入力リスト!$K$32,"")))))</f>
        <v/>
      </c>
      <c r="G204" s="209" t="b">
        <f>COUNTIF($A$4:A203,$A204)&gt;0</f>
        <v>0</v>
      </c>
      <c r="H204" s="210" t="b">
        <f>IF($H$1,FALSE,COUNTIF(入力シート!$S$37:$V$62,B204)=0)</f>
        <v>0</v>
      </c>
      <c r="I204" s="210" t="b">
        <f t="shared" si="8"/>
        <v>0</v>
      </c>
      <c r="J204" s="210" t="b">
        <f>IF($J$1,FALSE,IF(I204=TRUE,FALSE,IF(I204,FALSE,C204&gt;入力シート!$J$24)))</f>
        <v>0</v>
      </c>
      <c r="K204" s="210" t="b">
        <f>IF($K$1,FALSE,COUNTIF(入力シート!$AW$37:$BB$38,D204)=0)</f>
        <v>0</v>
      </c>
      <c r="L204" s="210" t="b">
        <f>IF($L$1,FALSE,IF($L$3,FALSE,IF(E204="",FALSE,COUNTIF(入力シート!$AH$37:$AK$62,E204)=0)))</f>
        <v>0</v>
      </c>
      <c r="M204" s="211" t="str">
        <f t="shared" si="7"/>
        <v/>
      </c>
      <c r="N204" s="211"/>
      <c r="O204" s="209" t="str">
        <f>IF(B204="","",VLOOKUP('従業員情報(給与以外)'!$B204,入力シート!$S$37:$Z$62,5,0))</f>
        <v/>
      </c>
      <c r="P204" s="156" t="str">
        <f>IF(ISNUMBER(C204)=FALSE,"",IF(C204&gt;入力シート!$J$24,"",_xlfn.DAYS(入力シート!$J$24,'従業員情報(給与以外)'!$C204)/365))</f>
        <v/>
      </c>
      <c r="Q204" s="210" t="str">
        <f>IF(P204="","",VLOOKUP(_xlfn.DAYS(入力シート!$J$24,'従業員情報(給与以外)'!$C204)/365,入力リスト!$K$18:$L$26,2,2))</f>
        <v/>
      </c>
      <c r="R204" s="209" t="str">
        <f>IF(D204="","",VLOOKUP('従業員情報(給与以外)'!$D204,入力シート!$AW$37:$BB$38,4,0))</f>
        <v/>
      </c>
      <c r="S204" s="209" t="str">
        <f>IF(A204="","",IF(E204="","非役職",VLOOKUP('従業員情報(給与以外)'!$E204,入力シート!$AH$37:$AO$62,5,0)))</f>
        <v/>
      </c>
      <c r="T204" s="102" t="str">
        <f>IF(OR(入力シート!$C$5&lt;&gt;入力リスト!$C$3,COUNTIF(入力シート!$J$16:$S$23,入力リスト!$H$9)=0),"",IF($A204="","",IF(ISERROR(AVERAGEIF(従業員の給与情報!$B:$B,$A204,従業員の給与情報!$C:$C)),0,IF(ISERROR(AVERAGEIF(従業員の給与情報!$B:$B,$A204,従業員の給与情報!$C:$C)),0,AVERAGEIF(従業員の給与情報!$B:$B,$A204,従業員の給与情報!$C:$C)))))</f>
        <v/>
      </c>
      <c r="U204" s="102" t="str">
        <f>IF(OR(入力シート!$C$5&lt;&gt;入力リスト!$C$3,COUNTIF(入力シート!$J$16:$S$23,入力リスト!$H$9)=0),"",IF(A204="","",IF(ISERROR(AVERAGEIF(従業員の給与情報!$B:$B,$A204,従業員の給与情報!$D:$D)),0,IF(ISERROR(AVERAGEIF(従業員の給与情報!$B:$B,$A204,従業員の給与情報!$D:$D)),0,AVERAGEIF(従業員の給与情報!$B:$B,$A204,従業員の給与情報!$D:$D)))))</f>
        <v/>
      </c>
      <c r="V204" s="102" t="str">
        <f>IF(OR(入力シート!$C$5&lt;&gt;入力リスト!$C$3,COUNTIF(入力シート!$J$16:$S$23,入力リスト!$H$9)=0),"",IF(A204="","",IF(ISERROR(AVERAGEIF(従業員の給与情報!$B:$B,$A204,従業員の給与情報!$E:$E)),0,IF(ISERROR(AVERAGEIF(従業員の給与情報!$B:$B,$A204,従業員の給与情報!$E:$E)),0,AVERAGEIF(従業員の給与情報!$B:$B,$A204,従業員の給与情報!$E:$E)))))</f>
        <v/>
      </c>
      <c r="W204" s="103" t="str">
        <f>IF(OR(入力シート!$C$5&lt;&gt;入力リスト!$C$3,COUNTIF(入力シート!$J$16:$S$23,入力リスト!$H$9)=0),"",IF(A204="","",IF(ISERROR(AVERAGEIF(従業員の給与情報!$B:$B,$A204,従業員の給与情報!$F:$F)),0,IF(ISERROR(AVERAGEIF(従業員の給与情報!$B:$B,$A204,従業員の給与情報!$F:$F)),0,AVERAGEIF(従業員の給与情報!$B:$B,$A204,従業員の給与情報!$F:$F)))))</f>
        <v/>
      </c>
    </row>
    <row r="205" spans="1:23" s="10" customFormat="1" ht="19.8">
      <c r="A205" s="251"/>
      <c r="B205" s="251"/>
      <c r="C205" s="250"/>
      <c r="D205" s="251"/>
      <c r="E205" s="251"/>
      <c r="F205" s="257" t="str">
        <f>IF($G$1,"",IF(COUNTIF(A205:E205,"")=5,"",IF(G205,入力リスト!$K$28,IF(OR(A205="",B205="",IF(COUNTIF($C$3,"*不要*"),"",C205=""),D205=""),IF(A205="","従業員番号","")&amp;IF(B205="","「雇用形態」","")&amp;IF(OR(入力シート!$J$18=入力リスト!$H$9,入力シート!$J$22=入力リスト!$H$9),IF(C205="","「入社年月日」",""),"")&amp;IF(D205="","「性別」","")&amp;IF(IF(A205="","従業員番号","")&amp;IF(B205="","「雇用形態」","")&amp;IF(OR(入力シート!$J$18=入力リスト!$H$9,入力シート!$J$22=入力リスト!$H$9),IF(C205="","「入社年月日」",""),"")&amp;IF(D205="","「性別」","")="","",入力リスト!$K$29),IF(J205,入力リスト!$K$30,"")&amp;IF(I205,入力リスト!$K$31,"")&amp;IF(H205,"「雇用形態」","")&amp;IF(K205,"「性別」","")&amp;IF(L205,"「役職」","")&amp;IF(OR(H205,K205,L205),入力リスト!$K$32,"")))))</f>
        <v/>
      </c>
      <c r="G205" s="209" t="b">
        <f>COUNTIF($A$4:A204,$A205)&gt;0</f>
        <v>0</v>
      </c>
      <c r="H205" s="210" t="b">
        <f>IF($H$1,FALSE,COUNTIF(入力シート!$S$37:$V$62,B205)=0)</f>
        <v>0</v>
      </c>
      <c r="I205" s="210" t="b">
        <f t="shared" si="8"/>
        <v>0</v>
      </c>
      <c r="J205" s="210" t="b">
        <f>IF($J$1,FALSE,IF(I205=TRUE,FALSE,IF(I205,FALSE,C205&gt;入力シート!$J$24)))</f>
        <v>0</v>
      </c>
      <c r="K205" s="210" t="b">
        <f>IF($K$1,FALSE,COUNTIF(入力シート!$AW$37:$BB$38,D205)=0)</f>
        <v>0</v>
      </c>
      <c r="L205" s="210" t="b">
        <f>IF($L$1,FALSE,IF($L$3,FALSE,IF(E205="",FALSE,COUNTIF(入力シート!$AH$37:$AK$62,E205)=0)))</f>
        <v>0</v>
      </c>
      <c r="M205" s="211" t="str">
        <f t="shared" si="7"/>
        <v/>
      </c>
      <c r="N205" s="211"/>
      <c r="O205" s="209" t="str">
        <f>IF(B205="","",VLOOKUP('従業員情報(給与以外)'!$B205,入力シート!$S$37:$Z$62,5,0))</f>
        <v/>
      </c>
      <c r="P205" s="156" t="str">
        <f>IF(ISNUMBER(C205)=FALSE,"",IF(C205&gt;入力シート!$J$24,"",_xlfn.DAYS(入力シート!$J$24,'従業員情報(給与以外)'!$C205)/365))</f>
        <v/>
      </c>
      <c r="Q205" s="210" t="str">
        <f>IF(P205="","",VLOOKUP(_xlfn.DAYS(入力シート!$J$24,'従業員情報(給与以外)'!$C205)/365,入力リスト!$K$18:$L$26,2,2))</f>
        <v/>
      </c>
      <c r="R205" s="209" t="str">
        <f>IF(D205="","",VLOOKUP('従業員情報(給与以外)'!$D205,入力シート!$AW$37:$BB$38,4,0))</f>
        <v/>
      </c>
      <c r="S205" s="209" t="str">
        <f>IF(A205="","",IF(E205="","非役職",VLOOKUP('従業員情報(給与以外)'!$E205,入力シート!$AH$37:$AO$62,5,0)))</f>
        <v/>
      </c>
      <c r="T205" s="102" t="str">
        <f>IF(OR(入力シート!$C$5&lt;&gt;入力リスト!$C$3,COUNTIF(入力シート!$J$16:$S$23,入力リスト!$H$9)=0),"",IF($A205="","",IF(ISERROR(AVERAGEIF(従業員の給与情報!$B:$B,$A205,従業員の給与情報!$C:$C)),0,IF(ISERROR(AVERAGEIF(従業員の給与情報!$B:$B,$A205,従業員の給与情報!$C:$C)),0,AVERAGEIF(従業員の給与情報!$B:$B,$A205,従業員の給与情報!$C:$C)))))</f>
        <v/>
      </c>
      <c r="U205" s="102" t="str">
        <f>IF(OR(入力シート!$C$5&lt;&gt;入力リスト!$C$3,COUNTIF(入力シート!$J$16:$S$23,入力リスト!$H$9)=0),"",IF(A205="","",IF(ISERROR(AVERAGEIF(従業員の給与情報!$B:$B,$A205,従業員の給与情報!$D:$D)),0,IF(ISERROR(AVERAGEIF(従業員の給与情報!$B:$B,$A205,従業員の給与情報!$D:$D)),0,AVERAGEIF(従業員の給与情報!$B:$B,$A205,従業員の給与情報!$D:$D)))))</f>
        <v/>
      </c>
      <c r="V205" s="102" t="str">
        <f>IF(OR(入力シート!$C$5&lt;&gt;入力リスト!$C$3,COUNTIF(入力シート!$J$16:$S$23,入力リスト!$H$9)=0),"",IF(A205="","",IF(ISERROR(AVERAGEIF(従業員の給与情報!$B:$B,$A205,従業員の給与情報!$E:$E)),0,IF(ISERROR(AVERAGEIF(従業員の給与情報!$B:$B,$A205,従業員の給与情報!$E:$E)),0,AVERAGEIF(従業員の給与情報!$B:$B,$A205,従業員の給与情報!$E:$E)))))</f>
        <v/>
      </c>
      <c r="W205" s="103" t="str">
        <f>IF(OR(入力シート!$C$5&lt;&gt;入力リスト!$C$3,COUNTIF(入力シート!$J$16:$S$23,入力リスト!$H$9)=0),"",IF(A205="","",IF(ISERROR(AVERAGEIF(従業員の給与情報!$B:$B,$A205,従業員の給与情報!$F:$F)),0,IF(ISERROR(AVERAGEIF(従業員の給与情報!$B:$B,$A205,従業員の給与情報!$F:$F)),0,AVERAGEIF(従業員の給与情報!$B:$B,$A205,従業員の給与情報!$F:$F)))))</f>
        <v/>
      </c>
    </row>
    <row r="206" spans="1:23" s="10" customFormat="1" ht="19.8">
      <c r="A206" s="251"/>
      <c r="B206" s="251"/>
      <c r="C206" s="250"/>
      <c r="D206" s="251"/>
      <c r="E206" s="251"/>
      <c r="F206" s="257" t="str">
        <f>IF($G$1,"",IF(COUNTIF(A206:E206,"")=5,"",IF(G206,入力リスト!$K$28,IF(OR(A206="",B206="",IF(COUNTIF($C$3,"*不要*"),"",C206=""),D206=""),IF(A206="","従業員番号","")&amp;IF(B206="","「雇用形態」","")&amp;IF(OR(入力シート!$J$18=入力リスト!$H$9,入力シート!$J$22=入力リスト!$H$9),IF(C206="","「入社年月日」",""),"")&amp;IF(D206="","「性別」","")&amp;IF(IF(A206="","従業員番号","")&amp;IF(B206="","「雇用形態」","")&amp;IF(OR(入力シート!$J$18=入力リスト!$H$9,入力シート!$J$22=入力リスト!$H$9),IF(C206="","「入社年月日」",""),"")&amp;IF(D206="","「性別」","")="","",入力リスト!$K$29),IF(J206,入力リスト!$K$30,"")&amp;IF(I206,入力リスト!$K$31,"")&amp;IF(H206,"「雇用形態」","")&amp;IF(K206,"「性別」","")&amp;IF(L206,"「役職」","")&amp;IF(OR(H206,K206,L206),入力リスト!$K$32,"")))))</f>
        <v/>
      </c>
      <c r="G206" s="209" t="b">
        <f>COUNTIF($A$4:A205,$A206)&gt;0</f>
        <v>0</v>
      </c>
      <c r="H206" s="210" t="b">
        <f>IF($H$1,FALSE,COUNTIF(入力シート!$S$37:$V$62,B206)=0)</f>
        <v>0</v>
      </c>
      <c r="I206" s="210" t="b">
        <f t="shared" si="8"/>
        <v>0</v>
      </c>
      <c r="J206" s="210" t="b">
        <f>IF($J$1,FALSE,IF(I206=TRUE,FALSE,IF(I206,FALSE,C206&gt;入力シート!$J$24)))</f>
        <v>0</v>
      </c>
      <c r="K206" s="210" t="b">
        <f>IF($K$1,FALSE,COUNTIF(入力シート!$AW$37:$BB$38,D206)=0)</f>
        <v>0</v>
      </c>
      <c r="L206" s="210" t="b">
        <f>IF($L$1,FALSE,IF($L$3,FALSE,IF(E206="",FALSE,COUNTIF(入力シート!$AH$37:$AK$62,E206)=0)))</f>
        <v>0</v>
      </c>
      <c r="M206" s="211" t="str">
        <f t="shared" si="7"/>
        <v/>
      </c>
      <c r="N206" s="211"/>
      <c r="O206" s="209" t="str">
        <f>IF(B206="","",VLOOKUP('従業員情報(給与以外)'!$B206,入力シート!$S$37:$Z$62,5,0))</f>
        <v/>
      </c>
      <c r="P206" s="156" t="str">
        <f>IF(ISNUMBER(C206)=FALSE,"",IF(C206&gt;入力シート!$J$24,"",_xlfn.DAYS(入力シート!$J$24,'従業員情報(給与以外)'!$C206)/365))</f>
        <v/>
      </c>
      <c r="Q206" s="210" t="str">
        <f>IF(P206="","",VLOOKUP(_xlfn.DAYS(入力シート!$J$24,'従業員情報(給与以外)'!$C206)/365,入力リスト!$K$18:$L$26,2,2))</f>
        <v/>
      </c>
      <c r="R206" s="209" t="str">
        <f>IF(D206="","",VLOOKUP('従業員情報(給与以外)'!$D206,入力シート!$AW$37:$BB$38,4,0))</f>
        <v/>
      </c>
      <c r="S206" s="209" t="str">
        <f>IF(A206="","",IF(E206="","非役職",VLOOKUP('従業員情報(給与以外)'!$E206,入力シート!$AH$37:$AO$62,5,0)))</f>
        <v/>
      </c>
      <c r="T206" s="102" t="str">
        <f>IF(OR(入力シート!$C$5&lt;&gt;入力リスト!$C$3,COUNTIF(入力シート!$J$16:$S$23,入力リスト!$H$9)=0),"",IF($A206="","",IF(ISERROR(AVERAGEIF(従業員の給与情報!$B:$B,$A206,従業員の給与情報!$C:$C)),0,IF(ISERROR(AVERAGEIF(従業員の給与情報!$B:$B,$A206,従業員の給与情報!$C:$C)),0,AVERAGEIF(従業員の給与情報!$B:$B,$A206,従業員の給与情報!$C:$C)))))</f>
        <v/>
      </c>
      <c r="U206" s="102" t="str">
        <f>IF(OR(入力シート!$C$5&lt;&gt;入力リスト!$C$3,COUNTIF(入力シート!$J$16:$S$23,入力リスト!$H$9)=0),"",IF(A206="","",IF(ISERROR(AVERAGEIF(従業員の給与情報!$B:$B,$A206,従業員の給与情報!$D:$D)),0,IF(ISERROR(AVERAGEIF(従業員の給与情報!$B:$B,$A206,従業員の給与情報!$D:$D)),0,AVERAGEIF(従業員の給与情報!$B:$B,$A206,従業員の給与情報!$D:$D)))))</f>
        <v/>
      </c>
      <c r="V206" s="102" t="str">
        <f>IF(OR(入力シート!$C$5&lt;&gt;入力リスト!$C$3,COUNTIF(入力シート!$J$16:$S$23,入力リスト!$H$9)=0),"",IF(A206="","",IF(ISERROR(AVERAGEIF(従業員の給与情報!$B:$B,$A206,従業員の給与情報!$E:$E)),0,IF(ISERROR(AVERAGEIF(従業員の給与情報!$B:$B,$A206,従業員の給与情報!$E:$E)),0,AVERAGEIF(従業員の給与情報!$B:$B,$A206,従業員の給与情報!$E:$E)))))</f>
        <v/>
      </c>
      <c r="W206" s="103" t="str">
        <f>IF(OR(入力シート!$C$5&lt;&gt;入力リスト!$C$3,COUNTIF(入力シート!$J$16:$S$23,入力リスト!$H$9)=0),"",IF(A206="","",IF(ISERROR(AVERAGEIF(従業員の給与情報!$B:$B,$A206,従業員の給与情報!$F:$F)),0,IF(ISERROR(AVERAGEIF(従業員の給与情報!$B:$B,$A206,従業員の給与情報!$F:$F)),0,AVERAGEIF(従業員の給与情報!$B:$B,$A206,従業員の給与情報!$F:$F)))))</f>
        <v/>
      </c>
    </row>
    <row r="207" spans="1:23" s="10" customFormat="1" ht="19.8">
      <c r="A207" s="251"/>
      <c r="B207" s="251"/>
      <c r="C207" s="250"/>
      <c r="D207" s="251"/>
      <c r="E207" s="251"/>
      <c r="F207" s="257" t="str">
        <f>IF($G$1,"",IF(COUNTIF(A207:E207,"")=5,"",IF(G207,入力リスト!$K$28,IF(OR(A207="",B207="",IF(COUNTIF($C$3,"*不要*"),"",C207=""),D207=""),IF(A207="","従業員番号","")&amp;IF(B207="","「雇用形態」","")&amp;IF(OR(入力シート!$J$18=入力リスト!$H$9,入力シート!$J$22=入力リスト!$H$9),IF(C207="","「入社年月日」",""),"")&amp;IF(D207="","「性別」","")&amp;IF(IF(A207="","従業員番号","")&amp;IF(B207="","「雇用形態」","")&amp;IF(OR(入力シート!$J$18=入力リスト!$H$9,入力シート!$J$22=入力リスト!$H$9),IF(C207="","「入社年月日」",""),"")&amp;IF(D207="","「性別」","")="","",入力リスト!$K$29),IF(J207,入力リスト!$K$30,"")&amp;IF(I207,入力リスト!$K$31,"")&amp;IF(H207,"「雇用形態」","")&amp;IF(K207,"「性別」","")&amp;IF(L207,"「役職」","")&amp;IF(OR(H207,K207,L207),入力リスト!$K$32,"")))))</f>
        <v/>
      </c>
      <c r="G207" s="209" t="b">
        <f>COUNTIF($A$4:A206,$A207)&gt;0</f>
        <v>0</v>
      </c>
      <c r="H207" s="210" t="b">
        <f>IF($H$1,FALSE,COUNTIF(入力シート!$S$37:$V$62,B207)=0)</f>
        <v>0</v>
      </c>
      <c r="I207" s="210" t="b">
        <f t="shared" si="8"/>
        <v>0</v>
      </c>
      <c r="J207" s="210" t="b">
        <f>IF($J$1,FALSE,IF(I207=TRUE,FALSE,IF(I207,FALSE,C207&gt;入力シート!$J$24)))</f>
        <v>0</v>
      </c>
      <c r="K207" s="210" t="b">
        <f>IF($K$1,FALSE,COUNTIF(入力シート!$AW$37:$BB$38,D207)=0)</f>
        <v>0</v>
      </c>
      <c r="L207" s="210" t="b">
        <f>IF($L$1,FALSE,IF($L$3,FALSE,IF(E207="",FALSE,COUNTIF(入力シート!$AH$37:$AK$62,E207)=0)))</f>
        <v>0</v>
      </c>
      <c r="M207" s="211" t="str">
        <f t="shared" si="7"/>
        <v/>
      </c>
      <c r="N207" s="211"/>
      <c r="O207" s="209" t="str">
        <f>IF(B207="","",VLOOKUP('従業員情報(給与以外)'!$B207,入力シート!$S$37:$Z$62,5,0))</f>
        <v/>
      </c>
      <c r="P207" s="156" t="str">
        <f>IF(ISNUMBER(C207)=FALSE,"",IF(C207&gt;入力シート!$J$24,"",_xlfn.DAYS(入力シート!$J$24,'従業員情報(給与以外)'!$C207)/365))</f>
        <v/>
      </c>
      <c r="Q207" s="210" t="str">
        <f>IF(P207="","",VLOOKUP(_xlfn.DAYS(入力シート!$J$24,'従業員情報(給与以外)'!$C207)/365,入力リスト!$K$18:$L$26,2,2))</f>
        <v/>
      </c>
      <c r="R207" s="209" t="str">
        <f>IF(D207="","",VLOOKUP('従業員情報(給与以外)'!$D207,入力シート!$AW$37:$BB$38,4,0))</f>
        <v/>
      </c>
      <c r="S207" s="209" t="str">
        <f>IF(A207="","",IF(E207="","非役職",VLOOKUP('従業員情報(給与以外)'!$E207,入力シート!$AH$37:$AO$62,5,0)))</f>
        <v/>
      </c>
      <c r="T207" s="102" t="str">
        <f>IF(OR(入力シート!$C$5&lt;&gt;入力リスト!$C$3,COUNTIF(入力シート!$J$16:$S$23,入力リスト!$H$9)=0),"",IF($A207="","",IF(ISERROR(AVERAGEIF(従業員の給与情報!$B:$B,$A207,従業員の給与情報!$C:$C)),0,IF(ISERROR(AVERAGEIF(従業員の給与情報!$B:$B,$A207,従業員の給与情報!$C:$C)),0,AVERAGEIF(従業員の給与情報!$B:$B,$A207,従業員の給与情報!$C:$C)))))</f>
        <v/>
      </c>
      <c r="U207" s="102" t="str">
        <f>IF(OR(入力シート!$C$5&lt;&gt;入力リスト!$C$3,COUNTIF(入力シート!$J$16:$S$23,入力リスト!$H$9)=0),"",IF(A207="","",IF(ISERROR(AVERAGEIF(従業員の給与情報!$B:$B,$A207,従業員の給与情報!$D:$D)),0,IF(ISERROR(AVERAGEIF(従業員の給与情報!$B:$B,$A207,従業員の給与情報!$D:$D)),0,AVERAGEIF(従業員の給与情報!$B:$B,$A207,従業員の給与情報!$D:$D)))))</f>
        <v/>
      </c>
      <c r="V207" s="102" t="str">
        <f>IF(OR(入力シート!$C$5&lt;&gt;入力リスト!$C$3,COUNTIF(入力シート!$J$16:$S$23,入力リスト!$H$9)=0),"",IF(A207="","",IF(ISERROR(AVERAGEIF(従業員の給与情報!$B:$B,$A207,従業員の給与情報!$E:$E)),0,IF(ISERROR(AVERAGEIF(従業員の給与情報!$B:$B,$A207,従業員の給与情報!$E:$E)),0,AVERAGEIF(従業員の給与情報!$B:$B,$A207,従業員の給与情報!$E:$E)))))</f>
        <v/>
      </c>
      <c r="W207" s="103" t="str">
        <f>IF(OR(入力シート!$C$5&lt;&gt;入力リスト!$C$3,COUNTIF(入力シート!$J$16:$S$23,入力リスト!$H$9)=0),"",IF(A207="","",IF(ISERROR(AVERAGEIF(従業員の給与情報!$B:$B,$A207,従業員の給与情報!$F:$F)),0,IF(ISERROR(AVERAGEIF(従業員の給与情報!$B:$B,$A207,従業員の給与情報!$F:$F)),0,AVERAGEIF(従業員の給与情報!$B:$B,$A207,従業員の給与情報!$F:$F)))))</f>
        <v/>
      </c>
    </row>
    <row r="208" spans="1:23" s="10" customFormat="1" ht="19.8">
      <c r="A208" s="251"/>
      <c r="B208" s="251"/>
      <c r="C208" s="250"/>
      <c r="D208" s="251"/>
      <c r="E208" s="251"/>
      <c r="F208" s="257" t="str">
        <f>IF($G$1,"",IF(COUNTIF(A208:E208,"")=5,"",IF(G208,入力リスト!$K$28,IF(OR(A208="",B208="",IF(COUNTIF($C$3,"*不要*"),"",C208=""),D208=""),IF(A208="","従業員番号","")&amp;IF(B208="","「雇用形態」","")&amp;IF(OR(入力シート!$J$18=入力リスト!$H$9,入力シート!$J$22=入力リスト!$H$9),IF(C208="","「入社年月日」",""),"")&amp;IF(D208="","「性別」","")&amp;IF(IF(A208="","従業員番号","")&amp;IF(B208="","「雇用形態」","")&amp;IF(OR(入力シート!$J$18=入力リスト!$H$9,入力シート!$J$22=入力リスト!$H$9),IF(C208="","「入社年月日」",""),"")&amp;IF(D208="","「性別」","")="","",入力リスト!$K$29),IF(J208,入力リスト!$K$30,"")&amp;IF(I208,入力リスト!$K$31,"")&amp;IF(H208,"「雇用形態」","")&amp;IF(K208,"「性別」","")&amp;IF(L208,"「役職」","")&amp;IF(OR(H208,K208,L208),入力リスト!$K$32,"")))))</f>
        <v/>
      </c>
      <c r="G208" s="209" t="b">
        <f>COUNTIF($A$4:A207,$A208)&gt;0</f>
        <v>0</v>
      </c>
      <c r="H208" s="210" t="b">
        <f>IF($H$1,FALSE,COUNTIF(入力シート!$S$37:$V$62,B208)=0)</f>
        <v>0</v>
      </c>
      <c r="I208" s="210" t="b">
        <f t="shared" si="8"/>
        <v>0</v>
      </c>
      <c r="J208" s="210" t="b">
        <f>IF($J$1,FALSE,IF(I208=TRUE,FALSE,IF(I208,FALSE,C208&gt;入力シート!$J$24)))</f>
        <v>0</v>
      </c>
      <c r="K208" s="210" t="b">
        <f>IF($K$1,FALSE,COUNTIF(入力シート!$AW$37:$BB$38,D208)=0)</f>
        <v>0</v>
      </c>
      <c r="L208" s="210" t="b">
        <f>IF($L$1,FALSE,IF($L$3,FALSE,IF(E208="",FALSE,COUNTIF(入力シート!$AH$37:$AK$62,E208)=0)))</f>
        <v>0</v>
      </c>
      <c r="M208" s="211" t="str">
        <f t="shared" si="7"/>
        <v/>
      </c>
      <c r="N208" s="211"/>
      <c r="O208" s="209" t="str">
        <f>IF(B208="","",VLOOKUP('従業員情報(給与以外)'!$B208,入力シート!$S$37:$Z$62,5,0))</f>
        <v/>
      </c>
      <c r="P208" s="156" t="str">
        <f>IF(ISNUMBER(C208)=FALSE,"",IF(C208&gt;入力シート!$J$24,"",_xlfn.DAYS(入力シート!$J$24,'従業員情報(給与以外)'!$C208)/365))</f>
        <v/>
      </c>
      <c r="Q208" s="210" t="str">
        <f>IF(P208="","",VLOOKUP(_xlfn.DAYS(入力シート!$J$24,'従業員情報(給与以外)'!$C208)/365,入力リスト!$K$18:$L$26,2,2))</f>
        <v/>
      </c>
      <c r="R208" s="209" t="str">
        <f>IF(D208="","",VLOOKUP('従業員情報(給与以外)'!$D208,入力シート!$AW$37:$BB$38,4,0))</f>
        <v/>
      </c>
      <c r="S208" s="209" t="str">
        <f>IF(A208="","",IF(E208="","非役職",VLOOKUP('従業員情報(給与以外)'!$E208,入力シート!$AH$37:$AO$62,5,0)))</f>
        <v/>
      </c>
      <c r="T208" s="102" t="str">
        <f>IF(OR(入力シート!$C$5&lt;&gt;入力リスト!$C$3,COUNTIF(入力シート!$J$16:$S$23,入力リスト!$H$9)=0),"",IF($A208="","",IF(ISERROR(AVERAGEIF(従業員の給与情報!$B:$B,$A208,従業員の給与情報!$C:$C)),0,IF(ISERROR(AVERAGEIF(従業員の給与情報!$B:$B,$A208,従業員の給与情報!$C:$C)),0,AVERAGEIF(従業員の給与情報!$B:$B,$A208,従業員の給与情報!$C:$C)))))</f>
        <v/>
      </c>
      <c r="U208" s="102" t="str">
        <f>IF(OR(入力シート!$C$5&lt;&gt;入力リスト!$C$3,COUNTIF(入力シート!$J$16:$S$23,入力リスト!$H$9)=0),"",IF(A208="","",IF(ISERROR(AVERAGEIF(従業員の給与情報!$B:$B,$A208,従業員の給与情報!$D:$D)),0,IF(ISERROR(AVERAGEIF(従業員の給与情報!$B:$B,$A208,従業員の給与情報!$D:$D)),0,AVERAGEIF(従業員の給与情報!$B:$B,$A208,従業員の給与情報!$D:$D)))))</f>
        <v/>
      </c>
      <c r="V208" s="102" t="str">
        <f>IF(OR(入力シート!$C$5&lt;&gt;入力リスト!$C$3,COUNTIF(入力シート!$J$16:$S$23,入力リスト!$H$9)=0),"",IF(A208="","",IF(ISERROR(AVERAGEIF(従業員の給与情報!$B:$B,$A208,従業員の給与情報!$E:$E)),0,IF(ISERROR(AVERAGEIF(従業員の給与情報!$B:$B,$A208,従業員の給与情報!$E:$E)),0,AVERAGEIF(従業員の給与情報!$B:$B,$A208,従業員の給与情報!$E:$E)))))</f>
        <v/>
      </c>
      <c r="W208" s="103" t="str">
        <f>IF(OR(入力シート!$C$5&lt;&gt;入力リスト!$C$3,COUNTIF(入力シート!$J$16:$S$23,入力リスト!$H$9)=0),"",IF(A208="","",IF(ISERROR(AVERAGEIF(従業員の給与情報!$B:$B,$A208,従業員の給与情報!$F:$F)),0,IF(ISERROR(AVERAGEIF(従業員の給与情報!$B:$B,$A208,従業員の給与情報!$F:$F)),0,AVERAGEIF(従業員の給与情報!$B:$B,$A208,従業員の給与情報!$F:$F)))))</f>
        <v/>
      </c>
    </row>
    <row r="209" spans="1:23" s="10" customFormat="1" ht="19.8">
      <c r="A209" s="251"/>
      <c r="B209" s="251"/>
      <c r="C209" s="250"/>
      <c r="D209" s="251"/>
      <c r="E209" s="251"/>
      <c r="F209" s="257" t="str">
        <f>IF($G$1,"",IF(COUNTIF(A209:E209,"")=5,"",IF(G209,入力リスト!$K$28,IF(OR(A209="",B209="",IF(COUNTIF($C$3,"*不要*"),"",C209=""),D209=""),IF(A209="","従業員番号","")&amp;IF(B209="","「雇用形態」","")&amp;IF(OR(入力シート!$J$18=入力リスト!$H$9,入力シート!$J$22=入力リスト!$H$9),IF(C209="","「入社年月日」",""),"")&amp;IF(D209="","「性別」","")&amp;IF(IF(A209="","従業員番号","")&amp;IF(B209="","「雇用形態」","")&amp;IF(OR(入力シート!$J$18=入力リスト!$H$9,入力シート!$J$22=入力リスト!$H$9),IF(C209="","「入社年月日」",""),"")&amp;IF(D209="","「性別」","")="","",入力リスト!$K$29),IF(J209,入力リスト!$K$30,"")&amp;IF(I209,入力リスト!$K$31,"")&amp;IF(H209,"「雇用形態」","")&amp;IF(K209,"「性別」","")&amp;IF(L209,"「役職」","")&amp;IF(OR(H209,K209,L209),入力リスト!$K$32,"")))))</f>
        <v/>
      </c>
      <c r="G209" s="209" t="b">
        <f>COUNTIF($A$4:A208,$A209)&gt;0</f>
        <v>0</v>
      </c>
      <c r="H209" s="210" t="b">
        <f>IF($H$1,FALSE,COUNTIF(入力シート!$S$37:$V$62,B209)=0)</f>
        <v>0</v>
      </c>
      <c r="I209" s="210" t="b">
        <f t="shared" si="8"/>
        <v>0</v>
      </c>
      <c r="J209" s="210" t="b">
        <f>IF($J$1,FALSE,IF(I209=TRUE,FALSE,IF(I209,FALSE,C209&gt;入力シート!$J$24)))</f>
        <v>0</v>
      </c>
      <c r="K209" s="210" t="b">
        <f>IF($K$1,FALSE,COUNTIF(入力シート!$AW$37:$BB$38,D209)=0)</f>
        <v>0</v>
      </c>
      <c r="L209" s="210" t="b">
        <f>IF($L$1,FALSE,IF($L$3,FALSE,IF(E209="",FALSE,COUNTIF(入力シート!$AH$37:$AK$62,E209)=0)))</f>
        <v>0</v>
      </c>
      <c r="M209" s="211" t="str">
        <f t="shared" si="7"/>
        <v/>
      </c>
      <c r="N209" s="211"/>
      <c r="O209" s="209" t="str">
        <f>IF(B209="","",VLOOKUP('従業員情報(給与以外)'!$B209,入力シート!$S$37:$Z$62,5,0))</f>
        <v/>
      </c>
      <c r="P209" s="156" t="str">
        <f>IF(ISNUMBER(C209)=FALSE,"",IF(C209&gt;入力シート!$J$24,"",_xlfn.DAYS(入力シート!$J$24,'従業員情報(給与以外)'!$C209)/365))</f>
        <v/>
      </c>
      <c r="Q209" s="210" t="str">
        <f>IF(P209="","",VLOOKUP(_xlfn.DAYS(入力シート!$J$24,'従業員情報(給与以外)'!$C209)/365,入力リスト!$K$18:$L$26,2,2))</f>
        <v/>
      </c>
      <c r="R209" s="209" t="str">
        <f>IF(D209="","",VLOOKUP('従業員情報(給与以外)'!$D209,入力シート!$AW$37:$BB$38,4,0))</f>
        <v/>
      </c>
      <c r="S209" s="209" t="str">
        <f>IF(A209="","",IF(E209="","非役職",VLOOKUP('従業員情報(給与以外)'!$E209,入力シート!$AH$37:$AO$62,5,0)))</f>
        <v/>
      </c>
      <c r="T209" s="102" t="str">
        <f>IF(OR(入力シート!$C$5&lt;&gt;入力リスト!$C$3,COUNTIF(入力シート!$J$16:$S$23,入力リスト!$H$9)=0),"",IF($A209="","",IF(ISERROR(AVERAGEIF(従業員の給与情報!$B:$B,$A209,従業員の給与情報!$C:$C)),0,IF(ISERROR(AVERAGEIF(従業員の給与情報!$B:$B,$A209,従業員の給与情報!$C:$C)),0,AVERAGEIF(従業員の給与情報!$B:$B,$A209,従業員の給与情報!$C:$C)))))</f>
        <v/>
      </c>
      <c r="U209" s="102" t="str">
        <f>IF(OR(入力シート!$C$5&lt;&gt;入力リスト!$C$3,COUNTIF(入力シート!$J$16:$S$23,入力リスト!$H$9)=0),"",IF(A209="","",IF(ISERROR(AVERAGEIF(従業員の給与情報!$B:$B,$A209,従業員の給与情報!$D:$D)),0,IF(ISERROR(AVERAGEIF(従業員の給与情報!$B:$B,$A209,従業員の給与情報!$D:$D)),0,AVERAGEIF(従業員の給与情報!$B:$B,$A209,従業員の給与情報!$D:$D)))))</f>
        <v/>
      </c>
      <c r="V209" s="102" t="str">
        <f>IF(OR(入力シート!$C$5&lt;&gt;入力リスト!$C$3,COUNTIF(入力シート!$J$16:$S$23,入力リスト!$H$9)=0),"",IF(A209="","",IF(ISERROR(AVERAGEIF(従業員の給与情報!$B:$B,$A209,従業員の給与情報!$E:$E)),0,IF(ISERROR(AVERAGEIF(従業員の給与情報!$B:$B,$A209,従業員の給与情報!$E:$E)),0,AVERAGEIF(従業員の給与情報!$B:$B,$A209,従業員の給与情報!$E:$E)))))</f>
        <v/>
      </c>
      <c r="W209" s="103" t="str">
        <f>IF(OR(入力シート!$C$5&lt;&gt;入力リスト!$C$3,COUNTIF(入力シート!$J$16:$S$23,入力リスト!$H$9)=0),"",IF(A209="","",IF(ISERROR(AVERAGEIF(従業員の給与情報!$B:$B,$A209,従業員の給与情報!$F:$F)),0,IF(ISERROR(AVERAGEIF(従業員の給与情報!$B:$B,$A209,従業員の給与情報!$F:$F)),0,AVERAGEIF(従業員の給与情報!$B:$B,$A209,従業員の給与情報!$F:$F)))))</f>
        <v/>
      </c>
    </row>
    <row r="210" spans="1:23" s="10" customFormat="1" ht="19.8">
      <c r="A210" s="251"/>
      <c r="B210" s="251"/>
      <c r="C210" s="250"/>
      <c r="D210" s="251"/>
      <c r="E210" s="251"/>
      <c r="F210" s="257" t="str">
        <f>IF($G$1,"",IF(COUNTIF(A210:E210,"")=5,"",IF(G210,入力リスト!$K$28,IF(OR(A210="",B210="",IF(COUNTIF($C$3,"*不要*"),"",C210=""),D210=""),IF(A210="","従業員番号","")&amp;IF(B210="","「雇用形態」","")&amp;IF(OR(入力シート!$J$18=入力リスト!$H$9,入力シート!$J$22=入力リスト!$H$9),IF(C210="","「入社年月日」",""),"")&amp;IF(D210="","「性別」","")&amp;IF(IF(A210="","従業員番号","")&amp;IF(B210="","「雇用形態」","")&amp;IF(OR(入力シート!$J$18=入力リスト!$H$9,入力シート!$J$22=入力リスト!$H$9),IF(C210="","「入社年月日」",""),"")&amp;IF(D210="","「性別」","")="","",入力リスト!$K$29),IF(J210,入力リスト!$K$30,"")&amp;IF(I210,入力リスト!$K$31,"")&amp;IF(H210,"「雇用形態」","")&amp;IF(K210,"「性別」","")&amp;IF(L210,"「役職」","")&amp;IF(OR(H210,K210,L210),入力リスト!$K$32,"")))))</f>
        <v/>
      </c>
      <c r="G210" s="209" t="b">
        <f>COUNTIF($A$4:A209,$A210)&gt;0</f>
        <v>0</v>
      </c>
      <c r="H210" s="210" t="b">
        <f>IF($H$1,FALSE,COUNTIF(入力シート!$S$37:$V$62,B210)=0)</f>
        <v>0</v>
      </c>
      <c r="I210" s="210" t="b">
        <f t="shared" si="8"/>
        <v>0</v>
      </c>
      <c r="J210" s="210" t="b">
        <f>IF($J$1,FALSE,IF(I210=TRUE,FALSE,IF(I210,FALSE,C210&gt;入力シート!$J$24)))</f>
        <v>0</v>
      </c>
      <c r="K210" s="210" t="b">
        <f>IF($K$1,FALSE,COUNTIF(入力シート!$AW$37:$BB$38,D210)=0)</f>
        <v>0</v>
      </c>
      <c r="L210" s="210" t="b">
        <f>IF($L$1,FALSE,IF($L$3,FALSE,IF(E210="",FALSE,COUNTIF(入力シート!$AH$37:$AK$62,E210)=0)))</f>
        <v>0</v>
      </c>
      <c r="M210" s="211" t="str">
        <f t="shared" si="7"/>
        <v/>
      </c>
      <c r="N210" s="211"/>
      <c r="O210" s="209" t="str">
        <f>IF(B210="","",VLOOKUP('従業員情報(給与以外)'!$B210,入力シート!$S$37:$Z$62,5,0))</f>
        <v/>
      </c>
      <c r="P210" s="156" t="str">
        <f>IF(ISNUMBER(C210)=FALSE,"",IF(C210&gt;入力シート!$J$24,"",_xlfn.DAYS(入力シート!$J$24,'従業員情報(給与以外)'!$C210)/365))</f>
        <v/>
      </c>
      <c r="Q210" s="210" t="str">
        <f>IF(P210="","",VLOOKUP(_xlfn.DAYS(入力シート!$J$24,'従業員情報(給与以外)'!$C210)/365,入力リスト!$K$18:$L$26,2,2))</f>
        <v/>
      </c>
      <c r="R210" s="209" t="str">
        <f>IF(D210="","",VLOOKUP('従業員情報(給与以外)'!$D210,入力シート!$AW$37:$BB$38,4,0))</f>
        <v/>
      </c>
      <c r="S210" s="209" t="str">
        <f>IF(A210="","",IF(E210="","非役職",VLOOKUP('従業員情報(給与以外)'!$E210,入力シート!$AH$37:$AO$62,5,0)))</f>
        <v/>
      </c>
      <c r="T210" s="102" t="str">
        <f>IF(OR(入力シート!$C$5&lt;&gt;入力リスト!$C$3,COUNTIF(入力シート!$J$16:$S$23,入力リスト!$H$9)=0),"",IF($A210="","",IF(ISERROR(AVERAGEIF(従業員の給与情報!$B:$B,$A210,従業員の給与情報!$C:$C)),0,IF(ISERROR(AVERAGEIF(従業員の給与情報!$B:$B,$A210,従業員の給与情報!$C:$C)),0,AVERAGEIF(従業員の給与情報!$B:$B,$A210,従業員の給与情報!$C:$C)))))</f>
        <v/>
      </c>
      <c r="U210" s="102" t="str">
        <f>IF(OR(入力シート!$C$5&lt;&gt;入力リスト!$C$3,COUNTIF(入力シート!$J$16:$S$23,入力リスト!$H$9)=0),"",IF(A210="","",IF(ISERROR(AVERAGEIF(従業員の給与情報!$B:$B,$A210,従業員の給与情報!$D:$D)),0,IF(ISERROR(AVERAGEIF(従業員の給与情報!$B:$B,$A210,従業員の給与情報!$D:$D)),0,AVERAGEIF(従業員の給与情報!$B:$B,$A210,従業員の給与情報!$D:$D)))))</f>
        <v/>
      </c>
      <c r="V210" s="102" t="str">
        <f>IF(OR(入力シート!$C$5&lt;&gt;入力リスト!$C$3,COUNTIF(入力シート!$J$16:$S$23,入力リスト!$H$9)=0),"",IF(A210="","",IF(ISERROR(AVERAGEIF(従業員の給与情報!$B:$B,$A210,従業員の給与情報!$E:$E)),0,IF(ISERROR(AVERAGEIF(従業員の給与情報!$B:$B,$A210,従業員の給与情報!$E:$E)),0,AVERAGEIF(従業員の給与情報!$B:$B,$A210,従業員の給与情報!$E:$E)))))</f>
        <v/>
      </c>
      <c r="W210" s="103" t="str">
        <f>IF(OR(入力シート!$C$5&lt;&gt;入力リスト!$C$3,COUNTIF(入力シート!$J$16:$S$23,入力リスト!$H$9)=0),"",IF(A210="","",IF(ISERROR(AVERAGEIF(従業員の給与情報!$B:$B,$A210,従業員の給与情報!$F:$F)),0,IF(ISERROR(AVERAGEIF(従業員の給与情報!$B:$B,$A210,従業員の給与情報!$F:$F)),0,AVERAGEIF(従業員の給与情報!$B:$B,$A210,従業員の給与情報!$F:$F)))))</f>
        <v/>
      </c>
    </row>
    <row r="211" spans="1:23" s="10" customFormat="1" ht="19.8">
      <c r="A211" s="251"/>
      <c r="B211" s="251"/>
      <c r="C211" s="250"/>
      <c r="D211" s="251"/>
      <c r="E211" s="251"/>
      <c r="F211" s="257" t="str">
        <f>IF($G$1,"",IF(COUNTIF(A211:E211,"")=5,"",IF(G211,入力リスト!$K$28,IF(OR(A211="",B211="",IF(COUNTIF($C$3,"*不要*"),"",C211=""),D211=""),IF(A211="","従業員番号","")&amp;IF(B211="","「雇用形態」","")&amp;IF(OR(入力シート!$J$18=入力リスト!$H$9,入力シート!$J$22=入力リスト!$H$9),IF(C211="","「入社年月日」",""),"")&amp;IF(D211="","「性別」","")&amp;IF(IF(A211="","従業員番号","")&amp;IF(B211="","「雇用形態」","")&amp;IF(OR(入力シート!$J$18=入力リスト!$H$9,入力シート!$J$22=入力リスト!$H$9),IF(C211="","「入社年月日」",""),"")&amp;IF(D211="","「性別」","")="","",入力リスト!$K$29),IF(J211,入力リスト!$K$30,"")&amp;IF(I211,入力リスト!$K$31,"")&amp;IF(H211,"「雇用形態」","")&amp;IF(K211,"「性別」","")&amp;IF(L211,"「役職」","")&amp;IF(OR(H211,K211,L211),入力リスト!$K$32,"")))))</f>
        <v/>
      </c>
      <c r="G211" s="209" t="b">
        <f>COUNTIF($A$4:A210,$A211)&gt;0</f>
        <v>0</v>
      </c>
      <c r="H211" s="210" t="b">
        <f>IF($H$1,FALSE,COUNTIF(入力シート!$S$37:$V$62,B211)=0)</f>
        <v>0</v>
      </c>
      <c r="I211" s="210" t="b">
        <f t="shared" si="8"/>
        <v>0</v>
      </c>
      <c r="J211" s="210" t="b">
        <f>IF($J$1,FALSE,IF(I211=TRUE,FALSE,IF(I211,FALSE,C211&gt;入力シート!$J$24)))</f>
        <v>0</v>
      </c>
      <c r="K211" s="210" t="b">
        <f>IF($K$1,FALSE,COUNTIF(入力シート!$AW$37:$BB$38,D211)=0)</f>
        <v>0</v>
      </c>
      <c r="L211" s="210" t="b">
        <f>IF($L$1,FALSE,IF($L$3,FALSE,IF(E211="",FALSE,COUNTIF(入力シート!$AH$37:$AK$62,E211)=0)))</f>
        <v>0</v>
      </c>
      <c r="M211" s="211" t="str">
        <f t="shared" si="7"/>
        <v/>
      </c>
      <c r="N211" s="211"/>
      <c r="O211" s="209" t="str">
        <f>IF(B211="","",VLOOKUP('従業員情報(給与以外)'!$B211,入力シート!$S$37:$Z$62,5,0))</f>
        <v/>
      </c>
      <c r="P211" s="156" t="str">
        <f>IF(ISNUMBER(C211)=FALSE,"",IF(C211&gt;入力シート!$J$24,"",_xlfn.DAYS(入力シート!$J$24,'従業員情報(給与以外)'!$C211)/365))</f>
        <v/>
      </c>
      <c r="Q211" s="210" t="str">
        <f>IF(P211="","",VLOOKUP(_xlfn.DAYS(入力シート!$J$24,'従業員情報(給与以外)'!$C211)/365,入力リスト!$K$18:$L$26,2,2))</f>
        <v/>
      </c>
      <c r="R211" s="209" t="str">
        <f>IF(D211="","",VLOOKUP('従業員情報(給与以外)'!$D211,入力シート!$AW$37:$BB$38,4,0))</f>
        <v/>
      </c>
      <c r="S211" s="209" t="str">
        <f>IF(A211="","",IF(E211="","非役職",VLOOKUP('従業員情報(給与以外)'!$E211,入力シート!$AH$37:$AO$62,5,0)))</f>
        <v/>
      </c>
      <c r="T211" s="102" t="str">
        <f>IF(OR(入力シート!$C$5&lt;&gt;入力リスト!$C$3,COUNTIF(入力シート!$J$16:$S$23,入力リスト!$H$9)=0),"",IF($A211="","",IF(ISERROR(AVERAGEIF(従業員の給与情報!$B:$B,$A211,従業員の給与情報!$C:$C)),0,IF(ISERROR(AVERAGEIF(従業員の給与情報!$B:$B,$A211,従業員の給与情報!$C:$C)),0,AVERAGEIF(従業員の給与情報!$B:$B,$A211,従業員の給与情報!$C:$C)))))</f>
        <v/>
      </c>
      <c r="U211" s="102" t="str">
        <f>IF(OR(入力シート!$C$5&lt;&gt;入力リスト!$C$3,COUNTIF(入力シート!$J$16:$S$23,入力リスト!$H$9)=0),"",IF(A211="","",IF(ISERROR(AVERAGEIF(従業員の給与情報!$B:$B,$A211,従業員の給与情報!$D:$D)),0,IF(ISERROR(AVERAGEIF(従業員の給与情報!$B:$B,$A211,従業員の給与情報!$D:$D)),0,AVERAGEIF(従業員の給与情報!$B:$B,$A211,従業員の給与情報!$D:$D)))))</f>
        <v/>
      </c>
      <c r="V211" s="102" t="str">
        <f>IF(OR(入力シート!$C$5&lt;&gt;入力リスト!$C$3,COUNTIF(入力シート!$J$16:$S$23,入力リスト!$H$9)=0),"",IF(A211="","",IF(ISERROR(AVERAGEIF(従業員の給与情報!$B:$B,$A211,従業員の給与情報!$E:$E)),0,IF(ISERROR(AVERAGEIF(従業員の給与情報!$B:$B,$A211,従業員の給与情報!$E:$E)),0,AVERAGEIF(従業員の給与情報!$B:$B,$A211,従業員の給与情報!$E:$E)))))</f>
        <v/>
      </c>
      <c r="W211" s="103" t="str">
        <f>IF(OR(入力シート!$C$5&lt;&gt;入力リスト!$C$3,COUNTIF(入力シート!$J$16:$S$23,入力リスト!$H$9)=0),"",IF(A211="","",IF(ISERROR(AVERAGEIF(従業員の給与情報!$B:$B,$A211,従業員の給与情報!$F:$F)),0,IF(ISERROR(AVERAGEIF(従業員の給与情報!$B:$B,$A211,従業員の給与情報!$F:$F)),0,AVERAGEIF(従業員の給与情報!$B:$B,$A211,従業員の給与情報!$F:$F)))))</f>
        <v/>
      </c>
    </row>
    <row r="212" spans="1:23" s="10" customFormat="1" ht="19.8">
      <c r="A212" s="251"/>
      <c r="B212" s="251"/>
      <c r="C212" s="250"/>
      <c r="D212" s="251"/>
      <c r="E212" s="251"/>
      <c r="F212" s="257" t="str">
        <f>IF($G$1,"",IF(COUNTIF(A212:E212,"")=5,"",IF(G212,入力リスト!$K$28,IF(OR(A212="",B212="",IF(COUNTIF($C$3,"*不要*"),"",C212=""),D212=""),IF(A212="","従業員番号","")&amp;IF(B212="","「雇用形態」","")&amp;IF(OR(入力シート!$J$18=入力リスト!$H$9,入力シート!$J$22=入力リスト!$H$9),IF(C212="","「入社年月日」",""),"")&amp;IF(D212="","「性別」","")&amp;IF(IF(A212="","従業員番号","")&amp;IF(B212="","「雇用形態」","")&amp;IF(OR(入力シート!$J$18=入力リスト!$H$9,入力シート!$J$22=入力リスト!$H$9),IF(C212="","「入社年月日」",""),"")&amp;IF(D212="","「性別」","")="","",入力リスト!$K$29),IF(J212,入力リスト!$K$30,"")&amp;IF(I212,入力リスト!$K$31,"")&amp;IF(H212,"「雇用形態」","")&amp;IF(K212,"「性別」","")&amp;IF(L212,"「役職」","")&amp;IF(OR(H212,K212,L212),入力リスト!$K$32,"")))))</f>
        <v/>
      </c>
      <c r="G212" s="209" t="b">
        <f>COUNTIF($A$4:A211,$A212)&gt;0</f>
        <v>0</v>
      </c>
      <c r="H212" s="210" t="b">
        <f>IF($H$1,FALSE,COUNTIF(入力シート!$S$37:$V$62,B212)=0)</f>
        <v>0</v>
      </c>
      <c r="I212" s="210" t="b">
        <f t="shared" si="8"/>
        <v>0</v>
      </c>
      <c r="J212" s="210" t="b">
        <f>IF($J$1,FALSE,IF(I212=TRUE,FALSE,IF(I212,FALSE,C212&gt;入力シート!$J$24)))</f>
        <v>0</v>
      </c>
      <c r="K212" s="210" t="b">
        <f>IF($K$1,FALSE,COUNTIF(入力シート!$AW$37:$BB$38,D212)=0)</f>
        <v>0</v>
      </c>
      <c r="L212" s="210" t="b">
        <f>IF($L$1,FALSE,IF($L$3,FALSE,IF(E212="",FALSE,COUNTIF(入力シート!$AH$37:$AK$62,E212)=0)))</f>
        <v>0</v>
      </c>
      <c r="M212" s="211" t="str">
        <f t="shared" si="7"/>
        <v/>
      </c>
      <c r="N212" s="211"/>
      <c r="O212" s="209" t="str">
        <f>IF(B212="","",VLOOKUP('従業員情報(給与以外)'!$B212,入力シート!$S$37:$Z$62,5,0))</f>
        <v/>
      </c>
      <c r="P212" s="156" t="str">
        <f>IF(ISNUMBER(C212)=FALSE,"",IF(C212&gt;入力シート!$J$24,"",_xlfn.DAYS(入力シート!$J$24,'従業員情報(給与以外)'!$C212)/365))</f>
        <v/>
      </c>
      <c r="Q212" s="210" t="str">
        <f>IF(P212="","",VLOOKUP(_xlfn.DAYS(入力シート!$J$24,'従業員情報(給与以外)'!$C212)/365,入力リスト!$K$18:$L$26,2,2))</f>
        <v/>
      </c>
      <c r="R212" s="209" t="str">
        <f>IF(D212="","",VLOOKUP('従業員情報(給与以外)'!$D212,入力シート!$AW$37:$BB$38,4,0))</f>
        <v/>
      </c>
      <c r="S212" s="209" t="str">
        <f>IF(A212="","",IF(E212="","非役職",VLOOKUP('従業員情報(給与以外)'!$E212,入力シート!$AH$37:$AO$62,5,0)))</f>
        <v/>
      </c>
      <c r="T212" s="102" t="str">
        <f>IF(OR(入力シート!$C$5&lt;&gt;入力リスト!$C$3,COUNTIF(入力シート!$J$16:$S$23,入力リスト!$H$9)=0),"",IF($A212="","",IF(ISERROR(AVERAGEIF(従業員の給与情報!$B:$B,$A212,従業員の給与情報!$C:$C)),0,IF(ISERROR(AVERAGEIF(従業員の給与情報!$B:$B,$A212,従業員の給与情報!$C:$C)),0,AVERAGEIF(従業員の給与情報!$B:$B,$A212,従業員の給与情報!$C:$C)))))</f>
        <v/>
      </c>
      <c r="U212" s="102" t="str">
        <f>IF(OR(入力シート!$C$5&lt;&gt;入力リスト!$C$3,COUNTIF(入力シート!$J$16:$S$23,入力リスト!$H$9)=0),"",IF(A212="","",IF(ISERROR(AVERAGEIF(従業員の給与情報!$B:$B,$A212,従業員の給与情報!$D:$D)),0,IF(ISERROR(AVERAGEIF(従業員の給与情報!$B:$B,$A212,従業員の給与情報!$D:$D)),0,AVERAGEIF(従業員の給与情報!$B:$B,$A212,従業員の給与情報!$D:$D)))))</f>
        <v/>
      </c>
      <c r="V212" s="102" t="str">
        <f>IF(OR(入力シート!$C$5&lt;&gt;入力リスト!$C$3,COUNTIF(入力シート!$J$16:$S$23,入力リスト!$H$9)=0),"",IF(A212="","",IF(ISERROR(AVERAGEIF(従業員の給与情報!$B:$B,$A212,従業員の給与情報!$E:$E)),0,IF(ISERROR(AVERAGEIF(従業員の給与情報!$B:$B,$A212,従業員の給与情報!$E:$E)),0,AVERAGEIF(従業員の給与情報!$B:$B,$A212,従業員の給与情報!$E:$E)))))</f>
        <v/>
      </c>
      <c r="W212" s="103" t="str">
        <f>IF(OR(入力シート!$C$5&lt;&gt;入力リスト!$C$3,COUNTIF(入力シート!$J$16:$S$23,入力リスト!$H$9)=0),"",IF(A212="","",IF(ISERROR(AVERAGEIF(従業員の給与情報!$B:$B,$A212,従業員の給与情報!$F:$F)),0,IF(ISERROR(AVERAGEIF(従業員の給与情報!$B:$B,$A212,従業員の給与情報!$F:$F)),0,AVERAGEIF(従業員の給与情報!$B:$B,$A212,従業員の給与情報!$F:$F)))))</f>
        <v/>
      </c>
    </row>
    <row r="213" spans="1:23" s="10" customFormat="1">
      <c r="A213" s="253"/>
      <c r="B213" s="246"/>
      <c r="C213" s="247"/>
      <c r="D213" s="246"/>
      <c r="E213" s="246"/>
      <c r="F213" s="257" t="str">
        <f>IF($G$1,"",IF(COUNTIF(A213:E213,"")=5,"",IF(G213,入力リスト!$K$28,IF(OR(A213="",B213="",IF(COUNTIF($C$3,"*不要*"),"",C213=""),D213=""),IF(A213="","従業員番号","")&amp;IF(B213="","「雇用形態」","")&amp;IF(OR(入力シート!$J$18=入力リスト!$H$9,入力シート!$J$22=入力リスト!$H$9),IF(C213="","「入社年月日」",""),"")&amp;IF(D213="","「性別」","")&amp;IF(IF(A213="","従業員番号","")&amp;IF(B213="","「雇用形態」","")&amp;IF(OR(入力シート!$J$18=入力リスト!$H$9,入力シート!$J$22=入力リスト!$H$9),IF(C213="","「入社年月日」",""),"")&amp;IF(D213="","「性別」","")="","",入力リスト!$K$29),IF(J213,入力リスト!$K$30,"")&amp;IF(I213,入力リスト!$K$31,"")&amp;IF(H213,"「雇用形態」","")&amp;IF(K213,"「性別」","")&amp;IF(L213,"「役職」","")&amp;IF(OR(H213,K213,L213),入力リスト!$K$32,"")))))</f>
        <v/>
      </c>
      <c r="G213" s="209" t="b">
        <f>COUNTIF($A$4:A212,$A213)&gt;0</f>
        <v>0</v>
      </c>
      <c r="H213" s="210" t="b">
        <f>IF($H$1,FALSE,COUNTIF(入力シート!$S$37:$V$62,B213)=0)</f>
        <v>0</v>
      </c>
      <c r="I213" s="210" t="b">
        <f t="shared" si="8"/>
        <v>0</v>
      </c>
      <c r="J213" s="210" t="b">
        <f>IF($J$1,FALSE,IF(I213=TRUE,FALSE,IF(I213,FALSE,C213&gt;入力シート!$J$24)))</f>
        <v>0</v>
      </c>
      <c r="K213" s="210" t="b">
        <f>IF($K$1,FALSE,COUNTIF(入力シート!$AW$37:$BB$38,D213)=0)</f>
        <v>0</v>
      </c>
      <c r="L213" s="210" t="b">
        <f>IF($L$1,FALSE,IF($L$3,FALSE,IF(E213="",FALSE,COUNTIF(入力シート!$AH$37:$AK$62,E213)=0)))</f>
        <v>0</v>
      </c>
      <c r="M213" s="211" t="str">
        <f t="shared" si="7"/>
        <v/>
      </c>
      <c r="N213" s="211"/>
      <c r="O213" s="209" t="str">
        <f>IF(B213="","",VLOOKUP('従業員情報(給与以外)'!$B213,入力シート!$S$37:$Z$62,5,0))</f>
        <v/>
      </c>
      <c r="P213" s="156" t="str">
        <f>IF(ISNUMBER(C213)=FALSE,"",IF(C213&gt;入力シート!$J$24,"",_xlfn.DAYS(入力シート!$J$24,'従業員情報(給与以外)'!$C213)/365))</f>
        <v/>
      </c>
      <c r="Q213" s="210" t="str">
        <f>IF(P213="","",VLOOKUP(_xlfn.DAYS(入力シート!$J$24,'従業員情報(給与以外)'!$C213)/365,入力リスト!$K$18:$L$26,2,2))</f>
        <v/>
      </c>
      <c r="R213" s="209" t="str">
        <f>IF(D213="","",VLOOKUP('従業員情報(給与以外)'!$D213,入力シート!$AW$37:$BB$38,4,0))</f>
        <v/>
      </c>
      <c r="S213" s="209" t="str">
        <f>IF(A213="","",IF(E213="","非役職",VLOOKUP('従業員情報(給与以外)'!$E213,入力シート!$AH$37:$AO$62,5,0)))</f>
        <v/>
      </c>
      <c r="T213" s="102" t="str">
        <f>IF(OR(入力シート!$C$5&lt;&gt;入力リスト!$C$3,COUNTIF(入力シート!$J$16:$S$23,入力リスト!$H$9)=0),"",IF($A213="","",IF(ISERROR(AVERAGEIF(従業員の給与情報!$B:$B,$A213,従業員の給与情報!$C:$C)),0,IF(ISERROR(AVERAGEIF(従業員の給与情報!$B:$B,$A213,従業員の給与情報!$C:$C)),0,AVERAGEIF(従業員の給与情報!$B:$B,$A213,従業員の給与情報!$C:$C)))))</f>
        <v/>
      </c>
      <c r="U213" s="102" t="str">
        <f>IF(OR(入力シート!$C$5&lt;&gt;入力リスト!$C$3,COUNTIF(入力シート!$J$16:$S$23,入力リスト!$H$9)=0),"",IF(A213="","",IF(ISERROR(AVERAGEIF(従業員の給与情報!$B:$B,$A213,従業員の給与情報!$D:$D)),0,IF(ISERROR(AVERAGEIF(従業員の給与情報!$B:$B,$A213,従業員の給与情報!$D:$D)),0,AVERAGEIF(従業員の給与情報!$B:$B,$A213,従業員の給与情報!$D:$D)))))</f>
        <v/>
      </c>
      <c r="V213" s="102" t="str">
        <f>IF(OR(入力シート!$C$5&lt;&gt;入力リスト!$C$3,COUNTIF(入力シート!$J$16:$S$23,入力リスト!$H$9)=0),"",IF(A213="","",IF(ISERROR(AVERAGEIF(従業員の給与情報!$B:$B,$A213,従業員の給与情報!$E:$E)),0,IF(ISERROR(AVERAGEIF(従業員の給与情報!$B:$B,$A213,従業員の給与情報!$E:$E)),0,AVERAGEIF(従業員の給与情報!$B:$B,$A213,従業員の給与情報!$E:$E)))))</f>
        <v/>
      </c>
      <c r="W213" s="103" t="str">
        <f>IF(OR(入力シート!$C$5&lt;&gt;入力リスト!$C$3,COUNTIF(入力シート!$J$16:$S$23,入力リスト!$H$9)=0),"",IF(A213="","",IF(ISERROR(AVERAGEIF(従業員の給与情報!$B:$B,$A213,従業員の給与情報!$F:$F)),0,IF(ISERROR(AVERAGEIF(従業員の給与情報!$B:$B,$A213,従業員の給与情報!$F:$F)),0,AVERAGEIF(従業員の給与情報!$B:$B,$A213,従業員の給与情報!$F:$F)))))</f>
        <v/>
      </c>
    </row>
    <row r="214" spans="1:23" s="10" customFormat="1">
      <c r="A214" s="253"/>
      <c r="B214" s="246"/>
      <c r="C214" s="247"/>
      <c r="D214" s="246"/>
      <c r="E214" s="246"/>
      <c r="F214" s="257" t="str">
        <f>IF($G$1,"",IF(COUNTIF(A214:E214,"")=5,"",IF(G214,入力リスト!$K$28,IF(OR(A214="",B214="",IF(COUNTIF($C$3,"*不要*"),"",C214=""),D214=""),IF(A214="","従業員番号","")&amp;IF(B214="","「雇用形態」","")&amp;IF(OR(入力シート!$J$18=入力リスト!$H$9,入力シート!$J$22=入力リスト!$H$9),IF(C214="","「入社年月日」",""),"")&amp;IF(D214="","「性別」","")&amp;IF(IF(A214="","従業員番号","")&amp;IF(B214="","「雇用形態」","")&amp;IF(OR(入力シート!$J$18=入力リスト!$H$9,入力シート!$J$22=入力リスト!$H$9),IF(C214="","「入社年月日」",""),"")&amp;IF(D214="","「性別」","")="","",入力リスト!$K$29),IF(J214,入力リスト!$K$30,"")&amp;IF(I214,入力リスト!$K$31,"")&amp;IF(H214,"「雇用形態」","")&amp;IF(K214,"「性別」","")&amp;IF(L214,"「役職」","")&amp;IF(OR(H214,K214,L214),入力リスト!$K$32,"")))))</f>
        <v/>
      </c>
      <c r="G214" s="209" t="b">
        <f>COUNTIF($A$4:A213,$A214)&gt;0</f>
        <v>0</v>
      </c>
      <c r="H214" s="210" t="b">
        <f>IF($H$1,FALSE,COUNTIF(入力シート!$S$37:$V$62,B214)=0)</f>
        <v>0</v>
      </c>
      <c r="I214" s="210" t="b">
        <f t="shared" si="8"/>
        <v>0</v>
      </c>
      <c r="J214" s="210" t="b">
        <f>IF($J$1,FALSE,IF(I214=TRUE,FALSE,IF(I214,FALSE,C214&gt;入力シート!$J$24)))</f>
        <v>0</v>
      </c>
      <c r="K214" s="210" t="b">
        <f>IF($K$1,FALSE,COUNTIF(入力シート!$AW$37:$BB$38,D214)=0)</f>
        <v>0</v>
      </c>
      <c r="L214" s="210" t="b">
        <f>IF($L$1,FALSE,IF($L$3,FALSE,IF(E214="",FALSE,COUNTIF(入力シート!$AH$37:$AK$62,E214)=0)))</f>
        <v>0</v>
      </c>
      <c r="M214" s="211" t="str">
        <f t="shared" si="7"/>
        <v/>
      </c>
      <c r="N214" s="211"/>
      <c r="O214" s="209" t="str">
        <f>IF(B214="","",VLOOKUP('従業員情報(給与以外)'!$B214,入力シート!$S$37:$Z$62,5,0))</f>
        <v/>
      </c>
      <c r="P214" s="156" t="str">
        <f>IF(ISNUMBER(C214)=FALSE,"",IF(C214&gt;入力シート!$J$24,"",_xlfn.DAYS(入力シート!$J$24,'従業員情報(給与以外)'!$C214)/365))</f>
        <v/>
      </c>
      <c r="Q214" s="210" t="str">
        <f>IF(P214="","",VLOOKUP(_xlfn.DAYS(入力シート!$J$24,'従業員情報(給与以外)'!$C214)/365,入力リスト!$K$18:$L$26,2,2))</f>
        <v/>
      </c>
      <c r="R214" s="209" t="str">
        <f>IF(D214="","",VLOOKUP('従業員情報(給与以外)'!$D214,入力シート!$AW$37:$BB$38,4,0))</f>
        <v/>
      </c>
      <c r="S214" s="209" t="str">
        <f>IF(A214="","",IF(E214="","非役職",VLOOKUP('従業員情報(給与以外)'!$E214,入力シート!$AH$37:$AO$62,5,0)))</f>
        <v/>
      </c>
      <c r="T214" s="102" t="str">
        <f>IF(OR(入力シート!$C$5&lt;&gt;入力リスト!$C$3,COUNTIF(入力シート!$J$16:$S$23,入力リスト!$H$9)=0),"",IF($A214="","",IF(ISERROR(AVERAGEIF(従業員の給与情報!$B:$B,$A214,従業員の給与情報!$C:$C)),0,IF(ISERROR(AVERAGEIF(従業員の給与情報!$B:$B,$A214,従業員の給与情報!$C:$C)),0,AVERAGEIF(従業員の給与情報!$B:$B,$A214,従業員の給与情報!$C:$C)))))</f>
        <v/>
      </c>
      <c r="U214" s="102" t="str">
        <f>IF(OR(入力シート!$C$5&lt;&gt;入力リスト!$C$3,COUNTIF(入力シート!$J$16:$S$23,入力リスト!$H$9)=0),"",IF(A214="","",IF(ISERROR(AVERAGEIF(従業員の給与情報!$B:$B,$A214,従業員の給与情報!$D:$D)),0,IF(ISERROR(AVERAGEIF(従業員の給与情報!$B:$B,$A214,従業員の給与情報!$D:$D)),0,AVERAGEIF(従業員の給与情報!$B:$B,$A214,従業員の給与情報!$D:$D)))))</f>
        <v/>
      </c>
      <c r="V214" s="102" t="str">
        <f>IF(OR(入力シート!$C$5&lt;&gt;入力リスト!$C$3,COUNTIF(入力シート!$J$16:$S$23,入力リスト!$H$9)=0),"",IF(A214="","",IF(ISERROR(AVERAGEIF(従業員の給与情報!$B:$B,$A214,従業員の給与情報!$E:$E)),0,IF(ISERROR(AVERAGEIF(従業員の給与情報!$B:$B,$A214,従業員の給与情報!$E:$E)),0,AVERAGEIF(従業員の給与情報!$B:$B,$A214,従業員の給与情報!$E:$E)))))</f>
        <v/>
      </c>
      <c r="W214" s="103" t="str">
        <f>IF(OR(入力シート!$C$5&lt;&gt;入力リスト!$C$3,COUNTIF(入力シート!$J$16:$S$23,入力リスト!$H$9)=0),"",IF(A214="","",IF(ISERROR(AVERAGEIF(従業員の給与情報!$B:$B,$A214,従業員の給与情報!$F:$F)),0,IF(ISERROR(AVERAGEIF(従業員の給与情報!$B:$B,$A214,従業員の給与情報!$F:$F)),0,AVERAGEIF(従業員の給与情報!$B:$B,$A214,従業員の給与情報!$F:$F)))))</f>
        <v/>
      </c>
    </row>
    <row r="215" spans="1:23" s="10" customFormat="1">
      <c r="A215" s="253"/>
      <c r="B215" s="246"/>
      <c r="C215" s="247"/>
      <c r="D215" s="246"/>
      <c r="E215" s="246"/>
      <c r="F215" s="257" t="str">
        <f>IF($G$1,"",IF(COUNTIF(A215:E215,"")=5,"",IF(G215,入力リスト!$K$28,IF(OR(A215="",B215="",IF(COUNTIF($C$3,"*不要*"),"",C215=""),D215=""),IF(A215="","従業員番号","")&amp;IF(B215="","「雇用形態」","")&amp;IF(OR(入力シート!$J$18=入力リスト!$H$9,入力シート!$J$22=入力リスト!$H$9),IF(C215="","「入社年月日」",""),"")&amp;IF(D215="","「性別」","")&amp;IF(IF(A215="","従業員番号","")&amp;IF(B215="","「雇用形態」","")&amp;IF(OR(入力シート!$J$18=入力リスト!$H$9,入力シート!$J$22=入力リスト!$H$9),IF(C215="","「入社年月日」",""),"")&amp;IF(D215="","「性別」","")="","",入力リスト!$K$29),IF(J215,入力リスト!$K$30,"")&amp;IF(I215,入力リスト!$K$31,"")&amp;IF(H215,"「雇用形態」","")&amp;IF(K215,"「性別」","")&amp;IF(L215,"「役職」","")&amp;IF(OR(H215,K215,L215),入力リスト!$K$32,"")))))</f>
        <v/>
      </c>
      <c r="G215" s="209" t="b">
        <f>COUNTIF($A$4:A214,$A215)&gt;0</f>
        <v>0</v>
      </c>
      <c r="H215" s="210" t="b">
        <f>IF($H$1,FALSE,COUNTIF(入力シート!$S$37:$V$62,B215)=0)</f>
        <v>0</v>
      </c>
      <c r="I215" s="210" t="b">
        <f t="shared" si="8"/>
        <v>0</v>
      </c>
      <c r="J215" s="210" t="b">
        <f>IF($J$1,FALSE,IF(I215=TRUE,FALSE,IF(I215,FALSE,C215&gt;入力シート!$J$24)))</f>
        <v>0</v>
      </c>
      <c r="K215" s="210" t="b">
        <f>IF($K$1,FALSE,COUNTIF(入力シート!$AW$37:$BB$38,D215)=0)</f>
        <v>0</v>
      </c>
      <c r="L215" s="210" t="b">
        <f>IF($L$1,FALSE,IF($L$3,FALSE,IF(E215="",FALSE,COUNTIF(入力シート!$AH$37:$AK$62,E215)=0)))</f>
        <v>0</v>
      </c>
      <c r="M215" s="211" t="str">
        <f t="shared" si="7"/>
        <v/>
      </c>
      <c r="N215" s="211"/>
      <c r="O215" s="209" t="str">
        <f>IF(B215="","",VLOOKUP('従業員情報(給与以外)'!$B215,入力シート!$S$37:$Z$62,5,0))</f>
        <v/>
      </c>
      <c r="P215" s="156" t="str">
        <f>IF(ISNUMBER(C215)=FALSE,"",IF(C215&gt;入力シート!$J$24,"",_xlfn.DAYS(入力シート!$J$24,'従業員情報(給与以外)'!$C215)/365))</f>
        <v/>
      </c>
      <c r="Q215" s="210" t="str">
        <f>IF(P215="","",VLOOKUP(_xlfn.DAYS(入力シート!$J$24,'従業員情報(給与以外)'!$C215)/365,入力リスト!$K$18:$L$26,2,2))</f>
        <v/>
      </c>
      <c r="R215" s="209" t="str">
        <f>IF(D215="","",VLOOKUP('従業員情報(給与以外)'!$D215,入力シート!$AW$37:$BB$38,4,0))</f>
        <v/>
      </c>
      <c r="S215" s="209" t="str">
        <f>IF(A215="","",IF(E215="","非役職",VLOOKUP('従業員情報(給与以外)'!$E215,入力シート!$AH$37:$AO$62,5,0)))</f>
        <v/>
      </c>
      <c r="T215" s="102" t="str">
        <f>IF(OR(入力シート!$C$5&lt;&gt;入力リスト!$C$3,COUNTIF(入力シート!$J$16:$S$23,入力リスト!$H$9)=0),"",IF($A215="","",IF(ISERROR(AVERAGEIF(従業員の給与情報!$B:$B,$A215,従業員の給与情報!$C:$C)),0,IF(ISERROR(AVERAGEIF(従業員の給与情報!$B:$B,$A215,従業員の給与情報!$C:$C)),0,AVERAGEIF(従業員の給与情報!$B:$B,$A215,従業員の給与情報!$C:$C)))))</f>
        <v/>
      </c>
      <c r="U215" s="102" t="str">
        <f>IF(OR(入力シート!$C$5&lt;&gt;入力リスト!$C$3,COUNTIF(入力シート!$J$16:$S$23,入力リスト!$H$9)=0),"",IF(A215="","",IF(ISERROR(AVERAGEIF(従業員の給与情報!$B:$B,$A215,従業員の給与情報!$D:$D)),0,IF(ISERROR(AVERAGEIF(従業員の給与情報!$B:$B,$A215,従業員の給与情報!$D:$D)),0,AVERAGEIF(従業員の給与情報!$B:$B,$A215,従業員の給与情報!$D:$D)))))</f>
        <v/>
      </c>
      <c r="V215" s="102" t="str">
        <f>IF(OR(入力シート!$C$5&lt;&gt;入力リスト!$C$3,COUNTIF(入力シート!$J$16:$S$23,入力リスト!$H$9)=0),"",IF(A215="","",IF(ISERROR(AVERAGEIF(従業員の給与情報!$B:$B,$A215,従業員の給与情報!$E:$E)),0,IF(ISERROR(AVERAGEIF(従業員の給与情報!$B:$B,$A215,従業員の給与情報!$E:$E)),0,AVERAGEIF(従業員の給与情報!$B:$B,$A215,従業員の給与情報!$E:$E)))))</f>
        <v/>
      </c>
      <c r="W215" s="103" t="str">
        <f>IF(OR(入力シート!$C$5&lt;&gt;入力リスト!$C$3,COUNTIF(入力シート!$J$16:$S$23,入力リスト!$H$9)=0),"",IF(A215="","",IF(ISERROR(AVERAGEIF(従業員の給与情報!$B:$B,$A215,従業員の給与情報!$F:$F)),0,IF(ISERROR(AVERAGEIF(従業員の給与情報!$B:$B,$A215,従業員の給与情報!$F:$F)),0,AVERAGEIF(従業員の給与情報!$B:$B,$A215,従業員の給与情報!$F:$F)))))</f>
        <v/>
      </c>
    </row>
    <row r="216" spans="1:23" s="10" customFormat="1">
      <c r="A216" s="253"/>
      <c r="B216" s="246"/>
      <c r="C216" s="247"/>
      <c r="D216" s="246"/>
      <c r="E216" s="246"/>
      <c r="F216" s="257" t="str">
        <f>IF($G$1,"",IF(COUNTIF(A216:E216,"")=5,"",IF(G216,入力リスト!$K$28,IF(OR(A216="",B216="",IF(COUNTIF($C$3,"*不要*"),"",C216=""),D216=""),IF(A216="","従業員番号","")&amp;IF(B216="","「雇用形態」","")&amp;IF(OR(入力シート!$J$18=入力リスト!$H$9,入力シート!$J$22=入力リスト!$H$9),IF(C216="","「入社年月日」",""),"")&amp;IF(D216="","「性別」","")&amp;IF(IF(A216="","従業員番号","")&amp;IF(B216="","「雇用形態」","")&amp;IF(OR(入力シート!$J$18=入力リスト!$H$9,入力シート!$J$22=入力リスト!$H$9),IF(C216="","「入社年月日」",""),"")&amp;IF(D216="","「性別」","")="","",入力リスト!$K$29),IF(J216,入力リスト!$K$30,"")&amp;IF(I216,入力リスト!$K$31,"")&amp;IF(H216,"「雇用形態」","")&amp;IF(K216,"「性別」","")&amp;IF(L216,"「役職」","")&amp;IF(OR(H216,K216,L216),入力リスト!$K$32,"")))))</f>
        <v/>
      </c>
      <c r="G216" s="209" t="b">
        <f>COUNTIF($A$4:A215,$A216)&gt;0</f>
        <v>0</v>
      </c>
      <c r="H216" s="210" t="b">
        <f>IF($H$1,FALSE,COUNTIF(入力シート!$S$37:$V$62,B216)=0)</f>
        <v>0</v>
      </c>
      <c r="I216" s="210" t="b">
        <f t="shared" si="8"/>
        <v>0</v>
      </c>
      <c r="J216" s="210" t="b">
        <f>IF($J$1,FALSE,IF(I216=TRUE,FALSE,IF(I216,FALSE,C216&gt;入力シート!$J$24)))</f>
        <v>0</v>
      </c>
      <c r="K216" s="210" t="b">
        <f>IF($K$1,FALSE,COUNTIF(入力シート!$AW$37:$BB$38,D216)=0)</f>
        <v>0</v>
      </c>
      <c r="L216" s="210" t="b">
        <f>IF($L$1,FALSE,IF($L$3,FALSE,IF(E216="",FALSE,COUNTIF(入力シート!$AH$37:$AK$62,E216)=0)))</f>
        <v>0</v>
      </c>
      <c r="M216" s="211" t="str">
        <f t="shared" si="7"/>
        <v/>
      </c>
      <c r="N216" s="211"/>
      <c r="O216" s="209" t="str">
        <f>IF(B216="","",VLOOKUP('従業員情報(給与以外)'!$B216,入力シート!$S$37:$Z$62,5,0))</f>
        <v/>
      </c>
      <c r="P216" s="156" t="str">
        <f>IF(ISNUMBER(C216)=FALSE,"",IF(C216&gt;入力シート!$J$24,"",_xlfn.DAYS(入力シート!$J$24,'従業員情報(給与以外)'!$C216)/365))</f>
        <v/>
      </c>
      <c r="Q216" s="210" t="str">
        <f>IF(P216="","",VLOOKUP(_xlfn.DAYS(入力シート!$J$24,'従業員情報(給与以外)'!$C216)/365,入力リスト!$K$18:$L$26,2,2))</f>
        <v/>
      </c>
      <c r="R216" s="209" t="str">
        <f>IF(D216="","",VLOOKUP('従業員情報(給与以外)'!$D216,入力シート!$AW$37:$BB$38,4,0))</f>
        <v/>
      </c>
      <c r="S216" s="209" t="str">
        <f>IF(A216="","",IF(E216="","非役職",VLOOKUP('従業員情報(給与以外)'!$E216,入力シート!$AH$37:$AO$62,5,0)))</f>
        <v/>
      </c>
      <c r="T216" s="102" t="str">
        <f>IF(OR(入力シート!$C$5&lt;&gt;入力リスト!$C$3,COUNTIF(入力シート!$J$16:$S$23,入力リスト!$H$9)=0),"",IF($A216="","",IF(ISERROR(AVERAGEIF(従業員の給与情報!$B:$B,$A216,従業員の給与情報!$C:$C)),0,IF(ISERROR(AVERAGEIF(従業員の給与情報!$B:$B,$A216,従業員の給与情報!$C:$C)),0,AVERAGEIF(従業員の給与情報!$B:$B,$A216,従業員の給与情報!$C:$C)))))</f>
        <v/>
      </c>
      <c r="U216" s="102" t="str">
        <f>IF(OR(入力シート!$C$5&lt;&gt;入力リスト!$C$3,COUNTIF(入力シート!$J$16:$S$23,入力リスト!$H$9)=0),"",IF(A216="","",IF(ISERROR(AVERAGEIF(従業員の給与情報!$B:$B,$A216,従業員の給与情報!$D:$D)),0,IF(ISERROR(AVERAGEIF(従業員の給与情報!$B:$B,$A216,従業員の給与情報!$D:$D)),0,AVERAGEIF(従業員の給与情報!$B:$B,$A216,従業員の給与情報!$D:$D)))))</f>
        <v/>
      </c>
      <c r="V216" s="102" t="str">
        <f>IF(OR(入力シート!$C$5&lt;&gt;入力リスト!$C$3,COUNTIF(入力シート!$J$16:$S$23,入力リスト!$H$9)=0),"",IF(A216="","",IF(ISERROR(AVERAGEIF(従業員の給与情報!$B:$B,$A216,従業員の給与情報!$E:$E)),0,IF(ISERROR(AVERAGEIF(従業員の給与情報!$B:$B,$A216,従業員の給与情報!$E:$E)),0,AVERAGEIF(従業員の給与情報!$B:$B,$A216,従業員の給与情報!$E:$E)))))</f>
        <v/>
      </c>
      <c r="W216" s="103" t="str">
        <f>IF(OR(入力シート!$C$5&lt;&gt;入力リスト!$C$3,COUNTIF(入力シート!$J$16:$S$23,入力リスト!$H$9)=0),"",IF(A216="","",IF(ISERROR(AVERAGEIF(従業員の給与情報!$B:$B,$A216,従業員の給与情報!$F:$F)),0,IF(ISERROR(AVERAGEIF(従業員の給与情報!$B:$B,$A216,従業員の給与情報!$F:$F)),0,AVERAGEIF(従業員の給与情報!$B:$B,$A216,従業員の給与情報!$F:$F)))))</f>
        <v/>
      </c>
    </row>
    <row r="217" spans="1:23" s="10" customFormat="1">
      <c r="A217" s="253"/>
      <c r="B217" s="246"/>
      <c r="C217" s="247"/>
      <c r="D217" s="246"/>
      <c r="E217" s="246"/>
      <c r="F217" s="257" t="str">
        <f>IF($G$1,"",IF(COUNTIF(A217:E217,"")=5,"",IF(G217,入力リスト!$K$28,IF(OR(A217="",B217="",IF(COUNTIF($C$3,"*不要*"),"",C217=""),D217=""),IF(A217="","従業員番号","")&amp;IF(B217="","「雇用形態」","")&amp;IF(OR(入力シート!$J$18=入力リスト!$H$9,入力シート!$J$22=入力リスト!$H$9),IF(C217="","「入社年月日」",""),"")&amp;IF(D217="","「性別」","")&amp;IF(IF(A217="","従業員番号","")&amp;IF(B217="","「雇用形態」","")&amp;IF(OR(入力シート!$J$18=入力リスト!$H$9,入力シート!$J$22=入力リスト!$H$9),IF(C217="","「入社年月日」",""),"")&amp;IF(D217="","「性別」","")="","",入力リスト!$K$29),IF(J217,入力リスト!$K$30,"")&amp;IF(I217,入力リスト!$K$31,"")&amp;IF(H217,"「雇用形態」","")&amp;IF(K217,"「性別」","")&amp;IF(L217,"「役職」","")&amp;IF(OR(H217,K217,L217),入力リスト!$K$32,"")))))</f>
        <v/>
      </c>
      <c r="G217" s="209" t="b">
        <f>COUNTIF($A$4:A216,$A217)&gt;0</f>
        <v>0</v>
      </c>
      <c r="H217" s="210" t="b">
        <f>IF($H$1,FALSE,COUNTIF(入力シート!$S$37:$V$62,B217)=0)</f>
        <v>0</v>
      </c>
      <c r="I217" s="210" t="b">
        <f t="shared" si="8"/>
        <v>0</v>
      </c>
      <c r="J217" s="210" t="b">
        <f>IF($J$1,FALSE,IF(I217=TRUE,FALSE,IF(I217,FALSE,C217&gt;入力シート!$J$24)))</f>
        <v>0</v>
      </c>
      <c r="K217" s="210" t="b">
        <f>IF($K$1,FALSE,COUNTIF(入力シート!$AW$37:$BB$38,D217)=0)</f>
        <v>0</v>
      </c>
      <c r="L217" s="210" t="b">
        <f>IF($L$1,FALSE,IF($L$3,FALSE,IF(E217="",FALSE,COUNTIF(入力シート!$AH$37:$AK$62,E217)=0)))</f>
        <v>0</v>
      </c>
      <c r="M217" s="211" t="str">
        <f t="shared" si="7"/>
        <v/>
      </c>
      <c r="N217" s="211"/>
      <c r="O217" s="209" t="str">
        <f>IF(B217="","",VLOOKUP('従業員情報(給与以外)'!$B217,入力シート!$S$37:$Z$62,5,0))</f>
        <v/>
      </c>
      <c r="P217" s="156" t="str">
        <f>IF(ISNUMBER(C217)=FALSE,"",IF(C217&gt;入力シート!$J$24,"",_xlfn.DAYS(入力シート!$J$24,'従業員情報(給与以外)'!$C217)/365))</f>
        <v/>
      </c>
      <c r="Q217" s="210" t="str">
        <f>IF(P217="","",VLOOKUP(_xlfn.DAYS(入力シート!$J$24,'従業員情報(給与以外)'!$C217)/365,入力リスト!$K$18:$L$26,2,2))</f>
        <v/>
      </c>
      <c r="R217" s="209" t="str">
        <f>IF(D217="","",VLOOKUP('従業員情報(給与以外)'!$D217,入力シート!$AW$37:$BB$38,4,0))</f>
        <v/>
      </c>
      <c r="S217" s="209" t="str">
        <f>IF(A217="","",IF(E217="","非役職",VLOOKUP('従業員情報(給与以外)'!$E217,入力シート!$AH$37:$AO$62,5,0)))</f>
        <v/>
      </c>
      <c r="T217" s="102" t="str">
        <f>IF(OR(入力シート!$C$5&lt;&gt;入力リスト!$C$3,COUNTIF(入力シート!$J$16:$S$23,入力リスト!$H$9)=0),"",IF($A217="","",IF(ISERROR(AVERAGEIF(従業員の給与情報!$B:$B,$A217,従業員の給与情報!$C:$C)),0,IF(ISERROR(AVERAGEIF(従業員の給与情報!$B:$B,$A217,従業員の給与情報!$C:$C)),0,AVERAGEIF(従業員の給与情報!$B:$B,$A217,従業員の給与情報!$C:$C)))))</f>
        <v/>
      </c>
      <c r="U217" s="102" t="str">
        <f>IF(OR(入力シート!$C$5&lt;&gt;入力リスト!$C$3,COUNTIF(入力シート!$J$16:$S$23,入力リスト!$H$9)=0),"",IF(A217="","",IF(ISERROR(AVERAGEIF(従業員の給与情報!$B:$B,$A217,従業員の給与情報!$D:$D)),0,IF(ISERROR(AVERAGEIF(従業員の給与情報!$B:$B,$A217,従業員の給与情報!$D:$D)),0,AVERAGEIF(従業員の給与情報!$B:$B,$A217,従業員の給与情報!$D:$D)))))</f>
        <v/>
      </c>
      <c r="V217" s="102" t="str">
        <f>IF(OR(入力シート!$C$5&lt;&gt;入力リスト!$C$3,COUNTIF(入力シート!$J$16:$S$23,入力リスト!$H$9)=0),"",IF(A217="","",IF(ISERROR(AVERAGEIF(従業員の給与情報!$B:$B,$A217,従業員の給与情報!$E:$E)),0,IF(ISERROR(AVERAGEIF(従業員の給与情報!$B:$B,$A217,従業員の給与情報!$E:$E)),0,AVERAGEIF(従業員の給与情報!$B:$B,$A217,従業員の給与情報!$E:$E)))))</f>
        <v/>
      </c>
      <c r="W217" s="103" t="str">
        <f>IF(OR(入力シート!$C$5&lt;&gt;入力リスト!$C$3,COUNTIF(入力シート!$J$16:$S$23,入力リスト!$H$9)=0),"",IF(A217="","",IF(ISERROR(AVERAGEIF(従業員の給与情報!$B:$B,$A217,従業員の給与情報!$F:$F)),0,IF(ISERROR(AVERAGEIF(従業員の給与情報!$B:$B,$A217,従業員の給与情報!$F:$F)),0,AVERAGEIF(従業員の給与情報!$B:$B,$A217,従業員の給与情報!$F:$F)))))</f>
        <v/>
      </c>
    </row>
    <row r="218" spans="1:23" s="10" customFormat="1">
      <c r="A218" s="253"/>
      <c r="B218" s="246"/>
      <c r="C218" s="247"/>
      <c r="D218" s="246"/>
      <c r="E218" s="246"/>
      <c r="F218" s="257" t="str">
        <f>IF($G$1,"",IF(COUNTIF(A218:E218,"")=5,"",IF(G218,入力リスト!$K$28,IF(OR(A218="",B218="",IF(COUNTIF($C$3,"*不要*"),"",C218=""),D218=""),IF(A218="","従業員番号","")&amp;IF(B218="","「雇用形態」","")&amp;IF(OR(入力シート!$J$18=入力リスト!$H$9,入力シート!$J$22=入力リスト!$H$9),IF(C218="","「入社年月日」",""),"")&amp;IF(D218="","「性別」","")&amp;IF(IF(A218="","従業員番号","")&amp;IF(B218="","「雇用形態」","")&amp;IF(OR(入力シート!$J$18=入力リスト!$H$9,入力シート!$J$22=入力リスト!$H$9),IF(C218="","「入社年月日」",""),"")&amp;IF(D218="","「性別」","")="","",入力リスト!$K$29),IF(J218,入力リスト!$K$30,"")&amp;IF(I218,入力リスト!$K$31,"")&amp;IF(H218,"「雇用形態」","")&amp;IF(K218,"「性別」","")&amp;IF(L218,"「役職」","")&amp;IF(OR(H218,K218,L218),入力リスト!$K$32,"")))))</f>
        <v/>
      </c>
      <c r="G218" s="209" t="b">
        <f>COUNTIF($A$4:A217,$A218)&gt;0</f>
        <v>0</v>
      </c>
      <c r="H218" s="210" t="b">
        <f>IF($H$1,FALSE,COUNTIF(入力シート!$S$37:$V$62,B218)=0)</f>
        <v>0</v>
      </c>
      <c r="I218" s="210" t="b">
        <f t="shared" si="8"/>
        <v>0</v>
      </c>
      <c r="J218" s="210" t="b">
        <f>IF($J$1,FALSE,IF(I218=TRUE,FALSE,IF(I218,FALSE,C218&gt;入力シート!$J$24)))</f>
        <v>0</v>
      </c>
      <c r="K218" s="210" t="b">
        <f>IF($K$1,FALSE,COUNTIF(入力シート!$AW$37:$BB$38,D218)=0)</f>
        <v>0</v>
      </c>
      <c r="L218" s="210" t="b">
        <f>IF($L$1,FALSE,IF($L$3,FALSE,IF(E218="",FALSE,COUNTIF(入力シート!$AH$37:$AK$62,E218)=0)))</f>
        <v>0</v>
      </c>
      <c r="M218" s="211" t="str">
        <f t="shared" si="7"/>
        <v/>
      </c>
      <c r="N218" s="211"/>
      <c r="O218" s="209" t="str">
        <f>IF(B218="","",VLOOKUP('従業員情報(給与以外)'!$B218,入力シート!$S$37:$Z$62,5,0))</f>
        <v/>
      </c>
      <c r="P218" s="156" t="str">
        <f>IF(ISNUMBER(C218)=FALSE,"",IF(C218&gt;入力シート!$J$24,"",_xlfn.DAYS(入力シート!$J$24,'従業員情報(給与以外)'!$C218)/365))</f>
        <v/>
      </c>
      <c r="Q218" s="210" t="str">
        <f>IF(P218="","",VLOOKUP(_xlfn.DAYS(入力シート!$J$24,'従業員情報(給与以外)'!$C218)/365,入力リスト!$K$18:$L$26,2,2))</f>
        <v/>
      </c>
      <c r="R218" s="209" t="str">
        <f>IF(D218="","",VLOOKUP('従業員情報(給与以外)'!$D218,入力シート!$AW$37:$BB$38,4,0))</f>
        <v/>
      </c>
      <c r="S218" s="209" t="str">
        <f>IF(A218="","",IF(E218="","非役職",VLOOKUP('従業員情報(給与以外)'!$E218,入力シート!$AH$37:$AO$62,5,0)))</f>
        <v/>
      </c>
      <c r="T218" s="102" t="str">
        <f>IF(OR(入力シート!$C$5&lt;&gt;入力リスト!$C$3,COUNTIF(入力シート!$J$16:$S$23,入力リスト!$H$9)=0),"",IF($A218="","",IF(ISERROR(AVERAGEIF(従業員の給与情報!$B:$B,$A218,従業員の給与情報!$C:$C)),0,IF(ISERROR(AVERAGEIF(従業員の給与情報!$B:$B,$A218,従業員の給与情報!$C:$C)),0,AVERAGEIF(従業員の給与情報!$B:$B,$A218,従業員の給与情報!$C:$C)))))</f>
        <v/>
      </c>
      <c r="U218" s="102" t="str">
        <f>IF(OR(入力シート!$C$5&lt;&gt;入力リスト!$C$3,COUNTIF(入力シート!$J$16:$S$23,入力リスト!$H$9)=0),"",IF(A218="","",IF(ISERROR(AVERAGEIF(従業員の給与情報!$B:$B,$A218,従業員の給与情報!$D:$D)),0,IF(ISERROR(AVERAGEIF(従業員の給与情報!$B:$B,$A218,従業員の給与情報!$D:$D)),0,AVERAGEIF(従業員の給与情報!$B:$B,$A218,従業員の給与情報!$D:$D)))))</f>
        <v/>
      </c>
      <c r="V218" s="102" t="str">
        <f>IF(OR(入力シート!$C$5&lt;&gt;入力リスト!$C$3,COUNTIF(入力シート!$J$16:$S$23,入力リスト!$H$9)=0),"",IF(A218="","",IF(ISERROR(AVERAGEIF(従業員の給与情報!$B:$B,$A218,従業員の給与情報!$E:$E)),0,IF(ISERROR(AVERAGEIF(従業員の給与情報!$B:$B,$A218,従業員の給与情報!$E:$E)),0,AVERAGEIF(従業員の給与情報!$B:$B,$A218,従業員の給与情報!$E:$E)))))</f>
        <v/>
      </c>
      <c r="W218" s="103" t="str">
        <f>IF(OR(入力シート!$C$5&lt;&gt;入力リスト!$C$3,COUNTIF(入力シート!$J$16:$S$23,入力リスト!$H$9)=0),"",IF(A218="","",IF(ISERROR(AVERAGEIF(従業員の給与情報!$B:$B,$A218,従業員の給与情報!$F:$F)),0,IF(ISERROR(AVERAGEIF(従業員の給与情報!$B:$B,$A218,従業員の給与情報!$F:$F)),0,AVERAGEIF(従業員の給与情報!$B:$B,$A218,従業員の給与情報!$F:$F)))))</f>
        <v/>
      </c>
    </row>
    <row r="219" spans="1:23" s="10" customFormat="1">
      <c r="A219" s="253"/>
      <c r="B219" s="246"/>
      <c r="C219" s="247"/>
      <c r="D219" s="246"/>
      <c r="E219" s="246"/>
      <c r="F219" s="257" t="str">
        <f>IF($G$1,"",IF(COUNTIF(A219:E219,"")=5,"",IF(G219,入力リスト!$K$28,IF(OR(A219="",B219="",IF(COUNTIF($C$3,"*不要*"),"",C219=""),D219=""),IF(A219="","従業員番号","")&amp;IF(B219="","「雇用形態」","")&amp;IF(OR(入力シート!$J$18=入力リスト!$H$9,入力シート!$J$22=入力リスト!$H$9),IF(C219="","「入社年月日」",""),"")&amp;IF(D219="","「性別」","")&amp;IF(IF(A219="","従業員番号","")&amp;IF(B219="","「雇用形態」","")&amp;IF(OR(入力シート!$J$18=入力リスト!$H$9,入力シート!$J$22=入力リスト!$H$9),IF(C219="","「入社年月日」",""),"")&amp;IF(D219="","「性別」","")="","",入力リスト!$K$29),IF(J219,入力リスト!$K$30,"")&amp;IF(I219,入力リスト!$K$31,"")&amp;IF(H219,"「雇用形態」","")&amp;IF(K219,"「性別」","")&amp;IF(L219,"「役職」","")&amp;IF(OR(H219,K219,L219),入力リスト!$K$32,"")))))</f>
        <v/>
      </c>
      <c r="G219" s="209" t="b">
        <f>COUNTIF($A$4:A218,$A219)&gt;0</f>
        <v>0</v>
      </c>
      <c r="H219" s="210" t="b">
        <f>IF($H$1,FALSE,COUNTIF(入力シート!$S$37:$V$62,B219)=0)</f>
        <v>0</v>
      </c>
      <c r="I219" s="210" t="b">
        <f t="shared" si="8"/>
        <v>0</v>
      </c>
      <c r="J219" s="210" t="b">
        <f>IF($J$1,FALSE,IF(I219=TRUE,FALSE,IF(I219,FALSE,C219&gt;入力シート!$J$24)))</f>
        <v>0</v>
      </c>
      <c r="K219" s="210" t="b">
        <f>IF($K$1,FALSE,COUNTIF(入力シート!$AW$37:$BB$38,D219)=0)</f>
        <v>0</v>
      </c>
      <c r="L219" s="210" t="b">
        <f>IF($L$1,FALSE,IF($L$3,FALSE,IF(E219="",FALSE,COUNTIF(入力シート!$AH$37:$AK$62,E219)=0)))</f>
        <v>0</v>
      </c>
      <c r="M219" s="211" t="str">
        <f t="shared" si="7"/>
        <v/>
      </c>
      <c r="N219" s="211"/>
      <c r="O219" s="209" t="str">
        <f>IF(B219="","",VLOOKUP('従業員情報(給与以外)'!$B219,入力シート!$S$37:$Z$62,5,0))</f>
        <v/>
      </c>
      <c r="P219" s="156" t="str">
        <f>IF(ISNUMBER(C219)=FALSE,"",IF(C219&gt;入力シート!$J$24,"",_xlfn.DAYS(入力シート!$J$24,'従業員情報(給与以外)'!$C219)/365))</f>
        <v/>
      </c>
      <c r="Q219" s="210" t="str">
        <f>IF(P219="","",VLOOKUP(_xlfn.DAYS(入力シート!$J$24,'従業員情報(給与以外)'!$C219)/365,入力リスト!$K$18:$L$26,2,2))</f>
        <v/>
      </c>
      <c r="R219" s="209" t="str">
        <f>IF(D219="","",VLOOKUP('従業員情報(給与以外)'!$D219,入力シート!$AW$37:$BB$38,4,0))</f>
        <v/>
      </c>
      <c r="S219" s="209" t="str">
        <f>IF(A219="","",IF(E219="","非役職",VLOOKUP('従業員情報(給与以外)'!$E219,入力シート!$AH$37:$AO$62,5,0)))</f>
        <v/>
      </c>
      <c r="T219" s="102" t="str">
        <f>IF(OR(入力シート!$C$5&lt;&gt;入力リスト!$C$3,COUNTIF(入力シート!$J$16:$S$23,入力リスト!$H$9)=0),"",IF($A219="","",IF(ISERROR(AVERAGEIF(従業員の給与情報!$B:$B,$A219,従業員の給与情報!$C:$C)),0,IF(ISERROR(AVERAGEIF(従業員の給与情報!$B:$B,$A219,従業員の給与情報!$C:$C)),0,AVERAGEIF(従業員の給与情報!$B:$B,$A219,従業員の給与情報!$C:$C)))))</f>
        <v/>
      </c>
      <c r="U219" s="102" t="str">
        <f>IF(OR(入力シート!$C$5&lt;&gt;入力リスト!$C$3,COUNTIF(入力シート!$J$16:$S$23,入力リスト!$H$9)=0),"",IF(A219="","",IF(ISERROR(AVERAGEIF(従業員の給与情報!$B:$B,$A219,従業員の給与情報!$D:$D)),0,IF(ISERROR(AVERAGEIF(従業員の給与情報!$B:$B,$A219,従業員の給与情報!$D:$D)),0,AVERAGEIF(従業員の給与情報!$B:$B,$A219,従業員の給与情報!$D:$D)))))</f>
        <v/>
      </c>
      <c r="V219" s="102" t="str">
        <f>IF(OR(入力シート!$C$5&lt;&gt;入力リスト!$C$3,COUNTIF(入力シート!$J$16:$S$23,入力リスト!$H$9)=0),"",IF(A219="","",IF(ISERROR(AVERAGEIF(従業員の給与情報!$B:$B,$A219,従業員の給与情報!$E:$E)),0,IF(ISERROR(AVERAGEIF(従業員の給与情報!$B:$B,$A219,従業員の給与情報!$E:$E)),0,AVERAGEIF(従業員の給与情報!$B:$B,$A219,従業員の給与情報!$E:$E)))))</f>
        <v/>
      </c>
      <c r="W219" s="103" t="str">
        <f>IF(OR(入力シート!$C$5&lt;&gt;入力リスト!$C$3,COUNTIF(入力シート!$J$16:$S$23,入力リスト!$H$9)=0),"",IF(A219="","",IF(ISERROR(AVERAGEIF(従業員の給与情報!$B:$B,$A219,従業員の給与情報!$F:$F)),0,IF(ISERROR(AVERAGEIF(従業員の給与情報!$B:$B,$A219,従業員の給与情報!$F:$F)),0,AVERAGEIF(従業員の給与情報!$B:$B,$A219,従業員の給与情報!$F:$F)))))</f>
        <v/>
      </c>
    </row>
    <row r="220" spans="1:23" s="10" customFormat="1">
      <c r="A220" s="253"/>
      <c r="B220" s="246"/>
      <c r="C220" s="247"/>
      <c r="D220" s="246"/>
      <c r="E220" s="246"/>
      <c r="F220" s="257" t="str">
        <f>IF($G$1,"",IF(COUNTIF(A220:E220,"")=5,"",IF(G220,入力リスト!$K$28,IF(OR(A220="",B220="",IF(COUNTIF($C$3,"*不要*"),"",C220=""),D220=""),IF(A220="","従業員番号","")&amp;IF(B220="","「雇用形態」","")&amp;IF(OR(入力シート!$J$18=入力リスト!$H$9,入力シート!$J$22=入力リスト!$H$9),IF(C220="","「入社年月日」",""),"")&amp;IF(D220="","「性別」","")&amp;IF(IF(A220="","従業員番号","")&amp;IF(B220="","「雇用形態」","")&amp;IF(OR(入力シート!$J$18=入力リスト!$H$9,入力シート!$J$22=入力リスト!$H$9),IF(C220="","「入社年月日」",""),"")&amp;IF(D220="","「性別」","")="","",入力リスト!$K$29),IF(J220,入力リスト!$K$30,"")&amp;IF(I220,入力リスト!$K$31,"")&amp;IF(H220,"「雇用形態」","")&amp;IF(K220,"「性別」","")&amp;IF(L220,"「役職」","")&amp;IF(OR(H220,K220,L220),入力リスト!$K$32,"")))))</f>
        <v/>
      </c>
      <c r="G220" s="209" t="b">
        <f>COUNTIF($A$4:A219,$A220)&gt;0</f>
        <v>0</v>
      </c>
      <c r="H220" s="210" t="b">
        <f>IF($H$1,FALSE,COUNTIF(入力シート!$S$37:$V$62,B220)=0)</f>
        <v>0</v>
      </c>
      <c r="I220" s="210" t="b">
        <f t="shared" si="8"/>
        <v>0</v>
      </c>
      <c r="J220" s="210" t="b">
        <f>IF($J$1,FALSE,IF(I220=TRUE,FALSE,IF(I220,FALSE,C220&gt;入力シート!$J$24)))</f>
        <v>0</v>
      </c>
      <c r="K220" s="210" t="b">
        <f>IF($K$1,FALSE,COUNTIF(入力シート!$AW$37:$BB$38,D220)=0)</f>
        <v>0</v>
      </c>
      <c r="L220" s="210" t="b">
        <f>IF($L$1,FALSE,IF($L$3,FALSE,IF(E220="",FALSE,COUNTIF(入力シート!$AH$37:$AK$62,E220)=0)))</f>
        <v>0</v>
      </c>
      <c r="M220" s="211" t="str">
        <f t="shared" si="7"/>
        <v/>
      </c>
      <c r="N220" s="211"/>
      <c r="O220" s="209" t="str">
        <f>IF(B220="","",VLOOKUP('従業員情報(給与以外)'!$B220,入力シート!$S$37:$Z$62,5,0))</f>
        <v/>
      </c>
      <c r="P220" s="156" t="str">
        <f>IF(ISNUMBER(C220)=FALSE,"",IF(C220&gt;入力シート!$J$24,"",_xlfn.DAYS(入力シート!$J$24,'従業員情報(給与以外)'!$C220)/365))</f>
        <v/>
      </c>
      <c r="Q220" s="210" t="str">
        <f>IF(P220="","",VLOOKUP(_xlfn.DAYS(入力シート!$J$24,'従業員情報(給与以外)'!$C220)/365,入力リスト!$K$18:$L$26,2,2))</f>
        <v/>
      </c>
      <c r="R220" s="209" t="str">
        <f>IF(D220="","",VLOOKUP('従業員情報(給与以外)'!$D220,入力シート!$AW$37:$BB$38,4,0))</f>
        <v/>
      </c>
      <c r="S220" s="209" t="str">
        <f>IF(A220="","",IF(E220="","非役職",VLOOKUP('従業員情報(給与以外)'!$E220,入力シート!$AH$37:$AO$62,5,0)))</f>
        <v/>
      </c>
      <c r="T220" s="102" t="str">
        <f>IF(OR(入力シート!$C$5&lt;&gt;入力リスト!$C$3,COUNTIF(入力シート!$J$16:$S$23,入力リスト!$H$9)=0),"",IF($A220="","",IF(ISERROR(AVERAGEIF(従業員の給与情報!$B:$B,$A220,従業員の給与情報!$C:$C)),0,IF(ISERROR(AVERAGEIF(従業員の給与情報!$B:$B,$A220,従業員の給与情報!$C:$C)),0,AVERAGEIF(従業員の給与情報!$B:$B,$A220,従業員の給与情報!$C:$C)))))</f>
        <v/>
      </c>
      <c r="U220" s="102" t="str">
        <f>IF(OR(入力シート!$C$5&lt;&gt;入力リスト!$C$3,COUNTIF(入力シート!$J$16:$S$23,入力リスト!$H$9)=0),"",IF(A220="","",IF(ISERROR(AVERAGEIF(従業員の給与情報!$B:$B,$A220,従業員の給与情報!$D:$D)),0,IF(ISERROR(AVERAGEIF(従業員の給与情報!$B:$B,$A220,従業員の給与情報!$D:$D)),0,AVERAGEIF(従業員の給与情報!$B:$B,$A220,従業員の給与情報!$D:$D)))))</f>
        <v/>
      </c>
      <c r="V220" s="102" t="str">
        <f>IF(OR(入力シート!$C$5&lt;&gt;入力リスト!$C$3,COUNTIF(入力シート!$J$16:$S$23,入力リスト!$H$9)=0),"",IF(A220="","",IF(ISERROR(AVERAGEIF(従業員の給与情報!$B:$B,$A220,従業員の給与情報!$E:$E)),0,IF(ISERROR(AVERAGEIF(従業員の給与情報!$B:$B,$A220,従業員の給与情報!$E:$E)),0,AVERAGEIF(従業員の給与情報!$B:$B,$A220,従業員の給与情報!$E:$E)))))</f>
        <v/>
      </c>
      <c r="W220" s="103" t="str">
        <f>IF(OR(入力シート!$C$5&lt;&gt;入力リスト!$C$3,COUNTIF(入力シート!$J$16:$S$23,入力リスト!$H$9)=0),"",IF(A220="","",IF(ISERROR(AVERAGEIF(従業員の給与情報!$B:$B,$A220,従業員の給与情報!$F:$F)),0,IF(ISERROR(AVERAGEIF(従業員の給与情報!$B:$B,$A220,従業員の給与情報!$F:$F)),0,AVERAGEIF(従業員の給与情報!$B:$B,$A220,従業員の給与情報!$F:$F)))))</f>
        <v/>
      </c>
    </row>
    <row r="221" spans="1:23" s="10" customFormat="1">
      <c r="A221" s="253"/>
      <c r="B221" s="246"/>
      <c r="C221" s="247"/>
      <c r="D221" s="246"/>
      <c r="E221" s="246"/>
      <c r="F221" s="257" t="str">
        <f>IF($G$1,"",IF(COUNTIF(A221:E221,"")=5,"",IF(G221,入力リスト!$K$28,IF(OR(A221="",B221="",IF(COUNTIF($C$3,"*不要*"),"",C221=""),D221=""),IF(A221="","従業員番号","")&amp;IF(B221="","「雇用形態」","")&amp;IF(OR(入力シート!$J$18=入力リスト!$H$9,入力シート!$J$22=入力リスト!$H$9),IF(C221="","「入社年月日」",""),"")&amp;IF(D221="","「性別」","")&amp;IF(IF(A221="","従業員番号","")&amp;IF(B221="","「雇用形態」","")&amp;IF(OR(入力シート!$J$18=入力リスト!$H$9,入力シート!$J$22=入力リスト!$H$9),IF(C221="","「入社年月日」",""),"")&amp;IF(D221="","「性別」","")="","",入力リスト!$K$29),IF(J221,入力リスト!$K$30,"")&amp;IF(I221,入力リスト!$K$31,"")&amp;IF(H221,"「雇用形態」","")&amp;IF(K221,"「性別」","")&amp;IF(L221,"「役職」","")&amp;IF(OR(H221,K221,L221),入力リスト!$K$32,"")))))</f>
        <v/>
      </c>
      <c r="G221" s="209" t="b">
        <f>COUNTIF($A$4:A220,$A221)&gt;0</f>
        <v>0</v>
      </c>
      <c r="H221" s="210" t="b">
        <f>IF($H$1,FALSE,COUNTIF(入力シート!$S$37:$V$62,B221)=0)</f>
        <v>0</v>
      </c>
      <c r="I221" s="210" t="b">
        <f t="shared" si="8"/>
        <v>0</v>
      </c>
      <c r="J221" s="210" t="b">
        <f>IF($J$1,FALSE,IF(I221=TRUE,FALSE,IF(I221,FALSE,C221&gt;入力シート!$J$24)))</f>
        <v>0</v>
      </c>
      <c r="K221" s="210" t="b">
        <f>IF($K$1,FALSE,COUNTIF(入力シート!$AW$37:$BB$38,D221)=0)</f>
        <v>0</v>
      </c>
      <c r="L221" s="210" t="b">
        <f>IF($L$1,FALSE,IF($L$3,FALSE,IF(E221="",FALSE,COUNTIF(入力シート!$AH$37:$AK$62,E221)=0)))</f>
        <v>0</v>
      </c>
      <c r="M221" s="211" t="str">
        <f t="shared" si="7"/>
        <v/>
      </c>
      <c r="N221" s="211"/>
      <c r="O221" s="209" t="str">
        <f>IF(B221="","",VLOOKUP('従業員情報(給与以外)'!$B221,入力シート!$S$37:$Z$62,5,0))</f>
        <v/>
      </c>
      <c r="P221" s="156" t="str">
        <f>IF(ISNUMBER(C221)=FALSE,"",IF(C221&gt;入力シート!$J$24,"",_xlfn.DAYS(入力シート!$J$24,'従業員情報(給与以外)'!$C221)/365))</f>
        <v/>
      </c>
      <c r="Q221" s="210" t="str">
        <f>IF(P221="","",VLOOKUP(_xlfn.DAYS(入力シート!$J$24,'従業員情報(給与以外)'!$C221)/365,入力リスト!$K$18:$L$26,2,2))</f>
        <v/>
      </c>
      <c r="R221" s="209" t="str">
        <f>IF(D221="","",VLOOKUP('従業員情報(給与以外)'!$D221,入力シート!$AW$37:$BB$38,4,0))</f>
        <v/>
      </c>
      <c r="S221" s="209" t="str">
        <f>IF(A221="","",IF(E221="","非役職",VLOOKUP('従業員情報(給与以外)'!$E221,入力シート!$AH$37:$AO$62,5,0)))</f>
        <v/>
      </c>
      <c r="T221" s="102" t="str">
        <f>IF(OR(入力シート!$C$5&lt;&gt;入力リスト!$C$3,COUNTIF(入力シート!$J$16:$S$23,入力リスト!$H$9)=0),"",IF($A221="","",IF(ISERROR(AVERAGEIF(従業員の給与情報!$B:$B,$A221,従業員の給与情報!$C:$C)),0,IF(ISERROR(AVERAGEIF(従業員の給与情報!$B:$B,$A221,従業員の給与情報!$C:$C)),0,AVERAGEIF(従業員の給与情報!$B:$B,$A221,従業員の給与情報!$C:$C)))))</f>
        <v/>
      </c>
      <c r="U221" s="102" t="str">
        <f>IF(OR(入力シート!$C$5&lt;&gt;入力リスト!$C$3,COUNTIF(入力シート!$J$16:$S$23,入力リスト!$H$9)=0),"",IF(A221="","",IF(ISERROR(AVERAGEIF(従業員の給与情報!$B:$B,$A221,従業員の給与情報!$D:$D)),0,IF(ISERROR(AVERAGEIF(従業員の給与情報!$B:$B,$A221,従業員の給与情報!$D:$D)),0,AVERAGEIF(従業員の給与情報!$B:$B,$A221,従業員の給与情報!$D:$D)))))</f>
        <v/>
      </c>
      <c r="V221" s="102" t="str">
        <f>IF(OR(入力シート!$C$5&lt;&gt;入力リスト!$C$3,COUNTIF(入力シート!$J$16:$S$23,入力リスト!$H$9)=0),"",IF(A221="","",IF(ISERROR(AVERAGEIF(従業員の給与情報!$B:$B,$A221,従業員の給与情報!$E:$E)),0,IF(ISERROR(AVERAGEIF(従業員の給与情報!$B:$B,$A221,従業員の給与情報!$E:$E)),0,AVERAGEIF(従業員の給与情報!$B:$B,$A221,従業員の給与情報!$E:$E)))))</f>
        <v/>
      </c>
      <c r="W221" s="103" t="str">
        <f>IF(OR(入力シート!$C$5&lt;&gt;入力リスト!$C$3,COUNTIF(入力シート!$J$16:$S$23,入力リスト!$H$9)=0),"",IF(A221="","",IF(ISERROR(AVERAGEIF(従業員の給与情報!$B:$B,$A221,従業員の給与情報!$F:$F)),0,IF(ISERROR(AVERAGEIF(従業員の給与情報!$B:$B,$A221,従業員の給与情報!$F:$F)),0,AVERAGEIF(従業員の給与情報!$B:$B,$A221,従業員の給与情報!$F:$F)))))</f>
        <v/>
      </c>
    </row>
    <row r="222" spans="1:23" s="10" customFormat="1">
      <c r="A222" s="253"/>
      <c r="B222" s="246"/>
      <c r="C222" s="247"/>
      <c r="D222" s="246"/>
      <c r="E222" s="246"/>
      <c r="F222" s="257" t="str">
        <f>IF($G$1,"",IF(COUNTIF(A222:E222,"")=5,"",IF(G222,入力リスト!$K$28,IF(OR(A222="",B222="",IF(COUNTIF($C$3,"*不要*"),"",C222=""),D222=""),IF(A222="","従業員番号","")&amp;IF(B222="","「雇用形態」","")&amp;IF(OR(入力シート!$J$18=入力リスト!$H$9,入力シート!$J$22=入力リスト!$H$9),IF(C222="","「入社年月日」",""),"")&amp;IF(D222="","「性別」","")&amp;IF(IF(A222="","従業員番号","")&amp;IF(B222="","「雇用形態」","")&amp;IF(OR(入力シート!$J$18=入力リスト!$H$9,入力シート!$J$22=入力リスト!$H$9),IF(C222="","「入社年月日」",""),"")&amp;IF(D222="","「性別」","")="","",入力リスト!$K$29),IF(J222,入力リスト!$K$30,"")&amp;IF(I222,入力リスト!$K$31,"")&amp;IF(H222,"「雇用形態」","")&amp;IF(K222,"「性別」","")&amp;IF(L222,"「役職」","")&amp;IF(OR(H222,K222,L222),入力リスト!$K$32,"")))))</f>
        <v/>
      </c>
      <c r="G222" s="209" t="b">
        <f>COUNTIF($A$4:A221,$A222)&gt;0</f>
        <v>0</v>
      </c>
      <c r="H222" s="210" t="b">
        <f>IF($H$1,FALSE,COUNTIF(入力シート!$S$37:$V$62,B222)=0)</f>
        <v>0</v>
      </c>
      <c r="I222" s="210" t="b">
        <f t="shared" si="8"/>
        <v>0</v>
      </c>
      <c r="J222" s="210" t="b">
        <f>IF($J$1,FALSE,IF(I222=TRUE,FALSE,IF(I222,FALSE,C222&gt;入力シート!$J$24)))</f>
        <v>0</v>
      </c>
      <c r="K222" s="210" t="b">
        <f>IF($K$1,FALSE,COUNTIF(入力シート!$AW$37:$BB$38,D222)=0)</f>
        <v>0</v>
      </c>
      <c r="L222" s="210" t="b">
        <f>IF($L$1,FALSE,IF($L$3,FALSE,IF(E222="",FALSE,COUNTIF(入力シート!$AH$37:$AK$62,E222)=0)))</f>
        <v>0</v>
      </c>
      <c r="M222" s="211" t="str">
        <f t="shared" si="7"/>
        <v/>
      </c>
      <c r="N222" s="211"/>
      <c r="O222" s="209" t="str">
        <f>IF(B222="","",VLOOKUP('従業員情報(給与以外)'!$B222,入力シート!$S$37:$Z$62,5,0))</f>
        <v/>
      </c>
      <c r="P222" s="156" t="str">
        <f>IF(ISNUMBER(C222)=FALSE,"",IF(C222&gt;入力シート!$J$24,"",_xlfn.DAYS(入力シート!$J$24,'従業員情報(給与以外)'!$C222)/365))</f>
        <v/>
      </c>
      <c r="Q222" s="210" t="str">
        <f>IF(P222="","",VLOOKUP(_xlfn.DAYS(入力シート!$J$24,'従業員情報(給与以外)'!$C222)/365,入力リスト!$K$18:$L$26,2,2))</f>
        <v/>
      </c>
      <c r="R222" s="209" t="str">
        <f>IF(D222="","",VLOOKUP('従業員情報(給与以外)'!$D222,入力シート!$AW$37:$BB$38,4,0))</f>
        <v/>
      </c>
      <c r="S222" s="209" t="str">
        <f>IF(A222="","",IF(E222="","非役職",VLOOKUP('従業員情報(給与以外)'!$E222,入力シート!$AH$37:$AO$62,5,0)))</f>
        <v/>
      </c>
      <c r="T222" s="102" t="str">
        <f>IF(OR(入力シート!$C$5&lt;&gt;入力リスト!$C$3,COUNTIF(入力シート!$J$16:$S$23,入力リスト!$H$9)=0),"",IF($A222="","",IF(ISERROR(AVERAGEIF(従業員の給与情報!$B:$B,$A222,従業員の給与情報!$C:$C)),0,IF(ISERROR(AVERAGEIF(従業員の給与情報!$B:$B,$A222,従業員の給与情報!$C:$C)),0,AVERAGEIF(従業員の給与情報!$B:$B,$A222,従業員の給与情報!$C:$C)))))</f>
        <v/>
      </c>
      <c r="U222" s="102" t="str">
        <f>IF(OR(入力シート!$C$5&lt;&gt;入力リスト!$C$3,COUNTIF(入力シート!$J$16:$S$23,入力リスト!$H$9)=0),"",IF(A222="","",IF(ISERROR(AVERAGEIF(従業員の給与情報!$B:$B,$A222,従業員の給与情報!$D:$D)),0,IF(ISERROR(AVERAGEIF(従業員の給与情報!$B:$B,$A222,従業員の給与情報!$D:$D)),0,AVERAGEIF(従業員の給与情報!$B:$B,$A222,従業員の給与情報!$D:$D)))))</f>
        <v/>
      </c>
      <c r="V222" s="102" t="str">
        <f>IF(OR(入力シート!$C$5&lt;&gt;入力リスト!$C$3,COUNTIF(入力シート!$J$16:$S$23,入力リスト!$H$9)=0),"",IF(A222="","",IF(ISERROR(AVERAGEIF(従業員の給与情報!$B:$B,$A222,従業員の給与情報!$E:$E)),0,IF(ISERROR(AVERAGEIF(従業員の給与情報!$B:$B,$A222,従業員の給与情報!$E:$E)),0,AVERAGEIF(従業員の給与情報!$B:$B,$A222,従業員の給与情報!$E:$E)))))</f>
        <v/>
      </c>
      <c r="W222" s="103" t="str">
        <f>IF(OR(入力シート!$C$5&lt;&gt;入力リスト!$C$3,COUNTIF(入力シート!$J$16:$S$23,入力リスト!$H$9)=0),"",IF(A222="","",IF(ISERROR(AVERAGEIF(従業員の給与情報!$B:$B,$A222,従業員の給与情報!$F:$F)),0,IF(ISERROR(AVERAGEIF(従業員の給与情報!$B:$B,$A222,従業員の給与情報!$F:$F)),0,AVERAGEIF(従業員の給与情報!$B:$B,$A222,従業員の給与情報!$F:$F)))))</f>
        <v/>
      </c>
    </row>
    <row r="223" spans="1:23" s="10" customFormat="1">
      <c r="A223" s="253"/>
      <c r="B223" s="246"/>
      <c r="C223" s="247"/>
      <c r="D223" s="246"/>
      <c r="E223" s="246"/>
      <c r="F223" s="257" t="str">
        <f>IF($G$1,"",IF(COUNTIF(A223:E223,"")=5,"",IF(G223,入力リスト!$K$28,IF(OR(A223="",B223="",IF(COUNTIF($C$3,"*不要*"),"",C223=""),D223=""),IF(A223="","従業員番号","")&amp;IF(B223="","「雇用形態」","")&amp;IF(OR(入力シート!$J$18=入力リスト!$H$9,入力シート!$J$22=入力リスト!$H$9),IF(C223="","「入社年月日」",""),"")&amp;IF(D223="","「性別」","")&amp;IF(IF(A223="","従業員番号","")&amp;IF(B223="","「雇用形態」","")&amp;IF(OR(入力シート!$J$18=入力リスト!$H$9,入力シート!$J$22=入力リスト!$H$9),IF(C223="","「入社年月日」",""),"")&amp;IF(D223="","「性別」","")="","",入力リスト!$K$29),IF(J223,入力リスト!$K$30,"")&amp;IF(I223,入力リスト!$K$31,"")&amp;IF(H223,"「雇用形態」","")&amp;IF(K223,"「性別」","")&amp;IF(L223,"「役職」","")&amp;IF(OR(H223,K223,L223),入力リスト!$K$32,"")))))</f>
        <v/>
      </c>
      <c r="G223" s="209" t="b">
        <f>COUNTIF($A$4:A222,$A223)&gt;0</f>
        <v>0</v>
      </c>
      <c r="H223" s="210" t="b">
        <f>IF($H$1,FALSE,COUNTIF(入力シート!$S$37:$V$62,B223)=0)</f>
        <v>0</v>
      </c>
      <c r="I223" s="210" t="b">
        <f t="shared" si="8"/>
        <v>0</v>
      </c>
      <c r="J223" s="210" t="b">
        <f>IF($J$1,FALSE,IF(I223=TRUE,FALSE,IF(I223,FALSE,C223&gt;入力シート!$J$24)))</f>
        <v>0</v>
      </c>
      <c r="K223" s="210" t="b">
        <f>IF($K$1,FALSE,COUNTIF(入力シート!$AW$37:$BB$38,D223)=0)</f>
        <v>0</v>
      </c>
      <c r="L223" s="210" t="b">
        <f>IF($L$1,FALSE,IF($L$3,FALSE,IF(E223="",FALSE,COUNTIF(入力シート!$AH$37:$AK$62,E223)=0)))</f>
        <v>0</v>
      </c>
      <c r="M223" s="211" t="str">
        <f t="shared" si="7"/>
        <v/>
      </c>
      <c r="N223" s="211"/>
      <c r="O223" s="209" t="str">
        <f>IF(B223="","",VLOOKUP('従業員情報(給与以外)'!$B223,入力シート!$S$37:$Z$62,5,0))</f>
        <v/>
      </c>
      <c r="P223" s="156" t="str">
        <f>IF(ISNUMBER(C223)=FALSE,"",IF(C223&gt;入力シート!$J$24,"",_xlfn.DAYS(入力シート!$J$24,'従業員情報(給与以外)'!$C223)/365))</f>
        <v/>
      </c>
      <c r="Q223" s="210" t="str">
        <f>IF(P223="","",VLOOKUP(_xlfn.DAYS(入力シート!$J$24,'従業員情報(給与以外)'!$C223)/365,入力リスト!$K$18:$L$26,2,2))</f>
        <v/>
      </c>
      <c r="R223" s="209" t="str">
        <f>IF(D223="","",VLOOKUP('従業員情報(給与以外)'!$D223,入力シート!$AW$37:$BB$38,4,0))</f>
        <v/>
      </c>
      <c r="S223" s="209" t="str">
        <f>IF(A223="","",IF(E223="","非役職",VLOOKUP('従業員情報(給与以外)'!$E223,入力シート!$AH$37:$AO$62,5,0)))</f>
        <v/>
      </c>
      <c r="T223" s="102" t="str">
        <f>IF(OR(入力シート!$C$5&lt;&gt;入力リスト!$C$3,COUNTIF(入力シート!$J$16:$S$23,入力リスト!$H$9)=0),"",IF($A223="","",IF(ISERROR(AVERAGEIF(従業員の給与情報!$B:$B,$A223,従業員の給与情報!$C:$C)),0,IF(ISERROR(AVERAGEIF(従業員の給与情報!$B:$B,$A223,従業員の給与情報!$C:$C)),0,AVERAGEIF(従業員の給与情報!$B:$B,$A223,従業員の給与情報!$C:$C)))))</f>
        <v/>
      </c>
      <c r="U223" s="102" t="str">
        <f>IF(OR(入力シート!$C$5&lt;&gt;入力リスト!$C$3,COUNTIF(入力シート!$J$16:$S$23,入力リスト!$H$9)=0),"",IF(A223="","",IF(ISERROR(AVERAGEIF(従業員の給与情報!$B:$B,$A223,従業員の給与情報!$D:$D)),0,IF(ISERROR(AVERAGEIF(従業員の給与情報!$B:$B,$A223,従業員の給与情報!$D:$D)),0,AVERAGEIF(従業員の給与情報!$B:$B,$A223,従業員の給与情報!$D:$D)))))</f>
        <v/>
      </c>
      <c r="V223" s="102" t="str">
        <f>IF(OR(入力シート!$C$5&lt;&gt;入力リスト!$C$3,COUNTIF(入力シート!$J$16:$S$23,入力リスト!$H$9)=0),"",IF(A223="","",IF(ISERROR(AVERAGEIF(従業員の給与情報!$B:$B,$A223,従業員の給与情報!$E:$E)),0,IF(ISERROR(AVERAGEIF(従業員の給与情報!$B:$B,$A223,従業員の給与情報!$E:$E)),0,AVERAGEIF(従業員の給与情報!$B:$B,$A223,従業員の給与情報!$E:$E)))))</f>
        <v/>
      </c>
      <c r="W223" s="103" t="str">
        <f>IF(OR(入力シート!$C$5&lt;&gt;入力リスト!$C$3,COUNTIF(入力シート!$J$16:$S$23,入力リスト!$H$9)=0),"",IF(A223="","",IF(ISERROR(AVERAGEIF(従業員の給与情報!$B:$B,$A223,従業員の給与情報!$F:$F)),0,IF(ISERROR(AVERAGEIF(従業員の給与情報!$B:$B,$A223,従業員の給与情報!$F:$F)),0,AVERAGEIF(従業員の給与情報!$B:$B,$A223,従業員の給与情報!$F:$F)))))</f>
        <v/>
      </c>
    </row>
    <row r="224" spans="1:23" s="10" customFormat="1">
      <c r="A224" s="253"/>
      <c r="B224" s="246"/>
      <c r="C224" s="247"/>
      <c r="D224" s="246"/>
      <c r="E224" s="246"/>
      <c r="F224" s="257" t="str">
        <f>IF($G$1,"",IF(COUNTIF(A224:E224,"")=5,"",IF(G224,入力リスト!$K$28,IF(OR(A224="",B224="",IF(COUNTIF($C$3,"*不要*"),"",C224=""),D224=""),IF(A224="","従業員番号","")&amp;IF(B224="","「雇用形態」","")&amp;IF(OR(入力シート!$J$18=入力リスト!$H$9,入力シート!$J$22=入力リスト!$H$9),IF(C224="","「入社年月日」",""),"")&amp;IF(D224="","「性別」","")&amp;IF(IF(A224="","従業員番号","")&amp;IF(B224="","「雇用形態」","")&amp;IF(OR(入力シート!$J$18=入力リスト!$H$9,入力シート!$J$22=入力リスト!$H$9),IF(C224="","「入社年月日」",""),"")&amp;IF(D224="","「性別」","")="","",入力リスト!$K$29),IF(J224,入力リスト!$K$30,"")&amp;IF(I224,入力リスト!$K$31,"")&amp;IF(H224,"「雇用形態」","")&amp;IF(K224,"「性別」","")&amp;IF(L224,"「役職」","")&amp;IF(OR(H224,K224,L224),入力リスト!$K$32,"")))))</f>
        <v/>
      </c>
      <c r="G224" s="209" t="b">
        <f>COUNTIF($A$4:A223,$A224)&gt;0</f>
        <v>0</v>
      </c>
      <c r="H224" s="210" t="b">
        <f>IF($H$1,FALSE,COUNTIF(入力シート!$S$37:$V$62,B224)=0)</f>
        <v>0</v>
      </c>
      <c r="I224" s="210" t="b">
        <f t="shared" si="8"/>
        <v>0</v>
      </c>
      <c r="J224" s="210" t="b">
        <f>IF($J$1,FALSE,IF(I224=TRUE,FALSE,IF(I224,FALSE,C224&gt;入力シート!$J$24)))</f>
        <v>0</v>
      </c>
      <c r="K224" s="210" t="b">
        <f>IF($K$1,FALSE,COUNTIF(入力シート!$AW$37:$BB$38,D224)=0)</f>
        <v>0</v>
      </c>
      <c r="L224" s="210" t="b">
        <f>IF($L$1,FALSE,IF($L$3,FALSE,IF(E224="",FALSE,COUNTIF(入力シート!$AH$37:$AK$62,E224)=0)))</f>
        <v>0</v>
      </c>
      <c r="M224" s="211" t="str">
        <f t="shared" si="7"/>
        <v/>
      </c>
      <c r="N224" s="211"/>
      <c r="O224" s="209" t="str">
        <f>IF(B224="","",VLOOKUP('従業員情報(給与以外)'!$B224,入力シート!$S$37:$Z$62,5,0))</f>
        <v/>
      </c>
      <c r="P224" s="156" t="str">
        <f>IF(ISNUMBER(C224)=FALSE,"",IF(C224&gt;入力シート!$J$24,"",_xlfn.DAYS(入力シート!$J$24,'従業員情報(給与以外)'!$C224)/365))</f>
        <v/>
      </c>
      <c r="Q224" s="210" t="str">
        <f>IF(P224="","",VLOOKUP(_xlfn.DAYS(入力シート!$J$24,'従業員情報(給与以外)'!$C224)/365,入力リスト!$K$18:$L$26,2,2))</f>
        <v/>
      </c>
      <c r="R224" s="209" t="str">
        <f>IF(D224="","",VLOOKUP('従業員情報(給与以外)'!$D224,入力シート!$AW$37:$BB$38,4,0))</f>
        <v/>
      </c>
      <c r="S224" s="209" t="str">
        <f>IF(A224="","",IF(E224="","非役職",VLOOKUP('従業員情報(給与以外)'!$E224,入力シート!$AH$37:$AO$62,5,0)))</f>
        <v/>
      </c>
      <c r="T224" s="102" t="str">
        <f>IF(OR(入力シート!$C$5&lt;&gt;入力リスト!$C$3,COUNTIF(入力シート!$J$16:$S$23,入力リスト!$H$9)=0),"",IF($A224="","",IF(ISERROR(AVERAGEIF(従業員の給与情報!$B:$B,$A224,従業員の給与情報!$C:$C)),0,IF(ISERROR(AVERAGEIF(従業員の給与情報!$B:$B,$A224,従業員の給与情報!$C:$C)),0,AVERAGEIF(従業員の給与情報!$B:$B,$A224,従業員の給与情報!$C:$C)))))</f>
        <v/>
      </c>
      <c r="U224" s="102" t="str">
        <f>IF(OR(入力シート!$C$5&lt;&gt;入力リスト!$C$3,COUNTIF(入力シート!$J$16:$S$23,入力リスト!$H$9)=0),"",IF(A224="","",IF(ISERROR(AVERAGEIF(従業員の給与情報!$B:$B,$A224,従業員の給与情報!$D:$D)),0,IF(ISERROR(AVERAGEIF(従業員の給与情報!$B:$B,$A224,従業員の給与情報!$D:$D)),0,AVERAGEIF(従業員の給与情報!$B:$B,$A224,従業員の給与情報!$D:$D)))))</f>
        <v/>
      </c>
      <c r="V224" s="102" t="str">
        <f>IF(OR(入力シート!$C$5&lt;&gt;入力リスト!$C$3,COUNTIF(入力シート!$J$16:$S$23,入力リスト!$H$9)=0),"",IF(A224="","",IF(ISERROR(AVERAGEIF(従業員の給与情報!$B:$B,$A224,従業員の給与情報!$E:$E)),0,IF(ISERROR(AVERAGEIF(従業員の給与情報!$B:$B,$A224,従業員の給与情報!$E:$E)),0,AVERAGEIF(従業員の給与情報!$B:$B,$A224,従業員の給与情報!$E:$E)))))</f>
        <v/>
      </c>
      <c r="W224" s="103" t="str">
        <f>IF(OR(入力シート!$C$5&lt;&gt;入力リスト!$C$3,COUNTIF(入力シート!$J$16:$S$23,入力リスト!$H$9)=0),"",IF(A224="","",IF(ISERROR(AVERAGEIF(従業員の給与情報!$B:$B,$A224,従業員の給与情報!$F:$F)),0,IF(ISERROR(AVERAGEIF(従業員の給与情報!$B:$B,$A224,従業員の給与情報!$F:$F)),0,AVERAGEIF(従業員の給与情報!$B:$B,$A224,従業員の給与情報!$F:$F)))))</f>
        <v/>
      </c>
    </row>
    <row r="225" spans="1:23" s="10" customFormat="1">
      <c r="A225" s="253"/>
      <c r="B225" s="246"/>
      <c r="C225" s="247"/>
      <c r="D225" s="246"/>
      <c r="E225" s="246"/>
      <c r="F225" s="257" t="str">
        <f>IF($G$1,"",IF(COUNTIF(A225:E225,"")=5,"",IF(G225,入力リスト!$K$28,IF(OR(A225="",B225="",IF(COUNTIF($C$3,"*不要*"),"",C225=""),D225=""),IF(A225="","従業員番号","")&amp;IF(B225="","「雇用形態」","")&amp;IF(OR(入力シート!$J$18=入力リスト!$H$9,入力シート!$J$22=入力リスト!$H$9),IF(C225="","「入社年月日」",""),"")&amp;IF(D225="","「性別」","")&amp;IF(IF(A225="","従業員番号","")&amp;IF(B225="","「雇用形態」","")&amp;IF(OR(入力シート!$J$18=入力リスト!$H$9,入力シート!$J$22=入力リスト!$H$9),IF(C225="","「入社年月日」",""),"")&amp;IF(D225="","「性別」","")="","",入力リスト!$K$29),IF(J225,入力リスト!$K$30,"")&amp;IF(I225,入力リスト!$K$31,"")&amp;IF(H225,"「雇用形態」","")&amp;IF(K225,"「性別」","")&amp;IF(L225,"「役職」","")&amp;IF(OR(H225,K225,L225),入力リスト!$K$32,"")))))</f>
        <v/>
      </c>
      <c r="G225" s="209" t="b">
        <f>COUNTIF($A$4:A224,$A225)&gt;0</f>
        <v>0</v>
      </c>
      <c r="H225" s="210" t="b">
        <f>IF($H$1,FALSE,COUNTIF(入力シート!$S$37:$V$62,B225)=0)</f>
        <v>0</v>
      </c>
      <c r="I225" s="210" t="b">
        <f t="shared" si="8"/>
        <v>0</v>
      </c>
      <c r="J225" s="210" t="b">
        <f>IF($J$1,FALSE,IF(I225=TRUE,FALSE,IF(I225,FALSE,C225&gt;入力シート!$J$24)))</f>
        <v>0</v>
      </c>
      <c r="K225" s="210" t="b">
        <f>IF($K$1,FALSE,COUNTIF(入力シート!$AW$37:$BB$38,D225)=0)</f>
        <v>0</v>
      </c>
      <c r="L225" s="210" t="b">
        <f>IF($L$1,FALSE,IF($L$3,FALSE,IF(E225="",FALSE,COUNTIF(入力シート!$AH$37:$AK$62,E225)=0)))</f>
        <v>0</v>
      </c>
      <c r="M225" s="211" t="str">
        <f t="shared" si="7"/>
        <v/>
      </c>
      <c r="N225" s="211"/>
      <c r="O225" s="209" t="str">
        <f>IF(B225="","",VLOOKUP('従業員情報(給与以外)'!$B225,入力シート!$S$37:$Z$62,5,0))</f>
        <v/>
      </c>
      <c r="P225" s="156" t="str">
        <f>IF(ISNUMBER(C225)=FALSE,"",IF(C225&gt;入力シート!$J$24,"",_xlfn.DAYS(入力シート!$J$24,'従業員情報(給与以外)'!$C225)/365))</f>
        <v/>
      </c>
      <c r="Q225" s="210" t="str">
        <f>IF(P225="","",VLOOKUP(_xlfn.DAYS(入力シート!$J$24,'従業員情報(給与以外)'!$C225)/365,入力リスト!$K$18:$L$26,2,2))</f>
        <v/>
      </c>
      <c r="R225" s="209" t="str">
        <f>IF(D225="","",VLOOKUP('従業員情報(給与以外)'!$D225,入力シート!$AW$37:$BB$38,4,0))</f>
        <v/>
      </c>
      <c r="S225" s="209" t="str">
        <f>IF(A225="","",IF(E225="","非役職",VLOOKUP('従業員情報(給与以外)'!$E225,入力シート!$AH$37:$AO$62,5,0)))</f>
        <v/>
      </c>
      <c r="T225" s="102" t="str">
        <f>IF(OR(入力シート!$C$5&lt;&gt;入力リスト!$C$3,COUNTIF(入力シート!$J$16:$S$23,入力リスト!$H$9)=0),"",IF($A225="","",IF(ISERROR(AVERAGEIF(従業員の給与情報!$B:$B,$A225,従業員の給与情報!$C:$C)),0,IF(ISERROR(AVERAGEIF(従業員の給与情報!$B:$B,$A225,従業員の給与情報!$C:$C)),0,AVERAGEIF(従業員の給与情報!$B:$B,$A225,従業員の給与情報!$C:$C)))))</f>
        <v/>
      </c>
      <c r="U225" s="102" t="str">
        <f>IF(OR(入力シート!$C$5&lt;&gt;入力リスト!$C$3,COUNTIF(入力シート!$J$16:$S$23,入力リスト!$H$9)=0),"",IF(A225="","",IF(ISERROR(AVERAGEIF(従業員の給与情報!$B:$B,$A225,従業員の給与情報!$D:$D)),0,IF(ISERROR(AVERAGEIF(従業員の給与情報!$B:$B,$A225,従業員の給与情報!$D:$D)),0,AVERAGEIF(従業員の給与情報!$B:$B,$A225,従業員の給与情報!$D:$D)))))</f>
        <v/>
      </c>
      <c r="V225" s="102" t="str">
        <f>IF(OR(入力シート!$C$5&lt;&gt;入力リスト!$C$3,COUNTIF(入力シート!$J$16:$S$23,入力リスト!$H$9)=0),"",IF(A225="","",IF(ISERROR(AVERAGEIF(従業員の給与情報!$B:$B,$A225,従業員の給与情報!$E:$E)),0,IF(ISERROR(AVERAGEIF(従業員の給与情報!$B:$B,$A225,従業員の給与情報!$E:$E)),0,AVERAGEIF(従業員の給与情報!$B:$B,$A225,従業員の給与情報!$E:$E)))))</f>
        <v/>
      </c>
      <c r="W225" s="103" t="str">
        <f>IF(OR(入力シート!$C$5&lt;&gt;入力リスト!$C$3,COUNTIF(入力シート!$J$16:$S$23,入力リスト!$H$9)=0),"",IF(A225="","",IF(ISERROR(AVERAGEIF(従業員の給与情報!$B:$B,$A225,従業員の給与情報!$F:$F)),0,IF(ISERROR(AVERAGEIF(従業員の給与情報!$B:$B,$A225,従業員の給与情報!$F:$F)),0,AVERAGEIF(従業員の給与情報!$B:$B,$A225,従業員の給与情報!$F:$F)))))</f>
        <v/>
      </c>
    </row>
    <row r="226" spans="1:23" s="10" customFormat="1">
      <c r="A226" s="253"/>
      <c r="B226" s="246"/>
      <c r="C226" s="247"/>
      <c r="D226" s="246"/>
      <c r="E226" s="246"/>
      <c r="F226" s="257" t="str">
        <f>IF($G$1,"",IF(COUNTIF(A226:E226,"")=5,"",IF(G226,入力リスト!$K$28,IF(OR(A226="",B226="",IF(COUNTIF($C$3,"*不要*"),"",C226=""),D226=""),IF(A226="","従業員番号","")&amp;IF(B226="","「雇用形態」","")&amp;IF(OR(入力シート!$J$18=入力リスト!$H$9,入力シート!$J$22=入力リスト!$H$9),IF(C226="","「入社年月日」",""),"")&amp;IF(D226="","「性別」","")&amp;IF(IF(A226="","従業員番号","")&amp;IF(B226="","「雇用形態」","")&amp;IF(OR(入力シート!$J$18=入力リスト!$H$9,入力シート!$J$22=入力リスト!$H$9),IF(C226="","「入社年月日」",""),"")&amp;IF(D226="","「性別」","")="","",入力リスト!$K$29),IF(J226,入力リスト!$K$30,"")&amp;IF(I226,入力リスト!$K$31,"")&amp;IF(H226,"「雇用形態」","")&amp;IF(K226,"「性別」","")&amp;IF(L226,"「役職」","")&amp;IF(OR(H226,K226,L226),入力リスト!$K$32,"")))))</f>
        <v/>
      </c>
      <c r="G226" s="209" t="b">
        <f>COUNTIF($A$4:A225,$A226)&gt;0</f>
        <v>0</v>
      </c>
      <c r="H226" s="210" t="b">
        <f>IF($H$1,FALSE,COUNTIF(入力シート!$S$37:$V$62,B226)=0)</f>
        <v>0</v>
      </c>
      <c r="I226" s="210" t="b">
        <f t="shared" si="8"/>
        <v>0</v>
      </c>
      <c r="J226" s="210" t="b">
        <f>IF($J$1,FALSE,IF(I226=TRUE,FALSE,IF(I226,FALSE,C226&gt;入力シート!$J$24)))</f>
        <v>0</v>
      </c>
      <c r="K226" s="210" t="b">
        <f>IF($K$1,FALSE,COUNTIF(入力シート!$AW$37:$BB$38,D226)=0)</f>
        <v>0</v>
      </c>
      <c r="L226" s="210" t="b">
        <f>IF($L$1,FALSE,IF($L$3,FALSE,IF(E226="",FALSE,COUNTIF(入力シート!$AH$37:$AK$62,E226)=0)))</f>
        <v>0</v>
      </c>
      <c r="M226" s="211" t="str">
        <f t="shared" si="7"/>
        <v/>
      </c>
      <c r="N226" s="211"/>
      <c r="O226" s="209" t="str">
        <f>IF(B226="","",VLOOKUP('従業員情報(給与以外)'!$B226,入力シート!$S$37:$Z$62,5,0))</f>
        <v/>
      </c>
      <c r="P226" s="156" t="str">
        <f>IF(ISNUMBER(C226)=FALSE,"",IF(C226&gt;入力シート!$J$24,"",_xlfn.DAYS(入力シート!$J$24,'従業員情報(給与以外)'!$C226)/365))</f>
        <v/>
      </c>
      <c r="Q226" s="210" t="str">
        <f>IF(P226="","",VLOOKUP(_xlfn.DAYS(入力シート!$J$24,'従業員情報(給与以外)'!$C226)/365,入力リスト!$K$18:$L$26,2,2))</f>
        <v/>
      </c>
      <c r="R226" s="209" t="str">
        <f>IF(D226="","",VLOOKUP('従業員情報(給与以外)'!$D226,入力シート!$AW$37:$BB$38,4,0))</f>
        <v/>
      </c>
      <c r="S226" s="209" t="str">
        <f>IF(A226="","",IF(E226="","非役職",VLOOKUP('従業員情報(給与以外)'!$E226,入力シート!$AH$37:$AO$62,5,0)))</f>
        <v/>
      </c>
      <c r="T226" s="102" t="str">
        <f>IF(OR(入力シート!$C$5&lt;&gt;入力リスト!$C$3,COUNTIF(入力シート!$J$16:$S$23,入力リスト!$H$9)=0),"",IF($A226="","",IF(ISERROR(AVERAGEIF(従業員の給与情報!$B:$B,$A226,従業員の給与情報!$C:$C)),0,IF(ISERROR(AVERAGEIF(従業員の給与情報!$B:$B,$A226,従業員の給与情報!$C:$C)),0,AVERAGEIF(従業員の給与情報!$B:$B,$A226,従業員の給与情報!$C:$C)))))</f>
        <v/>
      </c>
      <c r="U226" s="102" t="str">
        <f>IF(OR(入力シート!$C$5&lt;&gt;入力リスト!$C$3,COUNTIF(入力シート!$J$16:$S$23,入力リスト!$H$9)=0),"",IF(A226="","",IF(ISERROR(AVERAGEIF(従業員の給与情報!$B:$B,$A226,従業員の給与情報!$D:$D)),0,IF(ISERROR(AVERAGEIF(従業員の給与情報!$B:$B,$A226,従業員の給与情報!$D:$D)),0,AVERAGEIF(従業員の給与情報!$B:$B,$A226,従業員の給与情報!$D:$D)))))</f>
        <v/>
      </c>
      <c r="V226" s="102" t="str">
        <f>IF(OR(入力シート!$C$5&lt;&gt;入力リスト!$C$3,COUNTIF(入力シート!$J$16:$S$23,入力リスト!$H$9)=0),"",IF(A226="","",IF(ISERROR(AVERAGEIF(従業員の給与情報!$B:$B,$A226,従業員の給与情報!$E:$E)),0,IF(ISERROR(AVERAGEIF(従業員の給与情報!$B:$B,$A226,従業員の給与情報!$E:$E)),0,AVERAGEIF(従業員の給与情報!$B:$B,$A226,従業員の給与情報!$E:$E)))))</f>
        <v/>
      </c>
      <c r="W226" s="103" t="str">
        <f>IF(OR(入力シート!$C$5&lt;&gt;入力リスト!$C$3,COUNTIF(入力シート!$J$16:$S$23,入力リスト!$H$9)=0),"",IF(A226="","",IF(ISERROR(AVERAGEIF(従業員の給与情報!$B:$B,$A226,従業員の給与情報!$F:$F)),0,IF(ISERROR(AVERAGEIF(従業員の給与情報!$B:$B,$A226,従業員の給与情報!$F:$F)),0,AVERAGEIF(従業員の給与情報!$B:$B,$A226,従業員の給与情報!$F:$F)))))</f>
        <v/>
      </c>
    </row>
    <row r="227" spans="1:23" s="10" customFormat="1">
      <c r="A227" s="253"/>
      <c r="B227" s="246"/>
      <c r="C227" s="247"/>
      <c r="D227" s="246"/>
      <c r="E227" s="246"/>
      <c r="F227" s="257" t="str">
        <f>IF($G$1,"",IF(COUNTIF(A227:E227,"")=5,"",IF(G227,入力リスト!$K$28,IF(OR(A227="",B227="",IF(COUNTIF($C$3,"*不要*"),"",C227=""),D227=""),IF(A227="","従業員番号","")&amp;IF(B227="","「雇用形態」","")&amp;IF(OR(入力シート!$J$18=入力リスト!$H$9,入力シート!$J$22=入力リスト!$H$9),IF(C227="","「入社年月日」",""),"")&amp;IF(D227="","「性別」","")&amp;IF(IF(A227="","従業員番号","")&amp;IF(B227="","「雇用形態」","")&amp;IF(OR(入力シート!$J$18=入力リスト!$H$9,入力シート!$J$22=入力リスト!$H$9),IF(C227="","「入社年月日」",""),"")&amp;IF(D227="","「性別」","")="","",入力リスト!$K$29),IF(J227,入力リスト!$K$30,"")&amp;IF(I227,入力リスト!$K$31,"")&amp;IF(H227,"「雇用形態」","")&amp;IF(K227,"「性別」","")&amp;IF(L227,"「役職」","")&amp;IF(OR(H227,K227,L227),入力リスト!$K$32,"")))))</f>
        <v/>
      </c>
      <c r="G227" s="209" t="b">
        <f>COUNTIF($A$4:A226,$A227)&gt;0</f>
        <v>0</v>
      </c>
      <c r="H227" s="210" t="b">
        <f>IF($H$1,FALSE,COUNTIF(入力シート!$S$37:$V$62,B227)=0)</f>
        <v>0</v>
      </c>
      <c r="I227" s="210" t="b">
        <f t="shared" si="8"/>
        <v>0</v>
      </c>
      <c r="J227" s="210" t="b">
        <f>IF($J$1,FALSE,IF(I227=TRUE,FALSE,IF(I227,FALSE,C227&gt;入力シート!$J$24)))</f>
        <v>0</v>
      </c>
      <c r="K227" s="210" t="b">
        <f>IF($K$1,FALSE,COUNTIF(入力シート!$AW$37:$BB$38,D227)=0)</f>
        <v>0</v>
      </c>
      <c r="L227" s="210" t="b">
        <f>IF($L$1,FALSE,IF($L$3,FALSE,IF(E227="",FALSE,COUNTIF(入力シート!$AH$37:$AK$62,E227)=0)))</f>
        <v>0</v>
      </c>
      <c r="M227" s="211" t="str">
        <f t="shared" si="7"/>
        <v/>
      </c>
      <c r="N227" s="211"/>
      <c r="O227" s="209" t="str">
        <f>IF(B227="","",VLOOKUP('従業員情報(給与以外)'!$B227,入力シート!$S$37:$Z$62,5,0))</f>
        <v/>
      </c>
      <c r="P227" s="156" t="str">
        <f>IF(ISNUMBER(C227)=FALSE,"",IF(C227&gt;入力シート!$J$24,"",_xlfn.DAYS(入力シート!$J$24,'従業員情報(給与以外)'!$C227)/365))</f>
        <v/>
      </c>
      <c r="Q227" s="210" t="str">
        <f>IF(P227="","",VLOOKUP(_xlfn.DAYS(入力シート!$J$24,'従業員情報(給与以外)'!$C227)/365,入力リスト!$K$18:$L$26,2,2))</f>
        <v/>
      </c>
      <c r="R227" s="209" t="str">
        <f>IF(D227="","",VLOOKUP('従業員情報(給与以外)'!$D227,入力シート!$AW$37:$BB$38,4,0))</f>
        <v/>
      </c>
      <c r="S227" s="209" t="str">
        <f>IF(A227="","",IF(E227="","非役職",VLOOKUP('従業員情報(給与以外)'!$E227,入力シート!$AH$37:$AO$62,5,0)))</f>
        <v/>
      </c>
      <c r="T227" s="102" t="str">
        <f>IF(OR(入力シート!$C$5&lt;&gt;入力リスト!$C$3,COUNTIF(入力シート!$J$16:$S$23,入力リスト!$H$9)=0),"",IF($A227="","",IF(ISERROR(AVERAGEIF(従業員の給与情報!$B:$B,$A227,従業員の給与情報!$C:$C)),0,IF(ISERROR(AVERAGEIF(従業員の給与情報!$B:$B,$A227,従業員の給与情報!$C:$C)),0,AVERAGEIF(従業員の給与情報!$B:$B,$A227,従業員の給与情報!$C:$C)))))</f>
        <v/>
      </c>
      <c r="U227" s="102" t="str">
        <f>IF(OR(入力シート!$C$5&lt;&gt;入力リスト!$C$3,COUNTIF(入力シート!$J$16:$S$23,入力リスト!$H$9)=0),"",IF(A227="","",IF(ISERROR(AVERAGEIF(従業員の給与情報!$B:$B,$A227,従業員の給与情報!$D:$D)),0,IF(ISERROR(AVERAGEIF(従業員の給与情報!$B:$B,$A227,従業員の給与情報!$D:$D)),0,AVERAGEIF(従業員の給与情報!$B:$B,$A227,従業員の給与情報!$D:$D)))))</f>
        <v/>
      </c>
      <c r="V227" s="102" t="str">
        <f>IF(OR(入力シート!$C$5&lt;&gt;入力リスト!$C$3,COUNTIF(入力シート!$J$16:$S$23,入力リスト!$H$9)=0),"",IF(A227="","",IF(ISERROR(AVERAGEIF(従業員の給与情報!$B:$B,$A227,従業員の給与情報!$E:$E)),0,IF(ISERROR(AVERAGEIF(従業員の給与情報!$B:$B,$A227,従業員の給与情報!$E:$E)),0,AVERAGEIF(従業員の給与情報!$B:$B,$A227,従業員の給与情報!$E:$E)))))</f>
        <v/>
      </c>
      <c r="W227" s="103" t="str">
        <f>IF(OR(入力シート!$C$5&lt;&gt;入力リスト!$C$3,COUNTIF(入力シート!$J$16:$S$23,入力リスト!$H$9)=0),"",IF(A227="","",IF(ISERROR(AVERAGEIF(従業員の給与情報!$B:$B,$A227,従業員の給与情報!$F:$F)),0,IF(ISERROR(AVERAGEIF(従業員の給与情報!$B:$B,$A227,従業員の給与情報!$F:$F)),0,AVERAGEIF(従業員の給与情報!$B:$B,$A227,従業員の給与情報!$F:$F)))))</f>
        <v/>
      </c>
    </row>
    <row r="228" spans="1:23" s="10" customFormat="1">
      <c r="A228" s="253"/>
      <c r="B228" s="246"/>
      <c r="C228" s="247"/>
      <c r="D228" s="246"/>
      <c r="E228" s="246"/>
      <c r="F228" s="257" t="str">
        <f>IF($G$1,"",IF(COUNTIF(A228:E228,"")=5,"",IF(G228,入力リスト!$K$28,IF(OR(A228="",B228="",IF(COUNTIF($C$3,"*不要*"),"",C228=""),D228=""),IF(A228="","従業員番号","")&amp;IF(B228="","「雇用形態」","")&amp;IF(OR(入力シート!$J$18=入力リスト!$H$9,入力シート!$J$22=入力リスト!$H$9),IF(C228="","「入社年月日」",""),"")&amp;IF(D228="","「性別」","")&amp;IF(IF(A228="","従業員番号","")&amp;IF(B228="","「雇用形態」","")&amp;IF(OR(入力シート!$J$18=入力リスト!$H$9,入力シート!$J$22=入力リスト!$H$9),IF(C228="","「入社年月日」",""),"")&amp;IF(D228="","「性別」","")="","",入力リスト!$K$29),IF(J228,入力リスト!$K$30,"")&amp;IF(I228,入力リスト!$K$31,"")&amp;IF(H228,"「雇用形態」","")&amp;IF(K228,"「性別」","")&amp;IF(L228,"「役職」","")&amp;IF(OR(H228,K228,L228),入力リスト!$K$32,"")))))</f>
        <v/>
      </c>
      <c r="G228" s="209" t="b">
        <f>COUNTIF($A$4:A227,$A228)&gt;0</f>
        <v>0</v>
      </c>
      <c r="H228" s="210" t="b">
        <f>IF($H$1,FALSE,COUNTIF(入力シート!$S$37:$V$62,B228)=0)</f>
        <v>0</v>
      </c>
      <c r="I228" s="210" t="b">
        <f t="shared" si="8"/>
        <v>0</v>
      </c>
      <c r="J228" s="210" t="b">
        <f>IF($J$1,FALSE,IF(I228=TRUE,FALSE,IF(I228,FALSE,C228&gt;入力シート!$J$24)))</f>
        <v>0</v>
      </c>
      <c r="K228" s="210" t="b">
        <f>IF($K$1,FALSE,COUNTIF(入力シート!$AW$37:$BB$38,D228)=0)</f>
        <v>0</v>
      </c>
      <c r="L228" s="210" t="b">
        <f>IF($L$1,FALSE,IF($L$3,FALSE,IF(E228="",FALSE,COUNTIF(入力シート!$AH$37:$AK$62,E228)=0)))</f>
        <v>0</v>
      </c>
      <c r="M228" s="211" t="str">
        <f t="shared" si="7"/>
        <v/>
      </c>
      <c r="N228" s="211"/>
      <c r="O228" s="209" t="str">
        <f>IF(B228="","",VLOOKUP('従業員情報(給与以外)'!$B228,入力シート!$S$37:$Z$62,5,0))</f>
        <v/>
      </c>
      <c r="P228" s="156" t="str">
        <f>IF(ISNUMBER(C228)=FALSE,"",IF(C228&gt;入力シート!$J$24,"",_xlfn.DAYS(入力シート!$J$24,'従業員情報(給与以外)'!$C228)/365))</f>
        <v/>
      </c>
      <c r="Q228" s="210" t="str">
        <f>IF(P228="","",VLOOKUP(_xlfn.DAYS(入力シート!$J$24,'従業員情報(給与以外)'!$C228)/365,入力リスト!$K$18:$L$26,2,2))</f>
        <v/>
      </c>
      <c r="R228" s="209" t="str">
        <f>IF(D228="","",VLOOKUP('従業員情報(給与以外)'!$D228,入力シート!$AW$37:$BB$38,4,0))</f>
        <v/>
      </c>
      <c r="S228" s="209" t="str">
        <f>IF(A228="","",IF(E228="","非役職",VLOOKUP('従業員情報(給与以外)'!$E228,入力シート!$AH$37:$AO$62,5,0)))</f>
        <v/>
      </c>
      <c r="T228" s="102" t="str">
        <f>IF(OR(入力シート!$C$5&lt;&gt;入力リスト!$C$3,COUNTIF(入力シート!$J$16:$S$23,入力リスト!$H$9)=0),"",IF($A228="","",IF(ISERROR(AVERAGEIF(従業員の給与情報!$B:$B,$A228,従業員の給与情報!$C:$C)),0,IF(ISERROR(AVERAGEIF(従業員の給与情報!$B:$B,$A228,従業員の給与情報!$C:$C)),0,AVERAGEIF(従業員の給与情報!$B:$B,$A228,従業員の給与情報!$C:$C)))))</f>
        <v/>
      </c>
      <c r="U228" s="102" t="str">
        <f>IF(OR(入力シート!$C$5&lt;&gt;入力リスト!$C$3,COUNTIF(入力シート!$J$16:$S$23,入力リスト!$H$9)=0),"",IF(A228="","",IF(ISERROR(AVERAGEIF(従業員の給与情報!$B:$B,$A228,従業員の給与情報!$D:$D)),0,IF(ISERROR(AVERAGEIF(従業員の給与情報!$B:$B,$A228,従業員の給与情報!$D:$D)),0,AVERAGEIF(従業員の給与情報!$B:$B,$A228,従業員の給与情報!$D:$D)))))</f>
        <v/>
      </c>
      <c r="V228" s="102" t="str">
        <f>IF(OR(入力シート!$C$5&lt;&gt;入力リスト!$C$3,COUNTIF(入力シート!$J$16:$S$23,入力リスト!$H$9)=0),"",IF(A228="","",IF(ISERROR(AVERAGEIF(従業員の給与情報!$B:$B,$A228,従業員の給与情報!$E:$E)),0,IF(ISERROR(AVERAGEIF(従業員の給与情報!$B:$B,$A228,従業員の給与情報!$E:$E)),0,AVERAGEIF(従業員の給与情報!$B:$B,$A228,従業員の給与情報!$E:$E)))))</f>
        <v/>
      </c>
      <c r="W228" s="103" t="str">
        <f>IF(OR(入力シート!$C$5&lt;&gt;入力リスト!$C$3,COUNTIF(入力シート!$J$16:$S$23,入力リスト!$H$9)=0),"",IF(A228="","",IF(ISERROR(AVERAGEIF(従業員の給与情報!$B:$B,$A228,従業員の給与情報!$F:$F)),0,IF(ISERROR(AVERAGEIF(従業員の給与情報!$B:$B,$A228,従業員の給与情報!$F:$F)),0,AVERAGEIF(従業員の給与情報!$B:$B,$A228,従業員の給与情報!$F:$F)))))</f>
        <v/>
      </c>
    </row>
    <row r="229" spans="1:23" s="10" customFormat="1">
      <c r="A229" s="253"/>
      <c r="B229" s="246"/>
      <c r="C229" s="247"/>
      <c r="D229" s="246"/>
      <c r="E229" s="246"/>
      <c r="F229" s="257" t="str">
        <f>IF($G$1,"",IF(COUNTIF(A229:E229,"")=5,"",IF(G229,入力リスト!$K$28,IF(OR(A229="",B229="",IF(COUNTIF($C$3,"*不要*"),"",C229=""),D229=""),IF(A229="","従業員番号","")&amp;IF(B229="","「雇用形態」","")&amp;IF(OR(入力シート!$J$18=入力リスト!$H$9,入力シート!$J$22=入力リスト!$H$9),IF(C229="","「入社年月日」",""),"")&amp;IF(D229="","「性別」","")&amp;IF(IF(A229="","従業員番号","")&amp;IF(B229="","「雇用形態」","")&amp;IF(OR(入力シート!$J$18=入力リスト!$H$9,入力シート!$J$22=入力リスト!$H$9),IF(C229="","「入社年月日」",""),"")&amp;IF(D229="","「性別」","")="","",入力リスト!$K$29),IF(J229,入力リスト!$K$30,"")&amp;IF(I229,入力リスト!$K$31,"")&amp;IF(H229,"「雇用形態」","")&amp;IF(K229,"「性別」","")&amp;IF(L229,"「役職」","")&amp;IF(OR(H229,K229,L229),入力リスト!$K$32,"")))))</f>
        <v/>
      </c>
      <c r="G229" s="209" t="b">
        <f>COUNTIF($A$4:A228,$A229)&gt;0</f>
        <v>0</v>
      </c>
      <c r="H229" s="210" t="b">
        <f>IF($H$1,FALSE,COUNTIF(入力シート!$S$37:$V$62,B229)=0)</f>
        <v>0</v>
      </c>
      <c r="I229" s="210" t="b">
        <f t="shared" si="8"/>
        <v>0</v>
      </c>
      <c r="J229" s="210" t="b">
        <f>IF($J$1,FALSE,IF(I229=TRUE,FALSE,IF(I229,FALSE,C229&gt;入力シート!$J$24)))</f>
        <v>0</v>
      </c>
      <c r="K229" s="210" t="b">
        <f>IF($K$1,FALSE,COUNTIF(入力シート!$AW$37:$BB$38,D229)=0)</f>
        <v>0</v>
      </c>
      <c r="L229" s="210" t="b">
        <f>IF($L$1,FALSE,IF($L$3,FALSE,IF(E229="",FALSE,COUNTIF(入力シート!$AH$37:$AK$62,E229)=0)))</f>
        <v>0</v>
      </c>
      <c r="M229" s="211" t="str">
        <f t="shared" si="7"/>
        <v/>
      </c>
      <c r="N229" s="211"/>
      <c r="O229" s="209" t="str">
        <f>IF(B229="","",VLOOKUP('従業員情報(給与以外)'!$B229,入力シート!$S$37:$Z$62,5,0))</f>
        <v/>
      </c>
      <c r="P229" s="156" t="str">
        <f>IF(ISNUMBER(C229)=FALSE,"",IF(C229&gt;入力シート!$J$24,"",_xlfn.DAYS(入力シート!$J$24,'従業員情報(給与以外)'!$C229)/365))</f>
        <v/>
      </c>
      <c r="Q229" s="210" t="str">
        <f>IF(P229="","",VLOOKUP(_xlfn.DAYS(入力シート!$J$24,'従業員情報(給与以外)'!$C229)/365,入力リスト!$K$18:$L$26,2,2))</f>
        <v/>
      </c>
      <c r="R229" s="209" t="str">
        <f>IF(D229="","",VLOOKUP('従業員情報(給与以外)'!$D229,入力シート!$AW$37:$BB$38,4,0))</f>
        <v/>
      </c>
      <c r="S229" s="209" t="str">
        <f>IF(A229="","",IF(E229="","非役職",VLOOKUP('従業員情報(給与以外)'!$E229,入力シート!$AH$37:$AO$62,5,0)))</f>
        <v/>
      </c>
      <c r="T229" s="102" t="str">
        <f>IF(OR(入力シート!$C$5&lt;&gt;入力リスト!$C$3,COUNTIF(入力シート!$J$16:$S$23,入力リスト!$H$9)=0),"",IF($A229="","",IF(ISERROR(AVERAGEIF(従業員の給与情報!$B:$B,$A229,従業員の給与情報!$C:$C)),0,IF(ISERROR(AVERAGEIF(従業員の給与情報!$B:$B,$A229,従業員の給与情報!$C:$C)),0,AVERAGEIF(従業員の給与情報!$B:$B,$A229,従業員の給与情報!$C:$C)))))</f>
        <v/>
      </c>
      <c r="U229" s="102" t="str">
        <f>IF(OR(入力シート!$C$5&lt;&gt;入力リスト!$C$3,COUNTIF(入力シート!$J$16:$S$23,入力リスト!$H$9)=0),"",IF(A229="","",IF(ISERROR(AVERAGEIF(従業員の給与情報!$B:$B,$A229,従業員の給与情報!$D:$D)),0,IF(ISERROR(AVERAGEIF(従業員の給与情報!$B:$B,$A229,従業員の給与情報!$D:$D)),0,AVERAGEIF(従業員の給与情報!$B:$B,$A229,従業員の給与情報!$D:$D)))))</f>
        <v/>
      </c>
      <c r="V229" s="102" t="str">
        <f>IF(OR(入力シート!$C$5&lt;&gt;入力リスト!$C$3,COUNTIF(入力シート!$J$16:$S$23,入力リスト!$H$9)=0),"",IF(A229="","",IF(ISERROR(AVERAGEIF(従業員の給与情報!$B:$B,$A229,従業員の給与情報!$E:$E)),0,IF(ISERROR(AVERAGEIF(従業員の給与情報!$B:$B,$A229,従業員の給与情報!$E:$E)),0,AVERAGEIF(従業員の給与情報!$B:$B,$A229,従業員の給与情報!$E:$E)))))</f>
        <v/>
      </c>
      <c r="W229" s="103" t="str">
        <f>IF(OR(入力シート!$C$5&lt;&gt;入力リスト!$C$3,COUNTIF(入力シート!$J$16:$S$23,入力リスト!$H$9)=0),"",IF(A229="","",IF(ISERROR(AVERAGEIF(従業員の給与情報!$B:$B,$A229,従業員の給与情報!$F:$F)),0,IF(ISERROR(AVERAGEIF(従業員の給与情報!$B:$B,$A229,従業員の給与情報!$F:$F)),0,AVERAGEIF(従業員の給与情報!$B:$B,$A229,従業員の給与情報!$F:$F)))))</f>
        <v/>
      </c>
    </row>
    <row r="230" spans="1:23" s="10" customFormat="1">
      <c r="A230" s="253"/>
      <c r="B230" s="246"/>
      <c r="C230" s="247"/>
      <c r="D230" s="246"/>
      <c r="E230" s="246"/>
      <c r="F230" s="257" t="str">
        <f>IF($G$1,"",IF(COUNTIF(A230:E230,"")=5,"",IF(G230,入力リスト!$K$28,IF(OR(A230="",B230="",IF(COUNTIF($C$3,"*不要*"),"",C230=""),D230=""),IF(A230="","従業員番号","")&amp;IF(B230="","「雇用形態」","")&amp;IF(OR(入力シート!$J$18=入力リスト!$H$9,入力シート!$J$22=入力リスト!$H$9),IF(C230="","「入社年月日」",""),"")&amp;IF(D230="","「性別」","")&amp;IF(IF(A230="","従業員番号","")&amp;IF(B230="","「雇用形態」","")&amp;IF(OR(入力シート!$J$18=入力リスト!$H$9,入力シート!$J$22=入力リスト!$H$9),IF(C230="","「入社年月日」",""),"")&amp;IF(D230="","「性別」","")="","",入力リスト!$K$29),IF(J230,入力リスト!$K$30,"")&amp;IF(I230,入力リスト!$K$31,"")&amp;IF(H230,"「雇用形態」","")&amp;IF(K230,"「性別」","")&amp;IF(L230,"「役職」","")&amp;IF(OR(H230,K230,L230),入力リスト!$K$32,"")))))</f>
        <v/>
      </c>
      <c r="G230" s="209" t="b">
        <f>COUNTIF($A$4:A229,$A230)&gt;0</f>
        <v>0</v>
      </c>
      <c r="H230" s="210" t="b">
        <f>IF($H$1,FALSE,COUNTIF(入力シート!$S$37:$V$62,B230)=0)</f>
        <v>0</v>
      </c>
      <c r="I230" s="210" t="b">
        <f t="shared" si="8"/>
        <v>0</v>
      </c>
      <c r="J230" s="210" t="b">
        <f>IF($J$1,FALSE,IF(I230=TRUE,FALSE,IF(I230,FALSE,C230&gt;入力シート!$J$24)))</f>
        <v>0</v>
      </c>
      <c r="K230" s="210" t="b">
        <f>IF($K$1,FALSE,COUNTIF(入力シート!$AW$37:$BB$38,D230)=0)</f>
        <v>0</v>
      </c>
      <c r="L230" s="210" t="b">
        <f>IF($L$1,FALSE,IF($L$3,FALSE,IF(E230="",FALSE,COUNTIF(入力シート!$AH$37:$AK$62,E230)=0)))</f>
        <v>0</v>
      </c>
      <c r="M230" s="211" t="str">
        <f t="shared" si="7"/>
        <v/>
      </c>
      <c r="N230" s="211"/>
      <c r="O230" s="209" t="str">
        <f>IF(B230="","",VLOOKUP('従業員情報(給与以外)'!$B230,入力シート!$S$37:$Z$62,5,0))</f>
        <v/>
      </c>
      <c r="P230" s="156" t="str">
        <f>IF(ISNUMBER(C230)=FALSE,"",IF(C230&gt;入力シート!$J$24,"",_xlfn.DAYS(入力シート!$J$24,'従業員情報(給与以外)'!$C230)/365))</f>
        <v/>
      </c>
      <c r="Q230" s="210" t="str">
        <f>IF(P230="","",VLOOKUP(_xlfn.DAYS(入力シート!$J$24,'従業員情報(給与以外)'!$C230)/365,入力リスト!$K$18:$L$26,2,2))</f>
        <v/>
      </c>
      <c r="R230" s="209" t="str">
        <f>IF(D230="","",VLOOKUP('従業員情報(給与以外)'!$D230,入力シート!$AW$37:$BB$38,4,0))</f>
        <v/>
      </c>
      <c r="S230" s="209" t="str">
        <f>IF(A230="","",IF(E230="","非役職",VLOOKUP('従業員情報(給与以外)'!$E230,入力シート!$AH$37:$AO$62,5,0)))</f>
        <v/>
      </c>
      <c r="T230" s="102" t="str">
        <f>IF(OR(入力シート!$C$5&lt;&gt;入力リスト!$C$3,COUNTIF(入力シート!$J$16:$S$23,入力リスト!$H$9)=0),"",IF($A230="","",IF(ISERROR(AVERAGEIF(従業員の給与情報!$B:$B,$A230,従業員の給与情報!$C:$C)),0,IF(ISERROR(AVERAGEIF(従業員の給与情報!$B:$B,$A230,従業員の給与情報!$C:$C)),0,AVERAGEIF(従業員の給与情報!$B:$B,$A230,従業員の給与情報!$C:$C)))))</f>
        <v/>
      </c>
      <c r="U230" s="102" t="str">
        <f>IF(OR(入力シート!$C$5&lt;&gt;入力リスト!$C$3,COUNTIF(入力シート!$J$16:$S$23,入力リスト!$H$9)=0),"",IF(A230="","",IF(ISERROR(AVERAGEIF(従業員の給与情報!$B:$B,$A230,従業員の給与情報!$D:$D)),0,IF(ISERROR(AVERAGEIF(従業員の給与情報!$B:$B,$A230,従業員の給与情報!$D:$D)),0,AVERAGEIF(従業員の給与情報!$B:$B,$A230,従業員の給与情報!$D:$D)))))</f>
        <v/>
      </c>
      <c r="V230" s="102" t="str">
        <f>IF(OR(入力シート!$C$5&lt;&gt;入力リスト!$C$3,COUNTIF(入力シート!$J$16:$S$23,入力リスト!$H$9)=0),"",IF(A230="","",IF(ISERROR(AVERAGEIF(従業員の給与情報!$B:$B,$A230,従業員の給与情報!$E:$E)),0,IF(ISERROR(AVERAGEIF(従業員の給与情報!$B:$B,$A230,従業員の給与情報!$E:$E)),0,AVERAGEIF(従業員の給与情報!$B:$B,$A230,従業員の給与情報!$E:$E)))))</f>
        <v/>
      </c>
      <c r="W230" s="103" t="str">
        <f>IF(OR(入力シート!$C$5&lt;&gt;入力リスト!$C$3,COUNTIF(入力シート!$J$16:$S$23,入力リスト!$H$9)=0),"",IF(A230="","",IF(ISERROR(AVERAGEIF(従業員の給与情報!$B:$B,$A230,従業員の給与情報!$F:$F)),0,IF(ISERROR(AVERAGEIF(従業員の給与情報!$B:$B,$A230,従業員の給与情報!$F:$F)),0,AVERAGEIF(従業員の給与情報!$B:$B,$A230,従業員の給与情報!$F:$F)))))</f>
        <v/>
      </c>
    </row>
    <row r="231" spans="1:23" s="10" customFormat="1">
      <c r="A231" s="253"/>
      <c r="B231" s="246"/>
      <c r="C231" s="247"/>
      <c r="D231" s="246"/>
      <c r="E231" s="246"/>
      <c r="F231" s="257" t="str">
        <f>IF($G$1,"",IF(COUNTIF(A231:E231,"")=5,"",IF(G231,入力リスト!$K$28,IF(OR(A231="",B231="",IF(COUNTIF($C$3,"*不要*"),"",C231=""),D231=""),IF(A231="","従業員番号","")&amp;IF(B231="","「雇用形態」","")&amp;IF(OR(入力シート!$J$18=入力リスト!$H$9,入力シート!$J$22=入力リスト!$H$9),IF(C231="","「入社年月日」",""),"")&amp;IF(D231="","「性別」","")&amp;IF(IF(A231="","従業員番号","")&amp;IF(B231="","「雇用形態」","")&amp;IF(OR(入力シート!$J$18=入力リスト!$H$9,入力シート!$J$22=入力リスト!$H$9),IF(C231="","「入社年月日」",""),"")&amp;IF(D231="","「性別」","")="","",入力リスト!$K$29),IF(J231,入力リスト!$K$30,"")&amp;IF(I231,入力リスト!$K$31,"")&amp;IF(H231,"「雇用形態」","")&amp;IF(K231,"「性別」","")&amp;IF(L231,"「役職」","")&amp;IF(OR(H231,K231,L231),入力リスト!$K$32,"")))))</f>
        <v/>
      </c>
      <c r="G231" s="209" t="b">
        <f>COUNTIF($A$4:A230,$A231)&gt;0</f>
        <v>0</v>
      </c>
      <c r="H231" s="210" t="b">
        <f>IF($H$1,FALSE,COUNTIF(入力シート!$S$37:$V$62,B231)=0)</f>
        <v>0</v>
      </c>
      <c r="I231" s="210" t="b">
        <f t="shared" si="8"/>
        <v>0</v>
      </c>
      <c r="J231" s="210" t="b">
        <f>IF($J$1,FALSE,IF(I231=TRUE,FALSE,IF(I231,FALSE,C231&gt;入力シート!$J$24)))</f>
        <v>0</v>
      </c>
      <c r="K231" s="210" t="b">
        <f>IF($K$1,FALSE,COUNTIF(入力シート!$AW$37:$BB$38,D231)=0)</f>
        <v>0</v>
      </c>
      <c r="L231" s="210" t="b">
        <f>IF($L$1,FALSE,IF($L$3,FALSE,IF(E231="",FALSE,COUNTIF(入力シート!$AH$37:$AK$62,E231)=0)))</f>
        <v>0</v>
      </c>
      <c r="M231" s="211" t="str">
        <f t="shared" si="7"/>
        <v/>
      </c>
      <c r="N231" s="211"/>
      <c r="O231" s="209" t="str">
        <f>IF(B231="","",VLOOKUP('従業員情報(給与以外)'!$B231,入力シート!$S$37:$Z$62,5,0))</f>
        <v/>
      </c>
      <c r="P231" s="156" t="str">
        <f>IF(ISNUMBER(C231)=FALSE,"",IF(C231&gt;入力シート!$J$24,"",_xlfn.DAYS(入力シート!$J$24,'従業員情報(給与以外)'!$C231)/365))</f>
        <v/>
      </c>
      <c r="Q231" s="210" t="str">
        <f>IF(P231="","",VLOOKUP(_xlfn.DAYS(入力シート!$J$24,'従業員情報(給与以外)'!$C231)/365,入力リスト!$K$18:$L$26,2,2))</f>
        <v/>
      </c>
      <c r="R231" s="209" t="str">
        <f>IF(D231="","",VLOOKUP('従業員情報(給与以外)'!$D231,入力シート!$AW$37:$BB$38,4,0))</f>
        <v/>
      </c>
      <c r="S231" s="209" t="str">
        <f>IF(A231="","",IF(E231="","非役職",VLOOKUP('従業員情報(給与以外)'!$E231,入力シート!$AH$37:$AO$62,5,0)))</f>
        <v/>
      </c>
      <c r="T231" s="102" t="str">
        <f>IF(OR(入力シート!$C$5&lt;&gt;入力リスト!$C$3,COUNTIF(入力シート!$J$16:$S$23,入力リスト!$H$9)=0),"",IF($A231="","",IF(ISERROR(AVERAGEIF(従業員の給与情報!$B:$B,$A231,従業員の給与情報!$C:$C)),0,IF(ISERROR(AVERAGEIF(従業員の給与情報!$B:$B,$A231,従業員の給与情報!$C:$C)),0,AVERAGEIF(従業員の給与情報!$B:$B,$A231,従業員の給与情報!$C:$C)))))</f>
        <v/>
      </c>
      <c r="U231" s="102" t="str">
        <f>IF(OR(入力シート!$C$5&lt;&gt;入力リスト!$C$3,COUNTIF(入力シート!$J$16:$S$23,入力リスト!$H$9)=0),"",IF(A231="","",IF(ISERROR(AVERAGEIF(従業員の給与情報!$B:$B,$A231,従業員の給与情報!$D:$D)),0,IF(ISERROR(AVERAGEIF(従業員の給与情報!$B:$B,$A231,従業員の給与情報!$D:$D)),0,AVERAGEIF(従業員の給与情報!$B:$B,$A231,従業員の給与情報!$D:$D)))))</f>
        <v/>
      </c>
      <c r="V231" s="102" t="str">
        <f>IF(OR(入力シート!$C$5&lt;&gt;入力リスト!$C$3,COUNTIF(入力シート!$J$16:$S$23,入力リスト!$H$9)=0),"",IF(A231="","",IF(ISERROR(AVERAGEIF(従業員の給与情報!$B:$B,$A231,従業員の給与情報!$E:$E)),0,IF(ISERROR(AVERAGEIF(従業員の給与情報!$B:$B,$A231,従業員の給与情報!$E:$E)),0,AVERAGEIF(従業員の給与情報!$B:$B,$A231,従業員の給与情報!$E:$E)))))</f>
        <v/>
      </c>
      <c r="W231" s="103" t="str">
        <f>IF(OR(入力シート!$C$5&lt;&gt;入力リスト!$C$3,COUNTIF(入力シート!$J$16:$S$23,入力リスト!$H$9)=0),"",IF(A231="","",IF(ISERROR(AVERAGEIF(従業員の給与情報!$B:$B,$A231,従業員の給与情報!$F:$F)),0,IF(ISERROR(AVERAGEIF(従業員の給与情報!$B:$B,$A231,従業員の給与情報!$F:$F)),0,AVERAGEIF(従業員の給与情報!$B:$B,$A231,従業員の給与情報!$F:$F)))))</f>
        <v/>
      </c>
    </row>
    <row r="232" spans="1:23" s="10" customFormat="1">
      <c r="A232" s="253"/>
      <c r="B232" s="246"/>
      <c r="C232" s="247"/>
      <c r="D232" s="246"/>
      <c r="E232" s="246"/>
      <c r="F232" s="257" t="str">
        <f>IF($G$1,"",IF(COUNTIF(A232:E232,"")=5,"",IF(G232,入力リスト!$K$28,IF(OR(A232="",B232="",IF(COUNTIF($C$3,"*不要*"),"",C232=""),D232=""),IF(A232="","従業員番号","")&amp;IF(B232="","「雇用形態」","")&amp;IF(OR(入力シート!$J$18=入力リスト!$H$9,入力シート!$J$22=入力リスト!$H$9),IF(C232="","「入社年月日」",""),"")&amp;IF(D232="","「性別」","")&amp;IF(IF(A232="","従業員番号","")&amp;IF(B232="","「雇用形態」","")&amp;IF(OR(入力シート!$J$18=入力リスト!$H$9,入力シート!$J$22=入力リスト!$H$9),IF(C232="","「入社年月日」",""),"")&amp;IF(D232="","「性別」","")="","",入力リスト!$K$29),IF(J232,入力リスト!$K$30,"")&amp;IF(I232,入力リスト!$K$31,"")&amp;IF(H232,"「雇用形態」","")&amp;IF(K232,"「性別」","")&amp;IF(L232,"「役職」","")&amp;IF(OR(H232,K232,L232),入力リスト!$K$32,"")))))</f>
        <v/>
      </c>
      <c r="G232" s="209" t="b">
        <f>COUNTIF($A$4:A231,$A232)&gt;0</f>
        <v>0</v>
      </c>
      <c r="H232" s="210" t="b">
        <f>IF($H$1,FALSE,COUNTIF(入力シート!$S$37:$V$62,B232)=0)</f>
        <v>0</v>
      </c>
      <c r="I232" s="210" t="b">
        <f t="shared" si="8"/>
        <v>0</v>
      </c>
      <c r="J232" s="210" t="b">
        <f>IF($J$1,FALSE,IF(I232=TRUE,FALSE,IF(I232,FALSE,C232&gt;入力シート!$J$24)))</f>
        <v>0</v>
      </c>
      <c r="K232" s="210" t="b">
        <f>IF($K$1,FALSE,COUNTIF(入力シート!$AW$37:$BB$38,D232)=0)</f>
        <v>0</v>
      </c>
      <c r="L232" s="210" t="b">
        <f>IF($L$1,FALSE,IF($L$3,FALSE,IF(E232="",FALSE,COUNTIF(入力シート!$AH$37:$AK$62,E232)=0)))</f>
        <v>0</v>
      </c>
      <c r="M232" s="211" t="str">
        <f t="shared" si="7"/>
        <v/>
      </c>
      <c r="N232" s="211"/>
      <c r="O232" s="209" t="str">
        <f>IF(B232="","",VLOOKUP('従業員情報(給与以外)'!$B232,入力シート!$S$37:$Z$62,5,0))</f>
        <v/>
      </c>
      <c r="P232" s="156" t="str">
        <f>IF(ISNUMBER(C232)=FALSE,"",IF(C232&gt;入力シート!$J$24,"",_xlfn.DAYS(入力シート!$J$24,'従業員情報(給与以外)'!$C232)/365))</f>
        <v/>
      </c>
      <c r="Q232" s="210" t="str">
        <f>IF(P232="","",VLOOKUP(_xlfn.DAYS(入力シート!$J$24,'従業員情報(給与以外)'!$C232)/365,入力リスト!$K$18:$L$26,2,2))</f>
        <v/>
      </c>
      <c r="R232" s="209" t="str">
        <f>IF(D232="","",VLOOKUP('従業員情報(給与以外)'!$D232,入力シート!$AW$37:$BB$38,4,0))</f>
        <v/>
      </c>
      <c r="S232" s="209" t="str">
        <f>IF(A232="","",IF(E232="","非役職",VLOOKUP('従業員情報(給与以外)'!$E232,入力シート!$AH$37:$AO$62,5,0)))</f>
        <v/>
      </c>
      <c r="T232" s="102" t="str">
        <f>IF(OR(入力シート!$C$5&lt;&gt;入力リスト!$C$3,COUNTIF(入力シート!$J$16:$S$23,入力リスト!$H$9)=0),"",IF($A232="","",IF(ISERROR(AVERAGEIF(従業員の給与情報!$B:$B,$A232,従業員の給与情報!$C:$C)),0,IF(ISERROR(AVERAGEIF(従業員の給与情報!$B:$B,$A232,従業員の給与情報!$C:$C)),0,AVERAGEIF(従業員の給与情報!$B:$B,$A232,従業員の給与情報!$C:$C)))))</f>
        <v/>
      </c>
      <c r="U232" s="102" t="str">
        <f>IF(OR(入力シート!$C$5&lt;&gt;入力リスト!$C$3,COUNTIF(入力シート!$J$16:$S$23,入力リスト!$H$9)=0),"",IF(A232="","",IF(ISERROR(AVERAGEIF(従業員の給与情報!$B:$B,$A232,従業員の給与情報!$D:$D)),0,IF(ISERROR(AVERAGEIF(従業員の給与情報!$B:$B,$A232,従業員の給与情報!$D:$D)),0,AVERAGEIF(従業員の給与情報!$B:$B,$A232,従業員の給与情報!$D:$D)))))</f>
        <v/>
      </c>
      <c r="V232" s="102" t="str">
        <f>IF(OR(入力シート!$C$5&lt;&gt;入力リスト!$C$3,COUNTIF(入力シート!$J$16:$S$23,入力リスト!$H$9)=0),"",IF(A232="","",IF(ISERROR(AVERAGEIF(従業員の給与情報!$B:$B,$A232,従業員の給与情報!$E:$E)),0,IF(ISERROR(AVERAGEIF(従業員の給与情報!$B:$B,$A232,従業員の給与情報!$E:$E)),0,AVERAGEIF(従業員の給与情報!$B:$B,$A232,従業員の給与情報!$E:$E)))))</f>
        <v/>
      </c>
      <c r="W232" s="103" t="str">
        <f>IF(OR(入力シート!$C$5&lt;&gt;入力リスト!$C$3,COUNTIF(入力シート!$J$16:$S$23,入力リスト!$H$9)=0),"",IF(A232="","",IF(ISERROR(AVERAGEIF(従業員の給与情報!$B:$B,$A232,従業員の給与情報!$F:$F)),0,IF(ISERROR(AVERAGEIF(従業員の給与情報!$B:$B,$A232,従業員の給与情報!$F:$F)),0,AVERAGEIF(従業員の給与情報!$B:$B,$A232,従業員の給与情報!$F:$F)))))</f>
        <v/>
      </c>
    </row>
    <row r="233" spans="1:23" s="10" customFormat="1">
      <c r="A233" s="253"/>
      <c r="B233" s="246"/>
      <c r="C233" s="247"/>
      <c r="D233" s="246"/>
      <c r="E233" s="246"/>
      <c r="F233" s="257" t="str">
        <f>IF($G$1,"",IF(COUNTIF(A233:E233,"")=5,"",IF(G233,入力リスト!$K$28,IF(OR(A233="",B233="",IF(COUNTIF($C$3,"*不要*"),"",C233=""),D233=""),IF(A233="","従業員番号","")&amp;IF(B233="","「雇用形態」","")&amp;IF(OR(入力シート!$J$18=入力リスト!$H$9,入力シート!$J$22=入力リスト!$H$9),IF(C233="","「入社年月日」",""),"")&amp;IF(D233="","「性別」","")&amp;IF(IF(A233="","従業員番号","")&amp;IF(B233="","「雇用形態」","")&amp;IF(OR(入力シート!$J$18=入力リスト!$H$9,入力シート!$J$22=入力リスト!$H$9),IF(C233="","「入社年月日」",""),"")&amp;IF(D233="","「性別」","")="","",入力リスト!$K$29),IF(J233,入力リスト!$K$30,"")&amp;IF(I233,入力リスト!$K$31,"")&amp;IF(H233,"「雇用形態」","")&amp;IF(K233,"「性別」","")&amp;IF(L233,"「役職」","")&amp;IF(OR(H233,K233,L233),入力リスト!$K$32,"")))))</f>
        <v/>
      </c>
      <c r="G233" s="209" t="b">
        <f>COUNTIF($A$4:A232,$A233)&gt;0</f>
        <v>0</v>
      </c>
      <c r="H233" s="210" t="b">
        <f>IF($H$1,FALSE,COUNTIF(入力シート!$S$37:$V$62,B233)=0)</f>
        <v>0</v>
      </c>
      <c r="I233" s="210" t="b">
        <f t="shared" si="8"/>
        <v>0</v>
      </c>
      <c r="J233" s="210" t="b">
        <f>IF($J$1,FALSE,IF(I233=TRUE,FALSE,IF(I233,FALSE,C233&gt;入力シート!$J$24)))</f>
        <v>0</v>
      </c>
      <c r="K233" s="210" t="b">
        <f>IF($K$1,FALSE,COUNTIF(入力シート!$AW$37:$BB$38,D233)=0)</f>
        <v>0</v>
      </c>
      <c r="L233" s="210" t="b">
        <f>IF($L$1,FALSE,IF($L$3,FALSE,IF(E233="",FALSE,COUNTIF(入力シート!$AH$37:$AK$62,E233)=0)))</f>
        <v>0</v>
      </c>
      <c r="M233" s="211" t="str">
        <f t="shared" si="7"/>
        <v/>
      </c>
      <c r="N233" s="211"/>
      <c r="O233" s="209" t="str">
        <f>IF(B233="","",VLOOKUP('従業員情報(給与以外)'!$B233,入力シート!$S$37:$Z$62,5,0))</f>
        <v/>
      </c>
      <c r="P233" s="156" t="str">
        <f>IF(ISNUMBER(C233)=FALSE,"",IF(C233&gt;入力シート!$J$24,"",_xlfn.DAYS(入力シート!$J$24,'従業員情報(給与以外)'!$C233)/365))</f>
        <v/>
      </c>
      <c r="Q233" s="210" t="str">
        <f>IF(P233="","",VLOOKUP(_xlfn.DAYS(入力シート!$J$24,'従業員情報(給与以外)'!$C233)/365,入力リスト!$K$18:$L$26,2,2))</f>
        <v/>
      </c>
      <c r="R233" s="209" t="str">
        <f>IF(D233="","",VLOOKUP('従業員情報(給与以外)'!$D233,入力シート!$AW$37:$BB$38,4,0))</f>
        <v/>
      </c>
      <c r="S233" s="209" t="str">
        <f>IF(A233="","",IF(E233="","非役職",VLOOKUP('従業員情報(給与以外)'!$E233,入力シート!$AH$37:$AO$62,5,0)))</f>
        <v/>
      </c>
      <c r="T233" s="102" t="str">
        <f>IF(OR(入力シート!$C$5&lt;&gt;入力リスト!$C$3,COUNTIF(入力シート!$J$16:$S$23,入力リスト!$H$9)=0),"",IF($A233="","",IF(ISERROR(AVERAGEIF(従業員の給与情報!$B:$B,$A233,従業員の給与情報!$C:$C)),0,IF(ISERROR(AVERAGEIF(従業員の給与情報!$B:$B,$A233,従業員の給与情報!$C:$C)),0,AVERAGEIF(従業員の給与情報!$B:$B,$A233,従業員の給与情報!$C:$C)))))</f>
        <v/>
      </c>
      <c r="U233" s="102" t="str">
        <f>IF(OR(入力シート!$C$5&lt;&gt;入力リスト!$C$3,COUNTIF(入力シート!$J$16:$S$23,入力リスト!$H$9)=0),"",IF(A233="","",IF(ISERROR(AVERAGEIF(従業員の給与情報!$B:$B,$A233,従業員の給与情報!$D:$D)),0,IF(ISERROR(AVERAGEIF(従業員の給与情報!$B:$B,$A233,従業員の給与情報!$D:$D)),0,AVERAGEIF(従業員の給与情報!$B:$B,$A233,従業員の給与情報!$D:$D)))))</f>
        <v/>
      </c>
      <c r="V233" s="102" t="str">
        <f>IF(OR(入力シート!$C$5&lt;&gt;入力リスト!$C$3,COUNTIF(入力シート!$J$16:$S$23,入力リスト!$H$9)=0),"",IF(A233="","",IF(ISERROR(AVERAGEIF(従業員の給与情報!$B:$B,$A233,従業員の給与情報!$E:$E)),0,IF(ISERROR(AVERAGEIF(従業員の給与情報!$B:$B,$A233,従業員の給与情報!$E:$E)),0,AVERAGEIF(従業員の給与情報!$B:$B,$A233,従業員の給与情報!$E:$E)))))</f>
        <v/>
      </c>
      <c r="W233" s="103" t="str">
        <f>IF(OR(入力シート!$C$5&lt;&gt;入力リスト!$C$3,COUNTIF(入力シート!$J$16:$S$23,入力リスト!$H$9)=0),"",IF(A233="","",IF(ISERROR(AVERAGEIF(従業員の給与情報!$B:$B,$A233,従業員の給与情報!$F:$F)),0,IF(ISERROR(AVERAGEIF(従業員の給与情報!$B:$B,$A233,従業員の給与情報!$F:$F)),0,AVERAGEIF(従業員の給与情報!$B:$B,$A233,従業員の給与情報!$F:$F)))))</f>
        <v/>
      </c>
    </row>
    <row r="234" spans="1:23" s="10" customFormat="1">
      <c r="A234" s="253"/>
      <c r="B234" s="246"/>
      <c r="C234" s="247"/>
      <c r="D234" s="246"/>
      <c r="E234" s="246"/>
      <c r="F234" s="257" t="str">
        <f>IF($G$1,"",IF(COUNTIF(A234:E234,"")=5,"",IF(G234,入力リスト!$K$28,IF(OR(A234="",B234="",IF(COUNTIF($C$3,"*不要*"),"",C234=""),D234=""),IF(A234="","従業員番号","")&amp;IF(B234="","「雇用形態」","")&amp;IF(OR(入力シート!$J$18=入力リスト!$H$9,入力シート!$J$22=入力リスト!$H$9),IF(C234="","「入社年月日」",""),"")&amp;IF(D234="","「性別」","")&amp;IF(IF(A234="","従業員番号","")&amp;IF(B234="","「雇用形態」","")&amp;IF(OR(入力シート!$J$18=入力リスト!$H$9,入力シート!$J$22=入力リスト!$H$9),IF(C234="","「入社年月日」",""),"")&amp;IF(D234="","「性別」","")="","",入力リスト!$K$29),IF(J234,入力リスト!$K$30,"")&amp;IF(I234,入力リスト!$K$31,"")&amp;IF(H234,"「雇用形態」","")&amp;IF(K234,"「性別」","")&amp;IF(L234,"「役職」","")&amp;IF(OR(H234,K234,L234),入力リスト!$K$32,"")))))</f>
        <v/>
      </c>
      <c r="G234" s="209" t="b">
        <f>COUNTIF($A$4:A233,$A234)&gt;0</f>
        <v>0</v>
      </c>
      <c r="H234" s="210" t="b">
        <f>IF($H$1,FALSE,COUNTIF(入力シート!$S$37:$V$62,B234)=0)</f>
        <v>0</v>
      </c>
      <c r="I234" s="210" t="b">
        <f t="shared" si="8"/>
        <v>0</v>
      </c>
      <c r="J234" s="210" t="b">
        <f>IF($J$1,FALSE,IF(I234=TRUE,FALSE,IF(I234,FALSE,C234&gt;入力シート!$J$24)))</f>
        <v>0</v>
      </c>
      <c r="K234" s="210" t="b">
        <f>IF($K$1,FALSE,COUNTIF(入力シート!$AW$37:$BB$38,D234)=0)</f>
        <v>0</v>
      </c>
      <c r="L234" s="210" t="b">
        <f>IF($L$1,FALSE,IF($L$3,FALSE,IF(E234="",FALSE,COUNTIF(入力シート!$AH$37:$AK$62,E234)=0)))</f>
        <v>0</v>
      </c>
      <c r="M234" s="211" t="str">
        <f t="shared" si="7"/>
        <v/>
      </c>
      <c r="N234" s="211"/>
      <c r="O234" s="209" t="str">
        <f>IF(B234="","",VLOOKUP('従業員情報(給与以外)'!$B234,入力シート!$S$37:$Z$62,5,0))</f>
        <v/>
      </c>
      <c r="P234" s="156" t="str">
        <f>IF(ISNUMBER(C234)=FALSE,"",IF(C234&gt;入力シート!$J$24,"",_xlfn.DAYS(入力シート!$J$24,'従業員情報(給与以外)'!$C234)/365))</f>
        <v/>
      </c>
      <c r="Q234" s="210" t="str">
        <f>IF(P234="","",VLOOKUP(_xlfn.DAYS(入力シート!$J$24,'従業員情報(給与以外)'!$C234)/365,入力リスト!$K$18:$L$26,2,2))</f>
        <v/>
      </c>
      <c r="R234" s="209" t="str">
        <f>IF(D234="","",VLOOKUP('従業員情報(給与以外)'!$D234,入力シート!$AW$37:$BB$38,4,0))</f>
        <v/>
      </c>
      <c r="S234" s="209" t="str">
        <f>IF(A234="","",IF(E234="","非役職",VLOOKUP('従業員情報(給与以外)'!$E234,入力シート!$AH$37:$AO$62,5,0)))</f>
        <v/>
      </c>
      <c r="T234" s="102" t="str">
        <f>IF(OR(入力シート!$C$5&lt;&gt;入力リスト!$C$3,COUNTIF(入力シート!$J$16:$S$23,入力リスト!$H$9)=0),"",IF($A234="","",IF(ISERROR(AVERAGEIF(従業員の給与情報!$B:$B,$A234,従業員の給与情報!$C:$C)),0,IF(ISERROR(AVERAGEIF(従業員の給与情報!$B:$B,$A234,従業員の給与情報!$C:$C)),0,AVERAGEIF(従業員の給与情報!$B:$B,$A234,従業員の給与情報!$C:$C)))))</f>
        <v/>
      </c>
      <c r="U234" s="102" t="str">
        <f>IF(OR(入力シート!$C$5&lt;&gt;入力リスト!$C$3,COUNTIF(入力シート!$J$16:$S$23,入力リスト!$H$9)=0),"",IF(A234="","",IF(ISERROR(AVERAGEIF(従業員の給与情報!$B:$B,$A234,従業員の給与情報!$D:$D)),0,IF(ISERROR(AVERAGEIF(従業員の給与情報!$B:$B,$A234,従業員の給与情報!$D:$D)),0,AVERAGEIF(従業員の給与情報!$B:$B,$A234,従業員の給与情報!$D:$D)))))</f>
        <v/>
      </c>
      <c r="V234" s="102" t="str">
        <f>IF(OR(入力シート!$C$5&lt;&gt;入力リスト!$C$3,COUNTIF(入力シート!$J$16:$S$23,入力リスト!$H$9)=0),"",IF(A234="","",IF(ISERROR(AVERAGEIF(従業員の給与情報!$B:$B,$A234,従業員の給与情報!$E:$E)),0,IF(ISERROR(AVERAGEIF(従業員の給与情報!$B:$B,$A234,従業員の給与情報!$E:$E)),0,AVERAGEIF(従業員の給与情報!$B:$B,$A234,従業員の給与情報!$E:$E)))))</f>
        <v/>
      </c>
      <c r="W234" s="103" t="str">
        <f>IF(OR(入力シート!$C$5&lt;&gt;入力リスト!$C$3,COUNTIF(入力シート!$J$16:$S$23,入力リスト!$H$9)=0),"",IF(A234="","",IF(ISERROR(AVERAGEIF(従業員の給与情報!$B:$B,$A234,従業員の給与情報!$F:$F)),0,IF(ISERROR(AVERAGEIF(従業員の給与情報!$B:$B,$A234,従業員の給与情報!$F:$F)),0,AVERAGEIF(従業員の給与情報!$B:$B,$A234,従業員の給与情報!$F:$F)))))</f>
        <v/>
      </c>
    </row>
    <row r="235" spans="1:23" s="10" customFormat="1">
      <c r="A235" s="253"/>
      <c r="B235" s="246"/>
      <c r="C235" s="247"/>
      <c r="D235" s="246"/>
      <c r="E235" s="246"/>
      <c r="F235" s="257" t="str">
        <f>IF($G$1,"",IF(COUNTIF(A235:E235,"")=5,"",IF(G235,入力リスト!$K$28,IF(OR(A235="",B235="",IF(COUNTIF($C$3,"*不要*"),"",C235=""),D235=""),IF(A235="","従業員番号","")&amp;IF(B235="","「雇用形態」","")&amp;IF(OR(入力シート!$J$18=入力リスト!$H$9,入力シート!$J$22=入力リスト!$H$9),IF(C235="","「入社年月日」",""),"")&amp;IF(D235="","「性別」","")&amp;IF(IF(A235="","従業員番号","")&amp;IF(B235="","「雇用形態」","")&amp;IF(OR(入力シート!$J$18=入力リスト!$H$9,入力シート!$J$22=入力リスト!$H$9),IF(C235="","「入社年月日」",""),"")&amp;IF(D235="","「性別」","")="","",入力リスト!$K$29),IF(J235,入力リスト!$K$30,"")&amp;IF(I235,入力リスト!$K$31,"")&amp;IF(H235,"「雇用形態」","")&amp;IF(K235,"「性別」","")&amp;IF(L235,"「役職」","")&amp;IF(OR(H235,K235,L235),入力リスト!$K$32,"")))))</f>
        <v/>
      </c>
      <c r="G235" s="209" t="b">
        <f>COUNTIF($A$4:A234,$A235)&gt;0</f>
        <v>0</v>
      </c>
      <c r="H235" s="210" t="b">
        <f>IF($H$1,FALSE,COUNTIF(入力シート!$S$37:$V$62,B235)=0)</f>
        <v>0</v>
      </c>
      <c r="I235" s="210" t="b">
        <f t="shared" si="8"/>
        <v>0</v>
      </c>
      <c r="J235" s="210" t="b">
        <f>IF($J$1,FALSE,IF(I235=TRUE,FALSE,IF(I235,FALSE,C235&gt;入力シート!$J$24)))</f>
        <v>0</v>
      </c>
      <c r="K235" s="210" t="b">
        <f>IF($K$1,FALSE,COUNTIF(入力シート!$AW$37:$BB$38,D235)=0)</f>
        <v>0</v>
      </c>
      <c r="L235" s="210" t="b">
        <f>IF($L$1,FALSE,IF($L$3,FALSE,IF(E235="",FALSE,COUNTIF(入力シート!$AH$37:$AK$62,E235)=0)))</f>
        <v>0</v>
      </c>
      <c r="M235" s="211" t="str">
        <f t="shared" si="7"/>
        <v/>
      </c>
      <c r="N235" s="211"/>
      <c r="O235" s="209" t="str">
        <f>IF(B235="","",VLOOKUP('従業員情報(給与以外)'!$B235,入力シート!$S$37:$Z$62,5,0))</f>
        <v/>
      </c>
      <c r="P235" s="156" t="str">
        <f>IF(ISNUMBER(C235)=FALSE,"",IF(C235&gt;入力シート!$J$24,"",_xlfn.DAYS(入力シート!$J$24,'従業員情報(給与以外)'!$C235)/365))</f>
        <v/>
      </c>
      <c r="Q235" s="210" t="str">
        <f>IF(P235="","",VLOOKUP(_xlfn.DAYS(入力シート!$J$24,'従業員情報(給与以外)'!$C235)/365,入力リスト!$K$18:$L$26,2,2))</f>
        <v/>
      </c>
      <c r="R235" s="209" t="str">
        <f>IF(D235="","",VLOOKUP('従業員情報(給与以外)'!$D235,入力シート!$AW$37:$BB$38,4,0))</f>
        <v/>
      </c>
      <c r="S235" s="209" t="str">
        <f>IF(A235="","",IF(E235="","非役職",VLOOKUP('従業員情報(給与以外)'!$E235,入力シート!$AH$37:$AO$62,5,0)))</f>
        <v/>
      </c>
      <c r="T235" s="102" t="str">
        <f>IF(OR(入力シート!$C$5&lt;&gt;入力リスト!$C$3,COUNTIF(入力シート!$J$16:$S$23,入力リスト!$H$9)=0),"",IF($A235="","",IF(ISERROR(AVERAGEIF(従業員の給与情報!$B:$B,$A235,従業員の給与情報!$C:$C)),0,IF(ISERROR(AVERAGEIF(従業員の給与情報!$B:$B,$A235,従業員の給与情報!$C:$C)),0,AVERAGEIF(従業員の給与情報!$B:$B,$A235,従業員の給与情報!$C:$C)))))</f>
        <v/>
      </c>
      <c r="U235" s="102" t="str">
        <f>IF(OR(入力シート!$C$5&lt;&gt;入力リスト!$C$3,COUNTIF(入力シート!$J$16:$S$23,入力リスト!$H$9)=0),"",IF(A235="","",IF(ISERROR(AVERAGEIF(従業員の給与情報!$B:$B,$A235,従業員の給与情報!$D:$D)),0,IF(ISERROR(AVERAGEIF(従業員の給与情報!$B:$B,$A235,従業員の給与情報!$D:$D)),0,AVERAGEIF(従業員の給与情報!$B:$B,$A235,従業員の給与情報!$D:$D)))))</f>
        <v/>
      </c>
      <c r="V235" s="102" t="str">
        <f>IF(OR(入力シート!$C$5&lt;&gt;入力リスト!$C$3,COUNTIF(入力シート!$J$16:$S$23,入力リスト!$H$9)=0),"",IF(A235="","",IF(ISERROR(AVERAGEIF(従業員の給与情報!$B:$B,$A235,従業員の給与情報!$E:$E)),0,IF(ISERROR(AVERAGEIF(従業員の給与情報!$B:$B,$A235,従業員の給与情報!$E:$E)),0,AVERAGEIF(従業員の給与情報!$B:$B,$A235,従業員の給与情報!$E:$E)))))</f>
        <v/>
      </c>
      <c r="W235" s="103" t="str">
        <f>IF(OR(入力シート!$C$5&lt;&gt;入力リスト!$C$3,COUNTIF(入力シート!$J$16:$S$23,入力リスト!$H$9)=0),"",IF(A235="","",IF(ISERROR(AVERAGEIF(従業員の給与情報!$B:$B,$A235,従業員の給与情報!$F:$F)),0,IF(ISERROR(AVERAGEIF(従業員の給与情報!$B:$B,$A235,従業員の給与情報!$F:$F)),0,AVERAGEIF(従業員の給与情報!$B:$B,$A235,従業員の給与情報!$F:$F)))))</f>
        <v/>
      </c>
    </row>
    <row r="236" spans="1:23" s="10" customFormat="1">
      <c r="A236" s="253"/>
      <c r="B236" s="246"/>
      <c r="C236" s="247"/>
      <c r="D236" s="246"/>
      <c r="E236" s="246"/>
      <c r="F236" s="257" t="str">
        <f>IF($G$1,"",IF(COUNTIF(A236:E236,"")=5,"",IF(G236,入力リスト!$K$28,IF(OR(A236="",B236="",IF(COUNTIF($C$3,"*不要*"),"",C236=""),D236=""),IF(A236="","従業員番号","")&amp;IF(B236="","「雇用形態」","")&amp;IF(OR(入力シート!$J$18=入力リスト!$H$9,入力シート!$J$22=入力リスト!$H$9),IF(C236="","「入社年月日」",""),"")&amp;IF(D236="","「性別」","")&amp;IF(IF(A236="","従業員番号","")&amp;IF(B236="","「雇用形態」","")&amp;IF(OR(入力シート!$J$18=入力リスト!$H$9,入力シート!$J$22=入力リスト!$H$9),IF(C236="","「入社年月日」",""),"")&amp;IF(D236="","「性別」","")="","",入力リスト!$K$29),IF(J236,入力リスト!$K$30,"")&amp;IF(I236,入力リスト!$K$31,"")&amp;IF(H236,"「雇用形態」","")&amp;IF(K236,"「性別」","")&amp;IF(L236,"「役職」","")&amp;IF(OR(H236,K236,L236),入力リスト!$K$32,"")))))</f>
        <v/>
      </c>
      <c r="G236" s="209" t="b">
        <f>COUNTIF($A$4:A235,$A236)&gt;0</f>
        <v>0</v>
      </c>
      <c r="H236" s="210" t="b">
        <f>IF($H$1,FALSE,COUNTIF(入力シート!$S$37:$V$62,B236)=0)</f>
        <v>0</v>
      </c>
      <c r="I236" s="210" t="b">
        <f t="shared" si="8"/>
        <v>0</v>
      </c>
      <c r="J236" s="210" t="b">
        <f>IF($J$1,FALSE,IF(I236=TRUE,FALSE,IF(I236,FALSE,C236&gt;入力シート!$J$24)))</f>
        <v>0</v>
      </c>
      <c r="K236" s="210" t="b">
        <f>IF($K$1,FALSE,COUNTIF(入力シート!$AW$37:$BB$38,D236)=0)</f>
        <v>0</v>
      </c>
      <c r="L236" s="210" t="b">
        <f>IF($L$1,FALSE,IF($L$3,FALSE,IF(E236="",FALSE,COUNTIF(入力シート!$AH$37:$AK$62,E236)=0)))</f>
        <v>0</v>
      </c>
      <c r="M236" s="211" t="str">
        <f t="shared" si="7"/>
        <v/>
      </c>
      <c r="N236" s="211"/>
      <c r="O236" s="209" t="str">
        <f>IF(B236="","",VLOOKUP('従業員情報(給与以外)'!$B236,入力シート!$S$37:$Z$62,5,0))</f>
        <v/>
      </c>
      <c r="P236" s="156" t="str">
        <f>IF(ISNUMBER(C236)=FALSE,"",IF(C236&gt;入力シート!$J$24,"",_xlfn.DAYS(入力シート!$J$24,'従業員情報(給与以外)'!$C236)/365))</f>
        <v/>
      </c>
      <c r="Q236" s="210" t="str">
        <f>IF(P236="","",VLOOKUP(_xlfn.DAYS(入力シート!$J$24,'従業員情報(給与以外)'!$C236)/365,入力リスト!$K$18:$L$26,2,2))</f>
        <v/>
      </c>
      <c r="R236" s="209" t="str">
        <f>IF(D236="","",VLOOKUP('従業員情報(給与以外)'!$D236,入力シート!$AW$37:$BB$38,4,0))</f>
        <v/>
      </c>
      <c r="S236" s="209" t="str">
        <f>IF(A236="","",IF(E236="","非役職",VLOOKUP('従業員情報(給与以外)'!$E236,入力シート!$AH$37:$AO$62,5,0)))</f>
        <v/>
      </c>
      <c r="T236" s="102" t="str">
        <f>IF(OR(入力シート!$C$5&lt;&gt;入力リスト!$C$3,COUNTIF(入力シート!$J$16:$S$23,入力リスト!$H$9)=0),"",IF($A236="","",IF(ISERROR(AVERAGEIF(従業員の給与情報!$B:$B,$A236,従業員の給与情報!$C:$C)),0,IF(ISERROR(AVERAGEIF(従業員の給与情報!$B:$B,$A236,従業員の給与情報!$C:$C)),0,AVERAGEIF(従業員の給与情報!$B:$B,$A236,従業員の給与情報!$C:$C)))))</f>
        <v/>
      </c>
      <c r="U236" s="102" t="str">
        <f>IF(OR(入力シート!$C$5&lt;&gt;入力リスト!$C$3,COUNTIF(入力シート!$J$16:$S$23,入力リスト!$H$9)=0),"",IF(A236="","",IF(ISERROR(AVERAGEIF(従業員の給与情報!$B:$B,$A236,従業員の給与情報!$D:$D)),0,IF(ISERROR(AVERAGEIF(従業員の給与情報!$B:$B,$A236,従業員の給与情報!$D:$D)),0,AVERAGEIF(従業員の給与情報!$B:$B,$A236,従業員の給与情報!$D:$D)))))</f>
        <v/>
      </c>
      <c r="V236" s="102" t="str">
        <f>IF(OR(入力シート!$C$5&lt;&gt;入力リスト!$C$3,COUNTIF(入力シート!$J$16:$S$23,入力リスト!$H$9)=0),"",IF(A236="","",IF(ISERROR(AVERAGEIF(従業員の給与情報!$B:$B,$A236,従業員の給与情報!$E:$E)),0,IF(ISERROR(AVERAGEIF(従業員の給与情報!$B:$B,$A236,従業員の給与情報!$E:$E)),0,AVERAGEIF(従業員の給与情報!$B:$B,$A236,従業員の給与情報!$E:$E)))))</f>
        <v/>
      </c>
      <c r="W236" s="103" t="str">
        <f>IF(OR(入力シート!$C$5&lt;&gt;入力リスト!$C$3,COUNTIF(入力シート!$J$16:$S$23,入力リスト!$H$9)=0),"",IF(A236="","",IF(ISERROR(AVERAGEIF(従業員の給与情報!$B:$B,$A236,従業員の給与情報!$F:$F)),0,IF(ISERROR(AVERAGEIF(従業員の給与情報!$B:$B,$A236,従業員の給与情報!$F:$F)),0,AVERAGEIF(従業員の給与情報!$B:$B,$A236,従業員の給与情報!$F:$F)))))</f>
        <v/>
      </c>
    </row>
    <row r="237" spans="1:23" s="10" customFormat="1">
      <c r="A237" s="253"/>
      <c r="B237" s="246"/>
      <c r="C237" s="247"/>
      <c r="D237" s="246"/>
      <c r="E237" s="246"/>
      <c r="F237" s="257" t="str">
        <f>IF($G$1,"",IF(COUNTIF(A237:E237,"")=5,"",IF(G237,入力リスト!$K$28,IF(OR(A237="",B237="",IF(COUNTIF($C$3,"*不要*"),"",C237=""),D237=""),IF(A237="","従業員番号","")&amp;IF(B237="","「雇用形態」","")&amp;IF(OR(入力シート!$J$18=入力リスト!$H$9,入力シート!$J$22=入力リスト!$H$9),IF(C237="","「入社年月日」",""),"")&amp;IF(D237="","「性別」","")&amp;IF(IF(A237="","従業員番号","")&amp;IF(B237="","「雇用形態」","")&amp;IF(OR(入力シート!$J$18=入力リスト!$H$9,入力シート!$J$22=入力リスト!$H$9),IF(C237="","「入社年月日」",""),"")&amp;IF(D237="","「性別」","")="","",入力リスト!$K$29),IF(J237,入力リスト!$K$30,"")&amp;IF(I237,入力リスト!$K$31,"")&amp;IF(H237,"「雇用形態」","")&amp;IF(K237,"「性別」","")&amp;IF(L237,"「役職」","")&amp;IF(OR(H237,K237,L237),入力リスト!$K$32,"")))))</f>
        <v/>
      </c>
      <c r="G237" s="209" t="b">
        <f>COUNTIF($A$4:A236,$A237)&gt;0</f>
        <v>0</v>
      </c>
      <c r="H237" s="210" t="b">
        <f>IF($H$1,FALSE,COUNTIF(入力シート!$S$37:$V$62,B237)=0)</f>
        <v>0</v>
      </c>
      <c r="I237" s="210" t="b">
        <f t="shared" si="8"/>
        <v>0</v>
      </c>
      <c r="J237" s="210" t="b">
        <f>IF($J$1,FALSE,IF(I237=TRUE,FALSE,IF(I237,FALSE,C237&gt;入力シート!$J$24)))</f>
        <v>0</v>
      </c>
      <c r="K237" s="210" t="b">
        <f>IF($K$1,FALSE,COUNTIF(入力シート!$AW$37:$BB$38,D237)=0)</f>
        <v>0</v>
      </c>
      <c r="L237" s="210" t="b">
        <f>IF($L$1,FALSE,IF($L$3,FALSE,IF(E237="",FALSE,COUNTIF(入力シート!$AH$37:$AK$62,E237)=0)))</f>
        <v>0</v>
      </c>
      <c r="M237" s="211" t="str">
        <f t="shared" si="7"/>
        <v/>
      </c>
      <c r="N237" s="211"/>
      <c r="O237" s="209" t="str">
        <f>IF(B237="","",VLOOKUP('従業員情報(給与以外)'!$B237,入力シート!$S$37:$Z$62,5,0))</f>
        <v/>
      </c>
      <c r="P237" s="156" t="str">
        <f>IF(ISNUMBER(C237)=FALSE,"",IF(C237&gt;入力シート!$J$24,"",_xlfn.DAYS(入力シート!$J$24,'従業員情報(給与以外)'!$C237)/365))</f>
        <v/>
      </c>
      <c r="Q237" s="210" t="str">
        <f>IF(P237="","",VLOOKUP(_xlfn.DAYS(入力シート!$J$24,'従業員情報(給与以外)'!$C237)/365,入力リスト!$K$18:$L$26,2,2))</f>
        <v/>
      </c>
      <c r="R237" s="209" t="str">
        <f>IF(D237="","",VLOOKUP('従業員情報(給与以外)'!$D237,入力シート!$AW$37:$BB$38,4,0))</f>
        <v/>
      </c>
      <c r="S237" s="209" t="str">
        <f>IF(A237="","",IF(E237="","非役職",VLOOKUP('従業員情報(給与以外)'!$E237,入力シート!$AH$37:$AO$62,5,0)))</f>
        <v/>
      </c>
      <c r="T237" s="102" t="str">
        <f>IF(OR(入力シート!$C$5&lt;&gt;入力リスト!$C$3,COUNTIF(入力シート!$J$16:$S$23,入力リスト!$H$9)=0),"",IF($A237="","",IF(ISERROR(AVERAGEIF(従業員の給与情報!$B:$B,$A237,従業員の給与情報!$C:$C)),0,IF(ISERROR(AVERAGEIF(従業員の給与情報!$B:$B,$A237,従業員の給与情報!$C:$C)),0,AVERAGEIF(従業員の給与情報!$B:$B,$A237,従業員の給与情報!$C:$C)))))</f>
        <v/>
      </c>
      <c r="U237" s="102" t="str">
        <f>IF(OR(入力シート!$C$5&lt;&gt;入力リスト!$C$3,COUNTIF(入力シート!$J$16:$S$23,入力リスト!$H$9)=0),"",IF(A237="","",IF(ISERROR(AVERAGEIF(従業員の給与情報!$B:$B,$A237,従業員の給与情報!$D:$D)),0,IF(ISERROR(AVERAGEIF(従業員の給与情報!$B:$B,$A237,従業員の給与情報!$D:$D)),0,AVERAGEIF(従業員の給与情報!$B:$B,$A237,従業員の給与情報!$D:$D)))))</f>
        <v/>
      </c>
      <c r="V237" s="102" t="str">
        <f>IF(OR(入力シート!$C$5&lt;&gt;入力リスト!$C$3,COUNTIF(入力シート!$J$16:$S$23,入力リスト!$H$9)=0),"",IF(A237="","",IF(ISERROR(AVERAGEIF(従業員の給与情報!$B:$B,$A237,従業員の給与情報!$E:$E)),0,IF(ISERROR(AVERAGEIF(従業員の給与情報!$B:$B,$A237,従業員の給与情報!$E:$E)),0,AVERAGEIF(従業員の給与情報!$B:$B,$A237,従業員の給与情報!$E:$E)))))</f>
        <v/>
      </c>
      <c r="W237" s="103" t="str">
        <f>IF(OR(入力シート!$C$5&lt;&gt;入力リスト!$C$3,COUNTIF(入力シート!$J$16:$S$23,入力リスト!$H$9)=0),"",IF(A237="","",IF(ISERROR(AVERAGEIF(従業員の給与情報!$B:$B,$A237,従業員の給与情報!$F:$F)),0,IF(ISERROR(AVERAGEIF(従業員の給与情報!$B:$B,$A237,従業員の給与情報!$F:$F)),0,AVERAGEIF(従業員の給与情報!$B:$B,$A237,従業員の給与情報!$F:$F)))))</f>
        <v/>
      </c>
    </row>
    <row r="238" spans="1:23" s="10" customFormat="1">
      <c r="A238" s="253"/>
      <c r="B238" s="246"/>
      <c r="C238" s="247"/>
      <c r="D238" s="246"/>
      <c r="E238" s="246"/>
      <c r="F238" s="257" t="str">
        <f>IF($G$1,"",IF(COUNTIF(A238:E238,"")=5,"",IF(G238,入力リスト!$K$28,IF(OR(A238="",B238="",IF(COUNTIF($C$3,"*不要*"),"",C238=""),D238=""),IF(A238="","従業員番号","")&amp;IF(B238="","「雇用形態」","")&amp;IF(OR(入力シート!$J$18=入力リスト!$H$9,入力シート!$J$22=入力リスト!$H$9),IF(C238="","「入社年月日」",""),"")&amp;IF(D238="","「性別」","")&amp;IF(IF(A238="","従業員番号","")&amp;IF(B238="","「雇用形態」","")&amp;IF(OR(入力シート!$J$18=入力リスト!$H$9,入力シート!$J$22=入力リスト!$H$9),IF(C238="","「入社年月日」",""),"")&amp;IF(D238="","「性別」","")="","",入力リスト!$K$29),IF(J238,入力リスト!$K$30,"")&amp;IF(I238,入力リスト!$K$31,"")&amp;IF(H238,"「雇用形態」","")&amp;IF(K238,"「性別」","")&amp;IF(L238,"「役職」","")&amp;IF(OR(H238,K238,L238),入力リスト!$K$32,"")))))</f>
        <v/>
      </c>
      <c r="G238" s="209" t="b">
        <f>COUNTIF($A$4:A237,$A238)&gt;0</f>
        <v>0</v>
      </c>
      <c r="H238" s="210" t="b">
        <f>IF($H$1,FALSE,COUNTIF(入力シート!$S$37:$V$62,B238)=0)</f>
        <v>0</v>
      </c>
      <c r="I238" s="210" t="b">
        <f t="shared" si="8"/>
        <v>0</v>
      </c>
      <c r="J238" s="210" t="b">
        <f>IF($J$1,FALSE,IF(I238=TRUE,FALSE,IF(I238,FALSE,C238&gt;入力シート!$J$24)))</f>
        <v>0</v>
      </c>
      <c r="K238" s="210" t="b">
        <f>IF($K$1,FALSE,COUNTIF(入力シート!$AW$37:$BB$38,D238)=0)</f>
        <v>0</v>
      </c>
      <c r="L238" s="210" t="b">
        <f>IF($L$1,FALSE,IF($L$3,FALSE,IF(E238="",FALSE,COUNTIF(入力シート!$AH$37:$AK$62,E238)=0)))</f>
        <v>0</v>
      </c>
      <c r="M238" s="211" t="str">
        <f t="shared" si="7"/>
        <v/>
      </c>
      <c r="N238" s="211"/>
      <c r="O238" s="209" t="str">
        <f>IF(B238="","",VLOOKUP('従業員情報(給与以外)'!$B238,入力シート!$S$37:$Z$62,5,0))</f>
        <v/>
      </c>
      <c r="P238" s="156" t="str">
        <f>IF(ISNUMBER(C238)=FALSE,"",IF(C238&gt;入力シート!$J$24,"",_xlfn.DAYS(入力シート!$J$24,'従業員情報(給与以外)'!$C238)/365))</f>
        <v/>
      </c>
      <c r="Q238" s="210" t="str">
        <f>IF(P238="","",VLOOKUP(_xlfn.DAYS(入力シート!$J$24,'従業員情報(給与以外)'!$C238)/365,入力リスト!$K$18:$L$26,2,2))</f>
        <v/>
      </c>
      <c r="R238" s="209" t="str">
        <f>IF(D238="","",VLOOKUP('従業員情報(給与以外)'!$D238,入力シート!$AW$37:$BB$38,4,0))</f>
        <v/>
      </c>
      <c r="S238" s="209" t="str">
        <f>IF(A238="","",IF(E238="","非役職",VLOOKUP('従業員情報(給与以外)'!$E238,入力シート!$AH$37:$AO$62,5,0)))</f>
        <v/>
      </c>
      <c r="T238" s="102" t="str">
        <f>IF(OR(入力シート!$C$5&lt;&gt;入力リスト!$C$3,COUNTIF(入力シート!$J$16:$S$23,入力リスト!$H$9)=0),"",IF($A238="","",IF(ISERROR(AVERAGEIF(従業員の給与情報!$B:$B,$A238,従業員の給与情報!$C:$C)),0,IF(ISERROR(AVERAGEIF(従業員の給与情報!$B:$B,$A238,従業員の給与情報!$C:$C)),0,AVERAGEIF(従業員の給与情報!$B:$B,$A238,従業員の給与情報!$C:$C)))))</f>
        <v/>
      </c>
      <c r="U238" s="102" t="str">
        <f>IF(OR(入力シート!$C$5&lt;&gt;入力リスト!$C$3,COUNTIF(入力シート!$J$16:$S$23,入力リスト!$H$9)=0),"",IF(A238="","",IF(ISERROR(AVERAGEIF(従業員の給与情報!$B:$B,$A238,従業員の給与情報!$D:$D)),0,IF(ISERROR(AVERAGEIF(従業員の給与情報!$B:$B,$A238,従業員の給与情報!$D:$D)),0,AVERAGEIF(従業員の給与情報!$B:$B,$A238,従業員の給与情報!$D:$D)))))</f>
        <v/>
      </c>
      <c r="V238" s="102" t="str">
        <f>IF(OR(入力シート!$C$5&lt;&gt;入力リスト!$C$3,COUNTIF(入力シート!$J$16:$S$23,入力リスト!$H$9)=0),"",IF(A238="","",IF(ISERROR(AVERAGEIF(従業員の給与情報!$B:$B,$A238,従業員の給与情報!$E:$E)),0,IF(ISERROR(AVERAGEIF(従業員の給与情報!$B:$B,$A238,従業員の給与情報!$E:$E)),0,AVERAGEIF(従業員の給与情報!$B:$B,$A238,従業員の給与情報!$E:$E)))))</f>
        <v/>
      </c>
      <c r="W238" s="103" t="str">
        <f>IF(OR(入力シート!$C$5&lt;&gt;入力リスト!$C$3,COUNTIF(入力シート!$J$16:$S$23,入力リスト!$H$9)=0),"",IF(A238="","",IF(ISERROR(AVERAGEIF(従業員の給与情報!$B:$B,$A238,従業員の給与情報!$F:$F)),0,IF(ISERROR(AVERAGEIF(従業員の給与情報!$B:$B,$A238,従業員の給与情報!$F:$F)),0,AVERAGEIF(従業員の給与情報!$B:$B,$A238,従業員の給与情報!$F:$F)))))</f>
        <v/>
      </c>
    </row>
    <row r="239" spans="1:23" s="10" customFormat="1">
      <c r="A239" s="253"/>
      <c r="B239" s="246"/>
      <c r="C239" s="247"/>
      <c r="D239" s="246"/>
      <c r="E239" s="246"/>
      <c r="F239" s="257" t="str">
        <f>IF($G$1,"",IF(COUNTIF(A239:E239,"")=5,"",IF(G239,入力リスト!$K$28,IF(OR(A239="",B239="",IF(COUNTIF($C$3,"*不要*"),"",C239=""),D239=""),IF(A239="","従業員番号","")&amp;IF(B239="","「雇用形態」","")&amp;IF(OR(入力シート!$J$18=入力リスト!$H$9,入力シート!$J$22=入力リスト!$H$9),IF(C239="","「入社年月日」",""),"")&amp;IF(D239="","「性別」","")&amp;IF(IF(A239="","従業員番号","")&amp;IF(B239="","「雇用形態」","")&amp;IF(OR(入力シート!$J$18=入力リスト!$H$9,入力シート!$J$22=入力リスト!$H$9),IF(C239="","「入社年月日」",""),"")&amp;IF(D239="","「性別」","")="","",入力リスト!$K$29),IF(J239,入力リスト!$K$30,"")&amp;IF(I239,入力リスト!$K$31,"")&amp;IF(H239,"「雇用形態」","")&amp;IF(K239,"「性別」","")&amp;IF(L239,"「役職」","")&amp;IF(OR(H239,K239,L239),入力リスト!$K$32,"")))))</f>
        <v/>
      </c>
      <c r="G239" s="209" t="b">
        <f>COUNTIF($A$4:A238,$A239)&gt;0</f>
        <v>0</v>
      </c>
      <c r="H239" s="210" t="b">
        <f>IF($H$1,FALSE,COUNTIF(入力シート!$S$37:$V$62,B239)=0)</f>
        <v>0</v>
      </c>
      <c r="I239" s="210" t="b">
        <f t="shared" si="8"/>
        <v>0</v>
      </c>
      <c r="J239" s="210" t="b">
        <f>IF($J$1,FALSE,IF(I239=TRUE,FALSE,IF(I239,FALSE,C239&gt;入力シート!$J$24)))</f>
        <v>0</v>
      </c>
      <c r="K239" s="210" t="b">
        <f>IF($K$1,FALSE,COUNTIF(入力シート!$AW$37:$BB$38,D239)=0)</f>
        <v>0</v>
      </c>
      <c r="L239" s="210" t="b">
        <f>IF($L$1,FALSE,IF($L$3,FALSE,IF(E239="",FALSE,COUNTIF(入力シート!$AH$37:$AK$62,E239)=0)))</f>
        <v>0</v>
      </c>
      <c r="M239" s="211" t="str">
        <f t="shared" si="7"/>
        <v/>
      </c>
      <c r="N239" s="211"/>
      <c r="O239" s="209" t="str">
        <f>IF(B239="","",VLOOKUP('従業員情報(給与以外)'!$B239,入力シート!$S$37:$Z$62,5,0))</f>
        <v/>
      </c>
      <c r="P239" s="156" t="str">
        <f>IF(ISNUMBER(C239)=FALSE,"",IF(C239&gt;入力シート!$J$24,"",_xlfn.DAYS(入力シート!$J$24,'従業員情報(給与以外)'!$C239)/365))</f>
        <v/>
      </c>
      <c r="Q239" s="210" t="str">
        <f>IF(P239="","",VLOOKUP(_xlfn.DAYS(入力シート!$J$24,'従業員情報(給与以外)'!$C239)/365,入力リスト!$K$18:$L$26,2,2))</f>
        <v/>
      </c>
      <c r="R239" s="209" t="str">
        <f>IF(D239="","",VLOOKUP('従業員情報(給与以外)'!$D239,入力シート!$AW$37:$BB$38,4,0))</f>
        <v/>
      </c>
      <c r="S239" s="209" t="str">
        <f>IF(A239="","",IF(E239="","非役職",VLOOKUP('従業員情報(給与以外)'!$E239,入力シート!$AH$37:$AO$62,5,0)))</f>
        <v/>
      </c>
      <c r="T239" s="102" t="str">
        <f>IF(OR(入力シート!$C$5&lt;&gt;入力リスト!$C$3,COUNTIF(入力シート!$J$16:$S$23,入力リスト!$H$9)=0),"",IF($A239="","",IF(ISERROR(AVERAGEIF(従業員の給与情報!$B:$B,$A239,従業員の給与情報!$C:$C)),0,IF(ISERROR(AVERAGEIF(従業員の給与情報!$B:$B,$A239,従業員の給与情報!$C:$C)),0,AVERAGEIF(従業員の給与情報!$B:$B,$A239,従業員の給与情報!$C:$C)))))</f>
        <v/>
      </c>
      <c r="U239" s="102" t="str">
        <f>IF(OR(入力シート!$C$5&lt;&gt;入力リスト!$C$3,COUNTIF(入力シート!$J$16:$S$23,入力リスト!$H$9)=0),"",IF(A239="","",IF(ISERROR(AVERAGEIF(従業員の給与情報!$B:$B,$A239,従業員の給与情報!$D:$D)),0,IF(ISERROR(AVERAGEIF(従業員の給与情報!$B:$B,$A239,従業員の給与情報!$D:$D)),0,AVERAGEIF(従業員の給与情報!$B:$B,$A239,従業員の給与情報!$D:$D)))))</f>
        <v/>
      </c>
      <c r="V239" s="102" t="str">
        <f>IF(OR(入力シート!$C$5&lt;&gt;入力リスト!$C$3,COUNTIF(入力シート!$J$16:$S$23,入力リスト!$H$9)=0),"",IF(A239="","",IF(ISERROR(AVERAGEIF(従業員の給与情報!$B:$B,$A239,従業員の給与情報!$E:$E)),0,IF(ISERROR(AVERAGEIF(従業員の給与情報!$B:$B,$A239,従業員の給与情報!$E:$E)),0,AVERAGEIF(従業員の給与情報!$B:$B,$A239,従業員の給与情報!$E:$E)))))</f>
        <v/>
      </c>
      <c r="W239" s="103" t="str">
        <f>IF(OR(入力シート!$C$5&lt;&gt;入力リスト!$C$3,COUNTIF(入力シート!$J$16:$S$23,入力リスト!$H$9)=0),"",IF(A239="","",IF(ISERROR(AVERAGEIF(従業員の給与情報!$B:$B,$A239,従業員の給与情報!$F:$F)),0,IF(ISERROR(AVERAGEIF(従業員の給与情報!$B:$B,$A239,従業員の給与情報!$F:$F)),0,AVERAGEIF(従業員の給与情報!$B:$B,$A239,従業員の給与情報!$F:$F)))))</f>
        <v/>
      </c>
    </row>
    <row r="240" spans="1:23" s="10" customFormat="1">
      <c r="A240" s="253"/>
      <c r="B240" s="246"/>
      <c r="C240" s="247"/>
      <c r="D240" s="246"/>
      <c r="E240" s="246"/>
      <c r="F240" s="257" t="str">
        <f>IF($G$1,"",IF(COUNTIF(A240:E240,"")=5,"",IF(G240,入力リスト!$K$28,IF(OR(A240="",B240="",IF(COUNTIF($C$3,"*不要*"),"",C240=""),D240=""),IF(A240="","従業員番号","")&amp;IF(B240="","「雇用形態」","")&amp;IF(OR(入力シート!$J$18=入力リスト!$H$9,入力シート!$J$22=入力リスト!$H$9),IF(C240="","「入社年月日」",""),"")&amp;IF(D240="","「性別」","")&amp;IF(IF(A240="","従業員番号","")&amp;IF(B240="","「雇用形態」","")&amp;IF(OR(入力シート!$J$18=入力リスト!$H$9,入力シート!$J$22=入力リスト!$H$9),IF(C240="","「入社年月日」",""),"")&amp;IF(D240="","「性別」","")="","",入力リスト!$K$29),IF(J240,入力リスト!$K$30,"")&amp;IF(I240,入力リスト!$K$31,"")&amp;IF(H240,"「雇用形態」","")&amp;IF(K240,"「性別」","")&amp;IF(L240,"「役職」","")&amp;IF(OR(H240,K240,L240),入力リスト!$K$32,"")))))</f>
        <v/>
      </c>
      <c r="G240" s="209" t="b">
        <f>COUNTIF($A$4:A239,$A240)&gt;0</f>
        <v>0</v>
      </c>
      <c r="H240" s="210" t="b">
        <f>IF($H$1,FALSE,COUNTIF(入力シート!$S$37:$V$62,B240)=0)</f>
        <v>0</v>
      </c>
      <c r="I240" s="210" t="b">
        <f t="shared" si="8"/>
        <v>0</v>
      </c>
      <c r="J240" s="210" t="b">
        <f>IF($J$1,FALSE,IF(I240=TRUE,FALSE,IF(I240,FALSE,C240&gt;入力シート!$J$24)))</f>
        <v>0</v>
      </c>
      <c r="K240" s="210" t="b">
        <f>IF($K$1,FALSE,COUNTIF(入力シート!$AW$37:$BB$38,D240)=0)</f>
        <v>0</v>
      </c>
      <c r="L240" s="210" t="b">
        <f>IF($L$1,FALSE,IF($L$3,FALSE,IF(E240="",FALSE,COUNTIF(入力シート!$AH$37:$AK$62,E240)=0)))</f>
        <v>0</v>
      </c>
      <c r="M240" s="211" t="str">
        <f t="shared" si="7"/>
        <v/>
      </c>
      <c r="N240" s="211"/>
      <c r="O240" s="209" t="str">
        <f>IF(B240="","",VLOOKUP('従業員情報(給与以外)'!$B240,入力シート!$S$37:$Z$62,5,0))</f>
        <v/>
      </c>
      <c r="P240" s="156" t="str">
        <f>IF(ISNUMBER(C240)=FALSE,"",IF(C240&gt;入力シート!$J$24,"",_xlfn.DAYS(入力シート!$J$24,'従業員情報(給与以外)'!$C240)/365))</f>
        <v/>
      </c>
      <c r="Q240" s="210" t="str">
        <f>IF(P240="","",VLOOKUP(_xlfn.DAYS(入力シート!$J$24,'従業員情報(給与以外)'!$C240)/365,入力リスト!$K$18:$L$26,2,2))</f>
        <v/>
      </c>
      <c r="R240" s="209" t="str">
        <f>IF(D240="","",VLOOKUP('従業員情報(給与以外)'!$D240,入力シート!$AW$37:$BB$38,4,0))</f>
        <v/>
      </c>
      <c r="S240" s="209" t="str">
        <f>IF(A240="","",IF(E240="","非役職",VLOOKUP('従業員情報(給与以外)'!$E240,入力シート!$AH$37:$AO$62,5,0)))</f>
        <v/>
      </c>
      <c r="T240" s="102" t="str">
        <f>IF(OR(入力シート!$C$5&lt;&gt;入力リスト!$C$3,COUNTIF(入力シート!$J$16:$S$23,入力リスト!$H$9)=0),"",IF($A240="","",IF(ISERROR(AVERAGEIF(従業員の給与情報!$B:$B,$A240,従業員の給与情報!$C:$C)),0,IF(ISERROR(AVERAGEIF(従業員の給与情報!$B:$B,$A240,従業員の給与情報!$C:$C)),0,AVERAGEIF(従業員の給与情報!$B:$B,$A240,従業員の給与情報!$C:$C)))))</f>
        <v/>
      </c>
      <c r="U240" s="102" t="str">
        <f>IF(OR(入力シート!$C$5&lt;&gt;入力リスト!$C$3,COUNTIF(入力シート!$J$16:$S$23,入力リスト!$H$9)=0),"",IF(A240="","",IF(ISERROR(AVERAGEIF(従業員の給与情報!$B:$B,$A240,従業員の給与情報!$D:$D)),0,IF(ISERROR(AVERAGEIF(従業員の給与情報!$B:$B,$A240,従業員の給与情報!$D:$D)),0,AVERAGEIF(従業員の給与情報!$B:$B,$A240,従業員の給与情報!$D:$D)))))</f>
        <v/>
      </c>
      <c r="V240" s="102" t="str">
        <f>IF(OR(入力シート!$C$5&lt;&gt;入力リスト!$C$3,COUNTIF(入力シート!$J$16:$S$23,入力リスト!$H$9)=0),"",IF(A240="","",IF(ISERROR(AVERAGEIF(従業員の給与情報!$B:$B,$A240,従業員の給与情報!$E:$E)),0,IF(ISERROR(AVERAGEIF(従業員の給与情報!$B:$B,$A240,従業員の給与情報!$E:$E)),0,AVERAGEIF(従業員の給与情報!$B:$B,$A240,従業員の給与情報!$E:$E)))))</f>
        <v/>
      </c>
      <c r="W240" s="103" t="str">
        <f>IF(OR(入力シート!$C$5&lt;&gt;入力リスト!$C$3,COUNTIF(入力シート!$J$16:$S$23,入力リスト!$H$9)=0),"",IF(A240="","",IF(ISERROR(AVERAGEIF(従業員の給与情報!$B:$B,$A240,従業員の給与情報!$F:$F)),0,IF(ISERROR(AVERAGEIF(従業員の給与情報!$B:$B,$A240,従業員の給与情報!$F:$F)),0,AVERAGEIF(従業員の給与情報!$B:$B,$A240,従業員の給与情報!$F:$F)))))</f>
        <v/>
      </c>
    </row>
    <row r="241" spans="1:23" s="10" customFormat="1">
      <c r="A241" s="253"/>
      <c r="B241" s="246"/>
      <c r="C241" s="247"/>
      <c r="D241" s="246"/>
      <c r="E241" s="246"/>
      <c r="F241" s="257" t="str">
        <f>IF($G$1,"",IF(COUNTIF(A241:E241,"")=5,"",IF(G241,入力リスト!$K$28,IF(OR(A241="",B241="",IF(COUNTIF($C$3,"*不要*"),"",C241=""),D241=""),IF(A241="","従業員番号","")&amp;IF(B241="","「雇用形態」","")&amp;IF(OR(入力シート!$J$18=入力リスト!$H$9,入力シート!$J$22=入力リスト!$H$9),IF(C241="","「入社年月日」",""),"")&amp;IF(D241="","「性別」","")&amp;IF(IF(A241="","従業員番号","")&amp;IF(B241="","「雇用形態」","")&amp;IF(OR(入力シート!$J$18=入力リスト!$H$9,入力シート!$J$22=入力リスト!$H$9),IF(C241="","「入社年月日」",""),"")&amp;IF(D241="","「性別」","")="","",入力リスト!$K$29),IF(J241,入力リスト!$K$30,"")&amp;IF(I241,入力リスト!$K$31,"")&amp;IF(H241,"「雇用形態」","")&amp;IF(K241,"「性別」","")&amp;IF(L241,"「役職」","")&amp;IF(OR(H241,K241,L241),入力リスト!$K$32,"")))))</f>
        <v/>
      </c>
      <c r="G241" s="209" t="b">
        <f>COUNTIF($A$4:A240,$A241)&gt;0</f>
        <v>0</v>
      </c>
      <c r="H241" s="210" t="b">
        <f>IF($H$1,FALSE,COUNTIF(入力シート!$S$37:$V$62,B241)=0)</f>
        <v>0</v>
      </c>
      <c r="I241" s="210" t="b">
        <f t="shared" si="8"/>
        <v>0</v>
      </c>
      <c r="J241" s="210" t="b">
        <f>IF($J$1,FALSE,IF(I241=TRUE,FALSE,IF(I241,FALSE,C241&gt;入力シート!$J$24)))</f>
        <v>0</v>
      </c>
      <c r="K241" s="210" t="b">
        <f>IF($K$1,FALSE,COUNTIF(入力シート!$AW$37:$BB$38,D241)=0)</f>
        <v>0</v>
      </c>
      <c r="L241" s="210" t="b">
        <f>IF($L$1,FALSE,IF($L$3,FALSE,IF(E241="",FALSE,COUNTIF(入力シート!$AH$37:$AK$62,E241)=0)))</f>
        <v>0</v>
      </c>
      <c r="M241" s="211" t="str">
        <f t="shared" si="7"/>
        <v/>
      </c>
      <c r="N241" s="211"/>
      <c r="O241" s="209" t="str">
        <f>IF(B241="","",VLOOKUP('従業員情報(給与以外)'!$B241,入力シート!$S$37:$Z$62,5,0))</f>
        <v/>
      </c>
      <c r="P241" s="156" t="str">
        <f>IF(ISNUMBER(C241)=FALSE,"",IF(C241&gt;入力シート!$J$24,"",_xlfn.DAYS(入力シート!$J$24,'従業員情報(給与以外)'!$C241)/365))</f>
        <v/>
      </c>
      <c r="Q241" s="210" t="str">
        <f>IF(P241="","",VLOOKUP(_xlfn.DAYS(入力シート!$J$24,'従業員情報(給与以外)'!$C241)/365,入力リスト!$K$18:$L$26,2,2))</f>
        <v/>
      </c>
      <c r="R241" s="209" t="str">
        <f>IF(D241="","",VLOOKUP('従業員情報(給与以外)'!$D241,入力シート!$AW$37:$BB$38,4,0))</f>
        <v/>
      </c>
      <c r="S241" s="209" t="str">
        <f>IF(A241="","",IF(E241="","非役職",VLOOKUP('従業員情報(給与以外)'!$E241,入力シート!$AH$37:$AO$62,5,0)))</f>
        <v/>
      </c>
      <c r="T241" s="102" t="str">
        <f>IF(OR(入力シート!$C$5&lt;&gt;入力リスト!$C$3,COUNTIF(入力シート!$J$16:$S$23,入力リスト!$H$9)=0),"",IF($A241="","",IF(ISERROR(AVERAGEIF(従業員の給与情報!$B:$B,$A241,従業員の給与情報!$C:$C)),0,IF(ISERROR(AVERAGEIF(従業員の給与情報!$B:$B,$A241,従業員の給与情報!$C:$C)),0,AVERAGEIF(従業員の給与情報!$B:$B,$A241,従業員の給与情報!$C:$C)))))</f>
        <v/>
      </c>
      <c r="U241" s="102" t="str">
        <f>IF(OR(入力シート!$C$5&lt;&gt;入力リスト!$C$3,COUNTIF(入力シート!$J$16:$S$23,入力リスト!$H$9)=0),"",IF(A241="","",IF(ISERROR(AVERAGEIF(従業員の給与情報!$B:$B,$A241,従業員の給与情報!$D:$D)),0,IF(ISERROR(AVERAGEIF(従業員の給与情報!$B:$B,$A241,従業員の給与情報!$D:$D)),0,AVERAGEIF(従業員の給与情報!$B:$B,$A241,従業員の給与情報!$D:$D)))))</f>
        <v/>
      </c>
      <c r="V241" s="102" t="str">
        <f>IF(OR(入力シート!$C$5&lt;&gt;入力リスト!$C$3,COUNTIF(入力シート!$J$16:$S$23,入力リスト!$H$9)=0),"",IF(A241="","",IF(ISERROR(AVERAGEIF(従業員の給与情報!$B:$B,$A241,従業員の給与情報!$E:$E)),0,IF(ISERROR(AVERAGEIF(従業員の給与情報!$B:$B,$A241,従業員の給与情報!$E:$E)),0,AVERAGEIF(従業員の給与情報!$B:$B,$A241,従業員の給与情報!$E:$E)))))</f>
        <v/>
      </c>
      <c r="W241" s="103" t="str">
        <f>IF(OR(入力シート!$C$5&lt;&gt;入力リスト!$C$3,COUNTIF(入力シート!$J$16:$S$23,入力リスト!$H$9)=0),"",IF(A241="","",IF(ISERROR(AVERAGEIF(従業員の給与情報!$B:$B,$A241,従業員の給与情報!$F:$F)),0,IF(ISERROR(AVERAGEIF(従業員の給与情報!$B:$B,$A241,従業員の給与情報!$F:$F)),0,AVERAGEIF(従業員の給与情報!$B:$B,$A241,従業員の給与情報!$F:$F)))))</f>
        <v/>
      </c>
    </row>
    <row r="242" spans="1:23" s="10" customFormat="1">
      <c r="A242" s="253"/>
      <c r="B242" s="246"/>
      <c r="C242" s="247"/>
      <c r="D242" s="246"/>
      <c r="E242" s="246"/>
      <c r="F242" s="257" t="str">
        <f>IF($G$1,"",IF(COUNTIF(A242:E242,"")=5,"",IF(G242,入力リスト!$K$28,IF(OR(A242="",B242="",IF(COUNTIF($C$3,"*不要*"),"",C242=""),D242=""),IF(A242="","従業員番号","")&amp;IF(B242="","「雇用形態」","")&amp;IF(OR(入力シート!$J$18=入力リスト!$H$9,入力シート!$J$22=入力リスト!$H$9),IF(C242="","「入社年月日」",""),"")&amp;IF(D242="","「性別」","")&amp;IF(IF(A242="","従業員番号","")&amp;IF(B242="","「雇用形態」","")&amp;IF(OR(入力シート!$J$18=入力リスト!$H$9,入力シート!$J$22=入力リスト!$H$9),IF(C242="","「入社年月日」",""),"")&amp;IF(D242="","「性別」","")="","",入力リスト!$K$29),IF(J242,入力リスト!$K$30,"")&amp;IF(I242,入力リスト!$K$31,"")&amp;IF(H242,"「雇用形態」","")&amp;IF(K242,"「性別」","")&amp;IF(L242,"「役職」","")&amp;IF(OR(H242,K242,L242),入力リスト!$K$32,"")))))</f>
        <v/>
      </c>
      <c r="G242" s="209" t="b">
        <f>COUNTIF($A$4:A241,$A242)&gt;0</f>
        <v>0</v>
      </c>
      <c r="H242" s="210" t="b">
        <f>IF($H$1,FALSE,COUNTIF(入力シート!$S$37:$V$62,B242)=0)</f>
        <v>0</v>
      </c>
      <c r="I242" s="210" t="b">
        <f t="shared" si="8"/>
        <v>0</v>
      </c>
      <c r="J242" s="210" t="b">
        <f>IF($J$1,FALSE,IF(I242=TRUE,FALSE,IF(I242,FALSE,C242&gt;入力シート!$J$24)))</f>
        <v>0</v>
      </c>
      <c r="K242" s="210" t="b">
        <f>IF($K$1,FALSE,COUNTIF(入力シート!$AW$37:$BB$38,D242)=0)</f>
        <v>0</v>
      </c>
      <c r="L242" s="210" t="b">
        <f>IF($L$1,FALSE,IF($L$3,FALSE,IF(E242="",FALSE,COUNTIF(入力シート!$AH$37:$AK$62,E242)=0)))</f>
        <v>0</v>
      </c>
      <c r="M242" s="211" t="str">
        <f t="shared" si="7"/>
        <v/>
      </c>
      <c r="N242" s="211"/>
      <c r="O242" s="209" t="str">
        <f>IF(B242="","",VLOOKUP('従業員情報(給与以外)'!$B242,入力シート!$S$37:$Z$62,5,0))</f>
        <v/>
      </c>
      <c r="P242" s="156" t="str">
        <f>IF(ISNUMBER(C242)=FALSE,"",IF(C242&gt;入力シート!$J$24,"",_xlfn.DAYS(入力シート!$J$24,'従業員情報(給与以外)'!$C242)/365))</f>
        <v/>
      </c>
      <c r="Q242" s="210" t="str">
        <f>IF(P242="","",VLOOKUP(_xlfn.DAYS(入力シート!$J$24,'従業員情報(給与以外)'!$C242)/365,入力リスト!$K$18:$L$26,2,2))</f>
        <v/>
      </c>
      <c r="R242" s="209" t="str">
        <f>IF(D242="","",VLOOKUP('従業員情報(給与以外)'!$D242,入力シート!$AW$37:$BB$38,4,0))</f>
        <v/>
      </c>
      <c r="S242" s="209" t="str">
        <f>IF(A242="","",IF(E242="","非役職",VLOOKUP('従業員情報(給与以外)'!$E242,入力シート!$AH$37:$AO$62,5,0)))</f>
        <v/>
      </c>
      <c r="T242" s="102" t="str">
        <f>IF(OR(入力シート!$C$5&lt;&gt;入力リスト!$C$3,COUNTIF(入力シート!$J$16:$S$23,入力リスト!$H$9)=0),"",IF($A242="","",IF(ISERROR(AVERAGEIF(従業員の給与情報!$B:$B,$A242,従業員の給与情報!$C:$C)),0,IF(ISERROR(AVERAGEIF(従業員の給与情報!$B:$B,$A242,従業員の給与情報!$C:$C)),0,AVERAGEIF(従業員の給与情報!$B:$B,$A242,従業員の給与情報!$C:$C)))))</f>
        <v/>
      </c>
      <c r="U242" s="102" t="str">
        <f>IF(OR(入力シート!$C$5&lt;&gt;入力リスト!$C$3,COUNTIF(入力シート!$J$16:$S$23,入力リスト!$H$9)=0),"",IF(A242="","",IF(ISERROR(AVERAGEIF(従業員の給与情報!$B:$B,$A242,従業員の給与情報!$D:$D)),0,IF(ISERROR(AVERAGEIF(従業員の給与情報!$B:$B,$A242,従業員の給与情報!$D:$D)),0,AVERAGEIF(従業員の給与情報!$B:$B,$A242,従業員の給与情報!$D:$D)))))</f>
        <v/>
      </c>
      <c r="V242" s="102" t="str">
        <f>IF(OR(入力シート!$C$5&lt;&gt;入力リスト!$C$3,COUNTIF(入力シート!$J$16:$S$23,入力リスト!$H$9)=0),"",IF(A242="","",IF(ISERROR(AVERAGEIF(従業員の給与情報!$B:$B,$A242,従業員の給与情報!$E:$E)),0,IF(ISERROR(AVERAGEIF(従業員の給与情報!$B:$B,$A242,従業員の給与情報!$E:$E)),0,AVERAGEIF(従業員の給与情報!$B:$B,$A242,従業員の給与情報!$E:$E)))))</f>
        <v/>
      </c>
      <c r="W242" s="103" t="str">
        <f>IF(OR(入力シート!$C$5&lt;&gt;入力リスト!$C$3,COUNTIF(入力シート!$J$16:$S$23,入力リスト!$H$9)=0),"",IF(A242="","",IF(ISERROR(AVERAGEIF(従業員の給与情報!$B:$B,$A242,従業員の給与情報!$F:$F)),0,IF(ISERROR(AVERAGEIF(従業員の給与情報!$B:$B,$A242,従業員の給与情報!$F:$F)),0,AVERAGEIF(従業員の給与情報!$B:$B,$A242,従業員の給与情報!$F:$F)))))</f>
        <v/>
      </c>
    </row>
    <row r="243" spans="1:23" s="10" customFormat="1">
      <c r="A243" s="253"/>
      <c r="B243" s="246"/>
      <c r="C243" s="247"/>
      <c r="D243" s="246"/>
      <c r="E243" s="246"/>
      <c r="F243" s="257" t="str">
        <f>IF($G$1,"",IF(COUNTIF(A243:E243,"")=5,"",IF(G243,入力リスト!$K$28,IF(OR(A243="",B243="",IF(COUNTIF($C$3,"*不要*"),"",C243=""),D243=""),IF(A243="","従業員番号","")&amp;IF(B243="","「雇用形態」","")&amp;IF(OR(入力シート!$J$18=入力リスト!$H$9,入力シート!$J$22=入力リスト!$H$9),IF(C243="","「入社年月日」",""),"")&amp;IF(D243="","「性別」","")&amp;IF(IF(A243="","従業員番号","")&amp;IF(B243="","「雇用形態」","")&amp;IF(OR(入力シート!$J$18=入力リスト!$H$9,入力シート!$J$22=入力リスト!$H$9),IF(C243="","「入社年月日」",""),"")&amp;IF(D243="","「性別」","")="","",入力リスト!$K$29),IF(J243,入力リスト!$K$30,"")&amp;IF(I243,入力リスト!$K$31,"")&amp;IF(H243,"「雇用形態」","")&amp;IF(K243,"「性別」","")&amp;IF(L243,"「役職」","")&amp;IF(OR(H243,K243,L243),入力リスト!$K$32,"")))))</f>
        <v/>
      </c>
      <c r="G243" s="209" t="b">
        <f>COUNTIF($A$4:A242,$A243)&gt;0</f>
        <v>0</v>
      </c>
      <c r="H243" s="210" t="b">
        <f>IF($H$1,FALSE,COUNTIF(入力シート!$S$37:$V$62,B243)=0)</f>
        <v>0</v>
      </c>
      <c r="I243" s="210" t="b">
        <f t="shared" si="8"/>
        <v>0</v>
      </c>
      <c r="J243" s="210" t="b">
        <f>IF($J$1,FALSE,IF(I243=TRUE,FALSE,IF(I243,FALSE,C243&gt;入力シート!$J$24)))</f>
        <v>0</v>
      </c>
      <c r="K243" s="210" t="b">
        <f>IF($K$1,FALSE,COUNTIF(入力シート!$AW$37:$BB$38,D243)=0)</f>
        <v>0</v>
      </c>
      <c r="L243" s="210" t="b">
        <f>IF($L$1,FALSE,IF($L$3,FALSE,IF(E243="",FALSE,COUNTIF(入力シート!$AH$37:$AK$62,E243)=0)))</f>
        <v>0</v>
      </c>
      <c r="M243" s="211" t="str">
        <f t="shared" si="7"/>
        <v/>
      </c>
      <c r="N243" s="211"/>
      <c r="O243" s="209" t="str">
        <f>IF(B243="","",VLOOKUP('従業員情報(給与以外)'!$B243,入力シート!$S$37:$Z$62,5,0))</f>
        <v/>
      </c>
      <c r="P243" s="156" t="str">
        <f>IF(ISNUMBER(C243)=FALSE,"",IF(C243&gt;入力シート!$J$24,"",_xlfn.DAYS(入力シート!$J$24,'従業員情報(給与以外)'!$C243)/365))</f>
        <v/>
      </c>
      <c r="Q243" s="210" t="str">
        <f>IF(P243="","",VLOOKUP(_xlfn.DAYS(入力シート!$J$24,'従業員情報(給与以外)'!$C243)/365,入力リスト!$K$18:$L$26,2,2))</f>
        <v/>
      </c>
      <c r="R243" s="209" t="str">
        <f>IF(D243="","",VLOOKUP('従業員情報(給与以外)'!$D243,入力シート!$AW$37:$BB$38,4,0))</f>
        <v/>
      </c>
      <c r="S243" s="209" t="str">
        <f>IF(A243="","",IF(E243="","非役職",VLOOKUP('従業員情報(給与以外)'!$E243,入力シート!$AH$37:$AO$62,5,0)))</f>
        <v/>
      </c>
      <c r="T243" s="102" t="str">
        <f>IF(OR(入力シート!$C$5&lt;&gt;入力リスト!$C$3,COUNTIF(入力シート!$J$16:$S$23,入力リスト!$H$9)=0),"",IF($A243="","",IF(ISERROR(AVERAGEIF(従業員の給与情報!$B:$B,$A243,従業員の給与情報!$C:$C)),0,IF(ISERROR(AVERAGEIF(従業員の給与情報!$B:$B,$A243,従業員の給与情報!$C:$C)),0,AVERAGEIF(従業員の給与情報!$B:$B,$A243,従業員の給与情報!$C:$C)))))</f>
        <v/>
      </c>
      <c r="U243" s="102" t="str">
        <f>IF(OR(入力シート!$C$5&lt;&gt;入力リスト!$C$3,COUNTIF(入力シート!$J$16:$S$23,入力リスト!$H$9)=0),"",IF(A243="","",IF(ISERROR(AVERAGEIF(従業員の給与情報!$B:$B,$A243,従業員の給与情報!$D:$D)),0,IF(ISERROR(AVERAGEIF(従業員の給与情報!$B:$B,$A243,従業員の給与情報!$D:$D)),0,AVERAGEIF(従業員の給与情報!$B:$B,$A243,従業員の給与情報!$D:$D)))))</f>
        <v/>
      </c>
      <c r="V243" s="102" t="str">
        <f>IF(OR(入力シート!$C$5&lt;&gt;入力リスト!$C$3,COUNTIF(入力シート!$J$16:$S$23,入力リスト!$H$9)=0),"",IF(A243="","",IF(ISERROR(AVERAGEIF(従業員の給与情報!$B:$B,$A243,従業員の給与情報!$E:$E)),0,IF(ISERROR(AVERAGEIF(従業員の給与情報!$B:$B,$A243,従業員の給与情報!$E:$E)),0,AVERAGEIF(従業員の給与情報!$B:$B,$A243,従業員の給与情報!$E:$E)))))</f>
        <v/>
      </c>
      <c r="W243" s="103" t="str">
        <f>IF(OR(入力シート!$C$5&lt;&gt;入力リスト!$C$3,COUNTIF(入力シート!$J$16:$S$23,入力リスト!$H$9)=0),"",IF(A243="","",IF(ISERROR(AVERAGEIF(従業員の給与情報!$B:$B,$A243,従業員の給与情報!$F:$F)),0,IF(ISERROR(AVERAGEIF(従業員の給与情報!$B:$B,$A243,従業員の給与情報!$F:$F)),0,AVERAGEIF(従業員の給与情報!$B:$B,$A243,従業員の給与情報!$F:$F)))))</f>
        <v/>
      </c>
    </row>
    <row r="244" spans="1:23" s="10" customFormat="1">
      <c r="A244" s="253"/>
      <c r="B244" s="246"/>
      <c r="C244" s="247"/>
      <c r="D244" s="246"/>
      <c r="E244" s="246"/>
      <c r="F244" s="257" t="str">
        <f>IF($G$1,"",IF(COUNTIF(A244:E244,"")=5,"",IF(G244,入力リスト!$K$28,IF(OR(A244="",B244="",IF(COUNTIF($C$3,"*不要*"),"",C244=""),D244=""),IF(A244="","従業員番号","")&amp;IF(B244="","「雇用形態」","")&amp;IF(OR(入力シート!$J$18=入力リスト!$H$9,入力シート!$J$22=入力リスト!$H$9),IF(C244="","「入社年月日」",""),"")&amp;IF(D244="","「性別」","")&amp;IF(IF(A244="","従業員番号","")&amp;IF(B244="","「雇用形態」","")&amp;IF(OR(入力シート!$J$18=入力リスト!$H$9,入力シート!$J$22=入力リスト!$H$9),IF(C244="","「入社年月日」",""),"")&amp;IF(D244="","「性別」","")="","",入力リスト!$K$29),IF(J244,入力リスト!$K$30,"")&amp;IF(I244,入力リスト!$K$31,"")&amp;IF(H244,"「雇用形態」","")&amp;IF(K244,"「性別」","")&amp;IF(L244,"「役職」","")&amp;IF(OR(H244,K244,L244),入力リスト!$K$32,"")))))</f>
        <v/>
      </c>
      <c r="G244" s="209" t="b">
        <f>COUNTIF($A$4:A243,$A244)&gt;0</f>
        <v>0</v>
      </c>
      <c r="H244" s="210" t="b">
        <f>IF($H$1,FALSE,COUNTIF(入力シート!$S$37:$V$62,B244)=0)</f>
        <v>0</v>
      </c>
      <c r="I244" s="210" t="b">
        <f t="shared" si="8"/>
        <v>0</v>
      </c>
      <c r="J244" s="210" t="b">
        <f>IF($J$1,FALSE,IF(I244=TRUE,FALSE,IF(I244,FALSE,C244&gt;入力シート!$J$24)))</f>
        <v>0</v>
      </c>
      <c r="K244" s="210" t="b">
        <f>IF($K$1,FALSE,COUNTIF(入力シート!$AW$37:$BB$38,D244)=0)</f>
        <v>0</v>
      </c>
      <c r="L244" s="210" t="b">
        <f>IF($L$1,FALSE,IF($L$3,FALSE,IF(E244="",FALSE,COUNTIF(入力シート!$AH$37:$AK$62,E244)=0)))</f>
        <v>0</v>
      </c>
      <c r="M244" s="211" t="str">
        <f t="shared" si="7"/>
        <v/>
      </c>
      <c r="N244" s="211"/>
      <c r="O244" s="209" t="str">
        <f>IF(B244="","",VLOOKUP('従業員情報(給与以外)'!$B244,入力シート!$S$37:$Z$62,5,0))</f>
        <v/>
      </c>
      <c r="P244" s="156" t="str">
        <f>IF(ISNUMBER(C244)=FALSE,"",IF(C244&gt;入力シート!$J$24,"",_xlfn.DAYS(入力シート!$J$24,'従業員情報(給与以外)'!$C244)/365))</f>
        <v/>
      </c>
      <c r="Q244" s="210" t="str">
        <f>IF(P244="","",VLOOKUP(_xlfn.DAYS(入力シート!$J$24,'従業員情報(給与以外)'!$C244)/365,入力リスト!$K$18:$L$26,2,2))</f>
        <v/>
      </c>
      <c r="R244" s="209" t="str">
        <f>IF(D244="","",VLOOKUP('従業員情報(給与以外)'!$D244,入力シート!$AW$37:$BB$38,4,0))</f>
        <v/>
      </c>
      <c r="S244" s="209" t="str">
        <f>IF(A244="","",IF(E244="","非役職",VLOOKUP('従業員情報(給与以外)'!$E244,入力シート!$AH$37:$AO$62,5,0)))</f>
        <v/>
      </c>
      <c r="T244" s="102" t="str">
        <f>IF(OR(入力シート!$C$5&lt;&gt;入力リスト!$C$3,COUNTIF(入力シート!$J$16:$S$23,入力リスト!$H$9)=0),"",IF($A244="","",IF(ISERROR(AVERAGEIF(従業員の給与情報!$B:$B,$A244,従業員の給与情報!$C:$C)),0,IF(ISERROR(AVERAGEIF(従業員の給与情報!$B:$B,$A244,従業員の給与情報!$C:$C)),0,AVERAGEIF(従業員の給与情報!$B:$B,$A244,従業員の給与情報!$C:$C)))))</f>
        <v/>
      </c>
      <c r="U244" s="102" t="str">
        <f>IF(OR(入力シート!$C$5&lt;&gt;入力リスト!$C$3,COUNTIF(入力シート!$J$16:$S$23,入力リスト!$H$9)=0),"",IF(A244="","",IF(ISERROR(AVERAGEIF(従業員の給与情報!$B:$B,$A244,従業員の給与情報!$D:$D)),0,IF(ISERROR(AVERAGEIF(従業員の給与情報!$B:$B,$A244,従業員の給与情報!$D:$D)),0,AVERAGEIF(従業員の給与情報!$B:$B,$A244,従業員の給与情報!$D:$D)))))</f>
        <v/>
      </c>
      <c r="V244" s="102" t="str">
        <f>IF(OR(入力シート!$C$5&lt;&gt;入力リスト!$C$3,COUNTIF(入力シート!$J$16:$S$23,入力リスト!$H$9)=0),"",IF(A244="","",IF(ISERROR(AVERAGEIF(従業員の給与情報!$B:$B,$A244,従業員の給与情報!$E:$E)),0,IF(ISERROR(AVERAGEIF(従業員の給与情報!$B:$B,$A244,従業員の給与情報!$E:$E)),0,AVERAGEIF(従業員の給与情報!$B:$B,$A244,従業員の給与情報!$E:$E)))))</f>
        <v/>
      </c>
      <c r="W244" s="103" t="str">
        <f>IF(OR(入力シート!$C$5&lt;&gt;入力リスト!$C$3,COUNTIF(入力シート!$J$16:$S$23,入力リスト!$H$9)=0),"",IF(A244="","",IF(ISERROR(AVERAGEIF(従業員の給与情報!$B:$B,$A244,従業員の給与情報!$F:$F)),0,IF(ISERROR(AVERAGEIF(従業員の給与情報!$B:$B,$A244,従業員の給与情報!$F:$F)),0,AVERAGEIF(従業員の給与情報!$B:$B,$A244,従業員の給与情報!$F:$F)))))</f>
        <v/>
      </c>
    </row>
    <row r="245" spans="1:23" s="10" customFormat="1">
      <c r="A245" s="253"/>
      <c r="B245" s="246"/>
      <c r="C245" s="247"/>
      <c r="D245" s="246"/>
      <c r="E245" s="246"/>
      <c r="F245" s="257" t="str">
        <f>IF($G$1,"",IF(COUNTIF(A245:E245,"")=5,"",IF(G245,入力リスト!$K$28,IF(OR(A245="",B245="",IF(COUNTIF($C$3,"*不要*"),"",C245=""),D245=""),IF(A245="","従業員番号","")&amp;IF(B245="","「雇用形態」","")&amp;IF(OR(入力シート!$J$18=入力リスト!$H$9,入力シート!$J$22=入力リスト!$H$9),IF(C245="","「入社年月日」",""),"")&amp;IF(D245="","「性別」","")&amp;IF(IF(A245="","従業員番号","")&amp;IF(B245="","「雇用形態」","")&amp;IF(OR(入力シート!$J$18=入力リスト!$H$9,入力シート!$J$22=入力リスト!$H$9),IF(C245="","「入社年月日」",""),"")&amp;IF(D245="","「性別」","")="","",入力リスト!$K$29),IF(J245,入力リスト!$K$30,"")&amp;IF(I245,入力リスト!$K$31,"")&amp;IF(H245,"「雇用形態」","")&amp;IF(K245,"「性別」","")&amp;IF(L245,"「役職」","")&amp;IF(OR(H245,K245,L245),入力リスト!$K$32,"")))))</f>
        <v/>
      </c>
      <c r="G245" s="209" t="b">
        <f>COUNTIF($A$4:A244,$A245)&gt;0</f>
        <v>0</v>
      </c>
      <c r="H245" s="210" t="b">
        <f>IF($H$1,FALSE,COUNTIF(入力シート!$S$37:$V$62,B245)=0)</f>
        <v>0</v>
      </c>
      <c r="I245" s="210" t="b">
        <f t="shared" si="8"/>
        <v>0</v>
      </c>
      <c r="J245" s="210" t="b">
        <f>IF($J$1,FALSE,IF(I245=TRUE,FALSE,IF(I245,FALSE,C245&gt;入力シート!$J$24)))</f>
        <v>0</v>
      </c>
      <c r="K245" s="210" t="b">
        <f>IF($K$1,FALSE,COUNTIF(入力シート!$AW$37:$BB$38,D245)=0)</f>
        <v>0</v>
      </c>
      <c r="L245" s="210" t="b">
        <f>IF($L$1,FALSE,IF($L$3,FALSE,IF(E245="",FALSE,COUNTIF(入力シート!$AH$37:$AK$62,E245)=0)))</f>
        <v>0</v>
      </c>
      <c r="M245" s="211" t="str">
        <f t="shared" si="7"/>
        <v/>
      </c>
      <c r="N245" s="211"/>
      <c r="O245" s="209" t="str">
        <f>IF(B245="","",VLOOKUP('従業員情報(給与以外)'!$B245,入力シート!$S$37:$Z$62,5,0))</f>
        <v/>
      </c>
      <c r="P245" s="156" t="str">
        <f>IF(ISNUMBER(C245)=FALSE,"",IF(C245&gt;入力シート!$J$24,"",_xlfn.DAYS(入力シート!$J$24,'従業員情報(給与以外)'!$C245)/365))</f>
        <v/>
      </c>
      <c r="Q245" s="210" t="str">
        <f>IF(P245="","",VLOOKUP(_xlfn.DAYS(入力シート!$J$24,'従業員情報(給与以外)'!$C245)/365,入力リスト!$K$18:$L$26,2,2))</f>
        <v/>
      </c>
      <c r="R245" s="209" t="str">
        <f>IF(D245="","",VLOOKUP('従業員情報(給与以外)'!$D245,入力シート!$AW$37:$BB$38,4,0))</f>
        <v/>
      </c>
      <c r="S245" s="209" t="str">
        <f>IF(A245="","",IF(E245="","非役職",VLOOKUP('従業員情報(給与以外)'!$E245,入力シート!$AH$37:$AO$62,5,0)))</f>
        <v/>
      </c>
      <c r="T245" s="102" t="str">
        <f>IF(OR(入力シート!$C$5&lt;&gt;入力リスト!$C$3,COUNTIF(入力シート!$J$16:$S$23,入力リスト!$H$9)=0),"",IF($A245="","",IF(ISERROR(AVERAGEIF(従業員の給与情報!$B:$B,$A245,従業員の給与情報!$C:$C)),0,IF(ISERROR(AVERAGEIF(従業員の給与情報!$B:$B,$A245,従業員の給与情報!$C:$C)),0,AVERAGEIF(従業員の給与情報!$B:$B,$A245,従業員の給与情報!$C:$C)))))</f>
        <v/>
      </c>
      <c r="U245" s="102" t="str">
        <f>IF(OR(入力シート!$C$5&lt;&gt;入力リスト!$C$3,COUNTIF(入力シート!$J$16:$S$23,入力リスト!$H$9)=0),"",IF(A245="","",IF(ISERROR(AVERAGEIF(従業員の給与情報!$B:$B,$A245,従業員の給与情報!$D:$D)),0,IF(ISERROR(AVERAGEIF(従業員の給与情報!$B:$B,$A245,従業員の給与情報!$D:$D)),0,AVERAGEIF(従業員の給与情報!$B:$B,$A245,従業員の給与情報!$D:$D)))))</f>
        <v/>
      </c>
      <c r="V245" s="102" t="str">
        <f>IF(OR(入力シート!$C$5&lt;&gt;入力リスト!$C$3,COUNTIF(入力シート!$J$16:$S$23,入力リスト!$H$9)=0),"",IF(A245="","",IF(ISERROR(AVERAGEIF(従業員の給与情報!$B:$B,$A245,従業員の給与情報!$E:$E)),0,IF(ISERROR(AVERAGEIF(従業員の給与情報!$B:$B,$A245,従業員の給与情報!$E:$E)),0,AVERAGEIF(従業員の給与情報!$B:$B,$A245,従業員の給与情報!$E:$E)))))</f>
        <v/>
      </c>
      <c r="W245" s="103" t="str">
        <f>IF(OR(入力シート!$C$5&lt;&gt;入力リスト!$C$3,COUNTIF(入力シート!$J$16:$S$23,入力リスト!$H$9)=0),"",IF(A245="","",IF(ISERROR(AVERAGEIF(従業員の給与情報!$B:$B,$A245,従業員の給与情報!$F:$F)),0,IF(ISERROR(AVERAGEIF(従業員の給与情報!$B:$B,$A245,従業員の給与情報!$F:$F)),0,AVERAGEIF(従業員の給与情報!$B:$B,$A245,従業員の給与情報!$F:$F)))))</f>
        <v/>
      </c>
    </row>
    <row r="246" spans="1:23" s="10" customFormat="1">
      <c r="A246" s="253"/>
      <c r="B246" s="246"/>
      <c r="C246" s="247"/>
      <c r="D246" s="246"/>
      <c r="E246" s="246"/>
      <c r="F246" s="257" t="str">
        <f>IF($G$1,"",IF(COUNTIF(A246:E246,"")=5,"",IF(G246,入力リスト!$K$28,IF(OR(A246="",B246="",IF(COUNTIF($C$3,"*不要*"),"",C246=""),D246=""),IF(A246="","従業員番号","")&amp;IF(B246="","「雇用形態」","")&amp;IF(OR(入力シート!$J$18=入力リスト!$H$9,入力シート!$J$22=入力リスト!$H$9),IF(C246="","「入社年月日」",""),"")&amp;IF(D246="","「性別」","")&amp;IF(IF(A246="","従業員番号","")&amp;IF(B246="","「雇用形態」","")&amp;IF(OR(入力シート!$J$18=入力リスト!$H$9,入力シート!$J$22=入力リスト!$H$9),IF(C246="","「入社年月日」",""),"")&amp;IF(D246="","「性別」","")="","",入力リスト!$K$29),IF(J246,入力リスト!$K$30,"")&amp;IF(I246,入力リスト!$K$31,"")&amp;IF(H246,"「雇用形態」","")&amp;IF(K246,"「性別」","")&amp;IF(L246,"「役職」","")&amp;IF(OR(H246,K246,L246),入力リスト!$K$32,"")))))</f>
        <v/>
      </c>
      <c r="G246" s="209" t="b">
        <f>COUNTIF($A$4:A245,$A246)&gt;0</f>
        <v>0</v>
      </c>
      <c r="H246" s="210" t="b">
        <f>IF($H$1,FALSE,COUNTIF(入力シート!$S$37:$V$62,B246)=0)</f>
        <v>0</v>
      </c>
      <c r="I246" s="210" t="b">
        <f t="shared" si="8"/>
        <v>0</v>
      </c>
      <c r="J246" s="210" t="b">
        <f>IF($J$1,FALSE,IF(I246=TRUE,FALSE,IF(I246,FALSE,C246&gt;入力シート!$J$24)))</f>
        <v>0</v>
      </c>
      <c r="K246" s="210" t="b">
        <f>IF($K$1,FALSE,COUNTIF(入力シート!$AW$37:$BB$38,D246)=0)</f>
        <v>0</v>
      </c>
      <c r="L246" s="210" t="b">
        <f>IF($L$1,FALSE,IF($L$3,FALSE,IF(E246="",FALSE,COUNTIF(入力シート!$AH$37:$AK$62,E246)=0)))</f>
        <v>0</v>
      </c>
      <c r="M246" s="211" t="str">
        <f t="shared" si="7"/>
        <v/>
      </c>
      <c r="N246" s="211"/>
      <c r="O246" s="209" t="str">
        <f>IF(B246="","",VLOOKUP('従業員情報(給与以外)'!$B246,入力シート!$S$37:$Z$62,5,0))</f>
        <v/>
      </c>
      <c r="P246" s="156" t="str">
        <f>IF(ISNUMBER(C246)=FALSE,"",IF(C246&gt;入力シート!$J$24,"",_xlfn.DAYS(入力シート!$J$24,'従業員情報(給与以外)'!$C246)/365))</f>
        <v/>
      </c>
      <c r="Q246" s="210" t="str">
        <f>IF(P246="","",VLOOKUP(_xlfn.DAYS(入力シート!$J$24,'従業員情報(給与以外)'!$C246)/365,入力リスト!$K$18:$L$26,2,2))</f>
        <v/>
      </c>
      <c r="R246" s="209" t="str">
        <f>IF(D246="","",VLOOKUP('従業員情報(給与以外)'!$D246,入力シート!$AW$37:$BB$38,4,0))</f>
        <v/>
      </c>
      <c r="S246" s="209" t="str">
        <f>IF(A246="","",IF(E246="","非役職",VLOOKUP('従業員情報(給与以外)'!$E246,入力シート!$AH$37:$AO$62,5,0)))</f>
        <v/>
      </c>
      <c r="T246" s="102" t="str">
        <f>IF(OR(入力シート!$C$5&lt;&gt;入力リスト!$C$3,COUNTIF(入力シート!$J$16:$S$23,入力リスト!$H$9)=0),"",IF($A246="","",IF(ISERROR(AVERAGEIF(従業員の給与情報!$B:$B,$A246,従業員の給与情報!$C:$C)),0,IF(ISERROR(AVERAGEIF(従業員の給与情報!$B:$B,$A246,従業員の給与情報!$C:$C)),0,AVERAGEIF(従業員の給与情報!$B:$B,$A246,従業員の給与情報!$C:$C)))))</f>
        <v/>
      </c>
      <c r="U246" s="102" t="str">
        <f>IF(OR(入力シート!$C$5&lt;&gt;入力リスト!$C$3,COUNTIF(入力シート!$J$16:$S$23,入力リスト!$H$9)=0),"",IF(A246="","",IF(ISERROR(AVERAGEIF(従業員の給与情報!$B:$B,$A246,従業員の給与情報!$D:$D)),0,IF(ISERROR(AVERAGEIF(従業員の給与情報!$B:$B,$A246,従業員の給与情報!$D:$D)),0,AVERAGEIF(従業員の給与情報!$B:$B,$A246,従業員の給与情報!$D:$D)))))</f>
        <v/>
      </c>
      <c r="V246" s="102" t="str">
        <f>IF(OR(入力シート!$C$5&lt;&gt;入力リスト!$C$3,COUNTIF(入力シート!$J$16:$S$23,入力リスト!$H$9)=0),"",IF(A246="","",IF(ISERROR(AVERAGEIF(従業員の給与情報!$B:$B,$A246,従業員の給与情報!$E:$E)),0,IF(ISERROR(AVERAGEIF(従業員の給与情報!$B:$B,$A246,従業員の給与情報!$E:$E)),0,AVERAGEIF(従業員の給与情報!$B:$B,$A246,従業員の給与情報!$E:$E)))))</f>
        <v/>
      </c>
      <c r="W246" s="103" t="str">
        <f>IF(OR(入力シート!$C$5&lt;&gt;入力リスト!$C$3,COUNTIF(入力シート!$J$16:$S$23,入力リスト!$H$9)=0),"",IF(A246="","",IF(ISERROR(AVERAGEIF(従業員の給与情報!$B:$B,$A246,従業員の給与情報!$F:$F)),0,IF(ISERROR(AVERAGEIF(従業員の給与情報!$B:$B,$A246,従業員の給与情報!$F:$F)),0,AVERAGEIF(従業員の給与情報!$B:$B,$A246,従業員の給与情報!$F:$F)))))</f>
        <v/>
      </c>
    </row>
    <row r="247" spans="1:23" s="10" customFormat="1">
      <c r="A247" s="253"/>
      <c r="B247" s="246"/>
      <c r="C247" s="247"/>
      <c r="D247" s="246"/>
      <c r="E247" s="246"/>
      <c r="F247" s="257" t="str">
        <f>IF($G$1,"",IF(COUNTIF(A247:E247,"")=5,"",IF(G247,入力リスト!$K$28,IF(OR(A247="",B247="",IF(COUNTIF($C$3,"*不要*"),"",C247=""),D247=""),IF(A247="","従業員番号","")&amp;IF(B247="","「雇用形態」","")&amp;IF(OR(入力シート!$J$18=入力リスト!$H$9,入力シート!$J$22=入力リスト!$H$9),IF(C247="","「入社年月日」",""),"")&amp;IF(D247="","「性別」","")&amp;IF(IF(A247="","従業員番号","")&amp;IF(B247="","「雇用形態」","")&amp;IF(OR(入力シート!$J$18=入力リスト!$H$9,入力シート!$J$22=入力リスト!$H$9),IF(C247="","「入社年月日」",""),"")&amp;IF(D247="","「性別」","")="","",入力リスト!$K$29),IF(J247,入力リスト!$K$30,"")&amp;IF(I247,入力リスト!$K$31,"")&amp;IF(H247,"「雇用形態」","")&amp;IF(K247,"「性別」","")&amp;IF(L247,"「役職」","")&amp;IF(OR(H247,K247,L247),入力リスト!$K$32,"")))))</f>
        <v/>
      </c>
      <c r="G247" s="209" t="b">
        <f>COUNTIF($A$4:A246,$A247)&gt;0</f>
        <v>0</v>
      </c>
      <c r="H247" s="210" t="b">
        <f>IF($H$1,FALSE,COUNTIF(入力シート!$S$37:$V$62,B247)=0)</f>
        <v>0</v>
      </c>
      <c r="I247" s="210" t="b">
        <f t="shared" si="8"/>
        <v>0</v>
      </c>
      <c r="J247" s="210" t="b">
        <f>IF($J$1,FALSE,IF(I247=TRUE,FALSE,IF(I247,FALSE,C247&gt;入力シート!$J$24)))</f>
        <v>0</v>
      </c>
      <c r="K247" s="210" t="b">
        <f>IF($K$1,FALSE,COUNTIF(入力シート!$AW$37:$BB$38,D247)=0)</f>
        <v>0</v>
      </c>
      <c r="L247" s="210" t="b">
        <f>IF($L$1,FALSE,IF($L$3,FALSE,IF(E247="",FALSE,COUNTIF(入力シート!$AH$37:$AK$62,E247)=0)))</f>
        <v>0</v>
      </c>
      <c r="M247" s="211" t="str">
        <f t="shared" si="7"/>
        <v/>
      </c>
      <c r="N247" s="211"/>
      <c r="O247" s="209" t="str">
        <f>IF(B247="","",VLOOKUP('従業員情報(給与以外)'!$B247,入力シート!$S$37:$Z$62,5,0))</f>
        <v/>
      </c>
      <c r="P247" s="156" t="str">
        <f>IF(ISNUMBER(C247)=FALSE,"",IF(C247&gt;入力シート!$J$24,"",_xlfn.DAYS(入力シート!$J$24,'従業員情報(給与以外)'!$C247)/365))</f>
        <v/>
      </c>
      <c r="Q247" s="210" t="str">
        <f>IF(P247="","",VLOOKUP(_xlfn.DAYS(入力シート!$J$24,'従業員情報(給与以外)'!$C247)/365,入力リスト!$K$18:$L$26,2,2))</f>
        <v/>
      </c>
      <c r="R247" s="209" t="str">
        <f>IF(D247="","",VLOOKUP('従業員情報(給与以外)'!$D247,入力シート!$AW$37:$BB$38,4,0))</f>
        <v/>
      </c>
      <c r="S247" s="209" t="str">
        <f>IF(A247="","",IF(E247="","非役職",VLOOKUP('従業員情報(給与以外)'!$E247,入力シート!$AH$37:$AO$62,5,0)))</f>
        <v/>
      </c>
      <c r="T247" s="102" t="str">
        <f>IF(OR(入力シート!$C$5&lt;&gt;入力リスト!$C$3,COUNTIF(入力シート!$J$16:$S$23,入力リスト!$H$9)=0),"",IF($A247="","",IF(ISERROR(AVERAGEIF(従業員の給与情報!$B:$B,$A247,従業員の給与情報!$C:$C)),0,IF(ISERROR(AVERAGEIF(従業員の給与情報!$B:$B,$A247,従業員の給与情報!$C:$C)),0,AVERAGEIF(従業員の給与情報!$B:$B,$A247,従業員の給与情報!$C:$C)))))</f>
        <v/>
      </c>
      <c r="U247" s="102" t="str">
        <f>IF(OR(入力シート!$C$5&lt;&gt;入力リスト!$C$3,COUNTIF(入力シート!$J$16:$S$23,入力リスト!$H$9)=0),"",IF(A247="","",IF(ISERROR(AVERAGEIF(従業員の給与情報!$B:$B,$A247,従業員の給与情報!$D:$D)),0,IF(ISERROR(AVERAGEIF(従業員の給与情報!$B:$B,$A247,従業員の給与情報!$D:$D)),0,AVERAGEIF(従業員の給与情報!$B:$B,$A247,従業員の給与情報!$D:$D)))))</f>
        <v/>
      </c>
      <c r="V247" s="102" t="str">
        <f>IF(OR(入力シート!$C$5&lt;&gt;入力リスト!$C$3,COUNTIF(入力シート!$J$16:$S$23,入力リスト!$H$9)=0),"",IF(A247="","",IF(ISERROR(AVERAGEIF(従業員の給与情報!$B:$B,$A247,従業員の給与情報!$E:$E)),0,IF(ISERROR(AVERAGEIF(従業員の給与情報!$B:$B,$A247,従業員の給与情報!$E:$E)),0,AVERAGEIF(従業員の給与情報!$B:$B,$A247,従業員の給与情報!$E:$E)))))</f>
        <v/>
      </c>
      <c r="W247" s="103" t="str">
        <f>IF(OR(入力シート!$C$5&lt;&gt;入力リスト!$C$3,COUNTIF(入力シート!$J$16:$S$23,入力リスト!$H$9)=0),"",IF(A247="","",IF(ISERROR(AVERAGEIF(従業員の給与情報!$B:$B,$A247,従業員の給与情報!$F:$F)),0,IF(ISERROR(AVERAGEIF(従業員の給与情報!$B:$B,$A247,従業員の給与情報!$F:$F)),0,AVERAGEIF(従業員の給与情報!$B:$B,$A247,従業員の給与情報!$F:$F)))))</f>
        <v/>
      </c>
    </row>
    <row r="248" spans="1:23" s="10" customFormat="1">
      <c r="A248" s="253"/>
      <c r="B248" s="246"/>
      <c r="C248" s="247"/>
      <c r="D248" s="246"/>
      <c r="E248" s="246"/>
      <c r="F248" s="257" t="str">
        <f>IF($G$1,"",IF(COUNTIF(A248:E248,"")=5,"",IF(G248,入力リスト!$K$28,IF(OR(A248="",B248="",IF(COUNTIF($C$3,"*不要*"),"",C248=""),D248=""),IF(A248="","従業員番号","")&amp;IF(B248="","「雇用形態」","")&amp;IF(OR(入力シート!$J$18=入力リスト!$H$9,入力シート!$J$22=入力リスト!$H$9),IF(C248="","「入社年月日」",""),"")&amp;IF(D248="","「性別」","")&amp;IF(IF(A248="","従業員番号","")&amp;IF(B248="","「雇用形態」","")&amp;IF(OR(入力シート!$J$18=入力リスト!$H$9,入力シート!$J$22=入力リスト!$H$9),IF(C248="","「入社年月日」",""),"")&amp;IF(D248="","「性別」","")="","",入力リスト!$K$29),IF(J248,入力リスト!$K$30,"")&amp;IF(I248,入力リスト!$K$31,"")&amp;IF(H248,"「雇用形態」","")&amp;IF(K248,"「性別」","")&amp;IF(L248,"「役職」","")&amp;IF(OR(H248,K248,L248),入力リスト!$K$32,"")))))</f>
        <v/>
      </c>
      <c r="G248" s="209" t="b">
        <f>COUNTIF($A$4:A247,$A248)&gt;0</f>
        <v>0</v>
      </c>
      <c r="H248" s="210" t="b">
        <f>IF($H$1,FALSE,COUNTIF(入力シート!$S$37:$V$62,B248)=0)</f>
        <v>0</v>
      </c>
      <c r="I248" s="210" t="b">
        <f t="shared" si="8"/>
        <v>0</v>
      </c>
      <c r="J248" s="210" t="b">
        <f>IF($J$1,FALSE,IF(I248=TRUE,FALSE,IF(I248,FALSE,C248&gt;入力シート!$J$24)))</f>
        <v>0</v>
      </c>
      <c r="K248" s="210" t="b">
        <f>IF($K$1,FALSE,COUNTIF(入力シート!$AW$37:$BB$38,D248)=0)</f>
        <v>0</v>
      </c>
      <c r="L248" s="210" t="b">
        <f>IF($L$1,FALSE,IF($L$3,FALSE,IF(E248="",FALSE,COUNTIF(入力シート!$AH$37:$AK$62,E248)=0)))</f>
        <v>0</v>
      </c>
      <c r="M248" s="211" t="str">
        <f t="shared" si="7"/>
        <v/>
      </c>
      <c r="N248" s="211"/>
      <c r="O248" s="209" t="str">
        <f>IF(B248="","",VLOOKUP('従業員情報(給与以外)'!$B248,入力シート!$S$37:$Z$62,5,0))</f>
        <v/>
      </c>
      <c r="P248" s="156" t="str">
        <f>IF(ISNUMBER(C248)=FALSE,"",IF(C248&gt;入力シート!$J$24,"",_xlfn.DAYS(入力シート!$J$24,'従業員情報(給与以外)'!$C248)/365))</f>
        <v/>
      </c>
      <c r="Q248" s="210" t="str">
        <f>IF(P248="","",VLOOKUP(_xlfn.DAYS(入力シート!$J$24,'従業員情報(給与以外)'!$C248)/365,入力リスト!$K$18:$L$26,2,2))</f>
        <v/>
      </c>
      <c r="R248" s="209" t="str">
        <f>IF(D248="","",VLOOKUP('従業員情報(給与以外)'!$D248,入力シート!$AW$37:$BB$38,4,0))</f>
        <v/>
      </c>
      <c r="S248" s="209" t="str">
        <f>IF(A248="","",IF(E248="","非役職",VLOOKUP('従業員情報(給与以外)'!$E248,入力シート!$AH$37:$AO$62,5,0)))</f>
        <v/>
      </c>
      <c r="T248" s="102" t="str">
        <f>IF(OR(入力シート!$C$5&lt;&gt;入力リスト!$C$3,COUNTIF(入力シート!$J$16:$S$23,入力リスト!$H$9)=0),"",IF($A248="","",IF(ISERROR(AVERAGEIF(従業員の給与情報!$B:$B,$A248,従業員の給与情報!$C:$C)),0,IF(ISERROR(AVERAGEIF(従業員の給与情報!$B:$B,$A248,従業員の給与情報!$C:$C)),0,AVERAGEIF(従業員の給与情報!$B:$B,$A248,従業員の給与情報!$C:$C)))))</f>
        <v/>
      </c>
      <c r="U248" s="102" t="str">
        <f>IF(OR(入力シート!$C$5&lt;&gt;入力リスト!$C$3,COUNTIF(入力シート!$J$16:$S$23,入力リスト!$H$9)=0),"",IF(A248="","",IF(ISERROR(AVERAGEIF(従業員の給与情報!$B:$B,$A248,従業員の給与情報!$D:$D)),0,IF(ISERROR(AVERAGEIF(従業員の給与情報!$B:$B,$A248,従業員の給与情報!$D:$D)),0,AVERAGEIF(従業員の給与情報!$B:$B,$A248,従業員の給与情報!$D:$D)))))</f>
        <v/>
      </c>
      <c r="V248" s="102" t="str">
        <f>IF(OR(入力シート!$C$5&lt;&gt;入力リスト!$C$3,COUNTIF(入力シート!$J$16:$S$23,入力リスト!$H$9)=0),"",IF(A248="","",IF(ISERROR(AVERAGEIF(従業員の給与情報!$B:$B,$A248,従業員の給与情報!$E:$E)),0,IF(ISERROR(AVERAGEIF(従業員の給与情報!$B:$B,$A248,従業員の給与情報!$E:$E)),0,AVERAGEIF(従業員の給与情報!$B:$B,$A248,従業員の給与情報!$E:$E)))))</f>
        <v/>
      </c>
      <c r="W248" s="103" t="str">
        <f>IF(OR(入力シート!$C$5&lt;&gt;入力リスト!$C$3,COUNTIF(入力シート!$J$16:$S$23,入力リスト!$H$9)=0),"",IF(A248="","",IF(ISERROR(AVERAGEIF(従業員の給与情報!$B:$B,$A248,従業員の給与情報!$F:$F)),0,IF(ISERROR(AVERAGEIF(従業員の給与情報!$B:$B,$A248,従業員の給与情報!$F:$F)),0,AVERAGEIF(従業員の給与情報!$B:$B,$A248,従業員の給与情報!$F:$F)))))</f>
        <v/>
      </c>
    </row>
    <row r="249" spans="1:23" s="10" customFormat="1">
      <c r="A249" s="253"/>
      <c r="B249" s="246"/>
      <c r="C249" s="247"/>
      <c r="D249" s="246"/>
      <c r="E249" s="246"/>
      <c r="F249" s="257" t="str">
        <f>IF($G$1,"",IF(COUNTIF(A249:E249,"")=5,"",IF(G249,入力リスト!$K$28,IF(OR(A249="",B249="",IF(COUNTIF($C$3,"*不要*"),"",C249=""),D249=""),IF(A249="","従業員番号","")&amp;IF(B249="","「雇用形態」","")&amp;IF(OR(入力シート!$J$18=入力リスト!$H$9,入力シート!$J$22=入力リスト!$H$9),IF(C249="","「入社年月日」",""),"")&amp;IF(D249="","「性別」","")&amp;IF(IF(A249="","従業員番号","")&amp;IF(B249="","「雇用形態」","")&amp;IF(OR(入力シート!$J$18=入力リスト!$H$9,入力シート!$J$22=入力リスト!$H$9),IF(C249="","「入社年月日」",""),"")&amp;IF(D249="","「性別」","")="","",入力リスト!$K$29),IF(J249,入力リスト!$K$30,"")&amp;IF(I249,入力リスト!$K$31,"")&amp;IF(H249,"「雇用形態」","")&amp;IF(K249,"「性別」","")&amp;IF(L249,"「役職」","")&amp;IF(OR(H249,K249,L249),入力リスト!$K$32,"")))))</f>
        <v/>
      </c>
      <c r="G249" s="209" t="b">
        <f>COUNTIF($A$4:A248,$A249)&gt;0</f>
        <v>0</v>
      </c>
      <c r="H249" s="210" t="b">
        <f>IF($H$1,FALSE,COUNTIF(入力シート!$S$37:$V$62,B249)=0)</f>
        <v>0</v>
      </c>
      <c r="I249" s="210" t="b">
        <f t="shared" si="8"/>
        <v>0</v>
      </c>
      <c r="J249" s="210" t="b">
        <f>IF($J$1,FALSE,IF(I249=TRUE,FALSE,IF(I249,FALSE,C249&gt;入力シート!$J$24)))</f>
        <v>0</v>
      </c>
      <c r="K249" s="210" t="b">
        <f>IF($K$1,FALSE,COUNTIF(入力シート!$AW$37:$BB$38,D249)=0)</f>
        <v>0</v>
      </c>
      <c r="L249" s="210" t="b">
        <f>IF($L$1,FALSE,IF($L$3,FALSE,IF(E249="",FALSE,COUNTIF(入力シート!$AH$37:$AK$62,E249)=0)))</f>
        <v>0</v>
      </c>
      <c r="M249" s="211" t="str">
        <f t="shared" si="7"/>
        <v/>
      </c>
      <c r="N249" s="211"/>
      <c r="O249" s="209" t="str">
        <f>IF(B249="","",VLOOKUP('従業員情報(給与以外)'!$B249,入力シート!$S$37:$Z$62,5,0))</f>
        <v/>
      </c>
      <c r="P249" s="156" t="str">
        <f>IF(ISNUMBER(C249)=FALSE,"",IF(C249&gt;入力シート!$J$24,"",_xlfn.DAYS(入力シート!$J$24,'従業員情報(給与以外)'!$C249)/365))</f>
        <v/>
      </c>
      <c r="Q249" s="210" t="str">
        <f>IF(P249="","",VLOOKUP(_xlfn.DAYS(入力シート!$J$24,'従業員情報(給与以外)'!$C249)/365,入力リスト!$K$18:$L$26,2,2))</f>
        <v/>
      </c>
      <c r="R249" s="209" t="str">
        <f>IF(D249="","",VLOOKUP('従業員情報(給与以外)'!$D249,入力シート!$AW$37:$BB$38,4,0))</f>
        <v/>
      </c>
      <c r="S249" s="209" t="str">
        <f>IF(A249="","",IF(E249="","非役職",VLOOKUP('従業員情報(給与以外)'!$E249,入力シート!$AH$37:$AO$62,5,0)))</f>
        <v/>
      </c>
      <c r="T249" s="102" t="str">
        <f>IF(OR(入力シート!$C$5&lt;&gt;入力リスト!$C$3,COUNTIF(入力シート!$J$16:$S$23,入力リスト!$H$9)=0),"",IF($A249="","",IF(ISERROR(AVERAGEIF(従業員の給与情報!$B:$B,$A249,従業員の給与情報!$C:$C)),0,IF(ISERROR(AVERAGEIF(従業員の給与情報!$B:$B,$A249,従業員の給与情報!$C:$C)),0,AVERAGEIF(従業員の給与情報!$B:$B,$A249,従業員の給与情報!$C:$C)))))</f>
        <v/>
      </c>
      <c r="U249" s="102" t="str">
        <f>IF(OR(入力シート!$C$5&lt;&gt;入力リスト!$C$3,COUNTIF(入力シート!$J$16:$S$23,入力リスト!$H$9)=0),"",IF(A249="","",IF(ISERROR(AVERAGEIF(従業員の給与情報!$B:$B,$A249,従業員の給与情報!$D:$D)),0,IF(ISERROR(AVERAGEIF(従業員の給与情報!$B:$B,$A249,従業員の給与情報!$D:$D)),0,AVERAGEIF(従業員の給与情報!$B:$B,$A249,従業員の給与情報!$D:$D)))))</f>
        <v/>
      </c>
      <c r="V249" s="102" t="str">
        <f>IF(OR(入力シート!$C$5&lt;&gt;入力リスト!$C$3,COUNTIF(入力シート!$J$16:$S$23,入力リスト!$H$9)=0),"",IF(A249="","",IF(ISERROR(AVERAGEIF(従業員の給与情報!$B:$B,$A249,従業員の給与情報!$E:$E)),0,IF(ISERROR(AVERAGEIF(従業員の給与情報!$B:$B,$A249,従業員の給与情報!$E:$E)),0,AVERAGEIF(従業員の給与情報!$B:$B,$A249,従業員の給与情報!$E:$E)))))</f>
        <v/>
      </c>
      <c r="W249" s="103" t="str">
        <f>IF(OR(入力シート!$C$5&lt;&gt;入力リスト!$C$3,COUNTIF(入力シート!$J$16:$S$23,入力リスト!$H$9)=0),"",IF(A249="","",IF(ISERROR(AVERAGEIF(従業員の給与情報!$B:$B,$A249,従業員の給与情報!$F:$F)),0,IF(ISERROR(AVERAGEIF(従業員の給与情報!$B:$B,$A249,従業員の給与情報!$F:$F)),0,AVERAGEIF(従業員の給与情報!$B:$B,$A249,従業員の給与情報!$F:$F)))))</f>
        <v/>
      </c>
    </row>
    <row r="250" spans="1:23" s="10" customFormat="1">
      <c r="A250" s="253"/>
      <c r="B250" s="246"/>
      <c r="C250" s="247"/>
      <c r="D250" s="246"/>
      <c r="E250" s="246"/>
      <c r="F250" s="257" t="str">
        <f>IF($G$1,"",IF(COUNTIF(A250:E250,"")=5,"",IF(G250,入力リスト!$K$28,IF(OR(A250="",B250="",IF(COUNTIF($C$3,"*不要*"),"",C250=""),D250=""),IF(A250="","従業員番号","")&amp;IF(B250="","「雇用形態」","")&amp;IF(OR(入力シート!$J$18=入力リスト!$H$9,入力シート!$J$22=入力リスト!$H$9),IF(C250="","「入社年月日」",""),"")&amp;IF(D250="","「性別」","")&amp;IF(IF(A250="","従業員番号","")&amp;IF(B250="","「雇用形態」","")&amp;IF(OR(入力シート!$J$18=入力リスト!$H$9,入力シート!$J$22=入力リスト!$H$9),IF(C250="","「入社年月日」",""),"")&amp;IF(D250="","「性別」","")="","",入力リスト!$K$29),IF(J250,入力リスト!$K$30,"")&amp;IF(I250,入力リスト!$K$31,"")&amp;IF(H250,"「雇用形態」","")&amp;IF(K250,"「性別」","")&amp;IF(L250,"「役職」","")&amp;IF(OR(H250,K250,L250),入力リスト!$K$32,"")))))</f>
        <v/>
      </c>
      <c r="G250" s="209" t="b">
        <f>COUNTIF($A$4:A249,$A250)&gt;0</f>
        <v>0</v>
      </c>
      <c r="H250" s="210" t="b">
        <f>IF($H$1,FALSE,COUNTIF(入力シート!$S$37:$V$62,B250)=0)</f>
        <v>0</v>
      </c>
      <c r="I250" s="210" t="b">
        <f t="shared" si="8"/>
        <v>0</v>
      </c>
      <c r="J250" s="210" t="b">
        <f>IF($J$1,FALSE,IF(I250=TRUE,FALSE,IF(I250,FALSE,C250&gt;入力シート!$J$24)))</f>
        <v>0</v>
      </c>
      <c r="K250" s="210" t="b">
        <f>IF($K$1,FALSE,COUNTIF(入力シート!$AW$37:$BB$38,D250)=0)</f>
        <v>0</v>
      </c>
      <c r="L250" s="210" t="b">
        <f>IF($L$1,FALSE,IF($L$3,FALSE,IF(E250="",FALSE,COUNTIF(入力シート!$AH$37:$AK$62,E250)=0)))</f>
        <v>0</v>
      </c>
      <c r="M250" s="211" t="str">
        <f t="shared" si="7"/>
        <v/>
      </c>
      <c r="N250" s="211"/>
      <c r="O250" s="209" t="str">
        <f>IF(B250="","",VLOOKUP('従業員情報(給与以外)'!$B250,入力シート!$S$37:$Z$62,5,0))</f>
        <v/>
      </c>
      <c r="P250" s="156" t="str">
        <f>IF(ISNUMBER(C250)=FALSE,"",IF(C250&gt;入力シート!$J$24,"",_xlfn.DAYS(入力シート!$J$24,'従業員情報(給与以外)'!$C250)/365))</f>
        <v/>
      </c>
      <c r="Q250" s="210" t="str">
        <f>IF(P250="","",VLOOKUP(_xlfn.DAYS(入力シート!$J$24,'従業員情報(給与以外)'!$C250)/365,入力リスト!$K$18:$L$26,2,2))</f>
        <v/>
      </c>
      <c r="R250" s="209" t="str">
        <f>IF(D250="","",VLOOKUP('従業員情報(給与以外)'!$D250,入力シート!$AW$37:$BB$38,4,0))</f>
        <v/>
      </c>
      <c r="S250" s="209" t="str">
        <f>IF(A250="","",IF(E250="","非役職",VLOOKUP('従業員情報(給与以外)'!$E250,入力シート!$AH$37:$AO$62,5,0)))</f>
        <v/>
      </c>
      <c r="T250" s="102" t="str">
        <f>IF(OR(入力シート!$C$5&lt;&gt;入力リスト!$C$3,COUNTIF(入力シート!$J$16:$S$23,入力リスト!$H$9)=0),"",IF($A250="","",IF(ISERROR(AVERAGEIF(従業員の給与情報!$B:$B,$A250,従業員の給与情報!$C:$C)),0,IF(ISERROR(AVERAGEIF(従業員の給与情報!$B:$B,$A250,従業員の給与情報!$C:$C)),0,AVERAGEIF(従業員の給与情報!$B:$B,$A250,従業員の給与情報!$C:$C)))))</f>
        <v/>
      </c>
      <c r="U250" s="102" t="str">
        <f>IF(OR(入力シート!$C$5&lt;&gt;入力リスト!$C$3,COUNTIF(入力シート!$J$16:$S$23,入力リスト!$H$9)=0),"",IF(A250="","",IF(ISERROR(AVERAGEIF(従業員の給与情報!$B:$B,$A250,従業員の給与情報!$D:$D)),0,IF(ISERROR(AVERAGEIF(従業員の給与情報!$B:$B,$A250,従業員の給与情報!$D:$D)),0,AVERAGEIF(従業員の給与情報!$B:$B,$A250,従業員の給与情報!$D:$D)))))</f>
        <v/>
      </c>
      <c r="V250" s="102" t="str">
        <f>IF(OR(入力シート!$C$5&lt;&gt;入力リスト!$C$3,COUNTIF(入力シート!$J$16:$S$23,入力リスト!$H$9)=0),"",IF(A250="","",IF(ISERROR(AVERAGEIF(従業員の給与情報!$B:$B,$A250,従業員の給与情報!$E:$E)),0,IF(ISERROR(AVERAGEIF(従業員の給与情報!$B:$B,$A250,従業員の給与情報!$E:$E)),0,AVERAGEIF(従業員の給与情報!$B:$B,$A250,従業員の給与情報!$E:$E)))))</f>
        <v/>
      </c>
      <c r="W250" s="103" t="str">
        <f>IF(OR(入力シート!$C$5&lt;&gt;入力リスト!$C$3,COUNTIF(入力シート!$J$16:$S$23,入力リスト!$H$9)=0),"",IF(A250="","",IF(ISERROR(AVERAGEIF(従業員の給与情報!$B:$B,$A250,従業員の給与情報!$F:$F)),0,IF(ISERROR(AVERAGEIF(従業員の給与情報!$B:$B,$A250,従業員の給与情報!$F:$F)),0,AVERAGEIF(従業員の給与情報!$B:$B,$A250,従業員の給与情報!$F:$F)))))</f>
        <v/>
      </c>
    </row>
    <row r="251" spans="1:23" s="10" customFormat="1">
      <c r="A251" s="253"/>
      <c r="B251" s="246"/>
      <c r="C251" s="247"/>
      <c r="D251" s="246"/>
      <c r="E251" s="246"/>
      <c r="F251" s="257" t="str">
        <f>IF($G$1,"",IF(COUNTIF(A251:E251,"")=5,"",IF(G251,入力リスト!$K$28,IF(OR(A251="",B251="",IF(COUNTIF($C$3,"*不要*"),"",C251=""),D251=""),IF(A251="","従業員番号","")&amp;IF(B251="","「雇用形態」","")&amp;IF(OR(入力シート!$J$18=入力リスト!$H$9,入力シート!$J$22=入力リスト!$H$9),IF(C251="","「入社年月日」",""),"")&amp;IF(D251="","「性別」","")&amp;IF(IF(A251="","従業員番号","")&amp;IF(B251="","「雇用形態」","")&amp;IF(OR(入力シート!$J$18=入力リスト!$H$9,入力シート!$J$22=入力リスト!$H$9),IF(C251="","「入社年月日」",""),"")&amp;IF(D251="","「性別」","")="","",入力リスト!$K$29),IF(J251,入力リスト!$K$30,"")&amp;IF(I251,入力リスト!$K$31,"")&amp;IF(H251,"「雇用形態」","")&amp;IF(K251,"「性別」","")&amp;IF(L251,"「役職」","")&amp;IF(OR(H251,K251,L251),入力リスト!$K$32,"")))))</f>
        <v/>
      </c>
      <c r="G251" s="209" t="b">
        <f>COUNTIF($A$4:A250,$A251)&gt;0</f>
        <v>0</v>
      </c>
      <c r="H251" s="210" t="b">
        <f>IF($H$1,FALSE,COUNTIF(入力シート!$S$37:$V$62,B251)=0)</f>
        <v>0</v>
      </c>
      <c r="I251" s="210" t="b">
        <f t="shared" si="8"/>
        <v>0</v>
      </c>
      <c r="J251" s="210" t="b">
        <f>IF($J$1,FALSE,IF(I251=TRUE,FALSE,IF(I251,FALSE,C251&gt;入力シート!$J$24)))</f>
        <v>0</v>
      </c>
      <c r="K251" s="210" t="b">
        <f>IF($K$1,FALSE,COUNTIF(入力シート!$AW$37:$BB$38,D251)=0)</f>
        <v>0</v>
      </c>
      <c r="L251" s="210" t="b">
        <f>IF($L$1,FALSE,IF($L$3,FALSE,IF(E251="",FALSE,COUNTIF(入力シート!$AH$37:$AK$62,E251)=0)))</f>
        <v>0</v>
      </c>
      <c r="M251" s="211" t="str">
        <f t="shared" si="7"/>
        <v/>
      </c>
      <c r="N251" s="211"/>
      <c r="O251" s="209" t="str">
        <f>IF(B251="","",VLOOKUP('従業員情報(給与以外)'!$B251,入力シート!$S$37:$Z$62,5,0))</f>
        <v/>
      </c>
      <c r="P251" s="156" t="str">
        <f>IF(ISNUMBER(C251)=FALSE,"",IF(C251&gt;入力シート!$J$24,"",_xlfn.DAYS(入力シート!$J$24,'従業員情報(給与以外)'!$C251)/365))</f>
        <v/>
      </c>
      <c r="Q251" s="210" t="str">
        <f>IF(P251="","",VLOOKUP(_xlfn.DAYS(入力シート!$J$24,'従業員情報(給与以外)'!$C251)/365,入力リスト!$K$18:$L$26,2,2))</f>
        <v/>
      </c>
      <c r="R251" s="209" t="str">
        <f>IF(D251="","",VLOOKUP('従業員情報(給与以外)'!$D251,入力シート!$AW$37:$BB$38,4,0))</f>
        <v/>
      </c>
      <c r="S251" s="209" t="str">
        <f>IF(A251="","",IF(E251="","非役職",VLOOKUP('従業員情報(給与以外)'!$E251,入力シート!$AH$37:$AO$62,5,0)))</f>
        <v/>
      </c>
      <c r="T251" s="102" t="str">
        <f>IF(OR(入力シート!$C$5&lt;&gt;入力リスト!$C$3,COUNTIF(入力シート!$J$16:$S$23,入力リスト!$H$9)=0),"",IF($A251="","",IF(ISERROR(AVERAGEIF(従業員の給与情報!$B:$B,$A251,従業員の給与情報!$C:$C)),0,IF(ISERROR(AVERAGEIF(従業員の給与情報!$B:$B,$A251,従業員の給与情報!$C:$C)),0,AVERAGEIF(従業員の給与情報!$B:$B,$A251,従業員の給与情報!$C:$C)))))</f>
        <v/>
      </c>
      <c r="U251" s="102" t="str">
        <f>IF(OR(入力シート!$C$5&lt;&gt;入力リスト!$C$3,COUNTIF(入力シート!$J$16:$S$23,入力リスト!$H$9)=0),"",IF(A251="","",IF(ISERROR(AVERAGEIF(従業員の給与情報!$B:$B,$A251,従業員の給与情報!$D:$D)),0,IF(ISERROR(AVERAGEIF(従業員の給与情報!$B:$B,$A251,従業員の給与情報!$D:$D)),0,AVERAGEIF(従業員の給与情報!$B:$B,$A251,従業員の給与情報!$D:$D)))))</f>
        <v/>
      </c>
      <c r="V251" s="102" t="str">
        <f>IF(OR(入力シート!$C$5&lt;&gt;入力リスト!$C$3,COUNTIF(入力シート!$J$16:$S$23,入力リスト!$H$9)=0),"",IF(A251="","",IF(ISERROR(AVERAGEIF(従業員の給与情報!$B:$B,$A251,従業員の給与情報!$E:$E)),0,IF(ISERROR(AVERAGEIF(従業員の給与情報!$B:$B,$A251,従業員の給与情報!$E:$E)),0,AVERAGEIF(従業員の給与情報!$B:$B,$A251,従業員の給与情報!$E:$E)))))</f>
        <v/>
      </c>
      <c r="W251" s="103" t="str">
        <f>IF(OR(入力シート!$C$5&lt;&gt;入力リスト!$C$3,COUNTIF(入力シート!$J$16:$S$23,入力リスト!$H$9)=0),"",IF(A251="","",IF(ISERROR(AVERAGEIF(従業員の給与情報!$B:$B,$A251,従業員の給与情報!$F:$F)),0,IF(ISERROR(AVERAGEIF(従業員の給与情報!$B:$B,$A251,従業員の給与情報!$F:$F)),0,AVERAGEIF(従業員の給与情報!$B:$B,$A251,従業員の給与情報!$F:$F)))))</f>
        <v/>
      </c>
    </row>
    <row r="252" spans="1:23" s="10" customFormat="1">
      <c r="A252" s="253"/>
      <c r="B252" s="246"/>
      <c r="C252" s="247"/>
      <c r="D252" s="246"/>
      <c r="E252" s="246"/>
      <c r="F252" s="257" t="str">
        <f>IF($G$1,"",IF(COUNTIF(A252:E252,"")=5,"",IF(G252,入力リスト!$K$28,IF(OR(A252="",B252="",IF(COUNTIF($C$3,"*不要*"),"",C252=""),D252=""),IF(A252="","従業員番号","")&amp;IF(B252="","「雇用形態」","")&amp;IF(OR(入力シート!$J$18=入力リスト!$H$9,入力シート!$J$22=入力リスト!$H$9),IF(C252="","「入社年月日」",""),"")&amp;IF(D252="","「性別」","")&amp;IF(IF(A252="","従業員番号","")&amp;IF(B252="","「雇用形態」","")&amp;IF(OR(入力シート!$J$18=入力リスト!$H$9,入力シート!$J$22=入力リスト!$H$9),IF(C252="","「入社年月日」",""),"")&amp;IF(D252="","「性別」","")="","",入力リスト!$K$29),IF(J252,入力リスト!$K$30,"")&amp;IF(I252,入力リスト!$K$31,"")&amp;IF(H252,"「雇用形態」","")&amp;IF(K252,"「性別」","")&amp;IF(L252,"「役職」","")&amp;IF(OR(H252,K252,L252),入力リスト!$K$32,"")))))</f>
        <v/>
      </c>
      <c r="G252" s="209" t="b">
        <f>COUNTIF($A$4:A251,$A252)&gt;0</f>
        <v>0</v>
      </c>
      <c r="H252" s="210" t="b">
        <f>IF($H$1,FALSE,COUNTIF(入力シート!$S$37:$V$62,B252)=0)</f>
        <v>0</v>
      </c>
      <c r="I252" s="210" t="b">
        <f t="shared" si="8"/>
        <v>0</v>
      </c>
      <c r="J252" s="210" t="b">
        <f>IF($J$1,FALSE,IF(I252=TRUE,FALSE,IF(I252,FALSE,C252&gt;入力シート!$J$24)))</f>
        <v>0</v>
      </c>
      <c r="K252" s="210" t="b">
        <f>IF($K$1,FALSE,COUNTIF(入力シート!$AW$37:$BB$38,D252)=0)</f>
        <v>0</v>
      </c>
      <c r="L252" s="210" t="b">
        <f>IF($L$1,FALSE,IF($L$3,FALSE,IF(E252="",FALSE,COUNTIF(入力シート!$AH$37:$AK$62,E252)=0)))</f>
        <v>0</v>
      </c>
      <c r="M252" s="211" t="str">
        <f t="shared" si="7"/>
        <v/>
      </c>
      <c r="N252" s="211"/>
      <c r="O252" s="209" t="str">
        <f>IF(B252="","",VLOOKUP('従業員情報(給与以外)'!$B252,入力シート!$S$37:$Z$62,5,0))</f>
        <v/>
      </c>
      <c r="P252" s="156" t="str">
        <f>IF(ISNUMBER(C252)=FALSE,"",IF(C252&gt;入力シート!$J$24,"",_xlfn.DAYS(入力シート!$J$24,'従業員情報(給与以外)'!$C252)/365))</f>
        <v/>
      </c>
      <c r="Q252" s="210" t="str">
        <f>IF(P252="","",VLOOKUP(_xlfn.DAYS(入力シート!$J$24,'従業員情報(給与以外)'!$C252)/365,入力リスト!$K$18:$L$26,2,2))</f>
        <v/>
      </c>
      <c r="R252" s="209" t="str">
        <f>IF(D252="","",VLOOKUP('従業員情報(給与以外)'!$D252,入力シート!$AW$37:$BB$38,4,0))</f>
        <v/>
      </c>
      <c r="S252" s="209" t="str">
        <f>IF(A252="","",IF(E252="","非役職",VLOOKUP('従業員情報(給与以外)'!$E252,入力シート!$AH$37:$AO$62,5,0)))</f>
        <v/>
      </c>
      <c r="T252" s="102" t="str">
        <f>IF(OR(入力シート!$C$5&lt;&gt;入力リスト!$C$3,COUNTIF(入力シート!$J$16:$S$23,入力リスト!$H$9)=0),"",IF($A252="","",IF(ISERROR(AVERAGEIF(従業員の給与情報!$B:$B,$A252,従業員の給与情報!$C:$C)),0,IF(ISERROR(AVERAGEIF(従業員の給与情報!$B:$B,$A252,従業員の給与情報!$C:$C)),0,AVERAGEIF(従業員の給与情報!$B:$B,$A252,従業員の給与情報!$C:$C)))))</f>
        <v/>
      </c>
      <c r="U252" s="102" t="str">
        <f>IF(OR(入力シート!$C$5&lt;&gt;入力リスト!$C$3,COUNTIF(入力シート!$J$16:$S$23,入力リスト!$H$9)=0),"",IF(A252="","",IF(ISERROR(AVERAGEIF(従業員の給与情報!$B:$B,$A252,従業員の給与情報!$D:$D)),0,IF(ISERROR(AVERAGEIF(従業員の給与情報!$B:$B,$A252,従業員の給与情報!$D:$D)),0,AVERAGEIF(従業員の給与情報!$B:$B,$A252,従業員の給与情報!$D:$D)))))</f>
        <v/>
      </c>
      <c r="V252" s="102" t="str">
        <f>IF(OR(入力シート!$C$5&lt;&gt;入力リスト!$C$3,COUNTIF(入力シート!$J$16:$S$23,入力リスト!$H$9)=0),"",IF(A252="","",IF(ISERROR(AVERAGEIF(従業員の給与情報!$B:$B,$A252,従業員の給与情報!$E:$E)),0,IF(ISERROR(AVERAGEIF(従業員の給与情報!$B:$B,$A252,従業員の給与情報!$E:$E)),0,AVERAGEIF(従業員の給与情報!$B:$B,$A252,従業員の給与情報!$E:$E)))))</f>
        <v/>
      </c>
      <c r="W252" s="103" t="str">
        <f>IF(OR(入力シート!$C$5&lt;&gt;入力リスト!$C$3,COUNTIF(入力シート!$J$16:$S$23,入力リスト!$H$9)=0),"",IF(A252="","",IF(ISERROR(AVERAGEIF(従業員の給与情報!$B:$B,$A252,従業員の給与情報!$F:$F)),0,IF(ISERROR(AVERAGEIF(従業員の給与情報!$B:$B,$A252,従業員の給与情報!$F:$F)),0,AVERAGEIF(従業員の給与情報!$B:$B,$A252,従業員の給与情報!$F:$F)))))</f>
        <v/>
      </c>
    </row>
    <row r="253" spans="1:23" s="10" customFormat="1">
      <c r="A253" s="253"/>
      <c r="B253" s="246"/>
      <c r="C253" s="247"/>
      <c r="D253" s="246"/>
      <c r="E253" s="246"/>
      <c r="F253" s="257" t="str">
        <f>IF($G$1,"",IF(COUNTIF(A253:E253,"")=5,"",IF(G253,入力リスト!$K$28,IF(OR(A253="",B253="",IF(COUNTIF($C$3,"*不要*"),"",C253=""),D253=""),IF(A253="","従業員番号","")&amp;IF(B253="","「雇用形態」","")&amp;IF(OR(入力シート!$J$18=入力リスト!$H$9,入力シート!$J$22=入力リスト!$H$9),IF(C253="","「入社年月日」",""),"")&amp;IF(D253="","「性別」","")&amp;IF(IF(A253="","従業員番号","")&amp;IF(B253="","「雇用形態」","")&amp;IF(OR(入力シート!$J$18=入力リスト!$H$9,入力シート!$J$22=入力リスト!$H$9),IF(C253="","「入社年月日」",""),"")&amp;IF(D253="","「性別」","")="","",入力リスト!$K$29),IF(J253,入力リスト!$K$30,"")&amp;IF(I253,入力リスト!$K$31,"")&amp;IF(H253,"「雇用形態」","")&amp;IF(K253,"「性別」","")&amp;IF(L253,"「役職」","")&amp;IF(OR(H253,K253,L253),入力リスト!$K$32,"")))))</f>
        <v/>
      </c>
      <c r="G253" s="209" t="b">
        <f>COUNTIF($A$4:A252,$A253)&gt;0</f>
        <v>0</v>
      </c>
      <c r="H253" s="210" t="b">
        <f>IF($H$1,FALSE,COUNTIF(入力シート!$S$37:$V$62,B253)=0)</f>
        <v>0</v>
      </c>
      <c r="I253" s="210" t="b">
        <f t="shared" si="8"/>
        <v>0</v>
      </c>
      <c r="J253" s="210" t="b">
        <f>IF($J$1,FALSE,IF(I253=TRUE,FALSE,IF(I253,FALSE,C253&gt;入力シート!$J$24)))</f>
        <v>0</v>
      </c>
      <c r="K253" s="210" t="b">
        <f>IF($K$1,FALSE,COUNTIF(入力シート!$AW$37:$BB$38,D253)=0)</f>
        <v>0</v>
      </c>
      <c r="L253" s="210" t="b">
        <f>IF($L$1,FALSE,IF($L$3,FALSE,IF(E253="",FALSE,COUNTIF(入力シート!$AH$37:$AK$62,E253)=0)))</f>
        <v>0</v>
      </c>
      <c r="M253" s="211" t="str">
        <f t="shared" si="7"/>
        <v/>
      </c>
      <c r="N253" s="211"/>
      <c r="O253" s="209" t="str">
        <f>IF(B253="","",VLOOKUP('従業員情報(給与以外)'!$B253,入力シート!$S$37:$Z$62,5,0))</f>
        <v/>
      </c>
      <c r="P253" s="156" t="str">
        <f>IF(ISNUMBER(C253)=FALSE,"",IF(C253&gt;入力シート!$J$24,"",_xlfn.DAYS(入力シート!$J$24,'従業員情報(給与以外)'!$C253)/365))</f>
        <v/>
      </c>
      <c r="Q253" s="210" t="str">
        <f>IF(P253="","",VLOOKUP(_xlfn.DAYS(入力シート!$J$24,'従業員情報(給与以外)'!$C253)/365,入力リスト!$K$18:$L$26,2,2))</f>
        <v/>
      </c>
      <c r="R253" s="209" t="str">
        <f>IF(D253="","",VLOOKUP('従業員情報(給与以外)'!$D253,入力シート!$AW$37:$BB$38,4,0))</f>
        <v/>
      </c>
      <c r="S253" s="209" t="str">
        <f>IF(A253="","",IF(E253="","非役職",VLOOKUP('従業員情報(給与以外)'!$E253,入力シート!$AH$37:$AO$62,5,0)))</f>
        <v/>
      </c>
      <c r="T253" s="102" t="str">
        <f>IF(OR(入力シート!$C$5&lt;&gt;入力リスト!$C$3,COUNTIF(入力シート!$J$16:$S$23,入力リスト!$H$9)=0),"",IF($A253="","",IF(ISERROR(AVERAGEIF(従業員の給与情報!$B:$B,$A253,従業員の給与情報!$C:$C)),0,IF(ISERROR(AVERAGEIF(従業員の給与情報!$B:$B,$A253,従業員の給与情報!$C:$C)),0,AVERAGEIF(従業員の給与情報!$B:$B,$A253,従業員の給与情報!$C:$C)))))</f>
        <v/>
      </c>
      <c r="U253" s="102" t="str">
        <f>IF(OR(入力シート!$C$5&lt;&gt;入力リスト!$C$3,COUNTIF(入力シート!$J$16:$S$23,入力リスト!$H$9)=0),"",IF(A253="","",IF(ISERROR(AVERAGEIF(従業員の給与情報!$B:$B,$A253,従業員の給与情報!$D:$D)),0,IF(ISERROR(AVERAGEIF(従業員の給与情報!$B:$B,$A253,従業員の給与情報!$D:$D)),0,AVERAGEIF(従業員の給与情報!$B:$B,$A253,従業員の給与情報!$D:$D)))))</f>
        <v/>
      </c>
      <c r="V253" s="102" t="str">
        <f>IF(OR(入力シート!$C$5&lt;&gt;入力リスト!$C$3,COUNTIF(入力シート!$J$16:$S$23,入力リスト!$H$9)=0),"",IF(A253="","",IF(ISERROR(AVERAGEIF(従業員の給与情報!$B:$B,$A253,従業員の給与情報!$E:$E)),0,IF(ISERROR(AVERAGEIF(従業員の給与情報!$B:$B,$A253,従業員の給与情報!$E:$E)),0,AVERAGEIF(従業員の給与情報!$B:$B,$A253,従業員の給与情報!$E:$E)))))</f>
        <v/>
      </c>
      <c r="W253" s="103" t="str">
        <f>IF(OR(入力シート!$C$5&lt;&gt;入力リスト!$C$3,COUNTIF(入力シート!$J$16:$S$23,入力リスト!$H$9)=0),"",IF(A253="","",IF(ISERROR(AVERAGEIF(従業員の給与情報!$B:$B,$A253,従業員の給与情報!$F:$F)),0,IF(ISERROR(AVERAGEIF(従業員の給与情報!$B:$B,$A253,従業員の給与情報!$F:$F)),0,AVERAGEIF(従業員の給与情報!$B:$B,$A253,従業員の給与情報!$F:$F)))))</f>
        <v/>
      </c>
    </row>
    <row r="254" spans="1:23" s="10" customFormat="1">
      <c r="A254" s="253"/>
      <c r="B254" s="246"/>
      <c r="C254" s="247"/>
      <c r="D254" s="246"/>
      <c r="E254" s="246"/>
      <c r="F254" s="257" t="str">
        <f>IF($G$1,"",IF(COUNTIF(A254:E254,"")=5,"",IF(G254,入力リスト!$K$28,IF(OR(A254="",B254="",IF(COUNTIF($C$3,"*不要*"),"",C254=""),D254=""),IF(A254="","従業員番号","")&amp;IF(B254="","「雇用形態」","")&amp;IF(OR(入力シート!$J$18=入力リスト!$H$9,入力シート!$J$22=入力リスト!$H$9),IF(C254="","「入社年月日」",""),"")&amp;IF(D254="","「性別」","")&amp;IF(IF(A254="","従業員番号","")&amp;IF(B254="","「雇用形態」","")&amp;IF(OR(入力シート!$J$18=入力リスト!$H$9,入力シート!$J$22=入力リスト!$H$9),IF(C254="","「入社年月日」",""),"")&amp;IF(D254="","「性別」","")="","",入力リスト!$K$29),IF(J254,入力リスト!$K$30,"")&amp;IF(I254,入力リスト!$K$31,"")&amp;IF(H254,"「雇用形態」","")&amp;IF(K254,"「性別」","")&amp;IF(L254,"「役職」","")&amp;IF(OR(H254,K254,L254),入力リスト!$K$32,"")))))</f>
        <v/>
      </c>
      <c r="G254" s="209" t="b">
        <f>COUNTIF($A$4:A253,$A254)&gt;0</f>
        <v>0</v>
      </c>
      <c r="H254" s="210" t="b">
        <f>IF($H$1,FALSE,COUNTIF(入力シート!$S$37:$V$62,B254)=0)</f>
        <v>0</v>
      </c>
      <c r="I254" s="210" t="b">
        <f t="shared" si="8"/>
        <v>0</v>
      </c>
      <c r="J254" s="210" t="b">
        <f>IF($J$1,FALSE,IF(I254=TRUE,FALSE,IF(I254,FALSE,C254&gt;入力シート!$J$24)))</f>
        <v>0</v>
      </c>
      <c r="K254" s="210" t="b">
        <f>IF($K$1,FALSE,COUNTIF(入力シート!$AW$37:$BB$38,D254)=0)</f>
        <v>0</v>
      </c>
      <c r="L254" s="210" t="b">
        <f>IF($L$1,FALSE,IF($L$3,FALSE,IF(E254="",FALSE,COUNTIF(入力シート!$AH$37:$AK$62,E254)=0)))</f>
        <v>0</v>
      </c>
      <c r="M254" s="211" t="str">
        <f t="shared" si="7"/>
        <v/>
      </c>
      <c r="N254" s="211"/>
      <c r="O254" s="209" t="str">
        <f>IF(B254="","",VLOOKUP('従業員情報(給与以外)'!$B254,入力シート!$S$37:$Z$62,5,0))</f>
        <v/>
      </c>
      <c r="P254" s="156" t="str">
        <f>IF(ISNUMBER(C254)=FALSE,"",IF(C254&gt;入力シート!$J$24,"",_xlfn.DAYS(入力シート!$J$24,'従業員情報(給与以外)'!$C254)/365))</f>
        <v/>
      </c>
      <c r="Q254" s="210" t="str">
        <f>IF(P254="","",VLOOKUP(_xlfn.DAYS(入力シート!$J$24,'従業員情報(給与以外)'!$C254)/365,入力リスト!$K$18:$L$26,2,2))</f>
        <v/>
      </c>
      <c r="R254" s="209" t="str">
        <f>IF(D254="","",VLOOKUP('従業員情報(給与以外)'!$D254,入力シート!$AW$37:$BB$38,4,0))</f>
        <v/>
      </c>
      <c r="S254" s="209" t="str">
        <f>IF(A254="","",IF(E254="","非役職",VLOOKUP('従業員情報(給与以外)'!$E254,入力シート!$AH$37:$AO$62,5,0)))</f>
        <v/>
      </c>
      <c r="T254" s="102" t="str">
        <f>IF(OR(入力シート!$C$5&lt;&gt;入力リスト!$C$3,COUNTIF(入力シート!$J$16:$S$23,入力リスト!$H$9)=0),"",IF($A254="","",IF(ISERROR(AVERAGEIF(従業員の給与情報!$B:$B,$A254,従業員の給与情報!$C:$C)),0,IF(ISERROR(AVERAGEIF(従業員の給与情報!$B:$B,$A254,従業員の給与情報!$C:$C)),0,AVERAGEIF(従業員の給与情報!$B:$B,$A254,従業員の給与情報!$C:$C)))))</f>
        <v/>
      </c>
      <c r="U254" s="102" t="str">
        <f>IF(OR(入力シート!$C$5&lt;&gt;入力リスト!$C$3,COUNTIF(入力シート!$J$16:$S$23,入力リスト!$H$9)=0),"",IF(A254="","",IF(ISERROR(AVERAGEIF(従業員の給与情報!$B:$B,$A254,従業員の給与情報!$D:$D)),0,IF(ISERROR(AVERAGEIF(従業員の給与情報!$B:$B,$A254,従業員の給与情報!$D:$D)),0,AVERAGEIF(従業員の給与情報!$B:$B,$A254,従業員の給与情報!$D:$D)))))</f>
        <v/>
      </c>
      <c r="V254" s="102" t="str">
        <f>IF(OR(入力シート!$C$5&lt;&gt;入力リスト!$C$3,COUNTIF(入力シート!$J$16:$S$23,入力リスト!$H$9)=0),"",IF(A254="","",IF(ISERROR(AVERAGEIF(従業員の給与情報!$B:$B,$A254,従業員の給与情報!$E:$E)),0,IF(ISERROR(AVERAGEIF(従業員の給与情報!$B:$B,$A254,従業員の給与情報!$E:$E)),0,AVERAGEIF(従業員の給与情報!$B:$B,$A254,従業員の給与情報!$E:$E)))))</f>
        <v/>
      </c>
      <c r="W254" s="103" t="str">
        <f>IF(OR(入力シート!$C$5&lt;&gt;入力リスト!$C$3,COUNTIF(入力シート!$J$16:$S$23,入力リスト!$H$9)=0),"",IF(A254="","",IF(ISERROR(AVERAGEIF(従業員の給与情報!$B:$B,$A254,従業員の給与情報!$F:$F)),0,IF(ISERROR(AVERAGEIF(従業員の給与情報!$B:$B,$A254,従業員の給与情報!$F:$F)),0,AVERAGEIF(従業員の給与情報!$B:$B,$A254,従業員の給与情報!$F:$F)))))</f>
        <v/>
      </c>
    </row>
    <row r="255" spans="1:23" s="10" customFormat="1">
      <c r="A255" s="253"/>
      <c r="B255" s="246"/>
      <c r="C255" s="247"/>
      <c r="D255" s="246"/>
      <c r="E255" s="246"/>
      <c r="F255" s="257" t="str">
        <f>IF($G$1,"",IF(COUNTIF(A255:E255,"")=5,"",IF(G255,入力リスト!$K$28,IF(OR(A255="",B255="",IF(COUNTIF($C$3,"*不要*"),"",C255=""),D255=""),IF(A255="","従業員番号","")&amp;IF(B255="","「雇用形態」","")&amp;IF(OR(入力シート!$J$18=入力リスト!$H$9,入力シート!$J$22=入力リスト!$H$9),IF(C255="","「入社年月日」",""),"")&amp;IF(D255="","「性別」","")&amp;IF(IF(A255="","従業員番号","")&amp;IF(B255="","「雇用形態」","")&amp;IF(OR(入力シート!$J$18=入力リスト!$H$9,入力シート!$J$22=入力リスト!$H$9),IF(C255="","「入社年月日」",""),"")&amp;IF(D255="","「性別」","")="","",入力リスト!$K$29),IF(J255,入力リスト!$K$30,"")&amp;IF(I255,入力リスト!$K$31,"")&amp;IF(H255,"「雇用形態」","")&amp;IF(K255,"「性別」","")&amp;IF(L255,"「役職」","")&amp;IF(OR(H255,K255,L255),入力リスト!$K$32,"")))))</f>
        <v/>
      </c>
      <c r="G255" s="209" t="b">
        <f>COUNTIF($A$4:A254,$A255)&gt;0</f>
        <v>0</v>
      </c>
      <c r="H255" s="210" t="b">
        <f>IF($H$1,FALSE,COUNTIF(入力シート!$S$37:$V$62,B255)=0)</f>
        <v>0</v>
      </c>
      <c r="I255" s="210" t="b">
        <f t="shared" si="8"/>
        <v>0</v>
      </c>
      <c r="J255" s="210" t="b">
        <f>IF($J$1,FALSE,IF(I255=TRUE,FALSE,IF(I255,FALSE,C255&gt;入力シート!$J$24)))</f>
        <v>0</v>
      </c>
      <c r="K255" s="210" t="b">
        <f>IF($K$1,FALSE,COUNTIF(入力シート!$AW$37:$BB$38,D255)=0)</f>
        <v>0</v>
      </c>
      <c r="L255" s="210" t="b">
        <f>IF($L$1,FALSE,IF($L$3,FALSE,IF(E255="",FALSE,COUNTIF(入力シート!$AH$37:$AK$62,E255)=0)))</f>
        <v>0</v>
      </c>
      <c r="M255" s="211" t="str">
        <f t="shared" si="7"/>
        <v/>
      </c>
      <c r="N255" s="211"/>
      <c r="O255" s="209" t="str">
        <f>IF(B255="","",VLOOKUP('従業員情報(給与以外)'!$B255,入力シート!$S$37:$Z$62,5,0))</f>
        <v/>
      </c>
      <c r="P255" s="156" t="str">
        <f>IF(ISNUMBER(C255)=FALSE,"",IF(C255&gt;入力シート!$J$24,"",_xlfn.DAYS(入力シート!$J$24,'従業員情報(給与以外)'!$C255)/365))</f>
        <v/>
      </c>
      <c r="Q255" s="210" t="str">
        <f>IF(P255="","",VLOOKUP(_xlfn.DAYS(入力シート!$J$24,'従業員情報(給与以外)'!$C255)/365,入力リスト!$K$18:$L$26,2,2))</f>
        <v/>
      </c>
      <c r="R255" s="209" t="str">
        <f>IF(D255="","",VLOOKUP('従業員情報(給与以外)'!$D255,入力シート!$AW$37:$BB$38,4,0))</f>
        <v/>
      </c>
      <c r="S255" s="209" t="str">
        <f>IF(A255="","",IF(E255="","非役職",VLOOKUP('従業員情報(給与以外)'!$E255,入力シート!$AH$37:$AO$62,5,0)))</f>
        <v/>
      </c>
      <c r="T255" s="102" t="str">
        <f>IF(OR(入力シート!$C$5&lt;&gt;入力リスト!$C$3,COUNTIF(入力シート!$J$16:$S$23,入力リスト!$H$9)=0),"",IF($A255="","",IF(ISERROR(AVERAGEIF(従業員の給与情報!$B:$B,$A255,従業員の給与情報!$C:$C)),0,IF(ISERROR(AVERAGEIF(従業員の給与情報!$B:$B,$A255,従業員の給与情報!$C:$C)),0,AVERAGEIF(従業員の給与情報!$B:$B,$A255,従業員の給与情報!$C:$C)))))</f>
        <v/>
      </c>
      <c r="U255" s="102" t="str">
        <f>IF(OR(入力シート!$C$5&lt;&gt;入力リスト!$C$3,COUNTIF(入力シート!$J$16:$S$23,入力リスト!$H$9)=0),"",IF(A255="","",IF(ISERROR(AVERAGEIF(従業員の給与情報!$B:$B,$A255,従業員の給与情報!$D:$D)),0,IF(ISERROR(AVERAGEIF(従業員の給与情報!$B:$B,$A255,従業員の給与情報!$D:$D)),0,AVERAGEIF(従業員の給与情報!$B:$B,$A255,従業員の給与情報!$D:$D)))))</f>
        <v/>
      </c>
      <c r="V255" s="102" t="str">
        <f>IF(OR(入力シート!$C$5&lt;&gt;入力リスト!$C$3,COUNTIF(入力シート!$J$16:$S$23,入力リスト!$H$9)=0),"",IF(A255="","",IF(ISERROR(AVERAGEIF(従業員の給与情報!$B:$B,$A255,従業員の給与情報!$E:$E)),0,IF(ISERROR(AVERAGEIF(従業員の給与情報!$B:$B,$A255,従業員の給与情報!$E:$E)),0,AVERAGEIF(従業員の給与情報!$B:$B,$A255,従業員の給与情報!$E:$E)))))</f>
        <v/>
      </c>
      <c r="W255" s="103" t="str">
        <f>IF(OR(入力シート!$C$5&lt;&gt;入力リスト!$C$3,COUNTIF(入力シート!$J$16:$S$23,入力リスト!$H$9)=0),"",IF(A255="","",IF(ISERROR(AVERAGEIF(従業員の給与情報!$B:$B,$A255,従業員の給与情報!$F:$F)),0,IF(ISERROR(AVERAGEIF(従業員の給与情報!$B:$B,$A255,従業員の給与情報!$F:$F)),0,AVERAGEIF(従業員の給与情報!$B:$B,$A255,従業員の給与情報!$F:$F)))))</f>
        <v/>
      </c>
    </row>
    <row r="256" spans="1:23" s="10" customFormat="1">
      <c r="A256" s="253"/>
      <c r="B256" s="246"/>
      <c r="C256" s="247"/>
      <c r="D256" s="246"/>
      <c r="E256" s="246"/>
      <c r="F256" s="257" t="str">
        <f>IF($G$1,"",IF(COUNTIF(A256:E256,"")=5,"",IF(G256,入力リスト!$K$28,IF(OR(A256="",B256="",IF(COUNTIF($C$3,"*不要*"),"",C256=""),D256=""),IF(A256="","従業員番号","")&amp;IF(B256="","「雇用形態」","")&amp;IF(OR(入力シート!$J$18=入力リスト!$H$9,入力シート!$J$22=入力リスト!$H$9),IF(C256="","「入社年月日」",""),"")&amp;IF(D256="","「性別」","")&amp;IF(IF(A256="","従業員番号","")&amp;IF(B256="","「雇用形態」","")&amp;IF(OR(入力シート!$J$18=入力リスト!$H$9,入力シート!$J$22=入力リスト!$H$9),IF(C256="","「入社年月日」",""),"")&amp;IF(D256="","「性別」","")="","",入力リスト!$K$29),IF(J256,入力リスト!$K$30,"")&amp;IF(I256,入力リスト!$K$31,"")&amp;IF(H256,"「雇用形態」","")&amp;IF(K256,"「性別」","")&amp;IF(L256,"「役職」","")&amp;IF(OR(H256,K256,L256),入力リスト!$K$32,"")))))</f>
        <v/>
      </c>
      <c r="G256" s="209" t="b">
        <f>COUNTIF($A$4:A255,$A256)&gt;0</f>
        <v>0</v>
      </c>
      <c r="H256" s="210" t="b">
        <f>IF($H$1,FALSE,COUNTIF(入力シート!$S$37:$V$62,B256)=0)</f>
        <v>0</v>
      </c>
      <c r="I256" s="210" t="b">
        <f t="shared" si="8"/>
        <v>0</v>
      </c>
      <c r="J256" s="210" t="b">
        <f>IF($J$1,FALSE,IF(I256=TRUE,FALSE,IF(I256,FALSE,C256&gt;入力シート!$J$24)))</f>
        <v>0</v>
      </c>
      <c r="K256" s="210" t="b">
        <f>IF($K$1,FALSE,COUNTIF(入力シート!$AW$37:$BB$38,D256)=0)</f>
        <v>0</v>
      </c>
      <c r="L256" s="210" t="b">
        <f>IF($L$1,FALSE,IF($L$3,FALSE,IF(E256="",FALSE,COUNTIF(入力シート!$AH$37:$AK$62,E256)=0)))</f>
        <v>0</v>
      </c>
      <c r="M256" s="211" t="str">
        <f t="shared" si="7"/>
        <v/>
      </c>
      <c r="N256" s="211"/>
      <c r="O256" s="209" t="str">
        <f>IF(B256="","",VLOOKUP('従業員情報(給与以外)'!$B256,入力シート!$S$37:$Z$62,5,0))</f>
        <v/>
      </c>
      <c r="P256" s="156" t="str">
        <f>IF(ISNUMBER(C256)=FALSE,"",IF(C256&gt;入力シート!$J$24,"",_xlfn.DAYS(入力シート!$J$24,'従業員情報(給与以外)'!$C256)/365))</f>
        <v/>
      </c>
      <c r="Q256" s="210" t="str">
        <f>IF(P256="","",VLOOKUP(_xlfn.DAYS(入力シート!$J$24,'従業員情報(給与以外)'!$C256)/365,入力リスト!$K$18:$L$26,2,2))</f>
        <v/>
      </c>
      <c r="R256" s="209" t="str">
        <f>IF(D256="","",VLOOKUP('従業員情報(給与以外)'!$D256,入力シート!$AW$37:$BB$38,4,0))</f>
        <v/>
      </c>
      <c r="S256" s="209" t="str">
        <f>IF(A256="","",IF(E256="","非役職",VLOOKUP('従業員情報(給与以外)'!$E256,入力シート!$AH$37:$AO$62,5,0)))</f>
        <v/>
      </c>
      <c r="T256" s="102" t="str">
        <f>IF(OR(入力シート!$C$5&lt;&gt;入力リスト!$C$3,COUNTIF(入力シート!$J$16:$S$23,入力リスト!$H$9)=0),"",IF($A256="","",IF(ISERROR(AVERAGEIF(従業員の給与情報!$B:$B,$A256,従業員の給与情報!$C:$C)),0,IF(ISERROR(AVERAGEIF(従業員の給与情報!$B:$B,$A256,従業員の給与情報!$C:$C)),0,AVERAGEIF(従業員の給与情報!$B:$B,$A256,従業員の給与情報!$C:$C)))))</f>
        <v/>
      </c>
      <c r="U256" s="102" t="str">
        <f>IF(OR(入力シート!$C$5&lt;&gt;入力リスト!$C$3,COUNTIF(入力シート!$J$16:$S$23,入力リスト!$H$9)=0),"",IF(A256="","",IF(ISERROR(AVERAGEIF(従業員の給与情報!$B:$B,$A256,従業員の給与情報!$D:$D)),0,IF(ISERROR(AVERAGEIF(従業員の給与情報!$B:$B,$A256,従業員の給与情報!$D:$D)),0,AVERAGEIF(従業員の給与情報!$B:$B,$A256,従業員の給与情報!$D:$D)))))</f>
        <v/>
      </c>
      <c r="V256" s="102" t="str">
        <f>IF(OR(入力シート!$C$5&lt;&gt;入力リスト!$C$3,COUNTIF(入力シート!$J$16:$S$23,入力リスト!$H$9)=0),"",IF(A256="","",IF(ISERROR(AVERAGEIF(従業員の給与情報!$B:$B,$A256,従業員の給与情報!$E:$E)),0,IF(ISERROR(AVERAGEIF(従業員の給与情報!$B:$B,$A256,従業員の給与情報!$E:$E)),0,AVERAGEIF(従業員の給与情報!$B:$B,$A256,従業員の給与情報!$E:$E)))))</f>
        <v/>
      </c>
      <c r="W256" s="103" t="str">
        <f>IF(OR(入力シート!$C$5&lt;&gt;入力リスト!$C$3,COUNTIF(入力シート!$J$16:$S$23,入力リスト!$H$9)=0),"",IF(A256="","",IF(ISERROR(AVERAGEIF(従業員の給与情報!$B:$B,$A256,従業員の給与情報!$F:$F)),0,IF(ISERROR(AVERAGEIF(従業員の給与情報!$B:$B,$A256,従業員の給与情報!$F:$F)),0,AVERAGEIF(従業員の給与情報!$B:$B,$A256,従業員の給与情報!$F:$F)))))</f>
        <v/>
      </c>
    </row>
    <row r="257" spans="1:23" s="10" customFormat="1">
      <c r="A257" s="253"/>
      <c r="B257" s="246"/>
      <c r="C257" s="247"/>
      <c r="D257" s="246"/>
      <c r="E257" s="246"/>
      <c r="F257" s="257" t="str">
        <f>IF($G$1,"",IF(COUNTIF(A257:E257,"")=5,"",IF(G257,入力リスト!$K$28,IF(OR(A257="",B257="",IF(COUNTIF($C$3,"*不要*"),"",C257=""),D257=""),IF(A257="","従業員番号","")&amp;IF(B257="","「雇用形態」","")&amp;IF(OR(入力シート!$J$18=入力リスト!$H$9,入力シート!$J$22=入力リスト!$H$9),IF(C257="","「入社年月日」",""),"")&amp;IF(D257="","「性別」","")&amp;IF(IF(A257="","従業員番号","")&amp;IF(B257="","「雇用形態」","")&amp;IF(OR(入力シート!$J$18=入力リスト!$H$9,入力シート!$J$22=入力リスト!$H$9),IF(C257="","「入社年月日」",""),"")&amp;IF(D257="","「性別」","")="","",入力リスト!$K$29),IF(J257,入力リスト!$K$30,"")&amp;IF(I257,入力リスト!$K$31,"")&amp;IF(H257,"「雇用形態」","")&amp;IF(K257,"「性別」","")&amp;IF(L257,"「役職」","")&amp;IF(OR(H257,K257,L257),入力リスト!$K$32,"")))))</f>
        <v/>
      </c>
      <c r="G257" s="209" t="b">
        <f>COUNTIF($A$4:A256,$A257)&gt;0</f>
        <v>0</v>
      </c>
      <c r="H257" s="210" t="b">
        <f>IF($H$1,FALSE,COUNTIF(入力シート!$S$37:$V$62,B257)=0)</f>
        <v>0</v>
      </c>
      <c r="I257" s="210" t="b">
        <f t="shared" si="8"/>
        <v>0</v>
      </c>
      <c r="J257" s="210" t="b">
        <f>IF($J$1,FALSE,IF(I257=TRUE,FALSE,IF(I257,FALSE,C257&gt;入力シート!$J$24)))</f>
        <v>0</v>
      </c>
      <c r="K257" s="210" t="b">
        <f>IF($K$1,FALSE,COUNTIF(入力シート!$AW$37:$BB$38,D257)=0)</f>
        <v>0</v>
      </c>
      <c r="L257" s="210" t="b">
        <f>IF($L$1,FALSE,IF($L$3,FALSE,IF(E257="",FALSE,COUNTIF(入力シート!$AH$37:$AK$62,E257)=0)))</f>
        <v>0</v>
      </c>
      <c r="M257" s="211" t="str">
        <f t="shared" si="7"/>
        <v/>
      </c>
      <c r="N257" s="211"/>
      <c r="O257" s="209" t="str">
        <f>IF(B257="","",VLOOKUP('従業員情報(給与以外)'!$B257,入力シート!$S$37:$Z$62,5,0))</f>
        <v/>
      </c>
      <c r="P257" s="156" t="str">
        <f>IF(ISNUMBER(C257)=FALSE,"",IF(C257&gt;入力シート!$J$24,"",_xlfn.DAYS(入力シート!$J$24,'従業員情報(給与以外)'!$C257)/365))</f>
        <v/>
      </c>
      <c r="Q257" s="210" t="str">
        <f>IF(P257="","",VLOOKUP(_xlfn.DAYS(入力シート!$J$24,'従業員情報(給与以外)'!$C257)/365,入力リスト!$K$18:$L$26,2,2))</f>
        <v/>
      </c>
      <c r="R257" s="209" t="str">
        <f>IF(D257="","",VLOOKUP('従業員情報(給与以外)'!$D257,入力シート!$AW$37:$BB$38,4,0))</f>
        <v/>
      </c>
      <c r="S257" s="209" t="str">
        <f>IF(A257="","",IF(E257="","非役職",VLOOKUP('従業員情報(給与以外)'!$E257,入力シート!$AH$37:$AO$62,5,0)))</f>
        <v/>
      </c>
      <c r="T257" s="102" t="str">
        <f>IF(OR(入力シート!$C$5&lt;&gt;入力リスト!$C$3,COUNTIF(入力シート!$J$16:$S$23,入力リスト!$H$9)=0),"",IF($A257="","",IF(ISERROR(AVERAGEIF(従業員の給与情報!$B:$B,$A257,従業員の給与情報!$C:$C)),0,IF(ISERROR(AVERAGEIF(従業員の給与情報!$B:$B,$A257,従業員の給与情報!$C:$C)),0,AVERAGEIF(従業員の給与情報!$B:$B,$A257,従業員の給与情報!$C:$C)))))</f>
        <v/>
      </c>
      <c r="U257" s="102" t="str">
        <f>IF(OR(入力シート!$C$5&lt;&gt;入力リスト!$C$3,COUNTIF(入力シート!$J$16:$S$23,入力リスト!$H$9)=0),"",IF(A257="","",IF(ISERROR(AVERAGEIF(従業員の給与情報!$B:$B,$A257,従業員の給与情報!$D:$D)),0,IF(ISERROR(AVERAGEIF(従業員の給与情報!$B:$B,$A257,従業員の給与情報!$D:$D)),0,AVERAGEIF(従業員の給与情報!$B:$B,$A257,従業員の給与情報!$D:$D)))))</f>
        <v/>
      </c>
      <c r="V257" s="102" t="str">
        <f>IF(OR(入力シート!$C$5&lt;&gt;入力リスト!$C$3,COUNTIF(入力シート!$J$16:$S$23,入力リスト!$H$9)=0),"",IF(A257="","",IF(ISERROR(AVERAGEIF(従業員の給与情報!$B:$B,$A257,従業員の給与情報!$E:$E)),0,IF(ISERROR(AVERAGEIF(従業員の給与情報!$B:$B,$A257,従業員の給与情報!$E:$E)),0,AVERAGEIF(従業員の給与情報!$B:$B,$A257,従業員の給与情報!$E:$E)))))</f>
        <v/>
      </c>
      <c r="W257" s="103" t="str">
        <f>IF(OR(入力シート!$C$5&lt;&gt;入力リスト!$C$3,COUNTIF(入力シート!$J$16:$S$23,入力リスト!$H$9)=0),"",IF(A257="","",IF(ISERROR(AVERAGEIF(従業員の給与情報!$B:$B,$A257,従業員の給与情報!$F:$F)),0,IF(ISERROR(AVERAGEIF(従業員の給与情報!$B:$B,$A257,従業員の給与情報!$F:$F)),0,AVERAGEIF(従業員の給与情報!$B:$B,$A257,従業員の給与情報!$F:$F)))))</f>
        <v/>
      </c>
    </row>
    <row r="258" spans="1:23" s="10" customFormat="1">
      <c r="A258" s="253"/>
      <c r="B258" s="246"/>
      <c r="C258" s="247"/>
      <c r="D258" s="246"/>
      <c r="E258" s="246"/>
      <c r="F258" s="257" t="str">
        <f>IF($G$1,"",IF(COUNTIF(A258:E258,"")=5,"",IF(G258,入力リスト!$K$28,IF(OR(A258="",B258="",IF(COUNTIF($C$3,"*不要*"),"",C258=""),D258=""),IF(A258="","従業員番号","")&amp;IF(B258="","「雇用形態」","")&amp;IF(OR(入力シート!$J$18=入力リスト!$H$9,入力シート!$J$22=入力リスト!$H$9),IF(C258="","「入社年月日」",""),"")&amp;IF(D258="","「性別」","")&amp;IF(IF(A258="","従業員番号","")&amp;IF(B258="","「雇用形態」","")&amp;IF(OR(入力シート!$J$18=入力リスト!$H$9,入力シート!$J$22=入力リスト!$H$9),IF(C258="","「入社年月日」",""),"")&amp;IF(D258="","「性別」","")="","",入力リスト!$K$29),IF(J258,入力リスト!$K$30,"")&amp;IF(I258,入力リスト!$K$31,"")&amp;IF(H258,"「雇用形態」","")&amp;IF(K258,"「性別」","")&amp;IF(L258,"「役職」","")&amp;IF(OR(H258,K258,L258),入力リスト!$K$32,"")))))</f>
        <v/>
      </c>
      <c r="G258" s="209" t="b">
        <f>COUNTIF($A$4:A257,$A258)&gt;0</f>
        <v>0</v>
      </c>
      <c r="H258" s="210" t="b">
        <f>IF($H$1,FALSE,COUNTIF(入力シート!$S$37:$V$62,B258)=0)</f>
        <v>0</v>
      </c>
      <c r="I258" s="210" t="b">
        <f t="shared" si="8"/>
        <v>0</v>
      </c>
      <c r="J258" s="210" t="b">
        <f>IF($J$1,FALSE,IF(I258=TRUE,FALSE,IF(I258,FALSE,C258&gt;入力シート!$J$24)))</f>
        <v>0</v>
      </c>
      <c r="K258" s="210" t="b">
        <f>IF($K$1,FALSE,COUNTIF(入力シート!$AW$37:$BB$38,D258)=0)</f>
        <v>0</v>
      </c>
      <c r="L258" s="210" t="b">
        <f>IF($L$1,FALSE,IF($L$3,FALSE,IF(E258="",FALSE,COUNTIF(入力シート!$AH$37:$AK$62,E258)=0)))</f>
        <v>0</v>
      </c>
      <c r="M258" s="211" t="str">
        <f t="shared" si="7"/>
        <v/>
      </c>
      <c r="N258" s="211"/>
      <c r="O258" s="209" t="str">
        <f>IF(B258="","",VLOOKUP('従業員情報(給与以外)'!$B258,入力シート!$S$37:$Z$62,5,0))</f>
        <v/>
      </c>
      <c r="P258" s="156" t="str">
        <f>IF(ISNUMBER(C258)=FALSE,"",IF(C258&gt;入力シート!$J$24,"",_xlfn.DAYS(入力シート!$J$24,'従業員情報(給与以外)'!$C258)/365))</f>
        <v/>
      </c>
      <c r="Q258" s="210" t="str">
        <f>IF(P258="","",VLOOKUP(_xlfn.DAYS(入力シート!$J$24,'従業員情報(給与以外)'!$C258)/365,入力リスト!$K$18:$L$26,2,2))</f>
        <v/>
      </c>
      <c r="R258" s="209" t="str">
        <f>IF(D258="","",VLOOKUP('従業員情報(給与以外)'!$D258,入力シート!$AW$37:$BB$38,4,0))</f>
        <v/>
      </c>
      <c r="S258" s="209" t="str">
        <f>IF(A258="","",IF(E258="","非役職",VLOOKUP('従業員情報(給与以外)'!$E258,入力シート!$AH$37:$AO$62,5,0)))</f>
        <v/>
      </c>
      <c r="T258" s="102" t="str">
        <f>IF(OR(入力シート!$C$5&lt;&gt;入力リスト!$C$3,COUNTIF(入力シート!$J$16:$S$23,入力リスト!$H$9)=0),"",IF($A258="","",IF(ISERROR(AVERAGEIF(従業員の給与情報!$B:$B,$A258,従業員の給与情報!$C:$C)),0,IF(ISERROR(AVERAGEIF(従業員の給与情報!$B:$B,$A258,従業員の給与情報!$C:$C)),0,AVERAGEIF(従業員の給与情報!$B:$B,$A258,従業員の給与情報!$C:$C)))))</f>
        <v/>
      </c>
      <c r="U258" s="102" t="str">
        <f>IF(OR(入力シート!$C$5&lt;&gt;入力リスト!$C$3,COUNTIF(入力シート!$J$16:$S$23,入力リスト!$H$9)=0),"",IF(A258="","",IF(ISERROR(AVERAGEIF(従業員の給与情報!$B:$B,$A258,従業員の給与情報!$D:$D)),0,IF(ISERROR(AVERAGEIF(従業員の給与情報!$B:$B,$A258,従業員の給与情報!$D:$D)),0,AVERAGEIF(従業員の給与情報!$B:$B,$A258,従業員の給与情報!$D:$D)))))</f>
        <v/>
      </c>
      <c r="V258" s="102" t="str">
        <f>IF(OR(入力シート!$C$5&lt;&gt;入力リスト!$C$3,COUNTIF(入力シート!$J$16:$S$23,入力リスト!$H$9)=0),"",IF(A258="","",IF(ISERROR(AVERAGEIF(従業員の給与情報!$B:$B,$A258,従業員の給与情報!$E:$E)),0,IF(ISERROR(AVERAGEIF(従業員の給与情報!$B:$B,$A258,従業員の給与情報!$E:$E)),0,AVERAGEIF(従業員の給与情報!$B:$B,$A258,従業員の給与情報!$E:$E)))))</f>
        <v/>
      </c>
      <c r="W258" s="103" t="str">
        <f>IF(OR(入力シート!$C$5&lt;&gt;入力リスト!$C$3,COUNTIF(入力シート!$J$16:$S$23,入力リスト!$H$9)=0),"",IF(A258="","",IF(ISERROR(AVERAGEIF(従業員の給与情報!$B:$B,$A258,従業員の給与情報!$F:$F)),0,IF(ISERROR(AVERAGEIF(従業員の給与情報!$B:$B,$A258,従業員の給与情報!$F:$F)),0,AVERAGEIF(従業員の給与情報!$B:$B,$A258,従業員の給与情報!$F:$F)))))</f>
        <v/>
      </c>
    </row>
    <row r="259" spans="1:23" s="10" customFormat="1">
      <c r="A259" s="253"/>
      <c r="B259" s="246"/>
      <c r="C259" s="247"/>
      <c r="D259" s="246"/>
      <c r="E259" s="246"/>
      <c r="F259" s="257" t="str">
        <f>IF($G$1,"",IF(COUNTIF(A259:E259,"")=5,"",IF(G259,入力リスト!$K$28,IF(OR(A259="",B259="",IF(COUNTIF($C$3,"*不要*"),"",C259=""),D259=""),IF(A259="","従業員番号","")&amp;IF(B259="","「雇用形態」","")&amp;IF(OR(入力シート!$J$18=入力リスト!$H$9,入力シート!$J$22=入力リスト!$H$9),IF(C259="","「入社年月日」",""),"")&amp;IF(D259="","「性別」","")&amp;IF(IF(A259="","従業員番号","")&amp;IF(B259="","「雇用形態」","")&amp;IF(OR(入力シート!$J$18=入力リスト!$H$9,入力シート!$J$22=入力リスト!$H$9),IF(C259="","「入社年月日」",""),"")&amp;IF(D259="","「性別」","")="","",入力リスト!$K$29),IF(J259,入力リスト!$K$30,"")&amp;IF(I259,入力リスト!$K$31,"")&amp;IF(H259,"「雇用形態」","")&amp;IF(K259,"「性別」","")&amp;IF(L259,"「役職」","")&amp;IF(OR(H259,K259,L259),入力リスト!$K$32,"")))))</f>
        <v/>
      </c>
      <c r="G259" s="209" t="b">
        <f>COUNTIF($A$4:A258,$A259)&gt;0</f>
        <v>0</v>
      </c>
      <c r="H259" s="210" t="b">
        <f>IF($H$1,FALSE,COUNTIF(入力シート!$S$37:$V$62,B259)=0)</f>
        <v>0</v>
      </c>
      <c r="I259" s="210" t="b">
        <f t="shared" si="8"/>
        <v>0</v>
      </c>
      <c r="J259" s="210" t="b">
        <f>IF($J$1,FALSE,IF(I259=TRUE,FALSE,IF(I259,FALSE,C259&gt;入力シート!$J$24)))</f>
        <v>0</v>
      </c>
      <c r="K259" s="210" t="b">
        <f>IF($K$1,FALSE,COUNTIF(入力シート!$AW$37:$BB$38,D259)=0)</f>
        <v>0</v>
      </c>
      <c r="L259" s="210" t="b">
        <f>IF($L$1,FALSE,IF($L$3,FALSE,IF(E259="",FALSE,COUNTIF(入力シート!$AH$37:$AK$62,E259)=0)))</f>
        <v>0</v>
      </c>
      <c r="M259" s="211" t="str">
        <f t="shared" si="7"/>
        <v/>
      </c>
      <c r="N259" s="211"/>
      <c r="O259" s="209" t="str">
        <f>IF(B259="","",VLOOKUP('従業員情報(給与以外)'!$B259,入力シート!$S$37:$Z$62,5,0))</f>
        <v/>
      </c>
      <c r="P259" s="156" t="str">
        <f>IF(ISNUMBER(C259)=FALSE,"",IF(C259&gt;入力シート!$J$24,"",_xlfn.DAYS(入力シート!$J$24,'従業員情報(給与以外)'!$C259)/365))</f>
        <v/>
      </c>
      <c r="Q259" s="210" t="str">
        <f>IF(P259="","",VLOOKUP(_xlfn.DAYS(入力シート!$J$24,'従業員情報(給与以外)'!$C259)/365,入力リスト!$K$18:$L$26,2,2))</f>
        <v/>
      </c>
      <c r="R259" s="209" t="str">
        <f>IF(D259="","",VLOOKUP('従業員情報(給与以外)'!$D259,入力シート!$AW$37:$BB$38,4,0))</f>
        <v/>
      </c>
      <c r="S259" s="209" t="str">
        <f>IF(A259="","",IF(E259="","非役職",VLOOKUP('従業員情報(給与以外)'!$E259,入力シート!$AH$37:$AO$62,5,0)))</f>
        <v/>
      </c>
      <c r="T259" s="102" t="str">
        <f>IF(OR(入力シート!$C$5&lt;&gt;入力リスト!$C$3,COUNTIF(入力シート!$J$16:$S$23,入力リスト!$H$9)=0),"",IF($A259="","",IF(ISERROR(AVERAGEIF(従業員の給与情報!$B:$B,$A259,従業員の給与情報!$C:$C)),0,IF(ISERROR(AVERAGEIF(従業員の給与情報!$B:$B,$A259,従業員の給与情報!$C:$C)),0,AVERAGEIF(従業員の給与情報!$B:$B,$A259,従業員の給与情報!$C:$C)))))</f>
        <v/>
      </c>
      <c r="U259" s="102" t="str">
        <f>IF(OR(入力シート!$C$5&lt;&gt;入力リスト!$C$3,COUNTIF(入力シート!$J$16:$S$23,入力リスト!$H$9)=0),"",IF(A259="","",IF(ISERROR(AVERAGEIF(従業員の給与情報!$B:$B,$A259,従業員の給与情報!$D:$D)),0,IF(ISERROR(AVERAGEIF(従業員の給与情報!$B:$B,$A259,従業員の給与情報!$D:$D)),0,AVERAGEIF(従業員の給与情報!$B:$B,$A259,従業員の給与情報!$D:$D)))))</f>
        <v/>
      </c>
      <c r="V259" s="102" t="str">
        <f>IF(OR(入力シート!$C$5&lt;&gt;入力リスト!$C$3,COUNTIF(入力シート!$J$16:$S$23,入力リスト!$H$9)=0),"",IF(A259="","",IF(ISERROR(AVERAGEIF(従業員の給与情報!$B:$B,$A259,従業員の給与情報!$E:$E)),0,IF(ISERROR(AVERAGEIF(従業員の給与情報!$B:$B,$A259,従業員の給与情報!$E:$E)),0,AVERAGEIF(従業員の給与情報!$B:$B,$A259,従業員の給与情報!$E:$E)))))</f>
        <v/>
      </c>
      <c r="W259" s="103" t="str">
        <f>IF(OR(入力シート!$C$5&lt;&gt;入力リスト!$C$3,COUNTIF(入力シート!$J$16:$S$23,入力リスト!$H$9)=0),"",IF(A259="","",IF(ISERROR(AVERAGEIF(従業員の給与情報!$B:$B,$A259,従業員の給与情報!$F:$F)),0,IF(ISERROR(AVERAGEIF(従業員の給与情報!$B:$B,$A259,従業員の給与情報!$F:$F)),0,AVERAGEIF(従業員の給与情報!$B:$B,$A259,従業員の給与情報!$F:$F)))))</f>
        <v/>
      </c>
    </row>
    <row r="260" spans="1:23" s="10" customFormat="1">
      <c r="A260" s="253"/>
      <c r="B260" s="246"/>
      <c r="C260" s="247"/>
      <c r="D260" s="246"/>
      <c r="E260" s="246"/>
      <c r="F260" s="257" t="str">
        <f>IF($G$1,"",IF(COUNTIF(A260:E260,"")=5,"",IF(G260,入力リスト!$K$28,IF(OR(A260="",B260="",IF(COUNTIF($C$3,"*不要*"),"",C260=""),D260=""),IF(A260="","従業員番号","")&amp;IF(B260="","「雇用形態」","")&amp;IF(OR(入力シート!$J$18=入力リスト!$H$9,入力シート!$J$22=入力リスト!$H$9),IF(C260="","「入社年月日」",""),"")&amp;IF(D260="","「性別」","")&amp;IF(IF(A260="","従業員番号","")&amp;IF(B260="","「雇用形態」","")&amp;IF(OR(入力シート!$J$18=入力リスト!$H$9,入力シート!$J$22=入力リスト!$H$9),IF(C260="","「入社年月日」",""),"")&amp;IF(D260="","「性別」","")="","",入力リスト!$K$29),IF(J260,入力リスト!$K$30,"")&amp;IF(I260,入力リスト!$K$31,"")&amp;IF(H260,"「雇用形態」","")&amp;IF(K260,"「性別」","")&amp;IF(L260,"「役職」","")&amp;IF(OR(H260,K260,L260),入力リスト!$K$32,"")))))</f>
        <v/>
      </c>
      <c r="G260" s="209" t="b">
        <f>COUNTIF($A$4:A259,$A260)&gt;0</f>
        <v>0</v>
      </c>
      <c r="H260" s="210" t="b">
        <f>IF($H$1,FALSE,COUNTIF(入力シート!$S$37:$V$62,B260)=0)</f>
        <v>0</v>
      </c>
      <c r="I260" s="210" t="b">
        <f t="shared" si="8"/>
        <v>0</v>
      </c>
      <c r="J260" s="210" t="b">
        <f>IF($J$1,FALSE,IF(I260=TRUE,FALSE,IF(I260,FALSE,C260&gt;入力シート!$J$24)))</f>
        <v>0</v>
      </c>
      <c r="K260" s="210" t="b">
        <f>IF($K$1,FALSE,COUNTIF(入力シート!$AW$37:$BB$38,D260)=0)</f>
        <v>0</v>
      </c>
      <c r="L260" s="210" t="b">
        <f>IF($L$1,FALSE,IF($L$3,FALSE,IF(E260="",FALSE,COUNTIF(入力シート!$AH$37:$AK$62,E260)=0)))</f>
        <v>0</v>
      </c>
      <c r="M260" s="211" t="str">
        <f t="shared" si="7"/>
        <v/>
      </c>
      <c r="N260" s="211"/>
      <c r="O260" s="209" t="str">
        <f>IF(B260="","",VLOOKUP('従業員情報(給与以外)'!$B260,入力シート!$S$37:$Z$62,5,0))</f>
        <v/>
      </c>
      <c r="P260" s="156" t="str">
        <f>IF(ISNUMBER(C260)=FALSE,"",IF(C260&gt;入力シート!$J$24,"",_xlfn.DAYS(入力シート!$J$24,'従業員情報(給与以外)'!$C260)/365))</f>
        <v/>
      </c>
      <c r="Q260" s="210" t="str">
        <f>IF(P260="","",VLOOKUP(_xlfn.DAYS(入力シート!$J$24,'従業員情報(給与以外)'!$C260)/365,入力リスト!$K$18:$L$26,2,2))</f>
        <v/>
      </c>
      <c r="R260" s="209" t="str">
        <f>IF(D260="","",VLOOKUP('従業員情報(給与以外)'!$D260,入力シート!$AW$37:$BB$38,4,0))</f>
        <v/>
      </c>
      <c r="S260" s="209" t="str">
        <f>IF(A260="","",IF(E260="","非役職",VLOOKUP('従業員情報(給与以外)'!$E260,入力シート!$AH$37:$AO$62,5,0)))</f>
        <v/>
      </c>
      <c r="T260" s="102" t="str">
        <f>IF(OR(入力シート!$C$5&lt;&gt;入力リスト!$C$3,COUNTIF(入力シート!$J$16:$S$23,入力リスト!$H$9)=0),"",IF($A260="","",IF(ISERROR(AVERAGEIF(従業員の給与情報!$B:$B,$A260,従業員の給与情報!$C:$C)),0,IF(ISERROR(AVERAGEIF(従業員の給与情報!$B:$B,$A260,従業員の給与情報!$C:$C)),0,AVERAGEIF(従業員の給与情報!$B:$B,$A260,従業員の給与情報!$C:$C)))))</f>
        <v/>
      </c>
      <c r="U260" s="102" t="str">
        <f>IF(OR(入力シート!$C$5&lt;&gt;入力リスト!$C$3,COUNTIF(入力シート!$J$16:$S$23,入力リスト!$H$9)=0),"",IF(A260="","",IF(ISERROR(AVERAGEIF(従業員の給与情報!$B:$B,$A260,従業員の給与情報!$D:$D)),0,IF(ISERROR(AVERAGEIF(従業員の給与情報!$B:$B,$A260,従業員の給与情報!$D:$D)),0,AVERAGEIF(従業員の給与情報!$B:$B,$A260,従業員の給与情報!$D:$D)))))</f>
        <v/>
      </c>
      <c r="V260" s="102" t="str">
        <f>IF(OR(入力シート!$C$5&lt;&gt;入力リスト!$C$3,COUNTIF(入力シート!$J$16:$S$23,入力リスト!$H$9)=0),"",IF(A260="","",IF(ISERROR(AVERAGEIF(従業員の給与情報!$B:$B,$A260,従業員の給与情報!$E:$E)),0,IF(ISERROR(AVERAGEIF(従業員の給与情報!$B:$B,$A260,従業員の給与情報!$E:$E)),0,AVERAGEIF(従業員の給与情報!$B:$B,$A260,従業員の給与情報!$E:$E)))))</f>
        <v/>
      </c>
      <c r="W260" s="103" t="str">
        <f>IF(OR(入力シート!$C$5&lt;&gt;入力リスト!$C$3,COUNTIF(入力シート!$J$16:$S$23,入力リスト!$H$9)=0),"",IF(A260="","",IF(ISERROR(AVERAGEIF(従業員の給与情報!$B:$B,$A260,従業員の給与情報!$F:$F)),0,IF(ISERROR(AVERAGEIF(従業員の給与情報!$B:$B,$A260,従業員の給与情報!$F:$F)),0,AVERAGEIF(従業員の給与情報!$B:$B,$A260,従業員の給与情報!$F:$F)))))</f>
        <v/>
      </c>
    </row>
    <row r="261" spans="1:23" s="10" customFormat="1">
      <c r="A261" s="253"/>
      <c r="B261" s="246"/>
      <c r="C261" s="247"/>
      <c r="D261" s="246"/>
      <c r="E261" s="246"/>
      <c r="F261" s="257" t="str">
        <f>IF($G$1,"",IF(COUNTIF(A261:E261,"")=5,"",IF(G261,入力リスト!$K$28,IF(OR(A261="",B261="",IF(COUNTIF($C$3,"*不要*"),"",C261=""),D261=""),IF(A261="","従業員番号","")&amp;IF(B261="","「雇用形態」","")&amp;IF(OR(入力シート!$J$18=入力リスト!$H$9,入力シート!$J$22=入力リスト!$H$9),IF(C261="","「入社年月日」",""),"")&amp;IF(D261="","「性別」","")&amp;IF(IF(A261="","従業員番号","")&amp;IF(B261="","「雇用形態」","")&amp;IF(OR(入力シート!$J$18=入力リスト!$H$9,入力シート!$J$22=入力リスト!$H$9),IF(C261="","「入社年月日」",""),"")&amp;IF(D261="","「性別」","")="","",入力リスト!$K$29),IF(J261,入力リスト!$K$30,"")&amp;IF(I261,入力リスト!$K$31,"")&amp;IF(H261,"「雇用形態」","")&amp;IF(K261,"「性別」","")&amp;IF(L261,"「役職」","")&amp;IF(OR(H261,K261,L261),入力リスト!$K$32,"")))))</f>
        <v/>
      </c>
      <c r="G261" s="209" t="b">
        <f>COUNTIF($A$4:A260,$A261)&gt;0</f>
        <v>0</v>
      </c>
      <c r="H261" s="210" t="b">
        <f>IF($H$1,FALSE,COUNTIF(入力シート!$S$37:$V$62,B261)=0)</f>
        <v>0</v>
      </c>
      <c r="I261" s="210" t="b">
        <f t="shared" si="8"/>
        <v>0</v>
      </c>
      <c r="J261" s="210" t="b">
        <f>IF($J$1,FALSE,IF(I261=TRUE,FALSE,IF(I261,FALSE,C261&gt;入力シート!$J$24)))</f>
        <v>0</v>
      </c>
      <c r="K261" s="210" t="b">
        <f>IF($K$1,FALSE,COUNTIF(入力シート!$AW$37:$BB$38,D261)=0)</f>
        <v>0</v>
      </c>
      <c r="L261" s="210" t="b">
        <f>IF($L$1,FALSE,IF($L$3,FALSE,IF(E261="",FALSE,COUNTIF(入力シート!$AH$37:$AK$62,E261)=0)))</f>
        <v>0</v>
      </c>
      <c r="M261" s="211" t="str">
        <f t="shared" ref="M261:M323" si="9">IF(COUNTIF(F261,"*入社年月日に数値以外*"),"※1900/0/0以前は数値として認識されません。","")</f>
        <v/>
      </c>
      <c r="N261" s="211"/>
      <c r="O261" s="209" t="str">
        <f>IF(B261="","",VLOOKUP('従業員情報(給与以外)'!$B261,入力シート!$S$37:$Z$62,5,0))</f>
        <v/>
      </c>
      <c r="P261" s="156" t="str">
        <f>IF(ISNUMBER(C261)=FALSE,"",IF(C261&gt;入力シート!$J$24,"",_xlfn.DAYS(入力シート!$J$24,'従業員情報(給与以外)'!$C261)/365))</f>
        <v/>
      </c>
      <c r="Q261" s="210" t="str">
        <f>IF(P261="","",VLOOKUP(_xlfn.DAYS(入力シート!$J$24,'従業員情報(給与以外)'!$C261)/365,入力リスト!$K$18:$L$26,2,2))</f>
        <v/>
      </c>
      <c r="R261" s="209" t="str">
        <f>IF(D261="","",VLOOKUP('従業員情報(給与以外)'!$D261,入力シート!$AW$37:$BB$38,4,0))</f>
        <v/>
      </c>
      <c r="S261" s="209" t="str">
        <f>IF(A261="","",IF(E261="","非役職",VLOOKUP('従業員情報(給与以外)'!$E261,入力シート!$AH$37:$AO$62,5,0)))</f>
        <v/>
      </c>
      <c r="T261" s="102" t="str">
        <f>IF(OR(入力シート!$C$5&lt;&gt;入力リスト!$C$3,COUNTIF(入力シート!$J$16:$S$23,入力リスト!$H$9)=0),"",IF($A261="","",IF(ISERROR(AVERAGEIF(従業員の給与情報!$B:$B,$A261,従業員の給与情報!$C:$C)),0,IF(ISERROR(AVERAGEIF(従業員の給与情報!$B:$B,$A261,従業員の給与情報!$C:$C)),0,AVERAGEIF(従業員の給与情報!$B:$B,$A261,従業員の給与情報!$C:$C)))))</f>
        <v/>
      </c>
      <c r="U261" s="102" t="str">
        <f>IF(OR(入力シート!$C$5&lt;&gt;入力リスト!$C$3,COUNTIF(入力シート!$J$16:$S$23,入力リスト!$H$9)=0),"",IF(A261="","",IF(ISERROR(AVERAGEIF(従業員の給与情報!$B:$B,$A261,従業員の給与情報!$D:$D)),0,IF(ISERROR(AVERAGEIF(従業員の給与情報!$B:$B,$A261,従業員の給与情報!$D:$D)),0,AVERAGEIF(従業員の給与情報!$B:$B,$A261,従業員の給与情報!$D:$D)))))</f>
        <v/>
      </c>
      <c r="V261" s="102" t="str">
        <f>IF(OR(入力シート!$C$5&lt;&gt;入力リスト!$C$3,COUNTIF(入力シート!$J$16:$S$23,入力リスト!$H$9)=0),"",IF(A261="","",IF(ISERROR(AVERAGEIF(従業員の給与情報!$B:$B,$A261,従業員の給与情報!$E:$E)),0,IF(ISERROR(AVERAGEIF(従業員の給与情報!$B:$B,$A261,従業員の給与情報!$E:$E)),0,AVERAGEIF(従業員の給与情報!$B:$B,$A261,従業員の給与情報!$E:$E)))))</f>
        <v/>
      </c>
      <c r="W261" s="103" t="str">
        <f>IF(OR(入力シート!$C$5&lt;&gt;入力リスト!$C$3,COUNTIF(入力シート!$J$16:$S$23,入力リスト!$H$9)=0),"",IF(A261="","",IF(ISERROR(AVERAGEIF(従業員の給与情報!$B:$B,$A261,従業員の給与情報!$F:$F)),0,IF(ISERROR(AVERAGEIF(従業員の給与情報!$B:$B,$A261,従業員の給与情報!$F:$F)),0,AVERAGEIF(従業員の給与情報!$B:$B,$A261,従業員の給与情報!$F:$F)))))</f>
        <v/>
      </c>
    </row>
    <row r="262" spans="1:23" s="10" customFormat="1">
      <c r="A262" s="253"/>
      <c r="B262" s="246"/>
      <c r="C262" s="247"/>
      <c r="D262" s="246"/>
      <c r="E262" s="246"/>
      <c r="F262" s="257" t="str">
        <f>IF($G$1,"",IF(COUNTIF(A262:E262,"")=5,"",IF(G262,入力リスト!$K$28,IF(OR(A262="",B262="",IF(COUNTIF($C$3,"*不要*"),"",C262=""),D262=""),IF(A262="","従業員番号","")&amp;IF(B262="","「雇用形態」","")&amp;IF(OR(入力シート!$J$18=入力リスト!$H$9,入力シート!$J$22=入力リスト!$H$9),IF(C262="","「入社年月日」",""),"")&amp;IF(D262="","「性別」","")&amp;IF(IF(A262="","従業員番号","")&amp;IF(B262="","「雇用形態」","")&amp;IF(OR(入力シート!$J$18=入力リスト!$H$9,入力シート!$J$22=入力リスト!$H$9),IF(C262="","「入社年月日」",""),"")&amp;IF(D262="","「性別」","")="","",入力リスト!$K$29),IF(J262,入力リスト!$K$30,"")&amp;IF(I262,入力リスト!$K$31,"")&amp;IF(H262,"「雇用形態」","")&amp;IF(K262,"「性別」","")&amp;IF(L262,"「役職」","")&amp;IF(OR(H262,K262,L262),入力リスト!$K$32,"")))))</f>
        <v/>
      </c>
      <c r="G262" s="209" t="b">
        <f>COUNTIF($A$4:A261,$A262)&gt;0</f>
        <v>0</v>
      </c>
      <c r="H262" s="210" t="b">
        <f>IF($H$1,FALSE,COUNTIF(入力シート!$S$37:$V$62,B262)=0)</f>
        <v>0</v>
      </c>
      <c r="I262" s="210" t="b">
        <f t="shared" ref="I262:I325" si="10">IF($I$1,IF(ISNUMBER(C262),FALSE,TRUE),FALSE)</f>
        <v>0</v>
      </c>
      <c r="J262" s="210" t="b">
        <f>IF($J$1,FALSE,IF(I262=TRUE,FALSE,IF(I262,FALSE,C262&gt;入力シート!$J$24)))</f>
        <v>0</v>
      </c>
      <c r="K262" s="210" t="b">
        <f>IF($K$1,FALSE,COUNTIF(入力シート!$AW$37:$BB$38,D262)=0)</f>
        <v>0</v>
      </c>
      <c r="L262" s="210" t="b">
        <f>IF($L$1,FALSE,IF($L$3,FALSE,IF(E262="",FALSE,COUNTIF(入力シート!$AH$37:$AK$62,E262)=0)))</f>
        <v>0</v>
      </c>
      <c r="M262" s="211" t="str">
        <f t="shared" si="9"/>
        <v/>
      </c>
      <c r="N262" s="211"/>
      <c r="O262" s="209" t="str">
        <f>IF(B262="","",VLOOKUP('従業員情報(給与以外)'!$B262,入力シート!$S$37:$Z$62,5,0))</f>
        <v/>
      </c>
      <c r="P262" s="156" t="str">
        <f>IF(ISNUMBER(C262)=FALSE,"",IF(C262&gt;入力シート!$J$24,"",_xlfn.DAYS(入力シート!$J$24,'従業員情報(給与以外)'!$C262)/365))</f>
        <v/>
      </c>
      <c r="Q262" s="210" t="str">
        <f>IF(P262="","",VLOOKUP(_xlfn.DAYS(入力シート!$J$24,'従業員情報(給与以外)'!$C262)/365,入力リスト!$K$18:$L$26,2,2))</f>
        <v/>
      </c>
      <c r="R262" s="209" t="str">
        <f>IF(D262="","",VLOOKUP('従業員情報(給与以外)'!$D262,入力シート!$AW$37:$BB$38,4,0))</f>
        <v/>
      </c>
      <c r="S262" s="209" t="str">
        <f>IF(A262="","",IF(E262="","非役職",VLOOKUP('従業員情報(給与以外)'!$E262,入力シート!$AH$37:$AO$62,5,0)))</f>
        <v/>
      </c>
      <c r="T262" s="102" t="str">
        <f>IF(OR(入力シート!$C$5&lt;&gt;入力リスト!$C$3,COUNTIF(入力シート!$J$16:$S$23,入力リスト!$H$9)=0),"",IF($A262="","",IF(ISERROR(AVERAGEIF(従業員の給与情報!$B:$B,$A262,従業員の給与情報!$C:$C)),0,IF(ISERROR(AVERAGEIF(従業員の給与情報!$B:$B,$A262,従業員の給与情報!$C:$C)),0,AVERAGEIF(従業員の給与情報!$B:$B,$A262,従業員の給与情報!$C:$C)))))</f>
        <v/>
      </c>
      <c r="U262" s="102" t="str">
        <f>IF(OR(入力シート!$C$5&lt;&gt;入力リスト!$C$3,COUNTIF(入力シート!$J$16:$S$23,入力リスト!$H$9)=0),"",IF(A262="","",IF(ISERROR(AVERAGEIF(従業員の給与情報!$B:$B,$A262,従業員の給与情報!$D:$D)),0,IF(ISERROR(AVERAGEIF(従業員の給与情報!$B:$B,$A262,従業員の給与情報!$D:$D)),0,AVERAGEIF(従業員の給与情報!$B:$B,$A262,従業員の給与情報!$D:$D)))))</f>
        <v/>
      </c>
      <c r="V262" s="102" t="str">
        <f>IF(OR(入力シート!$C$5&lt;&gt;入力リスト!$C$3,COUNTIF(入力シート!$J$16:$S$23,入力リスト!$H$9)=0),"",IF(A262="","",IF(ISERROR(AVERAGEIF(従業員の給与情報!$B:$B,$A262,従業員の給与情報!$E:$E)),0,IF(ISERROR(AVERAGEIF(従業員の給与情報!$B:$B,$A262,従業員の給与情報!$E:$E)),0,AVERAGEIF(従業員の給与情報!$B:$B,$A262,従業員の給与情報!$E:$E)))))</f>
        <v/>
      </c>
      <c r="W262" s="103" t="str">
        <f>IF(OR(入力シート!$C$5&lt;&gt;入力リスト!$C$3,COUNTIF(入力シート!$J$16:$S$23,入力リスト!$H$9)=0),"",IF(A262="","",IF(ISERROR(AVERAGEIF(従業員の給与情報!$B:$B,$A262,従業員の給与情報!$F:$F)),0,IF(ISERROR(AVERAGEIF(従業員の給与情報!$B:$B,$A262,従業員の給与情報!$F:$F)),0,AVERAGEIF(従業員の給与情報!$B:$B,$A262,従業員の給与情報!$F:$F)))))</f>
        <v/>
      </c>
    </row>
    <row r="263" spans="1:23" s="10" customFormat="1">
      <c r="A263" s="253"/>
      <c r="B263" s="246"/>
      <c r="C263" s="247"/>
      <c r="D263" s="246"/>
      <c r="E263" s="246"/>
      <c r="F263" s="257" t="str">
        <f>IF($G$1,"",IF(COUNTIF(A263:E263,"")=5,"",IF(G263,入力リスト!$K$28,IF(OR(A263="",B263="",IF(COUNTIF($C$3,"*不要*"),"",C263=""),D263=""),IF(A263="","従業員番号","")&amp;IF(B263="","「雇用形態」","")&amp;IF(OR(入力シート!$J$18=入力リスト!$H$9,入力シート!$J$22=入力リスト!$H$9),IF(C263="","「入社年月日」",""),"")&amp;IF(D263="","「性別」","")&amp;IF(IF(A263="","従業員番号","")&amp;IF(B263="","「雇用形態」","")&amp;IF(OR(入力シート!$J$18=入力リスト!$H$9,入力シート!$J$22=入力リスト!$H$9),IF(C263="","「入社年月日」",""),"")&amp;IF(D263="","「性別」","")="","",入力リスト!$K$29),IF(J263,入力リスト!$K$30,"")&amp;IF(I263,入力リスト!$K$31,"")&amp;IF(H263,"「雇用形態」","")&amp;IF(K263,"「性別」","")&amp;IF(L263,"「役職」","")&amp;IF(OR(H263,K263,L263),入力リスト!$K$32,"")))))</f>
        <v/>
      </c>
      <c r="G263" s="209" t="b">
        <f>COUNTIF($A$4:A262,$A263)&gt;0</f>
        <v>0</v>
      </c>
      <c r="H263" s="210" t="b">
        <f>IF($H$1,FALSE,COUNTIF(入力シート!$S$37:$V$62,B263)=0)</f>
        <v>0</v>
      </c>
      <c r="I263" s="210" t="b">
        <f t="shared" si="10"/>
        <v>0</v>
      </c>
      <c r="J263" s="210" t="b">
        <f>IF($J$1,FALSE,IF(I263=TRUE,FALSE,IF(I263,FALSE,C263&gt;入力シート!$J$24)))</f>
        <v>0</v>
      </c>
      <c r="K263" s="210" t="b">
        <f>IF($K$1,FALSE,COUNTIF(入力シート!$AW$37:$BB$38,D263)=0)</f>
        <v>0</v>
      </c>
      <c r="L263" s="210" t="b">
        <f>IF($L$1,FALSE,IF($L$3,FALSE,IF(E263="",FALSE,COUNTIF(入力シート!$AH$37:$AK$62,E263)=0)))</f>
        <v>0</v>
      </c>
      <c r="M263" s="211" t="str">
        <f t="shared" si="9"/>
        <v/>
      </c>
      <c r="N263" s="211"/>
      <c r="O263" s="209" t="str">
        <f>IF(B263="","",VLOOKUP('従業員情報(給与以外)'!$B263,入力シート!$S$37:$Z$62,5,0))</f>
        <v/>
      </c>
      <c r="P263" s="156" t="str">
        <f>IF(ISNUMBER(C263)=FALSE,"",IF(C263&gt;入力シート!$J$24,"",_xlfn.DAYS(入力シート!$J$24,'従業員情報(給与以外)'!$C263)/365))</f>
        <v/>
      </c>
      <c r="Q263" s="210" t="str">
        <f>IF(P263="","",VLOOKUP(_xlfn.DAYS(入力シート!$J$24,'従業員情報(給与以外)'!$C263)/365,入力リスト!$K$18:$L$26,2,2))</f>
        <v/>
      </c>
      <c r="R263" s="209" t="str">
        <f>IF(D263="","",VLOOKUP('従業員情報(給与以外)'!$D263,入力シート!$AW$37:$BB$38,4,0))</f>
        <v/>
      </c>
      <c r="S263" s="209" t="str">
        <f>IF(A263="","",IF(E263="","非役職",VLOOKUP('従業員情報(給与以外)'!$E263,入力シート!$AH$37:$AO$62,5,0)))</f>
        <v/>
      </c>
      <c r="T263" s="102" t="str">
        <f>IF(OR(入力シート!$C$5&lt;&gt;入力リスト!$C$3,COUNTIF(入力シート!$J$16:$S$23,入力リスト!$H$9)=0),"",IF($A263="","",IF(ISERROR(AVERAGEIF(従業員の給与情報!$B:$B,$A263,従業員の給与情報!$C:$C)),0,IF(ISERROR(AVERAGEIF(従業員の給与情報!$B:$B,$A263,従業員の給与情報!$C:$C)),0,AVERAGEIF(従業員の給与情報!$B:$B,$A263,従業員の給与情報!$C:$C)))))</f>
        <v/>
      </c>
      <c r="U263" s="102" t="str">
        <f>IF(OR(入力シート!$C$5&lt;&gt;入力リスト!$C$3,COUNTIF(入力シート!$J$16:$S$23,入力リスト!$H$9)=0),"",IF(A263="","",IF(ISERROR(AVERAGEIF(従業員の給与情報!$B:$B,$A263,従業員の給与情報!$D:$D)),0,IF(ISERROR(AVERAGEIF(従業員の給与情報!$B:$B,$A263,従業員の給与情報!$D:$D)),0,AVERAGEIF(従業員の給与情報!$B:$B,$A263,従業員の給与情報!$D:$D)))))</f>
        <v/>
      </c>
      <c r="V263" s="102" t="str">
        <f>IF(OR(入力シート!$C$5&lt;&gt;入力リスト!$C$3,COUNTIF(入力シート!$J$16:$S$23,入力リスト!$H$9)=0),"",IF(A263="","",IF(ISERROR(AVERAGEIF(従業員の給与情報!$B:$B,$A263,従業員の給与情報!$E:$E)),0,IF(ISERROR(AVERAGEIF(従業員の給与情報!$B:$B,$A263,従業員の給与情報!$E:$E)),0,AVERAGEIF(従業員の給与情報!$B:$B,$A263,従業員の給与情報!$E:$E)))))</f>
        <v/>
      </c>
      <c r="W263" s="103" t="str">
        <f>IF(OR(入力シート!$C$5&lt;&gt;入力リスト!$C$3,COUNTIF(入力シート!$J$16:$S$23,入力リスト!$H$9)=0),"",IF(A263="","",IF(ISERROR(AVERAGEIF(従業員の給与情報!$B:$B,$A263,従業員の給与情報!$F:$F)),0,IF(ISERROR(AVERAGEIF(従業員の給与情報!$B:$B,$A263,従業員の給与情報!$F:$F)),0,AVERAGEIF(従業員の給与情報!$B:$B,$A263,従業員の給与情報!$F:$F)))))</f>
        <v/>
      </c>
    </row>
    <row r="264" spans="1:23" s="10" customFormat="1">
      <c r="A264" s="253"/>
      <c r="B264" s="246"/>
      <c r="C264" s="247"/>
      <c r="D264" s="246"/>
      <c r="E264" s="246"/>
      <c r="F264" s="257" t="str">
        <f>IF($G$1,"",IF(COUNTIF(A264:E264,"")=5,"",IF(G264,入力リスト!$K$28,IF(OR(A264="",B264="",IF(COUNTIF($C$3,"*不要*"),"",C264=""),D264=""),IF(A264="","従業員番号","")&amp;IF(B264="","「雇用形態」","")&amp;IF(OR(入力シート!$J$18=入力リスト!$H$9,入力シート!$J$22=入力リスト!$H$9),IF(C264="","「入社年月日」",""),"")&amp;IF(D264="","「性別」","")&amp;IF(IF(A264="","従業員番号","")&amp;IF(B264="","「雇用形態」","")&amp;IF(OR(入力シート!$J$18=入力リスト!$H$9,入力シート!$J$22=入力リスト!$H$9),IF(C264="","「入社年月日」",""),"")&amp;IF(D264="","「性別」","")="","",入力リスト!$K$29),IF(J264,入力リスト!$K$30,"")&amp;IF(I264,入力リスト!$K$31,"")&amp;IF(H264,"「雇用形態」","")&amp;IF(K264,"「性別」","")&amp;IF(L264,"「役職」","")&amp;IF(OR(H264,K264,L264),入力リスト!$K$32,"")))))</f>
        <v/>
      </c>
      <c r="G264" s="209" t="b">
        <f>COUNTIF($A$4:A263,$A264)&gt;0</f>
        <v>0</v>
      </c>
      <c r="H264" s="210" t="b">
        <f>IF($H$1,FALSE,COUNTIF(入力シート!$S$37:$V$62,B264)=0)</f>
        <v>0</v>
      </c>
      <c r="I264" s="210" t="b">
        <f t="shared" si="10"/>
        <v>0</v>
      </c>
      <c r="J264" s="210" t="b">
        <f>IF($J$1,FALSE,IF(I264=TRUE,FALSE,IF(I264,FALSE,C264&gt;入力シート!$J$24)))</f>
        <v>0</v>
      </c>
      <c r="K264" s="210" t="b">
        <f>IF($K$1,FALSE,COUNTIF(入力シート!$AW$37:$BB$38,D264)=0)</f>
        <v>0</v>
      </c>
      <c r="L264" s="210" t="b">
        <f>IF($L$1,FALSE,IF($L$3,FALSE,IF(E264="",FALSE,COUNTIF(入力シート!$AH$37:$AK$62,E264)=0)))</f>
        <v>0</v>
      </c>
      <c r="M264" s="211" t="str">
        <f t="shared" si="9"/>
        <v/>
      </c>
      <c r="N264" s="211"/>
      <c r="O264" s="209" t="str">
        <f>IF(B264="","",VLOOKUP('従業員情報(給与以外)'!$B264,入力シート!$S$37:$Z$62,5,0))</f>
        <v/>
      </c>
      <c r="P264" s="156" t="str">
        <f>IF(ISNUMBER(C264)=FALSE,"",IF(C264&gt;入力シート!$J$24,"",_xlfn.DAYS(入力シート!$J$24,'従業員情報(給与以外)'!$C264)/365))</f>
        <v/>
      </c>
      <c r="Q264" s="210" t="str">
        <f>IF(P264="","",VLOOKUP(_xlfn.DAYS(入力シート!$J$24,'従業員情報(給与以外)'!$C264)/365,入力リスト!$K$18:$L$26,2,2))</f>
        <v/>
      </c>
      <c r="R264" s="209" t="str">
        <f>IF(D264="","",VLOOKUP('従業員情報(給与以外)'!$D264,入力シート!$AW$37:$BB$38,4,0))</f>
        <v/>
      </c>
      <c r="S264" s="209" t="str">
        <f>IF(A264="","",IF(E264="","非役職",VLOOKUP('従業員情報(給与以外)'!$E264,入力シート!$AH$37:$AO$62,5,0)))</f>
        <v/>
      </c>
      <c r="T264" s="102" t="str">
        <f>IF(OR(入力シート!$C$5&lt;&gt;入力リスト!$C$3,COUNTIF(入力シート!$J$16:$S$23,入力リスト!$H$9)=0),"",IF($A264="","",IF(ISERROR(AVERAGEIF(従業員の給与情報!$B:$B,$A264,従業員の給与情報!$C:$C)),0,IF(ISERROR(AVERAGEIF(従業員の給与情報!$B:$B,$A264,従業員の給与情報!$C:$C)),0,AVERAGEIF(従業員の給与情報!$B:$B,$A264,従業員の給与情報!$C:$C)))))</f>
        <v/>
      </c>
      <c r="U264" s="102" t="str">
        <f>IF(OR(入力シート!$C$5&lt;&gt;入力リスト!$C$3,COUNTIF(入力シート!$J$16:$S$23,入力リスト!$H$9)=0),"",IF(A264="","",IF(ISERROR(AVERAGEIF(従業員の給与情報!$B:$B,$A264,従業員の給与情報!$D:$D)),0,IF(ISERROR(AVERAGEIF(従業員の給与情報!$B:$B,$A264,従業員の給与情報!$D:$D)),0,AVERAGEIF(従業員の給与情報!$B:$B,$A264,従業員の給与情報!$D:$D)))))</f>
        <v/>
      </c>
      <c r="V264" s="102" t="str">
        <f>IF(OR(入力シート!$C$5&lt;&gt;入力リスト!$C$3,COUNTIF(入力シート!$J$16:$S$23,入力リスト!$H$9)=0),"",IF(A264="","",IF(ISERROR(AVERAGEIF(従業員の給与情報!$B:$B,$A264,従業員の給与情報!$E:$E)),0,IF(ISERROR(AVERAGEIF(従業員の給与情報!$B:$B,$A264,従業員の給与情報!$E:$E)),0,AVERAGEIF(従業員の給与情報!$B:$B,$A264,従業員の給与情報!$E:$E)))))</f>
        <v/>
      </c>
      <c r="W264" s="103" t="str">
        <f>IF(OR(入力シート!$C$5&lt;&gt;入力リスト!$C$3,COUNTIF(入力シート!$J$16:$S$23,入力リスト!$H$9)=0),"",IF(A264="","",IF(ISERROR(AVERAGEIF(従業員の給与情報!$B:$B,$A264,従業員の給与情報!$F:$F)),0,IF(ISERROR(AVERAGEIF(従業員の給与情報!$B:$B,$A264,従業員の給与情報!$F:$F)),0,AVERAGEIF(従業員の給与情報!$B:$B,$A264,従業員の給与情報!$F:$F)))))</f>
        <v/>
      </c>
    </row>
    <row r="265" spans="1:23" s="10" customFormat="1">
      <c r="A265" s="253"/>
      <c r="B265" s="246"/>
      <c r="C265" s="247"/>
      <c r="D265" s="246"/>
      <c r="E265" s="246"/>
      <c r="F265" s="257" t="str">
        <f>IF($G$1,"",IF(COUNTIF(A265:E265,"")=5,"",IF(G265,入力リスト!$K$28,IF(OR(A265="",B265="",IF(COUNTIF($C$3,"*不要*"),"",C265=""),D265=""),IF(A265="","従業員番号","")&amp;IF(B265="","「雇用形態」","")&amp;IF(OR(入力シート!$J$18=入力リスト!$H$9,入力シート!$J$22=入力リスト!$H$9),IF(C265="","「入社年月日」",""),"")&amp;IF(D265="","「性別」","")&amp;IF(IF(A265="","従業員番号","")&amp;IF(B265="","「雇用形態」","")&amp;IF(OR(入力シート!$J$18=入力リスト!$H$9,入力シート!$J$22=入力リスト!$H$9),IF(C265="","「入社年月日」",""),"")&amp;IF(D265="","「性別」","")="","",入力リスト!$K$29),IF(J265,入力リスト!$K$30,"")&amp;IF(I265,入力リスト!$K$31,"")&amp;IF(H265,"「雇用形態」","")&amp;IF(K265,"「性別」","")&amp;IF(L265,"「役職」","")&amp;IF(OR(H265,K265,L265),入力リスト!$K$32,"")))))</f>
        <v/>
      </c>
      <c r="G265" s="209" t="b">
        <f>COUNTIF($A$4:A264,$A265)&gt;0</f>
        <v>0</v>
      </c>
      <c r="H265" s="210" t="b">
        <f>IF($H$1,FALSE,COUNTIF(入力シート!$S$37:$V$62,B265)=0)</f>
        <v>0</v>
      </c>
      <c r="I265" s="210" t="b">
        <f t="shared" si="10"/>
        <v>0</v>
      </c>
      <c r="J265" s="210" t="b">
        <f>IF($J$1,FALSE,IF(I265=TRUE,FALSE,IF(I265,FALSE,C265&gt;入力シート!$J$24)))</f>
        <v>0</v>
      </c>
      <c r="K265" s="210" t="b">
        <f>IF($K$1,FALSE,COUNTIF(入力シート!$AW$37:$BB$38,D265)=0)</f>
        <v>0</v>
      </c>
      <c r="L265" s="210" t="b">
        <f>IF($L$1,FALSE,IF($L$3,FALSE,IF(E265="",FALSE,COUNTIF(入力シート!$AH$37:$AK$62,E265)=0)))</f>
        <v>0</v>
      </c>
      <c r="M265" s="211" t="str">
        <f t="shared" si="9"/>
        <v/>
      </c>
      <c r="N265" s="211"/>
      <c r="O265" s="209" t="str">
        <f>IF(B265="","",VLOOKUP('従業員情報(給与以外)'!$B265,入力シート!$S$37:$Z$62,5,0))</f>
        <v/>
      </c>
      <c r="P265" s="156" t="str">
        <f>IF(ISNUMBER(C265)=FALSE,"",IF(C265&gt;入力シート!$J$24,"",_xlfn.DAYS(入力シート!$J$24,'従業員情報(給与以外)'!$C265)/365))</f>
        <v/>
      </c>
      <c r="Q265" s="210" t="str">
        <f>IF(P265="","",VLOOKUP(_xlfn.DAYS(入力シート!$J$24,'従業員情報(給与以外)'!$C265)/365,入力リスト!$K$18:$L$26,2,2))</f>
        <v/>
      </c>
      <c r="R265" s="209" t="str">
        <f>IF(D265="","",VLOOKUP('従業員情報(給与以外)'!$D265,入力シート!$AW$37:$BB$38,4,0))</f>
        <v/>
      </c>
      <c r="S265" s="209" t="str">
        <f>IF(A265="","",IF(E265="","非役職",VLOOKUP('従業員情報(給与以外)'!$E265,入力シート!$AH$37:$AO$62,5,0)))</f>
        <v/>
      </c>
      <c r="T265" s="102" t="str">
        <f>IF(OR(入力シート!$C$5&lt;&gt;入力リスト!$C$3,COUNTIF(入力シート!$J$16:$S$23,入力リスト!$H$9)=0),"",IF($A265="","",IF(ISERROR(AVERAGEIF(従業員の給与情報!$B:$B,$A265,従業員の給与情報!$C:$C)),0,IF(ISERROR(AVERAGEIF(従業員の給与情報!$B:$B,$A265,従業員の給与情報!$C:$C)),0,AVERAGEIF(従業員の給与情報!$B:$B,$A265,従業員の給与情報!$C:$C)))))</f>
        <v/>
      </c>
      <c r="U265" s="102" t="str">
        <f>IF(OR(入力シート!$C$5&lt;&gt;入力リスト!$C$3,COUNTIF(入力シート!$J$16:$S$23,入力リスト!$H$9)=0),"",IF(A265="","",IF(ISERROR(AVERAGEIF(従業員の給与情報!$B:$B,$A265,従業員の給与情報!$D:$D)),0,IF(ISERROR(AVERAGEIF(従業員の給与情報!$B:$B,$A265,従業員の給与情報!$D:$D)),0,AVERAGEIF(従業員の給与情報!$B:$B,$A265,従業員の給与情報!$D:$D)))))</f>
        <v/>
      </c>
      <c r="V265" s="102" t="str">
        <f>IF(OR(入力シート!$C$5&lt;&gt;入力リスト!$C$3,COUNTIF(入力シート!$J$16:$S$23,入力リスト!$H$9)=0),"",IF(A265="","",IF(ISERROR(AVERAGEIF(従業員の給与情報!$B:$B,$A265,従業員の給与情報!$E:$E)),0,IF(ISERROR(AVERAGEIF(従業員の給与情報!$B:$B,$A265,従業員の給与情報!$E:$E)),0,AVERAGEIF(従業員の給与情報!$B:$B,$A265,従業員の給与情報!$E:$E)))))</f>
        <v/>
      </c>
      <c r="W265" s="103" t="str">
        <f>IF(OR(入力シート!$C$5&lt;&gt;入力リスト!$C$3,COUNTIF(入力シート!$J$16:$S$23,入力リスト!$H$9)=0),"",IF(A265="","",IF(ISERROR(AVERAGEIF(従業員の給与情報!$B:$B,$A265,従業員の給与情報!$F:$F)),0,IF(ISERROR(AVERAGEIF(従業員の給与情報!$B:$B,$A265,従業員の給与情報!$F:$F)),0,AVERAGEIF(従業員の給与情報!$B:$B,$A265,従業員の給与情報!$F:$F)))))</f>
        <v/>
      </c>
    </row>
    <row r="266" spans="1:23" s="10" customFormat="1">
      <c r="A266" s="253"/>
      <c r="B266" s="246"/>
      <c r="C266" s="247"/>
      <c r="D266" s="246"/>
      <c r="E266" s="246"/>
      <c r="F266" s="257" t="str">
        <f>IF($G$1,"",IF(COUNTIF(A266:E266,"")=5,"",IF(G266,入力リスト!$K$28,IF(OR(A266="",B266="",IF(COUNTIF($C$3,"*不要*"),"",C266=""),D266=""),IF(A266="","従業員番号","")&amp;IF(B266="","「雇用形態」","")&amp;IF(OR(入力シート!$J$18=入力リスト!$H$9,入力シート!$J$22=入力リスト!$H$9),IF(C266="","「入社年月日」",""),"")&amp;IF(D266="","「性別」","")&amp;IF(IF(A266="","従業員番号","")&amp;IF(B266="","「雇用形態」","")&amp;IF(OR(入力シート!$J$18=入力リスト!$H$9,入力シート!$J$22=入力リスト!$H$9),IF(C266="","「入社年月日」",""),"")&amp;IF(D266="","「性別」","")="","",入力リスト!$K$29),IF(J266,入力リスト!$K$30,"")&amp;IF(I266,入力リスト!$K$31,"")&amp;IF(H266,"「雇用形態」","")&amp;IF(K266,"「性別」","")&amp;IF(L266,"「役職」","")&amp;IF(OR(H266,K266,L266),入力リスト!$K$32,"")))))</f>
        <v/>
      </c>
      <c r="G266" s="209" t="b">
        <f>COUNTIF($A$4:A265,$A266)&gt;0</f>
        <v>0</v>
      </c>
      <c r="H266" s="210" t="b">
        <f>IF($H$1,FALSE,COUNTIF(入力シート!$S$37:$V$62,B266)=0)</f>
        <v>0</v>
      </c>
      <c r="I266" s="210" t="b">
        <f t="shared" si="10"/>
        <v>0</v>
      </c>
      <c r="J266" s="210" t="b">
        <f>IF($J$1,FALSE,IF(I266=TRUE,FALSE,IF(I266,FALSE,C266&gt;入力シート!$J$24)))</f>
        <v>0</v>
      </c>
      <c r="K266" s="210" t="b">
        <f>IF($K$1,FALSE,COUNTIF(入力シート!$AW$37:$BB$38,D266)=0)</f>
        <v>0</v>
      </c>
      <c r="L266" s="210" t="b">
        <f>IF($L$1,FALSE,IF($L$3,FALSE,IF(E266="",FALSE,COUNTIF(入力シート!$AH$37:$AK$62,E266)=0)))</f>
        <v>0</v>
      </c>
      <c r="M266" s="211" t="str">
        <f t="shared" si="9"/>
        <v/>
      </c>
      <c r="N266" s="211"/>
      <c r="O266" s="209" t="str">
        <f>IF(B266="","",VLOOKUP('従業員情報(給与以外)'!$B266,入力シート!$S$37:$Z$62,5,0))</f>
        <v/>
      </c>
      <c r="P266" s="156" t="str">
        <f>IF(ISNUMBER(C266)=FALSE,"",IF(C266&gt;入力シート!$J$24,"",_xlfn.DAYS(入力シート!$J$24,'従業員情報(給与以外)'!$C266)/365))</f>
        <v/>
      </c>
      <c r="Q266" s="210" t="str">
        <f>IF(P266="","",VLOOKUP(_xlfn.DAYS(入力シート!$J$24,'従業員情報(給与以外)'!$C266)/365,入力リスト!$K$18:$L$26,2,2))</f>
        <v/>
      </c>
      <c r="R266" s="209" t="str">
        <f>IF(D266="","",VLOOKUP('従業員情報(給与以外)'!$D266,入力シート!$AW$37:$BB$38,4,0))</f>
        <v/>
      </c>
      <c r="S266" s="209" t="str">
        <f>IF(A266="","",IF(E266="","非役職",VLOOKUP('従業員情報(給与以外)'!$E266,入力シート!$AH$37:$AO$62,5,0)))</f>
        <v/>
      </c>
      <c r="T266" s="102" t="str">
        <f>IF(OR(入力シート!$C$5&lt;&gt;入力リスト!$C$3,COUNTIF(入力シート!$J$16:$S$23,入力リスト!$H$9)=0),"",IF($A266="","",IF(ISERROR(AVERAGEIF(従業員の給与情報!$B:$B,$A266,従業員の給与情報!$C:$C)),0,IF(ISERROR(AVERAGEIF(従業員の給与情報!$B:$B,$A266,従業員の給与情報!$C:$C)),0,AVERAGEIF(従業員の給与情報!$B:$B,$A266,従業員の給与情報!$C:$C)))))</f>
        <v/>
      </c>
      <c r="U266" s="102" t="str">
        <f>IF(OR(入力シート!$C$5&lt;&gt;入力リスト!$C$3,COUNTIF(入力シート!$J$16:$S$23,入力リスト!$H$9)=0),"",IF(A266="","",IF(ISERROR(AVERAGEIF(従業員の給与情報!$B:$B,$A266,従業員の給与情報!$D:$D)),0,IF(ISERROR(AVERAGEIF(従業員の給与情報!$B:$B,$A266,従業員の給与情報!$D:$D)),0,AVERAGEIF(従業員の給与情報!$B:$B,$A266,従業員の給与情報!$D:$D)))))</f>
        <v/>
      </c>
      <c r="V266" s="102" t="str">
        <f>IF(OR(入力シート!$C$5&lt;&gt;入力リスト!$C$3,COUNTIF(入力シート!$J$16:$S$23,入力リスト!$H$9)=0),"",IF(A266="","",IF(ISERROR(AVERAGEIF(従業員の給与情報!$B:$B,$A266,従業員の給与情報!$E:$E)),0,IF(ISERROR(AVERAGEIF(従業員の給与情報!$B:$B,$A266,従業員の給与情報!$E:$E)),0,AVERAGEIF(従業員の給与情報!$B:$B,$A266,従業員の給与情報!$E:$E)))))</f>
        <v/>
      </c>
      <c r="W266" s="103" t="str">
        <f>IF(OR(入力シート!$C$5&lt;&gt;入力リスト!$C$3,COUNTIF(入力シート!$J$16:$S$23,入力リスト!$H$9)=0),"",IF(A266="","",IF(ISERROR(AVERAGEIF(従業員の給与情報!$B:$B,$A266,従業員の給与情報!$F:$F)),0,IF(ISERROR(AVERAGEIF(従業員の給与情報!$B:$B,$A266,従業員の給与情報!$F:$F)),0,AVERAGEIF(従業員の給与情報!$B:$B,$A266,従業員の給与情報!$F:$F)))))</f>
        <v/>
      </c>
    </row>
    <row r="267" spans="1:23" s="10" customFormat="1">
      <c r="A267" s="253"/>
      <c r="B267" s="246"/>
      <c r="C267" s="247"/>
      <c r="D267" s="246"/>
      <c r="E267" s="246"/>
      <c r="F267" s="257" t="str">
        <f>IF($G$1,"",IF(COUNTIF(A267:E267,"")=5,"",IF(G267,入力リスト!$K$28,IF(OR(A267="",B267="",IF(COUNTIF($C$3,"*不要*"),"",C267=""),D267=""),IF(A267="","従業員番号","")&amp;IF(B267="","「雇用形態」","")&amp;IF(OR(入力シート!$J$18=入力リスト!$H$9,入力シート!$J$22=入力リスト!$H$9),IF(C267="","「入社年月日」",""),"")&amp;IF(D267="","「性別」","")&amp;IF(IF(A267="","従業員番号","")&amp;IF(B267="","「雇用形態」","")&amp;IF(OR(入力シート!$J$18=入力リスト!$H$9,入力シート!$J$22=入力リスト!$H$9),IF(C267="","「入社年月日」",""),"")&amp;IF(D267="","「性別」","")="","",入力リスト!$K$29),IF(J267,入力リスト!$K$30,"")&amp;IF(I267,入力リスト!$K$31,"")&amp;IF(H267,"「雇用形態」","")&amp;IF(K267,"「性別」","")&amp;IF(L267,"「役職」","")&amp;IF(OR(H267,K267,L267),入力リスト!$K$32,"")))))</f>
        <v/>
      </c>
      <c r="G267" s="209" t="b">
        <f>COUNTIF($A$4:A266,$A267)&gt;0</f>
        <v>0</v>
      </c>
      <c r="H267" s="210" t="b">
        <f>IF($H$1,FALSE,COUNTIF(入力シート!$S$37:$V$62,B267)=0)</f>
        <v>0</v>
      </c>
      <c r="I267" s="210" t="b">
        <f t="shared" si="10"/>
        <v>0</v>
      </c>
      <c r="J267" s="210" t="b">
        <f>IF($J$1,FALSE,IF(I267=TRUE,FALSE,IF(I267,FALSE,C267&gt;入力シート!$J$24)))</f>
        <v>0</v>
      </c>
      <c r="K267" s="210" t="b">
        <f>IF($K$1,FALSE,COUNTIF(入力シート!$AW$37:$BB$38,D267)=0)</f>
        <v>0</v>
      </c>
      <c r="L267" s="210" t="b">
        <f>IF($L$1,FALSE,IF($L$3,FALSE,IF(E267="",FALSE,COUNTIF(入力シート!$AH$37:$AK$62,E267)=0)))</f>
        <v>0</v>
      </c>
      <c r="M267" s="211" t="str">
        <f t="shared" si="9"/>
        <v/>
      </c>
      <c r="N267" s="211"/>
      <c r="O267" s="209" t="str">
        <f>IF(B267="","",VLOOKUP('従業員情報(給与以外)'!$B267,入力シート!$S$37:$Z$62,5,0))</f>
        <v/>
      </c>
      <c r="P267" s="156" t="str">
        <f>IF(ISNUMBER(C267)=FALSE,"",IF(C267&gt;入力シート!$J$24,"",_xlfn.DAYS(入力シート!$J$24,'従業員情報(給与以外)'!$C267)/365))</f>
        <v/>
      </c>
      <c r="Q267" s="210" t="str">
        <f>IF(P267="","",VLOOKUP(_xlfn.DAYS(入力シート!$J$24,'従業員情報(給与以外)'!$C267)/365,入力リスト!$K$18:$L$26,2,2))</f>
        <v/>
      </c>
      <c r="R267" s="209" t="str">
        <f>IF(D267="","",VLOOKUP('従業員情報(給与以外)'!$D267,入力シート!$AW$37:$BB$38,4,0))</f>
        <v/>
      </c>
      <c r="S267" s="209" t="str">
        <f>IF(A267="","",IF(E267="","非役職",VLOOKUP('従業員情報(給与以外)'!$E267,入力シート!$AH$37:$AO$62,5,0)))</f>
        <v/>
      </c>
      <c r="T267" s="102" t="str">
        <f>IF(OR(入力シート!$C$5&lt;&gt;入力リスト!$C$3,COUNTIF(入力シート!$J$16:$S$23,入力リスト!$H$9)=0),"",IF($A267="","",IF(ISERROR(AVERAGEIF(従業員の給与情報!$B:$B,$A267,従業員の給与情報!$C:$C)),0,IF(ISERROR(AVERAGEIF(従業員の給与情報!$B:$B,$A267,従業員の給与情報!$C:$C)),0,AVERAGEIF(従業員の給与情報!$B:$B,$A267,従業員の給与情報!$C:$C)))))</f>
        <v/>
      </c>
      <c r="U267" s="102" t="str">
        <f>IF(OR(入力シート!$C$5&lt;&gt;入力リスト!$C$3,COUNTIF(入力シート!$J$16:$S$23,入力リスト!$H$9)=0),"",IF(A267="","",IF(ISERROR(AVERAGEIF(従業員の給与情報!$B:$B,$A267,従業員の給与情報!$D:$D)),0,IF(ISERROR(AVERAGEIF(従業員の給与情報!$B:$B,$A267,従業員の給与情報!$D:$D)),0,AVERAGEIF(従業員の給与情報!$B:$B,$A267,従業員の給与情報!$D:$D)))))</f>
        <v/>
      </c>
      <c r="V267" s="102" t="str">
        <f>IF(OR(入力シート!$C$5&lt;&gt;入力リスト!$C$3,COUNTIF(入力シート!$J$16:$S$23,入力リスト!$H$9)=0),"",IF(A267="","",IF(ISERROR(AVERAGEIF(従業員の給与情報!$B:$B,$A267,従業員の給与情報!$E:$E)),0,IF(ISERROR(AVERAGEIF(従業員の給与情報!$B:$B,$A267,従業員の給与情報!$E:$E)),0,AVERAGEIF(従業員の給与情報!$B:$B,$A267,従業員の給与情報!$E:$E)))))</f>
        <v/>
      </c>
      <c r="W267" s="103" t="str">
        <f>IF(OR(入力シート!$C$5&lt;&gt;入力リスト!$C$3,COUNTIF(入力シート!$J$16:$S$23,入力リスト!$H$9)=0),"",IF(A267="","",IF(ISERROR(AVERAGEIF(従業員の給与情報!$B:$B,$A267,従業員の給与情報!$F:$F)),0,IF(ISERROR(AVERAGEIF(従業員の給与情報!$B:$B,$A267,従業員の給与情報!$F:$F)),0,AVERAGEIF(従業員の給与情報!$B:$B,$A267,従業員の給与情報!$F:$F)))))</f>
        <v/>
      </c>
    </row>
    <row r="268" spans="1:23" s="10" customFormat="1">
      <c r="A268" s="253"/>
      <c r="B268" s="246"/>
      <c r="C268" s="247"/>
      <c r="D268" s="246"/>
      <c r="E268" s="246"/>
      <c r="F268" s="257" t="str">
        <f>IF($G$1,"",IF(COUNTIF(A268:E268,"")=5,"",IF(G268,入力リスト!$K$28,IF(OR(A268="",B268="",IF(COUNTIF($C$3,"*不要*"),"",C268=""),D268=""),IF(A268="","従業員番号","")&amp;IF(B268="","「雇用形態」","")&amp;IF(OR(入力シート!$J$18=入力リスト!$H$9,入力シート!$J$22=入力リスト!$H$9),IF(C268="","「入社年月日」",""),"")&amp;IF(D268="","「性別」","")&amp;IF(IF(A268="","従業員番号","")&amp;IF(B268="","「雇用形態」","")&amp;IF(OR(入力シート!$J$18=入力リスト!$H$9,入力シート!$J$22=入力リスト!$H$9),IF(C268="","「入社年月日」",""),"")&amp;IF(D268="","「性別」","")="","",入力リスト!$K$29),IF(J268,入力リスト!$K$30,"")&amp;IF(I268,入力リスト!$K$31,"")&amp;IF(H268,"「雇用形態」","")&amp;IF(K268,"「性別」","")&amp;IF(L268,"「役職」","")&amp;IF(OR(H268,K268,L268),入力リスト!$K$32,"")))))</f>
        <v/>
      </c>
      <c r="G268" s="209" t="b">
        <f>COUNTIF($A$4:A267,$A268)&gt;0</f>
        <v>0</v>
      </c>
      <c r="H268" s="210" t="b">
        <f>IF($H$1,FALSE,COUNTIF(入力シート!$S$37:$V$62,B268)=0)</f>
        <v>0</v>
      </c>
      <c r="I268" s="210" t="b">
        <f t="shared" si="10"/>
        <v>0</v>
      </c>
      <c r="J268" s="210" t="b">
        <f>IF($J$1,FALSE,IF(I268=TRUE,FALSE,IF(I268,FALSE,C268&gt;入力シート!$J$24)))</f>
        <v>0</v>
      </c>
      <c r="K268" s="210" t="b">
        <f>IF($K$1,FALSE,COUNTIF(入力シート!$AW$37:$BB$38,D268)=0)</f>
        <v>0</v>
      </c>
      <c r="L268" s="210" t="b">
        <f>IF($L$1,FALSE,IF($L$3,FALSE,IF(E268="",FALSE,COUNTIF(入力シート!$AH$37:$AK$62,E268)=0)))</f>
        <v>0</v>
      </c>
      <c r="M268" s="211" t="str">
        <f t="shared" si="9"/>
        <v/>
      </c>
      <c r="N268" s="211"/>
      <c r="O268" s="209" t="str">
        <f>IF(B268="","",VLOOKUP('従業員情報(給与以外)'!$B268,入力シート!$S$37:$Z$62,5,0))</f>
        <v/>
      </c>
      <c r="P268" s="156" t="str">
        <f>IF(ISNUMBER(C268)=FALSE,"",IF(C268&gt;入力シート!$J$24,"",_xlfn.DAYS(入力シート!$J$24,'従業員情報(給与以外)'!$C268)/365))</f>
        <v/>
      </c>
      <c r="Q268" s="210" t="str">
        <f>IF(P268="","",VLOOKUP(_xlfn.DAYS(入力シート!$J$24,'従業員情報(給与以外)'!$C268)/365,入力リスト!$K$18:$L$26,2,2))</f>
        <v/>
      </c>
      <c r="R268" s="209" t="str">
        <f>IF(D268="","",VLOOKUP('従業員情報(給与以外)'!$D268,入力シート!$AW$37:$BB$38,4,0))</f>
        <v/>
      </c>
      <c r="S268" s="209" t="str">
        <f>IF(A268="","",IF(E268="","非役職",VLOOKUP('従業員情報(給与以外)'!$E268,入力シート!$AH$37:$AO$62,5,0)))</f>
        <v/>
      </c>
      <c r="T268" s="102" t="str">
        <f>IF(OR(入力シート!$C$5&lt;&gt;入力リスト!$C$3,COUNTIF(入力シート!$J$16:$S$23,入力リスト!$H$9)=0),"",IF($A268="","",IF(ISERROR(AVERAGEIF(従業員の給与情報!$B:$B,$A268,従業員の給与情報!$C:$C)),0,IF(ISERROR(AVERAGEIF(従業員の給与情報!$B:$B,$A268,従業員の給与情報!$C:$C)),0,AVERAGEIF(従業員の給与情報!$B:$B,$A268,従業員の給与情報!$C:$C)))))</f>
        <v/>
      </c>
      <c r="U268" s="102" t="str">
        <f>IF(OR(入力シート!$C$5&lt;&gt;入力リスト!$C$3,COUNTIF(入力シート!$J$16:$S$23,入力リスト!$H$9)=0),"",IF(A268="","",IF(ISERROR(AVERAGEIF(従業員の給与情報!$B:$B,$A268,従業員の給与情報!$D:$D)),0,IF(ISERROR(AVERAGEIF(従業員の給与情報!$B:$B,$A268,従業員の給与情報!$D:$D)),0,AVERAGEIF(従業員の給与情報!$B:$B,$A268,従業員の給与情報!$D:$D)))))</f>
        <v/>
      </c>
      <c r="V268" s="102" t="str">
        <f>IF(OR(入力シート!$C$5&lt;&gt;入力リスト!$C$3,COUNTIF(入力シート!$J$16:$S$23,入力リスト!$H$9)=0),"",IF(A268="","",IF(ISERROR(AVERAGEIF(従業員の給与情報!$B:$B,$A268,従業員の給与情報!$E:$E)),0,IF(ISERROR(AVERAGEIF(従業員の給与情報!$B:$B,$A268,従業員の給与情報!$E:$E)),0,AVERAGEIF(従業員の給与情報!$B:$B,$A268,従業員の給与情報!$E:$E)))))</f>
        <v/>
      </c>
      <c r="W268" s="103" t="str">
        <f>IF(OR(入力シート!$C$5&lt;&gt;入力リスト!$C$3,COUNTIF(入力シート!$J$16:$S$23,入力リスト!$H$9)=0),"",IF(A268="","",IF(ISERROR(AVERAGEIF(従業員の給与情報!$B:$B,$A268,従業員の給与情報!$F:$F)),0,IF(ISERROR(AVERAGEIF(従業員の給与情報!$B:$B,$A268,従業員の給与情報!$F:$F)),0,AVERAGEIF(従業員の給与情報!$B:$B,$A268,従業員の給与情報!$F:$F)))))</f>
        <v/>
      </c>
    </row>
    <row r="269" spans="1:23" s="10" customFormat="1">
      <c r="A269" s="253"/>
      <c r="B269" s="246"/>
      <c r="C269" s="247"/>
      <c r="D269" s="246"/>
      <c r="E269" s="246"/>
      <c r="F269" s="257" t="str">
        <f>IF($G$1,"",IF(COUNTIF(A269:E269,"")=5,"",IF(G269,入力リスト!$K$28,IF(OR(A269="",B269="",IF(COUNTIF($C$3,"*不要*"),"",C269=""),D269=""),IF(A269="","従業員番号","")&amp;IF(B269="","「雇用形態」","")&amp;IF(OR(入力シート!$J$18=入力リスト!$H$9,入力シート!$J$22=入力リスト!$H$9),IF(C269="","「入社年月日」",""),"")&amp;IF(D269="","「性別」","")&amp;IF(IF(A269="","従業員番号","")&amp;IF(B269="","「雇用形態」","")&amp;IF(OR(入力シート!$J$18=入力リスト!$H$9,入力シート!$J$22=入力リスト!$H$9),IF(C269="","「入社年月日」",""),"")&amp;IF(D269="","「性別」","")="","",入力リスト!$K$29),IF(J269,入力リスト!$K$30,"")&amp;IF(I269,入力リスト!$K$31,"")&amp;IF(H269,"「雇用形態」","")&amp;IF(K269,"「性別」","")&amp;IF(L269,"「役職」","")&amp;IF(OR(H269,K269,L269),入力リスト!$K$32,"")))))</f>
        <v/>
      </c>
      <c r="G269" s="209" t="b">
        <f>COUNTIF($A$4:A268,$A269)&gt;0</f>
        <v>0</v>
      </c>
      <c r="H269" s="210" t="b">
        <f>IF($H$1,FALSE,COUNTIF(入力シート!$S$37:$V$62,B269)=0)</f>
        <v>0</v>
      </c>
      <c r="I269" s="210" t="b">
        <f t="shared" si="10"/>
        <v>0</v>
      </c>
      <c r="J269" s="210" t="b">
        <f>IF($J$1,FALSE,IF(I269=TRUE,FALSE,IF(I269,FALSE,C269&gt;入力シート!$J$24)))</f>
        <v>0</v>
      </c>
      <c r="K269" s="210" t="b">
        <f>IF($K$1,FALSE,COUNTIF(入力シート!$AW$37:$BB$38,D269)=0)</f>
        <v>0</v>
      </c>
      <c r="L269" s="210" t="b">
        <f>IF($L$1,FALSE,IF($L$3,FALSE,IF(E269="",FALSE,COUNTIF(入力シート!$AH$37:$AK$62,E269)=0)))</f>
        <v>0</v>
      </c>
      <c r="M269" s="211" t="str">
        <f t="shared" si="9"/>
        <v/>
      </c>
      <c r="N269" s="211"/>
      <c r="O269" s="209" t="str">
        <f>IF(B269="","",VLOOKUP('従業員情報(給与以外)'!$B269,入力シート!$S$37:$Z$62,5,0))</f>
        <v/>
      </c>
      <c r="P269" s="156" t="str">
        <f>IF(ISNUMBER(C269)=FALSE,"",IF(C269&gt;入力シート!$J$24,"",_xlfn.DAYS(入力シート!$J$24,'従業員情報(給与以外)'!$C269)/365))</f>
        <v/>
      </c>
      <c r="Q269" s="210" t="str">
        <f>IF(P269="","",VLOOKUP(_xlfn.DAYS(入力シート!$J$24,'従業員情報(給与以外)'!$C269)/365,入力リスト!$K$18:$L$26,2,2))</f>
        <v/>
      </c>
      <c r="R269" s="209" t="str">
        <f>IF(D269="","",VLOOKUP('従業員情報(給与以外)'!$D269,入力シート!$AW$37:$BB$38,4,0))</f>
        <v/>
      </c>
      <c r="S269" s="209" t="str">
        <f>IF(A269="","",IF(E269="","非役職",VLOOKUP('従業員情報(給与以外)'!$E269,入力シート!$AH$37:$AO$62,5,0)))</f>
        <v/>
      </c>
      <c r="T269" s="102" t="str">
        <f>IF(OR(入力シート!$C$5&lt;&gt;入力リスト!$C$3,COUNTIF(入力シート!$J$16:$S$23,入力リスト!$H$9)=0),"",IF($A269="","",IF(ISERROR(AVERAGEIF(従業員の給与情報!$B:$B,$A269,従業員の給与情報!$C:$C)),0,IF(ISERROR(AVERAGEIF(従業員の給与情報!$B:$B,$A269,従業員の給与情報!$C:$C)),0,AVERAGEIF(従業員の給与情報!$B:$B,$A269,従業員の給与情報!$C:$C)))))</f>
        <v/>
      </c>
      <c r="U269" s="102" t="str">
        <f>IF(OR(入力シート!$C$5&lt;&gt;入力リスト!$C$3,COUNTIF(入力シート!$J$16:$S$23,入力リスト!$H$9)=0),"",IF(A269="","",IF(ISERROR(AVERAGEIF(従業員の給与情報!$B:$B,$A269,従業員の給与情報!$D:$D)),0,IF(ISERROR(AVERAGEIF(従業員の給与情報!$B:$B,$A269,従業員の給与情報!$D:$D)),0,AVERAGEIF(従業員の給与情報!$B:$B,$A269,従業員の給与情報!$D:$D)))))</f>
        <v/>
      </c>
      <c r="V269" s="102" t="str">
        <f>IF(OR(入力シート!$C$5&lt;&gt;入力リスト!$C$3,COUNTIF(入力シート!$J$16:$S$23,入力リスト!$H$9)=0),"",IF(A269="","",IF(ISERROR(AVERAGEIF(従業員の給与情報!$B:$B,$A269,従業員の給与情報!$E:$E)),0,IF(ISERROR(AVERAGEIF(従業員の給与情報!$B:$B,$A269,従業員の給与情報!$E:$E)),0,AVERAGEIF(従業員の給与情報!$B:$B,$A269,従業員の給与情報!$E:$E)))))</f>
        <v/>
      </c>
      <c r="W269" s="103" t="str">
        <f>IF(OR(入力シート!$C$5&lt;&gt;入力リスト!$C$3,COUNTIF(入力シート!$J$16:$S$23,入力リスト!$H$9)=0),"",IF(A269="","",IF(ISERROR(AVERAGEIF(従業員の給与情報!$B:$B,$A269,従業員の給与情報!$F:$F)),0,IF(ISERROR(AVERAGEIF(従業員の給与情報!$B:$B,$A269,従業員の給与情報!$F:$F)),0,AVERAGEIF(従業員の給与情報!$B:$B,$A269,従業員の給与情報!$F:$F)))))</f>
        <v/>
      </c>
    </row>
    <row r="270" spans="1:23" s="10" customFormat="1">
      <c r="A270" s="253"/>
      <c r="B270" s="246"/>
      <c r="C270" s="247"/>
      <c r="D270" s="246"/>
      <c r="E270" s="246"/>
      <c r="F270" s="257" t="str">
        <f>IF($G$1,"",IF(COUNTIF(A270:E270,"")=5,"",IF(G270,入力リスト!$K$28,IF(OR(A270="",B270="",IF(COUNTIF($C$3,"*不要*"),"",C270=""),D270=""),IF(A270="","従業員番号","")&amp;IF(B270="","「雇用形態」","")&amp;IF(OR(入力シート!$J$18=入力リスト!$H$9,入力シート!$J$22=入力リスト!$H$9),IF(C270="","「入社年月日」",""),"")&amp;IF(D270="","「性別」","")&amp;IF(IF(A270="","従業員番号","")&amp;IF(B270="","「雇用形態」","")&amp;IF(OR(入力シート!$J$18=入力リスト!$H$9,入力シート!$J$22=入力リスト!$H$9),IF(C270="","「入社年月日」",""),"")&amp;IF(D270="","「性別」","")="","",入力リスト!$K$29),IF(J270,入力リスト!$K$30,"")&amp;IF(I270,入力リスト!$K$31,"")&amp;IF(H270,"「雇用形態」","")&amp;IF(K270,"「性別」","")&amp;IF(L270,"「役職」","")&amp;IF(OR(H270,K270,L270),入力リスト!$K$32,"")))))</f>
        <v/>
      </c>
      <c r="G270" s="209" t="b">
        <f>COUNTIF($A$4:A269,$A270)&gt;0</f>
        <v>0</v>
      </c>
      <c r="H270" s="210" t="b">
        <f>IF($H$1,FALSE,COUNTIF(入力シート!$S$37:$V$62,B270)=0)</f>
        <v>0</v>
      </c>
      <c r="I270" s="210" t="b">
        <f t="shared" si="10"/>
        <v>0</v>
      </c>
      <c r="J270" s="210" t="b">
        <f>IF($J$1,FALSE,IF(I270=TRUE,FALSE,IF(I270,FALSE,C270&gt;入力シート!$J$24)))</f>
        <v>0</v>
      </c>
      <c r="K270" s="210" t="b">
        <f>IF($K$1,FALSE,COUNTIF(入力シート!$AW$37:$BB$38,D270)=0)</f>
        <v>0</v>
      </c>
      <c r="L270" s="210" t="b">
        <f>IF($L$1,FALSE,IF($L$3,FALSE,IF(E270="",FALSE,COUNTIF(入力シート!$AH$37:$AK$62,E270)=0)))</f>
        <v>0</v>
      </c>
      <c r="M270" s="211" t="str">
        <f t="shared" si="9"/>
        <v/>
      </c>
      <c r="N270" s="211"/>
      <c r="O270" s="209" t="str">
        <f>IF(B270="","",VLOOKUP('従業員情報(給与以外)'!$B270,入力シート!$S$37:$Z$62,5,0))</f>
        <v/>
      </c>
      <c r="P270" s="156" t="str">
        <f>IF(ISNUMBER(C270)=FALSE,"",IF(C270&gt;入力シート!$J$24,"",_xlfn.DAYS(入力シート!$J$24,'従業員情報(給与以外)'!$C270)/365))</f>
        <v/>
      </c>
      <c r="Q270" s="210" t="str">
        <f>IF(P270="","",VLOOKUP(_xlfn.DAYS(入力シート!$J$24,'従業員情報(給与以外)'!$C270)/365,入力リスト!$K$18:$L$26,2,2))</f>
        <v/>
      </c>
      <c r="R270" s="209" t="str">
        <f>IF(D270="","",VLOOKUP('従業員情報(給与以外)'!$D270,入力シート!$AW$37:$BB$38,4,0))</f>
        <v/>
      </c>
      <c r="S270" s="209" t="str">
        <f>IF(A270="","",IF(E270="","非役職",VLOOKUP('従業員情報(給与以外)'!$E270,入力シート!$AH$37:$AO$62,5,0)))</f>
        <v/>
      </c>
      <c r="T270" s="102" t="str">
        <f>IF(OR(入力シート!$C$5&lt;&gt;入力リスト!$C$3,COUNTIF(入力シート!$J$16:$S$23,入力リスト!$H$9)=0),"",IF($A270="","",IF(ISERROR(AVERAGEIF(従業員の給与情報!$B:$B,$A270,従業員の給与情報!$C:$C)),0,IF(ISERROR(AVERAGEIF(従業員の給与情報!$B:$B,$A270,従業員の給与情報!$C:$C)),0,AVERAGEIF(従業員の給与情報!$B:$B,$A270,従業員の給与情報!$C:$C)))))</f>
        <v/>
      </c>
      <c r="U270" s="102" t="str">
        <f>IF(OR(入力シート!$C$5&lt;&gt;入力リスト!$C$3,COUNTIF(入力シート!$J$16:$S$23,入力リスト!$H$9)=0),"",IF(A270="","",IF(ISERROR(AVERAGEIF(従業員の給与情報!$B:$B,$A270,従業員の給与情報!$D:$D)),0,IF(ISERROR(AVERAGEIF(従業員の給与情報!$B:$B,$A270,従業員の給与情報!$D:$D)),0,AVERAGEIF(従業員の給与情報!$B:$B,$A270,従業員の給与情報!$D:$D)))))</f>
        <v/>
      </c>
      <c r="V270" s="102" t="str">
        <f>IF(OR(入力シート!$C$5&lt;&gt;入力リスト!$C$3,COUNTIF(入力シート!$J$16:$S$23,入力リスト!$H$9)=0),"",IF(A270="","",IF(ISERROR(AVERAGEIF(従業員の給与情報!$B:$B,$A270,従業員の給与情報!$E:$E)),0,IF(ISERROR(AVERAGEIF(従業員の給与情報!$B:$B,$A270,従業員の給与情報!$E:$E)),0,AVERAGEIF(従業員の給与情報!$B:$B,$A270,従業員の給与情報!$E:$E)))))</f>
        <v/>
      </c>
      <c r="W270" s="103" t="str">
        <f>IF(OR(入力シート!$C$5&lt;&gt;入力リスト!$C$3,COUNTIF(入力シート!$J$16:$S$23,入力リスト!$H$9)=0),"",IF(A270="","",IF(ISERROR(AVERAGEIF(従業員の給与情報!$B:$B,$A270,従業員の給与情報!$F:$F)),0,IF(ISERROR(AVERAGEIF(従業員の給与情報!$B:$B,$A270,従業員の給与情報!$F:$F)),0,AVERAGEIF(従業員の給与情報!$B:$B,$A270,従業員の給与情報!$F:$F)))))</f>
        <v/>
      </c>
    </row>
    <row r="271" spans="1:23" s="10" customFormat="1">
      <c r="A271" s="253"/>
      <c r="B271" s="246"/>
      <c r="C271" s="247"/>
      <c r="D271" s="246"/>
      <c r="E271" s="246"/>
      <c r="F271" s="257" t="str">
        <f>IF($G$1,"",IF(COUNTIF(A271:E271,"")=5,"",IF(G271,入力リスト!$K$28,IF(OR(A271="",B271="",IF(COUNTIF($C$3,"*不要*"),"",C271=""),D271=""),IF(A271="","従業員番号","")&amp;IF(B271="","「雇用形態」","")&amp;IF(OR(入力シート!$J$18=入力リスト!$H$9,入力シート!$J$22=入力リスト!$H$9),IF(C271="","「入社年月日」",""),"")&amp;IF(D271="","「性別」","")&amp;IF(IF(A271="","従業員番号","")&amp;IF(B271="","「雇用形態」","")&amp;IF(OR(入力シート!$J$18=入力リスト!$H$9,入力シート!$J$22=入力リスト!$H$9),IF(C271="","「入社年月日」",""),"")&amp;IF(D271="","「性別」","")="","",入力リスト!$K$29),IF(J271,入力リスト!$K$30,"")&amp;IF(I271,入力リスト!$K$31,"")&amp;IF(H271,"「雇用形態」","")&amp;IF(K271,"「性別」","")&amp;IF(L271,"「役職」","")&amp;IF(OR(H271,K271,L271),入力リスト!$K$32,"")))))</f>
        <v/>
      </c>
      <c r="G271" s="209" t="b">
        <f>COUNTIF($A$4:A270,$A271)&gt;0</f>
        <v>0</v>
      </c>
      <c r="H271" s="210" t="b">
        <f>IF($H$1,FALSE,COUNTIF(入力シート!$S$37:$V$62,B271)=0)</f>
        <v>0</v>
      </c>
      <c r="I271" s="210" t="b">
        <f t="shared" si="10"/>
        <v>0</v>
      </c>
      <c r="J271" s="210" t="b">
        <f>IF($J$1,FALSE,IF(I271=TRUE,FALSE,IF(I271,FALSE,C271&gt;入力シート!$J$24)))</f>
        <v>0</v>
      </c>
      <c r="K271" s="210" t="b">
        <f>IF($K$1,FALSE,COUNTIF(入力シート!$AW$37:$BB$38,D271)=0)</f>
        <v>0</v>
      </c>
      <c r="L271" s="210" t="b">
        <f>IF($L$1,FALSE,IF($L$3,FALSE,IF(E271="",FALSE,COUNTIF(入力シート!$AH$37:$AK$62,E271)=0)))</f>
        <v>0</v>
      </c>
      <c r="M271" s="211" t="str">
        <f t="shared" si="9"/>
        <v/>
      </c>
      <c r="N271" s="211"/>
      <c r="O271" s="209" t="str">
        <f>IF(B271="","",VLOOKUP('従業員情報(給与以外)'!$B271,入力シート!$S$37:$Z$62,5,0))</f>
        <v/>
      </c>
      <c r="P271" s="156" t="str">
        <f>IF(ISNUMBER(C271)=FALSE,"",IF(C271&gt;入力シート!$J$24,"",_xlfn.DAYS(入力シート!$J$24,'従業員情報(給与以外)'!$C271)/365))</f>
        <v/>
      </c>
      <c r="Q271" s="210" t="str">
        <f>IF(P271="","",VLOOKUP(_xlfn.DAYS(入力シート!$J$24,'従業員情報(給与以外)'!$C271)/365,入力リスト!$K$18:$L$26,2,2))</f>
        <v/>
      </c>
      <c r="R271" s="209" t="str">
        <f>IF(D271="","",VLOOKUP('従業員情報(給与以外)'!$D271,入力シート!$AW$37:$BB$38,4,0))</f>
        <v/>
      </c>
      <c r="S271" s="209" t="str">
        <f>IF(A271="","",IF(E271="","非役職",VLOOKUP('従業員情報(給与以外)'!$E271,入力シート!$AH$37:$AO$62,5,0)))</f>
        <v/>
      </c>
      <c r="T271" s="102" t="str">
        <f>IF(OR(入力シート!$C$5&lt;&gt;入力リスト!$C$3,COUNTIF(入力シート!$J$16:$S$23,入力リスト!$H$9)=0),"",IF($A271="","",IF(ISERROR(AVERAGEIF(従業員の給与情報!$B:$B,$A271,従業員の給与情報!$C:$C)),0,IF(ISERROR(AVERAGEIF(従業員の給与情報!$B:$B,$A271,従業員の給与情報!$C:$C)),0,AVERAGEIF(従業員の給与情報!$B:$B,$A271,従業員の給与情報!$C:$C)))))</f>
        <v/>
      </c>
      <c r="U271" s="102" t="str">
        <f>IF(OR(入力シート!$C$5&lt;&gt;入力リスト!$C$3,COUNTIF(入力シート!$J$16:$S$23,入力リスト!$H$9)=0),"",IF(A271="","",IF(ISERROR(AVERAGEIF(従業員の給与情報!$B:$B,$A271,従業員の給与情報!$D:$D)),0,IF(ISERROR(AVERAGEIF(従業員の給与情報!$B:$B,$A271,従業員の給与情報!$D:$D)),0,AVERAGEIF(従業員の給与情報!$B:$B,$A271,従業員の給与情報!$D:$D)))))</f>
        <v/>
      </c>
      <c r="V271" s="102" t="str">
        <f>IF(OR(入力シート!$C$5&lt;&gt;入力リスト!$C$3,COUNTIF(入力シート!$J$16:$S$23,入力リスト!$H$9)=0),"",IF(A271="","",IF(ISERROR(AVERAGEIF(従業員の給与情報!$B:$B,$A271,従業員の給与情報!$E:$E)),0,IF(ISERROR(AVERAGEIF(従業員の給与情報!$B:$B,$A271,従業員の給与情報!$E:$E)),0,AVERAGEIF(従業員の給与情報!$B:$B,$A271,従業員の給与情報!$E:$E)))))</f>
        <v/>
      </c>
      <c r="W271" s="103" t="str">
        <f>IF(OR(入力シート!$C$5&lt;&gt;入力リスト!$C$3,COUNTIF(入力シート!$J$16:$S$23,入力リスト!$H$9)=0),"",IF(A271="","",IF(ISERROR(AVERAGEIF(従業員の給与情報!$B:$B,$A271,従業員の給与情報!$F:$F)),0,IF(ISERROR(AVERAGEIF(従業員の給与情報!$B:$B,$A271,従業員の給与情報!$F:$F)),0,AVERAGEIF(従業員の給与情報!$B:$B,$A271,従業員の給与情報!$F:$F)))))</f>
        <v/>
      </c>
    </row>
    <row r="272" spans="1:23" s="10" customFormat="1">
      <c r="A272" s="253"/>
      <c r="B272" s="246"/>
      <c r="C272" s="247"/>
      <c r="D272" s="246"/>
      <c r="E272" s="246"/>
      <c r="F272" s="257" t="str">
        <f>IF($G$1,"",IF(COUNTIF(A272:E272,"")=5,"",IF(G272,入力リスト!$K$28,IF(OR(A272="",B272="",IF(COUNTIF($C$3,"*不要*"),"",C272=""),D272=""),IF(A272="","従業員番号","")&amp;IF(B272="","「雇用形態」","")&amp;IF(OR(入力シート!$J$18=入力リスト!$H$9,入力シート!$J$22=入力リスト!$H$9),IF(C272="","「入社年月日」",""),"")&amp;IF(D272="","「性別」","")&amp;IF(IF(A272="","従業員番号","")&amp;IF(B272="","「雇用形態」","")&amp;IF(OR(入力シート!$J$18=入力リスト!$H$9,入力シート!$J$22=入力リスト!$H$9),IF(C272="","「入社年月日」",""),"")&amp;IF(D272="","「性別」","")="","",入力リスト!$K$29),IF(J272,入力リスト!$K$30,"")&amp;IF(I272,入力リスト!$K$31,"")&amp;IF(H272,"「雇用形態」","")&amp;IF(K272,"「性別」","")&amp;IF(L272,"「役職」","")&amp;IF(OR(H272,K272,L272),入力リスト!$K$32,"")))))</f>
        <v/>
      </c>
      <c r="G272" s="209" t="b">
        <f>COUNTIF($A$4:A271,$A272)&gt;0</f>
        <v>0</v>
      </c>
      <c r="H272" s="210" t="b">
        <f>IF($H$1,FALSE,COUNTIF(入力シート!$S$37:$V$62,B272)=0)</f>
        <v>0</v>
      </c>
      <c r="I272" s="210" t="b">
        <f t="shared" si="10"/>
        <v>0</v>
      </c>
      <c r="J272" s="210" t="b">
        <f>IF($J$1,FALSE,IF(I272=TRUE,FALSE,IF(I272,FALSE,C272&gt;入力シート!$J$24)))</f>
        <v>0</v>
      </c>
      <c r="K272" s="210" t="b">
        <f>IF($K$1,FALSE,COUNTIF(入力シート!$AW$37:$BB$38,D272)=0)</f>
        <v>0</v>
      </c>
      <c r="L272" s="210" t="b">
        <f>IF($L$1,FALSE,IF($L$3,FALSE,IF(E272="",FALSE,COUNTIF(入力シート!$AH$37:$AK$62,E272)=0)))</f>
        <v>0</v>
      </c>
      <c r="M272" s="211" t="str">
        <f t="shared" si="9"/>
        <v/>
      </c>
      <c r="N272" s="211"/>
      <c r="O272" s="209" t="str">
        <f>IF(B272="","",VLOOKUP('従業員情報(給与以外)'!$B272,入力シート!$S$37:$Z$62,5,0))</f>
        <v/>
      </c>
      <c r="P272" s="156" t="str">
        <f>IF(ISNUMBER(C272)=FALSE,"",IF(C272&gt;入力シート!$J$24,"",_xlfn.DAYS(入力シート!$J$24,'従業員情報(給与以外)'!$C272)/365))</f>
        <v/>
      </c>
      <c r="Q272" s="210" t="str">
        <f>IF(P272="","",VLOOKUP(_xlfn.DAYS(入力シート!$J$24,'従業員情報(給与以外)'!$C272)/365,入力リスト!$K$18:$L$26,2,2))</f>
        <v/>
      </c>
      <c r="R272" s="209" t="str">
        <f>IF(D272="","",VLOOKUP('従業員情報(給与以外)'!$D272,入力シート!$AW$37:$BB$38,4,0))</f>
        <v/>
      </c>
      <c r="S272" s="209" t="str">
        <f>IF(A272="","",IF(E272="","非役職",VLOOKUP('従業員情報(給与以外)'!$E272,入力シート!$AH$37:$AO$62,5,0)))</f>
        <v/>
      </c>
      <c r="T272" s="102" t="str">
        <f>IF(OR(入力シート!$C$5&lt;&gt;入力リスト!$C$3,COUNTIF(入力シート!$J$16:$S$23,入力リスト!$H$9)=0),"",IF($A272="","",IF(ISERROR(AVERAGEIF(従業員の給与情報!$B:$B,$A272,従業員の給与情報!$C:$C)),0,IF(ISERROR(AVERAGEIF(従業員の給与情報!$B:$B,$A272,従業員の給与情報!$C:$C)),0,AVERAGEIF(従業員の給与情報!$B:$B,$A272,従業員の給与情報!$C:$C)))))</f>
        <v/>
      </c>
      <c r="U272" s="102" t="str">
        <f>IF(OR(入力シート!$C$5&lt;&gt;入力リスト!$C$3,COUNTIF(入力シート!$J$16:$S$23,入力リスト!$H$9)=0),"",IF(A272="","",IF(ISERROR(AVERAGEIF(従業員の給与情報!$B:$B,$A272,従業員の給与情報!$D:$D)),0,IF(ISERROR(AVERAGEIF(従業員の給与情報!$B:$B,$A272,従業員の給与情報!$D:$D)),0,AVERAGEIF(従業員の給与情報!$B:$B,$A272,従業員の給与情報!$D:$D)))))</f>
        <v/>
      </c>
      <c r="V272" s="102" t="str">
        <f>IF(OR(入力シート!$C$5&lt;&gt;入力リスト!$C$3,COUNTIF(入力シート!$J$16:$S$23,入力リスト!$H$9)=0),"",IF(A272="","",IF(ISERROR(AVERAGEIF(従業員の給与情報!$B:$B,$A272,従業員の給与情報!$E:$E)),0,IF(ISERROR(AVERAGEIF(従業員の給与情報!$B:$B,$A272,従業員の給与情報!$E:$E)),0,AVERAGEIF(従業員の給与情報!$B:$B,$A272,従業員の給与情報!$E:$E)))))</f>
        <v/>
      </c>
      <c r="W272" s="103" t="str">
        <f>IF(OR(入力シート!$C$5&lt;&gt;入力リスト!$C$3,COUNTIF(入力シート!$J$16:$S$23,入力リスト!$H$9)=0),"",IF(A272="","",IF(ISERROR(AVERAGEIF(従業員の給与情報!$B:$B,$A272,従業員の給与情報!$F:$F)),0,IF(ISERROR(AVERAGEIF(従業員の給与情報!$B:$B,$A272,従業員の給与情報!$F:$F)),0,AVERAGEIF(従業員の給与情報!$B:$B,$A272,従業員の給与情報!$F:$F)))))</f>
        <v/>
      </c>
    </row>
    <row r="273" spans="1:23" s="10" customFormat="1">
      <c r="A273" s="253"/>
      <c r="B273" s="246"/>
      <c r="C273" s="247"/>
      <c r="D273" s="246"/>
      <c r="E273" s="246"/>
      <c r="F273" s="257" t="str">
        <f>IF($G$1,"",IF(COUNTIF(A273:E273,"")=5,"",IF(G273,入力リスト!$K$28,IF(OR(A273="",B273="",IF(COUNTIF($C$3,"*不要*"),"",C273=""),D273=""),IF(A273="","従業員番号","")&amp;IF(B273="","「雇用形態」","")&amp;IF(OR(入力シート!$J$18=入力リスト!$H$9,入力シート!$J$22=入力リスト!$H$9),IF(C273="","「入社年月日」",""),"")&amp;IF(D273="","「性別」","")&amp;IF(IF(A273="","従業員番号","")&amp;IF(B273="","「雇用形態」","")&amp;IF(OR(入力シート!$J$18=入力リスト!$H$9,入力シート!$J$22=入力リスト!$H$9),IF(C273="","「入社年月日」",""),"")&amp;IF(D273="","「性別」","")="","",入力リスト!$K$29),IF(J273,入力リスト!$K$30,"")&amp;IF(I273,入力リスト!$K$31,"")&amp;IF(H273,"「雇用形態」","")&amp;IF(K273,"「性別」","")&amp;IF(L273,"「役職」","")&amp;IF(OR(H273,K273,L273),入力リスト!$K$32,"")))))</f>
        <v/>
      </c>
      <c r="G273" s="209" t="b">
        <f>COUNTIF($A$4:A272,$A273)&gt;0</f>
        <v>0</v>
      </c>
      <c r="H273" s="210" t="b">
        <f>IF($H$1,FALSE,COUNTIF(入力シート!$S$37:$V$62,B273)=0)</f>
        <v>0</v>
      </c>
      <c r="I273" s="210" t="b">
        <f t="shared" si="10"/>
        <v>0</v>
      </c>
      <c r="J273" s="210" t="b">
        <f>IF($J$1,FALSE,IF(I273=TRUE,FALSE,IF(I273,FALSE,C273&gt;入力シート!$J$24)))</f>
        <v>0</v>
      </c>
      <c r="K273" s="210" t="b">
        <f>IF($K$1,FALSE,COUNTIF(入力シート!$AW$37:$BB$38,D273)=0)</f>
        <v>0</v>
      </c>
      <c r="L273" s="210" t="b">
        <f>IF($L$1,FALSE,IF($L$3,FALSE,IF(E273="",FALSE,COUNTIF(入力シート!$AH$37:$AK$62,E273)=0)))</f>
        <v>0</v>
      </c>
      <c r="M273" s="211" t="str">
        <f t="shared" si="9"/>
        <v/>
      </c>
      <c r="N273" s="211"/>
      <c r="O273" s="209" t="str">
        <f>IF(B273="","",VLOOKUP('従業員情報(給与以外)'!$B273,入力シート!$S$37:$Z$62,5,0))</f>
        <v/>
      </c>
      <c r="P273" s="156" t="str">
        <f>IF(ISNUMBER(C273)=FALSE,"",IF(C273&gt;入力シート!$J$24,"",_xlfn.DAYS(入力シート!$J$24,'従業員情報(給与以外)'!$C273)/365))</f>
        <v/>
      </c>
      <c r="Q273" s="210" t="str">
        <f>IF(P273="","",VLOOKUP(_xlfn.DAYS(入力シート!$J$24,'従業員情報(給与以外)'!$C273)/365,入力リスト!$K$18:$L$26,2,2))</f>
        <v/>
      </c>
      <c r="R273" s="209" t="str">
        <f>IF(D273="","",VLOOKUP('従業員情報(給与以外)'!$D273,入力シート!$AW$37:$BB$38,4,0))</f>
        <v/>
      </c>
      <c r="S273" s="209" t="str">
        <f>IF(A273="","",IF(E273="","非役職",VLOOKUP('従業員情報(給与以外)'!$E273,入力シート!$AH$37:$AO$62,5,0)))</f>
        <v/>
      </c>
      <c r="T273" s="102" t="str">
        <f>IF(OR(入力シート!$C$5&lt;&gt;入力リスト!$C$3,COUNTIF(入力シート!$J$16:$S$23,入力リスト!$H$9)=0),"",IF($A273="","",IF(ISERROR(AVERAGEIF(従業員の給与情報!$B:$B,$A273,従業員の給与情報!$C:$C)),0,IF(ISERROR(AVERAGEIF(従業員の給与情報!$B:$B,$A273,従業員の給与情報!$C:$C)),0,AVERAGEIF(従業員の給与情報!$B:$B,$A273,従業員の給与情報!$C:$C)))))</f>
        <v/>
      </c>
      <c r="U273" s="102" t="str">
        <f>IF(OR(入力シート!$C$5&lt;&gt;入力リスト!$C$3,COUNTIF(入力シート!$J$16:$S$23,入力リスト!$H$9)=0),"",IF(A273="","",IF(ISERROR(AVERAGEIF(従業員の給与情報!$B:$B,$A273,従業員の給与情報!$D:$D)),0,IF(ISERROR(AVERAGEIF(従業員の給与情報!$B:$B,$A273,従業員の給与情報!$D:$D)),0,AVERAGEIF(従業員の給与情報!$B:$B,$A273,従業員の給与情報!$D:$D)))))</f>
        <v/>
      </c>
      <c r="V273" s="102" t="str">
        <f>IF(OR(入力シート!$C$5&lt;&gt;入力リスト!$C$3,COUNTIF(入力シート!$J$16:$S$23,入力リスト!$H$9)=0),"",IF(A273="","",IF(ISERROR(AVERAGEIF(従業員の給与情報!$B:$B,$A273,従業員の給与情報!$E:$E)),0,IF(ISERROR(AVERAGEIF(従業員の給与情報!$B:$B,$A273,従業員の給与情報!$E:$E)),0,AVERAGEIF(従業員の給与情報!$B:$B,$A273,従業員の給与情報!$E:$E)))))</f>
        <v/>
      </c>
      <c r="W273" s="103" t="str">
        <f>IF(OR(入力シート!$C$5&lt;&gt;入力リスト!$C$3,COUNTIF(入力シート!$J$16:$S$23,入力リスト!$H$9)=0),"",IF(A273="","",IF(ISERROR(AVERAGEIF(従業員の給与情報!$B:$B,$A273,従業員の給与情報!$F:$F)),0,IF(ISERROR(AVERAGEIF(従業員の給与情報!$B:$B,$A273,従業員の給与情報!$F:$F)),0,AVERAGEIF(従業員の給与情報!$B:$B,$A273,従業員の給与情報!$F:$F)))))</f>
        <v/>
      </c>
    </row>
    <row r="274" spans="1:23" s="10" customFormat="1">
      <c r="A274" s="253"/>
      <c r="B274" s="246"/>
      <c r="C274" s="247"/>
      <c r="D274" s="246"/>
      <c r="E274" s="246"/>
      <c r="F274" s="257" t="str">
        <f>IF($G$1,"",IF(COUNTIF(A274:E274,"")=5,"",IF(G274,入力リスト!$K$28,IF(OR(A274="",B274="",IF(COUNTIF($C$3,"*不要*"),"",C274=""),D274=""),IF(A274="","従業員番号","")&amp;IF(B274="","「雇用形態」","")&amp;IF(OR(入力シート!$J$18=入力リスト!$H$9,入力シート!$J$22=入力リスト!$H$9),IF(C274="","「入社年月日」",""),"")&amp;IF(D274="","「性別」","")&amp;IF(IF(A274="","従業員番号","")&amp;IF(B274="","「雇用形態」","")&amp;IF(OR(入力シート!$J$18=入力リスト!$H$9,入力シート!$J$22=入力リスト!$H$9),IF(C274="","「入社年月日」",""),"")&amp;IF(D274="","「性別」","")="","",入力リスト!$K$29),IF(J274,入力リスト!$K$30,"")&amp;IF(I274,入力リスト!$K$31,"")&amp;IF(H274,"「雇用形態」","")&amp;IF(K274,"「性別」","")&amp;IF(L274,"「役職」","")&amp;IF(OR(H274,K274,L274),入力リスト!$K$32,"")))))</f>
        <v/>
      </c>
      <c r="G274" s="209" t="b">
        <f>COUNTIF($A$4:A273,$A274)&gt;0</f>
        <v>0</v>
      </c>
      <c r="H274" s="210" t="b">
        <f>IF($H$1,FALSE,COUNTIF(入力シート!$S$37:$V$62,B274)=0)</f>
        <v>0</v>
      </c>
      <c r="I274" s="210" t="b">
        <f t="shared" si="10"/>
        <v>0</v>
      </c>
      <c r="J274" s="210" t="b">
        <f>IF($J$1,FALSE,IF(I274=TRUE,FALSE,IF(I274,FALSE,C274&gt;入力シート!$J$24)))</f>
        <v>0</v>
      </c>
      <c r="K274" s="210" t="b">
        <f>IF($K$1,FALSE,COUNTIF(入力シート!$AW$37:$BB$38,D274)=0)</f>
        <v>0</v>
      </c>
      <c r="L274" s="210" t="b">
        <f>IF($L$1,FALSE,IF($L$3,FALSE,IF(E274="",FALSE,COUNTIF(入力シート!$AH$37:$AK$62,E274)=0)))</f>
        <v>0</v>
      </c>
      <c r="M274" s="211" t="str">
        <f t="shared" si="9"/>
        <v/>
      </c>
      <c r="N274" s="211"/>
      <c r="O274" s="209" t="str">
        <f>IF(B274="","",VLOOKUP('従業員情報(給与以外)'!$B274,入力シート!$S$37:$Z$62,5,0))</f>
        <v/>
      </c>
      <c r="P274" s="156" t="str">
        <f>IF(ISNUMBER(C274)=FALSE,"",IF(C274&gt;入力シート!$J$24,"",_xlfn.DAYS(入力シート!$J$24,'従業員情報(給与以外)'!$C274)/365))</f>
        <v/>
      </c>
      <c r="Q274" s="210" t="str">
        <f>IF(P274="","",VLOOKUP(_xlfn.DAYS(入力シート!$J$24,'従業員情報(給与以外)'!$C274)/365,入力リスト!$K$18:$L$26,2,2))</f>
        <v/>
      </c>
      <c r="R274" s="209" t="str">
        <f>IF(D274="","",VLOOKUP('従業員情報(給与以外)'!$D274,入力シート!$AW$37:$BB$38,4,0))</f>
        <v/>
      </c>
      <c r="S274" s="209" t="str">
        <f>IF(A274="","",IF(E274="","非役職",VLOOKUP('従業員情報(給与以外)'!$E274,入力シート!$AH$37:$AO$62,5,0)))</f>
        <v/>
      </c>
      <c r="T274" s="102" t="str">
        <f>IF(OR(入力シート!$C$5&lt;&gt;入力リスト!$C$3,COUNTIF(入力シート!$J$16:$S$23,入力リスト!$H$9)=0),"",IF($A274="","",IF(ISERROR(AVERAGEIF(従業員の給与情報!$B:$B,$A274,従業員の給与情報!$C:$C)),0,IF(ISERROR(AVERAGEIF(従業員の給与情報!$B:$B,$A274,従業員の給与情報!$C:$C)),0,AVERAGEIF(従業員の給与情報!$B:$B,$A274,従業員の給与情報!$C:$C)))))</f>
        <v/>
      </c>
      <c r="U274" s="102" t="str">
        <f>IF(OR(入力シート!$C$5&lt;&gt;入力リスト!$C$3,COUNTIF(入力シート!$J$16:$S$23,入力リスト!$H$9)=0),"",IF(A274="","",IF(ISERROR(AVERAGEIF(従業員の給与情報!$B:$B,$A274,従業員の給与情報!$D:$D)),0,IF(ISERROR(AVERAGEIF(従業員の給与情報!$B:$B,$A274,従業員の給与情報!$D:$D)),0,AVERAGEIF(従業員の給与情報!$B:$B,$A274,従業員の給与情報!$D:$D)))))</f>
        <v/>
      </c>
      <c r="V274" s="102" t="str">
        <f>IF(OR(入力シート!$C$5&lt;&gt;入力リスト!$C$3,COUNTIF(入力シート!$J$16:$S$23,入力リスト!$H$9)=0),"",IF(A274="","",IF(ISERROR(AVERAGEIF(従業員の給与情報!$B:$B,$A274,従業員の給与情報!$E:$E)),0,IF(ISERROR(AVERAGEIF(従業員の給与情報!$B:$B,$A274,従業員の給与情報!$E:$E)),0,AVERAGEIF(従業員の給与情報!$B:$B,$A274,従業員の給与情報!$E:$E)))))</f>
        <v/>
      </c>
      <c r="W274" s="103" t="str">
        <f>IF(OR(入力シート!$C$5&lt;&gt;入力リスト!$C$3,COUNTIF(入力シート!$J$16:$S$23,入力リスト!$H$9)=0),"",IF(A274="","",IF(ISERROR(AVERAGEIF(従業員の給与情報!$B:$B,$A274,従業員の給与情報!$F:$F)),0,IF(ISERROR(AVERAGEIF(従業員の給与情報!$B:$B,$A274,従業員の給与情報!$F:$F)),0,AVERAGEIF(従業員の給与情報!$B:$B,$A274,従業員の給与情報!$F:$F)))))</f>
        <v/>
      </c>
    </row>
    <row r="275" spans="1:23" s="10" customFormat="1">
      <c r="A275" s="253"/>
      <c r="B275" s="246"/>
      <c r="C275" s="247"/>
      <c r="D275" s="246"/>
      <c r="E275" s="246"/>
      <c r="F275" s="257" t="str">
        <f>IF($G$1,"",IF(COUNTIF(A275:E275,"")=5,"",IF(G275,入力リスト!$K$28,IF(OR(A275="",B275="",IF(COUNTIF($C$3,"*不要*"),"",C275=""),D275=""),IF(A275="","従業員番号","")&amp;IF(B275="","「雇用形態」","")&amp;IF(OR(入力シート!$J$18=入力リスト!$H$9,入力シート!$J$22=入力リスト!$H$9),IF(C275="","「入社年月日」",""),"")&amp;IF(D275="","「性別」","")&amp;IF(IF(A275="","従業員番号","")&amp;IF(B275="","「雇用形態」","")&amp;IF(OR(入力シート!$J$18=入力リスト!$H$9,入力シート!$J$22=入力リスト!$H$9),IF(C275="","「入社年月日」",""),"")&amp;IF(D275="","「性別」","")="","",入力リスト!$K$29),IF(J275,入力リスト!$K$30,"")&amp;IF(I275,入力リスト!$K$31,"")&amp;IF(H275,"「雇用形態」","")&amp;IF(K275,"「性別」","")&amp;IF(L275,"「役職」","")&amp;IF(OR(H275,K275,L275),入力リスト!$K$32,"")))))</f>
        <v/>
      </c>
      <c r="G275" s="209" t="b">
        <f>COUNTIF($A$4:A274,$A275)&gt;0</f>
        <v>0</v>
      </c>
      <c r="H275" s="210" t="b">
        <f>IF($H$1,FALSE,COUNTIF(入力シート!$S$37:$V$62,B275)=0)</f>
        <v>0</v>
      </c>
      <c r="I275" s="210" t="b">
        <f t="shared" si="10"/>
        <v>0</v>
      </c>
      <c r="J275" s="210" t="b">
        <f>IF($J$1,FALSE,IF(I275=TRUE,FALSE,IF(I275,FALSE,C275&gt;入力シート!$J$24)))</f>
        <v>0</v>
      </c>
      <c r="K275" s="210" t="b">
        <f>IF($K$1,FALSE,COUNTIF(入力シート!$AW$37:$BB$38,D275)=0)</f>
        <v>0</v>
      </c>
      <c r="L275" s="210" t="b">
        <f>IF($L$1,FALSE,IF($L$3,FALSE,IF(E275="",FALSE,COUNTIF(入力シート!$AH$37:$AK$62,E275)=0)))</f>
        <v>0</v>
      </c>
      <c r="M275" s="211" t="str">
        <f t="shared" si="9"/>
        <v/>
      </c>
      <c r="N275" s="211"/>
      <c r="O275" s="209" t="str">
        <f>IF(B275="","",VLOOKUP('従業員情報(給与以外)'!$B275,入力シート!$S$37:$Z$62,5,0))</f>
        <v/>
      </c>
      <c r="P275" s="156" t="str">
        <f>IF(ISNUMBER(C275)=FALSE,"",IF(C275&gt;入力シート!$J$24,"",_xlfn.DAYS(入力シート!$J$24,'従業員情報(給与以外)'!$C275)/365))</f>
        <v/>
      </c>
      <c r="Q275" s="210" t="str">
        <f>IF(P275="","",VLOOKUP(_xlfn.DAYS(入力シート!$J$24,'従業員情報(給与以外)'!$C275)/365,入力リスト!$K$18:$L$26,2,2))</f>
        <v/>
      </c>
      <c r="R275" s="209" t="str">
        <f>IF(D275="","",VLOOKUP('従業員情報(給与以外)'!$D275,入力シート!$AW$37:$BB$38,4,0))</f>
        <v/>
      </c>
      <c r="S275" s="209" t="str">
        <f>IF(A275="","",IF(E275="","非役職",VLOOKUP('従業員情報(給与以外)'!$E275,入力シート!$AH$37:$AO$62,5,0)))</f>
        <v/>
      </c>
      <c r="T275" s="102" t="str">
        <f>IF(OR(入力シート!$C$5&lt;&gt;入力リスト!$C$3,COUNTIF(入力シート!$J$16:$S$23,入力リスト!$H$9)=0),"",IF($A275="","",IF(ISERROR(AVERAGEIF(従業員の給与情報!$B:$B,$A275,従業員の給与情報!$C:$C)),0,IF(ISERROR(AVERAGEIF(従業員の給与情報!$B:$B,$A275,従業員の給与情報!$C:$C)),0,AVERAGEIF(従業員の給与情報!$B:$B,$A275,従業員の給与情報!$C:$C)))))</f>
        <v/>
      </c>
      <c r="U275" s="102" t="str">
        <f>IF(OR(入力シート!$C$5&lt;&gt;入力リスト!$C$3,COUNTIF(入力シート!$J$16:$S$23,入力リスト!$H$9)=0),"",IF(A275="","",IF(ISERROR(AVERAGEIF(従業員の給与情報!$B:$B,$A275,従業員の給与情報!$D:$D)),0,IF(ISERROR(AVERAGEIF(従業員の給与情報!$B:$B,$A275,従業員の給与情報!$D:$D)),0,AVERAGEIF(従業員の給与情報!$B:$B,$A275,従業員の給与情報!$D:$D)))))</f>
        <v/>
      </c>
      <c r="V275" s="102" t="str">
        <f>IF(OR(入力シート!$C$5&lt;&gt;入力リスト!$C$3,COUNTIF(入力シート!$J$16:$S$23,入力リスト!$H$9)=0),"",IF(A275="","",IF(ISERROR(AVERAGEIF(従業員の給与情報!$B:$B,$A275,従業員の給与情報!$E:$E)),0,IF(ISERROR(AVERAGEIF(従業員の給与情報!$B:$B,$A275,従業員の給与情報!$E:$E)),0,AVERAGEIF(従業員の給与情報!$B:$B,$A275,従業員の給与情報!$E:$E)))))</f>
        <v/>
      </c>
      <c r="W275" s="103" t="str">
        <f>IF(OR(入力シート!$C$5&lt;&gt;入力リスト!$C$3,COUNTIF(入力シート!$J$16:$S$23,入力リスト!$H$9)=0),"",IF(A275="","",IF(ISERROR(AVERAGEIF(従業員の給与情報!$B:$B,$A275,従業員の給与情報!$F:$F)),0,IF(ISERROR(AVERAGEIF(従業員の給与情報!$B:$B,$A275,従業員の給与情報!$F:$F)),0,AVERAGEIF(従業員の給与情報!$B:$B,$A275,従業員の給与情報!$F:$F)))))</f>
        <v/>
      </c>
    </row>
    <row r="276" spans="1:23" s="10" customFormat="1">
      <c r="A276" s="253"/>
      <c r="B276" s="246"/>
      <c r="C276" s="247"/>
      <c r="D276" s="246"/>
      <c r="E276" s="246"/>
      <c r="F276" s="257" t="str">
        <f>IF($G$1,"",IF(COUNTIF(A276:E276,"")=5,"",IF(G276,入力リスト!$K$28,IF(OR(A276="",B276="",IF(COUNTIF($C$3,"*不要*"),"",C276=""),D276=""),IF(A276="","従業員番号","")&amp;IF(B276="","「雇用形態」","")&amp;IF(OR(入力シート!$J$18=入力リスト!$H$9,入力シート!$J$22=入力リスト!$H$9),IF(C276="","「入社年月日」",""),"")&amp;IF(D276="","「性別」","")&amp;IF(IF(A276="","従業員番号","")&amp;IF(B276="","「雇用形態」","")&amp;IF(OR(入力シート!$J$18=入力リスト!$H$9,入力シート!$J$22=入力リスト!$H$9),IF(C276="","「入社年月日」",""),"")&amp;IF(D276="","「性別」","")="","",入力リスト!$K$29),IF(J276,入力リスト!$K$30,"")&amp;IF(I276,入力リスト!$K$31,"")&amp;IF(H276,"「雇用形態」","")&amp;IF(K276,"「性別」","")&amp;IF(L276,"「役職」","")&amp;IF(OR(H276,K276,L276),入力リスト!$K$32,"")))))</f>
        <v/>
      </c>
      <c r="G276" s="209" t="b">
        <f>COUNTIF($A$4:A275,$A276)&gt;0</f>
        <v>0</v>
      </c>
      <c r="H276" s="210" t="b">
        <f>IF($H$1,FALSE,COUNTIF(入力シート!$S$37:$V$62,B276)=0)</f>
        <v>0</v>
      </c>
      <c r="I276" s="210" t="b">
        <f t="shared" si="10"/>
        <v>0</v>
      </c>
      <c r="J276" s="210" t="b">
        <f>IF($J$1,FALSE,IF(I276=TRUE,FALSE,IF(I276,FALSE,C276&gt;入力シート!$J$24)))</f>
        <v>0</v>
      </c>
      <c r="K276" s="210" t="b">
        <f>IF($K$1,FALSE,COUNTIF(入力シート!$AW$37:$BB$38,D276)=0)</f>
        <v>0</v>
      </c>
      <c r="L276" s="210" t="b">
        <f>IF($L$1,FALSE,IF($L$3,FALSE,IF(E276="",FALSE,COUNTIF(入力シート!$AH$37:$AK$62,E276)=0)))</f>
        <v>0</v>
      </c>
      <c r="M276" s="211" t="str">
        <f t="shared" si="9"/>
        <v/>
      </c>
      <c r="N276" s="211"/>
      <c r="O276" s="209" t="str">
        <f>IF(B276="","",VLOOKUP('従業員情報(給与以外)'!$B276,入力シート!$S$37:$Z$62,5,0))</f>
        <v/>
      </c>
      <c r="P276" s="156" t="str">
        <f>IF(ISNUMBER(C276)=FALSE,"",IF(C276&gt;入力シート!$J$24,"",_xlfn.DAYS(入力シート!$J$24,'従業員情報(給与以外)'!$C276)/365))</f>
        <v/>
      </c>
      <c r="Q276" s="210" t="str">
        <f>IF(P276="","",VLOOKUP(_xlfn.DAYS(入力シート!$J$24,'従業員情報(給与以外)'!$C276)/365,入力リスト!$K$18:$L$26,2,2))</f>
        <v/>
      </c>
      <c r="R276" s="209" t="str">
        <f>IF(D276="","",VLOOKUP('従業員情報(給与以外)'!$D276,入力シート!$AW$37:$BB$38,4,0))</f>
        <v/>
      </c>
      <c r="S276" s="209" t="str">
        <f>IF(A276="","",IF(E276="","非役職",VLOOKUP('従業員情報(給与以外)'!$E276,入力シート!$AH$37:$AO$62,5,0)))</f>
        <v/>
      </c>
      <c r="T276" s="102" t="str">
        <f>IF(OR(入力シート!$C$5&lt;&gt;入力リスト!$C$3,COUNTIF(入力シート!$J$16:$S$23,入力リスト!$H$9)=0),"",IF($A276="","",IF(ISERROR(AVERAGEIF(従業員の給与情報!$B:$B,$A276,従業員の給与情報!$C:$C)),0,IF(ISERROR(AVERAGEIF(従業員の給与情報!$B:$B,$A276,従業員の給与情報!$C:$C)),0,AVERAGEIF(従業員の給与情報!$B:$B,$A276,従業員の給与情報!$C:$C)))))</f>
        <v/>
      </c>
      <c r="U276" s="102" t="str">
        <f>IF(OR(入力シート!$C$5&lt;&gt;入力リスト!$C$3,COUNTIF(入力シート!$J$16:$S$23,入力リスト!$H$9)=0),"",IF(A276="","",IF(ISERROR(AVERAGEIF(従業員の給与情報!$B:$B,$A276,従業員の給与情報!$D:$D)),0,IF(ISERROR(AVERAGEIF(従業員の給与情報!$B:$B,$A276,従業員の給与情報!$D:$D)),0,AVERAGEIF(従業員の給与情報!$B:$B,$A276,従業員の給与情報!$D:$D)))))</f>
        <v/>
      </c>
      <c r="V276" s="102" t="str">
        <f>IF(OR(入力シート!$C$5&lt;&gt;入力リスト!$C$3,COUNTIF(入力シート!$J$16:$S$23,入力リスト!$H$9)=0),"",IF(A276="","",IF(ISERROR(AVERAGEIF(従業員の給与情報!$B:$B,$A276,従業員の給与情報!$E:$E)),0,IF(ISERROR(AVERAGEIF(従業員の給与情報!$B:$B,$A276,従業員の給与情報!$E:$E)),0,AVERAGEIF(従業員の給与情報!$B:$B,$A276,従業員の給与情報!$E:$E)))))</f>
        <v/>
      </c>
      <c r="W276" s="103" t="str">
        <f>IF(OR(入力シート!$C$5&lt;&gt;入力リスト!$C$3,COUNTIF(入力シート!$J$16:$S$23,入力リスト!$H$9)=0),"",IF(A276="","",IF(ISERROR(AVERAGEIF(従業員の給与情報!$B:$B,$A276,従業員の給与情報!$F:$F)),0,IF(ISERROR(AVERAGEIF(従業員の給与情報!$B:$B,$A276,従業員の給与情報!$F:$F)),0,AVERAGEIF(従業員の給与情報!$B:$B,$A276,従業員の給与情報!$F:$F)))))</f>
        <v/>
      </c>
    </row>
    <row r="277" spans="1:23" s="10" customFormat="1">
      <c r="A277" s="253"/>
      <c r="B277" s="246"/>
      <c r="C277" s="247"/>
      <c r="D277" s="246"/>
      <c r="E277" s="246"/>
      <c r="F277" s="257" t="str">
        <f>IF($G$1,"",IF(COUNTIF(A277:E277,"")=5,"",IF(G277,入力リスト!$K$28,IF(OR(A277="",B277="",IF(COUNTIF($C$3,"*不要*"),"",C277=""),D277=""),IF(A277="","従業員番号","")&amp;IF(B277="","「雇用形態」","")&amp;IF(OR(入力シート!$J$18=入力リスト!$H$9,入力シート!$J$22=入力リスト!$H$9),IF(C277="","「入社年月日」",""),"")&amp;IF(D277="","「性別」","")&amp;IF(IF(A277="","従業員番号","")&amp;IF(B277="","「雇用形態」","")&amp;IF(OR(入力シート!$J$18=入力リスト!$H$9,入力シート!$J$22=入力リスト!$H$9),IF(C277="","「入社年月日」",""),"")&amp;IF(D277="","「性別」","")="","",入力リスト!$K$29),IF(J277,入力リスト!$K$30,"")&amp;IF(I277,入力リスト!$K$31,"")&amp;IF(H277,"「雇用形態」","")&amp;IF(K277,"「性別」","")&amp;IF(L277,"「役職」","")&amp;IF(OR(H277,K277,L277),入力リスト!$K$32,"")))))</f>
        <v/>
      </c>
      <c r="G277" s="209" t="b">
        <f>COUNTIF($A$4:A276,$A277)&gt;0</f>
        <v>0</v>
      </c>
      <c r="H277" s="210" t="b">
        <f>IF($H$1,FALSE,COUNTIF(入力シート!$S$37:$V$62,B277)=0)</f>
        <v>0</v>
      </c>
      <c r="I277" s="210" t="b">
        <f t="shared" si="10"/>
        <v>0</v>
      </c>
      <c r="J277" s="210" t="b">
        <f>IF($J$1,FALSE,IF(I277=TRUE,FALSE,IF(I277,FALSE,C277&gt;入力シート!$J$24)))</f>
        <v>0</v>
      </c>
      <c r="K277" s="210" t="b">
        <f>IF($K$1,FALSE,COUNTIF(入力シート!$AW$37:$BB$38,D277)=0)</f>
        <v>0</v>
      </c>
      <c r="L277" s="210" t="b">
        <f>IF($L$1,FALSE,IF($L$3,FALSE,IF(E277="",FALSE,COUNTIF(入力シート!$AH$37:$AK$62,E277)=0)))</f>
        <v>0</v>
      </c>
      <c r="M277" s="211" t="str">
        <f t="shared" si="9"/>
        <v/>
      </c>
      <c r="N277" s="211"/>
      <c r="O277" s="209" t="str">
        <f>IF(B277="","",VLOOKUP('従業員情報(給与以外)'!$B277,入力シート!$S$37:$Z$62,5,0))</f>
        <v/>
      </c>
      <c r="P277" s="156" t="str">
        <f>IF(ISNUMBER(C277)=FALSE,"",IF(C277&gt;入力シート!$J$24,"",_xlfn.DAYS(入力シート!$J$24,'従業員情報(給与以外)'!$C277)/365))</f>
        <v/>
      </c>
      <c r="Q277" s="210" t="str">
        <f>IF(P277="","",VLOOKUP(_xlfn.DAYS(入力シート!$J$24,'従業員情報(給与以外)'!$C277)/365,入力リスト!$K$18:$L$26,2,2))</f>
        <v/>
      </c>
      <c r="R277" s="209" t="str">
        <f>IF(D277="","",VLOOKUP('従業員情報(給与以外)'!$D277,入力シート!$AW$37:$BB$38,4,0))</f>
        <v/>
      </c>
      <c r="S277" s="209" t="str">
        <f>IF(A277="","",IF(E277="","非役職",VLOOKUP('従業員情報(給与以外)'!$E277,入力シート!$AH$37:$AO$62,5,0)))</f>
        <v/>
      </c>
      <c r="T277" s="102" t="str">
        <f>IF(OR(入力シート!$C$5&lt;&gt;入力リスト!$C$3,COUNTIF(入力シート!$J$16:$S$23,入力リスト!$H$9)=0),"",IF($A277="","",IF(ISERROR(AVERAGEIF(従業員の給与情報!$B:$B,$A277,従業員の給与情報!$C:$C)),0,IF(ISERROR(AVERAGEIF(従業員の給与情報!$B:$B,$A277,従業員の給与情報!$C:$C)),0,AVERAGEIF(従業員の給与情報!$B:$B,$A277,従業員の給与情報!$C:$C)))))</f>
        <v/>
      </c>
      <c r="U277" s="102" t="str">
        <f>IF(OR(入力シート!$C$5&lt;&gt;入力リスト!$C$3,COUNTIF(入力シート!$J$16:$S$23,入力リスト!$H$9)=0),"",IF(A277="","",IF(ISERROR(AVERAGEIF(従業員の給与情報!$B:$B,$A277,従業員の給与情報!$D:$D)),0,IF(ISERROR(AVERAGEIF(従業員の給与情報!$B:$B,$A277,従業員の給与情報!$D:$D)),0,AVERAGEIF(従業員の給与情報!$B:$B,$A277,従業員の給与情報!$D:$D)))))</f>
        <v/>
      </c>
      <c r="V277" s="102" t="str">
        <f>IF(OR(入力シート!$C$5&lt;&gt;入力リスト!$C$3,COUNTIF(入力シート!$J$16:$S$23,入力リスト!$H$9)=0),"",IF(A277="","",IF(ISERROR(AVERAGEIF(従業員の給与情報!$B:$B,$A277,従業員の給与情報!$E:$E)),0,IF(ISERROR(AVERAGEIF(従業員の給与情報!$B:$B,$A277,従業員の給与情報!$E:$E)),0,AVERAGEIF(従業員の給与情報!$B:$B,$A277,従業員の給与情報!$E:$E)))))</f>
        <v/>
      </c>
      <c r="W277" s="103" t="str">
        <f>IF(OR(入力シート!$C$5&lt;&gt;入力リスト!$C$3,COUNTIF(入力シート!$J$16:$S$23,入力リスト!$H$9)=0),"",IF(A277="","",IF(ISERROR(AVERAGEIF(従業員の給与情報!$B:$B,$A277,従業員の給与情報!$F:$F)),0,IF(ISERROR(AVERAGEIF(従業員の給与情報!$B:$B,$A277,従業員の給与情報!$F:$F)),0,AVERAGEIF(従業員の給与情報!$B:$B,$A277,従業員の給与情報!$F:$F)))))</f>
        <v/>
      </c>
    </row>
    <row r="278" spans="1:23" s="10" customFormat="1">
      <c r="A278" s="253"/>
      <c r="B278" s="246"/>
      <c r="C278" s="247"/>
      <c r="D278" s="246"/>
      <c r="E278" s="246"/>
      <c r="F278" s="257" t="str">
        <f>IF($G$1,"",IF(COUNTIF(A278:E278,"")=5,"",IF(G278,入力リスト!$K$28,IF(OR(A278="",B278="",IF(COUNTIF($C$3,"*不要*"),"",C278=""),D278=""),IF(A278="","従業員番号","")&amp;IF(B278="","「雇用形態」","")&amp;IF(OR(入力シート!$J$18=入力リスト!$H$9,入力シート!$J$22=入力リスト!$H$9),IF(C278="","「入社年月日」",""),"")&amp;IF(D278="","「性別」","")&amp;IF(IF(A278="","従業員番号","")&amp;IF(B278="","「雇用形態」","")&amp;IF(OR(入力シート!$J$18=入力リスト!$H$9,入力シート!$J$22=入力リスト!$H$9),IF(C278="","「入社年月日」",""),"")&amp;IF(D278="","「性別」","")="","",入力リスト!$K$29),IF(J278,入力リスト!$K$30,"")&amp;IF(I278,入力リスト!$K$31,"")&amp;IF(H278,"「雇用形態」","")&amp;IF(K278,"「性別」","")&amp;IF(L278,"「役職」","")&amp;IF(OR(H278,K278,L278),入力リスト!$K$32,"")))))</f>
        <v/>
      </c>
      <c r="G278" s="209" t="b">
        <f>COUNTIF($A$4:A277,$A278)&gt;0</f>
        <v>0</v>
      </c>
      <c r="H278" s="210" t="b">
        <f>IF($H$1,FALSE,COUNTIF(入力シート!$S$37:$V$62,B278)=0)</f>
        <v>0</v>
      </c>
      <c r="I278" s="210" t="b">
        <f t="shared" si="10"/>
        <v>0</v>
      </c>
      <c r="J278" s="210" t="b">
        <f>IF($J$1,FALSE,IF(I278=TRUE,FALSE,IF(I278,FALSE,C278&gt;入力シート!$J$24)))</f>
        <v>0</v>
      </c>
      <c r="K278" s="210" t="b">
        <f>IF($K$1,FALSE,COUNTIF(入力シート!$AW$37:$BB$38,D278)=0)</f>
        <v>0</v>
      </c>
      <c r="L278" s="210" t="b">
        <f>IF($L$1,FALSE,IF($L$3,FALSE,IF(E278="",FALSE,COUNTIF(入力シート!$AH$37:$AK$62,E278)=0)))</f>
        <v>0</v>
      </c>
      <c r="M278" s="211" t="str">
        <f t="shared" si="9"/>
        <v/>
      </c>
      <c r="N278" s="211"/>
      <c r="O278" s="209" t="str">
        <f>IF(B278="","",VLOOKUP('従業員情報(給与以外)'!$B278,入力シート!$S$37:$Z$62,5,0))</f>
        <v/>
      </c>
      <c r="P278" s="156" t="str">
        <f>IF(ISNUMBER(C278)=FALSE,"",IF(C278&gt;入力シート!$J$24,"",_xlfn.DAYS(入力シート!$J$24,'従業員情報(給与以外)'!$C278)/365))</f>
        <v/>
      </c>
      <c r="Q278" s="210" t="str">
        <f>IF(P278="","",VLOOKUP(_xlfn.DAYS(入力シート!$J$24,'従業員情報(給与以外)'!$C278)/365,入力リスト!$K$18:$L$26,2,2))</f>
        <v/>
      </c>
      <c r="R278" s="209" t="str">
        <f>IF(D278="","",VLOOKUP('従業員情報(給与以外)'!$D278,入力シート!$AW$37:$BB$38,4,0))</f>
        <v/>
      </c>
      <c r="S278" s="209" t="str">
        <f>IF(A278="","",IF(E278="","非役職",VLOOKUP('従業員情報(給与以外)'!$E278,入力シート!$AH$37:$AO$62,5,0)))</f>
        <v/>
      </c>
      <c r="T278" s="102" t="str">
        <f>IF(OR(入力シート!$C$5&lt;&gt;入力リスト!$C$3,COUNTIF(入力シート!$J$16:$S$23,入力リスト!$H$9)=0),"",IF($A278="","",IF(ISERROR(AVERAGEIF(従業員の給与情報!$B:$B,$A278,従業員の給与情報!$C:$C)),0,IF(ISERROR(AVERAGEIF(従業員の給与情報!$B:$B,$A278,従業員の給与情報!$C:$C)),0,AVERAGEIF(従業員の給与情報!$B:$B,$A278,従業員の給与情報!$C:$C)))))</f>
        <v/>
      </c>
      <c r="U278" s="102" t="str">
        <f>IF(OR(入力シート!$C$5&lt;&gt;入力リスト!$C$3,COUNTIF(入力シート!$J$16:$S$23,入力リスト!$H$9)=0),"",IF(A278="","",IF(ISERROR(AVERAGEIF(従業員の給与情報!$B:$B,$A278,従業員の給与情報!$D:$D)),0,IF(ISERROR(AVERAGEIF(従業員の給与情報!$B:$B,$A278,従業員の給与情報!$D:$D)),0,AVERAGEIF(従業員の給与情報!$B:$B,$A278,従業員の給与情報!$D:$D)))))</f>
        <v/>
      </c>
      <c r="V278" s="102" t="str">
        <f>IF(OR(入力シート!$C$5&lt;&gt;入力リスト!$C$3,COUNTIF(入力シート!$J$16:$S$23,入力リスト!$H$9)=0),"",IF(A278="","",IF(ISERROR(AVERAGEIF(従業員の給与情報!$B:$B,$A278,従業員の給与情報!$E:$E)),0,IF(ISERROR(AVERAGEIF(従業員の給与情報!$B:$B,$A278,従業員の給与情報!$E:$E)),0,AVERAGEIF(従業員の給与情報!$B:$B,$A278,従業員の給与情報!$E:$E)))))</f>
        <v/>
      </c>
      <c r="W278" s="103" t="str">
        <f>IF(OR(入力シート!$C$5&lt;&gt;入力リスト!$C$3,COUNTIF(入力シート!$J$16:$S$23,入力リスト!$H$9)=0),"",IF(A278="","",IF(ISERROR(AVERAGEIF(従業員の給与情報!$B:$B,$A278,従業員の給与情報!$F:$F)),0,IF(ISERROR(AVERAGEIF(従業員の給与情報!$B:$B,$A278,従業員の給与情報!$F:$F)),0,AVERAGEIF(従業員の給与情報!$B:$B,$A278,従業員の給与情報!$F:$F)))))</f>
        <v/>
      </c>
    </row>
    <row r="279" spans="1:23" s="10" customFormat="1">
      <c r="A279" s="253"/>
      <c r="B279" s="246"/>
      <c r="C279" s="247"/>
      <c r="D279" s="246"/>
      <c r="E279" s="246"/>
      <c r="F279" s="257" t="str">
        <f>IF($G$1,"",IF(COUNTIF(A279:E279,"")=5,"",IF(G279,入力リスト!$K$28,IF(OR(A279="",B279="",IF(COUNTIF($C$3,"*不要*"),"",C279=""),D279=""),IF(A279="","従業員番号","")&amp;IF(B279="","「雇用形態」","")&amp;IF(OR(入力シート!$J$18=入力リスト!$H$9,入力シート!$J$22=入力リスト!$H$9),IF(C279="","「入社年月日」",""),"")&amp;IF(D279="","「性別」","")&amp;IF(IF(A279="","従業員番号","")&amp;IF(B279="","「雇用形態」","")&amp;IF(OR(入力シート!$J$18=入力リスト!$H$9,入力シート!$J$22=入力リスト!$H$9),IF(C279="","「入社年月日」",""),"")&amp;IF(D279="","「性別」","")="","",入力リスト!$K$29),IF(J279,入力リスト!$K$30,"")&amp;IF(I279,入力リスト!$K$31,"")&amp;IF(H279,"「雇用形態」","")&amp;IF(K279,"「性別」","")&amp;IF(L279,"「役職」","")&amp;IF(OR(H279,K279,L279),入力リスト!$K$32,"")))))</f>
        <v/>
      </c>
      <c r="G279" s="209" t="b">
        <f>COUNTIF($A$4:A278,$A279)&gt;0</f>
        <v>0</v>
      </c>
      <c r="H279" s="210" t="b">
        <f>IF($H$1,FALSE,COUNTIF(入力シート!$S$37:$V$62,B279)=0)</f>
        <v>0</v>
      </c>
      <c r="I279" s="210" t="b">
        <f t="shared" si="10"/>
        <v>0</v>
      </c>
      <c r="J279" s="210" t="b">
        <f>IF($J$1,FALSE,IF(I279=TRUE,FALSE,IF(I279,FALSE,C279&gt;入力シート!$J$24)))</f>
        <v>0</v>
      </c>
      <c r="K279" s="210" t="b">
        <f>IF($K$1,FALSE,COUNTIF(入力シート!$AW$37:$BB$38,D279)=0)</f>
        <v>0</v>
      </c>
      <c r="L279" s="210" t="b">
        <f>IF($L$1,FALSE,IF($L$3,FALSE,IF(E279="",FALSE,COUNTIF(入力シート!$AH$37:$AK$62,E279)=0)))</f>
        <v>0</v>
      </c>
      <c r="M279" s="211" t="str">
        <f t="shared" si="9"/>
        <v/>
      </c>
      <c r="N279" s="211"/>
      <c r="O279" s="209" t="str">
        <f>IF(B279="","",VLOOKUP('従業員情報(給与以外)'!$B279,入力シート!$S$37:$Z$62,5,0))</f>
        <v/>
      </c>
      <c r="P279" s="156" t="str">
        <f>IF(ISNUMBER(C279)=FALSE,"",IF(C279&gt;入力シート!$J$24,"",_xlfn.DAYS(入力シート!$J$24,'従業員情報(給与以外)'!$C279)/365))</f>
        <v/>
      </c>
      <c r="Q279" s="210" t="str">
        <f>IF(P279="","",VLOOKUP(_xlfn.DAYS(入力シート!$J$24,'従業員情報(給与以外)'!$C279)/365,入力リスト!$K$18:$L$26,2,2))</f>
        <v/>
      </c>
      <c r="R279" s="209" t="str">
        <f>IF(D279="","",VLOOKUP('従業員情報(給与以外)'!$D279,入力シート!$AW$37:$BB$38,4,0))</f>
        <v/>
      </c>
      <c r="S279" s="209" t="str">
        <f>IF(A279="","",IF(E279="","非役職",VLOOKUP('従業員情報(給与以外)'!$E279,入力シート!$AH$37:$AO$62,5,0)))</f>
        <v/>
      </c>
      <c r="T279" s="102" t="str">
        <f>IF(OR(入力シート!$C$5&lt;&gt;入力リスト!$C$3,COUNTIF(入力シート!$J$16:$S$23,入力リスト!$H$9)=0),"",IF($A279="","",IF(ISERROR(AVERAGEIF(従業員の給与情報!$B:$B,$A279,従業員の給与情報!$C:$C)),0,IF(ISERROR(AVERAGEIF(従業員の給与情報!$B:$B,$A279,従業員の給与情報!$C:$C)),0,AVERAGEIF(従業員の給与情報!$B:$B,$A279,従業員の給与情報!$C:$C)))))</f>
        <v/>
      </c>
      <c r="U279" s="102" t="str">
        <f>IF(OR(入力シート!$C$5&lt;&gt;入力リスト!$C$3,COUNTIF(入力シート!$J$16:$S$23,入力リスト!$H$9)=0),"",IF(A279="","",IF(ISERROR(AVERAGEIF(従業員の給与情報!$B:$B,$A279,従業員の給与情報!$D:$D)),0,IF(ISERROR(AVERAGEIF(従業員の給与情報!$B:$B,$A279,従業員の給与情報!$D:$D)),0,AVERAGEIF(従業員の給与情報!$B:$B,$A279,従業員の給与情報!$D:$D)))))</f>
        <v/>
      </c>
      <c r="V279" s="102" t="str">
        <f>IF(OR(入力シート!$C$5&lt;&gt;入力リスト!$C$3,COUNTIF(入力シート!$J$16:$S$23,入力リスト!$H$9)=0),"",IF(A279="","",IF(ISERROR(AVERAGEIF(従業員の給与情報!$B:$B,$A279,従業員の給与情報!$E:$E)),0,IF(ISERROR(AVERAGEIF(従業員の給与情報!$B:$B,$A279,従業員の給与情報!$E:$E)),0,AVERAGEIF(従業員の給与情報!$B:$B,$A279,従業員の給与情報!$E:$E)))))</f>
        <v/>
      </c>
      <c r="W279" s="103" t="str">
        <f>IF(OR(入力シート!$C$5&lt;&gt;入力リスト!$C$3,COUNTIF(入力シート!$J$16:$S$23,入力リスト!$H$9)=0),"",IF(A279="","",IF(ISERROR(AVERAGEIF(従業員の給与情報!$B:$B,$A279,従業員の給与情報!$F:$F)),0,IF(ISERROR(AVERAGEIF(従業員の給与情報!$B:$B,$A279,従業員の給与情報!$F:$F)),0,AVERAGEIF(従業員の給与情報!$B:$B,$A279,従業員の給与情報!$F:$F)))))</f>
        <v/>
      </c>
    </row>
    <row r="280" spans="1:23" s="10" customFormat="1">
      <c r="A280" s="253"/>
      <c r="B280" s="246"/>
      <c r="C280" s="247"/>
      <c r="D280" s="246"/>
      <c r="E280" s="246"/>
      <c r="F280" s="257" t="str">
        <f>IF($G$1,"",IF(COUNTIF(A280:E280,"")=5,"",IF(G280,入力リスト!$K$28,IF(OR(A280="",B280="",IF(COUNTIF($C$3,"*不要*"),"",C280=""),D280=""),IF(A280="","従業員番号","")&amp;IF(B280="","「雇用形態」","")&amp;IF(OR(入力シート!$J$18=入力リスト!$H$9,入力シート!$J$22=入力リスト!$H$9),IF(C280="","「入社年月日」",""),"")&amp;IF(D280="","「性別」","")&amp;IF(IF(A280="","従業員番号","")&amp;IF(B280="","「雇用形態」","")&amp;IF(OR(入力シート!$J$18=入力リスト!$H$9,入力シート!$J$22=入力リスト!$H$9),IF(C280="","「入社年月日」",""),"")&amp;IF(D280="","「性別」","")="","",入力リスト!$K$29),IF(J280,入力リスト!$K$30,"")&amp;IF(I280,入力リスト!$K$31,"")&amp;IF(H280,"「雇用形態」","")&amp;IF(K280,"「性別」","")&amp;IF(L280,"「役職」","")&amp;IF(OR(H280,K280,L280),入力リスト!$K$32,"")))))</f>
        <v/>
      </c>
      <c r="G280" s="209" t="b">
        <f>COUNTIF($A$4:A279,$A280)&gt;0</f>
        <v>0</v>
      </c>
      <c r="H280" s="210" t="b">
        <f>IF($H$1,FALSE,COUNTIF(入力シート!$S$37:$V$62,B280)=0)</f>
        <v>0</v>
      </c>
      <c r="I280" s="210" t="b">
        <f t="shared" si="10"/>
        <v>0</v>
      </c>
      <c r="J280" s="210" t="b">
        <f>IF($J$1,FALSE,IF(I280=TRUE,FALSE,IF(I280,FALSE,C280&gt;入力シート!$J$24)))</f>
        <v>0</v>
      </c>
      <c r="K280" s="210" t="b">
        <f>IF($K$1,FALSE,COUNTIF(入力シート!$AW$37:$BB$38,D280)=0)</f>
        <v>0</v>
      </c>
      <c r="L280" s="210" t="b">
        <f>IF($L$1,FALSE,IF($L$3,FALSE,IF(E280="",FALSE,COUNTIF(入力シート!$AH$37:$AK$62,E280)=0)))</f>
        <v>0</v>
      </c>
      <c r="M280" s="211" t="str">
        <f t="shared" si="9"/>
        <v/>
      </c>
      <c r="N280" s="211"/>
      <c r="O280" s="209" t="str">
        <f>IF(B280="","",VLOOKUP('従業員情報(給与以外)'!$B280,入力シート!$S$37:$Z$62,5,0))</f>
        <v/>
      </c>
      <c r="P280" s="156" t="str">
        <f>IF(ISNUMBER(C280)=FALSE,"",IF(C280&gt;入力シート!$J$24,"",_xlfn.DAYS(入力シート!$J$24,'従業員情報(給与以外)'!$C280)/365))</f>
        <v/>
      </c>
      <c r="Q280" s="210" t="str">
        <f>IF(P280="","",VLOOKUP(_xlfn.DAYS(入力シート!$J$24,'従業員情報(給与以外)'!$C280)/365,入力リスト!$K$18:$L$26,2,2))</f>
        <v/>
      </c>
      <c r="R280" s="209" t="str">
        <f>IF(D280="","",VLOOKUP('従業員情報(給与以外)'!$D280,入力シート!$AW$37:$BB$38,4,0))</f>
        <v/>
      </c>
      <c r="S280" s="209" t="str">
        <f>IF(A280="","",IF(E280="","非役職",VLOOKUP('従業員情報(給与以外)'!$E280,入力シート!$AH$37:$AO$62,5,0)))</f>
        <v/>
      </c>
      <c r="T280" s="102" t="str">
        <f>IF(OR(入力シート!$C$5&lt;&gt;入力リスト!$C$3,COUNTIF(入力シート!$J$16:$S$23,入力リスト!$H$9)=0),"",IF($A280="","",IF(ISERROR(AVERAGEIF(従業員の給与情報!$B:$B,$A280,従業員の給与情報!$C:$C)),0,IF(ISERROR(AVERAGEIF(従業員の給与情報!$B:$B,$A280,従業員の給与情報!$C:$C)),0,AVERAGEIF(従業員の給与情報!$B:$B,$A280,従業員の給与情報!$C:$C)))))</f>
        <v/>
      </c>
      <c r="U280" s="102" t="str">
        <f>IF(OR(入力シート!$C$5&lt;&gt;入力リスト!$C$3,COUNTIF(入力シート!$J$16:$S$23,入力リスト!$H$9)=0),"",IF(A280="","",IF(ISERROR(AVERAGEIF(従業員の給与情報!$B:$B,$A280,従業員の給与情報!$D:$D)),0,IF(ISERROR(AVERAGEIF(従業員の給与情報!$B:$B,$A280,従業員の給与情報!$D:$D)),0,AVERAGEIF(従業員の給与情報!$B:$B,$A280,従業員の給与情報!$D:$D)))))</f>
        <v/>
      </c>
      <c r="V280" s="102" t="str">
        <f>IF(OR(入力シート!$C$5&lt;&gt;入力リスト!$C$3,COUNTIF(入力シート!$J$16:$S$23,入力リスト!$H$9)=0),"",IF(A280="","",IF(ISERROR(AVERAGEIF(従業員の給与情報!$B:$B,$A280,従業員の給与情報!$E:$E)),0,IF(ISERROR(AVERAGEIF(従業員の給与情報!$B:$B,$A280,従業員の給与情報!$E:$E)),0,AVERAGEIF(従業員の給与情報!$B:$B,$A280,従業員の給与情報!$E:$E)))))</f>
        <v/>
      </c>
      <c r="W280" s="103" t="str">
        <f>IF(OR(入力シート!$C$5&lt;&gt;入力リスト!$C$3,COUNTIF(入力シート!$J$16:$S$23,入力リスト!$H$9)=0),"",IF(A280="","",IF(ISERROR(AVERAGEIF(従業員の給与情報!$B:$B,$A280,従業員の給与情報!$F:$F)),0,IF(ISERROR(AVERAGEIF(従業員の給与情報!$B:$B,$A280,従業員の給与情報!$F:$F)),0,AVERAGEIF(従業員の給与情報!$B:$B,$A280,従業員の給与情報!$F:$F)))))</f>
        <v/>
      </c>
    </row>
    <row r="281" spans="1:23" s="10" customFormat="1">
      <c r="A281" s="253"/>
      <c r="B281" s="246"/>
      <c r="C281" s="247"/>
      <c r="D281" s="246"/>
      <c r="E281" s="246"/>
      <c r="F281" s="257" t="str">
        <f>IF($G$1,"",IF(COUNTIF(A281:E281,"")=5,"",IF(G281,入力リスト!$K$28,IF(OR(A281="",B281="",IF(COUNTIF($C$3,"*不要*"),"",C281=""),D281=""),IF(A281="","従業員番号","")&amp;IF(B281="","「雇用形態」","")&amp;IF(OR(入力シート!$J$18=入力リスト!$H$9,入力シート!$J$22=入力リスト!$H$9),IF(C281="","「入社年月日」",""),"")&amp;IF(D281="","「性別」","")&amp;IF(IF(A281="","従業員番号","")&amp;IF(B281="","「雇用形態」","")&amp;IF(OR(入力シート!$J$18=入力リスト!$H$9,入力シート!$J$22=入力リスト!$H$9),IF(C281="","「入社年月日」",""),"")&amp;IF(D281="","「性別」","")="","",入力リスト!$K$29),IF(J281,入力リスト!$K$30,"")&amp;IF(I281,入力リスト!$K$31,"")&amp;IF(H281,"「雇用形態」","")&amp;IF(K281,"「性別」","")&amp;IF(L281,"「役職」","")&amp;IF(OR(H281,K281,L281),入力リスト!$K$32,"")))))</f>
        <v/>
      </c>
      <c r="G281" s="209" t="b">
        <f>COUNTIF($A$4:A280,$A281)&gt;0</f>
        <v>0</v>
      </c>
      <c r="H281" s="210" t="b">
        <f>IF($H$1,FALSE,COUNTIF(入力シート!$S$37:$V$62,B281)=0)</f>
        <v>0</v>
      </c>
      <c r="I281" s="210" t="b">
        <f t="shared" si="10"/>
        <v>0</v>
      </c>
      <c r="J281" s="210" t="b">
        <f>IF($J$1,FALSE,IF(I281=TRUE,FALSE,IF(I281,FALSE,C281&gt;入力シート!$J$24)))</f>
        <v>0</v>
      </c>
      <c r="K281" s="210" t="b">
        <f>IF($K$1,FALSE,COUNTIF(入力シート!$AW$37:$BB$38,D281)=0)</f>
        <v>0</v>
      </c>
      <c r="L281" s="210" t="b">
        <f>IF($L$1,FALSE,IF($L$3,FALSE,IF(E281="",FALSE,COUNTIF(入力シート!$AH$37:$AK$62,E281)=0)))</f>
        <v>0</v>
      </c>
      <c r="M281" s="211" t="str">
        <f t="shared" si="9"/>
        <v/>
      </c>
      <c r="N281" s="211"/>
      <c r="O281" s="209" t="str">
        <f>IF(B281="","",VLOOKUP('従業員情報(給与以外)'!$B281,入力シート!$S$37:$Z$62,5,0))</f>
        <v/>
      </c>
      <c r="P281" s="156" t="str">
        <f>IF(ISNUMBER(C281)=FALSE,"",IF(C281&gt;入力シート!$J$24,"",_xlfn.DAYS(入力シート!$J$24,'従業員情報(給与以外)'!$C281)/365))</f>
        <v/>
      </c>
      <c r="Q281" s="210" t="str">
        <f>IF(P281="","",VLOOKUP(_xlfn.DAYS(入力シート!$J$24,'従業員情報(給与以外)'!$C281)/365,入力リスト!$K$18:$L$26,2,2))</f>
        <v/>
      </c>
      <c r="R281" s="209" t="str">
        <f>IF(D281="","",VLOOKUP('従業員情報(給与以外)'!$D281,入力シート!$AW$37:$BB$38,4,0))</f>
        <v/>
      </c>
      <c r="S281" s="209" t="str">
        <f>IF(A281="","",IF(E281="","非役職",VLOOKUP('従業員情報(給与以外)'!$E281,入力シート!$AH$37:$AO$62,5,0)))</f>
        <v/>
      </c>
      <c r="T281" s="102" t="str">
        <f>IF(OR(入力シート!$C$5&lt;&gt;入力リスト!$C$3,COUNTIF(入力シート!$J$16:$S$23,入力リスト!$H$9)=0),"",IF($A281="","",IF(ISERROR(AVERAGEIF(従業員の給与情報!$B:$B,$A281,従業員の給与情報!$C:$C)),0,IF(ISERROR(AVERAGEIF(従業員の給与情報!$B:$B,$A281,従業員の給与情報!$C:$C)),0,AVERAGEIF(従業員の給与情報!$B:$B,$A281,従業員の給与情報!$C:$C)))))</f>
        <v/>
      </c>
      <c r="U281" s="102" t="str">
        <f>IF(OR(入力シート!$C$5&lt;&gt;入力リスト!$C$3,COUNTIF(入力シート!$J$16:$S$23,入力リスト!$H$9)=0),"",IF(A281="","",IF(ISERROR(AVERAGEIF(従業員の給与情報!$B:$B,$A281,従業員の給与情報!$D:$D)),0,IF(ISERROR(AVERAGEIF(従業員の給与情報!$B:$B,$A281,従業員の給与情報!$D:$D)),0,AVERAGEIF(従業員の給与情報!$B:$B,$A281,従業員の給与情報!$D:$D)))))</f>
        <v/>
      </c>
      <c r="V281" s="102" t="str">
        <f>IF(OR(入力シート!$C$5&lt;&gt;入力リスト!$C$3,COUNTIF(入力シート!$J$16:$S$23,入力リスト!$H$9)=0),"",IF(A281="","",IF(ISERROR(AVERAGEIF(従業員の給与情報!$B:$B,$A281,従業員の給与情報!$E:$E)),0,IF(ISERROR(AVERAGEIF(従業員の給与情報!$B:$B,$A281,従業員の給与情報!$E:$E)),0,AVERAGEIF(従業員の給与情報!$B:$B,$A281,従業員の給与情報!$E:$E)))))</f>
        <v/>
      </c>
      <c r="W281" s="103" t="str">
        <f>IF(OR(入力シート!$C$5&lt;&gt;入力リスト!$C$3,COUNTIF(入力シート!$J$16:$S$23,入力リスト!$H$9)=0),"",IF(A281="","",IF(ISERROR(AVERAGEIF(従業員の給与情報!$B:$B,$A281,従業員の給与情報!$F:$F)),0,IF(ISERROR(AVERAGEIF(従業員の給与情報!$B:$B,$A281,従業員の給与情報!$F:$F)),0,AVERAGEIF(従業員の給与情報!$B:$B,$A281,従業員の給与情報!$F:$F)))))</f>
        <v/>
      </c>
    </row>
    <row r="282" spans="1:23" s="10" customFormat="1">
      <c r="A282" s="253"/>
      <c r="B282" s="246"/>
      <c r="C282" s="247"/>
      <c r="D282" s="246"/>
      <c r="E282" s="246"/>
      <c r="F282" s="257" t="str">
        <f>IF($G$1,"",IF(COUNTIF(A282:E282,"")=5,"",IF(G282,入力リスト!$K$28,IF(OR(A282="",B282="",IF(COUNTIF($C$3,"*不要*"),"",C282=""),D282=""),IF(A282="","従業員番号","")&amp;IF(B282="","「雇用形態」","")&amp;IF(OR(入力シート!$J$18=入力リスト!$H$9,入力シート!$J$22=入力リスト!$H$9),IF(C282="","「入社年月日」",""),"")&amp;IF(D282="","「性別」","")&amp;IF(IF(A282="","従業員番号","")&amp;IF(B282="","「雇用形態」","")&amp;IF(OR(入力シート!$J$18=入力リスト!$H$9,入力シート!$J$22=入力リスト!$H$9),IF(C282="","「入社年月日」",""),"")&amp;IF(D282="","「性別」","")="","",入力リスト!$K$29),IF(J282,入力リスト!$K$30,"")&amp;IF(I282,入力リスト!$K$31,"")&amp;IF(H282,"「雇用形態」","")&amp;IF(K282,"「性別」","")&amp;IF(L282,"「役職」","")&amp;IF(OR(H282,K282,L282),入力リスト!$K$32,"")))))</f>
        <v/>
      </c>
      <c r="G282" s="209" t="b">
        <f>COUNTIF($A$4:A281,$A282)&gt;0</f>
        <v>0</v>
      </c>
      <c r="H282" s="210" t="b">
        <f>IF($H$1,FALSE,COUNTIF(入力シート!$S$37:$V$62,B282)=0)</f>
        <v>0</v>
      </c>
      <c r="I282" s="210" t="b">
        <f t="shared" si="10"/>
        <v>0</v>
      </c>
      <c r="J282" s="210" t="b">
        <f>IF($J$1,FALSE,IF(I282=TRUE,FALSE,IF(I282,FALSE,C282&gt;入力シート!$J$24)))</f>
        <v>0</v>
      </c>
      <c r="K282" s="210" t="b">
        <f>IF($K$1,FALSE,COUNTIF(入力シート!$AW$37:$BB$38,D282)=0)</f>
        <v>0</v>
      </c>
      <c r="L282" s="210" t="b">
        <f>IF($L$1,FALSE,IF($L$3,FALSE,IF(E282="",FALSE,COUNTIF(入力シート!$AH$37:$AK$62,E282)=0)))</f>
        <v>0</v>
      </c>
      <c r="M282" s="211" t="str">
        <f t="shared" si="9"/>
        <v/>
      </c>
      <c r="N282" s="211"/>
      <c r="O282" s="209" t="str">
        <f>IF(B282="","",VLOOKUP('従業員情報(給与以外)'!$B282,入力シート!$S$37:$Z$62,5,0))</f>
        <v/>
      </c>
      <c r="P282" s="156" t="str">
        <f>IF(ISNUMBER(C282)=FALSE,"",IF(C282&gt;入力シート!$J$24,"",_xlfn.DAYS(入力シート!$J$24,'従業員情報(給与以外)'!$C282)/365))</f>
        <v/>
      </c>
      <c r="Q282" s="210" t="str">
        <f>IF(P282="","",VLOOKUP(_xlfn.DAYS(入力シート!$J$24,'従業員情報(給与以外)'!$C282)/365,入力リスト!$K$18:$L$26,2,2))</f>
        <v/>
      </c>
      <c r="R282" s="209" t="str">
        <f>IF(D282="","",VLOOKUP('従業員情報(給与以外)'!$D282,入力シート!$AW$37:$BB$38,4,0))</f>
        <v/>
      </c>
      <c r="S282" s="209" t="str">
        <f>IF(A282="","",IF(E282="","非役職",VLOOKUP('従業員情報(給与以外)'!$E282,入力シート!$AH$37:$AO$62,5,0)))</f>
        <v/>
      </c>
      <c r="T282" s="102" t="str">
        <f>IF(OR(入力シート!$C$5&lt;&gt;入力リスト!$C$3,COUNTIF(入力シート!$J$16:$S$23,入力リスト!$H$9)=0),"",IF($A282="","",IF(ISERROR(AVERAGEIF(従業員の給与情報!$B:$B,$A282,従業員の給与情報!$C:$C)),0,IF(ISERROR(AVERAGEIF(従業員の給与情報!$B:$B,$A282,従業員の給与情報!$C:$C)),0,AVERAGEIF(従業員の給与情報!$B:$B,$A282,従業員の給与情報!$C:$C)))))</f>
        <v/>
      </c>
      <c r="U282" s="102" t="str">
        <f>IF(OR(入力シート!$C$5&lt;&gt;入力リスト!$C$3,COUNTIF(入力シート!$J$16:$S$23,入力リスト!$H$9)=0),"",IF(A282="","",IF(ISERROR(AVERAGEIF(従業員の給与情報!$B:$B,$A282,従業員の給与情報!$D:$D)),0,IF(ISERROR(AVERAGEIF(従業員の給与情報!$B:$B,$A282,従業員の給与情報!$D:$D)),0,AVERAGEIF(従業員の給与情報!$B:$B,$A282,従業員の給与情報!$D:$D)))))</f>
        <v/>
      </c>
      <c r="V282" s="102" t="str">
        <f>IF(OR(入力シート!$C$5&lt;&gt;入力リスト!$C$3,COUNTIF(入力シート!$J$16:$S$23,入力リスト!$H$9)=0),"",IF(A282="","",IF(ISERROR(AVERAGEIF(従業員の給与情報!$B:$B,$A282,従業員の給与情報!$E:$E)),0,IF(ISERROR(AVERAGEIF(従業員の給与情報!$B:$B,$A282,従業員の給与情報!$E:$E)),0,AVERAGEIF(従業員の給与情報!$B:$B,$A282,従業員の給与情報!$E:$E)))))</f>
        <v/>
      </c>
      <c r="W282" s="103" t="str">
        <f>IF(OR(入力シート!$C$5&lt;&gt;入力リスト!$C$3,COUNTIF(入力シート!$J$16:$S$23,入力リスト!$H$9)=0),"",IF(A282="","",IF(ISERROR(AVERAGEIF(従業員の給与情報!$B:$B,$A282,従業員の給与情報!$F:$F)),0,IF(ISERROR(AVERAGEIF(従業員の給与情報!$B:$B,$A282,従業員の給与情報!$F:$F)),0,AVERAGEIF(従業員の給与情報!$B:$B,$A282,従業員の給与情報!$F:$F)))))</f>
        <v/>
      </c>
    </row>
    <row r="283" spans="1:23" s="10" customFormat="1">
      <c r="A283" s="253"/>
      <c r="B283" s="246"/>
      <c r="C283" s="247"/>
      <c r="D283" s="246"/>
      <c r="E283" s="246"/>
      <c r="F283" s="257" t="str">
        <f>IF($G$1,"",IF(COUNTIF(A283:E283,"")=5,"",IF(G283,入力リスト!$K$28,IF(OR(A283="",B283="",IF(COUNTIF($C$3,"*不要*"),"",C283=""),D283=""),IF(A283="","従業員番号","")&amp;IF(B283="","「雇用形態」","")&amp;IF(OR(入力シート!$J$18=入力リスト!$H$9,入力シート!$J$22=入力リスト!$H$9),IF(C283="","「入社年月日」",""),"")&amp;IF(D283="","「性別」","")&amp;IF(IF(A283="","従業員番号","")&amp;IF(B283="","「雇用形態」","")&amp;IF(OR(入力シート!$J$18=入力リスト!$H$9,入力シート!$J$22=入力リスト!$H$9),IF(C283="","「入社年月日」",""),"")&amp;IF(D283="","「性別」","")="","",入力リスト!$K$29),IF(J283,入力リスト!$K$30,"")&amp;IF(I283,入力リスト!$K$31,"")&amp;IF(H283,"「雇用形態」","")&amp;IF(K283,"「性別」","")&amp;IF(L283,"「役職」","")&amp;IF(OR(H283,K283,L283),入力リスト!$K$32,"")))))</f>
        <v/>
      </c>
      <c r="G283" s="209" t="b">
        <f>COUNTIF($A$4:A282,$A283)&gt;0</f>
        <v>0</v>
      </c>
      <c r="H283" s="210" t="b">
        <f>IF($H$1,FALSE,COUNTIF(入力シート!$S$37:$V$62,B283)=0)</f>
        <v>0</v>
      </c>
      <c r="I283" s="210" t="b">
        <f t="shared" si="10"/>
        <v>0</v>
      </c>
      <c r="J283" s="210" t="b">
        <f>IF($J$1,FALSE,IF(I283=TRUE,FALSE,IF(I283,FALSE,C283&gt;入力シート!$J$24)))</f>
        <v>0</v>
      </c>
      <c r="K283" s="210" t="b">
        <f>IF($K$1,FALSE,COUNTIF(入力シート!$AW$37:$BB$38,D283)=0)</f>
        <v>0</v>
      </c>
      <c r="L283" s="210" t="b">
        <f>IF($L$1,FALSE,IF($L$3,FALSE,IF(E283="",FALSE,COUNTIF(入力シート!$AH$37:$AK$62,E283)=0)))</f>
        <v>0</v>
      </c>
      <c r="M283" s="211" t="str">
        <f t="shared" si="9"/>
        <v/>
      </c>
      <c r="N283" s="211"/>
      <c r="O283" s="209" t="str">
        <f>IF(B283="","",VLOOKUP('従業員情報(給与以外)'!$B283,入力シート!$S$37:$Z$62,5,0))</f>
        <v/>
      </c>
      <c r="P283" s="156" t="str">
        <f>IF(ISNUMBER(C283)=FALSE,"",IF(C283&gt;入力シート!$J$24,"",_xlfn.DAYS(入力シート!$J$24,'従業員情報(給与以外)'!$C283)/365))</f>
        <v/>
      </c>
      <c r="Q283" s="210" t="str">
        <f>IF(P283="","",VLOOKUP(_xlfn.DAYS(入力シート!$J$24,'従業員情報(給与以外)'!$C283)/365,入力リスト!$K$18:$L$26,2,2))</f>
        <v/>
      </c>
      <c r="R283" s="209" t="str">
        <f>IF(D283="","",VLOOKUP('従業員情報(給与以外)'!$D283,入力シート!$AW$37:$BB$38,4,0))</f>
        <v/>
      </c>
      <c r="S283" s="209" t="str">
        <f>IF(A283="","",IF(E283="","非役職",VLOOKUP('従業員情報(給与以外)'!$E283,入力シート!$AH$37:$AO$62,5,0)))</f>
        <v/>
      </c>
      <c r="T283" s="102" t="str">
        <f>IF(OR(入力シート!$C$5&lt;&gt;入力リスト!$C$3,COUNTIF(入力シート!$J$16:$S$23,入力リスト!$H$9)=0),"",IF($A283="","",IF(ISERROR(AVERAGEIF(従業員の給与情報!$B:$B,$A283,従業員の給与情報!$C:$C)),0,IF(ISERROR(AVERAGEIF(従業員の給与情報!$B:$B,$A283,従業員の給与情報!$C:$C)),0,AVERAGEIF(従業員の給与情報!$B:$B,$A283,従業員の給与情報!$C:$C)))))</f>
        <v/>
      </c>
      <c r="U283" s="102" t="str">
        <f>IF(OR(入力シート!$C$5&lt;&gt;入力リスト!$C$3,COUNTIF(入力シート!$J$16:$S$23,入力リスト!$H$9)=0),"",IF(A283="","",IF(ISERROR(AVERAGEIF(従業員の給与情報!$B:$B,$A283,従業員の給与情報!$D:$D)),0,IF(ISERROR(AVERAGEIF(従業員の給与情報!$B:$B,$A283,従業員の給与情報!$D:$D)),0,AVERAGEIF(従業員の給与情報!$B:$B,$A283,従業員の給与情報!$D:$D)))))</f>
        <v/>
      </c>
      <c r="V283" s="102" t="str">
        <f>IF(OR(入力シート!$C$5&lt;&gt;入力リスト!$C$3,COUNTIF(入力シート!$J$16:$S$23,入力リスト!$H$9)=0),"",IF(A283="","",IF(ISERROR(AVERAGEIF(従業員の給与情報!$B:$B,$A283,従業員の給与情報!$E:$E)),0,IF(ISERROR(AVERAGEIF(従業員の給与情報!$B:$B,$A283,従業員の給与情報!$E:$E)),0,AVERAGEIF(従業員の給与情報!$B:$B,$A283,従業員の給与情報!$E:$E)))))</f>
        <v/>
      </c>
      <c r="W283" s="103" t="str">
        <f>IF(OR(入力シート!$C$5&lt;&gt;入力リスト!$C$3,COUNTIF(入力シート!$J$16:$S$23,入力リスト!$H$9)=0),"",IF(A283="","",IF(ISERROR(AVERAGEIF(従業員の給与情報!$B:$B,$A283,従業員の給与情報!$F:$F)),0,IF(ISERROR(AVERAGEIF(従業員の給与情報!$B:$B,$A283,従業員の給与情報!$F:$F)),0,AVERAGEIF(従業員の給与情報!$B:$B,$A283,従業員の給与情報!$F:$F)))))</f>
        <v/>
      </c>
    </row>
    <row r="284" spans="1:23" s="10" customFormat="1">
      <c r="A284" s="253"/>
      <c r="B284" s="246"/>
      <c r="C284" s="247"/>
      <c r="D284" s="246"/>
      <c r="E284" s="246"/>
      <c r="F284" s="257" t="str">
        <f>IF($G$1,"",IF(COUNTIF(A284:E284,"")=5,"",IF(G284,入力リスト!$K$28,IF(OR(A284="",B284="",IF(COUNTIF($C$3,"*不要*"),"",C284=""),D284=""),IF(A284="","従業員番号","")&amp;IF(B284="","「雇用形態」","")&amp;IF(OR(入力シート!$J$18=入力リスト!$H$9,入力シート!$J$22=入力リスト!$H$9),IF(C284="","「入社年月日」",""),"")&amp;IF(D284="","「性別」","")&amp;IF(IF(A284="","従業員番号","")&amp;IF(B284="","「雇用形態」","")&amp;IF(OR(入力シート!$J$18=入力リスト!$H$9,入力シート!$J$22=入力リスト!$H$9),IF(C284="","「入社年月日」",""),"")&amp;IF(D284="","「性別」","")="","",入力リスト!$K$29),IF(J284,入力リスト!$K$30,"")&amp;IF(I284,入力リスト!$K$31,"")&amp;IF(H284,"「雇用形態」","")&amp;IF(K284,"「性別」","")&amp;IF(L284,"「役職」","")&amp;IF(OR(H284,K284,L284),入力リスト!$K$32,"")))))</f>
        <v/>
      </c>
      <c r="G284" s="209" t="b">
        <f>COUNTIF($A$4:A283,$A284)&gt;0</f>
        <v>0</v>
      </c>
      <c r="H284" s="210" t="b">
        <f>IF($H$1,FALSE,COUNTIF(入力シート!$S$37:$V$62,B284)=0)</f>
        <v>0</v>
      </c>
      <c r="I284" s="210" t="b">
        <f t="shared" si="10"/>
        <v>0</v>
      </c>
      <c r="J284" s="210" t="b">
        <f>IF($J$1,FALSE,IF(I284=TRUE,FALSE,IF(I284,FALSE,C284&gt;入力シート!$J$24)))</f>
        <v>0</v>
      </c>
      <c r="K284" s="210" t="b">
        <f>IF($K$1,FALSE,COUNTIF(入力シート!$AW$37:$BB$38,D284)=0)</f>
        <v>0</v>
      </c>
      <c r="L284" s="210" t="b">
        <f>IF($L$1,FALSE,IF($L$3,FALSE,IF(E284="",FALSE,COUNTIF(入力シート!$AH$37:$AK$62,E284)=0)))</f>
        <v>0</v>
      </c>
      <c r="M284" s="211" t="str">
        <f t="shared" si="9"/>
        <v/>
      </c>
      <c r="N284" s="211"/>
      <c r="O284" s="209" t="str">
        <f>IF(B284="","",VLOOKUP('従業員情報(給与以外)'!$B284,入力シート!$S$37:$Z$62,5,0))</f>
        <v/>
      </c>
      <c r="P284" s="156" t="str">
        <f>IF(ISNUMBER(C284)=FALSE,"",IF(C284&gt;入力シート!$J$24,"",_xlfn.DAYS(入力シート!$J$24,'従業員情報(給与以外)'!$C284)/365))</f>
        <v/>
      </c>
      <c r="Q284" s="210" t="str">
        <f>IF(P284="","",VLOOKUP(_xlfn.DAYS(入力シート!$J$24,'従業員情報(給与以外)'!$C284)/365,入力リスト!$K$18:$L$26,2,2))</f>
        <v/>
      </c>
      <c r="R284" s="209" t="str">
        <f>IF(D284="","",VLOOKUP('従業員情報(給与以外)'!$D284,入力シート!$AW$37:$BB$38,4,0))</f>
        <v/>
      </c>
      <c r="S284" s="209" t="str">
        <f>IF(A284="","",IF(E284="","非役職",VLOOKUP('従業員情報(給与以外)'!$E284,入力シート!$AH$37:$AO$62,5,0)))</f>
        <v/>
      </c>
      <c r="T284" s="102" t="str">
        <f>IF(OR(入力シート!$C$5&lt;&gt;入力リスト!$C$3,COUNTIF(入力シート!$J$16:$S$23,入力リスト!$H$9)=0),"",IF($A284="","",IF(ISERROR(AVERAGEIF(従業員の給与情報!$B:$B,$A284,従業員の給与情報!$C:$C)),0,IF(ISERROR(AVERAGEIF(従業員の給与情報!$B:$B,$A284,従業員の給与情報!$C:$C)),0,AVERAGEIF(従業員の給与情報!$B:$B,$A284,従業員の給与情報!$C:$C)))))</f>
        <v/>
      </c>
      <c r="U284" s="102" t="str">
        <f>IF(OR(入力シート!$C$5&lt;&gt;入力リスト!$C$3,COUNTIF(入力シート!$J$16:$S$23,入力リスト!$H$9)=0),"",IF(A284="","",IF(ISERROR(AVERAGEIF(従業員の給与情報!$B:$B,$A284,従業員の給与情報!$D:$D)),0,IF(ISERROR(AVERAGEIF(従業員の給与情報!$B:$B,$A284,従業員の給与情報!$D:$D)),0,AVERAGEIF(従業員の給与情報!$B:$B,$A284,従業員の給与情報!$D:$D)))))</f>
        <v/>
      </c>
      <c r="V284" s="102" t="str">
        <f>IF(OR(入力シート!$C$5&lt;&gt;入力リスト!$C$3,COUNTIF(入力シート!$J$16:$S$23,入力リスト!$H$9)=0),"",IF(A284="","",IF(ISERROR(AVERAGEIF(従業員の給与情報!$B:$B,$A284,従業員の給与情報!$E:$E)),0,IF(ISERROR(AVERAGEIF(従業員の給与情報!$B:$B,$A284,従業員の給与情報!$E:$E)),0,AVERAGEIF(従業員の給与情報!$B:$B,$A284,従業員の給与情報!$E:$E)))))</f>
        <v/>
      </c>
      <c r="W284" s="103" t="str">
        <f>IF(OR(入力シート!$C$5&lt;&gt;入力リスト!$C$3,COUNTIF(入力シート!$J$16:$S$23,入力リスト!$H$9)=0),"",IF(A284="","",IF(ISERROR(AVERAGEIF(従業員の給与情報!$B:$B,$A284,従業員の給与情報!$F:$F)),0,IF(ISERROR(AVERAGEIF(従業員の給与情報!$B:$B,$A284,従業員の給与情報!$F:$F)),0,AVERAGEIF(従業員の給与情報!$B:$B,$A284,従業員の給与情報!$F:$F)))))</f>
        <v/>
      </c>
    </row>
    <row r="285" spans="1:23" s="10" customFormat="1">
      <c r="A285" s="253"/>
      <c r="B285" s="246"/>
      <c r="C285" s="247"/>
      <c r="D285" s="246"/>
      <c r="E285" s="246"/>
      <c r="F285" s="257" t="str">
        <f>IF($G$1,"",IF(COUNTIF(A285:E285,"")=5,"",IF(G285,入力リスト!$K$28,IF(OR(A285="",B285="",IF(COUNTIF($C$3,"*不要*"),"",C285=""),D285=""),IF(A285="","従業員番号","")&amp;IF(B285="","「雇用形態」","")&amp;IF(OR(入力シート!$J$18=入力リスト!$H$9,入力シート!$J$22=入力リスト!$H$9),IF(C285="","「入社年月日」",""),"")&amp;IF(D285="","「性別」","")&amp;IF(IF(A285="","従業員番号","")&amp;IF(B285="","「雇用形態」","")&amp;IF(OR(入力シート!$J$18=入力リスト!$H$9,入力シート!$J$22=入力リスト!$H$9),IF(C285="","「入社年月日」",""),"")&amp;IF(D285="","「性別」","")="","",入力リスト!$K$29),IF(J285,入力リスト!$K$30,"")&amp;IF(I285,入力リスト!$K$31,"")&amp;IF(H285,"「雇用形態」","")&amp;IF(K285,"「性別」","")&amp;IF(L285,"「役職」","")&amp;IF(OR(H285,K285,L285),入力リスト!$K$32,"")))))</f>
        <v/>
      </c>
      <c r="G285" s="209" t="b">
        <f>COUNTIF($A$4:A284,$A285)&gt;0</f>
        <v>0</v>
      </c>
      <c r="H285" s="210" t="b">
        <f>IF($H$1,FALSE,COUNTIF(入力シート!$S$37:$V$62,B285)=0)</f>
        <v>0</v>
      </c>
      <c r="I285" s="210" t="b">
        <f t="shared" si="10"/>
        <v>0</v>
      </c>
      <c r="J285" s="210" t="b">
        <f>IF($J$1,FALSE,IF(I285=TRUE,FALSE,IF(I285,FALSE,C285&gt;入力シート!$J$24)))</f>
        <v>0</v>
      </c>
      <c r="K285" s="210" t="b">
        <f>IF($K$1,FALSE,COUNTIF(入力シート!$AW$37:$BB$38,D285)=0)</f>
        <v>0</v>
      </c>
      <c r="L285" s="210" t="b">
        <f>IF($L$1,FALSE,IF($L$3,FALSE,IF(E285="",FALSE,COUNTIF(入力シート!$AH$37:$AK$62,E285)=0)))</f>
        <v>0</v>
      </c>
      <c r="M285" s="211" t="str">
        <f t="shared" si="9"/>
        <v/>
      </c>
      <c r="N285" s="211"/>
      <c r="O285" s="209" t="str">
        <f>IF(B285="","",VLOOKUP('従業員情報(給与以外)'!$B285,入力シート!$S$37:$Z$62,5,0))</f>
        <v/>
      </c>
      <c r="P285" s="156" t="str">
        <f>IF(ISNUMBER(C285)=FALSE,"",IF(C285&gt;入力シート!$J$24,"",_xlfn.DAYS(入力シート!$J$24,'従業員情報(給与以外)'!$C285)/365))</f>
        <v/>
      </c>
      <c r="Q285" s="210" t="str">
        <f>IF(P285="","",VLOOKUP(_xlfn.DAYS(入力シート!$J$24,'従業員情報(給与以外)'!$C285)/365,入力リスト!$K$18:$L$26,2,2))</f>
        <v/>
      </c>
      <c r="R285" s="209" t="str">
        <f>IF(D285="","",VLOOKUP('従業員情報(給与以外)'!$D285,入力シート!$AW$37:$BB$38,4,0))</f>
        <v/>
      </c>
      <c r="S285" s="209" t="str">
        <f>IF(A285="","",IF(E285="","非役職",VLOOKUP('従業員情報(給与以外)'!$E285,入力シート!$AH$37:$AO$62,5,0)))</f>
        <v/>
      </c>
      <c r="T285" s="102" t="str">
        <f>IF(OR(入力シート!$C$5&lt;&gt;入力リスト!$C$3,COUNTIF(入力シート!$J$16:$S$23,入力リスト!$H$9)=0),"",IF($A285="","",IF(ISERROR(AVERAGEIF(従業員の給与情報!$B:$B,$A285,従業員の給与情報!$C:$C)),0,IF(ISERROR(AVERAGEIF(従業員の給与情報!$B:$B,$A285,従業員の給与情報!$C:$C)),0,AVERAGEIF(従業員の給与情報!$B:$B,$A285,従業員の給与情報!$C:$C)))))</f>
        <v/>
      </c>
      <c r="U285" s="102" t="str">
        <f>IF(OR(入力シート!$C$5&lt;&gt;入力リスト!$C$3,COUNTIF(入力シート!$J$16:$S$23,入力リスト!$H$9)=0),"",IF(A285="","",IF(ISERROR(AVERAGEIF(従業員の給与情報!$B:$B,$A285,従業員の給与情報!$D:$D)),0,IF(ISERROR(AVERAGEIF(従業員の給与情報!$B:$B,$A285,従業員の給与情報!$D:$D)),0,AVERAGEIF(従業員の給与情報!$B:$B,$A285,従業員の給与情報!$D:$D)))))</f>
        <v/>
      </c>
      <c r="V285" s="102" t="str">
        <f>IF(OR(入力シート!$C$5&lt;&gt;入力リスト!$C$3,COUNTIF(入力シート!$J$16:$S$23,入力リスト!$H$9)=0),"",IF(A285="","",IF(ISERROR(AVERAGEIF(従業員の給与情報!$B:$B,$A285,従業員の給与情報!$E:$E)),0,IF(ISERROR(AVERAGEIF(従業員の給与情報!$B:$B,$A285,従業員の給与情報!$E:$E)),0,AVERAGEIF(従業員の給与情報!$B:$B,$A285,従業員の給与情報!$E:$E)))))</f>
        <v/>
      </c>
      <c r="W285" s="103" t="str">
        <f>IF(OR(入力シート!$C$5&lt;&gt;入力リスト!$C$3,COUNTIF(入力シート!$J$16:$S$23,入力リスト!$H$9)=0),"",IF(A285="","",IF(ISERROR(AVERAGEIF(従業員の給与情報!$B:$B,$A285,従業員の給与情報!$F:$F)),0,IF(ISERROR(AVERAGEIF(従業員の給与情報!$B:$B,$A285,従業員の給与情報!$F:$F)),0,AVERAGEIF(従業員の給与情報!$B:$B,$A285,従業員の給与情報!$F:$F)))))</f>
        <v/>
      </c>
    </row>
    <row r="286" spans="1:23" s="10" customFormat="1">
      <c r="A286" s="253"/>
      <c r="B286" s="246"/>
      <c r="C286" s="247"/>
      <c r="D286" s="246"/>
      <c r="E286" s="246"/>
      <c r="F286" s="257" t="str">
        <f>IF($G$1,"",IF(COUNTIF(A286:E286,"")=5,"",IF(G286,入力リスト!$K$28,IF(OR(A286="",B286="",IF(COUNTIF($C$3,"*不要*"),"",C286=""),D286=""),IF(A286="","従業員番号","")&amp;IF(B286="","「雇用形態」","")&amp;IF(OR(入力シート!$J$18=入力リスト!$H$9,入力シート!$J$22=入力リスト!$H$9),IF(C286="","「入社年月日」",""),"")&amp;IF(D286="","「性別」","")&amp;IF(IF(A286="","従業員番号","")&amp;IF(B286="","「雇用形態」","")&amp;IF(OR(入力シート!$J$18=入力リスト!$H$9,入力シート!$J$22=入力リスト!$H$9),IF(C286="","「入社年月日」",""),"")&amp;IF(D286="","「性別」","")="","",入力リスト!$K$29),IF(J286,入力リスト!$K$30,"")&amp;IF(I286,入力リスト!$K$31,"")&amp;IF(H286,"「雇用形態」","")&amp;IF(K286,"「性別」","")&amp;IF(L286,"「役職」","")&amp;IF(OR(H286,K286,L286),入力リスト!$K$32,"")))))</f>
        <v/>
      </c>
      <c r="G286" s="209" t="b">
        <f>COUNTIF($A$4:A285,$A286)&gt;0</f>
        <v>0</v>
      </c>
      <c r="H286" s="210" t="b">
        <f>IF($H$1,FALSE,COUNTIF(入力シート!$S$37:$V$62,B286)=0)</f>
        <v>0</v>
      </c>
      <c r="I286" s="210" t="b">
        <f t="shared" si="10"/>
        <v>0</v>
      </c>
      <c r="J286" s="210" t="b">
        <f>IF($J$1,FALSE,IF(I286=TRUE,FALSE,IF(I286,FALSE,C286&gt;入力シート!$J$24)))</f>
        <v>0</v>
      </c>
      <c r="K286" s="210" t="b">
        <f>IF($K$1,FALSE,COUNTIF(入力シート!$AW$37:$BB$38,D286)=0)</f>
        <v>0</v>
      </c>
      <c r="L286" s="210" t="b">
        <f>IF($L$1,FALSE,IF($L$3,FALSE,IF(E286="",FALSE,COUNTIF(入力シート!$AH$37:$AK$62,E286)=0)))</f>
        <v>0</v>
      </c>
      <c r="M286" s="211" t="str">
        <f t="shared" si="9"/>
        <v/>
      </c>
      <c r="N286" s="211"/>
      <c r="O286" s="209" t="str">
        <f>IF(B286="","",VLOOKUP('従業員情報(給与以外)'!$B286,入力シート!$S$37:$Z$62,5,0))</f>
        <v/>
      </c>
      <c r="P286" s="156" t="str">
        <f>IF(ISNUMBER(C286)=FALSE,"",IF(C286&gt;入力シート!$J$24,"",_xlfn.DAYS(入力シート!$J$24,'従業員情報(給与以外)'!$C286)/365))</f>
        <v/>
      </c>
      <c r="Q286" s="210" t="str">
        <f>IF(P286="","",VLOOKUP(_xlfn.DAYS(入力シート!$J$24,'従業員情報(給与以外)'!$C286)/365,入力リスト!$K$18:$L$26,2,2))</f>
        <v/>
      </c>
      <c r="R286" s="209" t="str">
        <f>IF(D286="","",VLOOKUP('従業員情報(給与以外)'!$D286,入力シート!$AW$37:$BB$38,4,0))</f>
        <v/>
      </c>
      <c r="S286" s="209" t="str">
        <f>IF(A286="","",IF(E286="","非役職",VLOOKUP('従業員情報(給与以外)'!$E286,入力シート!$AH$37:$AO$62,5,0)))</f>
        <v/>
      </c>
      <c r="T286" s="102" t="str">
        <f>IF(OR(入力シート!$C$5&lt;&gt;入力リスト!$C$3,COUNTIF(入力シート!$J$16:$S$23,入力リスト!$H$9)=0),"",IF($A286="","",IF(ISERROR(AVERAGEIF(従業員の給与情報!$B:$B,$A286,従業員の給与情報!$C:$C)),0,IF(ISERROR(AVERAGEIF(従業員の給与情報!$B:$B,$A286,従業員の給与情報!$C:$C)),0,AVERAGEIF(従業員の給与情報!$B:$B,$A286,従業員の給与情報!$C:$C)))))</f>
        <v/>
      </c>
      <c r="U286" s="102" t="str">
        <f>IF(OR(入力シート!$C$5&lt;&gt;入力リスト!$C$3,COUNTIF(入力シート!$J$16:$S$23,入力リスト!$H$9)=0),"",IF(A286="","",IF(ISERROR(AVERAGEIF(従業員の給与情報!$B:$B,$A286,従業員の給与情報!$D:$D)),0,IF(ISERROR(AVERAGEIF(従業員の給与情報!$B:$B,$A286,従業員の給与情報!$D:$D)),0,AVERAGEIF(従業員の給与情報!$B:$B,$A286,従業員の給与情報!$D:$D)))))</f>
        <v/>
      </c>
      <c r="V286" s="102" t="str">
        <f>IF(OR(入力シート!$C$5&lt;&gt;入力リスト!$C$3,COUNTIF(入力シート!$J$16:$S$23,入力リスト!$H$9)=0),"",IF(A286="","",IF(ISERROR(AVERAGEIF(従業員の給与情報!$B:$B,$A286,従業員の給与情報!$E:$E)),0,IF(ISERROR(AVERAGEIF(従業員の給与情報!$B:$B,$A286,従業員の給与情報!$E:$E)),0,AVERAGEIF(従業員の給与情報!$B:$B,$A286,従業員の給与情報!$E:$E)))))</f>
        <v/>
      </c>
      <c r="W286" s="103" t="str">
        <f>IF(OR(入力シート!$C$5&lt;&gt;入力リスト!$C$3,COUNTIF(入力シート!$J$16:$S$23,入力リスト!$H$9)=0),"",IF(A286="","",IF(ISERROR(AVERAGEIF(従業員の給与情報!$B:$B,$A286,従業員の給与情報!$F:$F)),0,IF(ISERROR(AVERAGEIF(従業員の給与情報!$B:$B,$A286,従業員の給与情報!$F:$F)),0,AVERAGEIF(従業員の給与情報!$B:$B,$A286,従業員の給与情報!$F:$F)))))</f>
        <v/>
      </c>
    </row>
    <row r="287" spans="1:23" s="10" customFormat="1">
      <c r="A287" s="253"/>
      <c r="B287" s="246"/>
      <c r="C287" s="247"/>
      <c r="D287" s="246"/>
      <c r="E287" s="246"/>
      <c r="F287" s="257" t="str">
        <f>IF($G$1,"",IF(COUNTIF(A287:E287,"")=5,"",IF(G287,入力リスト!$K$28,IF(OR(A287="",B287="",IF(COUNTIF($C$3,"*不要*"),"",C287=""),D287=""),IF(A287="","従業員番号","")&amp;IF(B287="","「雇用形態」","")&amp;IF(OR(入力シート!$J$18=入力リスト!$H$9,入力シート!$J$22=入力リスト!$H$9),IF(C287="","「入社年月日」",""),"")&amp;IF(D287="","「性別」","")&amp;IF(IF(A287="","従業員番号","")&amp;IF(B287="","「雇用形態」","")&amp;IF(OR(入力シート!$J$18=入力リスト!$H$9,入力シート!$J$22=入力リスト!$H$9),IF(C287="","「入社年月日」",""),"")&amp;IF(D287="","「性別」","")="","",入力リスト!$K$29),IF(J287,入力リスト!$K$30,"")&amp;IF(I287,入力リスト!$K$31,"")&amp;IF(H287,"「雇用形態」","")&amp;IF(K287,"「性別」","")&amp;IF(L287,"「役職」","")&amp;IF(OR(H287,K287,L287),入力リスト!$K$32,"")))))</f>
        <v/>
      </c>
      <c r="G287" s="209" t="b">
        <f>COUNTIF($A$4:A286,$A287)&gt;0</f>
        <v>0</v>
      </c>
      <c r="H287" s="210" t="b">
        <f>IF($H$1,FALSE,COUNTIF(入力シート!$S$37:$V$62,B287)=0)</f>
        <v>0</v>
      </c>
      <c r="I287" s="210" t="b">
        <f t="shared" si="10"/>
        <v>0</v>
      </c>
      <c r="J287" s="210" t="b">
        <f>IF($J$1,FALSE,IF(I287=TRUE,FALSE,IF(I287,FALSE,C287&gt;入力シート!$J$24)))</f>
        <v>0</v>
      </c>
      <c r="K287" s="210" t="b">
        <f>IF($K$1,FALSE,COUNTIF(入力シート!$AW$37:$BB$38,D287)=0)</f>
        <v>0</v>
      </c>
      <c r="L287" s="210" t="b">
        <f>IF($L$1,FALSE,IF($L$3,FALSE,IF(E287="",FALSE,COUNTIF(入力シート!$AH$37:$AK$62,E287)=0)))</f>
        <v>0</v>
      </c>
      <c r="M287" s="211" t="str">
        <f t="shared" si="9"/>
        <v/>
      </c>
      <c r="N287" s="211"/>
      <c r="O287" s="209" t="str">
        <f>IF(B287="","",VLOOKUP('従業員情報(給与以外)'!$B287,入力シート!$S$37:$Z$62,5,0))</f>
        <v/>
      </c>
      <c r="P287" s="156" t="str">
        <f>IF(ISNUMBER(C287)=FALSE,"",IF(C287&gt;入力シート!$J$24,"",_xlfn.DAYS(入力シート!$J$24,'従業員情報(給与以外)'!$C287)/365))</f>
        <v/>
      </c>
      <c r="Q287" s="210" t="str">
        <f>IF(P287="","",VLOOKUP(_xlfn.DAYS(入力シート!$J$24,'従業員情報(給与以外)'!$C287)/365,入力リスト!$K$18:$L$26,2,2))</f>
        <v/>
      </c>
      <c r="R287" s="209" t="str">
        <f>IF(D287="","",VLOOKUP('従業員情報(給与以外)'!$D287,入力シート!$AW$37:$BB$38,4,0))</f>
        <v/>
      </c>
      <c r="S287" s="209" t="str">
        <f>IF(A287="","",IF(E287="","非役職",VLOOKUP('従業員情報(給与以外)'!$E287,入力シート!$AH$37:$AO$62,5,0)))</f>
        <v/>
      </c>
      <c r="T287" s="102" t="str">
        <f>IF(OR(入力シート!$C$5&lt;&gt;入力リスト!$C$3,COUNTIF(入力シート!$J$16:$S$23,入力リスト!$H$9)=0),"",IF($A287="","",IF(ISERROR(AVERAGEIF(従業員の給与情報!$B:$B,$A287,従業員の給与情報!$C:$C)),0,IF(ISERROR(AVERAGEIF(従業員の給与情報!$B:$B,$A287,従業員の給与情報!$C:$C)),0,AVERAGEIF(従業員の給与情報!$B:$B,$A287,従業員の給与情報!$C:$C)))))</f>
        <v/>
      </c>
      <c r="U287" s="102" t="str">
        <f>IF(OR(入力シート!$C$5&lt;&gt;入力リスト!$C$3,COUNTIF(入力シート!$J$16:$S$23,入力リスト!$H$9)=0),"",IF(A287="","",IF(ISERROR(AVERAGEIF(従業員の給与情報!$B:$B,$A287,従業員の給与情報!$D:$D)),0,IF(ISERROR(AVERAGEIF(従業員の給与情報!$B:$B,$A287,従業員の給与情報!$D:$D)),0,AVERAGEIF(従業員の給与情報!$B:$B,$A287,従業員の給与情報!$D:$D)))))</f>
        <v/>
      </c>
      <c r="V287" s="102" t="str">
        <f>IF(OR(入力シート!$C$5&lt;&gt;入力リスト!$C$3,COUNTIF(入力シート!$J$16:$S$23,入力リスト!$H$9)=0),"",IF(A287="","",IF(ISERROR(AVERAGEIF(従業員の給与情報!$B:$B,$A287,従業員の給与情報!$E:$E)),0,IF(ISERROR(AVERAGEIF(従業員の給与情報!$B:$B,$A287,従業員の給与情報!$E:$E)),0,AVERAGEIF(従業員の給与情報!$B:$B,$A287,従業員の給与情報!$E:$E)))))</f>
        <v/>
      </c>
      <c r="W287" s="103" t="str">
        <f>IF(OR(入力シート!$C$5&lt;&gt;入力リスト!$C$3,COUNTIF(入力シート!$J$16:$S$23,入力リスト!$H$9)=0),"",IF(A287="","",IF(ISERROR(AVERAGEIF(従業員の給与情報!$B:$B,$A287,従業員の給与情報!$F:$F)),0,IF(ISERROR(AVERAGEIF(従業員の給与情報!$B:$B,$A287,従業員の給与情報!$F:$F)),0,AVERAGEIF(従業員の給与情報!$B:$B,$A287,従業員の給与情報!$F:$F)))))</f>
        <v/>
      </c>
    </row>
    <row r="288" spans="1:23" s="10" customFormat="1">
      <c r="A288" s="253"/>
      <c r="B288" s="246"/>
      <c r="C288" s="247"/>
      <c r="D288" s="246"/>
      <c r="E288" s="246"/>
      <c r="F288" s="257" t="str">
        <f>IF($G$1,"",IF(COUNTIF(A288:E288,"")=5,"",IF(G288,入力リスト!$K$28,IF(OR(A288="",B288="",IF(COUNTIF($C$3,"*不要*"),"",C288=""),D288=""),IF(A288="","従業員番号","")&amp;IF(B288="","「雇用形態」","")&amp;IF(OR(入力シート!$J$18=入力リスト!$H$9,入力シート!$J$22=入力リスト!$H$9),IF(C288="","「入社年月日」",""),"")&amp;IF(D288="","「性別」","")&amp;IF(IF(A288="","従業員番号","")&amp;IF(B288="","「雇用形態」","")&amp;IF(OR(入力シート!$J$18=入力リスト!$H$9,入力シート!$J$22=入力リスト!$H$9),IF(C288="","「入社年月日」",""),"")&amp;IF(D288="","「性別」","")="","",入力リスト!$K$29),IF(J288,入力リスト!$K$30,"")&amp;IF(I288,入力リスト!$K$31,"")&amp;IF(H288,"「雇用形態」","")&amp;IF(K288,"「性別」","")&amp;IF(L288,"「役職」","")&amp;IF(OR(H288,K288,L288),入力リスト!$K$32,"")))))</f>
        <v/>
      </c>
      <c r="G288" s="209" t="b">
        <f>COUNTIF($A$4:A287,$A288)&gt;0</f>
        <v>0</v>
      </c>
      <c r="H288" s="210" t="b">
        <f>IF($H$1,FALSE,COUNTIF(入力シート!$S$37:$V$62,B288)=0)</f>
        <v>0</v>
      </c>
      <c r="I288" s="210" t="b">
        <f t="shared" si="10"/>
        <v>0</v>
      </c>
      <c r="J288" s="210" t="b">
        <f>IF($J$1,FALSE,IF(I288=TRUE,FALSE,IF(I288,FALSE,C288&gt;入力シート!$J$24)))</f>
        <v>0</v>
      </c>
      <c r="K288" s="210" t="b">
        <f>IF($K$1,FALSE,COUNTIF(入力シート!$AW$37:$BB$38,D288)=0)</f>
        <v>0</v>
      </c>
      <c r="L288" s="210" t="b">
        <f>IF($L$1,FALSE,IF($L$3,FALSE,IF(E288="",FALSE,COUNTIF(入力シート!$AH$37:$AK$62,E288)=0)))</f>
        <v>0</v>
      </c>
      <c r="M288" s="211" t="str">
        <f t="shared" si="9"/>
        <v/>
      </c>
      <c r="N288" s="211"/>
      <c r="O288" s="209" t="str">
        <f>IF(B288="","",VLOOKUP('従業員情報(給与以外)'!$B288,入力シート!$S$37:$Z$62,5,0))</f>
        <v/>
      </c>
      <c r="P288" s="156" t="str">
        <f>IF(ISNUMBER(C288)=FALSE,"",IF(C288&gt;入力シート!$J$24,"",_xlfn.DAYS(入力シート!$J$24,'従業員情報(給与以外)'!$C288)/365))</f>
        <v/>
      </c>
      <c r="Q288" s="210" t="str">
        <f>IF(P288="","",VLOOKUP(_xlfn.DAYS(入力シート!$J$24,'従業員情報(給与以外)'!$C288)/365,入力リスト!$K$18:$L$26,2,2))</f>
        <v/>
      </c>
      <c r="R288" s="209" t="str">
        <f>IF(D288="","",VLOOKUP('従業員情報(給与以外)'!$D288,入力シート!$AW$37:$BB$38,4,0))</f>
        <v/>
      </c>
      <c r="S288" s="209" t="str">
        <f>IF(A288="","",IF(E288="","非役職",VLOOKUP('従業員情報(給与以外)'!$E288,入力シート!$AH$37:$AO$62,5,0)))</f>
        <v/>
      </c>
      <c r="T288" s="102" t="str">
        <f>IF(OR(入力シート!$C$5&lt;&gt;入力リスト!$C$3,COUNTIF(入力シート!$J$16:$S$23,入力リスト!$H$9)=0),"",IF($A288="","",IF(ISERROR(AVERAGEIF(従業員の給与情報!$B:$B,$A288,従業員の給与情報!$C:$C)),0,IF(ISERROR(AVERAGEIF(従業員の給与情報!$B:$B,$A288,従業員の給与情報!$C:$C)),0,AVERAGEIF(従業員の給与情報!$B:$B,$A288,従業員の給与情報!$C:$C)))))</f>
        <v/>
      </c>
      <c r="U288" s="102" t="str">
        <f>IF(OR(入力シート!$C$5&lt;&gt;入力リスト!$C$3,COUNTIF(入力シート!$J$16:$S$23,入力リスト!$H$9)=0),"",IF(A288="","",IF(ISERROR(AVERAGEIF(従業員の給与情報!$B:$B,$A288,従業員の給与情報!$D:$D)),0,IF(ISERROR(AVERAGEIF(従業員の給与情報!$B:$B,$A288,従業員の給与情報!$D:$D)),0,AVERAGEIF(従業員の給与情報!$B:$B,$A288,従業員の給与情報!$D:$D)))))</f>
        <v/>
      </c>
      <c r="V288" s="102" t="str">
        <f>IF(OR(入力シート!$C$5&lt;&gt;入力リスト!$C$3,COUNTIF(入力シート!$J$16:$S$23,入力リスト!$H$9)=0),"",IF(A288="","",IF(ISERROR(AVERAGEIF(従業員の給与情報!$B:$B,$A288,従業員の給与情報!$E:$E)),0,IF(ISERROR(AVERAGEIF(従業員の給与情報!$B:$B,$A288,従業員の給与情報!$E:$E)),0,AVERAGEIF(従業員の給与情報!$B:$B,$A288,従業員の給与情報!$E:$E)))))</f>
        <v/>
      </c>
      <c r="W288" s="103" t="str">
        <f>IF(OR(入力シート!$C$5&lt;&gt;入力リスト!$C$3,COUNTIF(入力シート!$J$16:$S$23,入力リスト!$H$9)=0),"",IF(A288="","",IF(ISERROR(AVERAGEIF(従業員の給与情報!$B:$B,$A288,従業員の給与情報!$F:$F)),0,IF(ISERROR(AVERAGEIF(従業員の給与情報!$B:$B,$A288,従業員の給与情報!$F:$F)),0,AVERAGEIF(従業員の給与情報!$B:$B,$A288,従業員の給与情報!$F:$F)))))</f>
        <v/>
      </c>
    </row>
    <row r="289" spans="1:23" s="10" customFormat="1">
      <c r="A289" s="253"/>
      <c r="B289" s="246"/>
      <c r="C289" s="247"/>
      <c r="D289" s="246"/>
      <c r="E289" s="246"/>
      <c r="F289" s="257" t="str">
        <f>IF($G$1,"",IF(COUNTIF(A289:E289,"")=5,"",IF(G289,入力リスト!$K$28,IF(OR(A289="",B289="",IF(COUNTIF($C$3,"*不要*"),"",C289=""),D289=""),IF(A289="","従業員番号","")&amp;IF(B289="","「雇用形態」","")&amp;IF(OR(入力シート!$J$18=入力リスト!$H$9,入力シート!$J$22=入力リスト!$H$9),IF(C289="","「入社年月日」",""),"")&amp;IF(D289="","「性別」","")&amp;IF(IF(A289="","従業員番号","")&amp;IF(B289="","「雇用形態」","")&amp;IF(OR(入力シート!$J$18=入力リスト!$H$9,入力シート!$J$22=入力リスト!$H$9),IF(C289="","「入社年月日」",""),"")&amp;IF(D289="","「性別」","")="","",入力リスト!$K$29),IF(J289,入力リスト!$K$30,"")&amp;IF(I289,入力リスト!$K$31,"")&amp;IF(H289,"「雇用形態」","")&amp;IF(K289,"「性別」","")&amp;IF(L289,"「役職」","")&amp;IF(OR(H289,K289,L289),入力リスト!$K$32,"")))))</f>
        <v/>
      </c>
      <c r="G289" s="209" t="b">
        <f>COUNTIF($A$4:A288,$A289)&gt;0</f>
        <v>0</v>
      </c>
      <c r="H289" s="210" t="b">
        <f>IF($H$1,FALSE,COUNTIF(入力シート!$S$37:$V$62,B289)=0)</f>
        <v>0</v>
      </c>
      <c r="I289" s="210" t="b">
        <f t="shared" si="10"/>
        <v>0</v>
      </c>
      <c r="J289" s="210" t="b">
        <f>IF($J$1,FALSE,IF(I289=TRUE,FALSE,IF(I289,FALSE,C289&gt;入力シート!$J$24)))</f>
        <v>0</v>
      </c>
      <c r="K289" s="210" t="b">
        <f>IF($K$1,FALSE,COUNTIF(入力シート!$AW$37:$BB$38,D289)=0)</f>
        <v>0</v>
      </c>
      <c r="L289" s="210" t="b">
        <f>IF($L$1,FALSE,IF($L$3,FALSE,IF(E289="",FALSE,COUNTIF(入力シート!$AH$37:$AK$62,E289)=0)))</f>
        <v>0</v>
      </c>
      <c r="M289" s="211" t="str">
        <f t="shared" si="9"/>
        <v/>
      </c>
      <c r="N289" s="211"/>
      <c r="O289" s="209" t="str">
        <f>IF(B289="","",VLOOKUP('従業員情報(給与以外)'!$B289,入力シート!$S$37:$Z$62,5,0))</f>
        <v/>
      </c>
      <c r="P289" s="156" t="str">
        <f>IF(ISNUMBER(C289)=FALSE,"",IF(C289&gt;入力シート!$J$24,"",_xlfn.DAYS(入力シート!$J$24,'従業員情報(給与以外)'!$C289)/365))</f>
        <v/>
      </c>
      <c r="Q289" s="210" t="str">
        <f>IF(P289="","",VLOOKUP(_xlfn.DAYS(入力シート!$J$24,'従業員情報(給与以外)'!$C289)/365,入力リスト!$K$18:$L$26,2,2))</f>
        <v/>
      </c>
      <c r="R289" s="209" t="str">
        <f>IF(D289="","",VLOOKUP('従業員情報(給与以外)'!$D289,入力シート!$AW$37:$BB$38,4,0))</f>
        <v/>
      </c>
      <c r="S289" s="209" t="str">
        <f>IF(A289="","",IF(E289="","非役職",VLOOKUP('従業員情報(給与以外)'!$E289,入力シート!$AH$37:$AO$62,5,0)))</f>
        <v/>
      </c>
      <c r="T289" s="102" t="str">
        <f>IF(OR(入力シート!$C$5&lt;&gt;入力リスト!$C$3,COUNTIF(入力シート!$J$16:$S$23,入力リスト!$H$9)=0),"",IF($A289="","",IF(ISERROR(AVERAGEIF(従業員の給与情報!$B:$B,$A289,従業員の給与情報!$C:$C)),0,IF(ISERROR(AVERAGEIF(従業員の給与情報!$B:$B,$A289,従業員の給与情報!$C:$C)),0,AVERAGEIF(従業員の給与情報!$B:$B,$A289,従業員の給与情報!$C:$C)))))</f>
        <v/>
      </c>
      <c r="U289" s="102" t="str">
        <f>IF(OR(入力シート!$C$5&lt;&gt;入力リスト!$C$3,COUNTIF(入力シート!$J$16:$S$23,入力リスト!$H$9)=0),"",IF(A289="","",IF(ISERROR(AVERAGEIF(従業員の給与情報!$B:$B,$A289,従業員の給与情報!$D:$D)),0,IF(ISERROR(AVERAGEIF(従業員の給与情報!$B:$B,$A289,従業員の給与情報!$D:$D)),0,AVERAGEIF(従業員の給与情報!$B:$B,$A289,従業員の給与情報!$D:$D)))))</f>
        <v/>
      </c>
      <c r="V289" s="102" t="str">
        <f>IF(OR(入力シート!$C$5&lt;&gt;入力リスト!$C$3,COUNTIF(入力シート!$J$16:$S$23,入力リスト!$H$9)=0),"",IF(A289="","",IF(ISERROR(AVERAGEIF(従業員の給与情報!$B:$B,$A289,従業員の給与情報!$E:$E)),0,IF(ISERROR(AVERAGEIF(従業員の給与情報!$B:$B,$A289,従業員の給与情報!$E:$E)),0,AVERAGEIF(従業員の給与情報!$B:$B,$A289,従業員の給与情報!$E:$E)))))</f>
        <v/>
      </c>
      <c r="W289" s="103" t="str">
        <f>IF(OR(入力シート!$C$5&lt;&gt;入力リスト!$C$3,COUNTIF(入力シート!$J$16:$S$23,入力リスト!$H$9)=0),"",IF(A289="","",IF(ISERROR(AVERAGEIF(従業員の給与情報!$B:$B,$A289,従業員の給与情報!$F:$F)),0,IF(ISERROR(AVERAGEIF(従業員の給与情報!$B:$B,$A289,従業員の給与情報!$F:$F)),0,AVERAGEIF(従業員の給与情報!$B:$B,$A289,従業員の給与情報!$F:$F)))))</f>
        <v/>
      </c>
    </row>
    <row r="290" spans="1:23" s="10" customFormat="1">
      <c r="A290" s="253"/>
      <c r="B290" s="246"/>
      <c r="C290" s="247"/>
      <c r="D290" s="246"/>
      <c r="E290" s="246"/>
      <c r="F290" s="257" t="str">
        <f>IF($G$1,"",IF(COUNTIF(A290:E290,"")=5,"",IF(G290,入力リスト!$K$28,IF(OR(A290="",B290="",IF(COUNTIF($C$3,"*不要*"),"",C290=""),D290=""),IF(A290="","従業員番号","")&amp;IF(B290="","「雇用形態」","")&amp;IF(OR(入力シート!$J$18=入力リスト!$H$9,入力シート!$J$22=入力リスト!$H$9),IF(C290="","「入社年月日」",""),"")&amp;IF(D290="","「性別」","")&amp;IF(IF(A290="","従業員番号","")&amp;IF(B290="","「雇用形態」","")&amp;IF(OR(入力シート!$J$18=入力リスト!$H$9,入力シート!$J$22=入力リスト!$H$9),IF(C290="","「入社年月日」",""),"")&amp;IF(D290="","「性別」","")="","",入力リスト!$K$29),IF(J290,入力リスト!$K$30,"")&amp;IF(I290,入力リスト!$K$31,"")&amp;IF(H290,"「雇用形態」","")&amp;IF(K290,"「性別」","")&amp;IF(L290,"「役職」","")&amp;IF(OR(H290,K290,L290),入力リスト!$K$32,"")))))</f>
        <v/>
      </c>
      <c r="G290" s="209" t="b">
        <f>COUNTIF($A$4:A289,$A290)&gt;0</f>
        <v>0</v>
      </c>
      <c r="H290" s="210" t="b">
        <f>IF($H$1,FALSE,COUNTIF(入力シート!$S$37:$V$62,B290)=0)</f>
        <v>0</v>
      </c>
      <c r="I290" s="210" t="b">
        <f t="shared" si="10"/>
        <v>0</v>
      </c>
      <c r="J290" s="210" t="b">
        <f>IF($J$1,FALSE,IF(I290=TRUE,FALSE,IF(I290,FALSE,C290&gt;入力シート!$J$24)))</f>
        <v>0</v>
      </c>
      <c r="K290" s="210" t="b">
        <f>IF($K$1,FALSE,COUNTIF(入力シート!$AW$37:$BB$38,D290)=0)</f>
        <v>0</v>
      </c>
      <c r="L290" s="210" t="b">
        <f>IF($L$1,FALSE,IF($L$3,FALSE,IF(E290="",FALSE,COUNTIF(入力シート!$AH$37:$AK$62,E290)=0)))</f>
        <v>0</v>
      </c>
      <c r="M290" s="211" t="str">
        <f t="shared" si="9"/>
        <v/>
      </c>
      <c r="N290" s="211"/>
      <c r="O290" s="209" t="str">
        <f>IF(B290="","",VLOOKUP('従業員情報(給与以外)'!$B290,入力シート!$S$37:$Z$62,5,0))</f>
        <v/>
      </c>
      <c r="P290" s="156" t="str">
        <f>IF(ISNUMBER(C290)=FALSE,"",IF(C290&gt;入力シート!$J$24,"",_xlfn.DAYS(入力シート!$J$24,'従業員情報(給与以外)'!$C290)/365))</f>
        <v/>
      </c>
      <c r="Q290" s="210" t="str">
        <f>IF(P290="","",VLOOKUP(_xlfn.DAYS(入力シート!$J$24,'従業員情報(給与以外)'!$C290)/365,入力リスト!$K$18:$L$26,2,2))</f>
        <v/>
      </c>
      <c r="R290" s="209" t="str">
        <f>IF(D290="","",VLOOKUP('従業員情報(給与以外)'!$D290,入力シート!$AW$37:$BB$38,4,0))</f>
        <v/>
      </c>
      <c r="S290" s="209" t="str">
        <f>IF(A290="","",IF(E290="","非役職",VLOOKUP('従業員情報(給与以外)'!$E290,入力シート!$AH$37:$AO$62,5,0)))</f>
        <v/>
      </c>
      <c r="T290" s="102" t="str">
        <f>IF(OR(入力シート!$C$5&lt;&gt;入力リスト!$C$3,COUNTIF(入力シート!$J$16:$S$23,入力リスト!$H$9)=0),"",IF($A290="","",IF(ISERROR(AVERAGEIF(従業員の給与情報!$B:$B,$A290,従業員の給与情報!$C:$C)),0,IF(ISERROR(AVERAGEIF(従業員の給与情報!$B:$B,$A290,従業員の給与情報!$C:$C)),0,AVERAGEIF(従業員の給与情報!$B:$B,$A290,従業員の給与情報!$C:$C)))))</f>
        <v/>
      </c>
      <c r="U290" s="102" t="str">
        <f>IF(OR(入力シート!$C$5&lt;&gt;入力リスト!$C$3,COUNTIF(入力シート!$J$16:$S$23,入力リスト!$H$9)=0),"",IF(A290="","",IF(ISERROR(AVERAGEIF(従業員の給与情報!$B:$B,$A290,従業員の給与情報!$D:$D)),0,IF(ISERROR(AVERAGEIF(従業員の給与情報!$B:$B,$A290,従業員の給与情報!$D:$D)),0,AVERAGEIF(従業員の給与情報!$B:$B,$A290,従業員の給与情報!$D:$D)))))</f>
        <v/>
      </c>
      <c r="V290" s="102" t="str">
        <f>IF(OR(入力シート!$C$5&lt;&gt;入力リスト!$C$3,COUNTIF(入力シート!$J$16:$S$23,入力リスト!$H$9)=0),"",IF(A290="","",IF(ISERROR(AVERAGEIF(従業員の給与情報!$B:$B,$A290,従業員の給与情報!$E:$E)),0,IF(ISERROR(AVERAGEIF(従業員の給与情報!$B:$B,$A290,従業員の給与情報!$E:$E)),0,AVERAGEIF(従業員の給与情報!$B:$B,$A290,従業員の給与情報!$E:$E)))))</f>
        <v/>
      </c>
      <c r="W290" s="103" t="str">
        <f>IF(OR(入力シート!$C$5&lt;&gt;入力リスト!$C$3,COUNTIF(入力シート!$J$16:$S$23,入力リスト!$H$9)=0),"",IF(A290="","",IF(ISERROR(AVERAGEIF(従業員の給与情報!$B:$B,$A290,従業員の給与情報!$F:$F)),0,IF(ISERROR(AVERAGEIF(従業員の給与情報!$B:$B,$A290,従業員の給与情報!$F:$F)),0,AVERAGEIF(従業員の給与情報!$B:$B,$A290,従業員の給与情報!$F:$F)))))</f>
        <v/>
      </c>
    </row>
    <row r="291" spans="1:23" s="10" customFormat="1">
      <c r="A291" s="253"/>
      <c r="B291" s="246"/>
      <c r="C291" s="247"/>
      <c r="D291" s="246"/>
      <c r="E291" s="246"/>
      <c r="F291" s="257" t="str">
        <f>IF($G$1,"",IF(COUNTIF(A291:E291,"")=5,"",IF(G291,入力リスト!$K$28,IF(OR(A291="",B291="",IF(COUNTIF($C$3,"*不要*"),"",C291=""),D291=""),IF(A291="","従業員番号","")&amp;IF(B291="","「雇用形態」","")&amp;IF(OR(入力シート!$J$18=入力リスト!$H$9,入力シート!$J$22=入力リスト!$H$9),IF(C291="","「入社年月日」",""),"")&amp;IF(D291="","「性別」","")&amp;IF(IF(A291="","従業員番号","")&amp;IF(B291="","「雇用形態」","")&amp;IF(OR(入力シート!$J$18=入力リスト!$H$9,入力シート!$J$22=入力リスト!$H$9),IF(C291="","「入社年月日」",""),"")&amp;IF(D291="","「性別」","")="","",入力リスト!$K$29),IF(J291,入力リスト!$K$30,"")&amp;IF(I291,入力リスト!$K$31,"")&amp;IF(H291,"「雇用形態」","")&amp;IF(K291,"「性別」","")&amp;IF(L291,"「役職」","")&amp;IF(OR(H291,K291,L291),入力リスト!$K$32,"")))))</f>
        <v/>
      </c>
      <c r="G291" s="209" t="b">
        <f>COUNTIF($A$4:A290,$A291)&gt;0</f>
        <v>0</v>
      </c>
      <c r="H291" s="210" t="b">
        <f>IF($H$1,FALSE,COUNTIF(入力シート!$S$37:$V$62,B291)=0)</f>
        <v>0</v>
      </c>
      <c r="I291" s="210" t="b">
        <f t="shared" si="10"/>
        <v>0</v>
      </c>
      <c r="J291" s="210" t="b">
        <f>IF($J$1,FALSE,IF(I291=TRUE,FALSE,IF(I291,FALSE,C291&gt;入力シート!$J$24)))</f>
        <v>0</v>
      </c>
      <c r="K291" s="210" t="b">
        <f>IF($K$1,FALSE,COUNTIF(入力シート!$AW$37:$BB$38,D291)=0)</f>
        <v>0</v>
      </c>
      <c r="L291" s="210" t="b">
        <f>IF($L$1,FALSE,IF($L$3,FALSE,IF(E291="",FALSE,COUNTIF(入力シート!$AH$37:$AK$62,E291)=0)))</f>
        <v>0</v>
      </c>
      <c r="M291" s="211" t="str">
        <f t="shared" si="9"/>
        <v/>
      </c>
      <c r="N291" s="211"/>
      <c r="O291" s="209" t="str">
        <f>IF(B291="","",VLOOKUP('従業員情報(給与以外)'!$B291,入力シート!$S$37:$Z$62,5,0))</f>
        <v/>
      </c>
      <c r="P291" s="156" t="str">
        <f>IF(ISNUMBER(C291)=FALSE,"",IF(C291&gt;入力シート!$J$24,"",_xlfn.DAYS(入力シート!$J$24,'従業員情報(給与以外)'!$C291)/365))</f>
        <v/>
      </c>
      <c r="Q291" s="210" t="str">
        <f>IF(P291="","",VLOOKUP(_xlfn.DAYS(入力シート!$J$24,'従業員情報(給与以外)'!$C291)/365,入力リスト!$K$18:$L$26,2,2))</f>
        <v/>
      </c>
      <c r="R291" s="209" t="str">
        <f>IF(D291="","",VLOOKUP('従業員情報(給与以外)'!$D291,入力シート!$AW$37:$BB$38,4,0))</f>
        <v/>
      </c>
      <c r="S291" s="209" t="str">
        <f>IF(A291="","",IF(E291="","非役職",VLOOKUP('従業員情報(給与以外)'!$E291,入力シート!$AH$37:$AO$62,5,0)))</f>
        <v/>
      </c>
      <c r="T291" s="102" t="str">
        <f>IF(OR(入力シート!$C$5&lt;&gt;入力リスト!$C$3,COUNTIF(入力シート!$J$16:$S$23,入力リスト!$H$9)=0),"",IF($A291="","",IF(ISERROR(AVERAGEIF(従業員の給与情報!$B:$B,$A291,従業員の給与情報!$C:$C)),0,IF(ISERROR(AVERAGEIF(従業員の給与情報!$B:$B,$A291,従業員の給与情報!$C:$C)),0,AVERAGEIF(従業員の給与情報!$B:$B,$A291,従業員の給与情報!$C:$C)))))</f>
        <v/>
      </c>
      <c r="U291" s="102" t="str">
        <f>IF(OR(入力シート!$C$5&lt;&gt;入力リスト!$C$3,COUNTIF(入力シート!$J$16:$S$23,入力リスト!$H$9)=0),"",IF(A291="","",IF(ISERROR(AVERAGEIF(従業員の給与情報!$B:$B,$A291,従業員の給与情報!$D:$D)),0,IF(ISERROR(AVERAGEIF(従業員の給与情報!$B:$B,$A291,従業員の給与情報!$D:$D)),0,AVERAGEIF(従業員の給与情報!$B:$B,$A291,従業員の給与情報!$D:$D)))))</f>
        <v/>
      </c>
      <c r="V291" s="102" t="str">
        <f>IF(OR(入力シート!$C$5&lt;&gt;入力リスト!$C$3,COUNTIF(入力シート!$J$16:$S$23,入力リスト!$H$9)=0),"",IF(A291="","",IF(ISERROR(AVERAGEIF(従業員の給与情報!$B:$B,$A291,従業員の給与情報!$E:$E)),0,IF(ISERROR(AVERAGEIF(従業員の給与情報!$B:$B,$A291,従業員の給与情報!$E:$E)),0,AVERAGEIF(従業員の給与情報!$B:$B,$A291,従業員の給与情報!$E:$E)))))</f>
        <v/>
      </c>
      <c r="W291" s="103" t="str">
        <f>IF(OR(入力シート!$C$5&lt;&gt;入力リスト!$C$3,COUNTIF(入力シート!$J$16:$S$23,入力リスト!$H$9)=0),"",IF(A291="","",IF(ISERROR(AVERAGEIF(従業員の給与情報!$B:$B,$A291,従業員の給与情報!$F:$F)),0,IF(ISERROR(AVERAGEIF(従業員の給与情報!$B:$B,$A291,従業員の給与情報!$F:$F)),0,AVERAGEIF(従業員の給与情報!$B:$B,$A291,従業員の給与情報!$F:$F)))))</f>
        <v/>
      </c>
    </row>
    <row r="292" spans="1:23" s="10" customFormat="1">
      <c r="A292" s="253"/>
      <c r="B292" s="246"/>
      <c r="C292" s="247"/>
      <c r="D292" s="246"/>
      <c r="E292" s="246"/>
      <c r="F292" s="257" t="str">
        <f>IF($G$1,"",IF(COUNTIF(A292:E292,"")=5,"",IF(G292,入力リスト!$K$28,IF(OR(A292="",B292="",IF(COUNTIF($C$3,"*不要*"),"",C292=""),D292=""),IF(A292="","従業員番号","")&amp;IF(B292="","「雇用形態」","")&amp;IF(OR(入力シート!$J$18=入力リスト!$H$9,入力シート!$J$22=入力リスト!$H$9),IF(C292="","「入社年月日」",""),"")&amp;IF(D292="","「性別」","")&amp;IF(IF(A292="","従業員番号","")&amp;IF(B292="","「雇用形態」","")&amp;IF(OR(入力シート!$J$18=入力リスト!$H$9,入力シート!$J$22=入力リスト!$H$9),IF(C292="","「入社年月日」",""),"")&amp;IF(D292="","「性別」","")="","",入力リスト!$K$29),IF(J292,入力リスト!$K$30,"")&amp;IF(I292,入力リスト!$K$31,"")&amp;IF(H292,"「雇用形態」","")&amp;IF(K292,"「性別」","")&amp;IF(L292,"「役職」","")&amp;IF(OR(H292,K292,L292),入力リスト!$K$32,"")))))</f>
        <v/>
      </c>
      <c r="G292" s="209" t="b">
        <f>COUNTIF($A$4:A291,$A292)&gt;0</f>
        <v>0</v>
      </c>
      <c r="H292" s="210" t="b">
        <f>IF($H$1,FALSE,COUNTIF(入力シート!$S$37:$V$62,B292)=0)</f>
        <v>0</v>
      </c>
      <c r="I292" s="210" t="b">
        <f t="shared" si="10"/>
        <v>0</v>
      </c>
      <c r="J292" s="210" t="b">
        <f>IF($J$1,FALSE,IF(I292=TRUE,FALSE,IF(I292,FALSE,C292&gt;入力シート!$J$24)))</f>
        <v>0</v>
      </c>
      <c r="K292" s="210" t="b">
        <f>IF($K$1,FALSE,COUNTIF(入力シート!$AW$37:$BB$38,D292)=0)</f>
        <v>0</v>
      </c>
      <c r="L292" s="210" t="b">
        <f>IF($L$1,FALSE,IF($L$3,FALSE,IF(E292="",FALSE,COUNTIF(入力シート!$AH$37:$AK$62,E292)=0)))</f>
        <v>0</v>
      </c>
      <c r="M292" s="211" t="str">
        <f t="shared" si="9"/>
        <v/>
      </c>
      <c r="N292" s="211"/>
      <c r="O292" s="209" t="str">
        <f>IF(B292="","",VLOOKUP('従業員情報(給与以外)'!$B292,入力シート!$S$37:$Z$62,5,0))</f>
        <v/>
      </c>
      <c r="P292" s="156" t="str">
        <f>IF(ISNUMBER(C292)=FALSE,"",IF(C292&gt;入力シート!$J$24,"",_xlfn.DAYS(入力シート!$J$24,'従業員情報(給与以外)'!$C292)/365))</f>
        <v/>
      </c>
      <c r="Q292" s="210" t="str">
        <f>IF(P292="","",VLOOKUP(_xlfn.DAYS(入力シート!$J$24,'従業員情報(給与以外)'!$C292)/365,入力リスト!$K$18:$L$26,2,2))</f>
        <v/>
      </c>
      <c r="R292" s="209" t="str">
        <f>IF(D292="","",VLOOKUP('従業員情報(給与以外)'!$D292,入力シート!$AW$37:$BB$38,4,0))</f>
        <v/>
      </c>
      <c r="S292" s="209" t="str">
        <f>IF(A292="","",IF(E292="","非役職",VLOOKUP('従業員情報(給与以外)'!$E292,入力シート!$AH$37:$AO$62,5,0)))</f>
        <v/>
      </c>
      <c r="T292" s="102" t="str">
        <f>IF(OR(入力シート!$C$5&lt;&gt;入力リスト!$C$3,COUNTIF(入力シート!$J$16:$S$23,入力リスト!$H$9)=0),"",IF($A292="","",IF(ISERROR(AVERAGEIF(従業員の給与情報!$B:$B,$A292,従業員の給与情報!$C:$C)),0,IF(ISERROR(AVERAGEIF(従業員の給与情報!$B:$B,$A292,従業員の給与情報!$C:$C)),0,AVERAGEIF(従業員の給与情報!$B:$B,$A292,従業員の給与情報!$C:$C)))))</f>
        <v/>
      </c>
      <c r="U292" s="102" t="str">
        <f>IF(OR(入力シート!$C$5&lt;&gt;入力リスト!$C$3,COUNTIF(入力シート!$J$16:$S$23,入力リスト!$H$9)=0),"",IF(A292="","",IF(ISERROR(AVERAGEIF(従業員の給与情報!$B:$B,$A292,従業員の給与情報!$D:$D)),0,IF(ISERROR(AVERAGEIF(従業員の給与情報!$B:$B,$A292,従業員の給与情報!$D:$D)),0,AVERAGEIF(従業員の給与情報!$B:$B,$A292,従業員の給与情報!$D:$D)))))</f>
        <v/>
      </c>
      <c r="V292" s="102" t="str">
        <f>IF(OR(入力シート!$C$5&lt;&gt;入力リスト!$C$3,COUNTIF(入力シート!$J$16:$S$23,入力リスト!$H$9)=0),"",IF(A292="","",IF(ISERROR(AVERAGEIF(従業員の給与情報!$B:$B,$A292,従業員の給与情報!$E:$E)),0,IF(ISERROR(AVERAGEIF(従業員の給与情報!$B:$B,$A292,従業員の給与情報!$E:$E)),0,AVERAGEIF(従業員の給与情報!$B:$B,$A292,従業員の給与情報!$E:$E)))))</f>
        <v/>
      </c>
      <c r="W292" s="103" t="str">
        <f>IF(OR(入力シート!$C$5&lt;&gt;入力リスト!$C$3,COUNTIF(入力シート!$J$16:$S$23,入力リスト!$H$9)=0),"",IF(A292="","",IF(ISERROR(AVERAGEIF(従業員の給与情報!$B:$B,$A292,従業員の給与情報!$F:$F)),0,IF(ISERROR(AVERAGEIF(従業員の給与情報!$B:$B,$A292,従業員の給与情報!$F:$F)),0,AVERAGEIF(従業員の給与情報!$B:$B,$A292,従業員の給与情報!$F:$F)))))</f>
        <v/>
      </c>
    </row>
    <row r="293" spans="1:23" s="10" customFormat="1">
      <c r="A293" s="253"/>
      <c r="B293" s="246"/>
      <c r="C293" s="247"/>
      <c r="D293" s="246"/>
      <c r="E293" s="246"/>
      <c r="F293" s="257" t="str">
        <f>IF($G$1,"",IF(COUNTIF(A293:E293,"")=5,"",IF(G293,入力リスト!$K$28,IF(OR(A293="",B293="",IF(COUNTIF($C$3,"*不要*"),"",C293=""),D293=""),IF(A293="","従業員番号","")&amp;IF(B293="","「雇用形態」","")&amp;IF(OR(入力シート!$J$18=入力リスト!$H$9,入力シート!$J$22=入力リスト!$H$9),IF(C293="","「入社年月日」",""),"")&amp;IF(D293="","「性別」","")&amp;IF(IF(A293="","従業員番号","")&amp;IF(B293="","「雇用形態」","")&amp;IF(OR(入力シート!$J$18=入力リスト!$H$9,入力シート!$J$22=入力リスト!$H$9),IF(C293="","「入社年月日」",""),"")&amp;IF(D293="","「性別」","")="","",入力リスト!$K$29),IF(J293,入力リスト!$K$30,"")&amp;IF(I293,入力リスト!$K$31,"")&amp;IF(H293,"「雇用形態」","")&amp;IF(K293,"「性別」","")&amp;IF(L293,"「役職」","")&amp;IF(OR(H293,K293,L293),入力リスト!$K$32,"")))))</f>
        <v/>
      </c>
      <c r="G293" s="209" t="b">
        <f>COUNTIF($A$4:A292,$A293)&gt;0</f>
        <v>0</v>
      </c>
      <c r="H293" s="210" t="b">
        <f>IF($H$1,FALSE,COUNTIF(入力シート!$S$37:$V$62,B293)=0)</f>
        <v>0</v>
      </c>
      <c r="I293" s="210" t="b">
        <f t="shared" si="10"/>
        <v>0</v>
      </c>
      <c r="J293" s="210" t="b">
        <f>IF($J$1,FALSE,IF(I293=TRUE,FALSE,IF(I293,FALSE,C293&gt;入力シート!$J$24)))</f>
        <v>0</v>
      </c>
      <c r="K293" s="210" t="b">
        <f>IF($K$1,FALSE,COUNTIF(入力シート!$AW$37:$BB$38,D293)=0)</f>
        <v>0</v>
      </c>
      <c r="L293" s="210" t="b">
        <f>IF($L$1,FALSE,IF($L$3,FALSE,IF(E293="",FALSE,COUNTIF(入力シート!$AH$37:$AK$62,E293)=0)))</f>
        <v>0</v>
      </c>
      <c r="M293" s="211" t="str">
        <f t="shared" si="9"/>
        <v/>
      </c>
      <c r="N293" s="211"/>
      <c r="O293" s="209" t="str">
        <f>IF(B293="","",VLOOKUP('従業員情報(給与以外)'!$B293,入力シート!$S$37:$Z$62,5,0))</f>
        <v/>
      </c>
      <c r="P293" s="156" t="str">
        <f>IF(ISNUMBER(C293)=FALSE,"",IF(C293&gt;入力シート!$J$24,"",_xlfn.DAYS(入力シート!$J$24,'従業員情報(給与以外)'!$C293)/365))</f>
        <v/>
      </c>
      <c r="Q293" s="210" t="str">
        <f>IF(P293="","",VLOOKUP(_xlfn.DAYS(入力シート!$J$24,'従業員情報(給与以外)'!$C293)/365,入力リスト!$K$18:$L$26,2,2))</f>
        <v/>
      </c>
      <c r="R293" s="209" t="str">
        <f>IF(D293="","",VLOOKUP('従業員情報(給与以外)'!$D293,入力シート!$AW$37:$BB$38,4,0))</f>
        <v/>
      </c>
      <c r="S293" s="209" t="str">
        <f>IF(A293="","",IF(E293="","非役職",VLOOKUP('従業員情報(給与以外)'!$E293,入力シート!$AH$37:$AO$62,5,0)))</f>
        <v/>
      </c>
      <c r="T293" s="102" t="str">
        <f>IF(OR(入力シート!$C$5&lt;&gt;入力リスト!$C$3,COUNTIF(入力シート!$J$16:$S$23,入力リスト!$H$9)=0),"",IF($A293="","",IF(ISERROR(AVERAGEIF(従業員の給与情報!$B:$B,$A293,従業員の給与情報!$C:$C)),0,IF(ISERROR(AVERAGEIF(従業員の給与情報!$B:$B,$A293,従業員の給与情報!$C:$C)),0,AVERAGEIF(従業員の給与情報!$B:$B,$A293,従業員の給与情報!$C:$C)))))</f>
        <v/>
      </c>
      <c r="U293" s="102" t="str">
        <f>IF(OR(入力シート!$C$5&lt;&gt;入力リスト!$C$3,COUNTIF(入力シート!$J$16:$S$23,入力リスト!$H$9)=0),"",IF(A293="","",IF(ISERROR(AVERAGEIF(従業員の給与情報!$B:$B,$A293,従業員の給与情報!$D:$D)),0,IF(ISERROR(AVERAGEIF(従業員の給与情報!$B:$B,$A293,従業員の給与情報!$D:$D)),0,AVERAGEIF(従業員の給与情報!$B:$B,$A293,従業員の給与情報!$D:$D)))))</f>
        <v/>
      </c>
      <c r="V293" s="102" t="str">
        <f>IF(OR(入力シート!$C$5&lt;&gt;入力リスト!$C$3,COUNTIF(入力シート!$J$16:$S$23,入力リスト!$H$9)=0),"",IF(A293="","",IF(ISERROR(AVERAGEIF(従業員の給与情報!$B:$B,$A293,従業員の給与情報!$E:$E)),0,IF(ISERROR(AVERAGEIF(従業員の給与情報!$B:$B,$A293,従業員の給与情報!$E:$E)),0,AVERAGEIF(従業員の給与情報!$B:$B,$A293,従業員の給与情報!$E:$E)))))</f>
        <v/>
      </c>
      <c r="W293" s="103" t="str">
        <f>IF(OR(入力シート!$C$5&lt;&gt;入力リスト!$C$3,COUNTIF(入力シート!$J$16:$S$23,入力リスト!$H$9)=0),"",IF(A293="","",IF(ISERROR(AVERAGEIF(従業員の給与情報!$B:$B,$A293,従業員の給与情報!$F:$F)),0,IF(ISERROR(AVERAGEIF(従業員の給与情報!$B:$B,$A293,従業員の給与情報!$F:$F)),0,AVERAGEIF(従業員の給与情報!$B:$B,$A293,従業員の給与情報!$F:$F)))))</f>
        <v/>
      </c>
    </row>
    <row r="294" spans="1:23" s="10" customFormat="1">
      <c r="A294" s="253"/>
      <c r="B294" s="246"/>
      <c r="C294" s="247"/>
      <c r="D294" s="246"/>
      <c r="E294" s="246"/>
      <c r="F294" s="257" t="str">
        <f>IF($G$1,"",IF(COUNTIF(A294:E294,"")=5,"",IF(G294,入力リスト!$K$28,IF(OR(A294="",B294="",IF(COUNTIF($C$3,"*不要*"),"",C294=""),D294=""),IF(A294="","従業員番号","")&amp;IF(B294="","「雇用形態」","")&amp;IF(OR(入力シート!$J$18=入力リスト!$H$9,入力シート!$J$22=入力リスト!$H$9),IF(C294="","「入社年月日」",""),"")&amp;IF(D294="","「性別」","")&amp;IF(IF(A294="","従業員番号","")&amp;IF(B294="","「雇用形態」","")&amp;IF(OR(入力シート!$J$18=入力リスト!$H$9,入力シート!$J$22=入力リスト!$H$9),IF(C294="","「入社年月日」",""),"")&amp;IF(D294="","「性別」","")="","",入力リスト!$K$29),IF(J294,入力リスト!$K$30,"")&amp;IF(I294,入力リスト!$K$31,"")&amp;IF(H294,"「雇用形態」","")&amp;IF(K294,"「性別」","")&amp;IF(L294,"「役職」","")&amp;IF(OR(H294,K294,L294),入力リスト!$K$32,"")))))</f>
        <v/>
      </c>
      <c r="G294" s="209" t="b">
        <f>COUNTIF($A$4:A293,$A294)&gt;0</f>
        <v>0</v>
      </c>
      <c r="H294" s="210" t="b">
        <f>IF($H$1,FALSE,COUNTIF(入力シート!$S$37:$V$62,B294)=0)</f>
        <v>0</v>
      </c>
      <c r="I294" s="210" t="b">
        <f t="shared" si="10"/>
        <v>0</v>
      </c>
      <c r="J294" s="210" t="b">
        <f>IF($J$1,FALSE,IF(I294=TRUE,FALSE,IF(I294,FALSE,C294&gt;入力シート!$J$24)))</f>
        <v>0</v>
      </c>
      <c r="K294" s="210" t="b">
        <f>IF($K$1,FALSE,COUNTIF(入力シート!$AW$37:$BB$38,D294)=0)</f>
        <v>0</v>
      </c>
      <c r="L294" s="210" t="b">
        <f>IF($L$1,FALSE,IF($L$3,FALSE,IF(E294="",FALSE,COUNTIF(入力シート!$AH$37:$AK$62,E294)=0)))</f>
        <v>0</v>
      </c>
      <c r="M294" s="211" t="str">
        <f t="shared" si="9"/>
        <v/>
      </c>
      <c r="N294" s="211"/>
      <c r="O294" s="209" t="str">
        <f>IF(B294="","",VLOOKUP('従業員情報(給与以外)'!$B294,入力シート!$S$37:$Z$62,5,0))</f>
        <v/>
      </c>
      <c r="P294" s="156" t="str">
        <f>IF(ISNUMBER(C294)=FALSE,"",IF(C294&gt;入力シート!$J$24,"",_xlfn.DAYS(入力シート!$J$24,'従業員情報(給与以外)'!$C294)/365))</f>
        <v/>
      </c>
      <c r="Q294" s="210" t="str">
        <f>IF(P294="","",VLOOKUP(_xlfn.DAYS(入力シート!$J$24,'従業員情報(給与以外)'!$C294)/365,入力リスト!$K$18:$L$26,2,2))</f>
        <v/>
      </c>
      <c r="R294" s="209" t="str">
        <f>IF(D294="","",VLOOKUP('従業員情報(給与以外)'!$D294,入力シート!$AW$37:$BB$38,4,0))</f>
        <v/>
      </c>
      <c r="S294" s="209" t="str">
        <f>IF(A294="","",IF(E294="","非役職",VLOOKUP('従業員情報(給与以外)'!$E294,入力シート!$AH$37:$AO$62,5,0)))</f>
        <v/>
      </c>
      <c r="T294" s="102" t="str">
        <f>IF(OR(入力シート!$C$5&lt;&gt;入力リスト!$C$3,COUNTIF(入力シート!$J$16:$S$23,入力リスト!$H$9)=0),"",IF($A294="","",IF(ISERROR(AVERAGEIF(従業員の給与情報!$B:$B,$A294,従業員の給与情報!$C:$C)),0,IF(ISERROR(AVERAGEIF(従業員の給与情報!$B:$B,$A294,従業員の給与情報!$C:$C)),0,AVERAGEIF(従業員の給与情報!$B:$B,$A294,従業員の給与情報!$C:$C)))))</f>
        <v/>
      </c>
      <c r="U294" s="102" t="str">
        <f>IF(OR(入力シート!$C$5&lt;&gt;入力リスト!$C$3,COUNTIF(入力シート!$J$16:$S$23,入力リスト!$H$9)=0),"",IF(A294="","",IF(ISERROR(AVERAGEIF(従業員の給与情報!$B:$B,$A294,従業員の給与情報!$D:$D)),0,IF(ISERROR(AVERAGEIF(従業員の給与情報!$B:$B,$A294,従業員の給与情報!$D:$D)),0,AVERAGEIF(従業員の給与情報!$B:$B,$A294,従業員の給与情報!$D:$D)))))</f>
        <v/>
      </c>
      <c r="V294" s="102" t="str">
        <f>IF(OR(入力シート!$C$5&lt;&gt;入力リスト!$C$3,COUNTIF(入力シート!$J$16:$S$23,入力リスト!$H$9)=0),"",IF(A294="","",IF(ISERROR(AVERAGEIF(従業員の給与情報!$B:$B,$A294,従業員の給与情報!$E:$E)),0,IF(ISERROR(AVERAGEIF(従業員の給与情報!$B:$B,$A294,従業員の給与情報!$E:$E)),0,AVERAGEIF(従業員の給与情報!$B:$B,$A294,従業員の給与情報!$E:$E)))))</f>
        <v/>
      </c>
      <c r="W294" s="103" t="str">
        <f>IF(OR(入力シート!$C$5&lt;&gt;入力リスト!$C$3,COUNTIF(入力シート!$J$16:$S$23,入力リスト!$H$9)=0),"",IF(A294="","",IF(ISERROR(AVERAGEIF(従業員の給与情報!$B:$B,$A294,従業員の給与情報!$F:$F)),0,IF(ISERROR(AVERAGEIF(従業員の給与情報!$B:$B,$A294,従業員の給与情報!$F:$F)),0,AVERAGEIF(従業員の給与情報!$B:$B,$A294,従業員の給与情報!$F:$F)))))</f>
        <v/>
      </c>
    </row>
    <row r="295" spans="1:23" s="10" customFormat="1">
      <c r="A295" s="253"/>
      <c r="B295" s="246"/>
      <c r="C295" s="247"/>
      <c r="D295" s="246"/>
      <c r="E295" s="246"/>
      <c r="F295" s="257" t="str">
        <f>IF($G$1,"",IF(COUNTIF(A295:E295,"")=5,"",IF(G295,入力リスト!$K$28,IF(OR(A295="",B295="",IF(COUNTIF($C$3,"*不要*"),"",C295=""),D295=""),IF(A295="","従業員番号","")&amp;IF(B295="","「雇用形態」","")&amp;IF(OR(入力シート!$J$18=入力リスト!$H$9,入力シート!$J$22=入力リスト!$H$9),IF(C295="","「入社年月日」",""),"")&amp;IF(D295="","「性別」","")&amp;IF(IF(A295="","従業員番号","")&amp;IF(B295="","「雇用形態」","")&amp;IF(OR(入力シート!$J$18=入力リスト!$H$9,入力シート!$J$22=入力リスト!$H$9),IF(C295="","「入社年月日」",""),"")&amp;IF(D295="","「性別」","")="","",入力リスト!$K$29),IF(J295,入力リスト!$K$30,"")&amp;IF(I295,入力リスト!$K$31,"")&amp;IF(H295,"「雇用形態」","")&amp;IF(K295,"「性別」","")&amp;IF(L295,"「役職」","")&amp;IF(OR(H295,K295,L295),入力リスト!$K$32,"")))))</f>
        <v/>
      </c>
      <c r="G295" s="209" t="b">
        <f>COUNTIF($A$4:A294,$A295)&gt;0</f>
        <v>0</v>
      </c>
      <c r="H295" s="210" t="b">
        <f>IF($H$1,FALSE,COUNTIF(入力シート!$S$37:$V$62,B295)=0)</f>
        <v>0</v>
      </c>
      <c r="I295" s="210" t="b">
        <f t="shared" si="10"/>
        <v>0</v>
      </c>
      <c r="J295" s="210" t="b">
        <f>IF($J$1,FALSE,IF(I295=TRUE,FALSE,IF(I295,FALSE,C295&gt;入力シート!$J$24)))</f>
        <v>0</v>
      </c>
      <c r="K295" s="210" t="b">
        <f>IF($K$1,FALSE,COUNTIF(入力シート!$AW$37:$BB$38,D295)=0)</f>
        <v>0</v>
      </c>
      <c r="L295" s="210" t="b">
        <f>IF($L$1,FALSE,IF($L$3,FALSE,IF(E295="",FALSE,COUNTIF(入力シート!$AH$37:$AK$62,E295)=0)))</f>
        <v>0</v>
      </c>
      <c r="M295" s="211" t="str">
        <f t="shared" si="9"/>
        <v/>
      </c>
      <c r="N295" s="211"/>
      <c r="O295" s="209" t="str">
        <f>IF(B295="","",VLOOKUP('従業員情報(給与以外)'!$B295,入力シート!$S$37:$Z$62,5,0))</f>
        <v/>
      </c>
      <c r="P295" s="156" t="str">
        <f>IF(ISNUMBER(C295)=FALSE,"",IF(C295&gt;入力シート!$J$24,"",_xlfn.DAYS(入力シート!$J$24,'従業員情報(給与以外)'!$C295)/365))</f>
        <v/>
      </c>
      <c r="Q295" s="210" t="str">
        <f>IF(P295="","",VLOOKUP(_xlfn.DAYS(入力シート!$J$24,'従業員情報(給与以外)'!$C295)/365,入力リスト!$K$18:$L$26,2,2))</f>
        <v/>
      </c>
      <c r="R295" s="209" t="str">
        <f>IF(D295="","",VLOOKUP('従業員情報(給与以外)'!$D295,入力シート!$AW$37:$BB$38,4,0))</f>
        <v/>
      </c>
      <c r="S295" s="209" t="str">
        <f>IF(A295="","",IF(E295="","非役職",VLOOKUP('従業員情報(給与以外)'!$E295,入力シート!$AH$37:$AO$62,5,0)))</f>
        <v/>
      </c>
      <c r="T295" s="102" t="str">
        <f>IF(OR(入力シート!$C$5&lt;&gt;入力リスト!$C$3,COUNTIF(入力シート!$J$16:$S$23,入力リスト!$H$9)=0),"",IF($A295="","",IF(ISERROR(AVERAGEIF(従業員の給与情報!$B:$B,$A295,従業員の給与情報!$C:$C)),0,IF(ISERROR(AVERAGEIF(従業員の給与情報!$B:$B,$A295,従業員の給与情報!$C:$C)),0,AVERAGEIF(従業員の給与情報!$B:$B,$A295,従業員の給与情報!$C:$C)))))</f>
        <v/>
      </c>
      <c r="U295" s="102" t="str">
        <f>IF(OR(入力シート!$C$5&lt;&gt;入力リスト!$C$3,COUNTIF(入力シート!$J$16:$S$23,入力リスト!$H$9)=0),"",IF(A295="","",IF(ISERROR(AVERAGEIF(従業員の給与情報!$B:$B,$A295,従業員の給与情報!$D:$D)),0,IF(ISERROR(AVERAGEIF(従業員の給与情報!$B:$B,$A295,従業員の給与情報!$D:$D)),0,AVERAGEIF(従業員の給与情報!$B:$B,$A295,従業員の給与情報!$D:$D)))))</f>
        <v/>
      </c>
      <c r="V295" s="102" t="str">
        <f>IF(OR(入力シート!$C$5&lt;&gt;入力リスト!$C$3,COUNTIF(入力シート!$J$16:$S$23,入力リスト!$H$9)=0),"",IF(A295="","",IF(ISERROR(AVERAGEIF(従業員の給与情報!$B:$B,$A295,従業員の給与情報!$E:$E)),0,IF(ISERROR(AVERAGEIF(従業員の給与情報!$B:$B,$A295,従業員の給与情報!$E:$E)),0,AVERAGEIF(従業員の給与情報!$B:$B,$A295,従業員の給与情報!$E:$E)))))</f>
        <v/>
      </c>
      <c r="W295" s="103" t="str">
        <f>IF(OR(入力シート!$C$5&lt;&gt;入力リスト!$C$3,COUNTIF(入力シート!$J$16:$S$23,入力リスト!$H$9)=0),"",IF(A295="","",IF(ISERROR(AVERAGEIF(従業員の給与情報!$B:$B,$A295,従業員の給与情報!$F:$F)),0,IF(ISERROR(AVERAGEIF(従業員の給与情報!$B:$B,$A295,従業員の給与情報!$F:$F)),0,AVERAGEIF(従業員の給与情報!$B:$B,$A295,従業員の給与情報!$F:$F)))))</f>
        <v/>
      </c>
    </row>
    <row r="296" spans="1:23" s="10" customFormat="1">
      <c r="A296" s="253"/>
      <c r="B296" s="246"/>
      <c r="C296" s="247"/>
      <c r="D296" s="246"/>
      <c r="E296" s="246"/>
      <c r="F296" s="257" t="str">
        <f>IF($G$1,"",IF(COUNTIF(A296:E296,"")=5,"",IF(G296,入力リスト!$K$28,IF(OR(A296="",B296="",IF(COUNTIF($C$3,"*不要*"),"",C296=""),D296=""),IF(A296="","従業員番号","")&amp;IF(B296="","「雇用形態」","")&amp;IF(OR(入力シート!$J$18=入力リスト!$H$9,入力シート!$J$22=入力リスト!$H$9),IF(C296="","「入社年月日」",""),"")&amp;IF(D296="","「性別」","")&amp;IF(IF(A296="","従業員番号","")&amp;IF(B296="","「雇用形態」","")&amp;IF(OR(入力シート!$J$18=入力リスト!$H$9,入力シート!$J$22=入力リスト!$H$9),IF(C296="","「入社年月日」",""),"")&amp;IF(D296="","「性別」","")="","",入力リスト!$K$29),IF(J296,入力リスト!$K$30,"")&amp;IF(I296,入力リスト!$K$31,"")&amp;IF(H296,"「雇用形態」","")&amp;IF(K296,"「性別」","")&amp;IF(L296,"「役職」","")&amp;IF(OR(H296,K296,L296),入力リスト!$K$32,"")))))</f>
        <v/>
      </c>
      <c r="G296" s="209" t="b">
        <f>COUNTIF($A$4:A295,$A296)&gt;0</f>
        <v>0</v>
      </c>
      <c r="H296" s="210" t="b">
        <f>IF($H$1,FALSE,COUNTIF(入力シート!$S$37:$V$62,B296)=0)</f>
        <v>0</v>
      </c>
      <c r="I296" s="210" t="b">
        <f t="shared" si="10"/>
        <v>0</v>
      </c>
      <c r="J296" s="210" t="b">
        <f>IF($J$1,FALSE,IF(I296=TRUE,FALSE,IF(I296,FALSE,C296&gt;入力シート!$J$24)))</f>
        <v>0</v>
      </c>
      <c r="K296" s="210" t="b">
        <f>IF($K$1,FALSE,COUNTIF(入力シート!$AW$37:$BB$38,D296)=0)</f>
        <v>0</v>
      </c>
      <c r="L296" s="210" t="b">
        <f>IF($L$1,FALSE,IF($L$3,FALSE,IF(E296="",FALSE,COUNTIF(入力シート!$AH$37:$AK$62,E296)=0)))</f>
        <v>0</v>
      </c>
      <c r="M296" s="211" t="str">
        <f t="shared" si="9"/>
        <v/>
      </c>
      <c r="N296" s="211"/>
      <c r="O296" s="209" t="str">
        <f>IF(B296="","",VLOOKUP('従業員情報(給与以外)'!$B296,入力シート!$S$37:$Z$62,5,0))</f>
        <v/>
      </c>
      <c r="P296" s="156" t="str">
        <f>IF(ISNUMBER(C296)=FALSE,"",IF(C296&gt;入力シート!$J$24,"",_xlfn.DAYS(入力シート!$J$24,'従業員情報(給与以外)'!$C296)/365))</f>
        <v/>
      </c>
      <c r="Q296" s="210" t="str">
        <f>IF(P296="","",VLOOKUP(_xlfn.DAYS(入力シート!$J$24,'従業員情報(給与以外)'!$C296)/365,入力リスト!$K$18:$L$26,2,2))</f>
        <v/>
      </c>
      <c r="R296" s="209" t="str">
        <f>IF(D296="","",VLOOKUP('従業員情報(給与以外)'!$D296,入力シート!$AW$37:$BB$38,4,0))</f>
        <v/>
      </c>
      <c r="S296" s="209" t="str">
        <f>IF(A296="","",IF(E296="","非役職",VLOOKUP('従業員情報(給与以外)'!$E296,入力シート!$AH$37:$AO$62,5,0)))</f>
        <v/>
      </c>
      <c r="T296" s="102" t="str">
        <f>IF(OR(入力シート!$C$5&lt;&gt;入力リスト!$C$3,COUNTIF(入力シート!$J$16:$S$23,入力リスト!$H$9)=0),"",IF($A296="","",IF(ISERROR(AVERAGEIF(従業員の給与情報!$B:$B,$A296,従業員の給与情報!$C:$C)),0,IF(ISERROR(AVERAGEIF(従業員の給与情報!$B:$B,$A296,従業員の給与情報!$C:$C)),0,AVERAGEIF(従業員の給与情報!$B:$B,$A296,従業員の給与情報!$C:$C)))))</f>
        <v/>
      </c>
      <c r="U296" s="102" t="str">
        <f>IF(OR(入力シート!$C$5&lt;&gt;入力リスト!$C$3,COUNTIF(入力シート!$J$16:$S$23,入力リスト!$H$9)=0),"",IF(A296="","",IF(ISERROR(AVERAGEIF(従業員の給与情報!$B:$B,$A296,従業員の給与情報!$D:$D)),0,IF(ISERROR(AVERAGEIF(従業員の給与情報!$B:$B,$A296,従業員の給与情報!$D:$D)),0,AVERAGEIF(従業員の給与情報!$B:$B,$A296,従業員の給与情報!$D:$D)))))</f>
        <v/>
      </c>
      <c r="V296" s="102" t="str">
        <f>IF(OR(入力シート!$C$5&lt;&gt;入力リスト!$C$3,COUNTIF(入力シート!$J$16:$S$23,入力リスト!$H$9)=0),"",IF(A296="","",IF(ISERROR(AVERAGEIF(従業員の給与情報!$B:$B,$A296,従業員の給与情報!$E:$E)),0,IF(ISERROR(AVERAGEIF(従業員の給与情報!$B:$B,$A296,従業員の給与情報!$E:$E)),0,AVERAGEIF(従業員の給与情報!$B:$B,$A296,従業員の給与情報!$E:$E)))))</f>
        <v/>
      </c>
      <c r="W296" s="103" t="str">
        <f>IF(OR(入力シート!$C$5&lt;&gt;入力リスト!$C$3,COUNTIF(入力シート!$J$16:$S$23,入力リスト!$H$9)=0),"",IF(A296="","",IF(ISERROR(AVERAGEIF(従業員の給与情報!$B:$B,$A296,従業員の給与情報!$F:$F)),0,IF(ISERROR(AVERAGEIF(従業員の給与情報!$B:$B,$A296,従業員の給与情報!$F:$F)),0,AVERAGEIF(従業員の給与情報!$B:$B,$A296,従業員の給与情報!$F:$F)))))</f>
        <v/>
      </c>
    </row>
    <row r="297" spans="1:23" s="10" customFormat="1">
      <c r="A297" s="253"/>
      <c r="B297" s="246"/>
      <c r="C297" s="247"/>
      <c r="D297" s="246"/>
      <c r="E297" s="246"/>
      <c r="F297" s="257" t="str">
        <f>IF($G$1,"",IF(COUNTIF(A297:E297,"")=5,"",IF(G297,入力リスト!$K$28,IF(OR(A297="",B297="",IF(COUNTIF($C$3,"*不要*"),"",C297=""),D297=""),IF(A297="","従業員番号","")&amp;IF(B297="","「雇用形態」","")&amp;IF(OR(入力シート!$J$18=入力リスト!$H$9,入力シート!$J$22=入力リスト!$H$9),IF(C297="","「入社年月日」",""),"")&amp;IF(D297="","「性別」","")&amp;IF(IF(A297="","従業員番号","")&amp;IF(B297="","「雇用形態」","")&amp;IF(OR(入力シート!$J$18=入力リスト!$H$9,入力シート!$J$22=入力リスト!$H$9),IF(C297="","「入社年月日」",""),"")&amp;IF(D297="","「性別」","")="","",入力リスト!$K$29),IF(J297,入力リスト!$K$30,"")&amp;IF(I297,入力リスト!$K$31,"")&amp;IF(H297,"「雇用形態」","")&amp;IF(K297,"「性別」","")&amp;IF(L297,"「役職」","")&amp;IF(OR(H297,K297,L297),入力リスト!$K$32,"")))))</f>
        <v/>
      </c>
      <c r="G297" s="209" t="b">
        <f>COUNTIF($A$4:A296,$A297)&gt;0</f>
        <v>0</v>
      </c>
      <c r="H297" s="210" t="b">
        <f>IF($H$1,FALSE,COUNTIF(入力シート!$S$37:$V$62,B297)=0)</f>
        <v>0</v>
      </c>
      <c r="I297" s="210" t="b">
        <f t="shared" si="10"/>
        <v>0</v>
      </c>
      <c r="J297" s="210" t="b">
        <f>IF($J$1,FALSE,IF(I297=TRUE,FALSE,IF(I297,FALSE,C297&gt;入力シート!$J$24)))</f>
        <v>0</v>
      </c>
      <c r="K297" s="210" t="b">
        <f>IF($K$1,FALSE,COUNTIF(入力シート!$AW$37:$BB$38,D297)=0)</f>
        <v>0</v>
      </c>
      <c r="L297" s="210" t="b">
        <f>IF($L$1,FALSE,IF($L$3,FALSE,IF(E297="",FALSE,COUNTIF(入力シート!$AH$37:$AK$62,E297)=0)))</f>
        <v>0</v>
      </c>
      <c r="M297" s="211" t="str">
        <f t="shared" si="9"/>
        <v/>
      </c>
      <c r="N297" s="211"/>
      <c r="O297" s="209" t="str">
        <f>IF(B297="","",VLOOKUP('従業員情報(給与以外)'!$B297,入力シート!$S$37:$Z$62,5,0))</f>
        <v/>
      </c>
      <c r="P297" s="156" t="str">
        <f>IF(ISNUMBER(C297)=FALSE,"",IF(C297&gt;入力シート!$J$24,"",_xlfn.DAYS(入力シート!$J$24,'従業員情報(給与以外)'!$C297)/365))</f>
        <v/>
      </c>
      <c r="Q297" s="210" t="str">
        <f>IF(P297="","",VLOOKUP(_xlfn.DAYS(入力シート!$J$24,'従業員情報(給与以外)'!$C297)/365,入力リスト!$K$18:$L$26,2,2))</f>
        <v/>
      </c>
      <c r="R297" s="209" t="str">
        <f>IF(D297="","",VLOOKUP('従業員情報(給与以外)'!$D297,入力シート!$AW$37:$BB$38,4,0))</f>
        <v/>
      </c>
      <c r="S297" s="209" t="str">
        <f>IF(A297="","",IF(E297="","非役職",VLOOKUP('従業員情報(給与以外)'!$E297,入力シート!$AH$37:$AO$62,5,0)))</f>
        <v/>
      </c>
      <c r="T297" s="102" t="str">
        <f>IF(OR(入力シート!$C$5&lt;&gt;入力リスト!$C$3,COUNTIF(入力シート!$J$16:$S$23,入力リスト!$H$9)=0),"",IF($A297="","",IF(ISERROR(AVERAGEIF(従業員の給与情報!$B:$B,$A297,従業員の給与情報!$C:$C)),0,IF(ISERROR(AVERAGEIF(従業員の給与情報!$B:$B,$A297,従業員の給与情報!$C:$C)),0,AVERAGEIF(従業員の給与情報!$B:$B,$A297,従業員の給与情報!$C:$C)))))</f>
        <v/>
      </c>
      <c r="U297" s="102" t="str">
        <f>IF(OR(入力シート!$C$5&lt;&gt;入力リスト!$C$3,COUNTIF(入力シート!$J$16:$S$23,入力リスト!$H$9)=0),"",IF(A297="","",IF(ISERROR(AVERAGEIF(従業員の給与情報!$B:$B,$A297,従業員の給与情報!$D:$D)),0,IF(ISERROR(AVERAGEIF(従業員の給与情報!$B:$B,$A297,従業員の給与情報!$D:$D)),0,AVERAGEIF(従業員の給与情報!$B:$B,$A297,従業員の給与情報!$D:$D)))))</f>
        <v/>
      </c>
      <c r="V297" s="102" t="str">
        <f>IF(OR(入力シート!$C$5&lt;&gt;入力リスト!$C$3,COUNTIF(入力シート!$J$16:$S$23,入力リスト!$H$9)=0),"",IF(A297="","",IF(ISERROR(AVERAGEIF(従業員の給与情報!$B:$B,$A297,従業員の給与情報!$E:$E)),0,IF(ISERROR(AVERAGEIF(従業員の給与情報!$B:$B,$A297,従業員の給与情報!$E:$E)),0,AVERAGEIF(従業員の給与情報!$B:$B,$A297,従業員の給与情報!$E:$E)))))</f>
        <v/>
      </c>
      <c r="W297" s="103" t="str">
        <f>IF(OR(入力シート!$C$5&lt;&gt;入力リスト!$C$3,COUNTIF(入力シート!$J$16:$S$23,入力リスト!$H$9)=0),"",IF(A297="","",IF(ISERROR(AVERAGEIF(従業員の給与情報!$B:$B,$A297,従業員の給与情報!$F:$F)),0,IF(ISERROR(AVERAGEIF(従業員の給与情報!$B:$B,$A297,従業員の給与情報!$F:$F)),0,AVERAGEIF(従業員の給与情報!$B:$B,$A297,従業員の給与情報!$F:$F)))))</f>
        <v/>
      </c>
    </row>
    <row r="298" spans="1:23" s="10" customFormat="1">
      <c r="A298" s="253"/>
      <c r="B298" s="246"/>
      <c r="C298" s="247"/>
      <c r="D298" s="246"/>
      <c r="E298" s="246"/>
      <c r="F298" s="257" t="str">
        <f>IF($G$1,"",IF(COUNTIF(A298:E298,"")=5,"",IF(G298,入力リスト!$K$28,IF(OR(A298="",B298="",IF(COUNTIF($C$3,"*不要*"),"",C298=""),D298=""),IF(A298="","従業員番号","")&amp;IF(B298="","「雇用形態」","")&amp;IF(OR(入力シート!$J$18=入力リスト!$H$9,入力シート!$J$22=入力リスト!$H$9),IF(C298="","「入社年月日」",""),"")&amp;IF(D298="","「性別」","")&amp;IF(IF(A298="","従業員番号","")&amp;IF(B298="","「雇用形態」","")&amp;IF(OR(入力シート!$J$18=入力リスト!$H$9,入力シート!$J$22=入力リスト!$H$9),IF(C298="","「入社年月日」",""),"")&amp;IF(D298="","「性別」","")="","",入力リスト!$K$29),IF(J298,入力リスト!$K$30,"")&amp;IF(I298,入力リスト!$K$31,"")&amp;IF(H298,"「雇用形態」","")&amp;IF(K298,"「性別」","")&amp;IF(L298,"「役職」","")&amp;IF(OR(H298,K298,L298),入力リスト!$K$32,"")))))</f>
        <v/>
      </c>
      <c r="G298" s="209" t="b">
        <f>COUNTIF($A$4:A297,$A298)&gt;0</f>
        <v>0</v>
      </c>
      <c r="H298" s="210" t="b">
        <f>IF($H$1,FALSE,COUNTIF(入力シート!$S$37:$V$62,B298)=0)</f>
        <v>0</v>
      </c>
      <c r="I298" s="210" t="b">
        <f t="shared" si="10"/>
        <v>0</v>
      </c>
      <c r="J298" s="210" t="b">
        <f>IF($J$1,FALSE,IF(I298=TRUE,FALSE,IF(I298,FALSE,C298&gt;入力シート!$J$24)))</f>
        <v>0</v>
      </c>
      <c r="K298" s="210" t="b">
        <f>IF($K$1,FALSE,COUNTIF(入力シート!$AW$37:$BB$38,D298)=0)</f>
        <v>0</v>
      </c>
      <c r="L298" s="210" t="b">
        <f>IF($L$1,FALSE,IF($L$3,FALSE,IF(E298="",FALSE,COUNTIF(入力シート!$AH$37:$AK$62,E298)=0)))</f>
        <v>0</v>
      </c>
      <c r="M298" s="211" t="str">
        <f t="shared" si="9"/>
        <v/>
      </c>
      <c r="N298" s="211"/>
      <c r="O298" s="209" t="str">
        <f>IF(B298="","",VLOOKUP('従業員情報(給与以外)'!$B298,入力シート!$S$37:$Z$62,5,0))</f>
        <v/>
      </c>
      <c r="P298" s="156" t="str">
        <f>IF(ISNUMBER(C298)=FALSE,"",IF(C298&gt;入力シート!$J$24,"",_xlfn.DAYS(入力シート!$J$24,'従業員情報(給与以外)'!$C298)/365))</f>
        <v/>
      </c>
      <c r="Q298" s="210" t="str">
        <f>IF(P298="","",VLOOKUP(_xlfn.DAYS(入力シート!$J$24,'従業員情報(給与以外)'!$C298)/365,入力リスト!$K$18:$L$26,2,2))</f>
        <v/>
      </c>
      <c r="R298" s="209" t="str">
        <f>IF(D298="","",VLOOKUP('従業員情報(給与以外)'!$D298,入力シート!$AW$37:$BB$38,4,0))</f>
        <v/>
      </c>
      <c r="S298" s="209" t="str">
        <f>IF(A298="","",IF(E298="","非役職",VLOOKUP('従業員情報(給与以外)'!$E298,入力シート!$AH$37:$AO$62,5,0)))</f>
        <v/>
      </c>
      <c r="T298" s="102" t="str">
        <f>IF(OR(入力シート!$C$5&lt;&gt;入力リスト!$C$3,COUNTIF(入力シート!$J$16:$S$23,入力リスト!$H$9)=0),"",IF($A298="","",IF(ISERROR(AVERAGEIF(従業員の給与情報!$B:$B,$A298,従業員の給与情報!$C:$C)),0,IF(ISERROR(AVERAGEIF(従業員の給与情報!$B:$B,$A298,従業員の給与情報!$C:$C)),0,AVERAGEIF(従業員の給与情報!$B:$B,$A298,従業員の給与情報!$C:$C)))))</f>
        <v/>
      </c>
      <c r="U298" s="102" t="str">
        <f>IF(OR(入力シート!$C$5&lt;&gt;入力リスト!$C$3,COUNTIF(入力シート!$J$16:$S$23,入力リスト!$H$9)=0),"",IF(A298="","",IF(ISERROR(AVERAGEIF(従業員の給与情報!$B:$B,$A298,従業員の給与情報!$D:$D)),0,IF(ISERROR(AVERAGEIF(従業員の給与情報!$B:$B,$A298,従業員の給与情報!$D:$D)),0,AVERAGEIF(従業員の給与情報!$B:$B,$A298,従業員の給与情報!$D:$D)))))</f>
        <v/>
      </c>
      <c r="V298" s="102" t="str">
        <f>IF(OR(入力シート!$C$5&lt;&gt;入力リスト!$C$3,COUNTIF(入力シート!$J$16:$S$23,入力リスト!$H$9)=0),"",IF(A298="","",IF(ISERROR(AVERAGEIF(従業員の給与情報!$B:$B,$A298,従業員の給与情報!$E:$E)),0,IF(ISERROR(AVERAGEIF(従業員の給与情報!$B:$B,$A298,従業員の給与情報!$E:$E)),0,AVERAGEIF(従業員の給与情報!$B:$B,$A298,従業員の給与情報!$E:$E)))))</f>
        <v/>
      </c>
      <c r="W298" s="103" t="str">
        <f>IF(OR(入力シート!$C$5&lt;&gt;入力リスト!$C$3,COUNTIF(入力シート!$J$16:$S$23,入力リスト!$H$9)=0),"",IF(A298="","",IF(ISERROR(AVERAGEIF(従業員の給与情報!$B:$B,$A298,従業員の給与情報!$F:$F)),0,IF(ISERROR(AVERAGEIF(従業員の給与情報!$B:$B,$A298,従業員の給与情報!$F:$F)),0,AVERAGEIF(従業員の給与情報!$B:$B,$A298,従業員の給与情報!$F:$F)))))</f>
        <v/>
      </c>
    </row>
    <row r="299" spans="1:23" s="10" customFormat="1">
      <c r="A299" s="253"/>
      <c r="B299" s="246"/>
      <c r="C299" s="247"/>
      <c r="D299" s="246"/>
      <c r="E299" s="246"/>
      <c r="F299" s="257" t="str">
        <f>IF($G$1,"",IF(COUNTIF(A299:E299,"")=5,"",IF(G299,入力リスト!$K$28,IF(OR(A299="",B299="",IF(COUNTIF($C$3,"*不要*"),"",C299=""),D299=""),IF(A299="","従業員番号","")&amp;IF(B299="","「雇用形態」","")&amp;IF(OR(入力シート!$J$18=入力リスト!$H$9,入力シート!$J$22=入力リスト!$H$9),IF(C299="","「入社年月日」",""),"")&amp;IF(D299="","「性別」","")&amp;IF(IF(A299="","従業員番号","")&amp;IF(B299="","「雇用形態」","")&amp;IF(OR(入力シート!$J$18=入力リスト!$H$9,入力シート!$J$22=入力リスト!$H$9),IF(C299="","「入社年月日」",""),"")&amp;IF(D299="","「性別」","")="","",入力リスト!$K$29),IF(J299,入力リスト!$K$30,"")&amp;IF(I299,入力リスト!$K$31,"")&amp;IF(H299,"「雇用形態」","")&amp;IF(K299,"「性別」","")&amp;IF(L299,"「役職」","")&amp;IF(OR(H299,K299,L299),入力リスト!$K$32,"")))))</f>
        <v/>
      </c>
      <c r="G299" s="209" t="b">
        <f>COUNTIF($A$4:A298,$A299)&gt;0</f>
        <v>0</v>
      </c>
      <c r="H299" s="210" t="b">
        <f>IF($H$1,FALSE,COUNTIF(入力シート!$S$37:$V$62,B299)=0)</f>
        <v>0</v>
      </c>
      <c r="I299" s="210" t="b">
        <f t="shared" si="10"/>
        <v>0</v>
      </c>
      <c r="J299" s="210" t="b">
        <f>IF($J$1,FALSE,IF(I299=TRUE,FALSE,IF(I299,FALSE,C299&gt;入力シート!$J$24)))</f>
        <v>0</v>
      </c>
      <c r="K299" s="210" t="b">
        <f>IF($K$1,FALSE,COUNTIF(入力シート!$AW$37:$BB$38,D299)=0)</f>
        <v>0</v>
      </c>
      <c r="L299" s="210" t="b">
        <f>IF($L$1,FALSE,IF($L$3,FALSE,IF(E299="",FALSE,COUNTIF(入力シート!$AH$37:$AK$62,E299)=0)))</f>
        <v>0</v>
      </c>
      <c r="M299" s="211" t="str">
        <f t="shared" si="9"/>
        <v/>
      </c>
      <c r="N299" s="211"/>
      <c r="O299" s="209" t="str">
        <f>IF(B299="","",VLOOKUP('従業員情報(給与以外)'!$B299,入力シート!$S$37:$Z$62,5,0))</f>
        <v/>
      </c>
      <c r="P299" s="156" t="str">
        <f>IF(ISNUMBER(C299)=FALSE,"",IF(C299&gt;入力シート!$J$24,"",_xlfn.DAYS(入力シート!$J$24,'従業員情報(給与以外)'!$C299)/365))</f>
        <v/>
      </c>
      <c r="Q299" s="210" t="str">
        <f>IF(P299="","",VLOOKUP(_xlfn.DAYS(入力シート!$J$24,'従業員情報(給与以外)'!$C299)/365,入力リスト!$K$18:$L$26,2,2))</f>
        <v/>
      </c>
      <c r="R299" s="209" t="str">
        <f>IF(D299="","",VLOOKUP('従業員情報(給与以外)'!$D299,入力シート!$AW$37:$BB$38,4,0))</f>
        <v/>
      </c>
      <c r="S299" s="209" t="str">
        <f>IF(A299="","",IF(E299="","非役職",VLOOKUP('従業員情報(給与以外)'!$E299,入力シート!$AH$37:$AO$62,5,0)))</f>
        <v/>
      </c>
      <c r="T299" s="102" t="str">
        <f>IF(OR(入力シート!$C$5&lt;&gt;入力リスト!$C$3,COUNTIF(入力シート!$J$16:$S$23,入力リスト!$H$9)=0),"",IF($A299="","",IF(ISERROR(AVERAGEIF(従業員の給与情報!$B:$B,$A299,従業員の給与情報!$C:$C)),0,IF(ISERROR(AVERAGEIF(従業員の給与情報!$B:$B,$A299,従業員の給与情報!$C:$C)),0,AVERAGEIF(従業員の給与情報!$B:$B,$A299,従業員の給与情報!$C:$C)))))</f>
        <v/>
      </c>
      <c r="U299" s="102" t="str">
        <f>IF(OR(入力シート!$C$5&lt;&gt;入力リスト!$C$3,COUNTIF(入力シート!$J$16:$S$23,入力リスト!$H$9)=0),"",IF(A299="","",IF(ISERROR(AVERAGEIF(従業員の給与情報!$B:$B,$A299,従業員の給与情報!$D:$D)),0,IF(ISERROR(AVERAGEIF(従業員の給与情報!$B:$B,$A299,従業員の給与情報!$D:$D)),0,AVERAGEIF(従業員の給与情報!$B:$B,$A299,従業員の給与情報!$D:$D)))))</f>
        <v/>
      </c>
      <c r="V299" s="102" t="str">
        <f>IF(OR(入力シート!$C$5&lt;&gt;入力リスト!$C$3,COUNTIF(入力シート!$J$16:$S$23,入力リスト!$H$9)=0),"",IF(A299="","",IF(ISERROR(AVERAGEIF(従業員の給与情報!$B:$B,$A299,従業員の給与情報!$E:$E)),0,IF(ISERROR(AVERAGEIF(従業員の給与情報!$B:$B,$A299,従業員の給与情報!$E:$E)),0,AVERAGEIF(従業員の給与情報!$B:$B,$A299,従業員の給与情報!$E:$E)))))</f>
        <v/>
      </c>
      <c r="W299" s="103" t="str">
        <f>IF(OR(入力シート!$C$5&lt;&gt;入力リスト!$C$3,COUNTIF(入力シート!$J$16:$S$23,入力リスト!$H$9)=0),"",IF(A299="","",IF(ISERROR(AVERAGEIF(従業員の給与情報!$B:$B,$A299,従業員の給与情報!$F:$F)),0,IF(ISERROR(AVERAGEIF(従業員の給与情報!$B:$B,$A299,従業員の給与情報!$F:$F)),0,AVERAGEIF(従業員の給与情報!$B:$B,$A299,従業員の給与情報!$F:$F)))))</f>
        <v/>
      </c>
    </row>
    <row r="300" spans="1:23" s="10" customFormat="1">
      <c r="A300" s="253"/>
      <c r="B300" s="246"/>
      <c r="C300" s="247"/>
      <c r="D300" s="246"/>
      <c r="E300" s="246"/>
      <c r="F300" s="257" t="str">
        <f>IF($G$1,"",IF(COUNTIF(A300:E300,"")=5,"",IF(G300,入力リスト!$K$28,IF(OR(A300="",B300="",IF(COUNTIF($C$3,"*不要*"),"",C300=""),D300=""),IF(A300="","従業員番号","")&amp;IF(B300="","「雇用形態」","")&amp;IF(OR(入力シート!$J$18=入力リスト!$H$9,入力シート!$J$22=入力リスト!$H$9),IF(C300="","「入社年月日」",""),"")&amp;IF(D300="","「性別」","")&amp;IF(IF(A300="","従業員番号","")&amp;IF(B300="","「雇用形態」","")&amp;IF(OR(入力シート!$J$18=入力リスト!$H$9,入力シート!$J$22=入力リスト!$H$9),IF(C300="","「入社年月日」",""),"")&amp;IF(D300="","「性別」","")="","",入力リスト!$K$29),IF(J300,入力リスト!$K$30,"")&amp;IF(I300,入力リスト!$K$31,"")&amp;IF(H300,"「雇用形態」","")&amp;IF(K300,"「性別」","")&amp;IF(L300,"「役職」","")&amp;IF(OR(H300,K300,L300),入力リスト!$K$32,"")))))</f>
        <v/>
      </c>
      <c r="G300" s="209" t="b">
        <f>COUNTIF($A$4:A299,$A300)&gt;0</f>
        <v>0</v>
      </c>
      <c r="H300" s="210" t="b">
        <f>IF($H$1,FALSE,COUNTIF(入力シート!$S$37:$V$62,B300)=0)</f>
        <v>0</v>
      </c>
      <c r="I300" s="210" t="b">
        <f t="shared" si="10"/>
        <v>0</v>
      </c>
      <c r="J300" s="210" t="b">
        <f>IF($J$1,FALSE,IF(I300=TRUE,FALSE,IF(I300,FALSE,C300&gt;入力シート!$J$24)))</f>
        <v>0</v>
      </c>
      <c r="K300" s="210" t="b">
        <f>IF($K$1,FALSE,COUNTIF(入力シート!$AW$37:$BB$38,D300)=0)</f>
        <v>0</v>
      </c>
      <c r="L300" s="210" t="b">
        <f>IF($L$1,FALSE,IF($L$3,FALSE,IF(E300="",FALSE,COUNTIF(入力シート!$AH$37:$AK$62,E300)=0)))</f>
        <v>0</v>
      </c>
      <c r="M300" s="211" t="str">
        <f t="shared" si="9"/>
        <v/>
      </c>
      <c r="N300" s="211"/>
      <c r="O300" s="209" t="str">
        <f>IF(B300="","",VLOOKUP('従業員情報(給与以外)'!$B300,入力シート!$S$37:$Z$62,5,0))</f>
        <v/>
      </c>
      <c r="P300" s="156" t="str">
        <f>IF(ISNUMBER(C300)=FALSE,"",IF(C300&gt;入力シート!$J$24,"",_xlfn.DAYS(入力シート!$J$24,'従業員情報(給与以外)'!$C300)/365))</f>
        <v/>
      </c>
      <c r="Q300" s="210" t="str">
        <f>IF(P300="","",VLOOKUP(_xlfn.DAYS(入力シート!$J$24,'従業員情報(給与以外)'!$C300)/365,入力リスト!$K$18:$L$26,2,2))</f>
        <v/>
      </c>
      <c r="R300" s="209" t="str">
        <f>IF(D300="","",VLOOKUP('従業員情報(給与以外)'!$D300,入力シート!$AW$37:$BB$38,4,0))</f>
        <v/>
      </c>
      <c r="S300" s="209" t="str">
        <f>IF(A300="","",IF(E300="","非役職",VLOOKUP('従業員情報(給与以外)'!$E300,入力シート!$AH$37:$AO$62,5,0)))</f>
        <v/>
      </c>
      <c r="T300" s="102" t="str">
        <f>IF(OR(入力シート!$C$5&lt;&gt;入力リスト!$C$3,COUNTIF(入力シート!$J$16:$S$23,入力リスト!$H$9)=0),"",IF($A300="","",IF(ISERROR(AVERAGEIF(従業員の給与情報!$B:$B,$A300,従業員の給与情報!$C:$C)),0,IF(ISERROR(AVERAGEIF(従業員の給与情報!$B:$B,$A300,従業員の給与情報!$C:$C)),0,AVERAGEIF(従業員の給与情報!$B:$B,$A300,従業員の給与情報!$C:$C)))))</f>
        <v/>
      </c>
      <c r="U300" s="102" t="str">
        <f>IF(OR(入力シート!$C$5&lt;&gt;入力リスト!$C$3,COUNTIF(入力シート!$J$16:$S$23,入力リスト!$H$9)=0),"",IF(A300="","",IF(ISERROR(AVERAGEIF(従業員の給与情報!$B:$B,$A300,従業員の給与情報!$D:$D)),0,IF(ISERROR(AVERAGEIF(従業員の給与情報!$B:$B,$A300,従業員の給与情報!$D:$D)),0,AVERAGEIF(従業員の給与情報!$B:$B,$A300,従業員の給与情報!$D:$D)))))</f>
        <v/>
      </c>
      <c r="V300" s="102" t="str">
        <f>IF(OR(入力シート!$C$5&lt;&gt;入力リスト!$C$3,COUNTIF(入力シート!$J$16:$S$23,入力リスト!$H$9)=0),"",IF(A300="","",IF(ISERROR(AVERAGEIF(従業員の給与情報!$B:$B,$A300,従業員の給与情報!$E:$E)),0,IF(ISERROR(AVERAGEIF(従業員の給与情報!$B:$B,$A300,従業員の給与情報!$E:$E)),0,AVERAGEIF(従業員の給与情報!$B:$B,$A300,従業員の給与情報!$E:$E)))))</f>
        <v/>
      </c>
      <c r="W300" s="103" t="str">
        <f>IF(OR(入力シート!$C$5&lt;&gt;入力リスト!$C$3,COUNTIF(入力シート!$J$16:$S$23,入力リスト!$H$9)=0),"",IF(A300="","",IF(ISERROR(AVERAGEIF(従業員の給与情報!$B:$B,$A300,従業員の給与情報!$F:$F)),0,IF(ISERROR(AVERAGEIF(従業員の給与情報!$B:$B,$A300,従業員の給与情報!$F:$F)),0,AVERAGEIF(従業員の給与情報!$B:$B,$A300,従業員の給与情報!$F:$F)))))</f>
        <v/>
      </c>
    </row>
    <row r="301" spans="1:23" s="10" customFormat="1">
      <c r="A301" s="253"/>
      <c r="B301" s="246"/>
      <c r="C301" s="247"/>
      <c r="D301" s="246"/>
      <c r="E301" s="246"/>
      <c r="F301" s="257" t="str">
        <f>IF($G$1,"",IF(COUNTIF(A301:E301,"")=5,"",IF(G301,入力リスト!$K$28,IF(OR(A301="",B301="",IF(COUNTIF($C$3,"*不要*"),"",C301=""),D301=""),IF(A301="","従業員番号","")&amp;IF(B301="","「雇用形態」","")&amp;IF(OR(入力シート!$J$18=入力リスト!$H$9,入力シート!$J$22=入力リスト!$H$9),IF(C301="","「入社年月日」",""),"")&amp;IF(D301="","「性別」","")&amp;IF(IF(A301="","従業員番号","")&amp;IF(B301="","「雇用形態」","")&amp;IF(OR(入力シート!$J$18=入力リスト!$H$9,入力シート!$J$22=入力リスト!$H$9),IF(C301="","「入社年月日」",""),"")&amp;IF(D301="","「性別」","")="","",入力リスト!$K$29),IF(J301,入力リスト!$K$30,"")&amp;IF(I301,入力リスト!$K$31,"")&amp;IF(H301,"「雇用形態」","")&amp;IF(K301,"「性別」","")&amp;IF(L301,"「役職」","")&amp;IF(OR(H301,K301,L301),入力リスト!$K$32,"")))))</f>
        <v/>
      </c>
      <c r="G301" s="209" t="b">
        <f>COUNTIF($A$4:A300,$A301)&gt;0</f>
        <v>0</v>
      </c>
      <c r="H301" s="210" t="b">
        <f>IF($H$1,FALSE,COUNTIF(入力シート!$S$37:$V$62,B301)=0)</f>
        <v>0</v>
      </c>
      <c r="I301" s="210" t="b">
        <f t="shared" si="10"/>
        <v>0</v>
      </c>
      <c r="J301" s="210" t="b">
        <f>IF($J$1,FALSE,IF(I301=TRUE,FALSE,IF(I301,FALSE,C301&gt;入力シート!$J$24)))</f>
        <v>0</v>
      </c>
      <c r="K301" s="210" t="b">
        <f>IF($K$1,FALSE,COUNTIF(入力シート!$AW$37:$BB$38,D301)=0)</f>
        <v>0</v>
      </c>
      <c r="L301" s="210" t="b">
        <f>IF($L$1,FALSE,IF($L$3,FALSE,IF(E301="",FALSE,COUNTIF(入力シート!$AH$37:$AK$62,E301)=0)))</f>
        <v>0</v>
      </c>
      <c r="M301" s="211" t="str">
        <f t="shared" si="9"/>
        <v/>
      </c>
      <c r="N301" s="211"/>
      <c r="O301" s="209" t="str">
        <f>IF(B301="","",VLOOKUP('従業員情報(給与以外)'!$B301,入力シート!$S$37:$Z$62,5,0))</f>
        <v/>
      </c>
      <c r="P301" s="156" t="str">
        <f>IF(ISNUMBER(C301)=FALSE,"",IF(C301&gt;入力シート!$J$24,"",_xlfn.DAYS(入力シート!$J$24,'従業員情報(給与以外)'!$C301)/365))</f>
        <v/>
      </c>
      <c r="Q301" s="210" t="str">
        <f>IF(P301="","",VLOOKUP(_xlfn.DAYS(入力シート!$J$24,'従業員情報(給与以外)'!$C301)/365,入力リスト!$K$18:$L$26,2,2))</f>
        <v/>
      </c>
      <c r="R301" s="209" t="str">
        <f>IF(D301="","",VLOOKUP('従業員情報(給与以外)'!$D301,入力シート!$AW$37:$BB$38,4,0))</f>
        <v/>
      </c>
      <c r="S301" s="209" t="str">
        <f>IF(A301="","",IF(E301="","非役職",VLOOKUP('従業員情報(給与以外)'!$E301,入力シート!$AH$37:$AO$62,5,0)))</f>
        <v/>
      </c>
      <c r="T301" s="102" t="str">
        <f>IF(OR(入力シート!$C$5&lt;&gt;入力リスト!$C$3,COUNTIF(入力シート!$J$16:$S$23,入力リスト!$H$9)=0),"",IF($A301="","",IF(ISERROR(AVERAGEIF(従業員の給与情報!$B:$B,$A301,従業員の給与情報!$C:$C)),0,IF(ISERROR(AVERAGEIF(従業員の給与情報!$B:$B,$A301,従業員の給与情報!$C:$C)),0,AVERAGEIF(従業員の給与情報!$B:$B,$A301,従業員の給与情報!$C:$C)))))</f>
        <v/>
      </c>
      <c r="U301" s="102" t="str">
        <f>IF(OR(入力シート!$C$5&lt;&gt;入力リスト!$C$3,COUNTIF(入力シート!$J$16:$S$23,入力リスト!$H$9)=0),"",IF(A301="","",IF(ISERROR(AVERAGEIF(従業員の給与情報!$B:$B,$A301,従業員の給与情報!$D:$D)),0,IF(ISERROR(AVERAGEIF(従業員の給与情報!$B:$B,$A301,従業員の給与情報!$D:$D)),0,AVERAGEIF(従業員の給与情報!$B:$B,$A301,従業員の給与情報!$D:$D)))))</f>
        <v/>
      </c>
      <c r="V301" s="102" t="str">
        <f>IF(OR(入力シート!$C$5&lt;&gt;入力リスト!$C$3,COUNTIF(入力シート!$J$16:$S$23,入力リスト!$H$9)=0),"",IF(A301="","",IF(ISERROR(AVERAGEIF(従業員の給与情報!$B:$B,$A301,従業員の給与情報!$E:$E)),0,IF(ISERROR(AVERAGEIF(従業員の給与情報!$B:$B,$A301,従業員の給与情報!$E:$E)),0,AVERAGEIF(従業員の給与情報!$B:$B,$A301,従業員の給与情報!$E:$E)))))</f>
        <v/>
      </c>
      <c r="W301" s="103" t="str">
        <f>IF(OR(入力シート!$C$5&lt;&gt;入力リスト!$C$3,COUNTIF(入力シート!$J$16:$S$23,入力リスト!$H$9)=0),"",IF(A301="","",IF(ISERROR(AVERAGEIF(従業員の給与情報!$B:$B,$A301,従業員の給与情報!$F:$F)),0,IF(ISERROR(AVERAGEIF(従業員の給与情報!$B:$B,$A301,従業員の給与情報!$F:$F)),0,AVERAGEIF(従業員の給与情報!$B:$B,$A301,従業員の給与情報!$F:$F)))))</f>
        <v/>
      </c>
    </row>
    <row r="302" spans="1:23" s="10" customFormat="1">
      <c r="A302" s="253"/>
      <c r="B302" s="246"/>
      <c r="C302" s="247"/>
      <c r="D302" s="246"/>
      <c r="E302" s="246"/>
      <c r="F302" s="257" t="str">
        <f>IF($G$1,"",IF(COUNTIF(A302:E302,"")=5,"",IF(G302,入力リスト!$K$28,IF(OR(A302="",B302="",IF(COUNTIF($C$3,"*不要*"),"",C302=""),D302=""),IF(A302="","従業員番号","")&amp;IF(B302="","「雇用形態」","")&amp;IF(OR(入力シート!$J$18=入力リスト!$H$9,入力シート!$J$22=入力リスト!$H$9),IF(C302="","「入社年月日」",""),"")&amp;IF(D302="","「性別」","")&amp;IF(IF(A302="","従業員番号","")&amp;IF(B302="","「雇用形態」","")&amp;IF(OR(入力シート!$J$18=入力リスト!$H$9,入力シート!$J$22=入力リスト!$H$9),IF(C302="","「入社年月日」",""),"")&amp;IF(D302="","「性別」","")="","",入力リスト!$K$29),IF(J302,入力リスト!$K$30,"")&amp;IF(I302,入力リスト!$K$31,"")&amp;IF(H302,"「雇用形態」","")&amp;IF(K302,"「性別」","")&amp;IF(L302,"「役職」","")&amp;IF(OR(H302,K302,L302),入力リスト!$K$32,"")))))</f>
        <v/>
      </c>
      <c r="G302" s="209" t="b">
        <f>COUNTIF($A$4:A301,$A302)&gt;0</f>
        <v>0</v>
      </c>
      <c r="H302" s="210" t="b">
        <f>IF($H$1,FALSE,COUNTIF(入力シート!$S$37:$V$62,B302)=0)</f>
        <v>0</v>
      </c>
      <c r="I302" s="210" t="b">
        <f t="shared" si="10"/>
        <v>0</v>
      </c>
      <c r="J302" s="210" t="b">
        <f>IF($J$1,FALSE,IF(I302=TRUE,FALSE,IF(I302,FALSE,C302&gt;入力シート!$J$24)))</f>
        <v>0</v>
      </c>
      <c r="K302" s="210" t="b">
        <f>IF($K$1,FALSE,COUNTIF(入力シート!$AW$37:$BB$38,D302)=0)</f>
        <v>0</v>
      </c>
      <c r="L302" s="210" t="b">
        <f>IF($L$1,FALSE,IF($L$3,FALSE,IF(E302="",FALSE,COUNTIF(入力シート!$AH$37:$AK$62,E302)=0)))</f>
        <v>0</v>
      </c>
      <c r="M302" s="211" t="str">
        <f t="shared" si="9"/>
        <v/>
      </c>
      <c r="N302" s="211"/>
      <c r="O302" s="209" t="str">
        <f>IF(B302="","",VLOOKUP('従業員情報(給与以外)'!$B302,入力シート!$S$37:$Z$62,5,0))</f>
        <v/>
      </c>
      <c r="P302" s="156" t="str">
        <f>IF(ISNUMBER(C302)=FALSE,"",IF(C302&gt;入力シート!$J$24,"",_xlfn.DAYS(入力シート!$J$24,'従業員情報(給与以外)'!$C302)/365))</f>
        <v/>
      </c>
      <c r="Q302" s="210" t="str">
        <f>IF(P302="","",VLOOKUP(_xlfn.DAYS(入力シート!$J$24,'従業員情報(給与以外)'!$C302)/365,入力リスト!$K$18:$L$26,2,2))</f>
        <v/>
      </c>
      <c r="R302" s="209" t="str">
        <f>IF(D302="","",VLOOKUP('従業員情報(給与以外)'!$D302,入力シート!$AW$37:$BB$38,4,0))</f>
        <v/>
      </c>
      <c r="S302" s="209" t="str">
        <f>IF(A302="","",IF(E302="","非役職",VLOOKUP('従業員情報(給与以外)'!$E302,入力シート!$AH$37:$AO$62,5,0)))</f>
        <v/>
      </c>
      <c r="T302" s="102" t="str">
        <f>IF(OR(入力シート!$C$5&lt;&gt;入力リスト!$C$3,COUNTIF(入力シート!$J$16:$S$23,入力リスト!$H$9)=0),"",IF($A302="","",IF(ISERROR(AVERAGEIF(従業員の給与情報!$B:$B,$A302,従業員の給与情報!$C:$C)),0,IF(ISERROR(AVERAGEIF(従業員の給与情報!$B:$B,$A302,従業員の給与情報!$C:$C)),0,AVERAGEIF(従業員の給与情報!$B:$B,$A302,従業員の給与情報!$C:$C)))))</f>
        <v/>
      </c>
      <c r="U302" s="102" t="str">
        <f>IF(OR(入力シート!$C$5&lt;&gt;入力リスト!$C$3,COUNTIF(入力シート!$J$16:$S$23,入力リスト!$H$9)=0),"",IF(A302="","",IF(ISERROR(AVERAGEIF(従業員の給与情報!$B:$B,$A302,従業員の給与情報!$D:$D)),0,IF(ISERROR(AVERAGEIF(従業員の給与情報!$B:$B,$A302,従業員の給与情報!$D:$D)),0,AVERAGEIF(従業員の給与情報!$B:$B,$A302,従業員の給与情報!$D:$D)))))</f>
        <v/>
      </c>
      <c r="V302" s="102" t="str">
        <f>IF(OR(入力シート!$C$5&lt;&gt;入力リスト!$C$3,COUNTIF(入力シート!$J$16:$S$23,入力リスト!$H$9)=0),"",IF(A302="","",IF(ISERROR(AVERAGEIF(従業員の給与情報!$B:$B,$A302,従業員の給与情報!$E:$E)),0,IF(ISERROR(AVERAGEIF(従業員の給与情報!$B:$B,$A302,従業員の給与情報!$E:$E)),0,AVERAGEIF(従業員の給与情報!$B:$B,$A302,従業員の給与情報!$E:$E)))))</f>
        <v/>
      </c>
      <c r="W302" s="103" t="str">
        <f>IF(OR(入力シート!$C$5&lt;&gt;入力リスト!$C$3,COUNTIF(入力シート!$J$16:$S$23,入力リスト!$H$9)=0),"",IF(A302="","",IF(ISERROR(AVERAGEIF(従業員の給与情報!$B:$B,$A302,従業員の給与情報!$F:$F)),0,IF(ISERROR(AVERAGEIF(従業員の給与情報!$B:$B,$A302,従業員の給与情報!$F:$F)),0,AVERAGEIF(従業員の給与情報!$B:$B,$A302,従業員の給与情報!$F:$F)))))</f>
        <v/>
      </c>
    </row>
    <row r="303" spans="1:23" s="10" customFormat="1">
      <c r="A303" s="253"/>
      <c r="B303" s="246"/>
      <c r="C303" s="247"/>
      <c r="D303" s="246"/>
      <c r="E303" s="246"/>
      <c r="F303" s="257" t="str">
        <f>IF($G$1,"",IF(COUNTIF(A303:E303,"")=5,"",IF(G303,入力リスト!$K$28,IF(OR(A303="",B303="",IF(COUNTIF($C$3,"*不要*"),"",C303=""),D303=""),IF(A303="","従業員番号","")&amp;IF(B303="","「雇用形態」","")&amp;IF(OR(入力シート!$J$18=入力リスト!$H$9,入力シート!$J$22=入力リスト!$H$9),IF(C303="","「入社年月日」",""),"")&amp;IF(D303="","「性別」","")&amp;IF(IF(A303="","従業員番号","")&amp;IF(B303="","「雇用形態」","")&amp;IF(OR(入力シート!$J$18=入力リスト!$H$9,入力シート!$J$22=入力リスト!$H$9),IF(C303="","「入社年月日」",""),"")&amp;IF(D303="","「性別」","")="","",入力リスト!$K$29),IF(J303,入力リスト!$K$30,"")&amp;IF(I303,入力リスト!$K$31,"")&amp;IF(H303,"「雇用形態」","")&amp;IF(K303,"「性別」","")&amp;IF(L303,"「役職」","")&amp;IF(OR(H303,K303,L303),入力リスト!$K$32,"")))))</f>
        <v/>
      </c>
      <c r="G303" s="209" t="b">
        <f>COUNTIF($A$4:A302,$A303)&gt;0</f>
        <v>0</v>
      </c>
      <c r="H303" s="210" t="b">
        <f>IF($H$1,FALSE,COUNTIF(入力シート!$S$37:$V$62,B303)=0)</f>
        <v>0</v>
      </c>
      <c r="I303" s="210" t="b">
        <f t="shared" si="10"/>
        <v>0</v>
      </c>
      <c r="J303" s="210" t="b">
        <f>IF($J$1,FALSE,IF(I303=TRUE,FALSE,IF(I303,FALSE,C303&gt;入力シート!$J$24)))</f>
        <v>0</v>
      </c>
      <c r="K303" s="210" t="b">
        <f>IF($K$1,FALSE,COUNTIF(入力シート!$AW$37:$BB$38,D303)=0)</f>
        <v>0</v>
      </c>
      <c r="L303" s="210" t="b">
        <f>IF($L$1,FALSE,IF($L$3,FALSE,IF(E303="",FALSE,COUNTIF(入力シート!$AH$37:$AK$62,E303)=0)))</f>
        <v>0</v>
      </c>
      <c r="M303" s="211" t="str">
        <f t="shared" si="9"/>
        <v/>
      </c>
      <c r="N303" s="211"/>
      <c r="O303" s="209" t="str">
        <f>IF(B303="","",VLOOKUP('従業員情報(給与以外)'!$B303,入力シート!$S$37:$Z$62,5,0))</f>
        <v/>
      </c>
      <c r="P303" s="156" t="str">
        <f>IF(ISNUMBER(C303)=FALSE,"",IF(C303&gt;入力シート!$J$24,"",_xlfn.DAYS(入力シート!$J$24,'従業員情報(給与以外)'!$C303)/365))</f>
        <v/>
      </c>
      <c r="Q303" s="210" t="str">
        <f>IF(P303="","",VLOOKUP(_xlfn.DAYS(入力シート!$J$24,'従業員情報(給与以外)'!$C303)/365,入力リスト!$K$18:$L$26,2,2))</f>
        <v/>
      </c>
      <c r="R303" s="209" t="str">
        <f>IF(D303="","",VLOOKUP('従業員情報(給与以外)'!$D303,入力シート!$AW$37:$BB$38,4,0))</f>
        <v/>
      </c>
      <c r="S303" s="209" t="str">
        <f>IF(A303="","",IF(E303="","非役職",VLOOKUP('従業員情報(給与以外)'!$E303,入力シート!$AH$37:$AO$62,5,0)))</f>
        <v/>
      </c>
      <c r="T303" s="102" t="str">
        <f>IF(OR(入力シート!$C$5&lt;&gt;入力リスト!$C$3,COUNTIF(入力シート!$J$16:$S$23,入力リスト!$H$9)=0),"",IF($A303="","",IF(ISERROR(AVERAGEIF(従業員の給与情報!$B:$B,$A303,従業員の給与情報!$C:$C)),0,IF(ISERROR(AVERAGEIF(従業員の給与情報!$B:$B,$A303,従業員の給与情報!$C:$C)),0,AVERAGEIF(従業員の給与情報!$B:$B,$A303,従業員の給与情報!$C:$C)))))</f>
        <v/>
      </c>
      <c r="U303" s="102" t="str">
        <f>IF(OR(入力シート!$C$5&lt;&gt;入力リスト!$C$3,COUNTIF(入力シート!$J$16:$S$23,入力リスト!$H$9)=0),"",IF(A303="","",IF(ISERROR(AVERAGEIF(従業員の給与情報!$B:$B,$A303,従業員の給与情報!$D:$D)),0,IF(ISERROR(AVERAGEIF(従業員の給与情報!$B:$B,$A303,従業員の給与情報!$D:$D)),0,AVERAGEIF(従業員の給与情報!$B:$B,$A303,従業員の給与情報!$D:$D)))))</f>
        <v/>
      </c>
      <c r="V303" s="102" t="str">
        <f>IF(OR(入力シート!$C$5&lt;&gt;入力リスト!$C$3,COUNTIF(入力シート!$J$16:$S$23,入力リスト!$H$9)=0),"",IF(A303="","",IF(ISERROR(AVERAGEIF(従業員の給与情報!$B:$B,$A303,従業員の給与情報!$E:$E)),0,IF(ISERROR(AVERAGEIF(従業員の給与情報!$B:$B,$A303,従業員の給与情報!$E:$E)),0,AVERAGEIF(従業員の給与情報!$B:$B,$A303,従業員の給与情報!$E:$E)))))</f>
        <v/>
      </c>
      <c r="W303" s="103" t="str">
        <f>IF(OR(入力シート!$C$5&lt;&gt;入力リスト!$C$3,COUNTIF(入力シート!$J$16:$S$23,入力リスト!$H$9)=0),"",IF(A303="","",IF(ISERROR(AVERAGEIF(従業員の給与情報!$B:$B,$A303,従業員の給与情報!$F:$F)),0,IF(ISERROR(AVERAGEIF(従業員の給与情報!$B:$B,$A303,従業員の給与情報!$F:$F)),0,AVERAGEIF(従業員の給与情報!$B:$B,$A303,従業員の給与情報!$F:$F)))))</f>
        <v/>
      </c>
    </row>
    <row r="304" spans="1:23" s="10" customFormat="1">
      <c r="A304" s="253"/>
      <c r="B304" s="246"/>
      <c r="C304" s="247"/>
      <c r="D304" s="246"/>
      <c r="E304" s="246"/>
      <c r="F304" s="257" t="str">
        <f>IF($G$1,"",IF(COUNTIF(A304:E304,"")=5,"",IF(G304,入力リスト!$K$28,IF(OR(A304="",B304="",IF(COUNTIF($C$3,"*不要*"),"",C304=""),D304=""),IF(A304="","従業員番号","")&amp;IF(B304="","「雇用形態」","")&amp;IF(OR(入力シート!$J$18=入力リスト!$H$9,入力シート!$J$22=入力リスト!$H$9),IF(C304="","「入社年月日」",""),"")&amp;IF(D304="","「性別」","")&amp;IF(IF(A304="","従業員番号","")&amp;IF(B304="","「雇用形態」","")&amp;IF(OR(入力シート!$J$18=入力リスト!$H$9,入力シート!$J$22=入力リスト!$H$9),IF(C304="","「入社年月日」",""),"")&amp;IF(D304="","「性別」","")="","",入力リスト!$K$29),IF(J304,入力リスト!$K$30,"")&amp;IF(I304,入力リスト!$K$31,"")&amp;IF(H304,"「雇用形態」","")&amp;IF(K304,"「性別」","")&amp;IF(L304,"「役職」","")&amp;IF(OR(H304,K304,L304),入力リスト!$K$32,"")))))</f>
        <v/>
      </c>
      <c r="G304" s="209" t="b">
        <f>COUNTIF($A$4:A303,$A304)&gt;0</f>
        <v>0</v>
      </c>
      <c r="H304" s="210" t="b">
        <f>IF($H$1,FALSE,COUNTIF(入力シート!$S$37:$V$62,B304)=0)</f>
        <v>0</v>
      </c>
      <c r="I304" s="210" t="b">
        <f t="shared" si="10"/>
        <v>0</v>
      </c>
      <c r="J304" s="210" t="b">
        <f>IF($J$1,FALSE,IF(I304=TRUE,FALSE,IF(I304,FALSE,C304&gt;入力シート!$J$24)))</f>
        <v>0</v>
      </c>
      <c r="K304" s="210" t="b">
        <f>IF($K$1,FALSE,COUNTIF(入力シート!$AW$37:$BB$38,D304)=0)</f>
        <v>0</v>
      </c>
      <c r="L304" s="210" t="b">
        <f>IF($L$1,FALSE,IF($L$3,FALSE,IF(E304="",FALSE,COUNTIF(入力シート!$AH$37:$AK$62,E304)=0)))</f>
        <v>0</v>
      </c>
      <c r="M304" s="211" t="str">
        <f t="shared" si="9"/>
        <v/>
      </c>
      <c r="N304" s="211"/>
      <c r="O304" s="209" t="str">
        <f>IF(B304="","",VLOOKUP('従業員情報(給与以外)'!$B304,入力シート!$S$37:$Z$62,5,0))</f>
        <v/>
      </c>
      <c r="P304" s="156" t="str">
        <f>IF(ISNUMBER(C304)=FALSE,"",IF(C304&gt;入力シート!$J$24,"",_xlfn.DAYS(入力シート!$J$24,'従業員情報(給与以外)'!$C304)/365))</f>
        <v/>
      </c>
      <c r="Q304" s="210" t="str">
        <f>IF(P304="","",VLOOKUP(_xlfn.DAYS(入力シート!$J$24,'従業員情報(給与以外)'!$C304)/365,入力リスト!$K$18:$L$26,2,2))</f>
        <v/>
      </c>
      <c r="R304" s="209" t="str">
        <f>IF(D304="","",VLOOKUP('従業員情報(給与以外)'!$D304,入力シート!$AW$37:$BB$38,4,0))</f>
        <v/>
      </c>
      <c r="S304" s="209" t="str">
        <f>IF(A304="","",IF(E304="","非役職",VLOOKUP('従業員情報(給与以外)'!$E304,入力シート!$AH$37:$AO$62,5,0)))</f>
        <v/>
      </c>
      <c r="T304" s="102" t="str">
        <f>IF(OR(入力シート!$C$5&lt;&gt;入力リスト!$C$3,COUNTIF(入力シート!$J$16:$S$23,入力リスト!$H$9)=0),"",IF($A304="","",IF(ISERROR(AVERAGEIF(従業員の給与情報!$B:$B,$A304,従業員の給与情報!$C:$C)),0,IF(ISERROR(AVERAGEIF(従業員の給与情報!$B:$B,$A304,従業員の給与情報!$C:$C)),0,AVERAGEIF(従業員の給与情報!$B:$B,$A304,従業員の給与情報!$C:$C)))))</f>
        <v/>
      </c>
      <c r="U304" s="102" t="str">
        <f>IF(OR(入力シート!$C$5&lt;&gt;入力リスト!$C$3,COUNTIF(入力シート!$J$16:$S$23,入力リスト!$H$9)=0),"",IF(A304="","",IF(ISERROR(AVERAGEIF(従業員の給与情報!$B:$B,$A304,従業員の給与情報!$D:$D)),0,IF(ISERROR(AVERAGEIF(従業員の給与情報!$B:$B,$A304,従業員の給与情報!$D:$D)),0,AVERAGEIF(従業員の給与情報!$B:$B,$A304,従業員の給与情報!$D:$D)))))</f>
        <v/>
      </c>
      <c r="V304" s="102" t="str">
        <f>IF(OR(入力シート!$C$5&lt;&gt;入力リスト!$C$3,COUNTIF(入力シート!$J$16:$S$23,入力リスト!$H$9)=0),"",IF(A304="","",IF(ISERROR(AVERAGEIF(従業員の給与情報!$B:$B,$A304,従業員の給与情報!$E:$E)),0,IF(ISERROR(AVERAGEIF(従業員の給与情報!$B:$B,$A304,従業員の給与情報!$E:$E)),0,AVERAGEIF(従業員の給与情報!$B:$B,$A304,従業員の給与情報!$E:$E)))))</f>
        <v/>
      </c>
      <c r="W304" s="103" t="str">
        <f>IF(OR(入力シート!$C$5&lt;&gt;入力リスト!$C$3,COUNTIF(入力シート!$J$16:$S$23,入力リスト!$H$9)=0),"",IF(A304="","",IF(ISERROR(AVERAGEIF(従業員の給与情報!$B:$B,$A304,従業員の給与情報!$F:$F)),0,IF(ISERROR(AVERAGEIF(従業員の給与情報!$B:$B,$A304,従業員の給与情報!$F:$F)),0,AVERAGEIF(従業員の給与情報!$B:$B,$A304,従業員の給与情報!$F:$F)))))</f>
        <v/>
      </c>
    </row>
    <row r="305" spans="1:23" s="10" customFormat="1">
      <c r="A305" s="253"/>
      <c r="B305" s="246"/>
      <c r="C305" s="247"/>
      <c r="D305" s="246"/>
      <c r="E305" s="246"/>
      <c r="F305" s="257" t="str">
        <f>IF($G$1,"",IF(COUNTIF(A305:E305,"")=5,"",IF(G305,入力リスト!$K$28,IF(OR(A305="",B305="",IF(COUNTIF($C$3,"*不要*"),"",C305=""),D305=""),IF(A305="","従業員番号","")&amp;IF(B305="","「雇用形態」","")&amp;IF(OR(入力シート!$J$18=入力リスト!$H$9,入力シート!$J$22=入力リスト!$H$9),IF(C305="","「入社年月日」",""),"")&amp;IF(D305="","「性別」","")&amp;IF(IF(A305="","従業員番号","")&amp;IF(B305="","「雇用形態」","")&amp;IF(OR(入力シート!$J$18=入力リスト!$H$9,入力シート!$J$22=入力リスト!$H$9),IF(C305="","「入社年月日」",""),"")&amp;IF(D305="","「性別」","")="","",入力リスト!$K$29),IF(J305,入力リスト!$K$30,"")&amp;IF(I305,入力リスト!$K$31,"")&amp;IF(H305,"「雇用形態」","")&amp;IF(K305,"「性別」","")&amp;IF(L305,"「役職」","")&amp;IF(OR(H305,K305,L305),入力リスト!$K$32,"")))))</f>
        <v/>
      </c>
      <c r="G305" s="209" t="b">
        <f>COUNTIF($A$4:A304,$A305)&gt;0</f>
        <v>0</v>
      </c>
      <c r="H305" s="210" t="b">
        <f>IF($H$1,FALSE,COUNTIF(入力シート!$S$37:$V$62,B305)=0)</f>
        <v>0</v>
      </c>
      <c r="I305" s="210" t="b">
        <f t="shared" si="10"/>
        <v>0</v>
      </c>
      <c r="J305" s="210" t="b">
        <f>IF($J$1,FALSE,IF(I305=TRUE,FALSE,IF(I305,FALSE,C305&gt;入力シート!$J$24)))</f>
        <v>0</v>
      </c>
      <c r="K305" s="210" t="b">
        <f>IF($K$1,FALSE,COUNTIF(入力シート!$AW$37:$BB$38,D305)=0)</f>
        <v>0</v>
      </c>
      <c r="L305" s="210" t="b">
        <f>IF($L$1,FALSE,IF($L$3,FALSE,IF(E305="",FALSE,COUNTIF(入力シート!$AH$37:$AK$62,E305)=0)))</f>
        <v>0</v>
      </c>
      <c r="M305" s="211" t="str">
        <f t="shared" si="9"/>
        <v/>
      </c>
      <c r="N305" s="211"/>
      <c r="O305" s="209" t="str">
        <f>IF(B305="","",VLOOKUP('従業員情報(給与以外)'!$B305,入力シート!$S$37:$Z$62,5,0))</f>
        <v/>
      </c>
      <c r="P305" s="156" t="str">
        <f>IF(ISNUMBER(C305)=FALSE,"",IF(C305&gt;入力シート!$J$24,"",_xlfn.DAYS(入力シート!$J$24,'従業員情報(給与以外)'!$C305)/365))</f>
        <v/>
      </c>
      <c r="Q305" s="210" t="str">
        <f>IF(P305="","",VLOOKUP(_xlfn.DAYS(入力シート!$J$24,'従業員情報(給与以外)'!$C305)/365,入力リスト!$K$18:$L$26,2,2))</f>
        <v/>
      </c>
      <c r="R305" s="209" t="str">
        <f>IF(D305="","",VLOOKUP('従業員情報(給与以外)'!$D305,入力シート!$AW$37:$BB$38,4,0))</f>
        <v/>
      </c>
      <c r="S305" s="209" t="str">
        <f>IF(A305="","",IF(E305="","非役職",VLOOKUP('従業員情報(給与以外)'!$E305,入力シート!$AH$37:$AO$62,5,0)))</f>
        <v/>
      </c>
      <c r="T305" s="102" t="str">
        <f>IF(OR(入力シート!$C$5&lt;&gt;入力リスト!$C$3,COUNTIF(入力シート!$J$16:$S$23,入力リスト!$H$9)=0),"",IF($A305="","",IF(ISERROR(AVERAGEIF(従業員の給与情報!$B:$B,$A305,従業員の給与情報!$C:$C)),0,IF(ISERROR(AVERAGEIF(従業員の給与情報!$B:$B,$A305,従業員の給与情報!$C:$C)),0,AVERAGEIF(従業員の給与情報!$B:$B,$A305,従業員の給与情報!$C:$C)))))</f>
        <v/>
      </c>
      <c r="U305" s="102" t="str">
        <f>IF(OR(入力シート!$C$5&lt;&gt;入力リスト!$C$3,COUNTIF(入力シート!$J$16:$S$23,入力リスト!$H$9)=0),"",IF(A305="","",IF(ISERROR(AVERAGEIF(従業員の給与情報!$B:$B,$A305,従業員の給与情報!$D:$D)),0,IF(ISERROR(AVERAGEIF(従業員の給与情報!$B:$B,$A305,従業員の給与情報!$D:$D)),0,AVERAGEIF(従業員の給与情報!$B:$B,$A305,従業員の給与情報!$D:$D)))))</f>
        <v/>
      </c>
      <c r="V305" s="102" t="str">
        <f>IF(OR(入力シート!$C$5&lt;&gt;入力リスト!$C$3,COUNTIF(入力シート!$J$16:$S$23,入力リスト!$H$9)=0),"",IF(A305="","",IF(ISERROR(AVERAGEIF(従業員の給与情報!$B:$B,$A305,従業員の給与情報!$E:$E)),0,IF(ISERROR(AVERAGEIF(従業員の給与情報!$B:$B,$A305,従業員の給与情報!$E:$E)),0,AVERAGEIF(従業員の給与情報!$B:$B,$A305,従業員の給与情報!$E:$E)))))</f>
        <v/>
      </c>
      <c r="W305" s="103" t="str">
        <f>IF(OR(入力シート!$C$5&lt;&gt;入力リスト!$C$3,COUNTIF(入力シート!$J$16:$S$23,入力リスト!$H$9)=0),"",IF(A305="","",IF(ISERROR(AVERAGEIF(従業員の給与情報!$B:$B,$A305,従業員の給与情報!$F:$F)),0,IF(ISERROR(AVERAGEIF(従業員の給与情報!$B:$B,$A305,従業員の給与情報!$F:$F)),0,AVERAGEIF(従業員の給与情報!$B:$B,$A305,従業員の給与情報!$F:$F)))))</f>
        <v/>
      </c>
    </row>
    <row r="306" spans="1:23" s="10" customFormat="1">
      <c r="A306" s="253"/>
      <c r="B306" s="246"/>
      <c r="C306" s="247"/>
      <c r="D306" s="246"/>
      <c r="E306" s="246"/>
      <c r="F306" s="257" t="str">
        <f>IF($G$1,"",IF(COUNTIF(A306:E306,"")=5,"",IF(G306,入力リスト!$K$28,IF(OR(A306="",B306="",IF(COUNTIF($C$3,"*不要*"),"",C306=""),D306=""),IF(A306="","従業員番号","")&amp;IF(B306="","「雇用形態」","")&amp;IF(OR(入力シート!$J$18=入力リスト!$H$9,入力シート!$J$22=入力リスト!$H$9),IF(C306="","「入社年月日」",""),"")&amp;IF(D306="","「性別」","")&amp;IF(IF(A306="","従業員番号","")&amp;IF(B306="","「雇用形態」","")&amp;IF(OR(入力シート!$J$18=入力リスト!$H$9,入力シート!$J$22=入力リスト!$H$9),IF(C306="","「入社年月日」",""),"")&amp;IF(D306="","「性別」","")="","",入力リスト!$K$29),IF(J306,入力リスト!$K$30,"")&amp;IF(I306,入力リスト!$K$31,"")&amp;IF(H306,"「雇用形態」","")&amp;IF(K306,"「性別」","")&amp;IF(L306,"「役職」","")&amp;IF(OR(H306,K306,L306),入力リスト!$K$32,"")))))</f>
        <v/>
      </c>
      <c r="G306" s="209" t="b">
        <f>COUNTIF($A$4:A305,$A306)&gt;0</f>
        <v>0</v>
      </c>
      <c r="H306" s="210" t="b">
        <f>IF($H$1,FALSE,COUNTIF(入力シート!$S$37:$V$62,B306)=0)</f>
        <v>0</v>
      </c>
      <c r="I306" s="210" t="b">
        <f t="shared" si="10"/>
        <v>0</v>
      </c>
      <c r="J306" s="210" t="b">
        <f>IF($J$1,FALSE,IF(I306=TRUE,FALSE,IF(I306,FALSE,C306&gt;入力シート!$J$24)))</f>
        <v>0</v>
      </c>
      <c r="K306" s="210" t="b">
        <f>IF($K$1,FALSE,COUNTIF(入力シート!$AW$37:$BB$38,D306)=0)</f>
        <v>0</v>
      </c>
      <c r="L306" s="210" t="b">
        <f>IF($L$1,FALSE,IF($L$3,FALSE,IF(E306="",FALSE,COUNTIF(入力シート!$AH$37:$AK$62,E306)=0)))</f>
        <v>0</v>
      </c>
      <c r="M306" s="211" t="str">
        <f t="shared" si="9"/>
        <v/>
      </c>
      <c r="N306" s="211"/>
      <c r="O306" s="209" t="str">
        <f>IF(B306="","",VLOOKUP('従業員情報(給与以外)'!$B306,入力シート!$S$37:$Z$62,5,0))</f>
        <v/>
      </c>
      <c r="P306" s="156" t="str">
        <f>IF(ISNUMBER(C306)=FALSE,"",IF(C306&gt;入力シート!$J$24,"",_xlfn.DAYS(入力シート!$J$24,'従業員情報(給与以外)'!$C306)/365))</f>
        <v/>
      </c>
      <c r="Q306" s="210" t="str">
        <f>IF(P306="","",VLOOKUP(_xlfn.DAYS(入力シート!$J$24,'従業員情報(給与以外)'!$C306)/365,入力リスト!$K$18:$L$26,2,2))</f>
        <v/>
      </c>
      <c r="R306" s="209" t="str">
        <f>IF(D306="","",VLOOKUP('従業員情報(給与以外)'!$D306,入力シート!$AW$37:$BB$38,4,0))</f>
        <v/>
      </c>
      <c r="S306" s="209" t="str">
        <f>IF(A306="","",IF(E306="","非役職",VLOOKUP('従業員情報(給与以外)'!$E306,入力シート!$AH$37:$AO$62,5,0)))</f>
        <v/>
      </c>
      <c r="T306" s="102" t="str">
        <f>IF(OR(入力シート!$C$5&lt;&gt;入力リスト!$C$3,COUNTIF(入力シート!$J$16:$S$23,入力リスト!$H$9)=0),"",IF($A306="","",IF(ISERROR(AVERAGEIF(従業員の給与情報!$B:$B,$A306,従業員の給与情報!$C:$C)),0,IF(ISERROR(AVERAGEIF(従業員の給与情報!$B:$B,$A306,従業員の給与情報!$C:$C)),0,AVERAGEIF(従業員の給与情報!$B:$B,$A306,従業員の給与情報!$C:$C)))))</f>
        <v/>
      </c>
      <c r="U306" s="102" t="str">
        <f>IF(OR(入力シート!$C$5&lt;&gt;入力リスト!$C$3,COUNTIF(入力シート!$J$16:$S$23,入力リスト!$H$9)=0),"",IF(A306="","",IF(ISERROR(AVERAGEIF(従業員の給与情報!$B:$B,$A306,従業員の給与情報!$D:$D)),0,IF(ISERROR(AVERAGEIF(従業員の給与情報!$B:$B,$A306,従業員の給与情報!$D:$D)),0,AVERAGEIF(従業員の給与情報!$B:$B,$A306,従業員の給与情報!$D:$D)))))</f>
        <v/>
      </c>
      <c r="V306" s="102" t="str">
        <f>IF(OR(入力シート!$C$5&lt;&gt;入力リスト!$C$3,COUNTIF(入力シート!$J$16:$S$23,入力リスト!$H$9)=0),"",IF(A306="","",IF(ISERROR(AVERAGEIF(従業員の給与情報!$B:$B,$A306,従業員の給与情報!$E:$E)),0,IF(ISERROR(AVERAGEIF(従業員の給与情報!$B:$B,$A306,従業員の給与情報!$E:$E)),0,AVERAGEIF(従業員の給与情報!$B:$B,$A306,従業員の給与情報!$E:$E)))))</f>
        <v/>
      </c>
      <c r="W306" s="103" t="str">
        <f>IF(OR(入力シート!$C$5&lt;&gt;入力リスト!$C$3,COUNTIF(入力シート!$J$16:$S$23,入力リスト!$H$9)=0),"",IF(A306="","",IF(ISERROR(AVERAGEIF(従業員の給与情報!$B:$B,$A306,従業員の給与情報!$F:$F)),0,IF(ISERROR(AVERAGEIF(従業員の給与情報!$B:$B,$A306,従業員の給与情報!$F:$F)),0,AVERAGEIF(従業員の給与情報!$B:$B,$A306,従業員の給与情報!$F:$F)))))</f>
        <v/>
      </c>
    </row>
    <row r="307" spans="1:23" s="10" customFormat="1">
      <c r="A307" s="253"/>
      <c r="B307" s="246"/>
      <c r="C307" s="247"/>
      <c r="D307" s="246"/>
      <c r="E307" s="246"/>
      <c r="F307" s="257" t="str">
        <f>IF($G$1,"",IF(COUNTIF(A307:E307,"")=5,"",IF(G307,入力リスト!$K$28,IF(OR(A307="",B307="",IF(COUNTIF($C$3,"*不要*"),"",C307=""),D307=""),IF(A307="","従業員番号","")&amp;IF(B307="","「雇用形態」","")&amp;IF(OR(入力シート!$J$18=入力リスト!$H$9,入力シート!$J$22=入力リスト!$H$9),IF(C307="","「入社年月日」",""),"")&amp;IF(D307="","「性別」","")&amp;IF(IF(A307="","従業員番号","")&amp;IF(B307="","「雇用形態」","")&amp;IF(OR(入力シート!$J$18=入力リスト!$H$9,入力シート!$J$22=入力リスト!$H$9),IF(C307="","「入社年月日」",""),"")&amp;IF(D307="","「性別」","")="","",入力リスト!$K$29),IF(J307,入力リスト!$K$30,"")&amp;IF(I307,入力リスト!$K$31,"")&amp;IF(H307,"「雇用形態」","")&amp;IF(K307,"「性別」","")&amp;IF(L307,"「役職」","")&amp;IF(OR(H307,K307,L307),入力リスト!$K$32,"")))))</f>
        <v/>
      </c>
      <c r="G307" s="209" t="b">
        <f>COUNTIF($A$4:A306,$A307)&gt;0</f>
        <v>0</v>
      </c>
      <c r="H307" s="210" t="b">
        <f>IF($H$1,FALSE,COUNTIF(入力シート!$S$37:$V$62,B307)=0)</f>
        <v>0</v>
      </c>
      <c r="I307" s="210" t="b">
        <f t="shared" si="10"/>
        <v>0</v>
      </c>
      <c r="J307" s="210" t="b">
        <f>IF($J$1,FALSE,IF(I307=TRUE,FALSE,IF(I307,FALSE,C307&gt;入力シート!$J$24)))</f>
        <v>0</v>
      </c>
      <c r="K307" s="210" t="b">
        <f>IF($K$1,FALSE,COUNTIF(入力シート!$AW$37:$BB$38,D307)=0)</f>
        <v>0</v>
      </c>
      <c r="L307" s="210" t="b">
        <f>IF($L$1,FALSE,IF($L$3,FALSE,IF(E307="",FALSE,COUNTIF(入力シート!$AH$37:$AK$62,E307)=0)))</f>
        <v>0</v>
      </c>
      <c r="M307" s="211" t="str">
        <f t="shared" si="9"/>
        <v/>
      </c>
      <c r="N307" s="211"/>
      <c r="O307" s="209" t="str">
        <f>IF(B307="","",VLOOKUP('従業員情報(給与以外)'!$B307,入力シート!$S$37:$Z$62,5,0))</f>
        <v/>
      </c>
      <c r="P307" s="156" t="str">
        <f>IF(ISNUMBER(C307)=FALSE,"",IF(C307&gt;入力シート!$J$24,"",_xlfn.DAYS(入力シート!$J$24,'従業員情報(給与以外)'!$C307)/365))</f>
        <v/>
      </c>
      <c r="Q307" s="210" t="str">
        <f>IF(P307="","",VLOOKUP(_xlfn.DAYS(入力シート!$J$24,'従業員情報(給与以外)'!$C307)/365,入力リスト!$K$18:$L$26,2,2))</f>
        <v/>
      </c>
      <c r="R307" s="209" t="str">
        <f>IF(D307="","",VLOOKUP('従業員情報(給与以外)'!$D307,入力シート!$AW$37:$BB$38,4,0))</f>
        <v/>
      </c>
      <c r="S307" s="209" t="str">
        <f>IF(A307="","",IF(E307="","非役職",VLOOKUP('従業員情報(給与以外)'!$E307,入力シート!$AH$37:$AO$62,5,0)))</f>
        <v/>
      </c>
      <c r="T307" s="102" t="str">
        <f>IF(OR(入力シート!$C$5&lt;&gt;入力リスト!$C$3,COUNTIF(入力シート!$J$16:$S$23,入力リスト!$H$9)=0),"",IF($A307="","",IF(ISERROR(AVERAGEIF(従業員の給与情報!$B:$B,$A307,従業員の給与情報!$C:$C)),0,IF(ISERROR(AVERAGEIF(従業員の給与情報!$B:$B,$A307,従業員の給与情報!$C:$C)),0,AVERAGEIF(従業員の給与情報!$B:$B,$A307,従業員の給与情報!$C:$C)))))</f>
        <v/>
      </c>
      <c r="U307" s="102" t="str">
        <f>IF(OR(入力シート!$C$5&lt;&gt;入力リスト!$C$3,COUNTIF(入力シート!$J$16:$S$23,入力リスト!$H$9)=0),"",IF(A307="","",IF(ISERROR(AVERAGEIF(従業員の給与情報!$B:$B,$A307,従業員の給与情報!$D:$D)),0,IF(ISERROR(AVERAGEIF(従業員の給与情報!$B:$B,$A307,従業員の給与情報!$D:$D)),0,AVERAGEIF(従業員の給与情報!$B:$B,$A307,従業員の給与情報!$D:$D)))))</f>
        <v/>
      </c>
      <c r="V307" s="102" t="str">
        <f>IF(OR(入力シート!$C$5&lt;&gt;入力リスト!$C$3,COUNTIF(入力シート!$J$16:$S$23,入力リスト!$H$9)=0),"",IF(A307="","",IF(ISERROR(AVERAGEIF(従業員の給与情報!$B:$B,$A307,従業員の給与情報!$E:$E)),0,IF(ISERROR(AVERAGEIF(従業員の給与情報!$B:$B,$A307,従業員の給与情報!$E:$E)),0,AVERAGEIF(従業員の給与情報!$B:$B,$A307,従業員の給与情報!$E:$E)))))</f>
        <v/>
      </c>
      <c r="W307" s="103" t="str">
        <f>IF(OR(入力シート!$C$5&lt;&gt;入力リスト!$C$3,COUNTIF(入力シート!$J$16:$S$23,入力リスト!$H$9)=0),"",IF(A307="","",IF(ISERROR(AVERAGEIF(従業員の給与情報!$B:$B,$A307,従業員の給与情報!$F:$F)),0,IF(ISERROR(AVERAGEIF(従業員の給与情報!$B:$B,$A307,従業員の給与情報!$F:$F)),0,AVERAGEIF(従業員の給与情報!$B:$B,$A307,従業員の給与情報!$F:$F)))))</f>
        <v/>
      </c>
    </row>
    <row r="308" spans="1:23" s="10" customFormat="1">
      <c r="A308" s="253"/>
      <c r="B308" s="246"/>
      <c r="C308" s="247"/>
      <c r="D308" s="246"/>
      <c r="E308" s="246"/>
      <c r="F308" s="257" t="str">
        <f>IF($G$1,"",IF(COUNTIF(A308:E308,"")=5,"",IF(G308,入力リスト!$K$28,IF(OR(A308="",B308="",IF(COUNTIF($C$3,"*不要*"),"",C308=""),D308=""),IF(A308="","従業員番号","")&amp;IF(B308="","「雇用形態」","")&amp;IF(OR(入力シート!$J$18=入力リスト!$H$9,入力シート!$J$22=入力リスト!$H$9),IF(C308="","「入社年月日」",""),"")&amp;IF(D308="","「性別」","")&amp;IF(IF(A308="","従業員番号","")&amp;IF(B308="","「雇用形態」","")&amp;IF(OR(入力シート!$J$18=入力リスト!$H$9,入力シート!$J$22=入力リスト!$H$9),IF(C308="","「入社年月日」",""),"")&amp;IF(D308="","「性別」","")="","",入力リスト!$K$29),IF(J308,入力リスト!$K$30,"")&amp;IF(I308,入力リスト!$K$31,"")&amp;IF(H308,"「雇用形態」","")&amp;IF(K308,"「性別」","")&amp;IF(L308,"「役職」","")&amp;IF(OR(H308,K308,L308),入力リスト!$K$32,"")))))</f>
        <v/>
      </c>
      <c r="G308" s="209" t="b">
        <f>COUNTIF($A$4:A307,$A308)&gt;0</f>
        <v>0</v>
      </c>
      <c r="H308" s="210" t="b">
        <f>IF($H$1,FALSE,COUNTIF(入力シート!$S$37:$V$62,B308)=0)</f>
        <v>0</v>
      </c>
      <c r="I308" s="210" t="b">
        <f t="shared" si="10"/>
        <v>0</v>
      </c>
      <c r="J308" s="210" t="b">
        <f>IF($J$1,FALSE,IF(I308=TRUE,FALSE,IF(I308,FALSE,C308&gt;入力シート!$J$24)))</f>
        <v>0</v>
      </c>
      <c r="K308" s="210" t="b">
        <f>IF($K$1,FALSE,COUNTIF(入力シート!$AW$37:$BB$38,D308)=0)</f>
        <v>0</v>
      </c>
      <c r="L308" s="210" t="b">
        <f>IF($L$1,FALSE,IF($L$3,FALSE,IF(E308="",FALSE,COUNTIF(入力シート!$AH$37:$AK$62,E308)=0)))</f>
        <v>0</v>
      </c>
      <c r="M308" s="211" t="str">
        <f t="shared" si="9"/>
        <v/>
      </c>
      <c r="N308" s="211"/>
      <c r="O308" s="209" t="str">
        <f>IF(B308="","",VLOOKUP('従業員情報(給与以外)'!$B308,入力シート!$S$37:$Z$62,5,0))</f>
        <v/>
      </c>
      <c r="P308" s="156" t="str">
        <f>IF(ISNUMBER(C308)=FALSE,"",IF(C308&gt;入力シート!$J$24,"",_xlfn.DAYS(入力シート!$J$24,'従業員情報(給与以外)'!$C308)/365))</f>
        <v/>
      </c>
      <c r="Q308" s="210" t="str">
        <f>IF(P308="","",VLOOKUP(_xlfn.DAYS(入力シート!$J$24,'従業員情報(給与以外)'!$C308)/365,入力リスト!$K$18:$L$26,2,2))</f>
        <v/>
      </c>
      <c r="R308" s="209" t="str">
        <f>IF(D308="","",VLOOKUP('従業員情報(給与以外)'!$D308,入力シート!$AW$37:$BB$38,4,0))</f>
        <v/>
      </c>
      <c r="S308" s="209" t="str">
        <f>IF(A308="","",IF(E308="","非役職",VLOOKUP('従業員情報(給与以外)'!$E308,入力シート!$AH$37:$AO$62,5,0)))</f>
        <v/>
      </c>
      <c r="T308" s="102" t="str">
        <f>IF(OR(入力シート!$C$5&lt;&gt;入力リスト!$C$3,COUNTIF(入力シート!$J$16:$S$23,入力リスト!$H$9)=0),"",IF($A308="","",IF(ISERROR(AVERAGEIF(従業員の給与情報!$B:$B,$A308,従業員の給与情報!$C:$C)),0,IF(ISERROR(AVERAGEIF(従業員の給与情報!$B:$B,$A308,従業員の給与情報!$C:$C)),0,AVERAGEIF(従業員の給与情報!$B:$B,$A308,従業員の給与情報!$C:$C)))))</f>
        <v/>
      </c>
      <c r="U308" s="102" t="str">
        <f>IF(OR(入力シート!$C$5&lt;&gt;入力リスト!$C$3,COUNTIF(入力シート!$J$16:$S$23,入力リスト!$H$9)=0),"",IF(A308="","",IF(ISERROR(AVERAGEIF(従業員の給与情報!$B:$B,$A308,従業員の給与情報!$D:$D)),0,IF(ISERROR(AVERAGEIF(従業員の給与情報!$B:$B,$A308,従業員の給与情報!$D:$D)),0,AVERAGEIF(従業員の給与情報!$B:$B,$A308,従業員の給与情報!$D:$D)))))</f>
        <v/>
      </c>
      <c r="V308" s="102" t="str">
        <f>IF(OR(入力シート!$C$5&lt;&gt;入力リスト!$C$3,COUNTIF(入力シート!$J$16:$S$23,入力リスト!$H$9)=0),"",IF(A308="","",IF(ISERROR(AVERAGEIF(従業員の給与情報!$B:$B,$A308,従業員の給与情報!$E:$E)),0,IF(ISERROR(AVERAGEIF(従業員の給与情報!$B:$B,$A308,従業員の給与情報!$E:$E)),0,AVERAGEIF(従業員の給与情報!$B:$B,$A308,従業員の給与情報!$E:$E)))))</f>
        <v/>
      </c>
      <c r="W308" s="103" t="str">
        <f>IF(OR(入力シート!$C$5&lt;&gt;入力リスト!$C$3,COUNTIF(入力シート!$J$16:$S$23,入力リスト!$H$9)=0),"",IF(A308="","",IF(ISERROR(AVERAGEIF(従業員の給与情報!$B:$B,$A308,従業員の給与情報!$F:$F)),0,IF(ISERROR(AVERAGEIF(従業員の給与情報!$B:$B,$A308,従業員の給与情報!$F:$F)),0,AVERAGEIF(従業員の給与情報!$B:$B,$A308,従業員の給与情報!$F:$F)))))</f>
        <v/>
      </c>
    </row>
    <row r="309" spans="1:23" s="10" customFormat="1">
      <c r="A309" s="253"/>
      <c r="B309" s="246"/>
      <c r="C309" s="247"/>
      <c r="D309" s="246"/>
      <c r="E309" s="246"/>
      <c r="F309" s="257" t="str">
        <f>IF($G$1,"",IF(COUNTIF(A309:E309,"")=5,"",IF(G309,入力リスト!$K$28,IF(OR(A309="",B309="",IF(COUNTIF($C$3,"*不要*"),"",C309=""),D309=""),IF(A309="","従業員番号","")&amp;IF(B309="","「雇用形態」","")&amp;IF(OR(入力シート!$J$18=入力リスト!$H$9,入力シート!$J$22=入力リスト!$H$9),IF(C309="","「入社年月日」",""),"")&amp;IF(D309="","「性別」","")&amp;IF(IF(A309="","従業員番号","")&amp;IF(B309="","「雇用形態」","")&amp;IF(OR(入力シート!$J$18=入力リスト!$H$9,入力シート!$J$22=入力リスト!$H$9),IF(C309="","「入社年月日」",""),"")&amp;IF(D309="","「性別」","")="","",入力リスト!$K$29),IF(J309,入力リスト!$K$30,"")&amp;IF(I309,入力リスト!$K$31,"")&amp;IF(H309,"「雇用形態」","")&amp;IF(K309,"「性別」","")&amp;IF(L309,"「役職」","")&amp;IF(OR(H309,K309,L309),入力リスト!$K$32,"")))))</f>
        <v/>
      </c>
      <c r="G309" s="209" t="b">
        <f>COUNTIF($A$4:A308,$A309)&gt;0</f>
        <v>0</v>
      </c>
      <c r="H309" s="210" t="b">
        <f>IF($H$1,FALSE,COUNTIF(入力シート!$S$37:$V$62,B309)=0)</f>
        <v>0</v>
      </c>
      <c r="I309" s="210" t="b">
        <f t="shared" si="10"/>
        <v>0</v>
      </c>
      <c r="J309" s="210" t="b">
        <f>IF($J$1,FALSE,IF(I309=TRUE,FALSE,IF(I309,FALSE,C309&gt;入力シート!$J$24)))</f>
        <v>0</v>
      </c>
      <c r="K309" s="210" t="b">
        <f>IF($K$1,FALSE,COUNTIF(入力シート!$AW$37:$BB$38,D309)=0)</f>
        <v>0</v>
      </c>
      <c r="L309" s="210" t="b">
        <f>IF($L$1,FALSE,IF($L$3,FALSE,IF(E309="",FALSE,COUNTIF(入力シート!$AH$37:$AK$62,E309)=0)))</f>
        <v>0</v>
      </c>
      <c r="M309" s="211" t="str">
        <f t="shared" si="9"/>
        <v/>
      </c>
      <c r="N309" s="211"/>
      <c r="O309" s="209" t="str">
        <f>IF(B309="","",VLOOKUP('従業員情報(給与以外)'!$B309,入力シート!$S$37:$Z$62,5,0))</f>
        <v/>
      </c>
      <c r="P309" s="156" t="str">
        <f>IF(ISNUMBER(C309)=FALSE,"",IF(C309&gt;入力シート!$J$24,"",_xlfn.DAYS(入力シート!$J$24,'従業員情報(給与以外)'!$C309)/365))</f>
        <v/>
      </c>
      <c r="Q309" s="210" t="str">
        <f>IF(P309="","",VLOOKUP(_xlfn.DAYS(入力シート!$J$24,'従業員情報(給与以外)'!$C309)/365,入力リスト!$K$18:$L$26,2,2))</f>
        <v/>
      </c>
      <c r="R309" s="209" t="str">
        <f>IF(D309="","",VLOOKUP('従業員情報(給与以外)'!$D309,入力シート!$AW$37:$BB$38,4,0))</f>
        <v/>
      </c>
      <c r="S309" s="209" t="str">
        <f>IF(A309="","",IF(E309="","非役職",VLOOKUP('従業員情報(給与以外)'!$E309,入力シート!$AH$37:$AO$62,5,0)))</f>
        <v/>
      </c>
      <c r="T309" s="102" t="str">
        <f>IF(OR(入力シート!$C$5&lt;&gt;入力リスト!$C$3,COUNTIF(入力シート!$J$16:$S$23,入力リスト!$H$9)=0),"",IF($A309="","",IF(ISERROR(AVERAGEIF(従業員の給与情報!$B:$B,$A309,従業員の給与情報!$C:$C)),0,IF(ISERROR(AVERAGEIF(従業員の給与情報!$B:$B,$A309,従業員の給与情報!$C:$C)),0,AVERAGEIF(従業員の給与情報!$B:$B,$A309,従業員の給与情報!$C:$C)))))</f>
        <v/>
      </c>
      <c r="U309" s="102" t="str">
        <f>IF(OR(入力シート!$C$5&lt;&gt;入力リスト!$C$3,COUNTIF(入力シート!$J$16:$S$23,入力リスト!$H$9)=0),"",IF(A309="","",IF(ISERROR(AVERAGEIF(従業員の給与情報!$B:$B,$A309,従業員の給与情報!$D:$D)),0,IF(ISERROR(AVERAGEIF(従業員の給与情報!$B:$B,$A309,従業員の給与情報!$D:$D)),0,AVERAGEIF(従業員の給与情報!$B:$B,$A309,従業員の給与情報!$D:$D)))))</f>
        <v/>
      </c>
      <c r="V309" s="102" t="str">
        <f>IF(OR(入力シート!$C$5&lt;&gt;入力リスト!$C$3,COUNTIF(入力シート!$J$16:$S$23,入力リスト!$H$9)=0),"",IF(A309="","",IF(ISERROR(AVERAGEIF(従業員の給与情報!$B:$B,$A309,従業員の給与情報!$E:$E)),0,IF(ISERROR(AVERAGEIF(従業員の給与情報!$B:$B,$A309,従業員の給与情報!$E:$E)),0,AVERAGEIF(従業員の給与情報!$B:$B,$A309,従業員の給与情報!$E:$E)))))</f>
        <v/>
      </c>
      <c r="W309" s="103" t="str">
        <f>IF(OR(入力シート!$C$5&lt;&gt;入力リスト!$C$3,COUNTIF(入力シート!$J$16:$S$23,入力リスト!$H$9)=0),"",IF(A309="","",IF(ISERROR(AVERAGEIF(従業員の給与情報!$B:$B,$A309,従業員の給与情報!$F:$F)),0,IF(ISERROR(AVERAGEIF(従業員の給与情報!$B:$B,$A309,従業員の給与情報!$F:$F)),0,AVERAGEIF(従業員の給与情報!$B:$B,$A309,従業員の給与情報!$F:$F)))))</f>
        <v/>
      </c>
    </row>
    <row r="310" spans="1:23" s="10" customFormat="1">
      <c r="A310" s="253"/>
      <c r="B310" s="246"/>
      <c r="C310" s="247"/>
      <c r="D310" s="246"/>
      <c r="E310" s="246"/>
      <c r="F310" s="257" t="str">
        <f>IF($G$1,"",IF(COUNTIF(A310:E310,"")=5,"",IF(G310,入力リスト!$K$28,IF(OR(A310="",B310="",IF(COUNTIF($C$3,"*不要*"),"",C310=""),D310=""),IF(A310="","従業員番号","")&amp;IF(B310="","「雇用形態」","")&amp;IF(OR(入力シート!$J$18=入力リスト!$H$9,入力シート!$J$22=入力リスト!$H$9),IF(C310="","「入社年月日」",""),"")&amp;IF(D310="","「性別」","")&amp;IF(IF(A310="","従業員番号","")&amp;IF(B310="","「雇用形態」","")&amp;IF(OR(入力シート!$J$18=入力リスト!$H$9,入力シート!$J$22=入力リスト!$H$9),IF(C310="","「入社年月日」",""),"")&amp;IF(D310="","「性別」","")="","",入力リスト!$K$29),IF(J310,入力リスト!$K$30,"")&amp;IF(I310,入力リスト!$K$31,"")&amp;IF(H310,"「雇用形態」","")&amp;IF(K310,"「性別」","")&amp;IF(L310,"「役職」","")&amp;IF(OR(H310,K310,L310),入力リスト!$K$32,"")))))</f>
        <v/>
      </c>
      <c r="G310" s="209" t="b">
        <f>COUNTIF($A$4:A309,$A310)&gt;0</f>
        <v>0</v>
      </c>
      <c r="H310" s="210" t="b">
        <f>IF($H$1,FALSE,COUNTIF(入力シート!$S$37:$V$62,B310)=0)</f>
        <v>0</v>
      </c>
      <c r="I310" s="210" t="b">
        <f t="shared" si="10"/>
        <v>0</v>
      </c>
      <c r="J310" s="210" t="b">
        <f>IF($J$1,FALSE,IF(I310=TRUE,FALSE,IF(I310,FALSE,C310&gt;入力シート!$J$24)))</f>
        <v>0</v>
      </c>
      <c r="K310" s="210" t="b">
        <f>IF($K$1,FALSE,COUNTIF(入力シート!$AW$37:$BB$38,D310)=0)</f>
        <v>0</v>
      </c>
      <c r="L310" s="210" t="b">
        <f>IF($L$1,FALSE,IF($L$3,FALSE,IF(E310="",FALSE,COUNTIF(入力シート!$AH$37:$AK$62,E310)=0)))</f>
        <v>0</v>
      </c>
      <c r="M310" s="211" t="str">
        <f t="shared" si="9"/>
        <v/>
      </c>
      <c r="N310" s="211"/>
      <c r="O310" s="209" t="str">
        <f>IF(B310="","",VLOOKUP('従業員情報(給与以外)'!$B310,入力シート!$S$37:$Z$62,5,0))</f>
        <v/>
      </c>
      <c r="P310" s="156" t="str">
        <f>IF(ISNUMBER(C310)=FALSE,"",IF(C310&gt;入力シート!$J$24,"",_xlfn.DAYS(入力シート!$J$24,'従業員情報(給与以外)'!$C310)/365))</f>
        <v/>
      </c>
      <c r="Q310" s="210" t="str">
        <f>IF(P310="","",VLOOKUP(_xlfn.DAYS(入力シート!$J$24,'従業員情報(給与以外)'!$C310)/365,入力リスト!$K$18:$L$26,2,2))</f>
        <v/>
      </c>
      <c r="R310" s="209" t="str">
        <f>IF(D310="","",VLOOKUP('従業員情報(給与以外)'!$D310,入力シート!$AW$37:$BB$38,4,0))</f>
        <v/>
      </c>
      <c r="S310" s="209" t="str">
        <f>IF(A310="","",IF(E310="","非役職",VLOOKUP('従業員情報(給与以外)'!$E310,入力シート!$AH$37:$AO$62,5,0)))</f>
        <v/>
      </c>
      <c r="T310" s="102" t="str">
        <f>IF(OR(入力シート!$C$5&lt;&gt;入力リスト!$C$3,COUNTIF(入力シート!$J$16:$S$23,入力リスト!$H$9)=0),"",IF($A310="","",IF(ISERROR(AVERAGEIF(従業員の給与情報!$B:$B,$A310,従業員の給与情報!$C:$C)),0,IF(ISERROR(AVERAGEIF(従業員の給与情報!$B:$B,$A310,従業員の給与情報!$C:$C)),0,AVERAGEIF(従業員の給与情報!$B:$B,$A310,従業員の給与情報!$C:$C)))))</f>
        <v/>
      </c>
      <c r="U310" s="102" t="str">
        <f>IF(OR(入力シート!$C$5&lt;&gt;入力リスト!$C$3,COUNTIF(入力シート!$J$16:$S$23,入力リスト!$H$9)=0),"",IF(A310="","",IF(ISERROR(AVERAGEIF(従業員の給与情報!$B:$B,$A310,従業員の給与情報!$D:$D)),0,IF(ISERROR(AVERAGEIF(従業員の給与情報!$B:$B,$A310,従業員の給与情報!$D:$D)),0,AVERAGEIF(従業員の給与情報!$B:$B,$A310,従業員の給与情報!$D:$D)))))</f>
        <v/>
      </c>
      <c r="V310" s="102" t="str">
        <f>IF(OR(入力シート!$C$5&lt;&gt;入力リスト!$C$3,COUNTIF(入力シート!$J$16:$S$23,入力リスト!$H$9)=0),"",IF(A310="","",IF(ISERROR(AVERAGEIF(従業員の給与情報!$B:$B,$A310,従業員の給与情報!$E:$E)),0,IF(ISERROR(AVERAGEIF(従業員の給与情報!$B:$B,$A310,従業員の給与情報!$E:$E)),0,AVERAGEIF(従業員の給与情報!$B:$B,$A310,従業員の給与情報!$E:$E)))))</f>
        <v/>
      </c>
      <c r="W310" s="103" t="str">
        <f>IF(OR(入力シート!$C$5&lt;&gt;入力リスト!$C$3,COUNTIF(入力シート!$J$16:$S$23,入力リスト!$H$9)=0),"",IF(A310="","",IF(ISERROR(AVERAGEIF(従業員の給与情報!$B:$B,$A310,従業員の給与情報!$F:$F)),0,IF(ISERROR(AVERAGEIF(従業員の給与情報!$B:$B,$A310,従業員の給与情報!$F:$F)),0,AVERAGEIF(従業員の給与情報!$B:$B,$A310,従業員の給与情報!$F:$F)))))</f>
        <v/>
      </c>
    </row>
    <row r="311" spans="1:23" s="10" customFormat="1">
      <c r="A311" s="253"/>
      <c r="B311" s="246"/>
      <c r="C311" s="247"/>
      <c r="D311" s="246"/>
      <c r="E311" s="246"/>
      <c r="F311" s="257" t="str">
        <f>IF($G$1,"",IF(COUNTIF(A311:E311,"")=5,"",IF(G311,入力リスト!$K$28,IF(OR(A311="",B311="",IF(COUNTIF($C$3,"*不要*"),"",C311=""),D311=""),IF(A311="","従業員番号","")&amp;IF(B311="","「雇用形態」","")&amp;IF(OR(入力シート!$J$18=入力リスト!$H$9,入力シート!$J$22=入力リスト!$H$9),IF(C311="","「入社年月日」",""),"")&amp;IF(D311="","「性別」","")&amp;IF(IF(A311="","従業員番号","")&amp;IF(B311="","「雇用形態」","")&amp;IF(OR(入力シート!$J$18=入力リスト!$H$9,入力シート!$J$22=入力リスト!$H$9),IF(C311="","「入社年月日」",""),"")&amp;IF(D311="","「性別」","")="","",入力リスト!$K$29),IF(J311,入力リスト!$K$30,"")&amp;IF(I311,入力リスト!$K$31,"")&amp;IF(H311,"「雇用形態」","")&amp;IF(K311,"「性別」","")&amp;IF(L311,"「役職」","")&amp;IF(OR(H311,K311,L311),入力リスト!$K$32,"")))))</f>
        <v/>
      </c>
      <c r="G311" s="209" t="b">
        <f>COUNTIF($A$4:A310,$A311)&gt;0</f>
        <v>0</v>
      </c>
      <c r="H311" s="210" t="b">
        <f>IF($H$1,FALSE,COUNTIF(入力シート!$S$37:$V$62,B311)=0)</f>
        <v>0</v>
      </c>
      <c r="I311" s="210" t="b">
        <f t="shared" si="10"/>
        <v>0</v>
      </c>
      <c r="J311" s="210" t="b">
        <f>IF($J$1,FALSE,IF(I311=TRUE,FALSE,IF(I311,FALSE,C311&gt;入力シート!$J$24)))</f>
        <v>0</v>
      </c>
      <c r="K311" s="210" t="b">
        <f>IF($K$1,FALSE,COUNTIF(入力シート!$AW$37:$BB$38,D311)=0)</f>
        <v>0</v>
      </c>
      <c r="L311" s="210" t="b">
        <f>IF($L$1,FALSE,IF($L$3,FALSE,IF(E311="",FALSE,COUNTIF(入力シート!$AH$37:$AK$62,E311)=0)))</f>
        <v>0</v>
      </c>
      <c r="M311" s="211" t="str">
        <f t="shared" si="9"/>
        <v/>
      </c>
      <c r="N311" s="211"/>
      <c r="O311" s="209" t="str">
        <f>IF(B311="","",VLOOKUP('従業員情報(給与以外)'!$B311,入力シート!$S$37:$Z$62,5,0))</f>
        <v/>
      </c>
      <c r="P311" s="156" t="str">
        <f>IF(ISNUMBER(C311)=FALSE,"",IF(C311&gt;入力シート!$J$24,"",_xlfn.DAYS(入力シート!$J$24,'従業員情報(給与以外)'!$C311)/365))</f>
        <v/>
      </c>
      <c r="Q311" s="210" t="str">
        <f>IF(P311="","",VLOOKUP(_xlfn.DAYS(入力シート!$J$24,'従業員情報(給与以外)'!$C311)/365,入力リスト!$K$18:$L$26,2,2))</f>
        <v/>
      </c>
      <c r="R311" s="209" t="str">
        <f>IF(D311="","",VLOOKUP('従業員情報(給与以外)'!$D311,入力シート!$AW$37:$BB$38,4,0))</f>
        <v/>
      </c>
      <c r="S311" s="209" t="str">
        <f>IF(A311="","",IF(E311="","非役職",VLOOKUP('従業員情報(給与以外)'!$E311,入力シート!$AH$37:$AO$62,5,0)))</f>
        <v/>
      </c>
      <c r="T311" s="102" t="str">
        <f>IF(OR(入力シート!$C$5&lt;&gt;入力リスト!$C$3,COUNTIF(入力シート!$J$16:$S$23,入力リスト!$H$9)=0),"",IF($A311="","",IF(ISERROR(AVERAGEIF(従業員の給与情報!$B:$B,$A311,従業員の給与情報!$C:$C)),0,IF(ISERROR(AVERAGEIF(従業員の給与情報!$B:$B,$A311,従業員の給与情報!$C:$C)),0,AVERAGEIF(従業員の給与情報!$B:$B,$A311,従業員の給与情報!$C:$C)))))</f>
        <v/>
      </c>
      <c r="U311" s="102" t="str">
        <f>IF(OR(入力シート!$C$5&lt;&gt;入力リスト!$C$3,COUNTIF(入力シート!$J$16:$S$23,入力リスト!$H$9)=0),"",IF(A311="","",IF(ISERROR(AVERAGEIF(従業員の給与情報!$B:$B,$A311,従業員の給与情報!$D:$D)),0,IF(ISERROR(AVERAGEIF(従業員の給与情報!$B:$B,$A311,従業員の給与情報!$D:$D)),0,AVERAGEIF(従業員の給与情報!$B:$B,$A311,従業員の給与情報!$D:$D)))))</f>
        <v/>
      </c>
      <c r="V311" s="102" t="str">
        <f>IF(OR(入力シート!$C$5&lt;&gt;入力リスト!$C$3,COUNTIF(入力シート!$J$16:$S$23,入力リスト!$H$9)=0),"",IF(A311="","",IF(ISERROR(AVERAGEIF(従業員の給与情報!$B:$B,$A311,従業員の給与情報!$E:$E)),0,IF(ISERROR(AVERAGEIF(従業員の給与情報!$B:$B,$A311,従業員の給与情報!$E:$E)),0,AVERAGEIF(従業員の給与情報!$B:$B,$A311,従業員の給与情報!$E:$E)))))</f>
        <v/>
      </c>
      <c r="W311" s="103" t="str">
        <f>IF(OR(入力シート!$C$5&lt;&gt;入力リスト!$C$3,COUNTIF(入力シート!$J$16:$S$23,入力リスト!$H$9)=0),"",IF(A311="","",IF(ISERROR(AVERAGEIF(従業員の給与情報!$B:$B,$A311,従業員の給与情報!$F:$F)),0,IF(ISERROR(AVERAGEIF(従業員の給与情報!$B:$B,$A311,従業員の給与情報!$F:$F)),0,AVERAGEIF(従業員の給与情報!$B:$B,$A311,従業員の給与情報!$F:$F)))))</f>
        <v/>
      </c>
    </row>
    <row r="312" spans="1:23" s="10" customFormat="1">
      <c r="A312" s="253"/>
      <c r="B312" s="246"/>
      <c r="C312" s="247"/>
      <c r="D312" s="246"/>
      <c r="E312" s="246"/>
      <c r="F312" s="257" t="str">
        <f>IF($G$1,"",IF(COUNTIF(A312:E312,"")=5,"",IF(G312,入力リスト!$K$28,IF(OR(A312="",B312="",IF(COUNTIF($C$3,"*不要*"),"",C312=""),D312=""),IF(A312="","従業員番号","")&amp;IF(B312="","「雇用形態」","")&amp;IF(OR(入力シート!$J$18=入力リスト!$H$9,入力シート!$J$22=入力リスト!$H$9),IF(C312="","「入社年月日」",""),"")&amp;IF(D312="","「性別」","")&amp;IF(IF(A312="","従業員番号","")&amp;IF(B312="","「雇用形態」","")&amp;IF(OR(入力シート!$J$18=入力リスト!$H$9,入力シート!$J$22=入力リスト!$H$9),IF(C312="","「入社年月日」",""),"")&amp;IF(D312="","「性別」","")="","",入力リスト!$K$29),IF(J312,入力リスト!$K$30,"")&amp;IF(I312,入力リスト!$K$31,"")&amp;IF(H312,"「雇用形態」","")&amp;IF(K312,"「性別」","")&amp;IF(L312,"「役職」","")&amp;IF(OR(H312,K312,L312),入力リスト!$K$32,"")))))</f>
        <v/>
      </c>
      <c r="G312" s="209" t="b">
        <f>COUNTIF($A$4:A311,$A312)&gt;0</f>
        <v>0</v>
      </c>
      <c r="H312" s="210" t="b">
        <f>IF($H$1,FALSE,COUNTIF(入力シート!$S$37:$V$62,B312)=0)</f>
        <v>0</v>
      </c>
      <c r="I312" s="210" t="b">
        <f t="shared" si="10"/>
        <v>0</v>
      </c>
      <c r="J312" s="210" t="b">
        <f>IF($J$1,FALSE,IF(I312=TRUE,FALSE,IF(I312,FALSE,C312&gt;入力シート!$J$24)))</f>
        <v>0</v>
      </c>
      <c r="K312" s="210" t="b">
        <f>IF($K$1,FALSE,COUNTIF(入力シート!$AW$37:$BB$38,D312)=0)</f>
        <v>0</v>
      </c>
      <c r="L312" s="210" t="b">
        <f>IF($L$1,FALSE,IF($L$3,FALSE,IF(E312="",FALSE,COUNTIF(入力シート!$AH$37:$AK$62,E312)=0)))</f>
        <v>0</v>
      </c>
      <c r="M312" s="211" t="str">
        <f t="shared" si="9"/>
        <v/>
      </c>
      <c r="N312" s="211"/>
      <c r="O312" s="209" t="str">
        <f>IF(B312="","",VLOOKUP('従業員情報(給与以外)'!$B312,入力シート!$S$37:$Z$62,5,0))</f>
        <v/>
      </c>
      <c r="P312" s="156" t="str">
        <f>IF(ISNUMBER(C312)=FALSE,"",IF(C312&gt;入力シート!$J$24,"",_xlfn.DAYS(入力シート!$J$24,'従業員情報(給与以外)'!$C312)/365))</f>
        <v/>
      </c>
      <c r="Q312" s="210" t="str">
        <f>IF(P312="","",VLOOKUP(_xlfn.DAYS(入力シート!$J$24,'従業員情報(給与以外)'!$C312)/365,入力リスト!$K$18:$L$26,2,2))</f>
        <v/>
      </c>
      <c r="R312" s="209" t="str">
        <f>IF(D312="","",VLOOKUP('従業員情報(給与以外)'!$D312,入力シート!$AW$37:$BB$38,4,0))</f>
        <v/>
      </c>
      <c r="S312" s="209" t="str">
        <f>IF(A312="","",IF(E312="","非役職",VLOOKUP('従業員情報(給与以外)'!$E312,入力シート!$AH$37:$AO$62,5,0)))</f>
        <v/>
      </c>
      <c r="T312" s="102" t="str">
        <f>IF(OR(入力シート!$C$5&lt;&gt;入力リスト!$C$3,COUNTIF(入力シート!$J$16:$S$23,入力リスト!$H$9)=0),"",IF($A312="","",IF(ISERROR(AVERAGEIF(従業員の給与情報!$B:$B,$A312,従業員の給与情報!$C:$C)),0,IF(ISERROR(AVERAGEIF(従業員の給与情報!$B:$B,$A312,従業員の給与情報!$C:$C)),0,AVERAGEIF(従業員の給与情報!$B:$B,$A312,従業員の給与情報!$C:$C)))))</f>
        <v/>
      </c>
      <c r="U312" s="102" t="str">
        <f>IF(OR(入力シート!$C$5&lt;&gt;入力リスト!$C$3,COUNTIF(入力シート!$J$16:$S$23,入力リスト!$H$9)=0),"",IF(A312="","",IF(ISERROR(AVERAGEIF(従業員の給与情報!$B:$B,$A312,従業員の給与情報!$D:$D)),0,IF(ISERROR(AVERAGEIF(従業員の給与情報!$B:$B,$A312,従業員の給与情報!$D:$D)),0,AVERAGEIF(従業員の給与情報!$B:$B,$A312,従業員の給与情報!$D:$D)))))</f>
        <v/>
      </c>
      <c r="V312" s="102" t="str">
        <f>IF(OR(入力シート!$C$5&lt;&gt;入力リスト!$C$3,COUNTIF(入力シート!$J$16:$S$23,入力リスト!$H$9)=0),"",IF(A312="","",IF(ISERROR(AVERAGEIF(従業員の給与情報!$B:$B,$A312,従業員の給与情報!$E:$E)),0,IF(ISERROR(AVERAGEIF(従業員の給与情報!$B:$B,$A312,従業員の給与情報!$E:$E)),0,AVERAGEIF(従業員の給与情報!$B:$B,$A312,従業員の給与情報!$E:$E)))))</f>
        <v/>
      </c>
      <c r="W312" s="103" t="str">
        <f>IF(OR(入力シート!$C$5&lt;&gt;入力リスト!$C$3,COUNTIF(入力シート!$J$16:$S$23,入力リスト!$H$9)=0),"",IF(A312="","",IF(ISERROR(AVERAGEIF(従業員の給与情報!$B:$B,$A312,従業員の給与情報!$F:$F)),0,IF(ISERROR(AVERAGEIF(従業員の給与情報!$B:$B,$A312,従業員の給与情報!$F:$F)),0,AVERAGEIF(従業員の給与情報!$B:$B,$A312,従業員の給与情報!$F:$F)))))</f>
        <v/>
      </c>
    </row>
    <row r="313" spans="1:23" s="10" customFormat="1">
      <c r="A313" s="253"/>
      <c r="B313" s="246"/>
      <c r="C313" s="247"/>
      <c r="D313" s="246"/>
      <c r="E313" s="246"/>
      <c r="F313" s="257" t="str">
        <f>IF($G$1,"",IF(COUNTIF(A313:E313,"")=5,"",IF(G313,入力リスト!$K$28,IF(OR(A313="",B313="",IF(COUNTIF($C$3,"*不要*"),"",C313=""),D313=""),IF(A313="","従業員番号","")&amp;IF(B313="","「雇用形態」","")&amp;IF(OR(入力シート!$J$18=入力リスト!$H$9,入力シート!$J$22=入力リスト!$H$9),IF(C313="","「入社年月日」",""),"")&amp;IF(D313="","「性別」","")&amp;IF(IF(A313="","従業員番号","")&amp;IF(B313="","「雇用形態」","")&amp;IF(OR(入力シート!$J$18=入力リスト!$H$9,入力シート!$J$22=入力リスト!$H$9),IF(C313="","「入社年月日」",""),"")&amp;IF(D313="","「性別」","")="","",入力リスト!$K$29),IF(J313,入力リスト!$K$30,"")&amp;IF(I313,入力リスト!$K$31,"")&amp;IF(H313,"「雇用形態」","")&amp;IF(K313,"「性別」","")&amp;IF(L313,"「役職」","")&amp;IF(OR(H313,K313,L313),入力リスト!$K$32,"")))))</f>
        <v/>
      </c>
      <c r="G313" s="209" t="b">
        <f>COUNTIF($A$4:A312,$A313)&gt;0</f>
        <v>0</v>
      </c>
      <c r="H313" s="210" t="b">
        <f>IF($H$1,FALSE,COUNTIF(入力シート!$S$37:$V$62,B313)=0)</f>
        <v>0</v>
      </c>
      <c r="I313" s="210" t="b">
        <f t="shared" si="10"/>
        <v>0</v>
      </c>
      <c r="J313" s="210" t="b">
        <f>IF($J$1,FALSE,IF(I313=TRUE,FALSE,IF(I313,FALSE,C313&gt;入力シート!$J$24)))</f>
        <v>0</v>
      </c>
      <c r="K313" s="210" t="b">
        <f>IF($K$1,FALSE,COUNTIF(入力シート!$AW$37:$BB$38,D313)=0)</f>
        <v>0</v>
      </c>
      <c r="L313" s="210" t="b">
        <f>IF($L$1,FALSE,IF($L$3,FALSE,IF(E313="",FALSE,COUNTIF(入力シート!$AH$37:$AK$62,E313)=0)))</f>
        <v>0</v>
      </c>
      <c r="M313" s="211" t="str">
        <f t="shared" si="9"/>
        <v/>
      </c>
      <c r="N313" s="211"/>
      <c r="O313" s="209" t="str">
        <f>IF(B313="","",VLOOKUP('従業員情報(給与以外)'!$B313,入力シート!$S$37:$Z$62,5,0))</f>
        <v/>
      </c>
      <c r="P313" s="156" t="str">
        <f>IF(ISNUMBER(C313)=FALSE,"",IF(C313&gt;入力シート!$J$24,"",_xlfn.DAYS(入力シート!$J$24,'従業員情報(給与以外)'!$C313)/365))</f>
        <v/>
      </c>
      <c r="Q313" s="210" t="str">
        <f>IF(P313="","",VLOOKUP(_xlfn.DAYS(入力シート!$J$24,'従業員情報(給与以外)'!$C313)/365,入力リスト!$K$18:$L$26,2,2))</f>
        <v/>
      </c>
      <c r="R313" s="209" t="str">
        <f>IF(D313="","",VLOOKUP('従業員情報(給与以外)'!$D313,入力シート!$AW$37:$BB$38,4,0))</f>
        <v/>
      </c>
      <c r="S313" s="209" t="str">
        <f>IF(A313="","",IF(E313="","非役職",VLOOKUP('従業員情報(給与以外)'!$E313,入力シート!$AH$37:$AO$62,5,0)))</f>
        <v/>
      </c>
      <c r="T313" s="102" t="str">
        <f>IF(OR(入力シート!$C$5&lt;&gt;入力リスト!$C$3,COUNTIF(入力シート!$J$16:$S$23,入力リスト!$H$9)=0),"",IF($A313="","",IF(ISERROR(AVERAGEIF(従業員の給与情報!$B:$B,$A313,従業員の給与情報!$C:$C)),0,IF(ISERROR(AVERAGEIF(従業員の給与情報!$B:$B,$A313,従業員の給与情報!$C:$C)),0,AVERAGEIF(従業員の給与情報!$B:$B,$A313,従業員の給与情報!$C:$C)))))</f>
        <v/>
      </c>
      <c r="U313" s="102" t="str">
        <f>IF(OR(入力シート!$C$5&lt;&gt;入力リスト!$C$3,COUNTIF(入力シート!$J$16:$S$23,入力リスト!$H$9)=0),"",IF(A313="","",IF(ISERROR(AVERAGEIF(従業員の給与情報!$B:$B,$A313,従業員の給与情報!$D:$D)),0,IF(ISERROR(AVERAGEIF(従業員の給与情報!$B:$B,$A313,従業員の給与情報!$D:$D)),0,AVERAGEIF(従業員の給与情報!$B:$B,$A313,従業員の給与情報!$D:$D)))))</f>
        <v/>
      </c>
      <c r="V313" s="102" t="str">
        <f>IF(OR(入力シート!$C$5&lt;&gt;入力リスト!$C$3,COUNTIF(入力シート!$J$16:$S$23,入力リスト!$H$9)=0),"",IF(A313="","",IF(ISERROR(AVERAGEIF(従業員の給与情報!$B:$B,$A313,従業員の給与情報!$E:$E)),0,IF(ISERROR(AVERAGEIF(従業員の給与情報!$B:$B,$A313,従業員の給与情報!$E:$E)),0,AVERAGEIF(従業員の給与情報!$B:$B,$A313,従業員の給与情報!$E:$E)))))</f>
        <v/>
      </c>
      <c r="W313" s="103" t="str">
        <f>IF(OR(入力シート!$C$5&lt;&gt;入力リスト!$C$3,COUNTIF(入力シート!$J$16:$S$23,入力リスト!$H$9)=0),"",IF(A313="","",IF(ISERROR(AVERAGEIF(従業員の給与情報!$B:$B,$A313,従業員の給与情報!$F:$F)),0,IF(ISERROR(AVERAGEIF(従業員の給与情報!$B:$B,$A313,従業員の給与情報!$F:$F)),0,AVERAGEIF(従業員の給与情報!$B:$B,$A313,従業員の給与情報!$F:$F)))))</f>
        <v/>
      </c>
    </row>
    <row r="314" spans="1:23" s="10" customFormat="1">
      <c r="A314" s="253"/>
      <c r="B314" s="246"/>
      <c r="C314" s="247"/>
      <c r="D314" s="246"/>
      <c r="E314" s="246"/>
      <c r="F314" s="257" t="str">
        <f>IF($G$1,"",IF(COUNTIF(A314:E314,"")=5,"",IF(G314,入力リスト!$K$28,IF(OR(A314="",B314="",IF(COUNTIF($C$3,"*不要*"),"",C314=""),D314=""),IF(A314="","従業員番号","")&amp;IF(B314="","「雇用形態」","")&amp;IF(OR(入力シート!$J$18=入力リスト!$H$9,入力シート!$J$22=入力リスト!$H$9),IF(C314="","「入社年月日」",""),"")&amp;IF(D314="","「性別」","")&amp;IF(IF(A314="","従業員番号","")&amp;IF(B314="","「雇用形態」","")&amp;IF(OR(入力シート!$J$18=入力リスト!$H$9,入力シート!$J$22=入力リスト!$H$9),IF(C314="","「入社年月日」",""),"")&amp;IF(D314="","「性別」","")="","",入力リスト!$K$29),IF(J314,入力リスト!$K$30,"")&amp;IF(I314,入力リスト!$K$31,"")&amp;IF(H314,"「雇用形態」","")&amp;IF(K314,"「性別」","")&amp;IF(L314,"「役職」","")&amp;IF(OR(H314,K314,L314),入力リスト!$K$32,"")))))</f>
        <v/>
      </c>
      <c r="G314" s="209" t="b">
        <f>COUNTIF($A$4:A313,$A314)&gt;0</f>
        <v>0</v>
      </c>
      <c r="H314" s="210" t="b">
        <f>IF($H$1,FALSE,COUNTIF(入力シート!$S$37:$V$62,B314)=0)</f>
        <v>0</v>
      </c>
      <c r="I314" s="210" t="b">
        <f t="shared" si="10"/>
        <v>0</v>
      </c>
      <c r="J314" s="210" t="b">
        <f>IF($J$1,FALSE,IF(I314=TRUE,FALSE,IF(I314,FALSE,C314&gt;入力シート!$J$24)))</f>
        <v>0</v>
      </c>
      <c r="K314" s="210" t="b">
        <f>IF($K$1,FALSE,COUNTIF(入力シート!$AW$37:$BB$38,D314)=0)</f>
        <v>0</v>
      </c>
      <c r="L314" s="210" t="b">
        <f>IF($L$1,FALSE,IF($L$3,FALSE,IF(E314="",FALSE,COUNTIF(入力シート!$AH$37:$AK$62,E314)=0)))</f>
        <v>0</v>
      </c>
      <c r="M314" s="211" t="str">
        <f t="shared" si="9"/>
        <v/>
      </c>
      <c r="N314" s="211"/>
      <c r="O314" s="209" t="str">
        <f>IF(B314="","",VLOOKUP('従業員情報(給与以外)'!$B314,入力シート!$S$37:$Z$62,5,0))</f>
        <v/>
      </c>
      <c r="P314" s="156" t="str">
        <f>IF(ISNUMBER(C314)=FALSE,"",IF(C314&gt;入力シート!$J$24,"",_xlfn.DAYS(入力シート!$J$24,'従業員情報(給与以外)'!$C314)/365))</f>
        <v/>
      </c>
      <c r="Q314" s="210" t="str">
        <f>IF(P314="","",VLOOKUP(_xlfn.DAYS(入力シート!$J$24,'従業員情報(給与以外)'!$C314)/365,入力リスト!$K$18:$L$26,2,2))</f>
        <v/>
      </c>
      <c r="R314" s="209" t="str">
        <f>IF(D314="","",VLOOKUP('従業員情報(給与以外)'!$D314,入力シート!$AW$37:$BB$38,4,0))</f>
        <v/>
      </c>
      <c r="S314" s="209" t="str">
        <f>IF(A314="","",IF(E314="","非役職",VLOOKUP('従業員情報(給与以外)'!$E314,入力シート!$AH$37:$AO$62,5,0)))</f>
        <v/>
      </c>
      <c r="T314" s="102" t="str">
        <f>IF(OR(入力シート!$C$5&lt;&gt;入力リスト!$C$3,COUNTIF(入力シート!$J$16:$S$23,入力リスト!$H$9)=0),"",IF($A314="","",IF(ISERROR(AVERAGEIF(従業員の給与情報!$B:$B,$A314,従業員の給与情報!$C:$C)),0,IF(ISERROR(AVERAGEIF(従業員の給与情報!$B:$B,$A314,従業員の給与情報!$C:$C)),0,AVERAGEIF(従業員の給与情報!$B:$B,$A314,従業員の給与情報!$C:$C)))))</f>
        <v/>
      </c>
      <c r="U314" s="102" t="str">
        <f>IF(OR(入力シート!$C$5&lt;&gt;入力リスト!$C$3,COUNTIF(入力シート!$J$16:$S$23,入力リスト!$H$9)=0),"",IF(A314="","",IF(ISERROR(AVERAGEIF(従業員の給与情報!$B:$B,$A314,従業員の給与情報!$D:$D)),0,IF(ISERROR(AVERAGEIF(従業員の給与情報!$B:$B,$A314,従業員の給与情報!$D:$D)),0,AVERAGEIF(従業員の給与情報!$B:$B,$A314,従業員の給与情報!$D:$D)))))</f>
        <v/>
      </c>
      <c r="V314" s="102" t="str">
        <f>IF(OR(入力シート!$C$5&lt;&gt;入力リスト!$C$3,COUNTIF(入力シート!$J$16:$S$23,入力リスト!$H$9)=0),"",IF(A314="","",IF(ISERROR(AVERAGEIF(従業員の給与情報!$B:$B,$A314,従業員の給与情報!$E:$E)),0,IF(ISERROR(AVERAGEIF(従業員の給与情報!$B:$B,$A314,従業員の給与情報!$E:$E)),0,AVERAGEIF(従業員の給与情報!$B:$B,$A314,従業員の給与情報!$E:$E)))))</f>
        <v/>
      </c>
      <c r="W314" s="103" t="str">
        <f>IF(OR(入力シート!$C$5&lt;&gt;入力リスト!$C$3,COUNTIF(入力シート!$J$16:$S$23,入力リスト!$H$9)=0),"",IF(A314="","",IF(ISERROR(AVERAGEIF(従業員の給与情報!$B:$B,$A314,従業員の給与情報!$F:$F)),0,IF(ISERROR(AVERAGEIF(従業員の給与情報!$B:$B,$A314,従業員の給与情報!$F:$F)),0,AVERAGEIF(従業員の給与情報!$B:$B,$A314,従業員の給与情報!$F:$F)))))</f>
        <v/>
      </c>
    </row>
    <row r="315" spans="1:23" s="10" customFormat="1">
      <c r="A315" s="253"/>
      <c r="B315" s="246"/>
      <c r="C315" s="247"/>
      <c r="D315" s="246"/>
      <c r="E315" s="246"/>
      <c r="F315" s="257" t="str">
        <f>IF($G$1,"",IF(COUNTIF(A315:E315,"")=5,"",IF(G315,入力リスト!$K$28,IF(OR(A315="",B315="",IF(COUNTIF($C$3,"*不要*"),"",C315=""),D315=""),IF(A315="","従業員番号","")&amp;IF(B315="","「雇用形態」","")&amp;IF(OR(入力シート!$J$18=入力リスト!$H$9,入力シート!$J$22=入力リスト!$H$9),IF(C315="","「入社年月日」",""),"")&amp;IF(D315="","「性別」","")&amp;IF(IF(A315="","従業員番号","")&amp;IF(B315="","「雇用形態」","")&amp;IF(OR(入力シート!$J$18=入力リスト!$H$9,入力シート!$J$22=入力リスト!$H$9),IF(C315="","「入社年月日」",""),"")&amp;IF(D315="","「性別」","")="","",入力リスト!$K$29),IF(J315,入力リスト!$K$30,"")&amp;IF(I315,入力リスト!$K$31,"")&amp;IF(H315,"「雇用形態」","")&amp;IF(K315,"「性別」","")&amp;IF(L315,"「役職」","")&amp;IF(OR(H315,K315,L315),入力リスト!$K$32,"")))))</f>
        <v/>
      </c>
      <c r="G315" s="209" t="b">
        <f>COUNTIF($A$4:A314,$A315)&gt;0</f>
        <v>0</v>
      </c>
      <c r="H315" s="210" t="b">
        <f>IF($H$1,FALSE,COUNTIF(入力シート!$S$37:$V$62,B315)=0)</f>
        <v>0</v>
      </c>
      <c r="I315" s="210" t="b">
        <f t="shared" si="10"/>
        <v>0</v>
      </c>
      <c r="J315" s="210" t="b">
        <f>IF($J$1,FALSE,IF(I315=TRUE,FALSE,IF(I315,FALSE,C315&gt;入力シート!$J$24)))</f>
        <v>0</v>
      </c>
      <c r="K315" s="210" t="b">
        <f>IF($K$1,FALSE,COUNTIF(入力シート!$AW$37:$BB$38,D315)=0)</f>
        <v>0</v>
      </c>
      <c r="L315" s="210" t="b">
        <f>IF($L$1,FALSE,IF($L$3,FALSE,IF(E315="",FALSE,COUNTIF(入力シート!$AH$37:$AK$62,E315)=0)))</f>
        <v>0</v>
      </c>
      <c r="M315" s="211" t="str">
        <f t="shared" si="9"/>
        <v/>
      </c>
      <c r="N315" s="211"/>
      <c r="O315" s="209" t="str">
        <f>IF(B315="","",VLOOKUP('従業員情報(給与以外)'!$B315,入力シート!$S$37:$Z$62,5,0))</f>
        <v/>
      </c>
      <c r="P315" s="156" t="str">
        <f>IF(ISNUMBER(C315)=FALSE,"",IF(C315&gt;入力シート!$J$24,"",_xlfn.DAYS(入力シート!$J$24,'従業員情報(給与以外)'!$C315)/365))</f>
        <v/>
      </c>
      <c r="Q315" s="210" t="str">
        <f>IF(P315="","",VLOOKUP(_xlfn.DAYS(入力シート!$J$24,'従業員情報(給与以外)'!$C315)/365,入力リスト!$K$18:$L$26,2,2))</f>
        <v/>
      </c>
      <c r="R315" s="209" t="str">
        <f>IF(D315="","",VLOOKUP('従業員情報(給与以外)'!$D315,入力シート!$AW$37:$BB$38,4,0))</f>
        <v/>
      </c>
      <c r="S315" s="209" t="str">
        <f>IF(A315="","",IF(E315="","非役職",VLOOKUP('従業員情報(給与以外)'!$E315,入力シート!$AH$37:$AO$62,5,0)))</f>
        <v/>
      </c>
      <c r="T315" s="102" t="str">
        <f>IF(OR(入力シート!$C$5&lt;&gt;入力リスト!$C$3,COUNTIF(入力シート!$J$16:$S$23,入力リスト!$H$9)=0),"",IF($A315="","",IF(ISERROR(AVERAGEIF(従業員の給与情報!$B:$B,$A315,従業員の給与情報!$C:$C)),0,IF(ISERROR(AVERAGEIF(従業員の給与情報!$B:$B,$A315,従業員の給与情報!$C:$C)),0,AVERAGEIF(従業員の給与情報!$B:$B,$A315,従業員の給与情報!$C:$C)))))</f>
        <v/>
      </c>
      <c r="U315" s="102" t="str">
        <f>IF(OR(入力シート!$C$5&lt;&gt;入力リスト!$C$3,COUNTIF(入力シート!$J$16:$S$23,入力リスト!$H$9)=0),"",IF(A315="","",IF(ISERROR(AVERAGEIF(従業員の給与情報!$B:$B,$A315,従業員の給与情報!$D:$D)),0,IF(ISERROR(AVERAGEIF(従業員の給与情報!$B:$B,$A315,従業員の給与情報!$D:$D)),0,AVERAGEIF(従業員の給与情報!$B:$B,$A315,従業員の給与情報!$D:$D)))))</f>
        <v/>
      </c>
      <c r="V315" s="102" t="str">
        <f>IF(OR(入力シート!$C$5&lt;&gt;入力リスト!$C$3,COUNTIF(入力シート!$J$16:$S$23,入力リスト!$H$9)=0),"",IF(A315="","",IF(ISERROR(AVERAGEIF(従業員の給与情報!$B:$B,$A315,従業員の給与情報!$E:$E)),0,IF(ISERROR(AVERAGEIF(従業員の給与情報!$B:$B,$A315,従業員の給与情報!$E:$E)),0,AVERAGEIF(従業員の給与情報!$B:$B,$A315,従業員の給与情報!$E:$E)))))</f>
        <v/>
      </c>
      <c r="W315" s="103" t="str">
        <f>IF(OR(入力シート!$C$5&lt;&gt;入力リスト!$C$3,COUNTIF(入力シート!$J$16:$S$23,入力リスト!$H$9)=0),"",IF(A315="","",IF(ISERROR(AVERAGEIF(従業員の給与情報!$B:$B,$A315,従業員の給与情報!$F:$F)),0,IF(ISERROR(AVERAGEIF(従業員の給与情報!$B:$B,$A315,従業員の給与情報!$F:$F)),0,AVERAGEIF(従業員の給与情報!$B:$B,$A315,従業員の給与情報!$F:$F)))))</f>
        <v/>
      </c>
    </row>
    <row r="316" spans="1:23" s="10" customFormat="1">
      <c r="A316" s="253"/>
      <c r="B316" s="246"/>
      <c r="C316" s="247"/>
      <c r="D316" s="246"/>
      <c r="E316" s="246"/>
      <c r="F316" s="257" t="str">
        <f>IF($G$1,"",IF(COUNTIF(A316:E316,"")=5,"",IF(G316,入力リスト!$K$28,IF(OR(A316="",B316="",IF(COUNTIF($C$3,"*不要*"),"",C316=""),D316=""),IF(A316="","従業員番号","")&amp;IF(B316="","「雇用形態」","")&amp;IF(OR(入力シート!$J$18=入力リスト!$H$9,入力シート!$J$22=入力リスト!$H$9),IF(C316="","「入社年月日」",""),"")&amp;IF(D316="","「性別」","")&amp;IF(IF(A316="","従業員番号","")&amp;IF(B316="","「雇用形態」","")&amp;IF(OR(入力シート!$J$18=入力リスト!$H$9,入力シート!$J$22=入力リスト!$H$9),IF(C316="","「入社年月日」",""),"")&amp;IF(D316="","「性別」","")="","",入力リスト!$K$29),IF(J316,入力リスト!$K$30,"")&amp;IF(I316,入力リスト!$K$31,"")&amp;IF(H316,"「雇用形態」","")&amp;IF(K316,"「性別」","")&amp;IF(L316,"「役職」","")&amp;IF(OR(H316,K316,L316),入力リスト!$K$32,"")))))</f>
        <v/>
      </c>
      <c r="G316" s="209" t="b">
        <f>COUNTIF($A$4:A315,$A316)&gt;0</f>
        <v>0</v>
      </c>
      <c r="H316" s="210" t="b">
        <f>IF($H$1,FALSE,COUNTIF(入力シート!$S$37:$V$62,B316)=0)</f>
        <v>0</v>
      </c>
      <c r="I316" s="210" t="b">
        <f t="shared" si="10"/>
        <v>0</v>
      </c>
      <c r="J316" s="210" t="b">
        <f>IF($J$1,FALSE,IF(I316=TRUE,FALSE,IF(I316,FALSE,C316&gt;入力シート!$J$24)))</f>
        <v>0</v>
      </c>
      <c r="K316" s="210" t="b">
        <f>IF($K$1,FALSE,COUNTIF(入力シート!$AW$37:$BB$38,D316)=0)</f>
        <v>0</v>
      </c>
      <c r="L316" s="210" t="b">
        <f>IF($L$1,FALSE,IF($L$3,FALSE,IF(E316="",FALSE,COUNTIF(入力シート!$AH$37:$AK$62,E316)=0)))</f>
        <v>0</v>
      </c>
      <c r="M316" s="211" t="str">
        <f t="shared" si="9"/>
        <v/>
      </c>
      <c r="N316" s="211"/>
      <c r="O316" s="209" t="str">
        <f>IF(B316="","",VLOOKUP('従業員情報(給与以外)'!$B316,入力シート!$S$37:$Z$62,5,0))</f>
        <v/>
      </c>
      <c r="P316" s="156" t="str">
        <f>IF(ISNUMBER(C316)=FALSE,"",IF(C316&gt;入力シート!$J$24,"",_xlfn.DAYS(入力シート!$J$24,'従業員情報(給与以外)'!$C316)/365))</f>
        <v/>
      </c>
      <c r="Q316" s="210" t="str">
        <f>IF(P316="","",VLOOKUP(_xlfn.DAYS(入力シート!$J$24,'従業員情報(給与以外)'!$C316)/365,入力リスト!$K$18:$L$26,2,2))</f>
        <v/>
      </c>
      <c r="R316" s="209" t="str">
        <f>IF(D316="","",VLOOKUP('従業員情報(給与以外)'!$D316,入力シート!$AW$37:$BB$38,4,0))</f>
        <v/>
      </c>
      <c r="S316" s="209" t="str">
        <f>IF(A316="","",IF(E316="","非役職",VLOOKUP('従業員情報(給与以外)'!$E316,入力シート!$AH$37:$AO$62,5,0)))</f>
        <v/>
      </c>
      <c r="T316" s="102" t="str">
        <f>IF(OR(入力シート!$C$5&lt;&gt;入力リスト!$C$3,COUNTIF(入力シート!$J$16:$S$23,入力リスト!$H$9)=0),"",IF($A316="","",IF(ISERROR(AVERAGEIF(従業員の給与情報!$B:$B,$A316,従業員の給与情報!$C:$C)),0,IF(ISERROR(AVERAGEIF(従業員の給与情報!$B:$B,$A316,従業員の給与情報!$C:$C)),0,AVERAGEIF(従業員の給与情報!$B:$B,$A316,従業員の給与情報!$C:$C)))))</f>
        <v/>
      </c>
      <c r="U316" s="102" t="str">
        <f>IF(OR(入力シート!$C$5&lt;&gt;入力リスト!$C$3,COUNTIF(入力シート!$J$16:$S$23,入力リスト!$H$9)=0),"",IF(A316="","",IF(ISERROR(AVERAGEIF(従業員の給与情報!$B:$B,$A316,従業員の給与情報!$D:$D)),0,IF(ISERROR(AVERAGEIF(従業員の給与情報!$B:$B,$A316,従業員の給与情報!$D:$D)),0,AVERAGEIF(従業員の給与情報!$B:$B,$A316,従業員の給与情報!$D:$D)))))</f>
        <v/>
      </c>
      <c r="V316" s="102" t="str">
        <f>IF(OR(入力シート!$C$5&lt;&gt;入力リスト!$C$3,COUNTIF(入力シート!$J$16:$S$23,入力リスト!$H$9)=0),"",IF(A316="","",IF(ISERROR(AVERAGEIF(従業員の給与情報!$B:$B,$A316,従業員の給与情報!$E:$E)),0,IF(ISERROR(AVERAGEIF(従業員の給与情報!$B:$B,$A316,従業員の給与情報!$E:$E)),0,AVERAGEIF(従業員の給与情報!$B:$B,$A316,従業員の給与情報!$E:$E)))))</f>
        <v/>
      </c>
      <c r="W316" s="103" t="str">
        <f>IF(OR(入力シート!$C$5&lt;&gt;入力リスト!$C$3,COUNTIF(入力シート!$J$16:$S$23,入力リスト!$H$9)=0),"",IF(A316="","",IF(ISERROR(AVERAGEIF(従業員の給与情報!$B:$B,$A316,従業員の給与情報!$F:$F)),0,IF(ISERROR(AVERAGEIF(従業員の給与情報!$B:$B,$A316,従業員の給与情報!$F:$F)),0,AVERAGEIF(従業員の給与情報!$B:$B,$A316,従業員の給与情報!$F:$F)))))</f>
        <v/>
      </c>
    </row>
    <row r="317" spans="1:23" s="10" customFormat="1">
      <c r="A317" s="253"/>
      <c r="B317" s="246"/>
      <c r="C317" s="247"/>
      <c r="D317" s="246"/>
      <c r="E317" s="246"/>
      <c r="F317" s="257" t="str">
        <f>IF($G$1,"",IF(COUNTIF(A317:E317,"")=5,"",IF(G317,入力リスト!$K$28,IF(OR(A317="",B317="",IF(COUNTIF($C$3,"*不要*"),"",C317=""),D317=""),IF(A317="","従業員番号","")&amp;IF(B317="","「雇用形態」","")&amp;IF(OR(入力シート!$J$18=入力リスト!$H$9,入力シート!$J$22=入力リスト!$H$9),IF(C317="","「入社年月日」",""),"")&amp;IF(D317="","「性別」","")&amp;IF(IF(A317="","従業員番号","")&amp;IF(B317="","「雇用形態」","")&amp;IF(OR(入力シート!$J$18=入力リスト!$H$9,入力シート!$J$22=入力リスト!$H$9),IF(C317="","「入社年月日」",""),"")&amp;IF(D317="","「性別」","")="","",入力リスト!$K$29),IF(J317,入力リスト!$K$30,"")&amp;IF(I317,入力リスト!$K$31,"")&amp;IF(H317,"「雇用形態」","")&amp;IF(K317,"「性別」","")&amp;IF(L317,"「役職」","")&amp;IF(OR(H317,K317,L317),入力リスト!$K$32,"")))))</f>
        <v/>
      </c>
      <c r="G317" s="209" t="b">
        <f>COUNTIF($A$4:A316,$A317)&gt;0</f>
        <v>0</v>
      </c>
      <c r="H317" s="210" t="b">
        <f>IF($H$1,FALSE,COUNTIF(入力シート!$S$37:$V$62,B317)=0)</f>
        <v>0</v>
      </c>
      <c r="I317" s="210" t="b">
        <f t="shared" si="10"/>
        <v>0</v>
      </c>
      <c r="J317" s="210" t="b">
        <f>IF($J$1,FALSE,IF(I317=TRUE,FALSE,IF(I317,FALSE,C317&gt;入力シート!$J$24)))</f>
        <v>0</v>
      </c>
      <c r="K317" s="210" t="b">
        <f>IF($K$1,FALSE,COUNTIF(入力シート!$AW$37:$BB$38,D317)=0)</f>
        <v>0</v>
      </c>
      <c r="L317" s="210" t="b">
        <f>IF($L$1,FALSE,IF($L$3,FALSE,IF(E317="",FALSE,COUNTIF(入力シート!$AH$37:$AK$62,E317)=0)))</f>
        <v>0</v>
      </c>
      <c r="M317" s="211" t="str">
        <f t="shared" si="9"/>
        <v/>
      </c>
      <c r="N317" s="211"/>
      <c r="O317" s="209" t="str">
        <f>IF(B317="","",VLOOKUP('従業員情報(給与以外)'!$B317,入力シート!$S$37:$Z$62,5,0))</f>
        <v/>
      </c>
      <c r="P317" s="156" t="str">
        <f>IF(ISNUMBER(C317)=FALSE,"",IF(C317&gt;入力シート!$J$24,"",_xlfn.DAYS(入力シート!$J$24,'従業員情報(給与以外)'!$C317)/365))</f>
        <v/>
      </c>
      <c r="Q317" s="210" t="str">
        <f>IF(P317="","",VLOOKUP(_xlfn.DAYS(入力シート!$J$24,'従業員情報(給与以外)'!$C317)/365,入力リスト!$K$18:$L$26,2,2))</f>
        <v/>
      </c>
      <c r="R317" s="209" t="str">
        <f>IF(D317="","",VLOOKUP('従業員情報(給与以外)'!$D317,入力シート!$AW$37:$BB$38,4,0))</f>
        <v/>
      </c>
      <c r="S317" s="209" t="str">
        <f>IF(A317="","",IF(E317="","非役職",VLOOKUP('従業員情報(給与以外)'!$E317,入力シート!$AH$37:$AO$62,5,0)))</f>
        <v/>
      </c>
      <c r="T317" s="102" t="str">
        <f>IF(OR(入力シート!$C$5&lt;&gt;入力リスト!$C$3,COUNTIF(入力シート!$J$16:$S$23,入力リスト!$H$9)=0),"",IF($A317="","",IF(ISERROR(AVERAGEIF(従業員の給与情報!$B:$B,$A317,従業員の給与情報!$C:$C)),0,IF(ISERROR(AVERAGEIF(従業員の給与情報!$B:$B,$A317,従業員の給与情報!$C:$C)),0,AVERAGEIF(従業員の給与情報!$B:$B,$A317,従業員の給与情報!$C:$C)))))</f>
        <v/>
      </c>
      <c r="U317" s="102" t="str">
        <f>IF(OR(入力シート!$C$5&lt;&gt;入力リスト!$C$3,COUNTIF(入力シート!$J$16:$S$23,入力リスト!$H$9)=0),"",IF(A317="","",IF(ISERROR(AVERAGEIF(従業員の給与情報!$B:$B,$A317,従業員の給与情報!$D:$D)),0,IF(ISERROR(AVERAGEIF(従業員の給与情報!$B:$B,$A317,従業員の給与情報!$D:$D)),0,AVERAGEIF(従業員の給与情報!$B:$B,$A317,従業員の給与情報!$D:$D)))))</f>
        <v/>
      </c>
      <c r="V317" s="102" t="str">
        <f>IF(OR(入力シート!$C$5&lt;&gt;入力リスト!$C$3,COUNTIF(入力シート!$J$16:$S$23,入力リスト!$H$9)=0),"",IF(A317="","",IF(ISERROR(AVERAGEIF(従業員の給与情報!$B:$B,$A317,従業員の給与情報!$E:$E)),0,IF(ISERROR(AVERAGEIF(従業員の給与情報!$B:$B,$A317,従業員の給与情報!$E:$E)),0,AVERAGEIF(従業員の給与情報!$B:$B,$A317,従業員の給与情報!$E:$E)))))</f>
        <v/>
      </c>
      <c r="W317" s="103" t="str">
        <f>IF(OR(入力シート!$C$5&lt;&gt;入力リスト!$C$3,COUNTIF(入力シート!$J$16:$S$23,入力リスト!$H$9)=0),"",IF(A317="","",IF(ISERROR(AVERAGEIF(従業員の給与情報!$B:$B,$A317,従業員の給与情報!$F:$F)),0,IF(ISERROR(AVERAGEIF(従業員の給与情報!$B:$B,$A317,従業員の給与情報!$F:$F)),0,AVERAGEIF(従業員の給与情報!$B:$B,$A317,従業員の給与情報!$F:$F)))))</f>
        <v/>
      </c>
    </row>
    <row r="318" spans="1:23" s="10" customFormat="1">
      <c r="A318" s="253"/>
      <c r="B318" s="246"/>
      <c r="C318" s="247"/>
      <c r="D318" s="246"/>
      <c r="E318" s="246"/>
      <c r="F318" s="257" t="str">
        <f>IF($G$1,"",IF(COUNTIF(A318:E318,"")=5,"",IF(G318,入力リスト!$K$28,IF(OR(A318="",B318="",IF(COUNTIF($C$3,"*不要*"),"",C318=""),D318=""),IF(A318="","従業員番号","")&amp;IF(B318="","「雇用形態」","")&amp;IF(OR(入力シート!$J$18=入力リスト!$H$9,入力シート!$J$22=入力リスト!$H$9),IF(C318="","「入社年月日」",""),"")&amp;IF(D318="","「性別」","")&amp;IF(IF(A318="","従業員番号","")&amp;IF(B318="","「雇用形態」","")&amp;IF(OR(入力シート!$J$18=入力リスト!$H$9,入力シート!$J$22=入力リスト!$H$9),IF(C318="","「入社年月日」",""),"")&amp;IF(D318="","「性別」","")="","",入力リスト!$K$29),IF(J318,入力リスト!$K$30,"")&amp;IF(I318,入力リスト!$K$31,"")&amp;IF(H318,"「雇用形態」","")&amp;IF(K318,"「性別」","")&amp;IF(L318,"「役職」","")&amp;IF(OR(H318,K318,L318),入力リスト!$K$32,"")))))</f>
        <v/>
      </c>
      <c r="G318" s="209" t="b">
        <f>COUNTIF($A$4:A317,$A318)&gt;0</f>
        <v>0</v>
      </c>
      <c r="H318" s="210" t="b">
        <f>IF($H$1,FALSE,COUNTIF(入力シート!$S$37:$V$62,B318)=0)</f>
        <v>0</v>
      </c>
      <c r="I318" s="210" t="b">
        <f t="shared" si="10"/>
        <v>0</v>
      </c>
      <c r="J318" s="210" t="b">
        <f>IF($J$1,FALSE,IF(I318=TRUE,FALSE,IF(I318,FALSE,C318&gt;入力シート!$J$24)))</f>
        <v>0</v>
      </c>
      <c r="K318" s="210" t="b">
        <f>IF($K$1,FALSE,COUNTIF(入力シート!$AW$37:$BB$38,D318)=0)</f>
        <v>0</v>
      </c>
      <c r="L318" s="210" t="b">
        <f>IF($L$1,FALSE,IF($L$3,FALSE,IF(E318="",FALSE,COUNTIF(入力シート!$AH$37:$AK$62,E318)=0)))</f>
        <v>0</v>
      </c>
      <c r="M318" s="211" t="str">
        <f t="shared" si="9"/>
        <v/>
      </c>
      <c r="N318" s="211"/>
      <c r="O318" s="209" t="str">
        <f>IF(B318="","",VLOOKUP('従業員情報(給与以外)'!$B318,入力シート!$S$37:$Z$62,5,0))</f>
        <v/>
      </c>
      <c r="P318" s="156" t="str">
        <f>IF(ISNUMBER(C318)=FALSE,"",IF(C318&gt;入力シート!$J$24,"",_xlfn.DAYS(入力シート!$J$24,'従業員情報(給与以外)'!$C318)/365))</f>
        <v/>
      </c>
      <c r="Q318" s="210" t="str">
        <f>IF(P318="","",VLOOKUP(_xlfn.DAYS(入力シート!$J$24,'従業員情報(給与以外)'!$C318)/365,入力リスト!$K$18:$L$26,2,2))</f>
        <v/>
      </c>
      <c r="R318" s="209" t="str">
        <f>IF(D318="","",VLOOKUP('従業員情報(給与以外)'!$D318,入力シート!$AW$37:$BB$38,4,0))</f>
        <v/>
      </c>
      <c r="S318" s="209" t="str">
        <f>IF(A318="","",IF(E318="","非役職",VLOOKUP('従業員情報(給与以外)'!$E318,入力シート!$AH$37:$AO$62,5,0)))</f>
        <v/>
      </c>
      <c r="T318" s="102" t="str">
        <f>IF(OR(入力シート!$C$5&lt;&gt;入力リスト!$C$3,COUNTIF(入力シート!$J$16:$S$23,入力リスト!$H$9)=0),"",IF($A318="","",IF(ISERROR(AVERAGEIF(従業員の給与情報!$B:$B,$A318,従業員の給与情報!$C:$C)),0,IF(ISERROR(AVERAGEIF(従業員の給与情報!$B:$B,$A318,従業員の給与情報!$C:$C)),0,AVERAGEIF(従業員の給与情報!$B:$B,$A318,従業員の給与情報!$C:$C)))))</f>
        <v/>
      </c>
      <c r="U318" s="102" t="str">
        <f>IF(OR(入力シート!$C$5&lt;&gt;入力リスト!$C$3,COUNTIF(入力シート!$J$16:$S$23,入力リスト!$H$9)=0),"",IF(A318="","",IF(ISERROR(AVERAGEIF(従業員の給与情報!$B:$B,$A318,従業員の給与情報!$D:$D)),0,IF(ISERROR(AVERAGEIF(従業員の給与情報!$B:$B,$A318,従業員の給与情報!$D:$D)),0,AVERAGEIF(従業員の給与情報!$B:$B,$A318,従業員の給与情報!$D:$D)))))</f>
        <v/>
      </c>
      <c r="V318" s="102" t="str">
        <f>IF(OR(入力シート!$C$5&lt;&gt;入力リスト!$C$3,COUNTIF(入力シート!$J$16:$S$23,入力リスト!$H$9)=0),"",IF(A318="","",IF(ISERROR(AVERAGEIF(従業員の給与情報!$B:$B,$A318,従業員の給与情報!$E:$E)),0,IF(ISERROR(AVERAGEIF(従業員の給与情報!$B:$B,$A318,従業員の給与情報!$E:$E)),0,AVERAGEIF(従業員の給与情報!$B:$B,$A318,従業員の給与情報!$E:$E)))))</f>
        <v/>
      </c>
      <c r="W318" s="103" t="str">
        <f>IF(OR(入力シート!$C$5&lt;&gt;入力リスト!$C$3,COUNTIF(入力シート!$J$16:$S$23,入力リスト!$H$9)=0),"",IF(A318="","",IF(ISERROR(AVERAGEIF(従業員の給与情報!$B:$B,$A318,従業員の給与情報!$F:$F)),0,IF(ISERROR(AVERAGEIF(従業員の給与情報!$B:$B,$A318,従業員の給与情報!$F:$F)),0,AVERAGEIF(従業員の給与情報!$B:$B,$A318,従業員の給与情報!$F:$F)))))</f>
        <v/>
      </c>
    </row>
    <row r="319" spans="1:23" s="10" customFormat="1">
      <c r="A319" s="253"/>
      <c r="B319" s="246"/>
      <c r="C319" s="247"/>
      <c r="D319" s="246"/>
      <c r="E319" s="246"/>
      <c r="F319" s="257" t="str">
        <f>IF($G$1,"",IF(COUNTIF(A319:E319,"")=5,"",IF(G319,入力リスト!$K$28,IF(OR(A319="",B319="",IF(COUNTIF($C$3,"*不要*"),"",C319=""),D319=""),IF(A319="","従業員番号","")&amp;IF(B319="","「雇用形態」","")&amp;IF(OR(入力シート!$J$18=入力リスト!$H$9,入力シート!$J$22=入力リスト!$H$9),IF(C319="","「入社年月日」",""),"")&amp;IF(D319="","「性別」","")&amp;IF(IF(A319="","従業員番号","")&amp;IF(B319="","「雇用形態」","")&amp;IF(OR(入力シート!$J$18=入力リスト!$H$9,入力シート!$J$22=入力リスト!$H$9),IF(C319="","「入社年月日」",""),"")&amp;IF(D319="","「性別」","")="","",入力リスト!$K$29),IF(J319,入力リスト!$K$30,"")&amp;IF(I319,入力リスト!$K$31,"")&amp;IF(H319,"「雇用形態」","")&amp;IF(K319,"「性別」","")&amp;IF(L319,"「役職」","")&amp;IF(OR(H319,K319,L319),入力リスト!$K$32,"")))))</f>
        <v/>
      </c>
      <c r="G319" s="209" t="b">
        <f>COUNTIF($A$4:A318,$A319)&gt;0</f>
        <v>0</v>
      </c>
      <c r="H319" s="210" t="b">
        <f>IF($H$1,FALSE,COUNTIF(入力シート!$S$37:$V$62,B319)=0)</f>
        <v>0</v>
      </c>
      <c r="I319" s="210" t="b">
        <f t="shared" si="10"/>
        <v>0</v>
      </c>
      <c r="J319" s="210" t="b">
        <f>IF($J$1,FALSE,IF(I319=TRUE,FALSE,IF(I319,FALSE,C319&gt;入力シート!$J$24)))</f>
        <v>0</v>
      </c>
      <c r="K319" s="210" t="b">
        <f>IF($K$1,FALSE,COUNTIF(入力シート!$AW$37:$BB$38,D319)=0)</f>
        <v>0</v>
      </c>
      <c r="L319" s="210" t="b">
        <f>IF($L$1,FALSE,IF($L$3,FALSE,IF(E319="",FALSE,COUNTIF(入力シート!$AH$37:$AK$62,E319)=0)))</f>
        <v>0</v>
      </c>
      <c r="M319" s="211" t="str">
        <f t="shared" si="9"/>
        <v/>
      </c>
      <c r="N319" s="211"/>
      <c r="O319" s="209" t="str">
        <f>IF(B319="","",VLOOKUP('従業員情報(給与以外)'!$B319,入力シート!$S$37:$Z$62,5,0))</f>
        <v/>
      </c>
      <c r="P319" s="156" t="str">
        <f>IF(ISNUMBER(C319)=FALSE,"",IF(C319&gt;入力シート!$J$24,"",_xlfn.DAYS(入力シート!$J$24,'従業員情報(給与以外)'!$C319)/365))</f>
        <v/>
      </c>
      <c r="Q319" s="210" t="str">
        <f>IF(P319="","",VLOOKUP(_xlfn.DAYS(入力シート!$J$24,'従業員情報(給与以外)'!$C319)/365,入力リスト!$K$18:$L$26,2,2))</f>
        <v/>
      </c>
      <c r="R319" s="209" t="str">
        <f>IF(D319="","",VLOOKUP('従業員情報(給与以外)'!$D319,入力シート!$AW$37:$BB$38,4,0))</f>
        <v/>
      </c>
      <c r="S319" s="209" t="str">
        <f>IF(A319="","",IF(E319="","非役職",VLOOKUP('従業員情報(給与以外)'!$E319,入力シート!$AH$37:$AO$62,5,0)))</f>
        <v/>
      </c>
      <c r="T319" s="102" t="str">
        <f>IF(OR(入力シート!$C$5&lt;&gt;入力リスト!$C$3,COUNTIF(入力シート!$J$16:$S$23,入力リスト!$H$9)=0),"",IF($A319="","",IF(ISERROR(AVERAGEIF(従業員の給与情報!$B:$B,$A319,従業員の給与情報!$C:$C)),0,IF(ISERROR(AVERAGEIF(従業員の給与情報!$B:$B,$A319,従業員の給与情報!$C:$C)),0,AVERAGEIF(従業員の給与情報!$B:$B,$A319,従業員の給与情報!$C:$C)))))</f>
        <v/>
      </c>
      <c r="U319" s="102" t="str">
        <f>IF(OR(入力シート!$C$5&lt;&gt;入力リスト!$C$3,COUNTIF(入力シート!$J$16:$S$23,入力リスト!$H$9)=0),"",IF(A319="","",IF(ISERROR(AVERAGEIF(従業員の給与情報!$B:$B,$A319,従業員の給与情報!$D:$D)),0,IF(ISERROR(AVERAGEIF(従業員の給与情報!$B:$B,$A319,従業員の給与情報!$D:$D)),0,AVERAGEIF(従業員の給与情報!$B:$B,$A319,従業員の給与情報!$D:$D)))))</f>
        <v/>
      </c>
      <c r="V319" s="102" t="str">
        <f>IF(OR(入力シート!$C$5&lt;&gt;入力リスト!$C$3,COUNTIF(入力シート!$J$16:$S$23,入力リスト!$H$9)=0),"",IF(A319="","",IF(ISERROR(AVERAGEIF(従業員の給与情報!$B:$B,$A319,従業員の給与情報!$E:$E)),0,IF(ISERROR(AVERAGEIF(従業員の給与情報!$B:$B,$A319,従業員の給与情報!$E:$E)),0,AVERAGEIF(従業員の給与情報!$B:$B,$A319,従業員の給与情報!$E:$E)))))</f>
        <v/>
      </c>
      <c r="W319" s="103" t="str">
        <f>IF(OR(入力シート!$C$5&lt;&gt;入力リスト!$C$3,COUNTIF(入力シート!$J$16:$S$23,入力リスト!$H$9)=0),"",IF(A319="","",IF(ISERROR(AVERAGEIF(従業員の給与情報!$B:$B,$A319,従業員の給与情報!$F:$F)),0,IF(ISERROR(AVERAGEIF(従業員の給与情報!$B:$B,$A319,従業員の給与情報!$F:$F)),0,AVERAGEIF(従業員の給与情報!$B:$B,$A319,従業員の給与情報!$F:$F)))))</f>
        <v/>
      </c>
    </row>
    <row r="320" spans="1:23" s="10" customFormat="1">
      <c r="A320" s="253"/>
      <c r="B320" s="246"/>
      <c r="C320" s="247"/>
      <c r="D320" s="246"/>
      <c r="E320" s="246"/>
      <c r="F320" s="257" t="str">
        <f>IF($G$1,"",IF(COUNTIF(A320:E320,"")=5,"",IF(G320,入力リスト!$K$28,IF(OR(A320="",B320="",IF(COUNTIF($C$3,"*不要*"),"",C320=""),D320=""),IF(A320="","従業員番号","")&amp;IF(B320="","「雇用形態」","")&amp;IF(OR(入力シート!$J$18=入力リスト!$H$9,入力シート!$J$22=入力リスト!$H$9),IF(C320="","「入社年月日」",""),"")&amp;IF(D320="","「性別」","")&amp;IF(IF(A320="","従業員番号","")&amp;IF(B320="","「雇用形態」","")&amp;IF(OR(入力シート!$J$18=入力リスト!$H$9,入力シート!$J$22=入力リスト!$H$9),IF(C320="","「入社年月日」",""),"")&amp;IF(D320="","「性別」","")="","",入力リスト!$K$29),IF(J320,入力リスト!$K$30,"")&amp;IF(I320,入力リスト!$K$31,"")&amp;IF(H320,"「雇用形態」","")&amp;IF(K320,"「性別」","")&amp;IF(L320,"「役職」","")&amp;IF(OR(H320,K320,L320),入力リスト!$K$32,"")))))</f>
        <v/>
      </c>
      <c r="G320" s="209" t="b">
        <f>COUNTIF($A$4:A319,$A320)&gt;0</f>
        <v>0</v>
      </c>
      <c r="H320" s="210" t="b">
        <f>IF($H$1,FALSE,COUNTIF(入力シート!$S$37:$V$62,B320)=0)</f>
        <v>0</v>
      </c>
      <c r="I320" s="210" t="b">
        <f t="shared" si="10"/>
        <v>0</v>
      </c>
      <c r="J320" s="210" t="b">
        <f>IF($J$1,FALSE,IF(I320=TRUE,FALSE,IF(I320,FALSE,C320&gt;入力シート!$J$24)))</f>
        <v>0</v>
      </c>
      <c r="K320" s="210" t="b">
        <f>IF($K$1,FALSE,COUNTIF(入力シート!$AW$37:$BB$38,D320)=0)</f>
        <v>0</v>
      </c>
      <c r="L320" s="210" t="b">
        <f>IF($L$1,FALSE,IF($L$3,FALSE,IF(E320="",FALSE,COUNTIF(入力シート!$AH$37:$AK$62,E320)=0)))</f>
        <v>0</v>
      </c>
      <c r="M320" s="211" t="str">
        <f t="shared" si="9"/>
        <v/>
      </c>
      <c r="N320" s="211"/>
      <c r="O320" s="209" t="str">
        <f>IF(B320="","",VLOOKUP('従業員情報(給与以外)'!$B320,入力シート!$S$37:$Z$62,5,0))</f>
        <v/>
      </c>
      <c r="P320" s="156" t="str">
        <f>IF(ISNUMBER(C320)=FALSE,"",IF(C320&gt;入力シート!$J$24,"",_xlfn.DAYS(入力シート!$J$24,'従業員情報(給与以外)'!$C320)/365))</f>
        <v/>
      </c>
      <c r="Q320" s="210" t="str">
        <f>IF(P320="","",VLOOKUP(_xlfn.DAYS(入力シート!$J$24,'従業員情報(給与以外)'!$C320)/365,入力リスト!$K$18:$L$26,2,2))</f>
        <v/>
      </c>
      <c r="R320" s="209" t="str">
        <f>IF(D320="","",VLOOKUP('従業員情報(給与以外)'!$D320,入力シート!$AW$37:$BB$38,4,0))</f>
        <v/>
      </c>
      <c r="S320" s="209" t="str">
        <f>IF(A320="","",IF(E320="","非役職",VLOOKUP('従業員情報(給与以外)'!$E320,入力シート!$AH$37:$AO$62,5,0)))</f>
        <v/>
      </c>
      <c r="T320" s="102" t="str">
        <f>IF(OR(入力シート!$C$5&lt;&gt;入力リスト!$C$3,COUNTIF(入力シート!$J$16:$S$23,入力リスト!$H$9)=0),"",IF($A320="","",IF(ISERROR(AVERAGEIF(従業員の給与情報!$B:$B,$A320,従業員の給与情報!$C:$C)),0,IF(ISERROR(AVERAGEIF(従業員の給与情報!$B:$B,$A320,従業員の給与情報!$C:$C)),0,AVERAGEIF(従業員の給与情報!$B:$B,$A320,従業員の給与情報!$C:$C)))))</f>
        <v/>
      </c>
      <c r="U320" s="102" t="str">
        <f>IF(OR(入力シート!$C$5&lt;&gt;入力リスト!$C$3,COUNTIF(入力シート!$J$16:$S$23,入力リスト!$H$9)=0),"",IF(A320="","",IF(ISERROR(AVERAGEIF(従業員の給与情報!$B:$B,$A320,従業員の給与情報!$D:$D)),0,IF(ISERROR(AVERAGEIF(従業員の給与情報!$B:$B,$A320,従業員の給与情報!$D:$D)),0,AVERAGEIF(従業員の給与情報!$B:$B,$A320,従業員の給与情報!$D:$D)))))</f>
        <v/>
      </c>
      <c r="V320" s="102" t="str">
        <f>IF(OR(入力シート!$C$5&lt;&gt;入力リスト!$C$3,COUNTIF(入力シート!$J$16:$S$23,入力リスト!$H$9)=0),"",IF(A320="","",IF(ISERROR(AVERAGEIF(従業員の給与情報!$B:$B,$A320,従業員の給与情報!$E:$E)),0,IF(ISERROR(AVERAGEIF(従業員の給与情報!$B:$B,$A320,従業員の給与情報!$E:$E)),0,AVERAGEIF(従業員の給与情報!$B:$B,$A320,従業員の給与情報!$E:$E)))))</f>
        <v/>
      </c>
      <c r="W320" s="103" t="str">
        <f>IF(OR(入力シート!$C$5&lt;&gt;入力リスト!$C$3,COUNTIF(入力シート!$J$16:$S$23,入力リスト!$H$9)=0),"",IF(A320="","",IF(ISERROR(AVERAGEIF(従業員の給与情報!$B:$B,$A320,従業員の給与情報!$F:$F)),0,IF(ISERROR(AVERAGEIF(従業員の給与情報!$B:$B,$A320,従業員の給与情報!$F:$F)),0,AVERAGEIF(従業員の給与情報!$B:$B,$A320,従業員の給与情報!$F:$F)))))</f>
        <v/>
      </c>
    </row>
    <row r="321" spans="1:23" s="10" customFormat="1">
      <c r="A321" s="253"/>
      <c r="B321" s="246"/>
      <c r="C321" s="247"/>
      <c r="D321" s="246"/>
      <c r="E321" s="246"/>
      <c r="F321" s="257" t="str">
        <f>IF($G$1,"",IF(COUNTIF(A321:E321,"")=5,"",IF(G321,入力リスト!$K$28,IF(OR(A321="",B321="",IF(COUNTIF($C$3,"*不要*"),"",C321=""),D321=""),IF(A321="","従業員番号","")&amp;IF(B321="","「雇用形態」","")&amp;IF(OR(入力シート!$J$18=入力リスト!$H$9,入力シート!$J$22=入力リスト!$H$9),IF(C321="","「入社年月日」",""),"")&amp;IF(D321="","「性別」","")&amp;IF(IF(A321="","従業員番号","")&amp;IF(B321="","「雇用形態」","")&amp;IF(OR(入力シート!$J$18=入力リスト!$H$9,入力シート!$J$22=入力リスト!$H$9),IF(C321="","「入社年月日」",""),"")&amp;IF(D321="","「性別」","")="","",入力リスト!$K$29),IF(J321,入力リスト!$K$30,"")&amp;IF(I321,入力リスト!$K$31,"")&amp;IF(H321,"「雇用形態」","")&amp;IF(K321,"「性別」","")&amp;IF(L321,"「役職」","")&amp;IF(OR(H321,K321,L321),入力リスト!$K$32,"")))))</f>
        <v/>
      </c>
      <c r="G321" s="209" t="b">
        <f>COUNTIF($A$4:A320,$A321)&gt;0</f>
        <v>0</v>
      </c>
      <c r="H321" s="210" t="b">
        <f>IF($H$1,FALSE,COUNTIF(入力シート!$S$37:$V$62,B321)=0)</f>
        <v>0</v>
      </c>
      <c r="I321" s="210" t="b">
        <f t="shared" si="10"/>
        <v>0</v>
      </c>
      <c r="J321" s="210" t="b">
        <f>IF($J$1,FALSE,IF(I321=TRUE,FALSE,IF(I321,FALSE,C321&gt;入力シート!$J$24)))</f>
        <v>0</v>
      </c>
      <c r="K321" s="210" t="b">
        <f>IF($K$1,FALSE,COUNTIF(入力シート!$AW$37:$BB$38,D321)=0)</f>
        <v>0</v>
      </c>
      <c r="L321" s="210" t="b">
        <f>IF($L$1,FALSE,IF($L$3,FALSE,IF(E321="",FALSE,COUNTIF(入力シート!$AH$37:$AK$62,E321)=0)))</f>
        <v>0</v>
      </c>
      <c r="M321" s="211" t="str">
        <f t="shared" si="9"/>
        <v/>
      </c>
      <c r="N321" s="211"/>
      <c r="O321" s="209" t="str">
        <f>IF(B321="","",VLOOKUP('従業員情報(給与以外)'!$B321,入力シート!$S$37:$Z$62,5,0))</f>
        <v/>
      </c>
      <c r="P321" s="156" t="str">
        <f>IF(ISNUMBER(C321)=FALSE,"",IF(C321&gt;入力シート!$J$24,"",_xlfn.DAYS(入力シート!$J$24,'従業員情報(給与以外)'!$C321)/365))</f>
        <v/>
      </c>
      <c r="Q321" s="210" t="str">
        <f>IF(P321="","",VLOOKUP(_xlfn.DAYS(入力シート!$J$24,'従業員情報(給与以外)'!$C321)/365,入力リスト!$K$18:$L$26,2,2))</f>
        <v/>
      </c>
      <c r="R321" s="209" t="str">
        <f>IF(D321="","",VLOOKUP('従業員情報(給与以外)'!$D321,入力シート!$AW$37:$BB$38,4,0))</f>
        <v/>
      </c>
      <c r="S321" s="209" t="str">
        <f>IF(A321="","",IF(E321="","非役職",VLOOKUP('従業員情報(給与以外)'!$E321,入力シート!$AH$37:$AO$62,5,0)))</f>
        <v/>
      </c>
      <c r="T321" s="102" t="str">
        <f>IF(OR(入力シート!$C$5&lt;&gt;入力リスト!$C$3,COUNTIF(入力シート!$J$16:$S$23,入力リスト!$H$9)=0),"",IF($A321="","",IF(ISERROR(AVERAGEIF(従業員の給与情報!$B:$B,$A321,従業員の給与情報!$C:$C)),0,IF(ISERROR(AVERAGEIF(従業員の給与情報!$B:$B,$A321,従業員の給与情報!$C:$C)),0,AVERAGEIF(従業員の給与情報!$B:$B,$A321,従業員の給与情報!$C:$C)))))</f>
        <v/>
      </c>
      <c r="U321" s="102" t="str">
        <f>IF(OR(入力シート!$C$5&lt;&gt;入力リスト!$C$3,COUNTIF(入力シート!$J$16:$S$23,入力リスト!$H$9)=0),"",IF(A321="","",IF(ISERROR(AVERAGEIF(従業員の給与情報!$B:$B,$A321,従業員の給与情報!$D:$D)),0,IF(ISERROR(AVERAGEIF(従業員の給与情報!$B:$B,$A321,従業員の給与情報!$D:$D)),0,AVERAGEIF(従業員の給与情報!$B:$B,$A321,従業員の給与情報!$D:$D)))))</f>
        <v/>
      </c>
      <c r="V321" s="102" t="str">
        <f>IF(OR(入力シート!$C$5&lt;&gt;入力リスト!$C$3,COUNTIF(入力シート!$J$16:$S$23,入力リスト!$H$9)=0),"",IF(A321="","",IF(ISERROR(AVERAGEIF(従業員の給与情報!$B:$B,$A321,従業員の給与情報!$E:$E)),0,IF(ISERROR(AVERAGEIF(従業員の給与情報!$B:$B,$A321,従業員の給与情報!$E:$E)),0,AVERAGEIF(従業員の給与情報!$B:$B,$A321,従業員の給与情報!$E:$E)))))</f>
        <v/>
      </c>
      <c r="W321" s="103" t="str">
        <f>IF(OR(入力シート!$C$5&lt;&gt;入力リスト!$C$3,COUNTIF(入力シート!$J$16:$S$23,入力リスト!$H$9)=0),"",IF(A321="","",IF(ISERROR(AVERAGEIF(従業員の給与情報!$B:$B,$A321,従業員の給与情報!$F:$F)),0,IF(ISERROR(AVERAGEIF(従業員の給与情報!$B:$B,$A321,従業員の給与情報!$F:$F)),0,AVERAGEIF(従業員の給与情報!$B:$B,$A321,従業員の給与情報!$F:$F)))))</f>
        <v/>
      </c>
    </row>
    <row r="322" spans="1:23" s="10" customFormat="1">
      <c r="A322" s="253"/>
      <c r="B322" s="246"/>
      <c r="C322" s="247"/>
      <c r="D322" s="246"/>
      <c r="E322" s="246"/>
      <c r="F322" s="257" t="str">
        <f>IF($G$1,"",IF(COUNTIF(A322:E322,"")=5,"",IF(G322,入力リスト!$K$28,IF(OR(A322="",B322="",IF(COUNTIF($C$3,"*不要*"),"",C322=""),D322=""),IF(A322="","従業員番号","")&amp;IF(B322="","「雇用形態」","")&amp;IF(OR(入力シート!$J$18=入力リスト!$H$9,入力シート!$J$22=入力リスト!$H$9),IF(C322="","「入社年月日」",""),"")&amp;IF(D322="","「性別」","")&amp;IF(IF(A322="","従業員番号","")&amp;IF(B322="","「雇用形態」","")&amp;IF(OR(入力シート!$J$18=入力リスト!$H$9,入力シート!$J$22=入力リスト!$H$9),IF(C322="","「入社年月日」",""),"")&amp;IF(D322="","「性別」","")="","",入力リスト!$K$29),IF(J322,入力リスト!$K$30,"")&amp;IF(I322,入力リスト!$K$31,"")&amp;IF(H322,"「雇用形態」","")&amp;IF(K322,"「性別」","")&amp;IF(L322,"「役職」","")&amp;IF(OR(H322,K322,L322),入力リスト!$K$32,"")))))</f>
        <v/>
      </c>
      <c r="G322" s="209" t="b">
        <f>COUNTIF($A$4:A321,$A322)&gt;0</f>
        <v>0</v>
      </c>
      <c r="H322" s="210" t="b">
        <f>IF($H$1,FALSE,COUNTIF(入力シート!$S$37:$V$62,B322)=0)</f>
        <v>0</v>
      </c>
      <c r="I322" s="210" t="b">
        <f t="shared" si="10"/>
        <v>0</v>
      </c>
      <c r="J322" s="210" t="b">
        <f>IF($J$1,FALSE,IF(I322=TRUE,FALSE,IF(I322,FALSE,C322&gt;入力シート!$J$24)))</f>
        <v>0</v>
      </c>
      <c r="K322" s="210" t="b">
        <f>IF($K$1,FALSE,COUNTIF(入力シート!$AW$37:$BB$38,D322)=0)</f>
        <v>0</v>
      </c>
      <c r="L322" s="210" t="b">
        <f>IF($L$1,FALSE,IF($L$3,FALSE,IF(E322="",FALSE,COUNTIF(入力シート!$AH$37:$AK$62,E322)=0)))</f>
        <v>0</v>
      </c>
      <c r="M322" s="211" t="str">
        <f t="shared" si="9"/>
        <v/>
      </c>
      <c r="N322" s="211"/>
      <c r="O322" s="209" t="str">
        <f>IF(B322="","",VLOOKUP('従業員情報(給与以外)'!$B322,入力シート!$S$37:$Z$62,5,0))</f>
        <v/>
      </c>
      <c r="P322" s="156" t="str">
        <f>IF(ISNUMBER(C322)=FALSE,"",IF(C322&gt;入力シート!$J$24,"",_xlfn.DAYS(入力シート!$J$24,'従業員情報(給与以外)'!$C322)/365))</f>
        <v/>
      </c>
      <c r="Q322" s="210" t="str">
        <f>IF(P322="","",VLOOKUP(_xlfn.DAYS(入力シート!$J$24,'従業員情報(給与以外)'!$C322)/365,入力リスト!$K$18:$L$26,2,2))</f>
        <v/>
      </c>
      <c r="R322" s="209" t="str">
        <f>IF(D322="","",VLOOKUP('従業員情報(給与以外)'!$D322,入力シート!$AW$37:$BB$38,4,0))</f>
        <v/>
      </c>
      <c r="S322" s="209" t="str">
        <f>IF(A322="","",IF(E322="","非役職",VLOOKUP('従業員情報(給与以外)'!$E322,入力シート!$AH$37:$AO$62,5,0)))</f>
        <v/>
      </c>
      <c r="T322" s="102" t="str">
        <f>IF(OR(入力シート!$C$5&lt;&gt;入力リスト!$C$3,COUNTIF(入力シート!$J$16:$S$23,入力リスト!$H$9)=0),"",IF($A322="","",IF(ISERROR(AVERAGEIF(従業員の給与情報!$B:$B,$A322,従業員の給与情報!$C:$C)),0,IF(ISERROR(AVERAGEIF(従業員の給与情報!$B:$B,$A322,従業員の給与情報!$C:$C)),0,AVERAGEIF(従業員の給与情報!$B:$B,$A322,従業員の給与情報!$C:$C)))))</f>
        <v/>
      </c>
      <c r="U322" s="102" t="str">
        <f>IF(OR(入力シート!$C$5&lt;&gt;入力リスト!$C$3,COUNTIF(入力シート!$J$16:$S$23,入力リスト!$H$9)=0),"",IF(A322="","",IF(ISERROR(AVERAGEIF(従業員の給与情報!$B:$B,$A322,従業員の給与情報!$D:$D)),0,IF(ISERROR(AVERAGEIF(従業員の給与情報!$B:$B,$A322,従業員の給与情報!$D:$D)),0,AVERAGEIF(従業員の給与情報!$B:$B,$A322,従業員の給与情報!$D:$D)))))</f>
        <v/>
      </c>
      <c r="V322" s="102" t="str">
        <f>IF(OR(入力シート!$C$5&lt;&gt;入力リスト!$C$3,COUNTIF(入力シート!$J$16:$S$23,入力リスト!$H$9)=0),"",IF(A322="","",IF(ISERROR(AVERAGEIF(従業員の給与情報!$B:$B,$A322,従業員の給与情報!$E:$E)),0,IF(ISERROR(AVERAGEIF(従業員の給与情報!$B:$B,$A322,従業員の給与情報!$E:$E)),0,AVERAGEIF(従業員の給与情報!$B:$B,$A322,従業員の給与情報!$E:$E)))))</f>
        <v/>
      </c>
      <c r="W322" s="103" t="str">
        <f>IF(OR(入力シート!$C$5&lt;&gt;入力リスト!$C$3,COUNTIF(入力シート!$J$16:$S$23,入力リスト!$H$9)=0),"",IF(A322="","",IF(ISERROR(AVERAGEIF(従業員の給与情報!$B:$B,$A322,従業員の給与情報!$F:$F)),0,IF(ISERROR(AVERAGEIF(従業員の給与情報!$B:$B,$A322,従業員の給与情報!$F:$F)),0,AVERAGEIF(従業員の給与情報!$B:$B,$A322,従業員の給与情報!$F:$F)))))</f>
        <v/>
      </c>
    </row>
    <row r="323" spans="1:23" s="10" customFormat="1">
      <c r="A323" s="253"/>
      <c r="B323" s="246"/>
      <c r="C323" s="247"/>
      <c r="D323" s="246"/>
      <c r="E323" s="246"/>
      <c r="F323" s="257" t="str">
        <f>IF($G$1,"",IF(COUNTIF(A323:E323,"")=5,"",IF(G323,入力リスト!$K$28,IF(OR(A323="",B323="",IF(COUNTIF($C$3,"*不要*"),"",C323=""),D323=""),IF(A323="","従業員番号","")&amp;IF(B323="","「雇用形態」","")&amp;IF(OR(入力シート!$J$18=入力リスト!$H$9,入力シート!$J$22=入力リスト!$H$9),IF(C323="","「入社年月日」",""),"")&amp;IF(D323="","「性別」","")&amp;IF(IF(A323="","従業員番号","")&amp;IF(B323="","「雇用形態」","")&amp;IF(OR(入力シート!$J$18=入力リスト!$H$9,入力シート!$J$22=入力リスト!$H$9),IF(C323="","「入社年月日」",""),"")&amp;IF(D323="","「性別」","")="","",入力リスト!$K$29),IF(J323,入力リスト!$K$30,"")&amp;IF(I323,入力リスト!$K$31,"")&amp;IF(H323,"「雇用形態」","")&amp;IF(K323,"「性別」","")&amp;IF(L323,"「役職」","")&amp;IF(OR(H323,K323,L323),入力リスト!$K$32,"")))))</f>
        <v/>
      </c>
      <c r="G323" s="209" t="b">
        <f>COUNTIF($A$4:A322,$A323)&gt;0</f>
        <v>0</v>
      </c>
      <c r="H323" s="210" t="b">
        <f>IF($H$1,FALSE,COUNTIF(入力シート!$S$37:$V$62,B323)=0)</f>
        <v>0</v>
      </c>
      <c r="I323" s="210" t="b">
        <f t="shared" si="10"/>
        <v>0</v>
      </c>
      <c r="J323" s="210" t="b">
        <f>IF($J$1,FALSE,IF(I323=TRUE,FALSE,IF(I323,FALSE,C323&gt;入力シート!$J$24)))</f>
        <v>0</v>
      </c>
      <c r="K323" s="210" t="b">
        <f>IF($K$1,FALSE,COUNTIF(入力シート!$AW$37:$BB$38,D323)=0)</f>
        <v>0</v>
      </c>
      <c r="L323" s="210" t="b">
        <f>IF($L$1,FALSE,IF($L$3,FALSE,IF(E323="",FALSE,COUNTIF(入力シート!$AH$37:$AK$62,E323)=0)))</f>
        <v>0</v>
      </c>
      <c r="M323" s="211" t="str">
        <f t="shared" si="9"/>
        <v/>
      </c>
      <c r="N323" s="211"/>
      <c r="O323" s="209" t="str">
        <f>IF(B323="","",VLOOKUP('従業員情報(給与以外)'!$B323,入力シート!$S$37:$Z$62,5,0))</f>
        <v/>
      </c>
      <c r="P323" s="156" t="str">
        <f>IF(ISNUMBER(C323)=FALSE,"",IF(C323&gt;入力シート!$J$24,"",_xlfn.DAYS(入力シート!$J$24,'従業員情報(給与以外)'!$C323)/365))</f>
        <v/>
      </c>
      <c r="Q323" s="210" t="str">
        <f>IF(P323="","",VLOOKUP(_xlfn.DAYS(入力シート!$J$24,'従業員情報(給与以外)'!$C323)/365,入力リスト!$K$18:$L$26,2,2))</f>
        <v/>
      </c>
      <c r="R323" s="209" t="str">
        <f>IF(D323="","",VLOOKUP('従業員情報(給与以外)'!$D323,入力シート!$AW$37:$BB$38,4,0))</f>
        <v/>
      </c>
      <c r="S323" s="209" t="str">
        <f>IF(A323="","",IF(E323="","非役職",VLOOKUP('従業員情報(給与以外)'!$E323,入力シート!$AH$37:$AO$62,5,0)))</f>
        <v/>
      </c>
      <c r="T323" s="102" t="str">
        <f>IF(OR(入力シート!$C$5&lt;&gt;入力リスト!$C$3,COUNTIF(入力シート!$J$16:$S$23,入力リスト!$H$9)=0),"",IF($A323="","",IF(ISERROR(AVERAGEIF(従業員の給与情報!$B:$B,$A323,従業員の給与情報!$C:$C)),0,IF(ISERROR(AVERAGEIF(従業員の給与情報!$B:$B,$A323,従業員の給与情報!$C:$C)),0,AVERAGEIF(従業員の給与情報!$B:$B,$A323,従業員の給与情報!$C:$C)))))</f>
        <v/>
      </c>
      <c r="U323" s="102" t="str">
        <f>IF(OR(入力シート!$C$5&lt;&gt;入力リスト!$C$3,COUNTIF(入力シート!$J$16:$S$23,入力リスト!$H$9)=0),"",IF(A323="","",IF(ISERROR(AVERAGEIF(従業員の給与情報!$B:$B,$A323,従業員の給与情報!$D:$D)),0,IF(ISERROR(AVERAGEIF(従業員の給与情報!$B:$B,$A323,従業員の給与情報!$D:$D)),0,AVERAGEIF(従業員の給与情報!$B:$B,$A323,従業員の給与情報!$D:$D)))))</f>
        <v/>
      </c>
      <c r="V323" s="102" t="str">
        <f>IF(OR(入力シート!$C$5&lt;&gt;入力リスト!$C$3,COUNTIF(入力シート!$J$16:$S$23,入力リスト!$H$9)=0),"",IF(A323="","",IF(ISERROR(AVERAGEIF(従業員の給与情報!$B:$B,$A323,従業員の給与情報!$E:$E)),0,IF(ISERROR(AVERAGEIF(従業員の給与情報!$B:$B,$A323,従業員の給与情報!$E:$E)),0,AVERAGEIF(従業員の給与情報!$B:$B,$A323,従業員の給与情報!$E:$E)))))</f>
        <v/>
      </c>
      <c r="W323" s="103" t="str">
        <f>IF(OR(入力シート!$C$5&lt;&gt;入力リスト!$C$3,COUNTIF(入力シート!$J$16:$S$23,入力リスト!$H$9)=0),"",IF(A323="","",IF(ISERROR(AVERAGEIF(従業員の給与情報!$B:$B,$A323,従業員の給与情報!$F:$F)),0,IF(ISERROR(AVERAGEIF(従業員の給与情報!$B:$B,$A323,従業員の給与情報!$F:$F)),0,AVERAGEIF(従業員の給与情報!$B:$B,$A323,従業員の給与情報!$F:$F)))))</f>
        <v/>
      </c>
    </row>
    <row r="324" spans="1:23" s="10" customFormat="1">
      <c r="A324" s="253"/>
      <c r="B324" s="246"/>
      <c r="C324" s="247"/>
      <c r="D324" s="246"/>
      <c r="E324" s="246"/>
      <c r="F324" s="257" t="str">
        <f>IF($G$1,"",IF(COUNTIF(A324:E324,"")=5,"",IF(G324,入力リスト!$K$28,IF(OR(A324="",B324="",IF(COUNTIF($C$3,"*不要*"),"",C324=""),D324=""),IF(A324="","従業員番号","")&amp;IF(B324="","「雇用形態」","")&amp;IF(OR(入力シート!$J$18=入力リスト!$H$9,入力シート!$J$22=入力リスト!$H$9),IF(C324="","「入社年月日」",""),"")&amp;IF(D324="","「性別」","")&amp;IF(IF(A324="","従業員番号","")&amp;IF(B324="","「雇用形態」","")&amp;IF(OR(入力シート!$J$18=入力リスト!$H$9,入力シート!$J$22=入力リスト!$H$9),IF(C324="","「入社年月日」",""),"")&amp;IF(D324="","「性別」","")="","",入力リスト!$K$29),IF(J324,入力リスト!$K$30,"")&amp;IF(I324,入力リスト!$K$31,"")&amp;IF(H324,"「雇用形態」","")&amp;IF(K324,"「性別」","")&amp;IF(L324,"「役職」","")&amp;IF(OR(H324,K324,L324),入力リスト!$K$32,"")))))</f>
        <v/>
      </c>
      <c r="G324" s="209" t="b">
        <f>COUNTIF($A$4:A323,$A324)&gt;0</f>
        <v>0</v>
      </c>
      <c r="H324" s="210" t="b">
        <f>IF($H$1,FALSE,COUNTIF(入力シート!$S$37:$V$62,B324)=0)</f>
        <v>0</v>
      </c>
      <c r="I324" s="210" t="b">
        <f t="shared" si="10"/>
        <v>0</v>
      </c>
      <c r="J324" s="210" t="b">
        <f>IF($J$1,FALSE,IF(I324=TRUE,FALSE,IF(I324,FALSE,C324&gt;入力シート!$J$24)))</f>
        <v>0</v>
      </c>
      <c r="K324" s="210" t="b">
        <f>IF($K$1,FALSE,COUNTIF(入力シート!$AW$37:$BB$38,D324)=0)</f>
        <v>0</v>
      </c>
      <c r="L324" s="210" t="b">
        <f>IF($L$1,FALSE,IF($L$3,FALSE,IF(E324="",FALSE,COUNTIF(入力シート!$AH$37:$AK$62,E324)=0)))</f>
        <v>0</v>
      </c>
      <c r="M324" s="211" t="str">
        <f t="shared" ref="M324:M387" si="11">IF(COUNTIF(F324,"*入社年月日に数値以外*"),"※1900/0/0以前は数値として認識されません。","")</f>
        <v/>
      </c>
      <c r="N324" s="211"/>
      <c r="O324" s="209" t="str">
        <f>IF(B324="","",VLOOKUP('従業員情報(給与以外)'!$B324,入力シート!$S$37:$Z$62,5,0))</f>
        <v/>
      </c>
      <c r="P324" s="156" t="str">
        <f>IF(ISNUMBER(C324)=FALSE,"",IF(C324&gt;入力シート!$J$24,"",_xlfn.DAYS(入力シート!$J$24,'従業員情報(給与以外)'!$C324)/365))</f>
        <v/>
      </c>
      <c r="Q324" s="210" t="str">
        <f>IF(P324="","",VLOOKUP(_xlfn.DAYS(入力シート!$J$24,'従業員情報(給与以外)'!$C324)/365,入力リスト!$K$18:$L$26,2,2))</f>
        <v/>
      </c>
      <c r="R324" s="209" t="str">
        <f>IF(D324="","",VLOOKUP('従業員情報(給与以外)'!$D324,入力シート!$AW$37:$BB$38,4,0))</f>
        <v/>
      </c>
      <c r="S324" s="209" t="str">
        <f>IF(A324="","",IF(E324="","非役職",VLOOKUP('従業員情報(給与以外)'!$E324,入力シート!$AH$37:$AO$62,5,0)))</f>
        <v/>
      </c>
      <c r="T324" s="102" t="str">
        <f>IF(OR(入力シート!$C$5&lt;&gt;入力リスト!$C$3,COUNTIF(入力シート!$J$16:$S$23,入力リスト!$H$9)=0),"",IF($A324="","",IF(ISERROR(AVERAGEIF(従業員の給与情報!$B:$B,$A324,従業員の給与情報!$C:$C)),0,IF(ISERROR(AVERAGEIF(従業員の給与情報!$B:$B,$A324,従業員の給与情報!$C:$C)),0,AVERAGEIF(従業員の給与情報!$B:$B,$A324,従業員の給与情報!$C:$C)))))</f>
        <v/>
      </c>
      <c r="U324" s="102" t="str">
        <f>IF(OR(入力シート!$C$5&lt;&gt;入力リスト!$C$3,COUNTIF(入力シート!$J$16:$S$23,入力リスト!$H$9)=0),"",IF(A324="","",IF(ISERROR(AVERAGEIF(従業員の給与情報!$B:$B,$A324,従業員の給与情報!$D:$D)),0,IF(ISERROR(AVERAGEIF(従業員の給与情報!$B:$B,$A324,従業員の給与情報!$D:$D)),0,AVERAGEIF(従業員の給与情報!$B:$B,$A324,従業員の給与情報!$D:$D)))))</f>
        <v/>
      </c>
      <c r="V324" s="102" t="str">
        <f>IF(OR(入力シート!$C$5&lt;&gt;入力リスト!$C$3,COUNTIF(入力シート!$J$16:$S$23,入力リスト!$H$9)=0),"",IF(A324="","",IF(ISERROR(AVERAGEIF(従業員の給与情報!$B:$B,$A324,従業員の給与情報!$E:$E)),0,IF(ISERROR(AVERAGEIF(従業員の給与情報!$B:$B,$A324,従業員の給与情報!$E:$E)),0,AVERAGEIF(従業員の給与情報!$B:$B,$A324,従業員の給与情報!$E:$E)))))</f>
        <v/>
      </c>
      <c r="W324" s="103" t="str">
        <f>IF(OR(入力シート!$C$5&lt;&gt;入力リスト!$C$3,COUNTIF(入力シート!$J$16:$S$23,入力リスト!$H$9)=0),"",IF(A324="","",IF(ISERROR(AVERAGEIF(従業員の給与情報!$B:$B,$A324,従業員の給与情報!$F:$F)),0,IF(ISERROR(AVERAGEIF(従業員の給与情報!$B:$B,$A324,従業員の給与情報!$F:$F)),0,AVERAGEIF(従業員の給与情報!$B:$B,$A324,従業員の給与情報!$F:$F)))))</f>
        <v/>
      </c>
    </row>
    <row r="325" spans="1:23" s="10" customFormat="1">
      <c r="A325" s="253"/>
      <c r="B325" s="246"/>
      <c r="C325" s="247"/>
      <c r="D325" s="246"/>
      <c r="E325" s="246"/>
      <c r="F325" s="257" t="str">
        <f>IF($G$1,"",IF(COUNTIF(A325:E325,"")=5,"",IF(G325,入力リスト!$K$28,IF(OR(A325="",B325="",IF(COUNTIF($C$3,"*不要*"),"",C325=""),D325=""),IF(A325="","従業員番号","")&amp;IF(B325="","「雇用形態」","")&amp;IF(OR(入力シート!$J$18=入力リスト!$H$9,入力シート!$J$22=入力リスト!$H$9),IF(C325="","「入社年月日」",""),"")&amp;IF(D325="","「性別」","")&amp;IF(IF(A325="","従業員番号","")&amp;IF(B325="","「雇用形態」","")&amp;IF(OR(入力シート!$J$18=入力リスト!$H$9,入力シート!$J$22=入力リスト!$H$9),IF(C325="","「入社年月日」",""),"")&amp;IF(D325="","「性別」","")="","",入力リスト!$K$29),IF(J325,入力リスト!$K$30,"")&amp;IF(I325,入力リスト!$K$31,"")&amp;IF(H325,"「雇用形態」","")&amp;IF(K325,"「性別」","")&amp;IF(L325,"「役職」","")&amp;IF(OR(H325,K325,L325),入力リスト!$K$32,"")))))</f>
        <v/>
      </c>
      <c r="G325" s="209" t="b">
        <f>COUNTIF($A$4:A324,$A325)&gt;0</f>
        <v>0</v>
      </c>
      <c r="H325" s="210" t="b">
        <f>IF($H$1,FALSE,COUNTIF(入力シート!$S$37:$V$62,B325)=0)</f>
        <v>0</v>
      </c>
      <c r="I325" s="210" t="b">
        <f t="shared" si="10"/>
        <v>0</v>
      </c>
      <c r="J325" s="210" t="b">
        <f>IF($J$1,FALSE,IF(I325=TRUE,FALSE,IF(I325,FALSE,C325&gt;入力シート!$J$24)))</f>
        <v>0</v>
      </c>
      <c r="K325" s="210" t="b">
        <f>IF($K$1,FALSE,COUNTIF(入力シート!$AW$37:$BB$38,D325)=0)</f>
        <v>0</v>
      </c>
      <c r="L325" s="210" t="b">
        <f>IF($L$1,FALSE,IF($L$3,FALSE,IF(E325="",FALSE,COUNTIF(入力シート!$AH$37:$AK$62,E325)=0)))</f>
        <v>0</v>
      </c>
      <c r="M325" s="211" t="str">
        <f t="shared" si="11"/>
        <v/>
      </c>
      <c r="N325" s="211"/>
      <c r="O325" s="209" t="str">
        <f>IF(B325="","",VLOOKUP('従業員情報(給与以外)'!$B325,入力シート!$S$37:$Z$62,5,0))</f>
        <v/>
      </c>
      <c r="P325" s="156" t="str">
        <f>IF(ISNUMBER(C325)=FALSE,"",IF(C325&gt;入力シート!$J$24,"",_xlfn.DAYS(入力シート!$J$24,'従業員情報(給与以外)'!$C325)/365))</f>
        <v/>
      </c>
      <c r="Q325" s="210" t="str">
        <f>IF(P325="","",VLOOKUP(_xlfn.DAYS(入力シート!$J$24,'従業員情報(給与以外)'!$C325)/365,入力リスト!$K$18:$L$26,2,2))</f>
        <v/>
      </c>
      <c r="R325" s="209" t="str">
        <f>IF(D325="","",VLOOKUP('従業員情報(給与以外)'!$D325,入力シート!$AW$37:$BB$38,4,0))</f>
        <v/>
      </c>
      <c r="S325" s="209" t="str">
        <f>IF(A325="","",IF(E325="","非役職",VLOOKUP('従業員情報(給与以外)'!$E325,入力シート!$AH$37:$AO$62,5,0)))</f>
        <v/>
      </c>
      <c r="T325" s="102" t="str">
        <f>IF(OR(入力シート!$C$5&lt;&gt;入力リスト!$C$3,COUNTIF(入力シート!$J$16:$S$23,入力リスト!$H$9)=0),"",IF($A325="","",IF(ISERROR(AVERAGEIF(従業員の給与情報!$B:$B,$A325,従業員の給与情報!$C:$C)),0,IF(ISERROR(AVERAGEIF(従業員の給与情報!$B:$B,$A325,従業員の給与情報!$C:$C)),0,AVERAGEIF(従業員の給与情報!$B:$B,$A325,従業員の給与情報!$C:$C)))))</f>
        <v/>
      </c>
      <c r="U325" s="102" t="str">
        <f>IF(OR(入力シート!$C$5&lt;&gt;入力リスト!$C$3,COUNTIF(入力シート!$J$16:$S$23,入力リスト!$H$9)=0),"",IF(A325="","",IF(ISERROR(AVERAGEIF(従業員の給与情報!$B:$B,$A325,従業員の給与情報!$D:$D)),0,IF(ISERROR(AVERAGEIF(従業員の給与情報!$B:$B,$A325,従業員の給与情報!$D:$D)),0,AVERAGEIF(従業員の給与情報!$B:$B,$A325,従業員の給与情報!$D:$D)))))</f>
        <v/>
      </c>
      <c r="V325" s="102" t="str">
        <f>IF(OR(入力シート!$C$5&lt;&gt;入力リスト!$C$3,COUNTIF(入力シート!$J$16:$S$23,入力リスト!$H$9)=0),"",IF(A325="","",IF(ISERROR(AVERAGEIF(従業員の給与情報!$B:$B,$A325,従業員の給与情報!$E:$E)),0,IF(ISERROR(AVERAGEIF(従業員の給与情報!$B:$B,$A325,従業員の給与情報!$E:$E)),0,AVERAGEIF(従業員の給与情報!$B:$B,$A325,従業員の給与情報!$E:$E)))))</f>
        <v/>
      </c>
      <c r="W325" s="103" t="str">
        <f>IF(OR(入力シート!$C$5&lt;&gt;入力リスト!$C$3,COUNTIF(入力シート!$J$16:$S$23,入力リスト!$H$9)=0),"",IF(A325="","",IF(ISERROR(AVERAGEIF(従業員の給与情報!$B:$B,$A325,従業員の給与情報!$F:$F)),0,IF(ISERROR(AVERAGEIF(従業員の給与情報!$B:$B,$A325,従業員の給与情報!$F:$F)),0,AVERAGEIF(従業員の給与情報!$B:$B,$A325,従業員の給与情報!$F:$F)))))</f>
        <v/>
      </c>
    </row>
    <row r="326" spans="1:23" s="10" customFormat="1">
      <c r="A326" s="253"/>
      <c r="B326" s="246"/>
      <c r="C326" s="247"/>
      <c r="D326" s="246"/>
      <c r="E326" s="246"/>
      <c r="F326" s="257" t="str">
        <f>IF($G$1,"",IF(COUNTIF(A326:E326,"")=5,"",IF(G326,入力リスト!$K$28,IF(OR(A326="",B326="",IF(COUNTIF($C$3,"*不要*"),"",C326=""),D326=""),IF(A326="","従業員番号","")&amp;IF(B326="","「雇用形態」","")&amp;IF(OR(入力シート!$J$18=入力リスト!$H$9,入力シート!$J$22=入力リスト!$H$9),IF(C326="","「入社年月日」",""),"")&amp;IF(D326="","「性別」","")&amp;IF(IF(A326="","従業員番号","")&amp;IF(B326="","「雇用形態」","")&amp;IF(OR(入力シート!$J$18=入力リスト!$H$9,入力シート!$J$22=入力リスト!$H$9),IF(C326="","「入社年月日」",""),"")&amp;IF(D326="","「性別」","")="","",入力リスト!$K$29),IF(J326,入力リスト!$K$30,"")&amp;IF(I326,入力リスト!$K$31,"")&amp;IF(H326,"「雇用形態」","")&amp;IF(K326,"「性別」","")&amp;IF(L326,"「役職」","")&amp;IF(OR(H326,K326,L326),入力リスト!$K$32,"")))))</f>
        <v/>
      </c>
      <c r="G326" s="209" t="b">
        <f>COUNTIF($A$4:A325,$A326)&gt;0</f>
        <v>0</v>
      </c>
      <c r="H326" s="210" t="b">
        <f>IF($H$1,FALSE,COUNTIF(入力シート!$S$37:$V$62,B326)=0)</f>
        <v>0</v>
      </c>
      <c r="I326" s="210" t="b">
        <f t="shared" ref="I326:I389" si="12">IF($I$1,IF(ISNUMBER(C326),FALSE,TRUE),FALSE)</f>
        <v>0</v>
      </c>
      <c r="J326" s="210" t="b">
        <f>IF($J$1,FALSE,IF(I326=TRUE,FALSE,IF(I326,FALSE,C326&gt;入力シート!$J$24)))</f>
        <v>0</v>
      </c>
      <c r="K326" s="210" t="b">
        <f>IF($K$1,FALSE,COUNTIF(入力シート!$AW$37:$BB$38,D326)=0)</f>
        <v>0</v>
      </c>
      <c r="L326" s="210" t="b">
        <f>IF($L$1,FALSE,IF($L$3,FALSE,IF(E326="",FALSE,COUNTIF(入力シート!$AH$37:$AK$62,E326)=0)))</f>
        <v>0</v>
      </c>
      <c r="M326" s="211" t="str">
        <f t="shared" si="11"/>
        <v/>
      </c>
      <c r="N326" s="211"/>
      <c r="O326" s="209" t="str">
        <f>IF(B326="","",VLOOKUP('従業員情報(給与以外)'!$B326,入力シート!$S$37:$Z$62,5,0))</f>
        <v/>
      </c>
      <c r="P326" s="156" t="str">
        <f>IF(ISNUMBER(C326)=FALSE,"",IF(C326&gt;入力シート!$J$24,"",_xlfn.DAYS(入力シート!$J$24,'従業員情報(給与以外)'!$C326)/365))</f>
        <v/>
      </c>
      <c r="Q326" s="210" t="str">
        <f>IF(P326="","",VLOOKUP(_xlfn.DAYS(入力シート!$J$24,'従業員情報(給与以外)'!$C326)/365,入力リスト!$K$18:$L$26,2,2))</f>
        <v/>
      </c>
      <c r="R326" s="209" t="str">
        <f>IF(D326="","",VLOOKUP('従業員情報(給与以外)'!$D326,入力シート!$AW$37:$BB$38,4,0))</f>
        <v/>
      </c>
      <c r="S326" s="209" t="str">
        <f>IF(A326="","",IF(E326="","非役職",VLOOKUP('従業員情報(給与以外)'!$E326,入力シート!$AH$37:$AO$62,5,0)))</f>
        <v/>
      </c>
      <c r="T326" s="102" t="str">
        <f>IF(OR(入力シート!$C$5&lt;&gt;入力リスト!$C$3,COUNTIF(入力シート!$J$16:$S$23,入力リスト!$H$9)=0),"",IF($A326="","",IF(ISERROR(AVERAGEIF(従業員の給与情報!$B:$B,$A326,従業員の給与情報!$C:$C)),0,IF(ISERROR(AVERAGEIF(従業員の給与情報!$B:$B,$A326,従業員の給与情報!$C:$C)),0,AVERAGEIF(従業員の給与情報!$B:$B,$A326,従業員の給与情報!$C:$C)))))</f>
        <v/>
      </c>
      <c r="U326" s="102" t="str">
        <f>IF(OR(入力シート!$C$5&lt;&gt;入力リスト!$C$3,COUNTIF(入力シート!$J$16:$S$23,入力リスト!$H$9)=0),"",IF(A326="","",IF(ISERROR(AVERAGEIF(従業員の給与情報!$B:$B,$A326,従業員の給与情報!$D:$D)),0,IF(ISERROR(AVERAGEIF(従業員の給与情報!$B:$B,$A326,従業員の給与情報!$D:$D)),0,AVERAGEIF(従業員の給与情報!$B:$B,$A326,従業員の給与情報!$D:$D)))))</f>
        <v/>
      </c>
      <c r="V326" s="102" t="str">
        <f>IF(OR(入力シート!$C$5&lt;&gt;入力リスト!$C$3,COUNTIF(入力シート!$J$16:$S$23,入力リスト!$H$9)=0),"",IF(A326="","",IF(ISERROR(AVERAGEIF(従業員の給与情報!$B:$B,$A326,従業員の給与情報!$E:$E)),0,IF(ISERROR(AVERAGEIF(従業員の給与情報!$B:$B,$A326,従業員の給与情報!$E:$E)),0,AVERAGEIF(従業員の給与情報!$B:$B,$A326,従業員の給与情報!$E:$E)))))</f>
        <v/>
      </c>
      <c r="W326" s="103" t="str">
        <f>IF(OR(入力シート!$C$5&lt;&gt;入力リスト!$C$3,COUNTIF(入力シート!$J$16:$S$23,入力リスト!$H$9)=0),"",IF(A326="","",IF(ISERROR(AVERAGEIF(従業員の給与情報!$B:$B,$A326,従業員の給与情報!$F:$F)),0,IF(ISERROR(AVERAGEIF(従業員の給与情報!$B:$B,$A326,従業員の給与情報!$F:$F)),0,AVERAGEIF(従業員の給与情報!$B:$B,$A326,従業員の給与情報!$F:$F)))))</f>
        <v/>
      </c>
    </row>
    <row r="327" spans="1:23" s="10" customFormat="1">
      <c r="A327" s="253"/>
      <c r="B327" s="246"/>
      <c r="C327" s="247"/>
      <c r="D327" s="246"/>
      <c r="E327" s="246"/>
      <c r="F327" s="257" t="str">
        <f>IF($G$1,"",IF(COUNTIF(A327:E327,"")=5,"",IF(G327,入力リスト!$K$28,IF(OR(A327="",B327="",IF(COUNTIF($C$3,"*不要*"),"",C327=""),D327=""),IF(A327="","従業員番号","")&amp;IF(B327="","「雇用形態」","")&amp;IF(OR(入力シート!$J$18=入力リスト!$H$9,入力シート!$J$22=入力リスト!$H$9),IF(C327="","「入社年月日」",""),"")&amp;IF(D327="","「性別」","")&amp;IF(IF(A327="","従業員番号","")&amp;IF(B327="","「雇用形態」","")&amp;IF(OR(入力シート!$J$18=入力リスト!$H$9,入力シート!$J$22=入力リスト!$H$9),IF(C327="","「入社年月日」",""),"")&amp;IF(D327="","「性別」","")="","",入力リスト!$K$29),IF(J327,入力リスト!$K$30,"")&amp;IF(I327,入力リスト!$K$31,"")&amp;IF(H327,"「雇用形態」","")&amp;IF(K327,"「性別」","")&amp;IF(L327,"「役職」","")&amp;IF(OR(H327,K327,L327),入力リスト!$K$32,"")))))</f>
        <v/>
      </c>
      <c r="G327" s="209" t="b">
        <f>COUNTIF($A$4:A326,$A327)&gt;0</f>
        <v>0</v>
      </c>
      <c r="H327" s="210" t="b">
        <f>IF($H$1,FALSE,COUNTIF(入力シート!$S$37:$V$62,B327)=0)</f>
        <v>0</v>
      </c>
      <c r="I327" s="210" t="b">
        <f t="shared" si="12"/>
        <v>0</v>
      </c>
      <c r="J327" s="210" t="b">
        <f>IF($J$1,FALSE,IF(I327=TRUE,FALSE,IF(I327,FALSE,C327&gt;入力シート!$J$24)))</f>
        <v>0</v>
      </c>
      <c r="K327" s="210" t="b">
        <f>IF($K$1,FALSE,COUNTIF(入力シート!$AW$37:$BB$38,D327)=0)</f>
        <v>0</v>
      </c>
      <c r="L327" s="210" t="b">
        <f>IF($L$1,FALSE,IF($L$3,FALSE,IF(E327="",FALSE,COUNTIF(入力シート!$AH$37:$AK$62,E327)=0)))</f>
        <v>0</v>
      </c>
      <c r="M327" s="211" t="str">
        <f t="shared" si="11"/>
        <v/>
      </c>
      <c r="N327" s="211"/>
      <c r="O327" s="209" t="str">
        <f>IF(B327="","",VLOOKUP('従業員情報(給与以外)'!$B327,入力シート!$S$37:$Z$62,5,0))</f>
        <v/>
      </c>
      <c r="P327" s="156" t="str">
        <f>IF(ISNUMBER(C327)=FALSE,"",IF(C327&gt;入力シート!$J$24,"",_xlfn.DAYS(入力シート!$J$24,'従業員情報(給与以外)'!$C327)/365))</f>
        <v/>
      </c>
      <c r="Q327" s="210" t="str">
        <f>IF(P327="","",VLOOKUP(_xlfn.DAYS(入力シート!$J$24,'従業員情報(給与以外)'!$C327)/365,入力リスト!$K$18:$L$26,2,2))</f>
        <v/>
      </c>
      <c r="R327" s="209" t="str">
        <f>IF(D327="","",VLOOKUP('従業員情報(給与以外)'!$D327,入力シート!$AW$37:$BB$38,4,0))</f>
        <v/>
      </c>
      <c r="S327" s="209" t="str">
        <f>IF(A327="","",IF(E327="","非役職",VLOOKUP('従業員情報(給与以外)'!$E327,入力シート!$AH$37:$AO$62,5,0)))</f>
        <v/>
      </c>
      <c r="T327" s="102" t="str">
        <f>IF(OR(入力シート!$C$5&lt;&gt;入力リスト!$C$3,COUNTIF(入力シート!$J$16:$S$23,入力リスト!$H$9)=0),"",IF($A327="","",IF(ISERROR(AVERAGEIF(従業員の給与情報!$B:$B,$A327,従業員の給与情報!$C:$C)),0,IF(ISERROR(AVERAGEIF(従業員の給与情報!$B:$B,$A327,従業員の給与情報!$C:$C)),0,AVERAGEIF(従業員の給与情報!$B:$B,$A327,従業員の給与情報!$C:$C)))))</f>
        <v/>
      </c>
      <c r="U327" s="102" t="str">
        <f>IF(OR(入力シート!$C$5&lt;&gt;入力リスト!$C$3,COUNTIF(入力シート!$J$16:$S$23,入力リスト!$H$9)=0),"",IF(A327="","",IF(ISERROR(AVERAGEIF(従業員の給与情報!$B:$B,$A327,従業員の給与情報!$D:$D)),0,IF(ISERROR(AVERAGEIF(従業員の給与情報!$B:$B,$A327,従業員の給与情報!$D:$D)),0,AVERAGEIF(従業員の給与情報!$B:$B,$A327,従業員の給与情報!$D:$D)))))</f>
        <v/>
      </c>
      <c r="V327" s="102" t="str">
        <f>IF(OR(入力シート!$C$5&lt;&gt;入力リスト!$C$3,COUNTIF(入力シート!$J$16:$S$23,入力リスト!$H$9)=0),"",IF(A327="","",IF(ISERROR(AVERAGEIF(従業員の給与情報!$B:$B,$A327,従業員の給与情報!$E:$E)),0,IF(ISERROR(AVERAGEIF(従業員の給与情報!$B:$B,$A327,従業員の給与情報!$E:$E)),0,AVERAGEIF(従業員の給与情報!$B:$B,$A327,従業員の給与情報!$E:$E)))))</f>
        <v/>
      </c>
      <c r="W327" s="103" t="str">
        <f>IF(OR(入力シート!$C$5&lt;&gt;入力リスト!$C$3,COUNTIF(入力シート!$J$16:$S$23,入力リスト!$H$9)=0),"",IF(A327="","",IF(ISERROR(AVERAGEIF(従業員の給与情報!$B:$B,$A327,従業員の給与情報!$F:$F)),0,IF(ISERROR(AVERAGEIF(従業員の給与情報!$B:$B,$A327,従業員の給与情報!$F:$F)),0,AVERAGEIF(従業員の給与情報!$B:$B,$A327,従業員の給与情報!$F:$F)))))</f>
        <v/>
      </c>
    </row>
    <row r="328" spans="1:23" s="10" customFormat="1">
      <c r="A328" s="253"/>
      <c r="B328" s="246"/>
      <c r="C328" s="247"/>
      <c r="D328" s="246"/>
      <c r="E328" s="246"/>
      <c r="F328" s="257" t="str">
        <f>IF($G$1,"",IF(COUNTIF(A328:E328,"")=5,"",IF(G328,入力リスト!$K$28,IF(OR(A328="",B328="",IF(COUNTIF($C$3,"*不要*"),"",C328=""),D328=""),IF(A328="","従業員番号","")&amp;IF(B328="","「雇用形態」","")&amp;IF(OR(入力シート!$J$18=入力リスト!$H$9,入力シート!$J$22=入力リスト!$H$9),IF(C328="","「入社年月日」",""),"")&amp;IF(D328="","「性別」","")&amp;IF(IF(A328="","従業員番号","")&amp;IF(B328="","「雇用形態」","")&amp;IF(OR(入力シート!$J$18=入力リスト!$H$9,入力シート!$J$22=入力リスト!$H$9),IF(C328="","「入社年月日」",""),"")&amp;IF(D328="","「性別」","")="","",入力リスト!$K$29),IF(J328,入力リスト!$K$30,"")&amp;IF(I328,入力リスト!$K$31,"")&amp;IF(H328,"「雇用形態」","")&amp;IF(K328,"「性別」","")&amp;IF(L328,"「役職」","")&amp;IF(OR(H328,K328,L328),入力リスト!$K$32,"")))))</f>
        <v/>
      </c>
      <c r="G328" s="209" t="b">
        <f>COUNTIF($A$4:A327,$A328)&gt;0</f>
        <v>0</v>
      </c>
      <c r="H328" s="210" t="b">
        <f>IF($H$1,FALSE,COUNTIF(入力シート!$S$37:$V$62,B328)=0)</f>
        <v>0</v>
      </c>
      <c r="I328" s="210" t="b">
        <f t="shared" si="12"/>
        <v>0</v>
      </c>
      <c r="J328" s="210" t="b">
        <f>IF($J$1,FALSE,IF(I328=TRUE,FALSE,IF(I328,FALSE,C328&gt;入力シート!$J$24)))</f>
        <v>0</v>
      </c>
      <c r="K328" s="210" t="b">
        <f>IF($K$1,FALSE,COUNTIF(入力シート!$AW$37:$BB$38,D328)=0)</f>
        <v>0</v>
      </c>
      <c r="L328" s="210" t="b">
        <f>IF($L$1,FALSE,IF($L$3,FALSE,IF(E328="",FALSE,COUNTIF(入力シート!$AH$37:$AK$62,E328)=0)))</f>
        <v>0</v>
      </c>
      <c r="M328" s="211" t="str">
        <f t="shared" si="11"/>
        <v/>
      </c>
      <c r="N328" s="211"/>
      <c r="O328" s="209" t="str">
        <f>IF(B328="","",VLOOKUP('従業員情報(給与以外)'!$B328,入力シート!$S$37:$Z$62,5,0))</f>
        <v/>
      </c>
      <c r="P328" s="156" t="str">
        <f>IF(ISNUMBER(C328)=FALSE,"",IF(C328&gt;入力シート!$J$24,"",_xlfn.DAYS(入力シート!$J$24,'従業員情報(給与以外)'!$C328)/365))</f>
        <v/>
      </c>
      <c r="Q328" s="210" t="str">
        <f>IF(P328="","",VLOOKUP(_xlfn.DAYS(入力シート!$J$24,'従業員情報(給与以外)'!$C328)/365,入力リスト!$K$18:$L$26,2,2))</f>
        <v/>
      </c>
      <c r="R328" s="209" t="str">
        <f>IF(D328="","",VLOOKUP('従業員情報(給与以外)'!$D328,入力シート!$AW$37:$BB$38,4,0))</f>
        <v/>
      </c>
      <c r="S328" s="209" t="str">
        <f>IF(A328="","",IF(E328="","非役職",VLOOKUP('従業員情報(給与以外)'!$E328,入力シート!$AH$37:$AO$62,5,0)))</f>
        <v/>
      </c>
      <c r="T328" s="102" t="str">
        <f>IF(OR(入力シート!$C$5&lt;&gt;入力リスト!$C$3,COUNTIF(入力シート!$J$16:$S$23,入力リスト!$H$9)=0),"",IF($A328="","",IF(ISERROR(AVERAGEIF(従業員の給与情報!$B:$B,$A328,従業員の給与情報!$C:$C)),0,IF(ISERROR(AVERAGEIF(従業員の給与情報!$B:$B,$A328,従業員の給与情報!$C:$C)),0,AVERAGEIF(従業員の給与情報!$B:$B,$A328,従業員の給与情報!$C:$C)))))</f>
        <v/>
      </c>
      <c r="U328" s="102" t="str">
        <f>IF(OR(入力シート!$C$5&lt;&gt;入力リスト!$C$3,COUNTIF(入力シート!$J$16:$S$23,入力リスト!$H$9)=0),"",IF(A328="","",IF(ISERROR(AVERAGEIF(従業員の給与情報!$B:$B,$A328,従業員の給与情報!$D:$D)),0,IF(ISERROR(AVERAGEIF(従業員の給与情報!$B:$B,$A328,従業員の給与情報!$D:$D)),0,AVERAGEIF(従業員の給与情報!$B:$B,$A328,従業員の給与情報!$D:$D)))))</f>
        <v/>
      </c>
      <c r="V328" s="102" t="str">
        <f>IF(OR(入力シート!$C$5&lt;&gt;入力リスト!$C$3,COUNTIF(入力シート!$J$16:$S$23,入力リスト!$H$9)=0),"",IF(A328="","",IF(ISERROR(AVERAGEIF(従業員の給与情報!$B:$B,$A328,従業員の給与情報!$E:$E)),0,IF(ISERROR(AVERAGEIF(従業員の給与情報!$B:$B,$A328,従業員の給与情報!$E:$E)),0,AVERAGEIF(従業員の給与情報!$B:$B,$A328,従業員の給与情報!$E:$E)))))</f>
        <v/>
      </c>
      <c r="W328" s="103" t="str">
        <f>IF(OR(入力シート!$C$5&lt;&gt;入力リスト!$C$3,COUNTIF(入力シート!$J$16:$S$23,入力リスト!$H$9)=0),"",IF(A328="","",IF(ISERROR(AVERAGEIF(従業員の給与情報!$B:$B,$A328,従業員の給与情報!$F:$F)),0,IF(ISERROR(AVERAGEIF(従業員の給与情報!$B:$B,$A328,従業員の給与情報!$F:$F)),0,AVERAGEIF(従業員の給与情報!$B:$B,$A328,従業員の給与情報!$F:$F)))))</f>
        <v/>
      </c>
    </row>
    <row r="329" spans="1:23" s="10" customFormat="1">
      <c r="A329" s="253"/>
      <c r="B329" s="246"/>
      <c r="C329" s="247"/>
      <c r="D329" s="246"/>
      <c r="E329" s="246"/>
      <c r="F329" s="257" t="str">
        <f>IF($G$1,"",IF(COUNTIF(A329:E329,"")=5,"",IF(G329,入力リスト!$K$28,IF(OR(A329="",B329="",IF(COUNTIF($C$3,"*不要*"),"",C329=""),D329=""),IF(A329="","従業員番号","")&amp;IF(B329="","「雇用形態」","")&amp;IF(OR(入力シート!$J$18=入力リスト!$H$9,入力シート!$J$22=入力リスト!$H$9),IF(C329="","「入社年月日」",""),"")&amp;IF(D329="","「性別」","")&amp;IF(IF(A329="","従業員番号","")&amp;IF(B329="","「雇用形態」","")&amp;IF(OR(入力シート!$J$18=入力リスト!$H$9,入力シート!$J$22=入力リスト!$H$9),IF(C329="","「入社年月日」",""),"")&amp;IF(D329="","「性別」","")="","",入力リスト!$K$29),IF(J329,入力リスト!$K$30,"")&amp;IF(I329,入力リスト!$K$31,"")&amp;IF(H329,"「雇用形態」","")&amp;IF(K329,"「性別」","")&amp;IF(L329,"「役職」","")&amp;IF(OR(H329,K329,L329),入力リスト!$K$32,"")))))</f>
        <v/>
      </c>
      <c r="G329" s="209" t="b">
        <f>COUNTIF($A$4:A328,$A329)&gt;0</f>
        <v>0</v>
      </c>
      <c r="H329" s="210" t="b">
        <f>IF($H$1,FALSE,COUNTIF(入力シート!$S$37:$V$62,B329)=0)</f>
        <v>0</v>
      </c>
      <c r="I329" s="210" t="b">
        <f t="shared" si="12"/>
        <v>0</v>
      </c>
      <c r="J329" s="210" t="b">
        <f>IF($J$1,FALSE,IF(I329=TRUE,FALSE,IF(I329,FALSE,C329&gt;入力シート!$J$24)))</f>
        <v>0</v>
      </c>
      <c r="K329" s="210" t="b">
        <f>IF($K$1,FALSE,COUNTIF(入力シート!$AW$37:$BB$38,D329)=0)</f>
        <v>0</v>
      </c>
      <c r="L329" s="210" t="b">
        <f>IF($L$1,FALSE,IF($L$3,FALSE,IF(E329="",FALSE,COUNTIF(入力シート!$AH$37:$AK$62,E329)=0)))</f>
        <v>0</v>
      </c>
      <c r="M329" s="211" t="str">
        <f t="shared" si="11"/>
        <v/>
      </c>
      <c r="N329" s="211"/>
      <c r="O329" s="209" t="str">
        <f>IF(B329="","",VLOOKUP('従業員情報(給与以外)'!$B329,入力シート!$S$37:$Z$62,5,0))</f>
        <v/>
      </c>
      <c r="P329" s="156" t="str">
        <f>IF(ISNUMBER(C329)=FALSE,"",IF(C329&gt;入力シート!$J$24,"",_xlfn.DAYS(入力シート!$J$24,'従業員情報(給与以外)'!$C329)/365))</f>
        <v/>
      </c>
      <c r="Q329" s="210" t="str">
        <f>IF(P329="","",VLOOKUP(_xlfn.DAYS(入力シート!$J$24,'従業員情報(給与以外)'!$C329)/365,入力リスト!$K$18:$L$26,2,2))</f>
        <v/>
      </c>
      <c r="R329" s="209" t="str">
        <f>IF(D329="","",VLOOKUP('従業員情報(給与以外)'!$D329,入力シート!$AW$37:$BB$38,4,0))</f>
        <v/>
      </c>
      <c r="S329" s="209" t="str">
        <f>IF(A329="","",IF(E329="","非役職",VLOOKUP('従業員情報(給与以外)'!$E329,入力シート!$AH$37:$AO$62,5,0)))</f>
        <v/>
      </c>
      <c r="T329" s="102" t="str">
        <f>IF(OR(入力シート!$C$5&lt;&gt;入力リスト!$C$3,COUNTIF(入力シート!$J$16:$S$23,入力リスト!$H$9)=0),"",IF($A329="","",IF(ISERROR(AVERAGEIF(従業員の給与情報!$B:$B,$A329,従業員の給与情報!$C:$C)),0,IF(ISERROR(AVERAGEIF(従業員の給与情報!$B:$B,$A329,従業員の給与情報!$C:$C)),0,AVERAGEIF(従業員の給与情報!$B:$B,$A329,従業員の給与情報!$C:$C)))))</f>
        <v/>
      </c>
      <c r="U329" s="102" t="str">
        <f>IF(OR(入力シート!$C$5&lt;&gt;入力リスト!$C$3,COUNTIF(入力シート!$J$16:$S$23,入力リスト!$H$9)=0),"",IF(A329="","",IF(ISERROR(AVERAGEIF(従業員の給与情報!$B:$B,$A329,従業員の給与情報!$D:$D)),0,IF(ISERROR(AVERAGEIF(従業員の給与情報!$B:$B,$A329,従業員の給与情報!$D:$D)),0,AVERAGEIF(従業員の給与情報!$B:$B,$A329,従業員の給与情報!$D:$D)))))</f>
        <v/>
      </c>
      <c r="V329" s="102" t="str">
        <f>IF(OR(入力シート!$C$5&lt;&gt;入力リスト!$C$3,COUNTIF(入力シート!$J$16:$S$23,入力リスト!$H$9)=0),"",IF(A329="","",IF(ISERROR(AVERAGEIF(従業員の給与情報!$B:$B,$A329,従業員の給与情報!$E:$E)),0,IF(ISERROR(AVERAGEIF(従業員の給与情報!$B:$B,$A329,従業員の給与情報!$E:$E)),0,AVERAGEIF(従業員の給与情報!$B:$B,$A329,従業員の給与情報!$E:$E)))))</f>
        <v/>
      </c>
      <c r="W329" s="103" t="str">
        <f>IF(OR(入力シート!$C$5&lt;&gt;入力リスト!$C$3,COUNTIF(入力シート!$J$16:$S$23,入力リスト!$H$9)=0),"",IF(A329="","",IF(ISERROR(AVERAGEIF(従業員の給与情報!$B:$B,$A329,従業員の給与情報!$F:$F)),0,IF(ISERROR(AVERAGEIF(従業員の給与情報!$B:$B,$A329,従業員の給与情報!$F:$F)),0,AVERAGEIF(従業員の給与情報!$B:$B,$A329,従業員の給与情報!$F:$F)))))</f>
        <v/>
      </c>
    </row>
    <row r="330" spans="1:23" s="10" customFormat="1">
      <c r="A330" s="253"/>
      <c r="B330" s="246"/>
      <c r="C330" s="247"/>
      <c r="D330" s="246"/>
      <c r="E330" s="246"/>
      <c r="F330" s="257" t="str">
        <f>IF($G$1,"",IF(COUNTIF(A330:E330,"")=5,"",IF(G330,入力リスト!$K$28,IF(OR(A330="",B330="",IF(COUNTIF($C$3,"*不要*"),"",C330=""),D330=""),IF(A330="","従業員番号","")&amp;IF(B330="","「雇用形態」","")&amp;IF(OR(入力シート!$J$18=入力リスト!$H$9,入力シート!$J$22=入力リスト!$H$9),IF(C330="","「入社年月日」",""),"")&amp;IF(D330="","「性別」","")&amp;IF(IF(A330="","従業員番号","")&amp;IF(B330="","「雇用形態」","")&amp;IF(OR(入力シート!$J$18=入力リスト!$H$9,入力シート!$J$22=入力リスト!$H$9),IF(C330="","「入社年月日」",""),"")&amp;IF(D330="","「性別」","")="","",入力リスト!$K$29),IF(J330,入力リスト!$K$30,"")&amp;IF(I330,入力リスト!$K$31,"")&amp;IF(H330,"「雇用形態」","")&amp;IF(K330,"「性別」","")&amp;IF(L330,"「役職」","")&amp;IF(OR(H330,K330,L330),入力リスト!$K$32,"")))))</f>
        <v/>
      </c>
      <c r="G330" s="209" t="b">
        <f>COUNTIF($A$4:A329,$A330)&gt;0</f>
        <v>0</v>
      </c>
      <c r="H330" s="210" t="b">
        <f>IF($H$1,FALSE,COUNTIF(入力シート!$S$37:$V$62,B330)=0)</f>
        <v>0</v>
      </c>
      <c r="I330" s="210" t="b">
        <f t="shared" si="12"/>
        <v>0</v>
      </c>
      <c r="J330" s="210" t="b">
        <f>IF($J$1,FALSE,IF(I330=TRUE,FALSE,IF(I330,FALSE,C330&gt;入力シート!$J$24)))</f>
        <v>0</v>
      </c>
      <c r="K330" s="210" t="b">
        <f>IF($K$1,FALSE,COUNTIF(入力シート!$AW$37:$BB$38,D330)=0)</f>
        <v>0</v>
      </c>
      <c r="L330" s="210" t="b">
        <f>IF($L$1,FALSE,IF($L$3,FALSE,IF(E330="",FALSE,COUNTIF(入力シート!$AH$37:$AK$62,E330)=0)))</f>
        <v>0</v>
      </c>
      <c r="M330" s="211" t="str">
        <f t="shared" si="11"/>
        <v/>
      </c>
      <c r="N330" s="211"/>
      <c r="O330" s="209" t="str">
        <f>IF(B330="","",VLOOKUP('従業員情報(給与以外)'!$B330,入力シート!$S$37:$Z$62,5,0))</f>
        <v/>
      </c>
      <c r="P330" s="156" t="str">
        <f>IF(ISNUMBER(C330)=FALSE,"",IF(C330&gt;入力シート!$J$24,"",_xlfn.DAYS(入力シート!$J$24,'従業員情報(給与以外)'!$C330)/365))</f>
        <v/>
      </c>
      <c r="Q330" s="210" t="str">
        <f>IF(P330="","",VLOOKUP(_xlfn.DAYS(入力シート!$J$24,'従業員情報(給与以外)'!$C330)/365,入力リスト!$K$18:$L$26,2,2))</f>
        <v/>
      </c>
      <c r="R330" s="209" t="str">
        <f>IF(D330="","",VLOOKUP('従業員情報(給与以外)'!$D330,入力シート!$AW$37:$BB$38,4,0))</f>
        <v/>
      </c>
      <c r="S330" s="209" t="str">
        <f>IF(A330="","",IF(E330="","非役職",VLOOKUP('従業員情報(給与以外)'!$E330,入力シート!$AH$37:$AO$62,5,0)))</f>
        <v/>
      </c>
      <c r="T330" s="102" t="str">
        <f>IF(OR(入力シート!$C$5&lt;&gt;入力リスト!$C$3,COUNTIF(入力シート!$J$16:$S$23,入力リスト!$H$9)=0),"",IF($A330="","",IF(ISERROR(AVERAGEIF(従業員の給与情報!$B:$B,$A330,従業員の給与情報!$C:$C)),0,IF(ISERROR(AVERAGEIF(従業員の給与情報!$B:$B,$A330,従業員の給与情報!$C:$C)),0,AVERAGEIF(従業員の給与情報!$B:$B,$A330,従業員の給与情報!$C:$C)))))</f>
        <v/>
      </c>
      <c r="U330" s="102" t="str">
        <f>IF(OR(入力シート!$C$5&lt;&gt;入力リスト!$C$3,COUNTIF(入力シート!$J$16:$S$23,入力リスト!$H$9)=0),"",IF(A330="","",IF(ISERROR(AVERAGEIF(従業員の給与情報!$B:$B,$A330,従業員の給与情報!$D:$D)),0,IF(ISERROR(AVERAGEIF(従業員の給与情報!$B:$B,$A330,従業員の給与情報!$D:$D)),0,AVERAGEIF(従業員の給与情報!$B:$B,$A330,従業員の給与情報!$D:$D)))))</f>
        <v/>
      </c>
      <c r="V330" s="102" t="str">
        <f>IF(OR(入力シート!$C$5&lt;&gt;入力リスト!$C$3,COUNTIF(入力シート!$J$16:$S$23,入力リスト!$H$9)=0),"",IF(A330="","",IF(ISERROR(AVERAGEIF(従業員の給与情報!$B:$B,$A330,従業員の給与情報!$E:$E)),0,IF(ISERROR(AVERAGEIF(従業員の給与情報!$B:$B,$A330,従業員の給与情報!$E:$E)),0,AVERAGEIF(従業員の給与情報!$B:$B,$A330,従業員の給与情報!$E:$E)))))</f>
        <v/>
      </c>
      <c r="W330" s="103" t="str">
        <f>IF(OR(入力シート!$C$5&lt;&gt;入力リスト!$C$3,COUNTIF(入力シート!$J$16:$S$23,入力リスト!$H$9)=0),"",IF(A330="","",IF(ISERROR(AVERAGEIF(従業員の給与情報!$B:$B,$A330,従業員の給与情報!$F:$F)),0,IF(ISERROR(AVERAGEIF(従業員の給与情報!$B:$B,$A330,従業員の給与情報!$F:$F)),0,AVERAGEIF(従業員の給与情報!$B:$B,$A330,従業員の給与情報!$F:$F)))))</f>
        <v/>
      </c>
    </row>
    <row r="331" spans="1:23" s="10" customFormat="1">
      <c r="A331" s="253"/>
      <c r="B331" s="246"/>
      <c r="C331" s="247"/>
      <c r="D331" s="246"/>
      <c r="E331" s="246"/>
      <c r="F331" s="257" t="str">
        <f>IF($G$1,"",IF(COUNTIF(A331:E331,"")=5,"",IF(G331,入力リスト!$K$28,IF(OR(A331="",B331="",IF(COUNTIF($C$3,"*不要*"),"",C331=""),D331=""),IF(A331="","従業員番号","")&amp;IF(B331="","「雇用形態」","")&amp;IF(OR(入力シート!$J$18=入力リスト!$H$9,入力シート!$J$22=入力リスト!$H$9),IF(C331="","「入社年月日」",""),"")&amp;IF(D331="","「性別」","")&amp;IF(IF(A331="","従業員番号","")&amp;IF(B331="","「雇用形態」","")&amp;IF(OR(入力シート!$J$18=入力リスト!$H$9,入力シート!$J$22=入力リスト!$H$9),IF(C331="","「入社年月日」",""),"")&amp;IF(D331="","「性別」","")="","",入力リスト!$K$29),IF(J331,入力リスト!$K$30,"")&amp;IF(I331,入力リスト!$K$31,"")&amp;IF(H331,"「雇用形態」","")&amp;IF(K331,"「性別」","")&amp;IF(L331,"「役職」","")&amp;IF(OR(H331,K331,L331),入力リスト!$K$32,"")))))</f>
        <v/>
      </c>
      <c r="G331" s="209" t="b">
        <f>COUNTIF($A$4:A330,$A331)&gt;0</f>
        <v>0</v>
      </c>
      <c r="H331" s="210" t="b">
        <f>IF($H$1,FALSE,COUNTIF(入力シート!$S$37:$V$62,B331)=0)</f>
        <v>0</v>
      </c>
      <c r="I331" s="210" t="b">
        <f t="shared" si="12"/>
        <v>0</v>
      </c>
      <c r="J331" s="210" t="b">
        <f>IF($J$1,FALSE,IF(I331=TRUE,FALSE,IF(I331,FALSE,C331&gt;入力シート!$J$24)))</f>
        <v>0</v>
      </c>
      <c r="K331" s="210" t="b">
        <f>IF($K$1,FALSE,COUNTIF(入力シート!$AW$37:$BB$38,D331)=0)</f>
        <v>0</v>
      </c>
      <c r="L331" s="210" t="b">
        <f>IF($L$1,FALSE,IF($L$3,FALSE,IF(E331="",FALSE,COUNTIF(入力シート!$AH$37:$AK$62,E331)=0)))</f>
        <v>0</v>
      </c>
      <c r="M331" s="211" t="str">
        <f t="shared" si="11"/>
        <v/>
      </c>
      <c r="N331" s="211"/>
      <c r="O331" s="209" t="str">
        <f>IF(B331="","",VLOOKUP('従業員情報(給与以外)'!$B331,入力シート!$S$37:$Z$62,5,0))</f>
        <v/>
      </c>
      <c r="P331" s="156" t="str">
        <f>IF(ISNUMBER(C331)=FALSE,"",IF(C331&gt;入力シート!$J$24,"",_xlfn.DAYS(入力シート!$J$24,'従業員情報(給与以外)'!$C331)/365))</f>
        <v/>
      </c>
      <c r="Q331" s="210" t="str">
        <f>IF(P331="","",VLOOKUP(_xlfn.DAYS(入力シート!$J$24,'従業員情報(給与以外)'!$C331)/365,入力リスト!$K$18:$L$26,2,2))</f>
        <v/>
      </c>
      <c r="R331" s="209" t="str">
        <f>IF(D331="","",VLOOKUP('従業員情報(給与以外)'!$D331,入力シート!$AW$37:$BB$38,4,0))</f>
        <v/>
      </c>
      <c r="S331" s="209" t="str">
        <f>IF(A331="","",IF(E331="","非役職",VLOOKUP('従業員情報(給与以外)'!$E331,入力シート!$AH$37:$AO$62,5,0)))</f>
        <v/>
      </c>
      <c r="T331" s="102" t="str">
        <f>IF(OR(入力シート!$C$5&lt;&gt;入力リスト!$C$3,COUNTIF(入力シート!$J$16:$S$23,入力リスト!$H$9)=0),"",IF($A331="","",IF(ISERROR(AVERAGEIF(従業員の給与情報!$B:$B,$A331,従業員の給与情報!$C:$C)),0,IF(ISERROR(AVERAGEIF(従業員の給与情報!$B:$B,$A331,従業員の給与情報!$C:$C)),0,AVERAGEIF(従業員の給与情報!$B:$B,$A331,従業員の給与情報!$C:$C)))))</f>
        <v/>
      </c>
      <c r="U331" s="102" t="str">
        <f>IF(OR(入力シート!$C$5&lt;&gt;入力リスト!$C$3,COUNTIF(入力シート!$J$16:$S$23,入力リスト!$H$9)=0),"",IF(A331="","",IF(ISERROR(AVERAGEIF(従業員の給与情報!$B:$B,$A331,従業員の給与情報!$D:$D)),0,IF(ISERROR(AVERAGEIF(従業員の給与情報!$B:$B,$A331,従業員の給与情報!$D:$D)),0,AVERAGEIF(従業員の給与情報!$B:$B,$A331,従業員の給与情報!$D:$D)))))</f>
        <v/>
      </c>
      <c r="V331" s="102" t="str">
        <f>IF(OR(入力シート!$C$5&lt;&gt;入力リスト!$C$3,COUNTIF(入力シート!$J$16:$S$23,入力リスト!$H$9)=0),"",IF(A331="","",IF(ISERROR(AVERAGEIF(従業員の給与情報!$B:$B,$A331,従業員の給与情報!$E:$E)),0,IF(ISERROR(AVERAGEIF(従業員の給与情報!$B:$B,$A331,従業員の給与情報!$E:$E)),0,AVERAGEIF(従業員の給与情報!$B:$B,$A331,従業員の給与情報!$E:$E)))))</f>
        <v/>
      </c>
      <c r="W331" s="103" t="str">
        <f>IF(OR(入力シート!$C$5&lt;&gt;入力リスト!$C$3,COUNTIF(入力シート!$J$16:$S$23,入力リスト!$H$9)=0),"",IF(A331="","",IF(ISERROR(AVERAGEIF(従業員の給与情報!$B:$B,$A331,従業員の給与情報!$F:$F)),0,IF(ISERROR(AVERAGEIF(従業員の給与情報!$B:$B,$A331,従業員の給与情報!$F:$F)),0,AVERAGEIF(従業員の給与情報!$B:$B,$A331,従業員の給与情報!$F:$F)))))</f>
        <v/>
      </c>
    </row>
    <row r="332" spans="1:23" s="10" customFormat="1">
      <c r="A332" s="253"/>
      <c r="B332" s="246"/>
      <c r="C332" s="247"/>
      <c r="D332" s="246"/>
      <c r="E332" s="246"/>
      <c r="F332" s="257" t="str">
        <f>IF($G$1,"",IF(COUNTIF(A332:E332,"")=5,"",IF(G332,入力リスト!$K$28,IF(OR(A332="",B332="",IF(COUNTIF($C$3,"*不要*"),"",C332=""),D332=""),IF(A332="","従業員番号","")&amp;IF(B332="","「雇用形態」","")&amp;IF(OR(入力シート!$J$18=入力リスト!$H$9,入力シート!$J$22=入力リスト!$H$9),IF(C332="","「入社年月日」",""),"")&amp;IF(D332="","「性別」","")&amp;IF(IF(A332="","従業員番号","")&amp;IF(B332="","「雇用形態」","")&amp;IF(OR(入力シート!$J$18=入力リスト!$H$9,入力シート!$J$22=入力リスト!$H$9),IF(C332="","「入社年月日」",""),"")&amp;IF(D332="","「性別」","")="","",入力リスト!$K$29),IF(J332,入力リスト!$K$30,"")&amp;IF(I332,入力リスト!$K$31,"")&amp;IF(H332,"「雇用形態」","")&amp;IF(K332,"「性別」","")&amp;IF(L332,"「役職」","")&amp;IF(OR(H332,K332,L332),入力リスト!$K$32,"")))))</f>
        <v/>
      </c>
      <c r="G332" s="209" t="b">
        <f>COUNTIF($A$4:A331,$A332)&gt;0</f>
        <v>0</v>
      </c>
      <c r="H332" s="210" t="b">
        <f>IF($H$1,FALSE,COUNTIF(入力シート!$S$37:$V$62,B332)=0)</f>
        <v>0</v>
      </c>
      <c r="I332" s="210" t="b">
        <f t="shared" si="12"/>
        <v>0</v>
      </c>
      <c r="J332" s="210" t="b">
        <f>IF($J$1,FALSE,IF(I332=TRUE,FALSE,IF(I332,FALSE,C332&gt;入力シート!$J$24)))</f>
        <v>0</v>
      </c>
      <c r="K332" s="210" t="b">
        <f>IF($K$1,FALSE,COUNTIF(入力シート!$AW$37:$BB$38,D332)=0)</f>
        <v>0</v>
      </c>
      <c r="L332" s="210" t="b">
        <f>IF($L$1,FALSE,IF($L$3,FALSE,IF(E332="",FALSE,COUNTIF(入力シート!$AH$37:$AK$62,E332)=0)))</f>
        <v>0</v>
      </c>
      <c r="M332" s="211" t="str">
        <f t="shared" si="11"/>
        <v/>
      </c>
      <c r="N332" s="211"/>
      <c r="O332" s="209" t="str">
        <f>IF(B332="","",VLOOKUP('従業員情報(給与以外)'!$B332,入力シート!$S$37:$Z$62,5,0))</f>
        <v/>
      </c>
      <c r="P332" s="156" t="str">
        <f>IF(ISNUMBER(C332)=FALSE,"",IF(C332&gt;入力シート!$J$24,"",_xlfn.DAYS(入力シート!$J$24,'従業員情報(給与以外)'!$C332)/365))</f>
        <v/>
      </c>
      <c r="Q332" s="210" t="str">
        <f>IF(P332="","",VLOOKUP(_xlfn.DAYS(入力シート!$J$24,'従業員情報(給与以外)'!$C332)/365,入力リスト!$K$18:$L$26,2,2))</f>
        <v/>
      </c>
      <c r="R332" s="209" t="str">
        <f>IF(D332="","",VLOOKUP('従業員情報(給与以外)'!$D332,入力シート!$AW$37:$BB$38,4,0))</f>
        <v/>
      </c>
      <c r="S332" s="209" t="str">
        <f>IF(A332="","",IF(E332="","非役職",VLOOKUP('従業員情報(給与以外)'!$E332,入力シート!$AH$37:$AO$62,5,0)))</f>
        <v/>
      </c>
      <c r="T332" s="102" t="str">
        <f>IF(OR(入力シート!$C$5&lt;&gt;入力リスト!$C$3,COUNTIF(入力シート!$J$16:$S$23,入力リスト!$H$9)=0),"",IF($A332="","",IF(ISERROR(AVERAGEIF(従業員の給与情報!$B:$B,$A332,従業員の給与情報!$C:$C)),0,IF(ISERROR(AVERAGEIF(従業員の給与情報!$B:$B,$A332,従業員の給与情報!$C:$C)),0,AVERAGEIF(従業員の給与情報!$B:$B,$A332,従業員の給与情報!$C:$C)))))</f>
        <v/>
      </c>
      <c r="U332" s="102" t="str">
        <f>IF(OR(入力シート!$C$5&lt;&gt;入力リスト!$C$3,COUNTIF(入力シート!$J$16:$S$23,入力リスト!$H$9)=0),"",IF(A332="","",IF(ISERROR(AVERAGEIF(従業員の給与情報!$B:$B,$A332,従業員の給与情報!$D:$D)),0,IF(ISERROR(AVERAGEIF(従業員の給与情報!$B:$B,$A332,従業員の給与情報!$D:$D)),0,AVERAGEIF(従業員の給与情報!$B:$B,$A332,従業員の給与情報!$D:$D)))))</f>
        <v/>
      </c>
      <c r="V332" s="102" t="str">
        <f>IF(OR(入力シート!$C$5&lt;&gt;入力リスト!$C$3,COUNTIF(入力シート!$J$16:$S$23,入力リスト!$H$9)=0),"",IF(A332="","",IF(ISERROR(AVERAGEIF(従業員の給与情報!$B:$B,$A332,従業員の給与情報!$E:$E)),0,IF(ISERROR(AVERAGEIF(従業員の給与情報!$B:$B,$A332,従業員の給与情報!$E:$E)),0,AVERAGEIF(従業員の給与情報!$B:$B,$A332,従業員の給与情報!$E:$E)))))</f>
        <v/>
      </c>
      <c r="W332" s="103" t="str">
        <f>IF(OR(入力シート!$C$5&lt;&gt;入力リスト!$C$3,COUNTIF(入力シート!$J$16:$S$23,入力リスト!$H$9)=0),"",IF(A332="","",IF(ISERROR(AVERAGEIF(従業員の給与情報!$B:$B,$A332,従業員の給与情報!$F:$F)),0,IF(ISERROR(AVERAGEIF(従業員の給与情報!$B:$B,$A332,従業員の給与情報!$F:$F)),0,AVERAGEIF(従業員の給与情報!$B:$B,$A332,従業員の給与情報!$F:$F)))))</f>
        <v/>
      </c>
    </row>
    <row r="333" spans="1:23" s="10" customFormat="1">
      <c r="A333" s="253"/>
      <c r="B333" s="246"/>
      <c r="C333" s="247"/>
      <c r="D333" s="246"/>
      <c r="E333" s="246"/>
      <c r="F333" s="257" t="str">
        <f>IF($G$1,"",IF(COUNTIF(A333:E333,"")=5,"",IF(G333,入力リスト!$K$28,IF(OR(A333="",B333="",IF(COUNTIF($C$3,"*不要*"),"",C333=""),D333=""),IF(A333="","従業員番号","")&amp;IF(B333="","「雇用形態」","")&amp;IF(OR(入力シート!$J$18=入力リスト!$H$9,入力シート!$J$22=入力リスト!$H$9),IF(C333="","「入社年月日」",""),"")&amp;IF(D333="","「性別」","")&amp;IF(IF(A333="","従業員番号","")&amp;IF(B333="","「雇用形態」","")&amp;IF(OR(入力シート!$J$18=入力リスト!$H$9,入力シート!$J$22=入力リスト!$H$9),IF(C333="","「入社年月日」",""),"")&amp;IF(D333="","「性別」","")="","",入力リスト!$K$29),IF(J333,入力リスト!$K$30,"")&amp;IF(I333,入力リスト!$K$31,"")&amp;IF(H333,"「雇用形態」","")&amp;IF(K333,"「性別」","")&amp;IF(L333,"「役職」","")&amp;IF(OR(H333,K333,L333),入力リスト!$K$32,"")))))</f>
        <v/>
      </c>
      <c r="G333" s="209" t="b">
        <f>COUNTIF($A$4:A332,$A333)&gt;0</f>
        <v>0</v>
      </c>
      <c r="H333" s="210" t="b">
        <f>IF($H$1,FALSE,COUNTIF(入力シート!$S$37:$V$62,B333)=0)</f>
        <v>0</v>
      </c>
      <c r="I333" s="210" t="b">
        <f t="shared" si="12"/>
        <v>0</v>
      </c>
      <c r="J333" s="210" t="b">
        <f>IF($J$1,FALSE,IF(I333=TRUE,FALSE,IF(I333,FALSE,C333&gt;入力シート!$J$24)))</f>
        <v>0</v>
      </c>
      <c r="K333" s="210" t="b">
        <f>IF($K$1,FALSE,COUNTIF(入力シート!$AW$37:$BB$38,D333)=0)</f>
        <v>0</v>
      </c>
      <c r="L333" s="210" t="b">
        <f>IF($L$1,FALSE,IF($L$3,FALSE,IF(E333="",FALSE,COUNTIF(入力シート!$AH$37:$AK$62,E333)=0)))</f>
        <v>0</v>
      </c>
      <c r="M333" s="211" t="str">
        <f t="shared" si="11"/>
        <v/>
      </c>
      <c r="N333" s="211"/>
      <c r="O333" s="209" t="str">
        <f>IF(B333="","",VLOOKUP('従業員情報(給与以外)'!$B333,入力シート!$S$37:$Z$62,5,0))</f>
        <v/>
      </c>
      <c r="P333" s="156" t="str">
        <f>IF(ISNUMBER(C333)=FALSE,"",IF(C333&gt;入力シート!$J$24,"",_xlfn.DAYS(入力シート!$J$24,'従業員情報(給与以外)'!$C333)/365))</f>
        <v/>
      </c>
      <c r="Q333" s="210" t="str">
        <f>IF(P333="","",VLOOKUP(_xlfn.DAYS(入力シート!$J$24,'従業員情報(給与以外)'!$C333)/365,入力リスト!$K$18:$L$26,2,2))</f>
        <v/>
      </c>
      <c r="R333" s="209" t="str">
        <f>IF(D333="","",VLOOKUP('従業員情報(給与以外)'!$D333,入力シート!$AW$37:$BB$38,4,0))</f>
        <v/>
      </c>
      <c r="S333" s="209" t="str">
        <f>IF(A333="","",IF(E333="","非役職",VLOOKUP('従業員情報(給与以外)'!$E333,入力シート!$AH$37:$AO$62,5,0)))</f>
        <v/>
      </c>
      <c r="T333" s="102" t="str">
        <f>IF(OR(入力シート!$C$5&lt;&gt;入力リスト!$C$3,COUNTIF(入力シート!$J$16:$S$23,入力リスト!$H$9)=0),"",IF($A333="","",IF(ISERROR(AVERAGEIF(従業員の給与情報!$B:$B,$A333,従業員の給与情報!$C:$C)),0,IF(ISERROR(AVERAGEIF(従業員の給与情報!$B:$B,$A333,従業員の給与情報!$C:$C)),0,AVERAGEIF(従業員の給与情報!$B:$B,$A333,従業員の給与情報!$C:$C)))))</f>
        <v/>
      </c>
      <c r="U333" s="102" t="str">
        <f>IF(OR(入力シート!$C$5&lt;&gt;入力リスト!$C$3,COUNTIF(入力シート!$J$16:$S$23,入力リスト!$H$9)=0),"",IF(A333="","",IF(ISERROR(AVERAGEIF(従業員の給与情報!$B:$B,$A333,従業員の給与情報!$D:$D)),0,IF(ISERROR(AVERAGEIF(従業員の給与情報!$B:$B,$A333,従業員の給与情報!$D:$D)),0,AVERAGEIF(従業員の給与情報!$B:$B,$A333,従業員の給与情報!$D:$D)))))</f>
        <v/>
      </c>
      <c r="V333" s="102" t="str">
        <f>IF(OR(入力シート!$C$5&lt;&gt;入力リスト!$C$3,COUNTIF(入力シート!$J$16:$S$23,入力リスト!$H$9)=0),"",IF(A333="","",IF(ISERROR(AVERAGEIF(従業員の給与情報!$B:$B,$A333,従業員の給与情報!$E:$E)),0,IF(ISERROR(AVERAGEIF(従業員の給与情報!$B:$B,$A333,従業員の給与情報!$E:$E)),0,AVERAGEIF(従業員の給与情報!$B:$B,$A333,従業員の給与情報!$E:$E)))))</f>
        <v/>
      </c>
      <c r="W333" s="103" t="str">
        <f>IF(OR(入力シート!$C$5&lt;&gt;入力リスト!$C$3,COUNTIF(入力シート!$J$16:$S$23,入力リスト!$H$9)=0),"",IF(A333="","",IF(ISERROR(AVERAGEIF(従業員の給与情報!$B:$B,$A333,従業員の給与情報!$F:$F)),0,IF(ISERROR(AVERAGEIF(従業員の給与情報!$B:$B,$A333,従業員の給与情報!$F:$F)),0,AVERAGEIF(従業員の給与情報!$B:$B,$A333,従業員の給与情報!$F:$F)))))</f>
        <v/>
      </c>
    </row>
    <row r="334" spans="1:23" s="10" customFormat="1">
      <c r="A334" s="253"/>
      <c r="B334" s="246"/>
      <c r="C334" s="247"/>
      <c r="D334" s="246"/>
      <c r="E334" s="246"/>
      <c r="F334" s="257" t="str">
        <f>IF($G$1,"",IF(COUNTIF(A334:E334,"")=5,"",IF(G334,入力リスト!$K$28,IF(OR(A334="",B334="",IF(COUNTIF($C$3,"*不要*"),"",C334=""),D334=""),IF(A334="","従業員番号","")&amp;IF(B334="","「雇用形態」","")&amp;IF(OR(入力シート!$J$18=入力リスト!$H$9,入力シート!$J$22=入力リスト!$H$9),IF(C334="","「入社年月日」",""),"")&amp;IF(D334="","「性別」","")&amp;IF(IF(A334="","従業員番号","")&amp;IF(B334="","「雇用形態」","")&amp;IF(OR(入力シート!$J$18=入力リスト!$H$9,入力シート!$J$22=入力リスト!$H$9),IF(C334="","「入社年月日」",""),"")&amp;IF(D334="","「性別」","")="","",入力リスト!$K$29),IF(J334,入力リスト!$K$30,"")&amp;IF(I334,入力リスト!$K$31,"")&amp;IF(H334,"「雇用形態」","")&amp;IF(K334,"「性別」","")&amp;IF(L334,"「役職」","")&amp;IF(OR(H334,K334,L334),入力リスト!$K$32,"")))))</f>
        <v/>
      </c>
      <c r="G334" s="209" t="b">
        <f>COUNTIF($A$4:A333,$A334)&gt;0</f>
        <v>0</v>
      </c>
      <c r="H334" s="210" t="b">
        <f>IF($H$1,FALSE,COUNTIF(入力シート!$S$37:$V$62,B334)=0)</f>
        <v>0</v>
      </c>
      <c r="I334" s="210" t="b">
        <f t="shared" si="12"/>
        <v>0</v>
      </c>
      <c r="J334" s="210" t="b">
        <f>IF($J$1,FALSE,IF(I334=TRUE,FALSE,IF(I334,FALSE,C334&gt;入力シート!$J$24)))</f>
        <v>0</v>
      </c>
      <c r="K334" s="210" t="b">
        <f>IF($K$1,FALSE,COUNTIF(入力シート!$AW$37:$BB$38,D334)=0)</f>
        <v>0</v>
      </c>
      <c r="L334" s="210" t="b">
        <f>IF($L$1,FALSE,IF($L$3,FALSE,IF(E334="",FALSE,COUNTIF(入力シート!$AH$37:$AK$62,E334)=0)))</f>
        <v>0</v>
      </c>
      <c r="M334" s="211" t="str">
        <f t="shared" si="11"/>
        <v/>
      </c>
      <c r="N334" s="211"/>
      <c r="O334" s="209" t="str">
        <f>IF(B334="","",VLOOKUP('従業員情報(給与以外)'!$B334,入力シート!$S$37:$Z$62,5,0))</f>
        <v/>
      </c>
      <c r="P334" s="156" t="str">
        <f>IF(ISNUMBER(C334)=FALSE,"",IF(C334&gt;入力シート!$J$24,"",_xlfn.DAYS(入力シート!$J$24,'従業員情報(給与以外)'!$C334)/365))</f>
        <v/>
      </c>
      <c r="Q334" s="210" t="str">
        <f>IF(P334="","",VLOOKUP(_xlfn.DAYS(入力シート!$J$24,'従業員情報(給与以外)'!$C334)/365,入力リスト!$K$18:$L$26,2,2))</f>
        <v/>
      </c>
      <c r="R334" s="209" t="str">
        <f>IF(D334="","",VLOOKUP('従業員情報(給与以外)'!$D334,入力シート!$AW$37:$BB$38,4,0))</f>
        <v/>
      </c>
      <c r="S334" s="209" t="str">
        <f>IF(A334="","",IF(E334="","非役職",VLOOKUP('従業員情報(給与以外)'!$E334,入力シート!$AH$37:$AO$62,5,0)))</f>
        <v/>
      </c>
      <c r="T334" s="102" t="str">
        <f>IF(OR(入力シート!$C$5&lt;&gt;入力リスト!$C$3,COUNTIF(入力シート!$J$16:$S$23,入力リスト!$H$9)=0),"",IF($A334="","",IF(ISERROR(AVERAGEIF(従業員の給与情報!$B:$B,$A334,従業員の給与情報!$C:$C)),0,IF(ISERROR(AVERAGEIF(従業員の給与情報!$B:$B,$A334,従業員の給与情報!$C:$C)),0,AVERAGEIF(従業員の給与情報!$B:$B,$A334,従業員の給与情報!$C:$C)))))</f>
        <v/>
      </c>
      <c r="U334" s="102" t="str">
        <f>IF(OR(入力シート!$C$5&lt;&gt;入力リスト!$C$3,COUNTIF(入力シート!$J$16:$S$23,入力リスト!$H$9)=0),"",IF(A334="","",IF(ISERROR(AVERAGEIF(従業員の給与情報!$B:$B,$A334,従業員の給与情報!$D:$D)),0,IF(ISERROR(AVERAGEIF(従業員の給与情報!$B:$B,$A334,従業員の給与情報!$D:$D)),0,AVERAGEIF(従業員の給与情報!$B:$B,$A334,従業員の給与情報!$D:$D)))))</f>
        <v/>
      </c>
      <c r="V334" s="102" t="str">
        <f>IF(OR(入力シート!$C$5&lt;&gt;入力リスト!$C$3,COUNTIF(入力シート!$J$16:$S$23,入力リスト!$H$9)=0),"",IF(A334="","",IF(ISERROR(AVERAGEIF(従業員の給与情報!$B:$B,$A334,従業員の給与情報!$E:$E)),0,IF(ISERROR(AVERAGEIF(従業員の給与情報!$B:$B,$A334,従業員の給与情報!$E:$E)),0,AVERAGEIF(従業員の給与情報!$B:$B,$A334,従業員の給与情報!$E:$E)))))</f>
        <v/>
      </c>
      <c r="W334" s="103" t="str">
        <f>IF(OR(入力シート!$C$5&lt;&gt;入力リスト!$C$3,COUNTIF(入力シート!$J$16:$S$23,入力リスト!$H$9)=0),"",IF(A334="","",IF(ISERROR(AVERAGEIF(従業員の給与情報!$B:$B,$A334,従業員の給与情報!$F:$F)),0,IF(ISERROR(AVERAGEIF(従業員の給与情報!$B:$B,$A334,従業員の給与情報!$F:$F)),0,AVERAGEIF(従業員の給与情報!$B:$B,$A334,従業員の給与情報!$F:$F)))))</f>
        <v/>
      </c>
    </row>
    <row r="335" spans="1:23" s="10" customFormat="1">
      <c r="A335" s="253"/>
      <c r="B335" s="246"/>
      <c r="C335" s="247"/>
      <c r="D335" s="246"/>
      <c r="E335" s="246"/>
      <c r="F335" s="257" t="str">
        <f>IF($G$1,"",IF(COUNTIF(A335:E335,"")=5,"",IF(G335,入力リスト!$K$28,IF(OR(A335="",B335="",IF(COUNTIF($C$3,"*不要*"),"",C335=""),D335=""),IF(A335="","従業員番号","")&amp;IF(B335="","「雇用形態」","")&amp;IF(OR(入力シート!$J$18=入力リスト!$H$9,入力シート!$J$22=入力リスト!$H$9),IF(C335="","「入社年月日」",""),"")&amp;IF(D335="","「性別」","")&amp;IF(IF(A335="","従業員番号","")&amp;IF(B335="","「雇用形態」","")&amp;IF(OR(入力シート!$J$18=入力リスト!$H$9,入力シート!$J$22=入力リスト!$H$9),IF(C335="","「入社年月日」",""),"")&amp;IF(D335="","「性別」","")="","",入力リスト!$K$29),IF(J335,入力リスト!$K$30,"")&amp;IF(I335,入力リスト!$K$31,"")&amp;IF(H335,"「雇用形態」","")&amp;IF(K335,"「性別」","")&amp;IF(L335,"「役職」","")&amp;IF(OR(H335,K335,L335),入力リスト!$K$32,"")))))</f>
        <v/>
      </c>
      <c r="G335" s="209" t="b">
        <f>COUNTIF($A$4:A334,$A335)&gt;0</f>
        <v>0</v>
      </c>
      <c r="H335" s="210" t="b">
        <f>IF($H$1,FALSE,COUNTIF(入力シート!$S$37:$V$62,B335)=0)</f>
        <v>0</v>
      </c>
      <c r="I335" s="210" t="b">
        <f t="shared" si="12"/>
        <v>0</v>
      </c>
      <c r="J335" s="210" t="b">
        <f>IF($J$1,FALSE,IF(I335=TRUE,FALSE,IF(I335,FALSE,C335&gt;入力シート!$J$24)))</f>
        <v>0</v>
      </c>
      <c r="K335" s="210" t="b">
        <f>IF($K$1,FALSE,COUNTIF(入力シート!$AW$37:$BB$38,D335)=0)</f>
        <v>0</v>
      </c>
      <c r="L335" s="210" t="b">
        <f>IF($L$1,FALSE,IF($L$3,FALSE,IF(E335="",FALSE,COUNTIF(入力シート!$AH$37:$AK$62,E335)=0)))</f>
        <v>0</v>
      </c>
      <c r="M335" s="211" t="str">
        <f t="shared" si="11"/>
        <v/>
      </c>
      <c r="N335" s="211"/>
      <c r="O335" s="209" t="str">
        <f>IF(B335="","",VLOOKUP('従業員情報(給与以外)'!$B335,入力シート!$S$37:$Z$62,5,0))</f>
        <v/>
      </c>
      <c r="P335" s="156" t="str">
        <f>IF(ISNUMBER(C335)=FALSE,"",IF(C335&gt;入力シート!$J$24,"",_xlfn.DAYS(入力シート!$J$24,'従業員情報(給与以外)'!$C335)/365))</f>
        <v/>
      </c>
      <c r="Q335" s="210" t="str">
        <f>IF(P335="","",VLOOKUP(_xlfn.DAYS(入力シート!$J$24,'従業員情報(給与以外)'!$C335)/365,入力リスト!$K$18:$L$26,2,2))</f>
        <v/>
      </c>
      <c r="R335" s="209" t="str">
        <f>IF(D335="","",VLOOKUP('従業員情報(給与以外)'!$D335,入力シート!$AW$37:$BB$38,4,0))</f>
        <v/>
      </c>
      <c r="S335" s="209" t="str">
        <f>IF(A335="","",IF(E335="","非役職",VLOOKUP('従業員情報(給与以外)'!$E335,入力シート!$AH$37:$AO$62,5,0)))</f>
        <v/>
      </c>
      <c r="T335" s="102" t="str">
        <f>IF(OR(入力シート!$C$5&lt;&gt;入力リスト!$C$3,COUNTIF(入力シート!$J$16:$S$23,入力リスト!$H$9)=0),"",IF($A335="","",IF(ISERROR(AVERAGEIF(従業員の給与情報!$B:$B,$A335,従業員の給与情報!$C:$C)),0,IF(ISERROR(AVERAGEIF(従業員の給与情報!$B:$B,$A335,従業員の給与情報!$C:$C)),0,AVERAGEIF(従業員の給与情報!$B:$B,$A335,従業員の給与情報!$C:$C)))))</f>
        <v/>
      </c>
      <c r="U335" s="102" t="str">
        <f>IF(OR(入力シート!$C$5&lt;&gt;入力リスト!$C$3,COUNTIF(入力シート!$J$16:$S$23,入力リスト!$H$9)=0),"",IF(A335="","",IF(ISERROR(AVERAGEIF(従業員の給与情報!$B:$B,$A335,従業員の給与情報!$D:$D)),0,IF(ISERROR(AVERAGEIF(従業員の給与情報!$B:$B,$A335,従業員の給与情報!$D:$D)),0,AVERAGEIF(従業員の給与情報!$B:$B,$A335,従業員の給与情報!$D:$D)))))</f>
        <v/>
      </c>
      <c r="V335" s="102" t="str">
        <f>IF(OR(入力シート!$C$5&lt;&gt;入力リスト!$C$3,COUNTIF(入力シート!$J$16:$S$23,入力リスト!$H$9)=0),"",IF(A335="","",IF(ISERROR(AVERAGEIF(従業員の給与情報!$B:$B,$A335,従業員の給与情報!$E:$E)),0,IF(ISERROR(AVERAGEIF(従業員の給与情報!$B:$B,$A335,従業員の給与情報!$E:$E)),0,AVERAGEIF(従業員の給与情報!$B:$B,$A335,従業員の給与情報!$E:$E)))))</f>
        <v/>
      </c>
      <c r="W335" s="103" t="str">
        <f>IF(OR(入力シート!$C$5&lt;&gt;入力リスト!$C$3,COUNTIF(入力シート!$J$16:$S$23,入力リスト!$H$9)=0),"",IF(A335="","",IF(ISERROR(AVERAGEIF(従業員の給与情報!$B:$B,$A335,従業員の給与情報!$F:$F)),0,IF(ISERROR(AVERAGEIF(従業員の給与情報!$B:$B,$A335,従業員の給与情報!$F:$F)),0,AVERAGEIF(従業員の給与情報!$B:$B,$A335,従業員の給与情報!$F:$F)))))</f>
        <v/>
      </c>
    </row>
    <row r="336" spans="1:23" s="10" customFormat="1">
      <c r="A336" s="253"/>
      <c r="B336" s="246"/>
      <c r="C336" s="247"/>
      <c r="D336" s="246"/>
      <c r="E336" s="246"/>
      <c r="F336" s="257" t="str">
        <f>IF($G$1,"",IF(COUNTIF(A336:E336,"")=5,"",IF(G336,入力リスト!$K$28,IF(OR(A336="",B336="",IF(COUNTIF($C$3,"*不要*"),"",C336=""),D336=""),IF(A336="","従業員番号","")&amp;IF(B336="","「雇用形態」","")&amp;IF(OR(入力シート!$J$18=入力リスト!$H$9,入力シート!$J$22=入力リスト!$H$9),IF(C336="","「入社年月日」",""),"")&amp;IF(D336="","「性別」","")&amp;IF(IF(A336="","従業員番号","")&amp;IF(B336="","「雇用形態」","")&amp;IF(OR(入力シート!$J$18=入力リスト!$H$9,入力シート!$J$22=入力リスト!$H$9),IF(C336="","「入社年月日」",""),"")&amp;IF(D336="","「性別」","")="","",入力リスト!$K$29),IF(J336,入力リスト!$K$30,"")&amp;IF(I336,入力リスト!$K$31,"")&amp;IF(H336,"「雇用形態」","")&amp;IF(K336,"「性別」","")&amp;IF(L336,"「役職」","")&amp;IF(OR(H336,K336,L336),入力リスト!$K$32,"")))))</f>
        <v/>
      </c>
      <c r="G336" s="209" t="b">
        <f>COUNTIF($A$4:A335,$A336)&gt;0</f>
        <v>0</v>
      </c>
      <c r="H336" s="210" t="b">
        <f>IF($H$1,FALSE,COUNTIF(入力シート!$S$37:$V$62,B336)=0)</f>
        <v>0</v>
      </c>
      <c r="I336" s="210" t="b">
        <f t="shared" si="12"/>
        <v>0</v>
      </c>
      <c r="J336" s="210" t="b">
        <f>IF($J$1,FALSE,IF(I336=TRUE,FALSE,IF(I336,FALSE,C336&gt;入力シート!$J$24)))</f>
        <v>0</v>
      </c>
      <c r="K336" s="210" t="b">
        <f>IF($K$1,FALSE,COUNTIF(入力シート!$AW$37:$BB$38,D336)=0)</f>
        <v>0</v>
      </c>
      <c r="L336" s="210" t="b">
        <f>IF($L$1,FALSE,IF($L$3,FALSE,IF(E336="",FALSE,COUNTIF(入力シート!$AH$37:$AK$62,E336)=0)))</f>
        <v>0</v>
      </c>
      <c r="M336" s="211" t="str">
        <f t="shared" si="11"/>
        <v/>
      </c>
      <c r="N336" s="211"/>
      <c r="O336" s="209" t="str">
        <f>IF(B336="","",VLOOKUP('従業員情報(給与以外)'!$B336,入力シート!$S$37:$Z$62,5,0))</f>
        <v/>
      </c>
      <c r="P336" s="156" t="str">
        <f>IF(ISNUMBER(C336)=FALSE,"",IF(C336&gt;入力シート!$J$24,"",_xlfn.DAYS(入力シート!$J$24,'従業員情報(給与以外)'!$C336)/365))</f>
        <v/>
      </c>
      <c r="Q336" s="210" t="str">
        <f>IF(P336="","",VLOOKUP(_xlfn.DAYS(入力シート!$J$24,'従業員情報(給与以外)'!$C336)/365,入力リスト!$K$18:$L$26,2,2))</f>
        <v/>
      </c>
      <c r="R336" s="209" t="str">
        <f>IF(D336="","",VLOOKUP('従業員情報(給与以外)'!$D336,入力シート!$AW$37:$BB$38,4,0))</f>
        <v/>
      </c>
      <c r="S336" s="209" t="str">
        <f>IF(A336="","",IF(E336="","非役職",VLOOKUP('従業員情報(給与以外)'!$E336,入力シート!$AH$37:$AO$62,5,0)))</f>
        <v/>
      </c>
      <c r="T336" s="102" t="str">
        <f>IF(OR(入力シート!$C$5&lt;&gt;入力リスト!$C$3,COUNTIF(入力シート!$J$16:$S$23,入力リスト!$H$9)=0),"",IF($A336="","",IF(ISERROR(AVERAGEIF(従業員の給与情報!$B:$B,$A336,従業員の給与情報!$C:$C)),0,IF(ISERROR(AVERAGEIF(従業員の給与情報!$B:$B,$A336,従業員の給与情報!$C:$C)),0,AVERAGEIF(従業員の給与情報!$B:$B,$A336,従業員の給与情報!$C:$C)))))</f>
        <v/>
      </c>
      <c r="U336" s="102" t="str">
        <f>IF(OR(入力シート!$C$5&lt;&gt;入力リスト!$C$3,COUNTIF(入力シート!$J$16:$S$23,入力リスト!$H$9)=0),"",IF(A336="","",IF(ISERROR(AVERAGEIF(従業員の給与情報!$B:$B,$A336,従業員の給与情報!$D:$D)),0,IF(ISERROR(AVERAGEIF(従業員の給与情報!$B:$B,$A336,従業員の給与情報!$D:$D)),0,AVERAGEIF(従業員の給与情報!$B:$B,$A336,従業員の給与情報!$D:$D)))))</f>
        <v/>
      </c>
      <c r="V336" s="102" t="str">
        <f>IF(OR(入力シート!$C$5&lt;&gt;入力リスト!$C$3,COUNTIF(入力シート!$J$16:$S$23,入力リスト!$H$9)=0),"",IF(A336="","",IF(ISERROR(AVERAGEIF(従業員の給与情報!$B:$B,$A336,従業員の給与情報!$E:$E)),0,IF(ISERROR(AVERAGEIF(従業員の給与情報!$B:$B,$A336,従業員の給与情報!$E:$E)),0,AVERAGEIF(従業員の給与情報!$B:$B,$A336,従業員の給与情報!$E:$E)))))</f>
        <v/>
      </c>
      <c r="W336" s="103" t="str">
        <f>IF(OR(入力シート!$C$5&lt;&gt;入力リスト!$C$3,COUNTIF(入力シート!$J$16:$S$23,入力リスト!$H$9)=0),"",IF(A336="","",IF(ISERROR(AVERAGEIF(従業員の給与情報!$B:$B,$A336,従業員の給与情報!$F:$F)),0,IF(ISERROR(AVERAGEIF(従業員の給与情報!$B:$B,$A336,従業員の給与情報!$F:$F)),0,AVERAGEIF(従業員の給与情報!$B:$B,$A336,従業員の給与情報!$F:$F)))))</f>
        <v/>
      </c>
    </row>
    <row r="337" spans="1:23" s="10" customFormat="1">
      <c r="A337" s="253"/>
      <c r="B337" s="246"/>
      <c r="C337" s="247"/>
      <c r="D337" s="246"/>
      <c r="E337" s="246"/>
      <c r="F337" s="257" t="str">
        <f>IF($G$1,"",IF(COUNTIF(A337:E337,"")=5,"",IF(G337,入力リスト!$K$28,IF(OR(A337="",B337="",IF(COUNTIF($C$3,"*不要*"),"",C337=""),D337=""),IF(A337="","従業員番号","")&amp;IF(B337="","「雇用形態」","")&amp;IF(OR(入力シート!$J$18=入力リスト!$H$9,入力シート!$J$22=入力リスト!$H$9),IF(C337="","「入社年月日」",""),"")&amp;IF(D337="","「性別」","")&amp;IF(IF(A337="","従業員番号","")&amp;IF(B337="","「雇用形態」","")&amp;IF(OR(入力シート!$J$18=入力リスト!$H$9,入力シート!$J$22=入力リスト!$H$9),IF(C337="","「入社年月日」",""),"")&amp;IF(D337="","「性別」","")="","",入力リスト!$K$29),IF(J337,入力リスト!$K$30,"")&amp;IF(I337,入力リスト!$K$31,"")&amp;IF(H337,"「雇用形態」","")&amp;IF(K337,"「性別」","")&amp;IF(L337,"「役職」","")&amp;IF(OR(H337,K337,L337),入力リスト!$K$32,"")))))</f>
        <v/>
      </c>
      <c r="G337" s="209" t="b">
        <f>COUNTIF($A$4:A336,$A337)&gt;0</f>
        <v>0</v>
      </c>
      <c r="H337" s="210" t="b">
        <f>IF($H$1,FALSE,COUNTIF(入力シート!$S$37:$V$62,B337)=0)</f>
        <v>0</v>
      </c>
      <c r="I337" s="210" t="b">
        <f t="shared" si="12"/>
        <v>0</v>
      </c>
      <c r="J337" s="210" t="b">
        <f>IF($J$1,FALSE,IF(I337=TRUE,FALSE,IF(I337,FALSE,C337&gt;入力シート!$J$24)))</f>
        <v>0</v>
      </c>
      <c r="K337" s="210" t="b">
        <f>IF($K$1,FALSE,COUNTIF(入力シート!$AW$37:$BB$38,D337)=0)</f>
        <v>0</v>
      </c>
      <c r="L337" s="210" t="b">
        <f>IF($L$1,FALSE,IF($L$3,FALSE,IF(E337="",FALSE,COUNTIF(入力シート!$AH$37:$AK$62,E337)=0)))</f>
        <v>0</v>
      </c>
      <c r="M337" s="211" t="str">
        <f t="shared" si="11"/>
        <v/>
      </c>
      <c r="N337" s="211"/>
      <c r="O337" s="209" t="str">
        <f>IF(B337="","",VLOOKUP('従業員情報(給与以外)'!$B337,入力シート!$S$37:$Z$62,5,0))</f>
        <v/>
      </c>
      <c r="P337" s="156" t="str">
        <f>IF(ISNUMBER(C337)=FALSE,"",IF(C337&gt;入力シート!$J$24,"",_xlfn.DAYS(入力シート!$J$24,'従業員情報(給与以外)'!$C337)/365))</f>
        <v/>
      </c>
      <c r="Q337" s="210" t="str">
        <f>IF(P337="","",VLOOKUP(_xlfn.DAYS(入力シート!$J$24,'従業員情報(給与以外)'!$C337)/365,入力リスト!$K$18:$L$26,2,2))</f>
        <v/>
      </c>
      <c r="R337" s="209" t="str">
        <f>IF(D337="","",VLOOKUP('従業員情報(給与以外)'!$D337,入力シート!$AW$37:$BB$38,4,0))</f>
        <v/>
      </c>
      <c r="S337" s="209" t="str">
        <f>IF(A337="","",IF(E337="","非役職",VLOOKUP('従業員情報(給与以外)'!$E337,入力シート!$AH$37:$AO$62,5,0)))</f>
        <v/>
      </c>
      <c r="T337" s="102" t="str">
        <f>IF(OR(入力シート!$C$5&lt;&gt;入力リスト!$C$3,COUNTIF(入力シート!$J$16:$S$23,入力リスト!$H$9)=0),"",IF($A337="","",IF(ISERROR(AVERAGEIF(従業員の給与情報!$B:$B,$A337,従業員の給与情報!$C:$C)),0,IF(ISERROR(AVERAGEIF(従業員の給与情報!$B:$B,$A337,従業員の給与情報!$C:$C)),0,AVERAGEIF(従業員の給与情報!$B:$B,$A337,従業員の給与情報!$C:$C)))))</f>
        <v/>
      </c>
      <c r="U337" s="102" t="str">
        <f>IF(OR(入力シート!$C$5&lt;&gt;入力リスト!$C$3,COUNTIF(入力シート!$J$16:$S$23,入力リスト!$H$9)=0),"",IF(A337="","",IF(ISERROR(AVERAGEIF(従業員の給与情報!$B:$B,$A337,従業員の給与情報!$D:$D)),0,IF(ISERROR(AVERAGEIF(従業員の給与情報!$B:$B,$A337,従業員の給与情報!$D:$D)),0,AVERAGEIF(従業員の給与情報!$B:$B,$A337,従業員の給与情報!$D:$D)))))</f>
        <v/>
      </c>
      <c r="V337" s="102" t="str">
        <f>IF(OR(入力シート!$C$5&lt;&gt;入力リスト!$C$3,COUNTIF(入力シート!$J$16:$S$23,入力リスト!$H$9)=0),"",IF(A337="","",IF(ISERROR(AVERAGEIF(従業員の給与情報!$B:$B,$A337,従業員の給与情報!$E:$E)),0,IF(ISERROR(AVERAGEIF(従業員の給与情報!$B:$B,$A337,従業員の給与情報!$E:$E)),0,AVERAGEIF(従業員の給与情報!$B:$B,$A337,従業員の給与情報!$E:$E)))))</f>
        <v/>
      </c>
      <c r="W337" s="103" t="str">
        <f>IF(OR(入力シート!$C$5&lt;&gt;入力リスト!$C$3,COUNTIF(入力シート!$J$16:$S$23,入力リスト!$H$9)=0),"",IF(A337="","",IF(ISERROR(AVERAGEIF(従業員の給与情報!$B:$B,$A337,従業員の給与情報!$F:$F)),0,IF(ISERROR(AVERAGEIF(従業員の給与情報!$B:$B,$A337,従業員の給与情報!$F:$F)),0,AVERAGEIF(従業員の給与情報!$B:$B,$A337,従業員の給与情報!$F:$F)))))</f>
        <v/>
      </c>
    </row>
    <row r="338" spans="1:23" s="10" customFormat="1">
      <c r="A338" s="253"/>
      <c r="B338" s="246"/>
      <c r="C338" s="247"/>
      <c r="D338" s="246"/>
      <c r="E338" s="246"/>
      <c r="F338" s="257" t="str">
        <f>IF($G$1,"",IF(COUNTIF(A338:E338,"")=5,"",IF(G338,入力リスト!$K$28,IF(OR(A338="",B338="",IF(COUNTIF($C$3,"*不要*"),"",C338=""),D338=""),IF(A338="","従業員番号","")&amp;IF(B338="","「雇用形態」","")&amp;IF(OR(入力シート!$J$18=入力リスト!$H$9,入力シート!$J$22=入力リスト!$H$9),IF(C338="","「入社年月日」",""),"")&amp;IF(D338="","「性別」","")&amp;IF(IF(A338="","従業員番号","")&amp;IF(B338="","「雇用形態」","")&amp;IF(OR(入力シート!$J$18=入力リスト!$H$9,入力シート!$J$22=入力リスト!$H$9),IF(C338="","「入社年月日」",""),"")&amp;IF(D338="","「性別」","")="","",入力リスト!$K$29),IF(J338,入力リスト!$K$30,"")&amp;IF(I338,入力リスト!$K$31,"")&amp;IF(H338,"「雇用形態」","")&amp;IF(K338,"「性別」","")&amp;IF(L338,"「役職」","")&amp;IF(OR(H338,K338,L338),入力リスト!$K$32,"")))))</f>
        <v/>
      </c>
      <c r="G338" s="209" t="b">
        <f>COUNTIF($A$4:A337,$A338)&gt;0</f>
        <v>0</v>
      </c>
      <c r="H338" s="210" t="b">
        <f>IF($H$1,FALSE,COUNTIF(入力シート!$S$37:$V$62,B338)=0)</f>
        <v>0</v>
      </c>
      <c r="I338" s="210" t="b">
        <f t="shared" si="12"/>
        <v>0</v>
      </c>
      <c r="J338" s="210" t="b">
        <f>IF($J$1,FALSE,IF(I338=TRUE,FALSE,IF(I338,FALSE,C338&gt;入力シート!$J$24)))</f>
        <v>0</v>
      </c>
      <c r="K338" s="210" t="b">
        <f>IF($K$1,FALSE,COUNTIF(入力シート!$AW$37:$BB$38,D338)=0)</f>
        <v>0</v>
      </c>
      <c r="L338" s="210" t="b">
        <f>IF($L$1,FALSE,IF($L$3,FALSE,IF(E338="",FALSE,COUNTIF(入力シート!$AH$37:$AK$62,E338)=0)))</f>
        <v>0</v>
      </c>
      <c r="M338" s="211" t="str">
        <f t="shared" si="11"/>
        <v/>
      </c>
      <c r="N338" s="211"/>
      <c r="O338" s="209" t="str">
        <f>IF(B338="","",VLOOKUP('従業員情報(給与以外)'!$B338,入力シート!$S$37:$Z$62,5,0))</f>
        <v/>
      </c>
      <c r="P338" s="156" t="str">
        <f>IF(ISNUMBER(C338)=FALSE,"",IF(C338&gt;入力シート!$J$24,"",_xlfn.DAYS(入力シート!$J$24,'従業員情報(給与以外)'!$C338)/365))</f>
        <v/>
      </c>
      <c r="Q338" s="210" t="str">
        <f>IF(P338="","",VLOOKUP(_xlfn.DAYS(入力シート!$J$24,'従業員情報(給与以外)'!$C338)/365,入力リスト!$K$18:$L$26,2,2))</f>
        <v/>
      </c>
      <c r="R338" s="209" t="str">
        <f>IF(D338="","",VLOOKUP('従業員情報(給与以外)'!$D338,入力シート!$AW$37:$BB$38,4,0))</f>
        <v/>
      </c>
      <c r="S338" s="209" t="str">
        <f>IF(A338="","",IF(E338="","非役職",VLOOKUP('従業員情報(給与以外)'!$E338,入力シート!$AH$37:$AO$62,5,0)))</f>
        <v/>
      </c>
      <c r="T338" s="102" t="str">
        <f>IF(OR(入力シート!$C$5&lt;&gt;入力リスト!$C$3,COUNTIF(入力シート!$J$16:$S$23,入力リスト!$H$9)=0),"",IF($A338="","",IF(ISERROR(AVERAGEIF(従業員の給与情報!$B:$B,$A338,従業員の給与情報!$C:$C)),0,IF(ISERROR(AVERAGEIF(従業員の給与情報!$B:$B,$A338,従業員の給与情報!$C:$C)),0,AVERAGEIF(従業員の給与情報!$B:$B,$A338,従業員の給与情報!$C:$C)))))</f>
        <v/>
      </c>
      <c r="U338" s="102" t="str">
        <f>IF(OR(入力シート!$C$5&lt;&gt;入力リスト!$C$3,COUNTIF(入力シート!$J$16:$S$23,入力リスト!$H$9)=0),"",IF(A338="","",IF(ISERROR(AVERAGEIF(従業員の給与情報!$B:$B,$A338,従業員の給与情報!$D:$D)),0,IF(ISERROR(AVERAGEIF(従業員の給与情報!$B:$B,$A338,従業員の給与情報!$D:$D)),0,AVERAGEIF(従業員の給与情報!$B:$B,$A338,従業員の給与情報!$D:$D)))))</f>
        <v/>
      </c>
      <c r="V338" s="102" t="str">
        <f>IF(OR(入力シート!$C$5&lt;&gt;入力リスト!$C$3,COUNTIF(入力シート!$J$16:$S$23,入力リスト!$H$9)=0),"",IF(A338="","",IF(ISERROR(AVERAGEIF(従業員の給与情報!$B:$B,$A338,従業員の給与情報!$E:$E)),0,IF(ISERROR(AVERAGEIF(従業員の給与情報!$B:$B,$A338,従業員の給与情報!$E:$E)),0,AVERAGEIF(従業員の給与情報!$B:$B,$A338,従業員の給与情報!$E:$E)))))</f>
        <v/>
      </c>
      <c r="W338" s="103" t="str">
        <f>IF(OR(入力シート!$C$5&lt;&gt;入力リスト!$C$3,COUNTIF(入力シート!$J$16:$S$23,入力リスト!$H$9)=0),"",IF(A338="","",IF(ISERROR(AVERAGEIF(従業員の給与情報!$B:$B,$A338,従業員の給与情報!$F:$F)),0,IF(ISERROR(AVERAGEIF(従業員の給与情報!$B:$B,$A338,従業員の給与情報!$F:$F)),0,AVERAGEIF(従業員の給与情報!$B:$B,$A338,従業員の給与情報!$F:$F)))))</f>
        <v/>
      </c>
    </row>
    <row r="339" spans="1:23" s="10" customFormat="1">
      <c r="A339" s="253"/>
      <c r="B339" s="246"/>
      <c r="C339" s="247"/>
      <c r="D339" s="246"/>
      <c r="E339" s="246"/>
      <c r="F339" s="257" t="str">
        <f>IF($G$1,"",IF(COUNTIF(A339:E339,"")=5,"",IF(G339,入力リスト!$K$28,IF(OR(A339="",B339="",IF(COUNTIF($C$3,"*不要*"),"",C339=""),D339=""),IF(A339="","従業員番号","")&amp;IF(B339="","「雇用形態」","")&amp;IF(OR(入力シート!$J$18=入力リスト!$H$9,入力シート!$J$22=入力リスト!$H$9),IF(C339="","「入社年月日」",""),"")&amp;IF(D339="","「性別」","")&amp;IF(IF(A339="","従業員番号","")&amp;IF(B339="","「雇用形態」","")&amp;IF(OR(入力シート!$J$18=入力リスト!$H$9,入力シート!$J$22=入力リスト!$H$9),IF(C339="","「入社年月日」",""),"")&amp;IF(D339="","「性別」","")="","",入力リスト!$K$29),IF(J339,入力リスト!$K$30,"")&amp;IF(I339,入力リスト!$K$31,"")&amp;IF(H339,"「雇用形態」","")&amp;IF(K339,"「性別」","")&amp;IF(L339,"「役職」","")&amp;IF(OR(H339,K339,L339),入力リスト!$K$32,"")))))</f>
        <v/>
      </c>
      <c r="G339" s="209" t="b">
        <f>COUNTIF($A$4:A338,$A339)&gt;0</f>
        <v>0</v>
      </c>
      <c r="H339" s="210" t="b">
        <f>IF($H$1,FALSE,COUNTIF(入力シート!$S$37:$V$62,B339)=0)</f>
        <v>0</v>
      </c>
      <c r="I339" s="210" t="b">
        <f t="shared" si="12"/>
        <v>0</v>
      </c>
      <c r="J339" s="210" t="b">
        <f>IF($J$1,FALSE,IF(I339=TRUE,FALSE,IF(I339,FALSE,C339&gt;入力シート!$J$24)))</f>
        <v>0</v>
      </c>
      <c r="K339" s="210" t="b">
        <f>IF($K$1,FALSE,COUNTIF(入力シート!$AW$37:$BB$38,D339)=0)</f>
        <v>0</v>
      </c>
      <c r="L339" s="210" t="b">
        <f>IF($L$1,FALSE,IF($L$3,FALSE,IF(E339="",FALSE,COUNTIF(入力シート!$AH$37:$AK$62,E339)=0)))</f>
        <v>0</v>
      </c>
      <c r="M339" s="211" t="str">
        <f t="shared" si="11"/>
        <v/>
      </c>
      <c r="N339" s="211"/>
      <c r="O339" s="209" t="str">
        <f>IF(B339="","",VLOOKUP('従業員情報(給与以外)'!$B339,入力シート!$S$37:$Z$62,5,0))</f>
        <v/>
      </c>
      <c r="P339" s="156" t="str">
        <f>IF(ISNUMBER(C339)=FALSE,"",IF(C339&gt;入力シート!$J$24,"",_xlfn.DAYS(入力シート!$J$24,'従業員情報(給与以外)'!$C339)/365))</f>
        <v/>
      </c>
      <c r="Q339" s="210" t="str">
        <f>IF(P339="","",VLOOKUP(_xlfn.DAYS(入力シート!$J$24,'従業員情報(給与以外)'!$C339)/365,入力リスト!$K$18:$L$26,2,2))</f>
        <v/>
      </c>
      <c r="R339" s="209" t="str">
        <f>IF(D339="","",VLOOKUP('従業員情報(給与以外)'!$D339,入力シート!$AW$37:$BB$38,4,0))</f>
        <v/>
      </c>
      <c r="S339" s="209" t="str">
        <f>IF(A339="","",IF(E339="","非役職",VLOOKUP('従業員情報(給与以外)'!$E339,入力シート!$AH$37:$AO$62,5,0)))</f>
        <v/>
      </c>
      <c r="T339" s="102" t="str">
        <f>IF(OR(入力シート!$C$5&lt;&gt;入力リスト!$C$3,COUNTIF(入力シート!$J$16:$S$23,入力リスト!$H$9)=0),"",IF($A339="","",IF(ISERROR(AVERAGEIF(従業員の給与情報!$B:$B,$A339,従業員の給与情報!$C:$C)),0,IF(ISERROR(AVERAGEIF(従業員の給与情報!$B:$B,$A339,従業員の給与情報!$C:$C)),0,AVERAGEIF(従業員の給与情報!$B:$B,$A339,従業員の給与情報!$C:$C)))))</f>
        <v/>
      </c>
      <c r="U339" s="102" t="str">
        <f>IF(OR(入力シート!$C$5&lt;&gt;入力リスト!$C$3,COUNTIF(入力シート!$J$16:$S$23,入力リスト!$H$9)=0),"",IF(A339="","",IF(ISERROR(AVERAGEIF(従業員の給与情報!$B:$B,$A339,従業員の給与情報!$D:$D)),0,IF(ISERROR(AVERAGEIF(従業員の給与情報!$B:$B,$A339,従業員の給与情報!$D:$D)),0,AVERAGEIF(従業員の給与情報!$B:$B,$A339,従業員の給与情報!$D:$D)))))</f>
        <v/>
      </c>
      <c r="V339" s="102" t="str">
        <f>IF(OR(入力シート!$C$5&lt;&gt;入力リスト!$C$3,COUNTIF(入力シート!$J$16:$S$23,入力リスト!$H$9)=0),"",IF(A339="","",IF(ISERROR(AVERAGEIF(従業員の給与情報!$B:$B,$A339,従業員の給与情報!$E:$E)),0,IF(ISERROR(AVERAGEIF(従業員の給与情報!$B:$B,$A339,従業員の給与情報!$E:$E)),0,AVERAGEIF(従業員の給与情報!$B:$B,$A339,従業員の給与情報!$E:$E)))))</f>
        <v/>
      </c>
      <c r="W339" s="103" t="str">
        <f>IF(OR(入力シート!$C$5&lt;&gt;入力リスト!$C$3,COUNTIF(入力シート!$J$16:$S$23,入力リスト!$H$9)=0),"",IF(A339="","",IF(ISERROR(AVERAGEIF(従業員の給与情報!$B:$B,$A339,従業員の給与情報!$F:$F)),0,IF(ISERROR(AVERAGEIF(従業員の給与情報!$B:$B,$A339,従業員の給与情報!$F:$F)),0,AVERAGEIF(従業員の給与情報!$B:$B,$A339,従業員の給与情報!$F:$F)))))</f>
        <v/>
      </c>
    </row>
    <row r="340" spans="1:23" s="10" customFormat="1">
      <c r="A340" s="253"/>
      <c r="B340" s="246"/>
      <c r="C340" s="247"/>
      <c r="D340" s="246"/>
      <c r="E340" s="246"/>
      <c r="F340" s="257" t="str">
        <f>IF($G$1,"",IF(COUNTIF(A340:E340,"")=5,"",IF(G340,入力リスト!$K$28,IF(OR(A340="",B340="",IF(COUNTIF($C$3,"*不要*"),"",C340=""),D340=""),IF(A340="","従業員番号","")&amp;IF(B340="","「雇用形態」","")&amp;IF(OR(入力シート!$J$18=入力リスト!$H$9,入力シート!$J$22=入力リスト!$H$9),IF(C340="","「入社年月日」",""),"")&amp;IF(D340="","「性別」","")&amp;IF(IF(A340="","従業員番号","")&amp;IF(B340="","「雇用形態」","")&amp;IF(OR(入力シート!$J$18=入力リスト!$H$9,入力シート!$J$22=入力リスト!$H$9),IF(C340="","「入社年月日」",""),"")&amp;IF(D340="","「性別」","")="","",入力リスト!$K$29),IF(J340,入力リスト!$K$30,"")&amp;IF(I340,入力リスト!$K$31,"")&amp;IF(H340,"「雇用形態」","")&amp;IF(K340,"「性別」","")&amp;IF(L340,"「役職」","")&amp;IF(OR(H340,K340,L340),入力リスト!$K$32,"")))))</f>
        <v/>
      </c>
      <c r="G340" s="209" t="b">
        <f>COUNTIF($A$4:A339,$A340)&gt;0</f>
        <v>0</v>
      </c>
      <c r="H340" s="210" t="b">
        <f>IF($H$1,FALSE,COUNTIF(入力シート!$S$37:$V$62,B340)=0)</f>
        <v>0</v>
      </c>
      <c r="I340" s="210" t="b">
        <f t="shared" si="12"/>
        <v>0</v>
      </c>
      <c r="J340" s="210" t="b">
        <f>IF($J$1,FALSE,IF(I340=TRUE,FALSE,IF(I340,FALSE,C340&gt;入力シート!$J$24)))</f>
        <v>0</v>
      </c>
      <c r="K340" s="210" t="b">
        <f>IF($K$1,FALSE,COUNTIF(入力シート!$AW$37:$BB$38,D340)=0)</f>
        <v>0</v>
      </c>
      <c r="L340" s="210" t="b">
        <f>IF($L$1,FALSE,IF($L$3,FALSE,IF(E340="",FALSE,COUNTIF(入力シート!$AH$37:$AK$62,E340)=0)))</f>
        <v>0</v>
      </c>
      <c r="M340" s="211" t="str">
        <f t="shared" si="11"/>
        <v/>
      </c>
      <c r="N340" s="211"/>
      <c r="O340" s="209" t="str">
        <f>IF(B340="","",VLOOKUP('従業員情報(給与以外)'!$B340,入力シート!$S$37:$Z$62,5,0))</f>
        <v/>
      </c>
      <c r="P340" s="156" t="str">
        <f>IF(ISNUMBER(C340)=FALSE,"",IF(C340&gt;入力シート!$J$24,"",_xlfn.DAYS(入力シート!$J$24,'従業員情報(給与以外)'!$C340)/365))</f>
        <v/>
      </c>
      <c r="Q340" s="210" t="str">
        <f>IF(P340="","",VLOOKUP(_xlfn.DAYS(入力シート!$J$24,'従業員情報(給与以外)'!$C340)/365,入力リスト!$K$18:$L$26,2,2))</f>
        <v/>
      </c>
      <c r="R340" s="209" t="str">
        <f>IF(D340="","",VLOOKUP('従業員情報(給与以外)'!$D340,入力シート!$AW$37:$BB$38,4,0))</f>
        <v/>
      </c>
      <c r="S340" s="209" t="str">
        <f>IF(A340="","",IF(E340="","非役職",VLOOKUP('従業員情報(給与以外)'!$E340,入力シート!$AH$37:$AO$62,5,0)))</f>
        <v/>
      </c>
      <c r="T340" s="102" t="str">
        <f>IF(OR(入力シート!$C$5&lt;&gt;入力リスト!$C$3,COUNTIF(入力シート!$J$16:$S$23,入力リスト!$H$9)=0),"",IF($A340="","",IF(ISERROR(AVERAGEIF(従業員の給与情報!$B:$B,$A340,従業員の給与情報!$C:$C)),0,IF(ISERROR(AVERAGEIF(従業員の給与情報!$B:$B,$A340,従業員の給与情報!$C:$C)),0,AVERAGEIF(従業員の給与情報!$B:$B,$A340,従業員の給与情報!$C:$C)))))</f>
        <v/>
      </c>
      <c r="U340" s="102" t="str">
        <f>IF(OR(入力シート!$C$5&lt;&gt;入力リスト!$C$3,COUNTIF(入力シート!$J$16:$S$23,入力リスト!$H$9)=0),"",IF(A340="","",IF(ISERROR(AVERAGEIF(従業員の給与情報!$B:$B,$A340,従業員の給与情報!$D:$D)),0,IF(ISERROR(AVERAGEIF(従業員の給与情報!$B:$B,$A340,従業員の給与情報!$D:$D)),0,AVERAGEIF(従業員の給与情報!$B:$B,$A340,従業員の給与情報!$D:$D)))))</f>
        <v/>
      </c>
      <c r="V340" s="102" t="str">
        <f>IF(OR(入力シート!$C$5&lt;&gt;入力リスト!$C$3,COUNTIF(入力シート!$J$16:$S$23,入力リスト!$H$9)=0),"",IF(A340="","",IF(ISERROR(AVERAGEIF(従業員の給与情報!$B:$B,$A340,従業員の給与情報!$E:$E)),0,IF(ISERROR(AVERAGEIF(従業員の給与情報!$B:$B,$A340,従業員の給与情報!$E:$E)),0,AVERAGEIF(従業員の給与情報!$B:$B,$A340,従業員の給与情報!$E:$E)))))</f>
        <v/>
      </c>
      <c r="W340" s="103" t="str">
        <f>IF(OR(入力シート!$C$5&lt;&gt;入力リスト!$C$3,COUNTIF(入力シート!$J$16:$S$23,入力リスト!$H$9)=0),"",IF(A340="","",IF(ISERROR(AVERAGEIF(従業員の給与情報!$B:$B,$A340,従業員の給与情報!$F:$F)),0,IF(ISERROR(AVERAGEIF(従業員の給与情報!$B:$B,$A340,従業員の給与情報!$F:$F)),0,AVERAGEIF(従業員の給与情報!$B:$B,$A340,従業員の給与情報!$F:$F)))))</f>
        <v/>
      </c>
    </row>
    <row r="341" spans="1:23" s="10" customFormat="1">
      <c r="A341" s="253"/>
      <c r="B341" s="246"/>
      <c r="C341" s="247"/>
      <c r="D341" s="246"/>
      <c r="E341" s="246"/>
      <c r="F341" s="257" t="str">
        <f>IF($G$1,"",IF(COUNTIF(A341:E341,"")=5,"",IF(G341,入力リスト!$K$28,IF(OR(A341="",B341="",IF(COUNTIF($C$3,"*不要*"),"",C341=""),D341=""),IF(A341="","従業員番号","")&amp;IF(B341="","「雇用形態」","")&amp;IF(OR(入力シート!$J$18=入力リスト!$H$9,入力シート!$J$22=入力リスト!$H$9),IF(C341="","「入社年月日」",""),"")&amp;IF(D341="","「性別」","")&amp;IF(IF(A341="","従業員番号","")&amp;IF(B341="","「雇用形態」","")&amp;IF(OR(入力シート!$J$18=入力リスト!$H$9,入力シート!$J$22=入力リスト!$H$9),IF(C341="","「入社年月日」",""),"")&amp;IF(D341="","「性別」","")="","",入力リスト!$K$29),IF(J341,入力リスト!$K$30,"")&amp;IF(I341,入力リスト!$K$31,"")&amp;IF(H341,"「雇用形態」","")&amp;IF(K341,"「性別」","")&amp;IF(L341,"「役職」","")&amp;IF(OR(H341,K341,L341),入力リスト!$K$32,"")))))</f>
        <v/>
      </c>
      <c r="G341" s="209" t="b">
        <f>COUNTIF($A$4:A340,$A341)&gt;0</f>
        <v>0</v>
      </c>
      <c r="H341" s="210" t="b">
        <f>IF($H$1,FALSE,COUNTIF(入力シート!$S$37:$V$62,B341)=0)</f>
        <v>0</v>
      </c>
      <c r="I341" s="210" t="b">
        <f t="shared" si="12"/>
        <v>0</v>
      </c>
      <c r="J341" s="210" t="b">
        <f>IF($J$1,FALSE,IF(I341=TRUE,FALSE,IF(I341,FALSE,C341&gt;入力シート!$J$24)))</f>
        <v>0</v>
      </c>
      <c r="K341" s="210" t="b">
        <f>IF($K$1,FALSE,COUNTIF(入力シート!$AW$37:$BB$38,D341)=0)</f>
        <v>0</v>
      </c>
      <c r="L341" s="210" t="b">
        <f>IF($L$1,FALSE,IF($L$3,FALSE,IF(E341="",FALSE,COUNTIF(入力シート!$AH$37:$AK$62,E341)=0)))</f>
        <v>0</v>
      </c>
      <c r="M341" s="211" t="str">
        <f t="shared" si="11"/>
        <v/>
      </c>
      <c r="N341" s="211"/>
      <c r="O341" s="209" t="str">
        <f>IF(B341="","",VLOOKUP('従業員情報(給与以外)'!$B341,入力シート!$S$37:$Z$62,5,0))</f>
        <v/>
      </c>
      <c r="P341" s="156" t="str">
        <f>IF(ISNUMBER(C341)=FALSE,"",IF(C341&gt;入力シート!$J$24,"",_xlfn.DAYS(入力シート!$J$24,'従業員情報(給与以外)'!$C341)/365))</f>
        <v/>
      </c>
      <c r="Q341" s="210" t="str">
        <f>IF(P341="","",VLOOKUP(_xlfn.DAYS(入力シート!$J$24,'従業員情報(給与以外)'!$C341)/365,入力リスト!$K$18:$L$26,2,2))</f>
        <v/>
      </c>
      <c r="R341" s="209" t="str">
        <f>IF(D341="","",VLOOKUP('従業員情報(給与以外)'!$D341,入力シート!$AW$37:$BB$38,4,0))</f>
        <v/>
      </c>
      <c r="S341" s="209" t="str">
        <f>IF(A341="","",IF(E341="","非役職",VLOOKUP('従業員情報(給与以外)'!$E341,入力シート!$AH$37:$AO$62,5,0)))</f>
        <v/>
      </c>
      <c r="T341" s="102" t="str">
        <f>IF(OR(入力シート!$C$5&lt;&gt;入力リスト!$C$3,COUNTIF(入力シート!$J$16:$S$23,入力リスト!$H$9)=0),"",IF($A341="","",IF(ISERROR(AVERAGEIF(従業員の給与情報!$B:$B,$A341,従業員の給与情報!$C:$C)),0,IF(ISERROR(AVERAGEIF(従業員の給与情報!$B:$B,$A341,従業員の給与情報!$C:$C)),0,AVERAGEIF(従業員の給与情報!$B:$B,$A341,従業員の給与情報!$C:$C)))))</f>
        <v/>
      </c>
      <c r="U341" s="102" t="str">
        <f>IF(OR(入力シート!$C$5&lt;&gt;入力リスト!$C$3,COUNTIF(入力シート!$J$16:$S$23,入力リスト!$H$9)=0),"",IF(A341="","",IF(ISERROR(AVERAGEIF(従業員の給与情報!$B:$B,$A341,従業員の給与情報!$D:$D)),0,IF(ISERROR(AVERAGEIF(従業員の給与情報!$B:$B,$A341,従業員の給与情報!$D:$D)),0,AVERAGEIF(従業員の給与情報!$B:$B,$A341,従業員の給与情報!$D:$D)))))</f>
        <v/>
      </c>
      <c r="V341" s="102" t="str">
        <f>IF(OR(入力シート!$C$5&lt;&gt;入力リスト!$C$3,COUNTIF(入力シート!$J$16:$S$23,入力リスト!$H$9)=0),"",IF(A341="","",IF(ISERROR(AVERAGEIF(従業員の給与情報!$B:$B,$A341,従業員の給与情報!$E:$E)),0,IF(ISERROR(AVERAGEIF(従業員の給与情報!$B:$B,$A341,従業員の給与情報!$E:$E)),0,AVERAGEIF(従業員の給与情報!$B:$B,$A341,従業員の給与情報!$E:$E)))))</f>
        <v/>
      </c>
      <c r="W341" s="103" t="str">
        <f>IF(OR(入力シート!$C$5&lt;&gt;入力リスト!$C$3,COUNTIF(入力シート!$J$16:$S$23,入力リスト!$H$9)=0),"",IF(A341="","",IF(ISERROR(AVERAGEIF(従業員の給与情報!$B:$B,$A341,従業員の給与情報!$F:$F)),0,IF(ISERROR(AVERAGEIF(従業員の給与情報!$B:$B,$A341,従業員の給与情報!$F:$F)),0,AVERAGEIF(従業員の給与情報!$B:$B,$A341,従業員の給与情報!$F:$F)))))</f>
        <v/>
      </c>
    </row>
    <row r="342" spans="1:23" s="10" customFormat="1">
      <c r="A342" s="253"/>
      <c r="B342" s="246"/>
      <c r="C342" s="247"/>
      <c r="D342" s="246"/>
      <c r="E342" s="246"/>
      <c r="F342" s="257" t="str">
        <f>IF($G$1,"",IF(COUNTIF(A342:E342,"")=5,"",IF(G342,入力リスト!$K$28,IF(OR(A342="",B342="",IF(COUNTIF($C$3,"*不要*"),"",C342=""),D342=""),IF(A342="","従業員番号","")&amp;IF(B342="","「雇用形態」","")&amp;IF(OR(入力シート!$J$18=入力リスト!$H$9,入力シート!$J$22=入力リスト!$H$9),IF(C342="","「入社年月日」",""),"")&amp;IF(D342="","「性別」","")&amp;IF(IF(A342="","従業員番号","")&amp;IF(B342="","「雇用形態」","")&amp;IF(OR(入力シート!$J$18=入力リスト!$H$9,入力シート!$J$22=入力リスト!$H$9),IF(C342="","「入社年月日」",""),"")&amp;IF(D342="","「性別」","")="","",入力リスト!$K$29),IF(J342,入力リスト!$K$30,"")&amp;IF(I342,入力リスト!$K$31,"")&amp;IF(H342,"「雇用形態」","")&amp;IF(K342,"「性別」","")&amp;IF(L342,"「役職」","")&amp;IF(OR(H342,K342,L342),入力リスト!$K$32,"")))))</f>
        <v/>
      </c>
      <c r="G342" s="209" t="b">
        <f>COUNTIF($A$4:A341,$A342)&gt;0</f>
        <v>0</v>
      </c>
      <c r="H342" s="210" t="b">
        <f>IF($H$1,FALSE,COUNTIF(入力シート!$S$37:$V$62,B342)=0)</f>
        <v>0</v>
      </c>
      <c r="I342" s="210" t="b">
        <f t="shared" si="12"/>
        <v>0</v>
      </c>
      <c r="J342" s="210" t="b">
        <f>IF($J$1,FALSE,IF(I342=TRUE,FALSE,IF(I342,FALSE,C342&gt;入力シート!$J$24)))</f>
        <v>0</v>
      </c>
      <c r="K342" s="210" t="b">
        <f>IF($K$1,FALSE,COUNTIF(入力シート!$AW$37:$BB$38,D342)=0)</f>
        <v>0</v>
      </c>
      <c r="L342" s="210" t="b">
        <f>IF($L$1,FALSE,IF($L$3,FALSE,IF(E342="",FALSE,COUNTIF(入力シート!$AH$37:$AK$62,E342)=0)))</f>
        <v>0</v>
      </c>
      <c r="M342" s="211" t="str">
        <f t="shared" si="11"/>
        <v/>
      </c>
      <c r="N342" s="211"/>
      <c r="O342" s="209" t="str">
        <f>IF(B342="","",VLOOKUP('従業員情報(給与以外)'!$B342,入力シート!$S$37:$Z$62,5,0))</f>
        <v/>
      </c>
      <c r="P342" s="156" t="str">
        <f>IF(ISNUMBER(C342)=FALSE,"",IF(C342&gt;入力シート!$J$24,"",_xlfn.DAYS(入力シート!$J$24,'従業員情報(給与以外)'!$C342)/365))</f>
        <v/>
      </c>
      <c r="Q342" s="210" t="str">
        <f>IF(P342="","",VLOOKUP(_xlfn.DAYS(入力シート!$J$24,'従業員情報(給与以外)'!$C342)/365,入力リスト!$K$18:$L$26,2,2))</f>
        <v/>
      </c>
      <c r="R342" s="209" t="str">
        <f>IF(D342="","",VLOOKUP('従業員情報(給与以外)'!$D342,入力シート!$AW$37:$BB$38,4,0))</f>
        <v/>
      </c>
      <c r="S342" s="209" t="str">
        <f>IF(A342="","",IF(E342="","非役職",VLOOKUP('従業員情報(給与以外)'!$E342,入力シート!$AH$37:$AO$62,5,0)))</f>
        <v/>
      </c>
      <c r="T342" s="102" t="str">
        <f>IF(OR(入力シート!$C$5&lt;&gt;入力リスト!$C$3,COUNTIF(入力シート!$J$16:$S$23,入力リスト!$H$9)=0),"",IF($A342="","",IF(ISERROR(AVERAGEIF(従業員の給与情報!$B:$B,$A342,従業員の給与情報!$C:$C)),0,IF(ISERROR(AVERAGEIF(従業員の給与情報!$B:$B,$A342,従業員の給与情報!$C:$C)),0,AVERAGEIF(従業員の給与情報!$B:$B,$A342,従業員の給与情報!$C:$C)))))</f>
        <v/>
      </c>
      <c r="U342" s="102" t="str">
        <f>IF(OR(入力シート!$C$5&lt;&gt;入力リスト!$C$3,COUNTIF(入力シート!$J$16:$S$23,入力リスト!$H$9)=0),"",IF(A342="","",IF(ISERROR(AVERAGEIF(従業員の給与情報!$B:$B,$A342,従業員の給与情報!$D:$D)),0,IF(ISERROR(AVERAGEIF(従業員の給与情報!$B:$B,$A342,従業員の給与情報!$D:$D)),0,AVERAGEIF(従業員の給与情報!$B:$B,$A342,従業員の給与情報!$D:$D)))))</f>
        <v/>
      </c>
      <c r="V342" s="102" t="str">
        <f>IF(OR(入力シート!$C$5&lt;&gt;入力リスト!$C$3,COUNTIF(入力シート!$J$16:$S$23,入力リスト!$H$9)=0),"",IF(A342="","",IF(ISERROR(AVERAGEIF(従業員の給与情報!$B:$B,$A342,従業員の給与情報!$E:$E)),0,IF(ISERROR(AVERAGEIF(従業員の給与情報!$B:$B,$A342,従業員の給与情報!$E:$E)),0,AVERAGEIF(従業員の給与情報!$B:$B,$A342,従業員の給与情報!$E:$E)))))</f>
        <v/>
      </c>
      <c r="W342" s="103" t="str">
        <f>IF(OR(入力シート!$C$5&lt;&gt;入力リスト!$C$3,COUNTIF(入力シート!$J$16:$S$23,入力リスト!$H$9)=0),"",IF(A342="","",IF(ISERROR(AVERAGEIF(従業員の給与情報!$B:$B,$A342,従業員の給与情報!$F:$F)),0,IF(ISERROR(AVERAGEIF(従業員の給与情報!$B:$B,$A342,従業員の給与情報!$F:$F)),0,AVERAGEIF(従業員の給与情報!$B:$B,$A342,従業員の給与情報!$F:$F)))))</f>
        <v/>
      </c>
    </row>
    <row r="343" spans="1:23" s="10" customFormat="1">
      <c r="A343" s="253"/>
      <c r="B343" s="246"/>
      <c r="C343" s="247"/>
      <c r="D343" s="246"/>
      <c r="E343" s="246"/>
      <c r="F343" s="257" t="str">
        <f>IF($G$1,"",IF(COUNTIF(A343:E343,"")=5,"",IF(G343,入力リスト!$K$28,IF(OR(A343="",B343="",IF(COUNTIF($C$3,"*不要*"),"",C343=""),D343=""),IF(A343="","従業員番号","")&amp;IF(B343="","「雇用形態」","")&amp;IF(OR(入力シート!$J$18=入力リスト!$H$9,入力シート!$J$22=入力リスト!$H$9),IF(C343="","「入社年月日」",""),"")&amp;IF(D343="","「性別」","")&amp;IF(IF(A343="","従業員番号","")&amp;IF(B343="","「雇用形態」","")&amp;IF(OR(入力シート!$J$18=入力リスト!$H$9,入力シート!$J$22=入力リスト!$H$9),IF(C343="","「入社年月日」",""),"")&amp;IF(D343="","「性別」","")="","",入力リスト!$K$29),IF(J343,入力リスト!$K$30,"")&amp;IF(I343,入力リスト!$K$31,"")&amp;IF(H343,"「雇用形態」","")&amp;IF(K343,"「性別」","")&amp;IF(L343,"「役職」","")&amp;IF(OR(H343,K343,L343),入力リスト!$K$32,"")))))</f>
        <v/>
      </c>
      <c r="G343" s="209" t="b">
        <f>COUNTIF($A$4:A342,$A343)&gt;0</f>
        <v>0</v>
      </c>
      <c r="H343" s="210" t="b">
        <f>IF($H$1,FALSE,COUNTIF(入力シート!$S$37:$V$62,B343)=0)</f>
        <v>0</v>
      </c>
      <c r="I343" s="210" t="b">
        <f t="shared" si="12"/>
        <v>0</v>
      </c>
      <c r="J343" s="210" t="b">
        <f>IF($J$1,FALSE,IF(I343=TRUE,FALSE,IF(I343,FALSE,C343&gt;入力シート!$J$24)))</f>
        <v>0</v>
      </c>
      <c r="K343" s="210" t="b">
        <f>IF($K$1,FALSE,COUNTIF(入力シート!$AW$37:$BB$38,D343)=0)</f>
        <v>0</v>
      </c>
      <c r="L343" s="210" t="b">
        <f>IF($L$1,FALSE,IF($L$3,FALSE,IF(E343="",FALSE,COUNTIF(入力シート!$AH$37:$AK$62,E343)=0)))</f>
        <v>0</v>
      </c>
      <c r="M343" s="211" t="str">
        <f t="shared" si="11"/>
        <v/>
      </c>
      <c r="N343" s="211"/>
      <c r="O343" s="209" t="str">
        <f>IF(B343="","",VLOOKUP('従業員情報(給与以外)'!$B343,入力シート!$S$37:$Z$62,5,0))</f>
        <v/>
      </c>
      <c r="P343" s="156" t="str">
        <f>IF(ISNUMBER(C343)=FALSE,"",IF(C343&gt;入力シート!$J$24,"",_xlfn.DAYS(入力シート!$J$24,'従業員情報(給与以外)'!$C343)/365))</f>
        <v/>
      </c>
      <c r="Q343" s="210" t="str">
        <f>IF(P343="","",VLOOKUP(_xlfn.DAYS(入力シート!$J$24,'従業員情報(給与以外)'!$C343)/365,入力リスト!$K$18:$L$26,2,2))</f>
        <v/>
      </c>
      <c r="R343" s="209" t="str">
        <f>IF(D343="","",VLOOKUP('従業員情報(給与以外)'!$D343,入力シート!$AW$37:$BB$38,4,0))</f>
        <v/>
      </c>
      <c r="S343" s="209" t="str">
        <f>IF(A343="","",IF(E343="","非役職",VLOOKUP('従業員情報(給与以外)'!$E343,入力シート!$AH$37:$AO$62,5,0)))</f>
        <v/>
      </c>
      <c r="T343" s="102" t="str">
        <f>IF(OR(入力シート!$C$5&lt;&gt;入力リスト!$C$3,COUNTIF(入力シート!$J$16:$S$23,入力リスト!$H$9)=0),"",IF($A343="","",IF(ISERROR(AVERAGEIF(従業員の給与情報!$B:$B,$A343,従業員の給与情報!$C:$C)),0,IF(ISERROR(AVERAGEIF(従業員の給与情報!$B:$B,$A343,従業員の給与情報!$C:$C)),0,AVERAGEIF(従業員の給与情報!$B:$B,$A343,従業員の給与情報!$C:$C)))))</f>
        <v/>
      </c>
      <c r="U343" s="102" t="str">
        <f>IF(OR(入力シート!$C$5&lt;&gt;入力リスト!$C$3,COUNTIF(入力シート!$J$16:$S$23,入力リスト!$H$9)=0),"",IF(A343="","",IF(ISERROR(AVERAGEIF(従業員の給与情報!$B:$B,$A343,従業員の給与情報!$D:$D)),0,IF(ISERROR(AVERAGEIF(従業員の給与情報!$B:$B,$A343,従業員の給与情報!$D:$D)),0,AVERAGEIF(従業員の給与情報!$B:$B,$A343,従業員の給与情報!$D:$D)))))</f>
        <v/>
      </c>
      <c r="V343" s="102" t="str">
        <f>IF(OR(入力シート!$C$5&lt;&gt;入力リスト!$C$3,COUNTIF(入力シート!$J$16:$S$23,入力リスト!$H$9)=0),"",IF(A343="","",IF(ISERROR(AVERAGEIF(従業員の給与情報!$B:$B,$A343,従業員の給与情報!$E:$E)),0,IF(ISERROR(AVERAGEIF(従業員の給与情報!$B:$B,$A343,従業員の給与情報!$E:$E)),0,AVERAGEIF(従業員の給与情報!$B:$B,$A343,従業員の給与情報!$E:$E)))))</f>
        <v/>
      </c>
      <c r="W343" s="103" t="str">
        <f>IF(OR(入力シート!$C$5&lt;&gt;入力リスト!$C$3,COUNTIF(入力シート!$J$16:$S$23,入力リスト!$H$9)=0),"",IF(A343="","",IF(ISERROR(AVERAGEIF(従業員の給与情報!$B:$B,$A343,従業員の給与情報!$F:$F)),0,IF(ISERROR(AVERAGEIF(従業員の給与情報!$B:$B,$A343,従業員の給与情報!$F:$F)),0,AVERAGEIF(従業員の給与情報!$B:$B,$A343,従業員の給与情報!$F:$F)))))</f>
        <v/>
      </c>
    </row>
    <row r="344" spans="1:23" s="10" customFormat="1">
      <c r="A344" s="253"/>
      <c r="B344" s="246"/>
      <c r="C344" s="247"/>
      <c r="D344" s="246"/>
      <c r="E344" s="246"/>
      <c r="F344" s="257" t="str">
        <f>IF($G$1,"",IF(COUNTIF(A344:E344,"")=5,"",IF(G344,入力リスト!$K$28,IF(OR(A344="",B344="",IF(COUNTIF($C$3,"*不要*"),"",C344=""),D344=""),IF(A344="","従業員番号","")&amp;IF(B344="","「雇用形態」","")&amp;IF(OR(入力シート!$J$18=入力リスト!$H$9,入力シート!$J$22=入力リスト!$H$9),IF(C344="","「入社年月日」",""),"")&amp;IF(D344="","「性別」","")&amp;IF(IF(A344="","従業員番号","")&amp;IF(B344="","「雇用形態」","")&amp;IF(OR(入力シート!$J$18=入力リスト!$H$9,入力シート!$J$22=入力リスト!$H$9),IF(C344="","「入社年月日」",""),"")&amp;IF(D344="","「性別」","")="","",入力リスト!$K$29),IF(J344,入力リスト!$K$30,"")&amp;IF(I344,入力リスト!$K$31,"")&amp;IF(H344,"「雇用形態」","")&amp;IF(K344,"「性別」","")&amp;IF(L344,"「役職」","")&amp;IF(OR(H344,K344,L344),入力リスト!$K$32,"")))))</f>
        <v/>
      </c>
      <c r="G344" s="209" t="b">
        <f>COUNTIF($A$4:A343,$A344)&gt;0</f>
        <v>0</v>
      </c>
      <c r="H344" s="210" t="b">
        <f>IF($H$1,FALSE,COUNTIF(入力シート!$S$37:$V$62,B344)=0)</f>
        <v>0</v>
      </c>
      <c r="I344" s="210" t="b">
        <f t="shared" si="12"/>
        <v>0</v>
      </c>
      <c r="J344" s="210" t="b">
        <f>IF($J$1,FALSE,IF(I344=TRUE,FALSE,IF(I344,FALSE,C344&gt;入力シート!$J$24)))</f>
        <v>0</v>
      </c>
      <c r="K344" s="210" t="b">
        <f>IF($K$1,FALSE,COUNTIF(入力シート!$AW$37:$BB$38,D344)=0)</f>
        <v>0</v>
      </c>
      <c r="L344" s="210" t="b">
        <f>IF($L$1,FALSE,IF($L$3,FALSE,IF(E344="",FALSE,COUNTIF(入力シート!$AH$37:$AK$62,E344)=0)))</f>
        <v>0</v>
      </c>
      <c r="M344" s="211" t="str">
        <f t="shared" si="11"/>
        <v/>
      </c>
      <c r="N344" s="211"/>
      <c r="O344" s="209" t="str">
        <f>IF(B344="","",VLOOKUP('従業員情報(給与以外)'!$B344,入力シート!$S$37:$Z$62,5,0))</f>
        <v/>
      </c>
      <c r="P344" s="156" t="str">
        <f>IF(ISNUMBER(C344)=FALSE,"",IF(C344&gt;入力シート!$J$24,"",_xlfn.DAYS(入力シート!$J$24,'従業員情報(給与以外)'!$C344)/365))</f>
        <v/>
      </c>
      <c r="Q344" s="210" t="str">
        <f>IF(P344="","",VLOOKUP(_xlfn.DAYS(入力シート!$J$24,'従業員情報(給与以外)'!$C344)/365,入力リスト!$K$18:$L$26,2,2))</f>
        <v/>
      </c>
      <c r="R344" s="209" t="str">
        <f>IF(D344="","",VLOOKUP('従業員情報(給与以外)'!$D344,入力シート!$AW$37:$BB$38,4,0))</f>
        <v/>
      </c>
      <c r="S344" s="209" t="str">
        <f>IF(A344="","",IF(E344="","非役職",VLOOKUP('従業員情報(給与以外)'!$E344,入力シート!$AH$37:$AO$62,5,0)))</f>
        <v/>
      </c>
      <c r="T344" s="102" t="str">
        <f>IF(OR(入力シート!$C$5&lt;&gt;入力リスト!$C$3,COUNTIF(入力シート!$J$16:$S$23,入力リスト!$H$9)=0),"",IF($A344="","",IF(ISERROR(AVERAGEIF(従業員の給与情報!$B:$B,$A344,従業員の給与情報!$C:$C)),0,IF(ISERROR(AVERAGEIF(従業員の給与情報!$B:$B,$A344,従業員の給与情報!$C:$C)),0,AVERAGEIF(従業員の給与情報!$B:$B,$A344,従業員の給与情報!$C:$C)))))</f>
        <v/>
      </c>
      <c r="U344" s="102" t="str">
        <f>IF(OR(入力シート!$C$5&lt;&gt;入力リスト!$C$3,COUNTIF(入力シート!$J$16:$S$23,入力リスト!$H$9)=0),"",IF(A344="","",IF(ISERROR(AVERAGEIF(従業員の給与情報!$B:$B,$A344,従業員の給与情報!$D:$D)),0,IF(ISERROR(AVERAGEIF(従業員の給与情報!$B:$B,$A344,従業員の給与情報!$D:$D)),0,AVERAGEIF(従業員の給与情報!$B:$B,$A344,従業員の給与情報!$D:$D)))))</f>
        <v/>
      </c>
      <c r="V344" s="102" t="str">
        <f>IF(OR(入力シート!$C$5&lt;&gt;入力リスト!$C$3,COUNTIF(入力シート!$J$16:$S$23,入力リスト!$H$9)=0),"",IF(A344="","",IF(ISERROR(AVERAGEIF(従業員の給与情報!$B:$B,$A344,従業員の給与情報!$E:$E)),0,IF(ISERROR(AVERAGEIF(従業員の給与情報!$B:$B,$A344,従業員の給与情報!$E:$E)),0,AVERAGEIF(従業員の給与情報!$B:$B,$A344,従業員の給与情報!$E:$E)))))</f>
        <v/>
      </c>
      <c r="W344" s="103" t="str">
        <f>IF(OR(入力シート!$C$5&lt;&gt;入力リスト!$C$3,COUNTIF(入力シート!$J$16:$S$23,入力リスト!$H$9)=0),"",IF(A344="","",IF(ISERROR(AVERAGEIF(従業員の給与情報!$B:$B,$A344,従業員の給与情報!$F:$F)),0,IF(ISERROR(AVERAGEIF(従業員の給与情報!$B:$B,$A344,従業員の給与情報!$F:$F)),0,AVERAGEIF(従業員の給与情報!$B:$B,$A344,従業員の給与情報!$F:$F)))))</f>
        <v/>
      </c>
    </row>
    <row r="345" spans="1:23" s="10" customFormat="1">
      <c r="A345" s="253"/>
      <c r="B345" s="246"/>
      <c r="C345" s="247"/>
      <c r="D345" s="246"/>
      <c r="E345" s="246"/>
      <c r="F345" s="257" t="str">
        <f>IF($G$1,"",IF(COUNTIF(A345:E345,"")=5,"",IF(G345,入力リスト!$K$28,IF(OR(A345="",B345="",IF(COUNTIF($C$3,"*不要*"),"",C345=""),D345=""),IF(A345="","従業員番号","")&amp;IF(B345="","「雇用形態」","")&amp;IF(OR(入力シート!$J$18=入力リスト!$H$9,入力シート!$J$22=入力リスト!$H$9),IF(C345="","「入社年月日」",""),"")&amp;IF(D345="","「性別」","")&amp;IF(IF(A345="","従業員番号","")&amp;IF(B345="","「雇用形態」","")&amp;IF(OR(入力シート!$J$18=入力リスト!$H$9,入力シート!$J$22=入力リスト!$H$9),IF(C345="","「入社年月日」",""),"")&amp;IF(D345="","「性別」","")="","",入力リスト!$K$29),IF(J345,入力リスト!$K$30,"")&amp;IF(I345,入力リスト!$K$31,"")&amp;IF(H345,"「雇用形態」","")&amp;IF(K345,"「性別」","")&amp;IF(L345,"「役職」","")&amp;IF(OR(H345,K345,L345),入力リスト!$K$32,"")))))</f>
        <v/>
      </c>
      <c r="G345" s="209" t="b">
        <f>COUNTIF($A$4:A344,$A345)&gt;0</f>
        <v>0</v>
      </c>
      <c r="H345" s="210" t="b">
        <f>IF($H$1,FALSE,COUNTIF(入力シート!$S$37:$V$62,B345)=0)</f>
        <v>0</v>
      </c>
      <c r="I345" s="210" t="b">
        <f t="shared" si="12"/>
        <v>0</v>
      </c>
      <c r="J345" s="210" t="b">
        <f>IF($J$1,FALSE,IF(I345=TRUE,FALSE,IF(I345,FALSE,C345&gt;入力シート!$J$24)))</f>
        <v>0</v>
      </c>
      <c r="K345" s="210" t="b">
        <f>IF($K$1,FALSE,COUNTIF(入力シート!$AW$37:$BB$38,D345)=0)</f>
        <v>0</v>
      </c>
      <c r="L345" s="210" t="b">
        <f>IF($L$1,FALSE,IF($L$3,FALSE,IF(E345="",FALSE,COUNTIF(入力シート!$AH$37:$AK$62,E345)=0)))</f>
        <v>0</v>
      </c>
      <c r="M345" s="211" t="str">
        <f t="shared" si="11"/>
        <v/>
      </c>
      <c r="N345" s="211"/>
      <c r="O345" s="209" t="str">
        <f>IF(B345="","",VLOOKUP('従業員情報(給与以外)'!$B345,入力シート!$S$37:$Z$62,5,0))</f>
        <v/>
      </c>
      <c r="P345" s="156" t="str">
        <f>IF(ISNUMBER(C345)=FALSE,"",IF(C345&gt;入力シート!$J$24,"",_xlfn.DAYS(入力シート!$J$24,'従業員情報(給与以外)'!$C345)/365))</f>
        <v/>
      </c>
      <c r="Q345" s="210" t="str">
        <f>IF(P345="","",VLOOKUP(_xlfn.DAYS(入力シート!$J$24,'従業員情報(給与以外)'!$C345)/365,入力リスト!$K$18:$L$26,2,2))</f>
        <v/>
      </c>
      <c r="R345" s="209" t="str">
        <f>IF(D345="","",VLOOKUP('従業員情報(給与以外)'!$D345,入力シート!$AW$37:$BB$38,4,0))</f>
        <v/>
      </c>
      <c r="S345" s="209" t="str">
        <f>IF(A345="","",IF(E345="","非役職",VLOOKUP('従業員情報(給与以外)'!$E345,入力シート!$AH$37:$AO$62,5,0)))</f>
        <v/>
      </c>
      <c r="T345" s="102" t="str">
        <f>IF(OR(入力シート!$C$5&lt;&gt;入力リスト!$C$3,COUNTIF(入力シート!$J$16:$S$23,入力リスト!$H$9)=0),"",IF($A345="","",IF(ISERROR(AVERAGEIF(従業員の給与情報!$B:$B,$A345,従業員の給与情報!$C:$C)),0,IF(ISERROR(AVERAGEIF(従業員の給与情報!$B:$B,$A345,従業員の給与情報!$C:$C)),0,AVERAGEIF(従業員の給与情報!$B:$B,$A345,従業員の給与情報!$C:$C)))))</f>
        <v/>
      </c>
      <c r="U345" s="102" t="str">
        <f>IF(OR(入力シート!$C$5&lt;&gt;入力リスト!$C$3,COUNTIF(入力シート!$J$16:$S$23,入力リスト!$H$9)=0),"",IF(A345="","",IF(ISERROR(AVERAGEIF(従業員の給与情報!$B:$B,$A345,従業員の給与情報!$D:$D)),0,IF(ISERROR(AVERAGEIF(従業員の給与情報!$B:$B,$A345,従業員の給与情報!$D:$D)),0,AVERAGEIF(従業員の給与情報!$B:$B,$A345,従業員の給与情報!$D:$D)))))</f>
        <v/>
      </c>
      <c r="V345" s="102" t="str">
        <f>IF(OR(入力シート!$C$5&lt;&gt;入力リスト!$C$3,COUNTIF(入力シート!$J$16:$S$23,入力リスト!$H$9)=0),"",IF(A345="","",IF(ISERROR(AVERAGEIF(従業員の給与情報!$B:$B,$A345,従業員の給与情報!$E:$E)),0,IF(ISERROR(AVERAGEIF(従業員の給与情報!$B:$B,$A345,従業員の給与情報!$E:$E)),0,AVERAGEIF(従業員の給与情報!$B:$B,$A345,従業員の給与情報!$E:$E)))))</f>
        <v/>
      </c>
      <c r="W345" s="103" t="str">
        <f>IF(OR(入力シート!$C$5&lt;&gt;入力リスト!$C$3,COUNTIF(入力シート!$J$16:$S$23,入力リスト!$H$9)=0),"",IF(A345="","",IF(ISERROR(AVERAGEIF(従業員の給与情報!$B:$B,$A345,従業員の給与情報!$F:$F)),0,IF(ISERROR(AVERAGEIF(従業員の給与情報!$B:$B,$A345,従業員の給与情報!$F:$F)),0,AVERAGEIF(従業員の給与情報!$B:$B,$A345,従業員の給与情報!$F:$F)))))</f>
        <v/>
      </c>
    </row>
    <row r="346" spans="1:23" s="10" customFormat="1">
      <c r="A346" s="253"/>
      <c r="B346" s="246"/>
      <c r="C346" s="247"/>
      <c r="D346" s="246"/>
      <c r="E346" s="246"/>
      <c r="F346" s="257" t="str">
        <f>IF($G$1,"",IF(COUNTIF(A346:E346,"")=5,"",IF(G346,入力リスト!$K$28,IF(OR(A346="",B346="",IF(COUNTIF($C$3,"*不要*"),"",C346=""),D346=""),IF(A346="","従業員番号","")&amp;IF(B346="","「雇用形態」","")&amp;IF(OR(入力シート!$J$18=入力リスト!$H$9,入力シート!$J$22=入力リスト!$H$9),IF(C346="","「入社年月日」",""),"")&amp;IF(D346="","「性別」","")&amp;IF(IF(A346="","従業員番号","")&amp;IF(B346="","「雇用形態」","")&amp;IF(OR(入力シート!$J$18=入力リスト!$H$9,入力シート!$J$22=入力リスト!$H$9),IF(C346="","「入社年月日」",""),"")&amp;IF(D346="","「性別」","")="","",入力リスト!$K$29),IF(J346,入力リスト!$K$30,"")&amp;IF(I346,入力リスト!$K$31,"")&amp;IF(H346,"「雇用形態」","")&amp;IF(K346,"「性別」","")&amp;IF(L346,"「役職」","")&amp;IF(OR(H346,K346,L346),入力リスト!$K$32,"")))))</f>
        <v/>
      </c>
      <c r="G346" s="209" t="b">
        <f>COUNTIF($A$4:A345,$A346)&gt;0</f>
        <v>0</v>
      </c>
      <c r="H346" s="210" t="b">
        <f>IF($H$1,FALSE,COUNTIF(入力シート!$S$37:$V$62,B346)=0)</f>
        <v>0</v>
      </c>
      <c r="I346" s="210" t="b">
        <f t="shared" si="12"/>
        <v>0</v>
      </c>
      <c r="J346" s="210" t="b">
        <f>IF($J$1,FALSE,IF(I346=TRUE,FALSE,IF(I346,FALSE,C346&gt;入力シート!$J$24)))</f>
        <v>0</v>
      </c>
      <c r="K346" s="210" t="b">
        <f>IF($K$1,FALSE,COUNTIF(入力シート!$AW$37:$BB$38,D346)=0)</f>
        <v>0</v>
      </c>
      <c r="L346" s="210" t="b">
        <f>IF($L$1,FALSE,IF($L$3,FALSE,IF(E346="",FALSE,COUNTIF(入力シート!$AH$37:$AK$62,E346)=0)))</f>
        <v>0</v>
      </c>
      <c r="M346" s="211" t="str">
        <f t="shared" si="11"/>
        <v/>
      </c>
      <c r="N346" s="211"/>
      <c r="O346" s="209" t="str">
        <f>IF(B346="","",VLOOKUP('従業員情報(給与以外)'!$B346,入力シート!$S$37:$Z$62,5,0))</f>
        <v/>
      </c>
      <c r="P346" s="156" t="str">
        <f>IF(ISNUMBER(C346)=FALSE,"",IF(C346&gt;入力シート!$J$24,"",_xlfn.DAYS(入力シート!$J$24,'従業員情報(給与以外)'!$C346)/365))</f>
        <v/>
      </c>
      <c r="Q346" s="210" t="str">
        <f>IF(P346="","",VLOOKUP(_xlfn.DAYS(入力シート!$J$24,'従業員情報(給与以外)'!$C346)/365,入力リスト!$K$18:$L$26,2,2))</f>
        <v/>
      </c>
      <c r="R346" s="209" t="str">
        <f>IF(D346="","",VLOOKUP('従業員情報(給与以外)'!$D346,入力シート!$AW$37:$BB$38,4,0))</f>
        <v/>
      </c>
      <c r="S346" s="209" t="str">
        <f>IF(A346="","",IF(E346="","非役職",VLOOKUP('従業員情報(給与以外)'!$E346,入力シート!$AH$37:$AO$62,5,0)))</f>
        <v/>
      </c>
      <c r="T346" s="102" t="str">
        <f>IF(OR(入力シート!$C$5&lt;&gt;入力リスト!$C$3,COUNTIF(入力シート!$J$16:$S$23,入力リスト!$H$9)=0),"",IF($A346="","",IF(ISERROR(AVERAGEIF(従業員の給与情報!$B:$B,$A346,従業員の給与情報!$C:$C)),0,IF(ISERROR(AVERAGEIF(従業員の給与情報!$B:$B,$A346,従業員の給与情報!$C:$C)),0,AVERAGEIF(従業員の給与情報!$B:$B,$A346,従業員の給与情報!$C:$C)))))</f>
        <v/>
      </c>
      <c r="U346" s="102" t="str">
        <f>IF(OR(入力シート!$C$5&lt;&gt;入力リスト!$C$3,COUNTIF(入力シート!$J$16:$S$23,入力リスト!$H$9)=0),"",IF(A346="","",IF(ISERROR(AVERAGEIF(従業員の給与情報!$B:$B,$A346,従業員の給与情報!$D:$D)),0,IF(ISERROR(AVERAGEIF(従業員の給与情報!$B:$B,$A346,従業員の給与情報!$D:$D)),0,AVERAGEIF(従業員の給与情報!$B:$B,$A346,従業員の給与情報!$D:$D)))))</f>
        <v/>
      </c>
      <c r="V346" s="102" t="str">
        <f>IF(OR(入力シート!$C$5&lt;&gt;入力リスト!$C$3,COUNTIF(入力シート!$J$16:$S$23,入力リスト!$H$9)=0),"",IF(A346="","",IF(ISERROR(AVERAGEIF(従業員の給与情報!$B:$B,$A346,従業員の給与情報!$E:$E)),0,IF(ISERROR(AVERAGEIF(従業員の給与情報!$B:$B,$A346,従業員の給与情報!$E:$E)),0,AVERAGEIF(従業員の給与情報!$B:$B,$A346,従業員の給与情報!$E:$E)))))</f>
        <v/>
      </c>
      <c r="W346" s="103" t="str">
        <f>IF(OR(入力シート!$C$5&lt;&gt;入力リスト!$C$3,COUNTIF(入力シート!$J$16:$S$23,入力リスト!$H$9)=0),"",IF(A346="","",IF(ISERROR(AVERAGEIF(従業員の給与情報!$B:$B,$A346,従業員の給与情報!$F:$F)),0,IF(ISERROR(AVERAGEIF(従業員の給与情報!$B:$B,$A346,従業員の給与情報!$F:$F)),0,AVERAGEIF(従業員の給与情報!$B:$B,$A346,従業員の給与情報!$F:$F)))))</f>
        <v/>
      </c>
    </row>
    <row r="347" spans="1:23" s="10" customFormat="1">
      <c r="A347" s="253"/>
      <c r="B347" s="246"/>
      <c r="C347" s="247"/>
      <c r="D347" s="246"/>
      <c r="E347" s="246"/>
      <c r="F347" s="257" t="str">
        <f>IF($G$1,"",IF(COUNTIF(A347:E347,"")=5,"",IF(G347,入力リスト!$K$28,IF(OR(A347="",B347="",IF(COUNTIF($C$3,"*不要*"),"",C347=""),D347=""),IF(A347="","従業員番号","")&amp;IF(B347="","「雇用形態」","")&amp;IF(OR(入力シート!$J$18=入力リスト!$H$9,入力シート!$J$22=入力リスト!$H$9),IF(C347="","「入社年月日」",""),"")&amp;IF(D347="","「性別」","")&amp;IF(IF(A347="","従業員番号","")&amp;IF(B347="","「雇用形態」","")&amp;IF(OR(入力シート!$J$18=入力リスト!$H$9,入力シート!$J$22=入力リスト!$H$9),IF(C347="","「入社年月日」",""),"")&amp;IF(D347="","「性別」","")="","",入力リスト!$K$29),IF(J347,入力リスト!$K$30,"")&amp;IF(I347,入力リスト!$K$31,"")&amp;IF(H347,"「雇用形態」","")&amp;IF(K347,"「性別」","")&amp;IF(L347,"「役職」","")&amp;IF(OR(H347,K347,L347),入力リスト!$K$32,"")))))</f>
        <v/>
      </c>
      <c r="G347" s="209" t="b">
        <f>COUNTIF($A$4:A346,$A347)&gt;0</f>
        <v>0</v>
      </c>
      <c r="H347" s="210" t="b">
        <f>IF($H$1,FALSE,COUNTIF(入力シート!$S$37:$V$62,B347)=0)</f>
        <v>0</v>
      </c>
      <c r="I347" s="210" t="b">
        <f t="shared" si="12"/>
        <v>0</v>
      </c>
      <c r="J347" s="210" t="b">
        <f>IF($J$1,FALSE,IF(I347=TRUE,FALSE,IF(I347,FALSE,C347&gt;入力シート!$J$24)))</f>
        <v>0</v>
      </c>
      <c r="K347" s="210" t="b">
        <f>IF($K$1,FALSE,COUNTIF(入力シート!$AW$37:$BB$38,D347)=0)</f>
        <v>0</v>
      </c>
      <c r="L347" s="210" t="b">
        <f>IF($L$1,FALSE,IF($L$3,FALSE,IF(E347="",FALSE,COUNTIF(入力シート!$AH$37:$AK$62,E347)=0)))</f>
        <v>0</v>
      </c>
      <c r="M347" s="211" t="str">
        <f t="shared" si="11"/>
        <v/>
      </c>
      <c r="N347" s="211"/>
      <c r="O347" s="209" t="str">
        <f>IF(B347="","",VLOOKUP('従業員情報(給与以外)'!$B347,入力シート!$S$37:$Z$62,5,0))</f>
        <v/>
      </c>
      <c r="P347" s="156" t="str">
        <f>IF(ISNUMBER(C347)=FALSE,"",IF(C347&gt;入力シート!$J$24,"",_xlfn.DAYS(入力シート!$J$24,'従業員情報(給与以外)'!$C347)/365))</f>
        <v/>
      </c>
      <c r="Q347" s="210" t="str">
        <f>IF(P347="","",VLOOKUP(_xlfn.DAYS(入力シート!$J$24,'従業員情報(給与以外)'!$C347)/365,入力リスト!$K$18:$L$26,2,2))</f>
        <v/>
      </c>
      <c r="R347" s="209" t="str">
        <f>IF(D347="","",VLOOKUP('従業員情報(給与以外)'!$D347,入力シート!$AW$37:$BB$38,4,0))</f>
        <v/>
      </c>
      <c r="S347" s="209" t="str">
        <f>IF(A347="","",IF(E347="","非役職",VLOOKUP('従業員情報(給与以外)'!$E347,入力シート!$AH$37:$AO$62,5,0)))</f>
        <v/>
      </c>
      <c r="T347" s="102" t="str">
        <f>IF(OR(入力シート!$C$5&lt;&gt;入力リスト!$C$3,COUNTIF(入力シート!$J$16:$S$23,入力リスト!$H$9)=0),"",IF($A347="","",IF(ISERROR(AVERAGEIF(従業員の給与情報!$B:$B,$A347,従業員の給与情報!$C:$C)),0,IF(ISERROR(AVERAGEIF(従業員の給与情報!$B:$B,$A347,従業員の給与情報!$C:$C)),0,AVERAGEIF(従業員の給与情報!$B:$B,$A347,従業員の給与情報!$C:$C)))))</f>
        <v/>
      </c>
      <c r="U347" s="102" t="str">
        <f>IF(OR(入力シート!$C$5&lt;&gt;入力リスト!$C$3,COUNTIF(入力シート!$J$16:$S$23,入力リスト!$H$9)=0),"",IF(A347="","",IF(ISERROR(AVERAGEIF(従業員の給与情報!$B:$B,$A347,従業員の給与情報!$D:$D)),0,IF(ISERROR(AVERAGEIF(従業員の給与情報!$B:$B,$A347,従業員の給与情報!$D:$D)),0,AVERAGEIF(従業員の給与情報!$B:$B,$A347,従業員の給与情報!$D:$D)))))</f>
        <v/>
      </c>
      <c r="V347" s="102" t="str">
        <f>IF(OR(入力シート!$C$5&lt;&gt;入力リスト!$C$3,COUNTIF(入力シート!$J$16:$S$23,入力リスト!$H$9)=0),"",IF(A347="","",IF(ISERROR(AVERAGEIF(従業員の給与情報!$B:$B,$A347,従業員の給与情報!$E:$E)),0,IF(ISERROR(AVERAGEIF(従業員の給与情報!$B:$B,$A347,従業員の給与情報!$E:$E)),0,AVERAGEIF(従業員の給与情報!$B:$B,$A347,従業員の給与情報!$E:$E)))))</f>
        <v/>
      </c>
      <c r="W347" s="103" t="str">
        <f>IF(OR(入力シート!$C$5&lt;&gt;入力リスト!$C$3,COUNTIF(入力シート!$J$16:$S$23,入力リスト!$H$9)=0),"",IF(A347="","",IF(ISERROR(AVERAGEIF(従業員の給与情報!$B:$B,$A347,従業員の給与情報!$F:$F)),0,IF(ISERROR(AVERAGEIF(従業員の給与情報!$B:$B,$A347,従業員の給与情報!$F:$F)),0,AVERAGEIF(従業員の給与情報!$B:$B,$A347,従業員の給与情報!$F:$F)))))</f>
        <v/>
      </c>
    </row>
    <row r="348" spans="1:23" s="10" customFormat="1">
      <c r="A348" s="253"/>
      <c r="B348" s="246"/>
      <c r="C348" s="247"/>
      <c r="D348" s="246"/>
      <c r="E348" s="246"/>
      <c r="F348" s="257" t="str">
        <f>IF($G$1,"",IF(COUNTIF(A348:E348,"")=5,"",IF(G348,入力リスト!$K$28,IF(OR(A348="",B348="",IF(COUNTIF($C$3,"*不要*"),"",C348=""),D348=""),IF(A348="","従業員番号","")&amp;IF(B348="","「雇用形態」","")&amp;IF(OR(入力シート!$J$18=入力リスト!$H$9,入力シート!$J$22=入力リスト!$H$9),IF(C348="","「入社年月日」",""),"")&amp;IF(D348="","「性別」","")&amp;IF(IF(A348="","従業員番号","")&amp;IF(B348="","「雇用形態」","")&amp;IF(OR(入力シート!$J$18=入力リスト!$H$9,入力シート!$J$22=入力リスト!$H$9),IF(C348="","「入社年月日」",""),"")&amp;IF(D348="","「性別」","")="","",入力リスト!$K$29),IF(J348,入力リスト!$K$30,"")&amp;IF(I348,入力リスト!$K$31,"")&amp;IF(H348,"「雇用形態」","")&amp;IF(K348,"「性別」","")&amp;IF(L348,"「役職」","")&amp;IF(OR(H348,K348,L348),入力リスト!$K$32,"")))))</f>
        <v/>
      </c>
      <c r="G348" s="209" t="b">
        <f>COUNTIF($A$4:A347,$A348)&gt;0</f>
        <v>0</v>
      </c>
      <c r="H348" s="210" t="b">
        <f>IF($H$1,FALSE,COUNTIF(入力シート!$S$37:$V$62,B348)=0)</f>
        <v>0</v>
      </c>
      <c r="I348" s="210" t="b">
        <f t="shared" si="12"/>
        <v>0</v>
      </c>
      <c r="J348" s="210" t="b">
        <f>IF($J$1,FALSE,IF(I348=TRUE,FALSE,IF(I348,FALSE,C348&gt;入力シート!$J$24)))</f>
        <v>0</v>
      </c>
      <c r="K348" s="210" t="b">
        <f>IF($K$1,FALSE,COUNTIF(入力シート!$AW$37:$BB$38,D348)=0)</f>
        <v>0</v>
      </c>
      <c r="L348" s="210" t="b">
        <f>IF($L$1,FALSE,IF($L$3,FALSE,IF(E348="",FALSE,COUNTIF(入力シート!$AH$37:$AK$62,E348)=0)))</f>
        <v>0</v>
      </c>
      <c r="M348" s="211" t="str">
        <f t="shared" si="11"/>
        <v/>
      </c>
      <c r="N348" s="211"/>
      <c r="O348" s="209" t="str">
        <f>IF(B348="","",VLOOKUP('従業員情報(給与以外)'!$B348,入力シート!$S$37:$Z$62,5,0))</f>
        <v/>
      </c>
      <c r="P348" s="156" t="str">
        <f>IF(ISNUMBER(C348)=FALSE,"",IF(C348&gt;入力シート!$J$24,"",_xlfn.DAYS(入力シート!$J$24,'従業員情報(給与以外)'!$C348)/365))</f>
        <v/>
      </c>
      <c r="Q348" s="210" t="str">
        <f>IF(P348="","",VLOOKUP(_xlfn.DAYS(入力シート!$J$24,'従業員情報(給与以外)'!$C348)/365,入力リスト!$K$18:$L$26,2,2))</f>
        <v/>
      </c>
      <c r="R348" s="209" t="str">
        <f>IF(D348="","",VLOOKUP('従業員情報(給与以外)'!$D348,入力シート!$AW$37:$BB$38,4,0))</f>
        <v/>
      </c>
      <c r="S348" s="209" t="str">
        <f>IF(A348="","",IF(E348="","非役職",VLOOKUP('従業員情報(給与以外)'!$E348,入力シート!$AH$37:$AO$62,5,0)))</f>
        <v/>
      </c>
      <c r="T348" s="102" t="str">
        <f>IF(OR(入力シート!$C$5&lt;&gt;入力リスト!$C$3,COUNTIF(入力シート!$J$16:$S$23,入力リスト!$H$9)=0),"",IF($A348="","",IF(ISERROR(AVERAGEIF(従業員の給与情報!$B:$B,$A348,従業員の給与情報!$C:$C)),0,IF(ISERROR(AVERAGEIF(従業員の給与情報!$B:$B,$A348,従業員の給与情報!$C:$C)),0,AVERAGEIF(従業員の給与情報!$B:$B,$A348,従業員の給与情報!$C:$C)))))</f>
        <v/>
      </c>
      <c r="U348" s="102" t="str">
        <f>IF(OR(入力シート!$C$5&lt;&gt;入力リスト!$C$3,COUNTIF(入力シート!$J$16:$S$23,入力リスト!$H$9)=0),"",IF(A348="","",IF(ISERROR(AVERAGEIF(従業員の給与情報!$B:$B,$A348,従業員の給与情報!$D:$D)),0,IF(ISERROR(AVERAGEIF(従業員の給与情報!$B:$B,$A348,従業員の給与情報!$D:$D)),0,AVERAGEIF(従業員の給与情報!$B:$B,$A348,従業員の給与情報!$D:$D)))))</f>
        <v/>
      </c>
      <c r="V348" s="102" t="str">
        <f>IF(OR(入力シート!$C$5&lt;&gt;入力リスト!$C$3,COUNTIF(入力シート!$J$16:$S$23,入力リスト!$H$9)=0),"",IF(A348="","",IF(ISERROR(AVERAGEIF(従業員の給与情報!$B:$B,$A348,従業員の給与情報!$E:$E)),0,IF(ISERROR(AVERAGEIF(従業員の給与情報!$B:$B,$A348,従業員の給与情報!$E:$E)),0,AVERAGEIF(従業員の給与情報!$B:$B,$A348,従業員の給与情報!$E:$E)))))</f>
        <v/>
      </c>
      <c r="W348" s="103" t="str">
        <f>IF(OR(入力シート!$C$5&lt;&gt;入力リスト!$C$3,COUNTIF(入力シート!$J$16:$S$23,入力リスト!$H$9)=0),"",IF(A348="","",IF(ISERROR(AVERAGEIF(従業員の給与情報!$B:$B,$A348,従業員の給与情報!$F:$F)),0,IF(ISERROR(AVERAGEIF(従業員の給与情報!$B:$B,$A348,従業員の給与情報!$F:$F)),0,AVERAGEIF(従業員の給与情報!$B:$B,$A348,従業員の給与情報!$F:$F)))))</f>
        <v/>
      </c>
    </row>
    <row r="349" spans="1:23" s="10" customFormat="1">
      <c r="A349" s="253"/>
      <c r="B349" s="246"/>
      <c r="C349" s="247"/>
      <c r="D349" s="246"/>
      <c r="E349" s="246"/>
      <c r="F349" s="257" t="str">
        <f>IF($G$1,"",IF(COUNTIF(A349:E349,"")=5,"",IF(G349,入力リスト!$K$28,IF(OR(A349="",B349="",IF(COUNTIF($C$3,"*不要*"),"",C349=""),D349=""),IF(A349="","従業員番号","")&amp;IF(B349="","「雇用形態」","")&amp;IF(OR(入力シート!$J$18=入力リスト!$H$9,入力シート!$J$22=入力リスト!$H$9),IF(C349="","「入社年月日」",""),"")&amp;IF(D349="","「性別」","")&amp;IF(IF(A349="","従業員番号","")&amp;IF(B349="","「雇用形態」","")&amp;IF(OR(入力シート!$J$18=入力リスト!$H$9,入力シート!$J$22=入力リスト!$H$9),IF(C349="","「入社年月日」",""),"")&amp;IF(D349="","「性別」","")="","",入力リスト!$K$29),IF(J349,入力リスト!$K$30,"")&amp;IF(I349,入力リスト!$K$31,"")&amp;IF(H349,"「雇用形態」","")&amp;IF(K349,"「性別」","")&amp;IF(L349,"「役職」","")&amp;IF(OR(H349,K349,L349),入力リスト!$K$32,"")))))</f>
        <v/>
      </c>
      <c r="G349" s="209" t="b">
        <f>COUNTIF($A$4:A348,$A349)&gt;0</f>
        <v>0</v>
      </c>
      <c r="H349" s="210" t="b">
        <f>IF($H$1,FALSE,COUNTIF(入力シート!$S$37:$V$62,B349)=0)</f>
        <v>0</v>
      </c>
      <c r="I349" s="210" t="b">
        <f t="shared" si="12"/>
        <v>0</v>
      </c>
      <c r="J349" s="210" t="b">
        <f>IF($J$1,FALSE,IF(I349=TRUE,FALSE,IF(I349,FALSE,C349&gt;入力シート!$J$24)))</f>
        <v>0</v>
      </c>
      <c r="K349" s="210" t="b">
        <f>IF($K$1,FALSE,COUNTIF(入力シート!$AW$37:$BB$38,D349)=0)</f>
        <v>0</v>
      </c>
      <c r="L349" s="210" t="b">
        <f>IF($L$1,FALSE,IF($L$3,FALSE,IF(E349="",FALSE,COUNTIF(入力シート!$AH$37:$AK$62,E349)=0)))</f>
        <v>0</v>
      </c>
      <c r="M349" s="211" t="str">
        <f t="shared" si="11"/>
        <v/>
      </c>
      <c r="N349" s="211"/>
      <c r="O349" s="209" t="str">
        <f>IF(B349="","",VLOOKUP('従業員情報(給与以外)'!$B349,入力シート!$S$37:$Z$62,5,0))</f>
        <v/>
      </c>
      <c r="P349" s="156" t="str">
        <f>IF(ISNUMBER(C349)=FALSE,"",IF(C349&gt;入力シート!$J$24,"",_xlfn.DAYS(入力シート!$J$24,'従業員情報(給与以外)'!$C349)/365))</f>
        <v/>
      </c>
      <c r="Q349" s="210" t="str">
        <f>IF(P349="","",VLOOKUP(_xlfn.DAYS(入力シート!$J$24,'従業員情報(給与以外)'!$C349)/365,入力リスト!$K$18:$L$26,2,2))</f>
        <v/>
      </c>
      <c r="R349" s="209" t="str">
        <f>IF(D349="","",VLOOKUP('従業員情報(給与以外)'!$D349,入力シート!$AW$37:$BB$38,4,0))</f>
        <v/>
      </c>
      <c r="S349" s="209" t="str">
        <f>IF(A349="","",IF(E349="","非役職",VLOOKUP('従業員情報(給与以外)'!$E349,入力シート!$AH$37:$AO$62,5,0)))</f>
        <v/>
      </c>
      <c r="T349" s="102" t="str">
        <f>IF(OR(入力シート!$C$5&lt;&gt;入力リスト!$C$3,COUNTIF(入力シート!$J$16:$S$23,入力リスト!$H$9)=0),"",IF($A349="","",IF(ISERROR(AVERAGEIF(従業員の給与情報!$B:$B,$A349,従業員の給与情報!$C:$C)),0,IF(ISERROR(AVERAGEIF(従業員の給与情報!$B:$B,$A349,従業員の給与情報!$C:$C)),0,AVERAGEIF(従業員の給与情報!$B:$B,$A349,従業員の給与情報!$C:$C)))))</f>
        <v/>
      </c>
      <c r="U349" s="102" t="str">
        <f>IF(OR(入力シート!$C$5&lt;&gt;入力リスト!$C$3,COUNTIF(入力シート!$J$16:$S$23,入力リスト!$H$9)=0),"",IF(A349="","",IF(ISERROR(AVERAGEIF(従業員の給与情報!$B:$B,$A349,従業員の給与情報!$D:$D)),0,IF(ISERROR(AVERAGEIF(従業員の給与情報!$B:$B,$A349,従業員の給与情報!$D:$D)),0,AVERAGEIF(従業員の給与情報!$B:$B,$A349,従業員の給与情報!$D:$D)))))</f>
        <v/>
      </c>
      <c r="V349" s="102" t="str">
        <f>IF(OR(入力シート!$C$5&lt;&gt;入力リスト!$C$3,COUNTIF(入力シート!$J$16:$S$23,入力リスト!$H$9)=0),"",IF(A349="","",IF(ISERROR(AVERAGEIF(従業員の給与情報!$B:$B,$A349,従業員の給与情報!$E:$E)),0,IF(ISERROR(AVERAGEIF(従業員の給与情報!$B:$B,$A349,従業員の給与情報!$E:$E)),0,AVERAGEIF(従業員の給与情報!$B:$B,$A349,従業員の給与情報!$E:$E)))))</f>
        <v/>
      </c>
      <c r="W349" s="103" t="str">
        <f>IF(OR(入力シート!$C$5&lt;&gt;入力リスト!$C$3,COUNTIF(入力シート!$J$16:$S$23,入力リスト!$H$9)=0),"",IF(A349="","",IF(ISERROR(AVERAGEIF(従業員の給与情報!$B:$B,$A349,従業員の給与情報!$F:$F)),0,IF(ISERROR(AVERAGEIF(従業員の給与情報!$B:$B,$A349,従業員の給与情報!$F:$F)),0,AVERAGEIF(従業員の給与情報!$B:$B,$A349,従業員の給与情報!$F:$F)))))</f>
        <v/>
      </c>
    </row>
    <row r="350" spans="1:23" s="10" customFormat="1">
      <c r="A350" s="253"/>
      <c r="B350" s="246"/>
      <c r="C350" s="247"/>
      <c r="D350" s="246"/>
      <c r="E350" s="246"/>
      <c r="F350" s="257" t="str">
        <f>IF($G$1,"",IF(COUNTIF(A350:E350,"")=5,"",IF(G350,入力リスト!$K$28,IF(OR(A350="",B350="",IF(COUNTIF($C$3,"*不要*"),"",C350=""),D350=""),IF(A350="","従業員番号","")&amp;IF(B350="","「雇用形態」","")&amp;IF(OR(入力シート!$J$18=入力リスト!$H$9,入力シート!$J$22=入力リスト!$H$9),IF(C350="","「入社年月日」",""),"")&amp;IF(D350="","「性別」","")&amp;IF(IF(A350="","従業員番号","")&amp;IF(B350="","「雇用形態」","")&amp;IF(OR(入力シート!$J$18=入力リスト!$H$9,入力シート!$J$22=入力リスト!$H$9),IF(C350="","「入社年月日」",""),"")&amp;IF(D350="","「性別」","")="","",入力リスト!$K$29),IF(J350,入力リスト!$K$30,"")&amp;IF(I350,入力リスト!$K$31,"")&amp;IF(H350,"「雇用形態」","")&amp;IF(K350,"「性別」","")&amp;IF(L350,"「役職」","")&amp;IF(OR(H350,K350,L350),入力リスト!$K$32,"")))))</f>
        <v/>
      </c>
      <c r="G350" s="209" t="b">
        <f>COUNTIF($A$4:A349,$A350)&gt;0</f>
        <v>0</v>
      </c>
      <c r="H350" s="210" t="b">
        <f>IF($H$1,FALSE,COUNTIF(入力シート!$S$37:$V$62,B350)=0)</f>
        <v>0</v>
      </c>
      <c r="I350" s="210" t="b">
        <f t="shared" si="12"/>
        <v>0</v>
      </c>
      <c r="J350" s="210" t="b">
        <f>IF($J$1,FALSE,IF(I350=TRUE,FALSE,IF(I350,FALSE,C350&gt;入力シート!$J$24)))</f>
        <v>0</v>
      </c>
      <c r="K350" s="210" t="b">
        <f>IF($K$1,FALSE,COUNTIF(入力シート!$AW$37:$BB$38,D350)=0)</f>
        <v>0</v>
      </c>
      <c r="L350" s="210" t="b">
        <f>IF($L$1,FALSE,IF($L$3,FALSE,IF(E350="",FALSE,COUNTIF(入力シート!$AH$37:$AK$62,E350)=0)))</f>
        <v>0</v>
      </c>
      <c r="M350" s="211" t="str">
        <f t="shared" si="11"/>
        <v/>
      </c>
      <c r="N350" s="211"/>
      <c r="O350" s="209" t="str">
        <f>IF(B350="","",VLOOKUP('従業員情報(給与以外)'!$B350,入力シート!$S$37:$Z$62,5,0))</f>
        <v/>
      </c>
      <c r="P350" s="156" t="str">
        <f>IF(ISNUMBER(C350)=FALSE,"",IF(C350&gt;入力シート!$J$24,"",_xlfn.DAYS(入力シート!$J$24,'従業員情報(給与以外)'!$C350)/365))</f>
        <v/>
      </c>
      <c r="Q350" s="210" t="str">
        <f>IF(P350="","",VLOOKUP(_xlfn.DAYS(入力シート!$J$24,'従業員情報(給与以外)'!$C350)/365,入力リスト!$K$18:$L$26,2,2))</f>
        <v/>
      </c>
      <c r="R350" s="209" t="str">
        <f>IF(D350="","",VLOOKUP('従業員情報(給与以外)'!$D350,入力シート!$AW$37:$BB$38,4,0))</f>
        <v/>
      </c>
      <c r="S350" s="209" t="str">
        <f>IF(A350="","",IF(E350="","非役職",VLOOKUP('従業員情報(給与以外)'!$E350,入力シート!$AH$37:$AO$62,5,0)))</f>
        <v/>
      </c>
      <c r="T350" s="102" t="str">
        <f>IF(OR(入力シート!$C$5&lt;&gt;入力リスト!$C$3,COUNTIF(入力シート!$J$16:$S$23,入力リスト!$H$9)=0),"",IF($A350="","",IF(ISERROR(AVERAGEIF(従業員の給与情報!$B:$B,$A350,従業員の給与情報!$C:$C)),0,IF(ISERROR(AVERAGEIF(従業員の給与情報!$B:$B,$A350,従業員の給与情報!$C:$C)),0,AVERAGEIF(従業員の給与情報!$B:$B,$A350,従業員の給与情報!$C:$C)))))</f>
        <v/>
      </c>
      <c r="U350" s="102" t="str">
        <f>IF(OR(入力シート!$C$5&lt;&gt;入力リスト!$C$3,COUNTIF(入力シート!$J$16:$S$23,入力リスト!$H$9)=0),"",IF(A350="","",IF(ISERROR(AVERAGEIF(従業員の給与情報!$B:$B,$A350,従業員の給与情報!$D:$D)),0,IF(ISERROR(AVERAGEIF(従業員の給与情報!$B:$B,$A350,従業員の給与情報!$D:$D)),0,AVERAGEIF(従業員の給与情報!$B:$B,$A350,従業員の給与情報!$D:$D)))))</f>
        <v/>
      </c>
      <c r="V350" s="102" t="str">
        <f>IF(OR(入力シート!$C$5&lt;&gt;入力リスト!$C$3,COUNTIF(入力シート!$J$16:$S$23,入力リスト!$H$9)=0),"",IF(A350="","",IF(ISERROR(AVERAGEIF(従業員の給与情報!$B:$B,$A350,従業員の給与情報!$E:$E)),0,IF(ISERROR(AVERAGEIF(従業員の給与情報!$B:$B,$A350,従業員の給与情報!$E:$E)),0,AVERAGEIF(従業員の給与情報!$B:$B,$A350,従業員の給与情報!$E:$E)))))</f>
        <v/>
      </c>
      <c r="W350" s="103" t="str">
        <f>IF(OR(入力シート!$C$5&lt;&gt;入力リスト!$C$3,COUNTIF(入力シート!$J$16:$S$23,入力リスト!$H$9)=0),"",IF(A350="","",IF(ISERROR(AVERAGEIF(従業員の給与情報!$B:$B,$A350,従業員の給与情報!$F:$F)),0,IF(ISERROR(AVERAGEIF(従業員の給与情報!$B:$B,$A350,従業員の給与情報!$F:$F)),0,AVERAGEIF(従業員の給与情報!$B:$B,$A350,従業員の給与情報!$F:$F)))))</f>
        <v/>
      </c>
    </row>
    <row r="351" spans="1:23" s="10" customFormat="1">
      <c r="A351" s="253"/>
      <c r="B351" s="246"/>
      <c r="C351" s="247"/>
      <c r="D351" s="246"/>
      <c r="E351" s="246"/>
      <c r="F351" s="257" t="str">
        <f>IF($G$1,"",IF(COUNTIF(A351:E351,"")=5,"",IF(G351,入力リスト!$K$28,IF(OR(A351="",B351="",IF(COUNTIF($C$3,"*不要*"),"",C351=""),D351=""),IF(A351="","従業員番号","")&amp;IF(B351="","「雇用形態」","")&amp;IF(OR(入力シート!$J$18=入力リスト!$H$9,入力シート!$J$22=入力リスト!$H$9),IF(C351="","「入社年月日」",""),"")&amp;IF(D351="","「性別」","")&amp;IF(IF(A351="","従業員番号","")&amp;IF(B351="","「雇用形態」","")&amp;IF(OR(入力シート!$J$18=入力リスト!$H$9,入力シート!$J$22=入力リスト!$H$9),IF(C351="","「入社年月日」",""),"")&amp;IF(D351="","「性別」","")="","",入力リスト!$K$29),IF(J351,入力リスト!$K$30,"")&amp;IF(I351,入力リスト!$K$31,"")&amp;IF(H351,"「雇用形態」","")&amp;IF(K351,"「性別」","")&amp;IF(L351,"「役職」","")&amp;IF(OR(H351,K351,L351),入力リスト!$K$32,"")))))</f>
        <v/>
      </c>
      <c r="G351" s="209" t="b">
        <f>COUNTIF($A$4:A350,$A351)&gt;0</f>
        <v>0</v>
      </c>
      <c r="H351" s="210" t="b">
        <f>IF($H$1,FALSE,COUNTIF(入力シート!$S$37:$V$62,B351)=0)</f>
        <v>0</v>
      </c>
      <c r="I351" s="210" t="b">
        <f t="shared" si="12"/>
        <v>0</v>
      </c>
      <c r="J351" s="210" t="b">
        <f>IF($J$1,FALSE,IF(I351=TRUE,FALSE,IF(I351,FALSE,C351&gt;入力シート!$J$24)))</f>
        <v>0</v>
      </c>
      <c r="K351" s="210" t="b">
        <f>IF($K$1,FALSE,COUNTIF(入力シート!$AW$37:$BB$38,D351)=0)</f>
        <v>0</v>
      </c>
      <c r="L351" s="210" t="b">
        <f>IF($L$1,FALSE,IF($L$3,FALSE,IF(E351="",FALSE,COUNTIF(入力シート!$AH$37:$AK$62,E351)=0)))</f>
        <v>0</v>
      </c>
      <c r="M351" s="211" t="str">
        <f t="shared" si="11"/>
        <v/>
      </c>
      <c r="N351" s="211"/>
      <c r="O351" s="209" t="str">
        <f>IF(B351="","",VLOOKUP('従業員情報(給与以外)'!$B351,入力シート!$S$37:$Z$62,5,0))</f>
        <v/>
      </c>
      <c r="P351" s="156" t="str">
        <f>IF(ISNUMBER(C351)=FALSE,"",IF(C351&gt;入力シート!$J$24,"",_xlfn.DAYS(入力シート!$J$24,'従業員情報(給与以外)'!$C351)/365))</f>
        <v/>
      </c>
      <c r="Q351" s="210" t="str">
        <f>IF(P351="","",VLOOKUP(_xlfn.DAYS(入力シート!$J$24,'従業員情報(給与以外)'!$C351)/365,入力リスト!$K$18:$L$26,2,2))</f>
        <v/>
      </c>
      <c r="R351" s="209" t="str">
        <f>IF(D351="","",VLOOKUP('従業員情報(給与以外)'!$D351,入力シート!$AW$37:$BB$38,4,0))</f>
        <v/>
      </c>
      <c r="S351" s="209" t="str">
        <f>IF(A351="","",IF(E351="","非役職",VLOOKUP('従業員情報(給与以外)'!$E351,入力シート!$AH$37:$AO$62,5,0)))</f>
        <v/>
      </c>
      <c r="T351" s="102" t="str">
        <f>IF(OR(入力シート!$C$5&lt;&gt;入力リスト!$C$3,COUNTIF(入力シート!$J$16:$S$23,入力リスト!$H$9)=0),"",IF($A351="","",IF(ISERROR(AVERAGEIF(従業員の給与情報!$B:$B,$A351,従業員の給与情報!$C:$C)),0,IF(ISERROR(AVERAGEIF(従業員の給与情報!$B:$B,$A351,従業員の給与情報!$C:$C)),0,AVERAGEIF(従業員の給与情報!$B:$B,$A351,従業員の給与情報!$C:$C)))))</f>
        <v/>
      </c>
      <c r="U351" s="102" t="str">
        <f>IF(OR(入力シート!$C$5&lt;&gt;入力リスト!$C$3,COUNTIF(入力シート!$J$16:$S$23,入力リスト!$H$9)=0),"",IF(A351="","",IF(ISERROR(AVERAGEIF(従業員の給与情報!$B:$B,$A351,従業員の給与情報!$D:$D)),0,IF(ISERROR(AVERAGEIF(従業員の給与情報!$B:$B,$A351,従業員の給与情報!$D:$D)),0,AVERAGEIF(従業員の給与情報!$B:$B,$A351,従業員の給与情報!$D:$D)))))</f>
        <v/>
      </c>
      <c r="V351" s="102" t="str">
        <f>IF(OR(入力シート!$C$5&lt;&gt;入力リスト!$C$3,COUNTIF(入力シート!$J$16:$S$23,入力リスト!$H$9)=0),"",IF(A351="","",IF(ISERROR(AVERAGEIF(従業員の給与情報!$B:$B,$A351,従業員の給与情報!$E:$E)),0,IF(ISERROR(AVERAGEIF(従業員の給与情報!$B:$B,$A351,従業員の給与情報!$E:$E)),0,AVERAGEIF(従業員の給与情報!$B:$B,$A351,従業員の給与情報!$E:$E)))))</f>
        <v/>
      </c>
      <c r="W351" s="103" t="str">
        <f>IF(OR(入力シート!$C$5&lt;&gt;入力リスト!$C$3,COUNTIF(入力シート!$J$16:$S$23,入力リスト!$H$9)=0),"",IF(A351="","",IF(ISERROR(AVERAGEIF(従業員の給与情報!$B:$B,$A351,従業員の給与情報!$F:$F)),0,IF(ISERROR(AVERAGEIF(従業員の給与情報!$B:$B,$A351,従業員の給与情報!$F:$F)),0,AVERAGEIF(従業員の給与情報!$B:$B,$A351,従業員の給与情報!$F:$F)))))</f>
        <v/>
      </c>
    </row>
    <row r="352" spans="1:23" s="10" customFormat="1">
      <c r="A352" s="253"/>
      <c r="B352" s="246"/>
      <c r="C352" s="247"/>
      <c r="D352" s="246"/>
      <c r="E352" s="246"/>
      <c r="F352" s="257" t="str">
        <f>IF($G$1,"",IF(COUNTIF(A352:E352,"")=5,"",IF(G352,入力リスト!$K$28,IF(OR(A352="",B352="",IF(COUNTIF($C$3,"*不要*"),"",C352=""),D352=""),IF(A352="","従業員番号","")&amp;IF(B352="","「雇用形態」","")&amp;IF(OR(入力シート!$J$18=入力リスト!$H$9,入力シート!$J$22=入力リスト!$H$9),IF(C352="","「入社年月日」",""),"")&amp;IF(D352="","「性別」","")&amp;IF(IF(A352="","従業員番号","")&amp;IF(B352="","「雇用形態」","")&amp;IF(OR(入力シート!$J$18=入力リスト!$H$9,入力シート!$J$22=入力リスト!$H$9),IF(C352="","「入社年月日」",""),"")&amp;IF(D352="","「性別」","")="","",入力リスト!$K$29),IF(J352,入力リスト!$K$30,"")&amp;IF(I352,入力リスト!$K$31,"")&amp;IF(H352,"「雇用形態」","")&amp;IF(K352,"「性別」","")&amp;IF(L352,"「役職」","")&amp;IF(OR(H352,K352,L352),入力リスト!$K$32,"")))))</f>
        <v/>
      </c>
      <c r="G352" s="209" t="b">
        <f>COUNTIF($A$4:A351,$A352)&gt;0</f>
        <v>0</v>
      </c>
      <c r="H352" s="210" t="b">
        <f>IF($H$1,FALSE,COUNTIF(入力シート!$S$37:$V$62,B352)=0)</f>
        <v>0</v>
      </c>
      <c r="I352" s="210" t="b">
        <f t="shared" si="12"/>
        <v>0</v>
      </c>
      <c r="J352" s="210" t="b">
        <f>IF($J$1,FALSE,IF(I352=TRUE,FALSE,IF(I352,FALSE,C352&gt;入力シート!$J$24)))</f>
        <v>0</v>
      </c>
      <c r="K352" s="210" t="b">
        <f>IF($K$1,FALSE,COUNTIF(入力シート!$AW$37:$BB$38,D352)=0)</f>
        <v>0</v>
      </c>
      <c r="L352" s="210" t="b">
        <f>IF($L$1,FALSE,IF($L$3,FALSE,IF(E352="",FALSE,COUNTIF(入力シート!$AH$37:$AK$62,E352)=0)))</f>
        <v>0</v>
      </c>
      <c r="M352" s="211" t="str">
        <f t="shared" si="11"/>
        <v/>
      </c>
      <c r="N352" s="211"/>
      <c r="O352" s="209" t="str">
        <f>IF(B352="","",VLOOKUP('従業員情報(給与以外)'!$B352,入力シート!$S$37:$Z$62,5,0))</f>
        <v/>
      </c>
      <c r="P352" s="156" t="str">
        <f>IF(ISNUMBER(C352)=FALSE,"",IF(C352&gt;入力シート!$J$24,"",_xlfn.DAYS(入力シート!$J$24,'従業員情報(給与以外)'!$C352)/365))</f>
        <v/>
      </c>
      <c r="Q352" s="210" t="str">
        <f>IF(P352="","",VLOOKUP(_xlfn.DAYS(入力シート!$J$24,'従業員情報(給与以外)'!$C352)/365,入力リスト!$K$18:$L$26,2,2))</f>
        <v/>
      </c>
      <c r="R352" s="209" t="str">
        <f>IF(D352="","",VLOOKUP('従業員情報(給与以外)'!$D352,入力シート!$AW$37:$BB$38,4,0))</f>
        <v/>
      </c>
      <c r="S352" s="209" t="str">
        <f>IF(A352="","",IF(E352="","非役職",VLOOKUP('従業員情報(給与以外)'!$E352,入力シート!$AH$37:$AO$62,5,0)))</f>
        <v/>
      </c>
      <c r="T352" s="102" t="str">
        <f>IF(OR(入力シート!$C$5&lt;&gt;入力リスト!$C$3,COUNTIF(入力シート!$J$16:$S$23,入力リスト!$H$9)=0),"",IF($A352="","",IF(ISERROR(AVERAGEIF(従業員の給与情報!$B:$B,$A352,従業員の給与情報!$C:$C)),0,IF(ISERROR(AVERAGEIF(従業員の給与情報!$B:$B,$A352,従業員の給与情報!$C:$C)),0,AVERAGEIF(従業員の給与情報!$B:$B,$A352,従業員の給与情報!$C:$C)))))</f>
        <v/>
      </c>
      <c r="U352" s="102" t="str">
        <f>IF(OR(入力シート!$C$5&lt;&gt;入力リスト!$C$3,COUNTIF(入力シート!$J$16:$S$23,入力リスト!$H$9)=0),"",IF(A352="","",IF(ISERROR(AVERAGEIF(従業員の給与情報!$B:$B,$A352,従業員の給与情報!$D:$D)),0,IF(ISERROR(AVERAGEIF(従業員の給与情報!$B:$B,$A352,従業員の給与情報!$D:$D)),0,AVERAGEIF(従業員の給与情報!$B:$B,$A352,従業員の給与情報!$D:$D)))))</f>
        <v/>
      </c>
      <c r="V352" s="102" t="str">
        <f>IF(OR(入力シート!$C$5&lt;&gt;入力リスト!$C$3,COUNTIF(入力シート!$J$16:$S$23,入力リスト!$H$9)=0),"",IF(A352="","",IF(ISERROR(AVERAGEIF(従業員の給与情報!$B:$B,$A352,従業員の給与情報!$E:$E)),0,IF(ISERROR(AVERAGEIF(従業員の給与情報!$B:$B,$A352,従業員の給与情報!$E:$E)),0,AVERAGEIF(従業員の給与情報!$B:$B,$A352,従業員の給与情報!$E:$E)))))</f>
        <v/>
      </c>
      <c r="W352" s="103" t="str">
        <f>IF(OR(入力シート!$C$5&lt;&gt;入力リスト!$C$3,COUNTIF(入力シート!$J$16:$S$23,入力リスト!$H$9)=0),"",IF(A352="","",IF(ISERROR(AVERAGEIF(従業員の給与情報!$B:$B,$A352,従業員の給与情報!$F:$F)),0,IF(ISERROR(AVERAGEIF(従業員の給与情報!$B:$B,$A352,従業員の給与情報!$F:$F)),0,AVERAGEIF(従業員の給与情報!$B:$B,$A352,従業員の給与情報!$F:$F)))))</f>
        <v/>
      </c>
    </row>
    <row r="353" spans="1:23" s="10" customFormat="1">
      <c r="A353" s="253"/>
      <c r="B353" s="246"/>
      <c r="C353" s="247"/>
      <c r="D353" s="246"/>
      <c r="E353" s="246"/>
      <c r="F353" s="257" t="str">
        <f>IF($G$1,"",IF(COUNTIF(A353:E353,"")=5,"",IF(G353,入力リスト!$K$28,IF(OR(A353="",B353="",IF(COUNTIF($C$3,"*不要*"),"",C353=""),D353=""),IF(A353="","従業員番号","")&amp;IF(B353="","「雇用形態」","")&amp;IF(OR(入力シート!$J$18=入力リスト!$H$9,入力シート!$J$22=入力リスト!$H$9),IF(C353="","「入社年月日」",""),"")&amp;IF(D353="","「性別」","")&amp;IF(IF(A353="","従業員番号","")&amp;IF(B353="","「雇用形態」","")&amp;IF(OR(入力シート!$J$18=入力リスト!$H$9,入力シート!$J$22=入力リスト!$H$9),IF(C353="","「入社年月日」",""),"")&amp;IF(D353="","「性別」","")="","",入力リスト!$K$29),IF(J353,入力リスト!$K$30,"")&amp;IF(I353,入力リスト!$K$31,"")&amp;IF(H353,"「雇用形態」","")&amp;IF(K353,"「性別」","")&amp;IF(L353,"「役職」","")&amp;IF(OR(H353,K353,L353),入力リスト!$K$32,"")))))</f>
        <v/>
      </c>
      <c r="G353" s="209" t="b">
        <f>COUNTIF($A$4:A352,$A353)&gt;0</f>
        <v>0</v>
      </c>
      <c r="H353" s="210" t="b">
        <f>IF($H$1,FALSE,COUNTIF(入力シート!$S$37:$V$62,B353)=0)</f>
        <v>0</v>
      </c>
      <c r="I353" s="210" t="b">
        <f t="shared" si="12"/>
        <v>0</v>
      </c>
      <c r="J353" s="210" t="b">
        <f>IF($J$1,FALSE,IF(I353=TRUE,FALSE,IF(I353,FALSE,C353&gt;入力シート!$J$24)))</f>
        <v>0</v>
      </c>
      <c r="K353" s="210" t="b">
        <f>IF($K$1,FALSE,COUNTIF(入力シート!$AW$37:$BB$38,D353)=0)</f>
        <v>0</v>
      </c>
      <c r="L353" s="210" t="b">
        <f>IF($L$1,FALSE,IF($L$3,FALSE,IF(E353="",FALSE,COUNTIF(入力シート!$AH$37:$AK$62,E353)=0)))</f>
        <v>0</v>
      </c>
      <c r="M353" s="211" t="str">
        <f t="shared" si="11"/>
        <v/>
      </c>
      <c r="N353" s="211"/>
      <c r="O353" s="209" t="str">
        <f>IF(B353="","",VLOOKUP('従業員情報(給与以外)'!$B353,入力シート!$S$37:$Z$62,5,0))</f>
        <v/>
      </c>
      <c r="P353" s="156" t="str">
        <f>IF(ISNUMBER(C353)=FALSE,"",IF(C353&gt;入力シート!$J$24,"",_xlfn.DAYS(入力シート!$J$24,'従業員情報(給与以外)'!$C353)/365))</f>
        <v/>
      </c>
      <c r="Q353" s="210" t="str">
        <f>IF(P353="","",VLOOKUP(_xlfn.DAYS(入力シート!$J$24,'従業員情報(給与以外)'!$C353)/365,入力リスト!$K$18:$L$26,2,2))</f>
        <v/>
      </c>
      <c r="R353" s="209" t="str">
        <f>IF(D353="","",VLOOKUP('従業員情報(給与以外)'!$D353,入力シート!$AW$37:$BB$38,4,0))</f>
        <v/>
      </c>
      <c r="S353" s="209" t="str">
        <f>IF(A353="","",IF(E353="","非役職",VLOOKUP('従業員情報(給与以外)'!$E353,入力シート!$AH$37:$AO$62,5,0)))</f>
        <v/>
      </c>
      <c r="T353" s="102" t="str">
        <f>IF(OR(入力シート!$C$5&lt;&gt;入力リスト!$C$3,COUNTIF(入力シート!$J$16:$S$23,入力リスト!$H$9)=0),"",IF($A353="","",IF(ISERROR(AVERAGEIF(従業員の給与情報!$B:$B,$A353,従業員の給与情報!$C:$C)),0,IF(ISERROR(AVERAGEIF(従業員の給与情報!$B:$B,$A353,従業員の給与情報!$C:$C)),0,AVERAGEIF(従業員の給与情報!$B:$B,$A353,従業員の給与情報!$C:$C)))))</f>
        <v/>
      </c>
      <c r="U353" s="102" t="str">
        <f>IF(OR(入力シート!$C$5&lt;&gt;入力リスト!$C$3,COUNTIF(入力シート!$J$16:$S$23,入力リスト!$H$9)=0),"",IF(A353="","",IF(ISERROR(AVERAGEIF(従業員の給与情報!$B:$B,$A353,従業員の給与情報!$D:$D)),0,IF(ISERROR(AVERAGEIF(従業員の給与情報!$B:$B,$A353,従業員の給与情報!$D:$D)),0,AVERAGEIF(従業員の給与情報!$B:$B,$A353,従業員の給与情報!$D:$D)))))</f>
        <v/>
      </c>
      <c r="V353" s="102" t="str">
        <f>IF(OR(入力シート!$C$5&lt;&gt;入力リスト!$C$3,COUNTIF(入力シート!$J$16:$S$23,入力リスト!$H$9)=0),"",IF(A353="","",IF(ISERROR(AVERAGEIF(従業員の給与情報!$B:$B,$A353,従業員の給与情報!$E:$E)),0,IF(ISERROR(AVERAGEIF(従業員の給与情報!$B:$B,$A353,従業員の給与情報!$E:$E)),0,AVERAGEIF(従業員の給与情報!$B:$B,$A353,従業員の給与情報!$E:$E)))))</f>
        <v/>
      </c>
      <c r="W353" s="103" t="str">
        <f>IF(OR(入力シート!$C$5&lt;&gt;入力リスト!$C$3,COUNTIF(入力シート!$J$16:$S$23,入力リスト!$H$9)=0),"",IF(A353="","",IF(ISERROR(AVERAGEIF(従業員の給与情報!$B:$B,$A353,従業員の給与情報!$F:$F)),0,IF(ISERROR(AVERAGEIF(従業員の給与情報!$B:$B,$A353,従業員の給与情報!$F:$F)),0,AVERAGEIF(従業員の給与情報!$B:$B,$A353,従業員の給与情報!$F:$F)))))</f>
        <v/>
      </c>
    </row>
    <row r="354" spans="1:23" s="10" customFormat="1">
      <c r="A354" s="253"/>
      <c r="B354" s="246"/>
      <c r="C354" s="247"/>
      <c r="D354" s="246"/>
      <c r="E354" s="246"/>
      <c r="F354" s="257" t="str">
        <f>IF($G$1,"",IF(COUNTIF(A354:E354,"")=5,"",IF(G354,入力リスト!$K$28,IF(OR(A354="",B354="",IF(COUNTIF($C$3,"*不要*"),"",C354=""),D354=""),IF(A354="","従業員番号","")&amp;IF(B354="","「雇用形態」","")&amp;IF(OR(入力シート!$J$18=入力リスト!$H$9,入力シート!$J$22=入力リスト!$H$9),IF(C354="","「入社年月日」",""),"")&amp;IF(D354="","「性別」","")&amp;IF(IF(A354="","従業員番号","")&amp;IF(B354="","「雇用形態」","")&amp;IF(OR(入力シート!$J$18=入力リスト!$H$9,入力シート!$J$22=入力リスト!$H$9),IF(C354="","「入社年月日」",""),"")&amp;IF(D354="","「性別」","")="","",入力リスト!$K$29),IF(J354,入力リスト!$K$30,"")&amp;IF(I354,入力リスト!$K$31,"")&amp;IF(H354,"「雇用形態」","")&amp;IF(K354,"「性別」","")&amp;IF(L354,"「役職」","")&amp;IF(OR(H354,K354,L354),入力リスト!$K$32,"")))))</f>
        <v/>
      </c>
      <c r="G354" s="209" t="b">
        <f>COUNTIF($A$4:A353,$A354)&gt;0</f>
        <v>0</v>
      </c>
      <c r="H354" s="210" t="b">
        <f>IF($H$1,FALSE,COUNTIF(入力シート!$S$37:$V$62,B354)=0)</f>
        <v>0</v>
      </c>
      <c r="I354" s="210" t="b">
        <f t="shared" si="12"/>
        <v>0</v>
      </c>
      <c r="J354" s="210" t="b">
        <f>IF($J$1,FALSE,IF(I354=TRUE,FALSE,IF(I354,FALSE,C354&gt;入力シート!$J$24)))</f>
        <v>0</v>
      </c>
      <c r="K354" s="210" t="b">
        <f>IF($K$1,FALSE,COUNTIF(入力シート!$AW$37:$BB$38,D354)=0)</f>
        <v>0</v>
      </c>
      <c r="L354" s="210" t="b">
        <f>IF($L$1,FALSE,IF($L$3,FALSE,IF(E354="",FALSE,COUNTIF(入力シート!$AH$37:$AK$62,E354)=0)))</f>
        <v>0</v>
      </c>
      <c r="M354" s="211" t="str">
        <f t="shared" si="11"/>
        <v/>
      </c>
      <c r="N354" s="211"/>
      <c r="O354" s="209" t="str">
        <f>IF(B354="","",VLOOKUP('従業員情報(給与以外)'!$B354,入力シート!$S$37:$Z$62,5,0))</f>
        <v/>
      </c>
      <c r="P354" s="156" t="str">
        <f>IF(ISNUMBER(C354)=FALSE,"",IF(C354&gt;入力シート!$J$24,"",_xlfn.DAYS(入力シート!$J$24,'従業員情報(給与以外)'!$C354)/365))</f>
        <v/>
      </c>
      <c r="Q354" s="210" t="str">
        <f>IF(P354="","",VLOOKUP(_xlfn.DAYS(入力シート!$J$24,'従業員情報(給与以外)'!$C354)/365,入力リスト!$K$18:$L$26,2,2))</f>
        <v/>
      </c>
      <c r="R354" s="209" t="str">
        <f>IF(D354="","",VLOOKUP('従業員情報(給与以外)'!$D354,入力シート!$AW$37:$BB$38,4,0))</f>
        <v/>
      </c>
      <c r="S354" s="209" t="str">
        <f>IF(A354="","",IF(E354="","非役職",VLOOKUP('従業員情報(給与以外)'!$E354,入力シート!$AH$37:$AO$62,5,0)))</f>
        <v/>
      </c>
      <c r="T354" s="102" t="str">
        <f>IF(OR(入力シート!$C$5&lt;&gt;入力リスト!$C$3,COUNTIF(入力シート!$J$16:$S$23,入力リスト!$H$9)=0),"",IF($A354="","",IF(ISERROR(AVERAGEIF(従業員の給与情報!$B:$B,$A354,従業員の給与情報!$C:$C)),0,IF(ISERROR(AVERAGEIF(従業員の給与情報!$B:$B,$A354,従業員の給与情報!$C:$C)),0,AVERAGEIF(従業員の給与情報!$B:$B,$A354,従業員の給与情報!$C:$C)))))</f>
        <v/>
      </c>
      <c r="U354" s="102" t="str">
        <f>IF(OR(入力シート!$C$5&lt;&gt;入力リスト!$C$3,COUNTIF(入力シート!$J$16:$S$23,入力リスト!$H$9)=0),"",IF(A354="","",IF(ISERROR(AVERAGEIF(従業員の給与情報!$B:$B,$A354,従業員の給与情報!$D:$D)),0,IF(ISERROR(AVERAGEIF(従業員の給与情報!$B:$B,$A354,従業員の給与情報!$D:$D)),0,AVERAGEIF(従業員の給与情報!$B:$B,$A354,従業員の給与情報!$D:$D)))))</f>
        <v/>
      </c>
      <c r="V354" s="102" t="str">
        <f>IF(OR(入力シート!$C$5&lt;&gt;入力リスト!$C$3,COUNTIF(入力シート!$J$16:$S$23,入力リスト!$H$9)=0),"",IF(A354="","",IF(ISERROR(AVERAGEIF(従業員の給与情報!$B:$B,$A354,従業員の給与情報!$E:$E)),0,IF(ISERROR(AVERAGEIF(従業員の給与情報!$B:$B,$A354,従業員の給与情報!$E:$E)),0,AVERAGEIF(従業員の給与情報!$B:$B,$A354,従業員の給与情報!$E:$E)))))</f>
        <v/>
      </c>
      <c r="W354" s="103" t="str">
        <f>IF(OR(入力シート!$C$5&lt;&gt;入力リスト!$C$3,COUNTIF(入力シート!$J$16:$S$23,入力リスト!$H$9)=0),"",IF(A354="","",IF(ISERROR(AVERAGEIF(従業員の給与情報!$B:$B,$A354,従業員の給与情報!$F:$F)),0,IF(ISERROR(AVERAGEIF(従業員の給与情報!$B:$B,$A354,従業員の給与情報!$F:$F)),0,AVERAGEIF(従業員の給与情報!$B:$B,$A354,従業員の給与情報!$F:$F)))))</f>
        <v/>
      </c>
    </row>
    <row r="355" spans="1:23" s="10" customFormat="1">
      <c r="A355" s="253"/>
      <c r="B355" s="246"/>
      <c r="C355" s="247"/>
      <c r="D355" s="246"/>
      <c r="E355" s="246"/>
      <c r="F355" s="257" t="str">
        <f>IF($G$1,"",IF(COUNTIF(A355:E355,"")=5,"",IF(G355,入力リスト!$K$28,IF(OR(A355="",B355="",IF(COUNTIF($C$3,"*不要*"),"",C355=""),D355=""),IF(A355="","従業員番号","")&amp;IF(B355="","「雇用形態」","")&amp;IF(OR(入力シート!$J$18=入力リスト!$H$9,入力シート!$J$22=入力リスト!$H$9),IF(C355="","「入社年月日」",""),"")&amp;IF(D355="","「性別」","")&amp;IF(IF(A355="","従業員番号","")&amp;IF(B355="","「雇用形態」","")&amp;IF(OR(入力シート!$J$18=入力リスト!$H$9,入力シート!$J$22=入力リスト!$H$9),IF(C355="","「入社年月日」",""),"")&amp;IF(D355="","「性別」","")="","",入力リスト!$K$29),IF(J355,入力リスト!$K$30,"")&amp;IF(I355,入力リスト!$K$31,"")&amp;IF(H355,"「雇用形態」","")&amp;IF(K355,"「性別」","")&amp;IF(L355,"「役職」","")&amp;IF(OR(H355,K355,L355),入力リスト!$K$32,"")))))</f>
        <v/>
      </c>
      <c r="G355" s="209" t="b">
        <f>COUNTIF($A$4:A354,$A355)&gt;0</f>
        <v>0</v>
      </c>
      <c r="H355" s="210" t="b">
        <f>IF($H$1,FALSE,COUNTIF(入力シート!$S$37:$V$62,B355)=0)</f>
        <v>0</v>
      </c>
      <c r="I355" s="210" t="b">
        <f t="shared" si="12"/>
        <v>0</v>
      </c>
      <c r="J355" s="210" t="b">
        <f>IF($J$1,FALSE,IF(I355=TRUE,FALSE,IF(I355,FALSE,C355&gt;入力シート!$J$24)))</f>
        <v>0</v>
      </c>
      <c r="K355" s="210" t="b">
        <f>IF($K$1,FALSE,COUNTIF(入力シート!$AW$37:$BB$38,D355)=0)</f>
        <v>0</v>
      </c>
      <c r="L355" s="210" t="b">
        <f>IF($L$1,FALSE,IF($L$3,FALSE,IF(E355="",FALSE,COUNTIF(入力シート!$AH$37:$AK$62,E355)=0)))</f>
        <v>0</v>
      </c>
      <c r="M355" s="211" t="str">
        <f t="shared" si="11"/>
        <v/>
      </c>
      <c r="N355" s="211"/>
      <c r="O355" s="209" t="str">
        <f>IF(B355="","",VLOOKUP('従業員情報(給与以外)'!$B355,入力シート!$S$37:$Z$62,5,0))</f>
        <v/>
      </c>
      <c r="P355" s="156" t="str">
        <f>IF(ISNUMBER(C355)=FALSE,"",IF(C355&gt;入力シート!$J$24,"",_xlfn.DAYS(入力シート!$J$24,'従業員情報(給与以外)'!$C355)/365))</f>
        <v/>
      </c>
      <c r="Q355" s="210" t="str">
        <f>IF(P355="","",VLOOKUP(_xlfn.DAYS(入力シート!$J$24,'従業員情報(給与以外)'!$C355)/365,入力リスト!$K$18:$L$26,2,2))</f>
        <v/>
      </c>
      <c r="R355" s="209" t="str">
        <f>IF(D355="","",VLOOKUP('従業員情報(給与以外)'!$D355,入力シート!$AW$37:$BB$38,4,0))</f>
        <v/>
      </c>
      <c r="S355" s="209" t="str">
        <f>IF(A355="","",IF(E355="","非役職",VLOOKUP('従業員情報(給与以外)'!$E355,入力シート!$AH$37:$AO$62,5,0)))</f>
        <v/>
      </c>
      <c r="T355" s="102" t="str">
        <f>IF(OR(入力シート!$C$5&lt;&gt;入力リスト!$C$3,COUNTIF(入力シート!$J$16:$S$23,入力リスト!$H$9)=0),"",IF($A355="","",IF(ISERROR(AVERAGEIF(従業員の給与情報!$B:$B,$A355,従業員の給与情報!$C:$C)),0,IF(ISERROR(AVERAGEIF(従業員の給与情報!$B:$B,$A355,従業員の給与情報!$C:$C)),0,AVERAGEIF(従業員の給与情報!$B:$B,$A355,従業員の給与情報!$C:$C)))))</f>
        <v/>
      </c>
      <c r="U355" s="102" t="str">
        <f>IF(OR(入力シート!$C$5&lt;&gt;入力リスト!$C$3,COUNTIF(入力シート!$J$16:$S$23,入力リスト!$H$9)=0),"",IF(A355="","",IF(ISERROR(AVERAGEIF(従業員の給与情報!$B:$B,$A355,従業員の給与情報!$D:$D)),0,IF(ISERROR(AVERAGEIF(従業員の給与情報!$B:$B,$A355,従業員の給与情報!$D:$D)),0,AVERAGEIF(従業員の給与情報!$B:$B,$A355,従業員の給与情報!$D:$D)))))</f>
        <v/>
      </c>
      <c r="V355" s="102" t="str">
        <f>IF(OR(入力シート!$C$5&lt;&gt;入力リスト!$C$3,COUNTIF(入力シート!$J$16:$S$23,入力リスト!$H$9)=0),"",IF(A355="","",IF(ISERROR(AVERAGEIF(従業員の給与情報!$B:$B,$A355,従業員の給与情報!$E:$E)),0,IF(ISERROR(AVERAGEIF(従業員の給与情報!$B:$B,$A355,従業員の給与情報!$E:$E)),0,AVERAGEIF(従業員の給与情報!$B:$B,$A355,従業員の給与情報!$E:$E)))))</f>
        <v/>
      </c>
      <c r="W355" s="103" t="str">
        <f>IF(OR(入力シート!$C$5&lt;&gt;入力リスト!$C$3,COUNTIF(入力シート!$J$16:$S$23,入力リスト!$H$9)=0),"",IF(A355="","",IF(ISERROR(AVERAGEIF(従業員の給与情報!$B:$B,$A355,従業員の給与情報!$F:$F)),0,IF(ISERROR(AVERAGEIF(従業員の給与情報!$B:$B,$A355,従業員の給与情報!$F:$F)),0,AVERAGEIF(従業員の給与情報!$B:$B,$A355,従業員の給与情報!$F:$F)))))</f>
        <v/>
      </c>
    </row>
    <row r="356" spans="1:23" s="10" customFormat="1">
      <c r="A356" s="253"/>
      <c r="B356" s="246"/>
      <c r="C356" s="247"/>
      <c r="D356" s="246"/>
      <c r="E356" s="246"/>
      <c r="F356" s="257" t="str">
        <f>IF($G$1,"",IF(COUNTIF(A356:E356,"")=5,"",IF(G356,入力リスト!$K$28,IF(OR(A356="",B356="",IF(COUNTIF($C$3,"*不要*"),"",C356=""),D356=""),IF(A356="","従業員番号","")&amp;IF(B356="","「雇用形態」","")&amp;IF(OR(入力シート!$J$18=入力リスト!$H$9,入力シート!$J$22=入力リスト!$H$9),IF(C356="","「入社年月日」",""),"")&amp;IF(D356="","「性別」","")&amp;IF(IF(A356="","従業員番号","")&amp;IF(B356="","「雇用形態」","")&amp;IF(OR(入力シート!$J$18=入力リスト!$H$9,入力シート!$J$22=入力リスト!$H$9),IF(C356="","「入社年月日」",""),"")&amp;IF(D356="","「性別」","")="","",入力リスト!$K$29),IF(J356,入力リスト!$K$30,"")&amp;IF(I356,入力リスト!$K$31,"")&amp;IF(H356,"「雇用形態」","")&amp;IF(K356,"「性別」","")&amp;IF(L356,"「役職」","")&amp;IF(OR(H356,K356,L356),入力リスト!$K$32,"")))))</f>
        <v/>
      </c>
      <c r="G356" s="209" t="b">
        <f>COUNTIF($A$4:A355,$A356)&gt;0</f>
        <v>0</v>
      </c>
      <c r="H356" s="210" t="b">
        <f>IF($H$1,FALSE,COUNTIF(入力シート!$S$37:$V$62,B356)=0)</f>
        <v>0</v>
      </c>
      <c r="I356" s="210" t="b">
        <f t="shared" si="12"/>
        <v>0</v>
      </c>
      <c r="J356" s="210" t="b">
        <f>IF($J$1,FALSE,IF(I356=TRUE,FALSE,IF(I356,FALSE,C356&gt;入力シート!$J$24)))</f>
        <v>0</v>
      </c>
      <c r="K356" s="210" t="b">
        <f>IF($K$1,FALSE,COUNTIF(入力シート!$AW$37:$BB$38,D356)=0)</f>
        <v>0</v>
      </c>
      <c r="L356" s="210" t="b">
        <f>IF($L$1,FALSE,IF($L$3,FALSE,IF(E356="",FALSE,COUNTIF(入力シート!$AH$37:$AK$62,E356)=0)))</f>
        <v>0</v>
      </c>
      <c r="M356" s="211" t="str">
        <f t="shared" si="11"/>
        <v/>
      </c>
      <c r="N356" s="211"/>
      <c r="O356" s="209" t="str">
        <f>IF(B356="","",VLOOKUP('従業員情報(給与以外)'!$B356,入力シート!$S$37:$Z$62,5,0))</f>
        <v/>
      </c>
      <c r="P356" s="156" t="str">
        <f>IF(ISNUMBER(C356)=FALSE,"",IF(C356&gt;入力シート!$J$24,"",_xlfn.DAYS(入力シート!$J$24,'従業員情報(給与以外)'!$C356)/365))</f>
        <v/>
      </c>
      <c r="Q356" s="210" t="str">
        <f>IF(P356="","",VLOOKUP(_xlfn.DAYS(入力シート!$J$24,'従業員情報(給与以外)'!$C356)/365,入力リスト!$K$18:$L$26,2,2))</f>
        <v/>
      </c>
      <c r="R356" s="209" t="str">
        <f>IF(D356="","",VLOOKUP('従業員情報(給与以外)'!$D356,入力シート!$AW$37:$BB$38,4,0))</f>
        <v/>
      </c>
      <c r="S356" s="209" t="str">
        <f>IF(A356="","",IF(E356="","非役職",VLOOKUP('従業員情報(給与以外)'!$E356,入力シート!$AH$37:$AO$62,5,0)))</f>
        <v/>
      </c>
      <c r="T356" s="102" t="str">
        <f>IF(OR(入力シート!$C$5&lt;&gt;入力リスト!$C$3,COUNTIF(入力シート!$J$16:$S$23,入力リスト!$H$9)=0),"",IF($A356="","",IF(ISERROR(AVERAGEIF(従業員の給与情報!$B:$B,$A356,従業員の給与情報!$C:$C)),0,IF(ISERROR(AVERAGEIF(従業員の給与情報!$B:$B,$A356,従業員の給与情報!$C:$C)),0,AVERAGEIF(従業員の給与情報!$B:$B,$A356,従業員の給与情報!$C:$C)))))</f>
        <v/>
      </c>
      <c r="U356" s="102" t="str">
        <f>IF(OR(入力シート!$C$5&lt;&gt;入力リスト!$C$3,COUNTIF(入力シート!$J$16:$S$23,入力リスト!$H$9)=0),"",IF(A356="","",IF(ISERROR(AVERAGEIF(従業員の給与情報!$B:$B,$A356,従業員の給与情報!$D:$D)),0,IF(ISERROR(AVERAGEIF(従業員の給与情報!$B:$B,$A356,従業員の給与情報!$D:$D)),0,AVERAGEIF(従業員の給与情報!$B:$B,$A356,従業員の給与情報!$D:$D)))))</f>
        <v/>
      </c>
      <c r="V356" s="102" t="str">
        <f>IF(OR(入力シート!$C$5&lt;&gt;入力リスト!$C$3,COUNTIF(入力シート!$J$16:$S$23,入力リスト!$H$9)=0),"",IF(A356="","",IF(ISERROR(AVERAGEIF(従業員の給与情報!$B:$B,$A356,従業員の給与情報!$E:$E)),0,IF(ISERROR(AVERAGEIF(従業員の給与情報!$B:$B,$A356,従業員の給与情報!$E:$E)),0,AVERAGEIF(従業員の給与情報!$B:$B,$A356,従業員の給与情報!$E:$E)))))</f>
        <v/>
      </c>
      <c r="W356" s="103" t="str">
        <f>IF(OR(入力シート!$C$5&lt;&gt;入力リスト!$C$3,COUNTIF(入力シート!$J$16:$S$23,入力リスト!$H$9)=0),"",IF(A356="","",IF(ISERROR(AVERAGEIF(従業員の給与情報!$B:$B,$A356,従業員の給与情報!$F:$F)),0,IF(ISERROR(AVERAGEIF(従業員の給与情報!$B:$B,$A356,従業員の給与情報!$F:$F)),0,AVERAGEIF(従業員の給与情報!$B:$B,$A356,従業員の給与情報!$F:$F)))))</f>
        <v/>
      </c>
    </row>
    <row r="357" spans="1:23" s="10" customFormat="1">
      <c r="A357" s="253"/>
      <c r="B357" s="246"/>
      <c r="C357" s="247"/>
      <c r="D357" s="246"/>
      <c r="E357" s="246"/>
      <c r="F357" s="257" t="str">
        <f>IF($G$1,"",IF(COUNTIF(A357:E357,"")=5,"",IF(G357,入力リスト!$K$28,IF(OR(A357="",B357="",IF(COUNTIF($C$3,"*不要*"),"",C357=""),D357=""),IF(A357="","従業員番号","")&amp;IF(B357="","「雇用形態」","")&amp;IF(OR(入力シート!$J$18=入力リスト!$H$9,入力シート!$J$22=入力リスト!$H$9),IF(C357="","「入社年月日」",""),"")&amp;IF(D357="","「性別」","")&amp;IF(IF(A357="","従業員番号","")&amp;IF(B357="","「雇用形態」","")&amp;IF(OR(入力シート!$J$18=入力リスト!$H$9,入力シート!$J$22=入力リスト!$H$9),IF(C357="","「入社年月日」",""),"")&amp;IF(D357="","「性別」","")="","",入力リスト!$K$29),IF(J357,入力リスト!$K$30,"")&amp;IF(I357,入力リスト!$K$31,"")&amp;IF(H357,"「雇用形態」","")&amp;IF(K357,"「性別」","")&amp;IF(L357,"「役職」","")&amp;IF(OR(H357,K357,L357),入力リスト!$K$32,"")))))</f>
        <v/>
      </c>
      <c r="G357" s="209" t="b">
        <f>COUNTIF($A$4:A356,$A357)&gt;0</f>
        <v>0</v>
      </c>
      <c r="H357" s="210" t="b">
        <f>IF($H$1,FALSE,COUNTIF(入力シート!$S$37:$V$62,B357)=0)</f>
        <v>0</v>
      </c>
      <c r="I357" s="210" t="b">
        <f t="shared" si="12"/>
        <v>0</v>
      </c>
      <c r="J357" s="210" t="b">
        <f>IF($J$1,FALSE,IF(I357=TRUE,FALSE,IF(I357,FALSE,C357&gt;入力シート!$J$24)))</f>
        <v>0</v>
      </c>
      <c r="K357" s="210" t="b">
        <f>IF($K$1,FALSE,COUNTIF(入力シート!$AW$37:$BB$38,D357)=0)</f>
        <v>0</v>
      </c>
      <c r="L357" s="210" t="b">
        <f>IF($L$1,FALSE,IF($L$3,FALSE,IF(E357="",FALSE,COUNTIF(入力シート!$AH$37:$AK$62,E357)=0)))</f>
        <v>0</v>
      </c>
      <c r="M357" s="211" t="str">
        <f t="shared" si="11"/>
        <v/>
      </c>
      <c r="N357" s="211"/>
      <c r="O357" s="209" t="str">
        <f>IF(B357="","",VLOOKUP('従業員情報(給与以外)'!$B357,入力シート!$S$37:$Z$62,5,0))</f>
        <v/>
      </c>
      <c r="P357" s="156" t="str">
        <f>IF(ISNUMBER(C357)=FALSE,"",IF(C357&gt;入力シート!$J$24,"",_xlfn.DAYS(入力シート!$J$24,'従業員情報(給与以外)'!$C357)/365))</f>
        <v/>
      </c>
      <c r="Q357" s="210" t="str">
        <f>IF(P357="","",VLOOKUP(_xlfn.DAYS(入力シート!$J$24,'従業員情報(給与以外)'!$C357)/365,入力リスト!$K$18:$L$26,2,2))</f>
        <v/>
      </c>
      <c r="R357" s="209" t="str">
        <f>IF(D357="","",VLOOKUP('従業員情報(給与以外)'!$D357,入力シート!$AW$37:$BB$38,4,0))</f>
        <v/>
      </c>
      <c r="S357" s="209" t="str">
        <f>IF(A357="","",IF(E357="","非役職",VLOOKUP('従業員情報(給与以外)'!$E357,入力シート!$AH$37:$AO$62,5,0)))</f>
        <v/>
      </c>
      <c r="T357" s="102" t="str">
        <f>IF(OR(入力シート!$C$5&lt;&gt;入力リスト!$C$3,COUNTIF(入力シート!$J$16:$S$23,入力リスト!$H$9)=0),"",IF($A357="","",IF(ISERROR(AVERAGEIF(従業員の給与情報!$B:$B,$A357,従業員の給与情報!$C:$C)),0,IF(ISERROR(AVERAGEIF(従業員の給与情報!$B:$B,$A357,従業員の給与情報!$C:$C)),0,AVERAGEIF(従業員の給与情報!$B:$B,$A357,従業員の給与情報!$C:$C)))))</f>
        <v/>
      </c>
      <c r="U357" s="102" t="str">
        <f>IF(OR(入力シート!$C$5&lt;&gt;入力リスト!$C$3,COUNTIF(入力シート!$J$16:$S$23,入力リスト!$H$9)=0),"",IF(A357="","",IF(ISERROR(AVERAGEIF(従業員の給与情報!$B:$B,$A357,従業員の給与情報!$D:$D)),0,IF(ISERROR(AVERAGEIF(従業員の給与情報!$B:$B,$A357,従業員の給与情報!$D:$D)),0,AVERAGEIF(従業員の給与情報!$B:$B,$A357,従業員の給与情報!$D:$D)))))</f>
        <v/>
      </c>
      <c r="V357" s="102" t="str">
        <f>IF(OR(入力シート!$C$5&lt;&gt;入力リスト!$C$3,COUNTIF(入力シート!$J$16:$S$23,入力リスト!$H$9)=0),"",IF(A357="","",IF(ISERROR(AVERAGEIF(従業員の給与情報!$B:$B,$A357,従業員の給与情報!$E:$E)),0,IF(ISERROR(AVERAGEIF(従業員の給与情報!$B:$B,$A357,従業員の給与情報!$E:$E)),0,AVERAGEIF(従業員の給与情報!$B:$B,$A357,従業員の給与情報!$E:$E)))))</f>
        <v/>
      </c>
      <c r="W357" s="103" t="str">
        <f>IF(OR(入力シート!$C$5&lt;&gt;入力リスト!$C$3,COUNTIF(入力シート!$J$16:$S$23,入力リスト!$H$9)=0),"",IF(A357="","",IF(ISERROR(AVERAGEIF(従業員の給与情報!$B:$B,$A357,従業員の給与情報!$F:$F)),0,IF(ISERROR(AVERAGEIF(従業員の給与情報!$B:$B,$A357,従業員の給与情報!$F:$F)),0,AVERAGEIF(従業員の給与情報!$B:$B,$A357,従業員の給与情報!$F:$F)))))</f>
        <v/>
      </c>
    </row>
    <row r="358" spans="1:23" s="10" customFormat="1">
      <c r="A358" s="253"/>
      <c r="B358" s="246"/>
      <c r="C358" s="247"/>
      <c r="D358" s="246"/>
      <c r="E358" s="246"/>
      <c r="F358" s="257" t="str">
        <f>IF($G$1,"",IF(COUNTIF(A358:E358,"")=5,"",IF(G358,入力リスト!$K$28,IF(OR(A358="",B358="",IF(COUNTIF($C$3,"*不要*"),"",C358=""),D358=""),IF(A358="","従業員番号","")&amp;IF(B358="","「雇用形態」","")&amp;IF(OR(入力シート!$J$18=入力リスト!$H$9,入力シート!$J$22=入力リスト!$H$9),IF(C358="","「入社年月日」",""),"")&amp;IF(D358="","「性別」","")&amp;IF(IF(A358="","従業員番号","")&amp;IF(B358="","「雇用形態」","")&amp;IF(OR(入力シート!$J$18=入力リスト!$H$9,入力シート!$J$22=入力リスト!$H$9),IF(C358="","「入社年月日」",""),"")&amp;IF(D358="","「性別」","")="","",入力リスト!$K$29),IF(J358,入力リスト!$K$30,"")&amp;IF(I358,入力リスト!$K$31,"")&amp;IF(H358,"「雇用形態」","")&amp;IF(K358,"「性別」","")&amp;IF(L358,"「役職」","")&amp;IF(OR(H358,K358,L358),入力リスト!$K$32,"")))))</f>
        <v/>
      </c>
      <c r="G358" s="209" t="b">
        <f>COUNTIF($A$4:A357,$A358)&gt;0</f>
        <v>0</v>
      </c>
      <c r="H358" s="210" t="b">
        <f>IF($H$1,FALSE,COUNTIF(入力シート!$S$37:$V$62,B358)=0)</f>
        <v>0</v>
      </c>
      <c r="I358" s="210" t="b">
        <f t="shared" si="12"/>
        <v>0</v>
      </c>
      <c r="J358" s="210" t="b">
        <f>IF($J$1,FALSE,IF(I358=TRUE,FALSE,IF(I358,FALSE,C358&gt;入力シート!$J$24)))</f>
        <v>0</v>
      </c>
      <c r="K358" s="210" t="b">
        <f>IF($K$1,FALSE,COUNTIF(入力シート!$AW$37:$BB$38,D358)=0)</f>
        <v>0</v>
      </c>
      <c r="L358" s="210" t="b">
        <f>IF($L$1,FALSE,IF($L$3,FALSE,IF(E358="",FALSE,COUNTIF(入力シート!$AH$37:$AK$62,E358)=0)))</f>
        <v>0</v>
      </c>
      <c r="M358" s="211" t="str">
        <f t="shared" si="11"/>
        <v/>
      </c>
      <c r="N358" s="211"/>
      <c r="O358" s="209" t="str">
        <f>IF(B358="","",VLOOKUP('従業員情報(給与以外)'!$B358,入力シート!$S$37:$Z$62,5,0))</f>
        <v/>
      </c>
      <c r="P358" s="156" t="str">
        <f>IF(ISNUMBER(C358)=FALSE,"",IF(C358&gt;入力シート!$J$24,"",_xlfn.DAYS(入力シート!$J$24,'従業員情報(給与以外)'!$C358)/365))</f>
        <v/>
      </c>
      <c r="Q358" s="210" t="str">
        <f>IF(P358="","",VLOOKUP(_xlfn.DAYS(入力シート!$J$24,'従業員情報(給与以外)'!$C358)/365,入力リスト!$K$18:$L$26,2,2))</f>
        <v/>
      </c>
      <c r="R358" s="209" t="str">
        <f>IF(D358="","",VLOOKUP('従業員情報(給与以外)'!$D358,入力シート!$AW$37:$BB$38,4,0))</f>
        <v/>
      </c>
      <c r="S358" s="209" t="str">
        <f>IF(A358="","",IF(E358="","非役職",VLOOKUP('従業員情報(給与以外)'!$E358,入力シート!$AH$37:$AO$62,5,0)))</f>
        <v/>
      </c>
      <c r="T358" s="102" t="str">
        <f>IF(OR(入力シート!$C$5&lt;&gt;入力リスト!$C$3,COUNTIF(入力シート!$J$16:$S$23,入力リスト!$H$9)=0),"",IF($A358="","",IF(ISERROR(AVERAGEIF(従業員の給与情報!$B:$B,$A358,従業員の給与情報!$C:$C)),0,IF(ISERROR(AVERAGEIF(従業員の給与情報!$B:$B,$A358,従業員の給与情報!$C:$C)),0,AVERAGEIF(従業員の給与情報!$B:$B,$A358,従業員の給与情報!$C:$C)))))</f>
        <v/>
      </c>
      <c r="U358" s="102" t="str">
        <f>IF(OR(入力シート!$C$5&lt;&gt;入力リスト!$C$3,COUNTIF(入力シート!$J$16:$S$23,入力リスト!$H$9)=0),"",IF(A358="","",IF(ISERROR(AVERAGEIF(従業員の給与情報!$B:$B,$A358,従業員の給与情報!$D:$D)),0,IF(ISERROR(AVERAGEIF(従業員の給与情報!$B:$B,$A358,従業員の給与情報!$D:$D)),0,AVERAGEIF(従業員の給与情報!$B:$B,$A358,従業員の給与情報!$D:$D)))))</f>
        <v/>
      </c>
      <c r="V358" s="102" t="str">
        <f>IF(OR(入力シート!$C$5&lt;&gt;入力リスト!$C$3,COUNTIF(入力シート!$J$16:$S$23,入力リスト!$H$9)=0),"",IF(A358="","",IF(ISERROR(AVERAGEIF(従業員の給与情報!$B:$B,$A358,従業員の給与情報!$E:$E)),0,IF(ISERROR(AVERAGEIF(従業員の給与情報!$B:$B,$A358,従業員の給与情報!$E:$E)),0,AVERAGEIF(従業員の給与情報!$B:$B,$A358,従業員の給与情報!$E:$E)))))</f>
        <v/>
      </c>
      <c r="W358" s="103" t="str">
        <f>IF(OR(入力シート!$C$5&lt;&gt;入力リスト!$C$3,COUNTIF(入力シート!$J$16:$S$23,入力リスト!$H$9)=0),"",IF(A358="","",IF(ISERROR(AVERAGEIF(従業員の給与情報!$B:$B,$A358,従業員の給与情報!$F:$F)),0,IF(ISERROR(AVERAGEIF(従業員の給与情報!$B:$B,$A358,従業員の給与情報!$F:$F)),0,AVERAGEIF(従業員の給与情報!$B:$B,$A358,従業員の給与情報!$F:$F)))))</f>
        <v/>
      </c>
    </row>
    <row r="359" spans="1:23" s="10" customFormat="1">
      <c r="A359" s="253"/>
      <c r="B359" s="246"/>
      <c r="C359" s="247"/>
      <c r="D359" s="246"/>
      <c r="E359" s="246"/>
      <c r="F359" s="257" t="str">
        <f>IF($G$1,"",IF(COUNTIF(A359:E359,"")=5,"",IF(G359,入力リスト!$K$28,IF(OR(A359="",B359="",IF(COUNTIF($C$3,"*不要*"),"",C359=""),D359=""),IF(A359="","従業員番号","")&amp;IF(B359="","「雇用形態」","")&amp;IF(OR(入力シート!$J$18=入力リスト!$H$9,入力シート!$J$22=入力リスト!$H$9),IF(C359="","「入社年月日」",""),"")&amp;IF(D359="","「性別」","")&amp;IF(IF(A359="","従業員番号","")&amp;IF(B359="","「雇用形態」","")&amp;IF(OR(入力シート!$J$18=入力リスト!$H$9,入力シート!$J$22=入力リスト!$H$9),IF(C359="","「入社年月日」",""),"")&amp;IF(D359="","「性別」","")="","",入力リスト!$K$29),IF(J359,入力リスト!$K$30,"")&amp;IF(I359,入力リスト!$K$31,"")&amp;IF(H359,"「雇用形態」","")&amp;IF(K359,"「性別」","")&amp;IF(L359,"「役職」","")&amp;IF(OR(H359,K359,L359),入力リスト!$K$32,"")))))</f>
        <v/>
      </c>
      <c r="G359" s="209" t="b">
        <f>COUNTIF($A$4:A358,$A359)&gt;0</f>
        <v>0</v>
      </c>
      <c r="H359" s="210" t="b">
        <f>IF($H$1,FALSE,COUNTIF(入力シート!$S$37:$V$62,B359)=0)</f>
        <v>0</v>
      </c>
      <c r="I359" s="210" t="b">
        <f t="shared" si="12"/>
        <v>0</v>
      </c>
      <c r="J359" s="210" t="b">
        <f>IF($J$1,FALSE,IF(I359=TRUE,FALSE,IF(I359,FALSE,C359&gt;入力シート!$J$24)))</f>
        <v>0</v>
      </c>
      <c r="K359" s="210" t="b">
        <f>IF($K$1,FALSE,COUNTIF(入力シート!$AW$37:$BB$38,D359)=0)</f>
        <v>0</v>
      </c>
      <c r="L359" s="210" t="b">
        <f>IF($L$1,FALSE,IF($L$3,FALSE,IF(E359="",FALSE,COUNTIF(入力シート!$AH$37:$AK$62,E359)=0)))</f>
        <v>0</v>
      </c>
      <c r="M359" s="211" t="str">
        <f t="shared" si="11"/>
        <v/>
      </c>
      <c r="N359" s="211"/>
      <c r="O359" s="209" t="str">
        <f>IF(B359="","",VLOOKUP('従業員情報(給与以外)'!$B359,入力シート!$S$37:$Z$62,5,0))</f>
        <v/>
      </c>
      <c r="P359" s="156" t="str">
        <f>IF(ISNUMBER(C359)=FALSE,"",IF(C359&gt;入力シート!$J$24,"",_xlfn.DAYS(入力シート!$J$24,'従業員情報(給与以外)'!$C359)/365))</f>
        <v/>
      </c>
      <c r="Q359" s="210" t="str">
        <f>IF(P359="","",VLOOKUP(_xlfn.DAYS(入力シート!$J$24,'従業員情報(給与以外)'!$C359)/365,入力リスト!$K$18:$L$26,2,2))</f>
        <v/>
      </c>
      <c r="R359" s="209" t="str">
        <f>IF(D359="","",VLOOKUP('従業員情報(給与以外)'!$D359,入力シート!$AW$37:$BB$38,4,0))</f>
        <v/>
      </c>
      <c r="S359" s="209" t="str">
        <f>IF(A359="","",IF(E359="","非役職",VLOOKUP('従業員情報(給与以外)'!$E359,入力シート!$AH$37:$AO$62,5,0)))</f>
        <v/>
      </c>
      <c r="T359" s="102" t="str">
        <f>IF(OR(入力シート!$C$5&lt;&gt;入力リスト!$C$3,COUNTIF(入力シート!$J$16:$S$23,入力リスト!$H$9)=0),"",IF($A359="","",IF(ISERROR(AVERAGEIF(従業員の給与情報!$B:$B,$A359,従業員の給与情報!$C:$C)),0,IF(ISERROR(AVERAGEIF(従業員の給与情報!$B:$B,$A359,従業員の給与情報!$C:$C)),0,AVERAGEIF(従業員の給与情報!$B:$B,$A359,従業員の給与情報!$C:$C)))))</f>
        <v/>
      </c>
      <c r="U359" s="102" t="str">
        <f>IF(OR(入力シート!$C$5&lt;&gt;入力リスト!$C$3,COUNTIF(入力シート!$J$16:$S$23,入力リスト!$H$9)=0),"",IF(A359="","",IF(ISERROR(AVERAGEIF(従業員の給与情報!$B:$B,$A359,従業員の給与情報!$D:$D)),0,IF(ISERROR(AVERAGEIF(従業員の給与情報!$B:$B,$A359,従業員の給与情報!$D:$D)),0,AVERAGEIF(従業員の給与情報!$B:$B,$A359,従業員の給与情報!$D:$D)))))</f>
        <v/>
      </c>
      <c r="V359" s="102" t="str">
        <f>IF(OR(入力シート!$C$5&lt;&gt;入力リスト!$C$3,COUNTIF(入力シート!$J$16:$S$23,入力リスト!$H$9)=0),"",IF(A359="","",IF(ISERROR(AVERAGEIF(従業員の給与情報!$B:$B,$A359,従業員の給与情報!$E:$E)),0,IF(ISERROR(AVERAGEIF(従業員の給与情報!$B:$B,$A359,従業員の給与情報!$E:$E)),0,AVERAGEIF(従業員の給与情報!$B:$B,$A359,従業員の給与情報!$E:$E)))))</f>
        <v/>
      </c>
      <c r="W359" s="103" t="str">
        <f>IF(OR(入力シート!$C$5&lt;&gt;入力リスト!$C$3,COUNTIF(入力シート!$J$16:$S$23,入力リスト!$H$9)=0),"",IF(A359="","",IF(ISERROR(AVERAGEIF(従業員の給与情報!$B:$B,$A359,従業員の給与情報!$F:$F)),0,IF(ISERROR(AVERAGEIF(従業員の給与情報!$B:$B,$A359,従業員の給与情報!$F:$F)),0,AVERAGEIF(従業員の給与情報!$B:$B,$A359,従業員の給与情報!$F:$F)))))</f>
        <v/>
      </c>
    </row>
    <row r="360" spans="1:23" s="10" customFormat="1">
      <c r="A360" s="253"/>
      <c r="B360" s="246"/>
      <c r="C360" s="247"/>
      <c r="D360" s="246"/>
      <c r="E360" s="246"/>
      <c r="F360" s="257" t="str">
        <f>IF($G$1,"",IF(COUNTIF(A360:E360,"")=5,"",IF(G360,入力リスト!$K$28,IF(OR(A360="",B360="",IF(COUNTIF($C$3,"*不要*"),"",C360=""),D360=""),IF(A360="","従業員番号","")&amp;IF(B360="","「雇用形態」","")&amp;IF(OR(入力シート!$J$18=入力リスト!$H$9,入力シート!$J$22=入力リスト!$H$9),IF(C360="","「入社年月日」",""),"")&amp;IF(D360="","「性別」","")&amp;IF(IF(A360="","従業員番号","")&amp;IF(B360="","「雇用形態」","")&amp;IF(OR(入力シート!$J$18=入力リスト!$H$9,入力シート!$J$22=入力リスト!$H$9),IF(C360="","「入社年月日」",""),"")&amp;IF(D360="","「性別」","")="","",入力リスト!$K$29),IF(J360,入力リスト!$K$30,"")&amp;IF(I360,入力リスト!$K$31,"")&amp;IF(H360,"「雇用形態」","")&amp;IF(K360,"「性別」","")&amp;IF(L360,"「役職」","")&amp;IF(OR(H360,K360,L360),入力リスト!$K$32,"")))))</f>
        <v/>
      </c>
      <c r="G360" s="209" t="b">
        <f>COUNTIF($A$4:A359,$A360)&gt;0</f>
        <v>0</v>
      </c>
      <c r="H360" s="210" t="b">
        <f>IF($H$1,FALSE,COUNTIF(入力シート!$S$37:$V$62,B360)=0)</f>
        <v>0</v>
      </c>
      <c r="I360" s="210" t="b">
        <f t="shared" si="12"/>
        <v>0</v>
      </c>
      <c r="J360" s="210" t="b">
        <f>IF($J$1,FALSE,IF(I360=TRUE,FALSE,IF(I360,FALSE,C360&gt;入力シート!$J$24)))</f>
        <v>0</v>
      </c>
      <c r="K360" s="210" t="b">
        <f>IF($K$1,FALSE,COUNTIF(入力シート!$AW$37:$BB$38,D360)=0)</f>
        <v>0</v>
      </c>
      <c r="L360" s="210" t="b">
        <f>IF($L$1,FALSE,IF($L$3,FALSE,IF(E360="",FALSE,COUNTIF(入力シート!$AH$37:$AK$62,E360)=0)))</f>
        <v>0</v>
      </c>
      <c r="M360" s="211" t="str">
        <f t="shared" si="11"/>
        <v/>
      </c>
      <c r="N360" s="211"/>
      <c r="O360" s="209" t="str">
        <f>IF(B360="","",VLOOKUP('従業員情報(給与以外)'!$B360,入力シート!$S$37:$Z$62,5,0))</f>
        <v/>
      </c>
      <c r="P360" s="156" t="str">
        <f>IF(ISNUMBER(C360)=FALSE,"",IF(C360&gt;入力シート!$J$24,"",_xlfn.DAYS(入力シート!$J$24,'従業員情報(給与以外)'!$C360)/365))</f>
        <v/>
      </c>
      <c r="Q360" s="210" t="str">
        <f>IF(P360="","",VLOOKUP(_xlfn.DAYS(入力シート!$J$24,'従業員情報(給与以外)'!$C360)/365,入力リスト!$K$18:$L$26,2,2))</f>
        <v/>
      </c>
      <c r="R360" s="209" t="str">
        <f>IF(D360="","",VLOOKUP('従業員情報(給与以外)'!$D360,入力シート!$AW$37:$BB$38,4,0))</f>
        <v/>
      </c>
      <c r="S360" s="209" t="str">
        <f>IF(A360="","",IF(E360="","非役職",VLOOKUP('従業員情報(給与以外)'!$E360,入力シート!$AH$37:$AO$62,5,0)))</f>
        <v/>
      </c>
      <c r="T360" s="102" t="str">
        <f>IF(OR(入力シート!$C$5&lt;&gt;入力リスト!$C$3,COUNTIF(入力シート!$J$16:$S$23,入力リスト!$H$9)=0),"",IF($A360="","",IF(ISERROR(AVERAGEIF(従業員の給与情報!$B:$B,$A360,従業員の給与情報!$C:$C)),0,IF(ISERROR(AVERAGEIF(従業員の給与情報!$B:$B,$A360,従業員の給与情報!$C:$C)),0,AVERAGEIF(従業員の給与情報!$B:$B,$A360,従業員の給与情報!$C:$C)))))</f>
        <v/>
      </c>
      <c r="U360" s="102" t="str">
        <f>IF(OR(入力シート!$C$5&lt;&gt;入力リスト!$C$3,COUNTIF(入力シート!$J$16:$S$23,入力リスト!$H$9)=0),"",IF(A360="","",IF(ISERROR(AVERAGEIF(従業員の給与情報!$B:$B,$A360,従業員の給与情報!$D:$D)),0,IF(ISERROR(AVERAGEIF(従業員の給与情報!$B:$B,$A360,従業員の給与情報!$D:$D)),0,AVERAGEIF(従業員の給与情報!$B:$B,$A360,従業員の給与情報!$D:$D)))))</f>
        <v/>
      </c>
      <c r="V360" s="102" t="str">
        <f>IF(OR(入力シート!$C$5&lt;&gt;入力リスト!$C$3,COUNTIF(入力シート!$J$16:$S$23,入力リスト!$H$9)=0),"",IF(A360="","",IF(ISERROR(AVERAGEIF(従業員の給与情報!$B:$B,$A360,従業員の給与情報!$E:$E)),0,IF(ISERROR(AVERAGEIF(従業員の給与情報!$B:$B,$A360,従業員の給与情報!$E:$E)),0,AVERAGEIF(従業員の給与情報!$B:$B,$A360,従業員の給与情報!$E:$E)))))</f>
        <v/>
      </c>
      <c r="W360" s="103" t="str">
        <f>IF(OR(入力シート!$C$5&lt;&gt;入力リスト!$C$3,COUNTIF(入力シート!$J$16:$S$23,入力リスト!$H$9)=0),"",IF(A360="","",IF(ISERROR(AVERAGEIF(従業員の給与情報!$B:$B,$A360,従業員の給与情報!$F:$F)),0,IF(ISERROR(AVERAGEIF(従業員の給与情報!$B:$B,$A360,従業員の給与情報!$F:$F)),0,AVERAGEIF(従業員の給与情報!$B:$B,$A360,従業員の給与情報!$F:$F)))))</f>
        <v/>
      </c>
    </row>
    <row r="361" spans="1:23" s="10" customFormat="1">
      <c r="A361" s="253"/>
      <c r="B361" s="246"/>
      <c r="C361" s="247"/>
      <c r="D361" s="246"/>
      <c r="E361" s="246"/>
      <c r="F361" s="257" t="str">
        <f>IF($G$1,"",IF(COUNTIF(A361:E361,"")=5,"",IF(G361,入力リスト!$K$28,IF(OR(A361="",B361="",IF(COUNTIF($C$3,"*不要*"),"",C361=""),D361=""),IF(A361="","従業員番号","")&amp;IF(B361="","「雇用形態」","")&amp;IF(OR(入力シート!$J$18=入力リスト!$H$9,入力シート!$J$22=入力リスト!$H$9),IF(C361="","「入社年月日」",""),"")&amp;IF(D361="","「性別」","")&amp;IF(IF(A361="","従業員番号","")&amp;IF(B361="","「雇用形態」","")&amp;IF(OR(入力シート!$J$18=入力リスト!$H$9,入力シート!$J$22=入力リスト!$H$9),IF(C361="","「入社年月日」",""),"")&amp;IF(D361="","「性別」","")="","",入力リスト!$K$29),IF(J361,入力リスト!$K$30,"")&amp;IF(I361,入力リスト!$K$31,"")&amp;IF(H361,"「雇用形態」","")&amp;IF(K361,"「性別」","")&amp;IF(L361,"「役職」","")&amp;IF(OR(H361,K361,L361),入力リスト!$K$32,"")))))</f>
        <v/>
      </c>
      <c r="G361" s="209" t="b">
        <f>COUNTIF($A$4:A360,$A361)&gt;0</f>
        <v>0</v>
      </c>
      <c r="H361" s="210" t="b">
        <f>IF($H$1,FALSE,COUNTIF(入力シート!$S$37:$V$62,B361)=0)</f>
        <v>0</v>
      </c>
      <c r="I361" s="210" t="b">
        <f t="shared" si="12"/>
        <v>0</v>
      </c>
      <c r="J361" s="210" t="b">
        <f>IF($J$1,FALSE,IF(I361=TRUE,FALSE,IF(I361,FALSE,C361&gt;入力シート!$J$24)))</f>
        <v>0</v>
      </c>
      <c r="K361" s="210" t="b">
        <f>IF($K$1,FALSE,COUNTIF(入力シート!$AW$37:$BB$38,D361)=0)</f>
        <v>0</v>
      </c>
      <c r="L361" s="210" t="b">
        <f>IF($L$1,FALSE,IF($L$3,FALSE,IF(E361="",FALSE,COUNTIF(入力シート!$AH$37:$AK$62,E361)=0)))</f>
        <v>0</v>
      </c>
      <c r="M361" s="211" t="str">
        <f t="shared" si="11"/>
        <v/>
      </c>
      <c r="N361" s="211"/>
      <c r="O361" s="209" t="str">
        <f>IF(B361="","",VLOOKUP('従業員情報(給与以外)'!$B361,入力シート!$S$37:$Z$62,5,0))</f>
        <v/>
      </c>
      <c r="P361" s="156" t="str">
        <f>IF(ISNUMBER(C361)=FALSE,"",IF(C361&gt;入力シート!$J$24,"",_xlfn.DAYS(入力シート!$J$24,'従業員情報(給与以外)'!$C361)/365))</f>
        <v/>
      </c>
      <c r="Q361" s="210" t="str">
        <f>IF(P361="","",VLOOKUP(_xlfn.DAYS(入力シート!$J$24,'従業員情報(給与以外)'!$C361)/365,入力リスト!$K$18:$L$26,2,2))</f>
        <v/>
      </c>
      <c r="R361" s="209" t="str">
        <f>IF(D361="","",VLOOKUP('従業員情報(給与以外)'!$D361,入力シート!$AW$37:$BB$38,4,0))</f>
        <v/>
      </c>
      <c r="S361" s="209" t="str">
        <f>IF(A361="","",IF(E361="","非役職",VLOOKUP('従業員情報(給与以外)'!$E361,入力シート!$AH$37:$AO$62,5,0)))</f>
        <v/>
      </c>
      <c r="T361" s="102" t="str">
        <f>IF(OR(入力シート!$C$5&lt;&gt;入力リスト!$C$3,COUNTIF(入力シート!$J$16:$S$23,入力リスト!$H$9)=0),"",IF($A361="","",IF(ISERROR(AVERAGEIF(従業員の給与情報!$B:$B,$A361,従業員の給与情報!$C:$C)),0,IF(ISERROR(AVERAGEIF(従業員の給与情報!$B:$B,$A361,従業員の給与情報!$C:$C)),0,AVERAGEIF(従業員の給与情報!$B:$B,$A361,従業員の給与情報!$C:$C)))))</f>
        <v/>
      </c>
      <c r="U361" s="102" t="str">
        <f>IF(OR(入力シート!$C$5&lt;&gt;入力リスト!$C$3,COUNTIF(入力シート!$J$16:$S$23,入力リスト!$H$9)=0),"",IF(A361="","",IF(ISERROR(AVERAGEIF(従業員の給与情報!$B:$B,$A361,従業員の給与情報!$D:$D)),0,IF(ISERROR(AVERAGEIF(従業員の給与情報!$B:$B,$A361,従業員の給与情報!$D:$D)),0,AVERAGEIF(従業員の給与情報!$B:$B,$A361,従業員の給与情報!$D:$D)))))</f>
        <v/>
      </c>
      <c r="V361" s="102" t="str">
        <f>IF(OR(入力シート!$C$5&lt;&gt;入力リスト!$C$3,COUNTIF(入力シート!$J$16:$S$23,入力リスト!$H$9)=0),"",IF(A361="","",IF(ISERROR(AVERAGEIF(従業員の給与情報!$B:$B,$A361,従業員の給与情報!$E:$E)),0,IF(ISERROR(AVERAGEIF(従業員の給与情報!$B:$B,$A361,従業員の給与情報!$E:$E)),0,AVERAGEIF(従業員の給与情報!$B:$B,$A361,従業員の給与情報!$E:$E)))))</f>
        <v/>
      </c>
      <c r="W361" s="103" t="str">
        <f>IF(OR(入力シート!$C$5&lt;&gt;入力リスト!$C$3,COUNTIF(入力シート!$J$16:$S$23,入力リスト!$H$9)=0),"",IF(A361="","",IF(ISERROR(AVERAGEIF(従業員の給与情報!$B:$B,$A361,従業員の給与情報!$F:$F)),0,IF(ISERROR(AVERAGEIF(従業員の給与情報!$B:$B,$A361,従業員の給与情報!$F:$F)),0,AVERAGEIF(従業員の給与情報!$B:$B,$A361,従業員の給与情報!$F:$F)))))</f>
        <v/>
      </c>
    </row>
    <row r="362" spans="1:23" s="10" customFormat="1">
      <c r="A362" s="253"/>
      <c r="B362" s="246"/>
      <c r="C362" s="247"/>
      <c r="D362" s="246"/>
      <c r="E362" s="246"/>
      <c r="F362" s="257" t="str">
        <f>IF($G$1,"",IF(COUNTIF(A362:E362,"")=5,"",IF(G362,入力リスト!$K$28,IF(OR(A362="",B362="",IF(COUNTIF($C$3,"*不要*"),"",C362=""),D362=""),IF(A362="","従業員番号","")&amp;IF(B362="","「雇用形態」","")&amp;IF(OR(入力シート!$J$18=入力リスト!$H$9,入力シート!$J$22=入力リスト!$H$9),IF(C362="","「入社年月日」",""),"")&amp;IF(D362="","「性別」","")&amp;IF(IF(A362="","従業員番号","")&amp;IF(B362="","「雇用形態」","")&amp;IF(OR(入力シート!$J$18=入力リスト!$H$9,入力シート!$J$22=入力リスト!$H$9),IF(C362="","「入社年月日」",""),"")&amp;IF(D362="","「性別」","")="","",入力リスト!$K$29),IF(J362,入力リスト!$K$30,"")&amp;IF(I362,入力リスト!$K$31,"")&amp;IF(H362,"「雇用形態」","")&amp;IF(K362,"「性別」","")&amp;IF(L362,"「役職」","")&amp;IF(OR(H362,K362,L362),入力リスト!$K$32,"")))))</f>
        <v/>
      </c>
      <c r="G362" s="209" t="b">
        <f>COUNTIF($A$4:A361,$A362)&gt;0</f>
        <v>0</v>
      </c>
      <c r="H362" s="210" t="b">
        <f>IF($H$1,FALSE,COUNTIF(入力シート!$S$37:$V$62,B362)=0)</f>
        <v>0</v>
      </c>
      <c r="I362" s="210" t="b">
        <f t="shared" si="12"/>
        <v>0</v>
      </c>
      <c r="J362" s="210" t="b">
        <f>IF($J$1,FALSE,IF(I362=TRUE,FALSE,IF(I362,FALSE,C362&gt;入力シート!$J$24)))</f>
        <v>0</v>
      </c>
      <c r="K362" s="210" t="b">
        <f>IF($K$1,FALSE,COUNTIF(入力シート!$AW$37:$BB$38,D362)=0)</f>
        <v>0</v>
      </c>
      <c r="L362" s="210" t="b">
        <f>IF($L$1,FALSE,IF($L$3,FALSE,IF(E362="",FALSE,COUNTIF(入力シート!$AH$37:$AK$62,E362)=0)))</f>
        <v>0</v>
      </c>
      <c r="M362" s="211" t="str">
        <f t="shared" si="11"/>
        <v/>
      </c>
      <c r="N362" s="211"/>
      <c r="O362" s="209" t="str">
        <f>IF(B362="","",VLOOKUP('従業員情報(給与以外)'!$B362,入力シート!$S$37:$Z$62,5,0))</f>
        <v/>
      </c>
      <c r="P362" s="156" t="str">
        <f>IF(ISNUMBER(C362)=FALSE,"",IF(C362&gt;入力シート!$J$24,"",_xlfn.DAYS(入力シート!$J$24,'従業員情報(給与以外)'!$C362)/365))</f>
        <v/>
      </c>
      <c r="Q362" s="210" t="str">
        <f>IF(P362="","",VLOOKUP(_xlfn.DAYS(入力シート!$J$24,'従業員情報(給与以外)'!$C362)/365,入力リスト!$K$18:$L$26,2,2))</f>
        <v/>
      </c>
      <c r="R362" s="209" t="str">
        <f>IF(D362="","",VLOOKUP('従業員情報(給与以外)'!$D362,入力シート!$AW$37:$BB$38,4,0))</f>
        <v/>
      </c>
      <c r="S362" s="209" t="str">
        <f>IF(A362="","",IF(E362="","非役職",VLOOKUP('従業員情報(給与以外)'!$E362,入力シート!$AH$37:$AO$62,5,0)))</f>
        <v/>
      </c>
      <c r="T362" s="102" t="str">
        <f>IF(OR(入力シート!$C$5&lt;&gt;入力リスト!$C$3,COUNTIF(入力シート!$J$16:$S$23,入力リスト!$H$9)=0),"",IF($A362="","",IF(ISERROR(AVERAGEIF(従業員の給与情報!$B:$B,$A362,従業員の給与情報!$C:$C)),0,IF(ISERROR(AVERAGEIF(従業員の給与情報!$B:$B,$A362,従業員の給与情報!$C:$C)),0,AVERAGEIF(従業員の給与情報!$B:$B,$A362,従業員の給与情報!$C:$C)))))</f>
        <v/>
      </c>
      <c r="U362" s="102" t="str">
        <f>IF(OR(入力シート!$C$5&lt;&gt;入力リスト!$C$3,COUNTIF(入力シート!$J$16:$S$23,入力リスト!$H$9)=0),"",IF(A362="","",IF(ISERROR(AVERAGEIF(従業員の給与情報!$B:$B,$A362,従業員の給与情報!$D:$D)),0,IF(ISERROR(AVERAGEIF(従業員の給与情報!$B:$B,$A362,従業員の給与情報!$D:$D)),0,AVERAGEIF(従業員の給与情報!$B:$B,$A362,従業員の給与情報!$D:$D)))))</f>
        <v/>
      </c>
      <c r="V362" s="102" t="str">
        <f>IF(OR(入力シート!$C$5&lt;&gt;入力リスト!$C$3,COUNTIF(入力シート!$J$16:$S$23,入力リスト!$H$9)=0),"",IF(A362="","",IF(ISERROR(AVERAGEIF(従業員の給与情報!$B:$B,$A362,従業員の給与情報!$E:$E)),0,IF(ISERROR(AVERAGEIF(従業員の給与情報!$B:$B,$A362,従業員の給与情報!$E:$E)),0,AVERAGEIF(従業員の給与情報!$B:$B,$A362,従業員の給与情報!$E:$E)))))</f>
        <v/>
      </c>
      <c r="W362" s="103" t="str">
        <f>IF(OR(入力シート!$C$5&lt;&gt;入力リスト!$C$3,COUNTIF(入力シート!$J$16:$S$23,入力リスト!$H$9)=0),"",IF(A362="","",IF(ISERROR(AVERAGEIF(従業員の給与情報!$B:$B,$A362,従業員の給与情報!$F:$F)),0,IF(ISERROR(AVERAGEIF(従業員の給与情報!$B:$B,$A362,従業員の給与情報!$F:$F)),0,AVERAGEIF(従業員の給与情報!$B:$B,$A362,従業員の給与情報!$F:$F)))))</f>
        <v/>
      </c>
    </row>
    <row r="363" spans="1:23" s="10" customFormat="1">
      <c r="A363" s="253"/>
      <c r="B363" s="246"/>
      <c r="C363" s="247"/>
      <c r="D363" s="246"/>
      <c r="E363" s="246"/>
      <c r="F363" s="257" t="str">
        <f>IF($G$1,"",IF(COUNTIF(A363:E363,"")=5,"",IF(G363,入力リスト!$K$28,IF(OR(A363="",B363="",IF(COUNTIF($C$3,"*不要*"),"",C363=""),D363=""),IF(A363="","従業員番号","")&amp;IF(B363="","「雇用形態」","")&amp;IF(OR(入力シート!$J$18=入力リスト!$H$9,入力シート!$J$22=入力リスト!$H$9),IF(C363="","「入社年月日」",""),"")&amp;IF(D363="","「性別」","")&amp;IF(IF(A363="","従業員番号","")&amp;IF(B363="","「雇用形態」","")&amp;IF(OR(入力シート!$J$18=入力リスト!$H$9,入力シート!$J$22=入力リスト!$H$9),IF(C363="","「入社年月日」",""),"")&amp;IF(D363="","「性別」","")="","",入力リスト!$K$29),IF(J363,入力リスト!$K$30,"")&amp;IF(I363,入力リスト!$K$31,"")&amp;IF(H363,"「雇用形態」","")&amp;IF(K363,"「性別」","")&amp;IF(L363,"「役職」","")&amp;IF(OR(H363,K363,L363),入力リスト!$K$32,"")))))</f>
        <v/>
      </c>
      <c r="G363" s="209" t="b">
        <f>COUNTIF($A$4:A362,$A363)&gt;0</f>
        <v>0</v>
      </c>
      <c r="H363" s="210" t="b">
        <f>IF($H$1,FALSE,COUNTIF(入力シート!$S$37:$V$62,B363)=0)</f>
        <v>0</v>
      </c>
      <c r="I363" s="210" t="b">
        <f t="shared" si="12"/>
        <v>0</v>
      </c>
      <c r="J363" s="210" t="b">
        <f>IF($J$1,FALSE,IF(I363=TRUE,FALSE,IF(I363,FALSE,C363&gt;入力シート!$J$24)))</f>
        <v>0</v>
      </c>
      <c r="K363" s="210" t="b">
        <f>IF($K$1,FALSE,COUNTIF(入力シート!$AW$37:$BB$38,D363)=0)</f>
        <v>0</v>
      </c>
      <c r="L363" s="210" t="b">
        <f>IF($L$1,FALSE,IF($L$3,FALSE,IF(E363="",FALSE,COUNTIF(入力シート!$AH$37:$AK$62,E363)=0)))</f>
        <v>0</v>
      </c>
      <c r="M363" s="211" t="str">
        <f t="shared" si="11"/>
        <v/>
      </c>
      <c r="N363" s="211"/>
      <c r="O363" s="209" t="str">
        <f>IF(B363="","",VLOOKUP('従業員情報(給与以外)'!$B363,入力シート!$S$37:$Z$62,5,0))</f>
        <v/>
      </c>
      <c r="P363" s="156" t="str">
        <f>IF(ISNUMBER(C363)=FALSE,"",IF(C363&gt;入力シート!$J$24,"",_xlfn.DAYS(入力シート!$J$24,'従業員情報(給与以外)'!$C363)/365))</f>
        <v/>
      </c>
      <c r="Q363" s="210" t="str">
        <f>IF(P363="","",VLOOKUP(_xlfn.DAYS(入力シート!$J$24,'従業員情報(給与以外)'!$C363)/365,入力リスト!$K$18:$L$26,2,2))</f>
        <v/>
      </c>
      <c r="R363" s="209" t="str">
        <f>IF(D363="","",VLOOKUP('従業員情報(給与以外)'!$D363,入力シート!$AW$37:$BB$38,4,0))</f>
        <v/>
      </c>
      <c r="S363" s="209" t="str">
        <f>IF(A363="","",IF(E363="","非役職",VLOOKUP('従業員情報(給与以外)'!$E363,入力シート!$AH$37:$AO$62,5,0)))</f>
        <v/>
      </c>
      <c r="T363" s="102" t="str">
        <f>IF(OR(入力シート!$C$5&lt;&gt;入力リスト!$C$3,COUNTIF(入力シート!$J$16:$S$23,入力リスト!$H$9)=0),"",IF($A363="","",IF(ISERROR(AVERAGEIF(従業員の給与情報!$B:$B,$A363,従業員の給与情報!$C:$C)),0,IF(ISERROR(AVERAGEIF(従業員の給与情報!$B:$B,$A363,従業員の給与情報!$C:$C)),0,AVERAGEIF(従業員の給与情報!$B:$B,$A363,従業員の給与情報!$C:$C)))))</f>
        <v/>
      </c>
      <c r="U363" s="102" t="str">
        <f>IF(OR(入力シート!$C$5&lt;&gt;入力リスト!$C$3,COUNTIF(入力シート!$J$16:$S$23,入力リスト!$H$9)=0),"",IF(A363="","",IF(ISERROR(AVERAGEIF(従業員の給与情報!$B:$B,$A363,従業員の給与情報!$D:$D)),0,IF(ISERROR(AVERAGEIF(従業員の給与情報!$B:$B,$A363,従業員の給与情報!$D:$D)),0,AVERAGEIF(従業員の給与情報!$B:$B,$A363,従業員の給与情報!$D:$D)))))</f>
        <v/>
      </c>
      <c r="V363" s="102" t="str">
        <f>IF(OR(入力シート!$C$5&lt;&gt;入力リスト!$C$3,COUNTIF(入力シート!$J$16:$S$23,入力リスト!$H$9)=0),"",IF(A363="","",IF(ISERROR(AVERAGEIF(従業員の給与情報!$B:$B,$A363,従業員の給与情報!$E:$E)),0,IF(ISERROR(AVERAGEIF(従業員の給与情報!$B:$B,$A363,従業員の給与情報!$E:$E)),0,AVERAGEIF(従業員の給与情報!$B:$B,$A363,従業員の給与情報!$E:$E)))))</f>
        <v/>
      </c>
      <c r="W363" s="103" t="str">
        <f>IF(OR(入力シート!$C$5&lt;&gt;入力リスト!$C$3,COUNTIF(入力シート!$J$16:$S$23,入力リスト!$H$9)=0),"",IF(A363="","",IF(ISERROR(AVERAGEIF(従業員の給与情報!$B:$B,$A363,従業員の給与情報!$F:$F)),0,IF(ISERROR(AVERAGEIF(従業員の給与情報!$B:$B,$A363,従業員の給与情報!$F:$F)),0,AVERAGEIF(従業員の給与情報!$B:$B,$A363,従業員の給与情報!$F:$F)))))</f>
        <v/>
      </c>
    </row>
    <row r="364" spans="1:23" s="10" customFormat="1">
      <c r="A364" s="253"/>
      <c r="B364" s="246"/>
      <c r="C364" s="247"/>
      <c r="D364" s="246"/>
      <c r="E364" s="246"/>
      <c r="F364" s="257" t="str">
        <f>IF($G$1,"",IF(COUNTIF(A364:E364,"")=5,"",IF(G364,入力リスト!$K$28,IF(OR(A364="",B364="",IF(COUNTIF($C$3,"*不要*"),"",C364=""),D364=""),IF(A364="","従業員番号","")&amp;IF(B364="","「雇用形態」","")&amp;IF(OR(入力シート!$J$18=入力リスト!$H$9,入力シート!$J$22=入力リスト!$H$9),IF(C364="","「入社年月日」",""),"")&amp;IF(D364="","「性別」","")&amp;IF(IF(A364="","従業員番号","")&amp;IF(B364="","「雇用形態」","")&amp;IF(OR(入力シート!$J$18=入力リスト!$H$9,入力シート!$J$22=入力リスト!$H$9),IF(C364="","「入社年月日」",""),"")&amp;IF(D364="","「性別」","")="","",入力リスト!$K$29),IF(J364,入力リスト!$K$30,"")&amp;IF(I364,入力リスト!$K$31,"")&amp;IF(H364,"「雇用形態」","")&amp;IF(K364,"「性別」","")&amp;IF(L364,"「役職」","")&amp;IF(OR(H364,K364,L364),入力リスト!$K$32,"")))))</f>
        <v/>
      </c>
      <c r="G364" s="209" t="b">
        <f>COUNTIF($A$4:A363,$A364)&gt;0</f>
        <v>0</v>
      </c>
      <c r="H364" s="210" t="b">
        <f>IF($H$1,FALSE,COUNTIF(入力シート!$S$37:$V$62,B364)=0)</f>
        <v>0</v>
      </c>
      <c r="I364" s="210" t="b">
        <f t="shared" si="12"/>
        <v>0</v>
      </c>
      <c r="J364" s="210" t="b">
        <f>IF($J$1,FALSE,IF(I364=TRUE,FALSE,IF(I364,FALSE,C364&gt;入力シート!$J$24)))</f>
        <v>0</v>
      </c>
      <c r="K364" s="210" t="b">
        <f>IF($K$1,FALSE,COUNTIF(入力シート!$AW$37:$BB$38,D364)=0)</f>
        <v>0</v>
      </c>
      <c r="L364" s="210" t="b">
        <f>IF($L$1,FALSE,IF($L$3,FALSE,IF(E364="",FALSE,COUNTIF(入力シート!$AH$37:$AK$62,E364)=0)))</f>
        <v>0</v>
      </c>
      <c r="M364" s="211" t="str">
        <f t="shared" si="11"/>
        <v/>
      </c>
      <c r="N364" s="211"/>
      <c r="O364" s="209" t="str">
        <f>IF(B364="","",VLOOKUP('従業員情報(給与以外)'!$B364,入力シート!$S$37:$Z$62,5,0))</f>
        <v/>
      </c>
      <c r="P364" s="156" t="str">
        <f>IF(ISNUMBER(C364)=FALSE,"",IF(C364&gt;入力シート!$J$24,"",_xlfn.DAYS(入力シート!$J$24,'従業員情報(給与以外)'!$C364)/365))</f>
        <v/>
      </c>
      <c r="Q364" s="210" t="str">
        <f>IF(P364="","",VLOOKUP(_xlfn.DAYS(入力シート!$J$24,'従業員情報(給与以外)'!$C364)/365,入力リスト!$K$18:$L$26,2,2))</f>
        <v/>
      </c>
      <c r="R364" s="209" t="str">
        <f>IF(D364="","",VLOOKUP('従業員情報(給与以外)'!$D364,入力シート!$AW$37:$BB$38,4,0))</f>
        <v/>
      </c>
      <c r="S364" s="209" t="str">
        <f>IF(A364="","",IF(E364="","非役職",VLOOKUP('従業員情報(給与以外)'!$E364,入力シート!$AH$37:$AO$62,5,0)))</f>
        <v/>
      </c>
      <c r="T364" s="102" t="str">
        <f>IF(OR(入力シート!$C$5&lt;&gt;入力リスト!$C$3,COUNTIF(入力シート!$J$16:$S$23,入力リスト!$H$9)=0),"",IF($A364="","",IF(ISERROR(AVERAGEIF(従業員の給与情報!$B:$B,$A364,従業員の給与情報!$C:$C)),0,IF(ISERROR(AVERAGEIF(従業員の給与情報!$B:$B,$A364,従業員の給与情報!$C:$C)),0,AVERAGEIF(従業員の給与情報!$B:$B,$A364,従業員の給与情報!$C:$C)))))</f>
        <v/>
      </c>
      <c r="U364" s="102" t="str">
        <f>IF(OR(入力シート!$C$5&lt;&gt;入力リスト!$C$3,COUNTIF(入力シート!$J$16:$S$23,入力リスト!$H$9)=0),"",IF(A364="","",IF(ISERROR(AVERAGEIF(従業員の給与情報!$B:$B,$A364,従業員の給与情報!$D:$D)),0,IF(ISERROR(AVERAGEIF(従業員の給与情報!$B:$B,$A364,従業員の給与情報!$D:$D)),0,AVERAGEIF(従業員の給与情報!$B:$B,$A364,従業員の給与情報!$D:$D)))))</f>
        <v/>
      </c>
      <c r="V364" s="102" t="str">
        <f>IF(OR(入力シート!$C$5&lt;&gt;入力リスト!$C$3,COUNTIF(入力シート!$J$16:$S$23,入力リスト!$H$9)=0),"",IF(A364="","",IF(ISERROR(AVERAGEIF(従業員の給与情報!$B:$B,$A364,従業員の給与情報!$E:$E)),0,IF(ISERROR(AVERAGEIF(従業員の給与情報!$B:$B,$A364,従業員の給与情報!$E:$E)),0,AVERAGEIF(従業員の給与情報!$B:$B,$A364,従業員の給与情報!$E:$E)))))</f>
        <v/>
      </c>
      <c r="W364" s="103" t="str">
        <f>IF(OR(入力シート!$C$5&lt;&gt;入力リスト!$C$3,COUNTIF(入力シート!$J$16:$S$23,入力リスト!$H$9)=0),"",IF(A364="","",IF(ISERROR(AVERAGEIF(従業員の給与情報!$B:$B,$A364,従業員の給与情報!$F:$F)),0,IF(ISERROR(AVERAGEIF(従業員の給与情報!$B:$B,$A364,従業員の給与情報!$F:$F)),0,AVERAGEIF(従業員の給与情報!$B:$B,$A364,従業員の給与情報!$F:$F)))))</f>
        <v/>
      </c>
    </row>
    <row r="365" spans="1:23" s="10" customFormat="1">
      <c r="A365" s="253"/>
      <c r="B365" s="246"/>
      <c r="C365" s="247"/>
      <c r="D365" s="246"/>
      <c r="E365" s="246"/>
      <c r="F365" s="257" t="str">
        <f>IF($G$1,"",IF(COUNTIF(A365:E365,"")=5,"",IF(G365,入力リスト!$K$28,IF(OR(A365="",B365="",IF(COUNTIF($C$3,"*不要*"),"",C365=""),D365=""),IF(A365="","従業員番号","")&amp;IF(B365="","「雇用形態」","")&amp;IF(OR(入力シート!$J$18=入力リスト!$H$9,入力シート!$J$22=入力リスト!$H$9),IF(C365="","「入社年月日」",""),"")&amp;IF(D365="","「性別」","")&amp;IF(IF(A365="","従業員番号","")&amp;IF(B365="","「雇用形態」","")&amp;IF(OR(入力シート!$J$18=入力リスト!$H$9,入力シート!$J$22=入力リスト!$H$9),IF(C365="","「入社年月日」",""),"")&amp;IF(D365="","「性別」","")="","",入力リスト!$K$29),IF(J365,入力リスト!$K$30,"")&amp;IF(I365,入力リスト!$K$31,"")&amp;IF(H365,"「雇用形態」","")&amp;IF(K365,"「性別」","")&amp;IF(L365,"「役職」","")&amp;IF(OR(H365,K365,L365),入力リスト!$K$32,"")))))</f>
        <v/>
      </c>
      <c r="G365" s="209" t="b">
        <f>COUNTIF($A$4:A364,$A365)&gt;0</f>
        <v>0</v>
      </c>
      <c r="H365" s="210" t="b">
        <f>IF($H$1,FALSE,COUNTIF(入力シート!$S$37:$V$62,B365)=0)</f>
        <v>0</v>
      </c>
      <c r="I365" s="210" t="b">
        <f t="shared" si="12"/>
        <v>0</v>
      </c>
      <c r="J365" s="210" t="b">
        <f>IF($J$1,FALSE,IF(I365=TRUE,FALSE,IF(I365,FALSE,C365&gt;入力シート!$J$24)))</f>
        <v>0</v>
      </c>
      <c r="K365" s="210" t="b">
        <f>IF($K$1,FALSE,COUNTIF(入力シート!$AW$37:$BB$38,D365)=0)</f>
        <v>0</v>
      </c>
      <c r="L365" s="210" t="b">
        <f>IF($L$1,FALSE,IF($L$3,FALSE,IF(E365="",FALSE,COUNTIF(入力シート!$AH$37:$AK$62,E365)=0)))</f>
        <v>0</v>
      </c>
      <c r="M365" s="211" t="str">
        <f t="shared" si="11"/>
        <v/>
      </c>
      <c r="N365" s="211"/>
      <c r="O365" s="209" t="str">
        <f>IF(B365="","",VLOOKUP('従業員情報(給与以外)'!$B365,入力シート!$S$37:$Z$62,5,0))</f>
        <v/>
      </c>
      <c r="P365" s="156" t="str">
        <f>IF(ISNUMBER(C365)=FALSE,"",IF(C365&gt;入力シート!$J$24,"",_xlfn.DAYS(入力シート!$J$24,'従業員情報(給与以外)'!$C365)/365))</f>
        <v/>
      </c>
      <c r="Q365" s="210" t="str">
        <f>IF(P365="","",VLOOKUP(_xlfn.DAYS(入力シート!$J$24,'従業員情報(給与以外)'!$C365)/365,入力リスト!$K$18:$L$26,2,2))</f>
        <v/>
      </c>
      <c r="R365" s="209" t="str">
        <f>IF(D365="","",VLOOKUP('従業員情報(給与以外)'!$D365,入力シート!$AW$37:$BB$38,4,0))</f>
        <v/>
      </c>
      <c r="S365" s="209" t="str">
        <f>IF(A365="","",IF(E365="","非役職",VLOOKUP('従業員情報(給与以外)'!$E365,入力シート!$AH$37:$AO$62,5,0)))</f>
        <v/>
      </c>
      <c r="T365" s="102" t="str">
        <f>IF(OR(入力シート!$C$5&lt;&gt;入力リスト!$C$3,COUNTIF(入力シート!$J$16:$S$23,入力リスト!$H$9)=0),"",IF($A365="","",IF(ISERROR(AVERAGEIF(従業員の給与情報!$B:$B,$A365,従業員の給与情報!$C:$C)),0,IF(ISERROR(AVERAGEIF(従業員の給与情報!$B:$B,$A365,従業員の給与情報!$C:$C)),0,AVERAGEIF(従業員の給与情報!$B:$B,$A365,従業員の給与情報!$C:$C)))))</f>
        <v/>
      </c>
      <c r="U365" s="102" t="str">
        <f>IF(OR(入力シート!$C$5&lt;&gt;入力リスト!$C$3,COUNTIF(入力シート!$J$16:$S$23,入力リスト!$H$9)=0),"",IF(A365="","",IF(ISERROR(AVERAGEIF(従業員の給与情報!$B:$B,$A365,従業員の給与情報!$D:$D)),0,IF(ISERROR(AVERAGEIF(従業員の給与情報!$B:$B,$A365,従業員の給与情報!$D:$D)),0,AVERAGEIF(従業員の給与情報!$B:$B,$A365,従業員の給与情報!$D:$D)))))</f>
        <v/>
      </c>
      <c r="V365" s="102" t="str">
        <f>IF(OR(入力シート!$C$5&lt;&gt;入力リスト!$C$3,COUNTIF(入力シート!$J$16:$S$23,入力リスト!$H$9)=0),"",IF(A365="","",IF(ISERROR(AVERAGEIF(従業員の給与情報!$B:$B,$A365,従業員の給与情報!$E:$E)),0,IF(ISERROR(AVERAGEIF(従業員の給与情報!$B:$B,$A365,従業員の給与情報!$E:$E)),0,AVERAGEIF(従業員の給与情報!$B:$B,$A365,従業員の給与情報!$E:$E)))))</f>
        <v/>
      </c>
      <c r="W365" s="103" t="str">
        <f>IF(OR(入力シート!$C$5&lt;&gt;入力リスト!$C$3,COUNTIF(入力シート!$J$16:$S$23,入力リスト!$H$9)=0),"",IF(A365="","",IF(ISERROR(AVERAGEIF(従業員の給与情報!$B:$B,$A365,従業員の給与情報!$F:$F)),0,IF(ISERROR(AVERAGEIF(従業員の給与情報!$B:$B,$A365,従業員の給与情報!$F:$F)),0,AVERAGEIF(従業員の給与情報!$B:$B,$A365,従業員の給与情報!$F:$F)))))</f>
        <v/>
      </c>
    </row>
    <row r="366" spans="1:23" s="10" customFormat="1">
      <c r="A366" s="253"/>
      <c r="B366" s="246"/>
      <c r="C366" s="247"/>
      <c r="D366" s="246"/>
      <c r="E366" s="246"/>
      <c r="F366" s="257" t="str">
        <f>IF($G$1,"",IF(COUNTIF(A366:E366,"")=5,"",IF(G366,入力リスト!$K$28,IF(OR(A366="",B366="",IF(COUNTIF($C$3,"*不要*"),"",C366=""),D366=""),IF(A366="","従業員番号","")&amp;IF(B366="","「雇用形態」","")&amp;IF(OR(入力シート!$J$18=入力リスト!$H$9,入力シート!$J$22=入力リスト!$H$9),IF(C366="","「入社年月日」",""),"")&amp;IF(D366="","「性別」","")&amp;IF(IF(A366="","従業員番号","")&amp;IF(B366="","「雇用形態」","")&amp;IF(OR(入力シート!$J$18=入力リスト!$H$9,入力シート!$J$22=入力リスト!$H$9),IF(C366="","「入社年月日」",""),"")&amp;IF(D366="","「性別」","")="","",入力リスト!$K$29),IF(J366,入力リスト!$K$30,"")&amp;IF(I366,入力リスト!$K$31,"")&amp;IF(H366,"「雇用形態」","")&amp;IF(K366,"「性別」","")&amp;IF(L366,"「役職」","")&amp;IF(OR(H366,K366,L366),入力リスト!$K$32,"")))))</f>
        <v/>
      </c>
      <c r="G366" s="209" t="b">
        <f>COUNTIF($A$4:A365,$A366)&gt;0</f>
        <v>0</v>
      </c>
      <c r="H366" s="210" t="b">
        <f>IF($H$1,FALSE,COUNTIF(入力シート!$S$37:$V$62,B366)=0)</f>
        <v>0</v>
      </c>
      <c r="I366" s="210" t="b">
        <f t="shared" si="12"/>
        <v>0</v>
      </c>
      <c r="J366" s="210" t="b">
        <f>IF($J$1,FALSE,IF(I366=TRUE,FALSE,IF(I366,FALSE,C366&gt;入力シート!$J$24)))</f>
        <v>0</v>
      </c>
      <c r="K366" s="210" t="b">
        <f>IF($K$1,FALSE,COUNTIF(入力シート!$AW$37:$BB$38,D366)=0)</f>
        <v>0</v>
      </c>
      <c r="L366" s="210" t="b">
        <f>IF($L$1,FALSE,IF($L$3,FALSE,IF(E366="",FALSE,COUNTIF(入力シート!$AH$37:$AK$62,E366)=0)))</f>
        <v>0</v>
      </c>
      <c r="M366" s="211" t="str">
        <f t="shared" si="11"/>
        <v/>
      </c>
      <c r="N366" s="211"/>
      <c r="O366" s="209" t="str">
        <f>IF(B366="","",VLOOKUP('従業員情報(給与以外)'!$B366,入力シート!$S$37:$Z$62,5,0))</f>
        <v/>
      </c>
      <c r="P366" s="156" t="str">
        <f>IF(ISNUMBER(C366)=FALSE,"",IF(C366&gt;入力シート!$J$24,"",_xlfn.DAYS(入力シート!$J$24,'従業員情報(給与以外)'!$C366)/365))</f>
        <v/>
      </c>
      <c r="Q366" s="210" t="str">
        <f>IF(P366="","",VLOOKUP(_xlfn.DAYS(入力シート!$J$24,'従業員情報(給与以外)'!$C366)/365,入力リスト!$K$18:$L$26,2,2))</f>
        <v/>
      </c>
      <c r="R366" s="209" t="str">
        <f>IF(D366="","",VLOOKUP('従業員情報(給与以外)'!$D366,入力シート!$AW$37:$BB$38,4,0))</f>
        <v/>
      </c>
      <c r="S366" s="209" t="str">
        <f>IF(A366="","",IF(E366="","非役職",VLOOKUP('従業員情報(給与以外)'!$E366,入力シート!$AH$37:$AO$62,5,0)))</f>
        <v/>
      </c>
      <c r="T366" s="102" t="str">
        <f>IF(OR(入力シート!$C$5&lt;&gt;入力リスト!$C$3,COUNTIF(入力シート!$J$16:$S$23,入力リスト!$H$9)=0),"",IF($A366="","",IF(ISERROR(AVERAGEIF(従業員の給与情報!$B:$B,$A366,従業員の給与情報!$C:$C)),0,IF(ISERROR(AVERAGEIF(従業員の給与情報!$B:$B,$A366,従業員の給与情報!$C:$C)),0,AVERAGEIF(従業員の給与情報!$B:$B,$A366,従業員の給与情報!$C:$C)))))</f>
        <v/>
      </c>
      <c r="U366" s="102" t="str">
        <f>IF(OR(入力シート!$C$5&lt;&gt;入力リスト!$C$3,COUNTIF(入力シート!$J$16:$S$23,入力リスト!$H$9)=0),"",IF(A366="","",IF(ISERROR(AVERAGEIF(従業員の給与情報!$B:$B,$A366,従業員の給与情報!$D:$D)),0,IF(ISERROR(AVERAGEIF(従業員の給与情報!$B:$B,$A366,従業員の給与情報!$D:$D)),0,AVERAGEIF(従業員の給与情報!$B:$B,$A366,従業員の給与情報!$D:$D)))))</f>
        <v/>
      </c>
      <c r="V366" s="102" t="str">
        <f>IF(OR(入力シート!$C$5&lt;&gt;入力リスト!$C$3,COUNTIF(入力シート!$J$16:$S$23,入力リスト!$H$9)=0),"",IF(A366="","",IF(ISERROR(AVERAGEIF(従業員の給与情報!$B:$B,$A366,従業員の給与情報!$E:$E)),0,IF(ISERROR(AVERAGEIF(従業員の給与情報!$B:$B,$A366,従業員の給与情報!$E:$E)),0,AVERAGEIF(従業員の給与情報!$B:$B,$A366,従業員の給与情報!$E:$E)))))</f>
        <v/>
      </c>
      <c r="W366" s="103" t="str">
        <f>IF(OR(入力シート!$C$5&lt;&gt;入力リスト!$C$3,COUNTIF(入力シート!$J$16:$S$23,入力リスト!$H$9)=0),"",IF(A366="","",IF(ISERROR(AVERAGEIF(従業員の給与情報!$B:$B,$A366,従業員の給与情報!$F:$F)),0,IF(ISERROR(AVERAGEIF(従業員の給与情報!$B:$B,$A366,従業員の給与情報!$F:$F)),0,AVERAGEIF(従業員の給与情報!$B:$B,$A366,従業員の給与情報!$F:$F)))))</f>
        <v/>
      </c>
    </row>
    <row r="367" spans="1:23" s="10" customFormat="1">
      <c r="A367" s="253"/>
      <c r="B367" s="246"/>
      <c r="C367" s="247"/>
      <c r="D367" s="246"/>
      <c r="E367" s="246"/>
      <c r="F367" s="257" t="str">
        <f>IF($G$1,"",IF(COUNTIF(A367:E367,"")=5,"",IF(G367,入力リスト!$K$28,IF(OR(A367="",B367="",IF(COUNTIF($C$3,"*不要*"),"",C367=""),D367=""),IF(A367="","従業員番号","")&amp;IF(B367="","「雇用形態」","")&amp;IF(OR(入力シート!$J$18=入力リスト!$H$9,入力シート!$J$22=入力リスト!$H$9),IF(C367="","「入社年月日」",""),"")&amp;IF(D367="","「性別」","")&amp;IF(IF(A367="","従業員番号","")&amp;IF(B367="","「雇用形態」","")&amp;IF(OR(入力シート!$J$18=入力リスト!$H$9,入力シート!$J$22=入力リスト!$H$9),IF(C367="","「入社年月日」",""),"")&amp;IF(D367="","「性別」","")="","",入力リスト!$K$29),IF(J367,入力リスト!$K$30,"")&amp;IF(I367,入力リスト!$K$31,"")&amp;IF(H367,"「雇用形態」","")&amp;IF(K367,"「性別」","")&amp;IF(L367,"「役職」","")&amp;IF(OR(H367,K367,L367),入力リスト!$K$32,"")))))</f>
        <v/>
      </c>
      <c r="G367" s="209" t="b">
        <f>COUNTIF($A$4:A366,$A367)&gt;0</f>
        <v>0</v>
      </c>
      <c r="H367" s="210" t="b">
        <f>IF($H$1,FALSE,COUNTIF(入力シート!$S$37:$V$62,B367)=0)</f>
        <v>0</v>
      </c>
      <c r="I367" s="210" t="b">
        <f t="shared" si="12"/>
        <v>0</v>
      </c>
      <c r="J367" s="210" t="b">
        <f>IF($J$1,FALSE,IF(I367=TRUE,FALSE,IF(I367,FALSE,C367&gt;入力シート!$J$24)))</f>
        <v>0</v>
      </c>
      <c r="K367" s="210" t="b">
        <f>IF($K$1,FALSE,COUNTIF(入力シート!$AW$37:$BB$38,D367)=0)</f>
        <v>0</v>
      </c>
      <c r="L367" s="210" t="b">
        <f>IF($L$1,FALSE,IF($L$3,FALSE,IF(E367="",FALSE,COUNTIF(入力シート!$AH$37:$AK$62,E367)=0)))</f>
        <v>0</v>
      </c>
      <c r="M367" s="211" t="str">
        <f t="shared" si="11"/>
        <v/>
      </c>
      <c r="N367" s="211"/>
      <c r="O367" s="209" t="str">
        <f>IF(B367="","",VLOOKUP('従業員情報(給与以外)'!$B367,入力シート!$S$37:$Z$62,5,0))</f>
        <v/>
      </c>
      <c r="P367" s="156" t="str">
        <f>IF(ISNUMBER(C367)=FALSE,"",IF(C367&gt;入力シート!$J$24,"",_xlfn.DAYS(入力シート!$J$24,'従業員情報(給与以外)'!$C367)/365))</f>
        <v/>
      </c>
      <c r="Q367" s="210" t="str">
        <f>IF(P367="","",VLOOKUP(_xlfn.DAYS(入力シート!$J$24,'従業員情報(給与以外)'!$C367)/365,入力リスト!$K$18:$L$26,2,2))</f>
        <v/>
      </c>
      <c r="R367" s="209" t="str">
        <f>IF(D367="","",VLOOKUP('従業員情報(給与以外)'!$D367,入力シート!$AW$37:$BB$38,4,0))</f>
        <v/>
      </c>
      <c r="S367" s="209" t="str">
        <f>IF(A367="","",IF(E367="","非役職",VLOOKUP('従業員情報(給与以外)'!$E367,入力シート!$AH$37:$AO$62,5,0)))</f>
        <v/>
      </c>
      <c r="T367" s="102" t="str">
        <f>IF(OR(入力シート!$C$5&lt;&gt;入力リスト!$C$3,COUNTIF(入力シート!$J$16:$S$23,入力リスト!$H$9)=0),"",IF($A367="","",IF(ISERROR(AVERAGEIF(従業員の給与情報!$B:$B,$A367,従業員の給与情報!$C:$C)),0,IF(ISERROR(AVERAGEIF(従業員の給与情報!$B:$B,$A367,従業員の給与情報!$C:$C)),0,AVERAGEIF(従業員の給与情報!$B:$B,$A367,従業員の給与情報!$C:$C)))))</f>
        <v/>
      </c>
      <c r="U367" s="102" t="str">
        <f>IF(OR(入力シート!$C$5&lt;&gt;入力リスト!$C$3,COUNTIF(入力シート!$J$16:$S$23,入力リスト!$H$9)=0),"",IF(A367="","",IF(ISERROR(AVERAGEIF(従業員の給与情報!$B:$B,$A367,従業員の給与情報!$D:$D)),0,IF(ISERROR(AVERAGEIF(従業員の給与情報!$B:$B,$A367,従業員の給与情報!$D:$D)),0,AVERAGEIF(従業員の給与情報!$B:$B,$A367,従業員の給与情報!$D:$D)))))</f>
        <v/>
      </c>
      <c r="V367" s="102" t="str">
        <f>IF(OR(入力シート!$C$5&lt;&gt;入力リスト!$C$3,COUNTIF(入力シート!$J$16:$S$23,入力リスト!$H$9)=0),"",IF(A367="","",IF(ISERROR(AVERAGEIF(従業員の給与情報!$B:$B,$A367,従業員の給与情報!$E:$E)),0,IF(ISERROR(AVERAGEIF(従業員の給与情報!$B:$B,$A367,従業員の給与情報!$E:$E)),0,AVERAGEIF(従業員の給与情報!$B:$B,$A367,従業員の給与情報!$E:$E)))))</f>
        <v/>
      </c>
      <c r="W367" s="103" t="str">
        <f>IF(OR(入力シート!$C$5&lt;&gt;入力リスト!$C$3,COUNTIF(入力シート!$J$16:$S$23,入力リスト!$H$9)=0),"",IF(A367="","",IF(ISERROR(AVERAGEIF(従業員の給与情報!$B:$B,$A367,従業員の給与情報!$F:$F)),0,IF(ISERROR(AVERAGEIF(従業員の給与情報!$B:$B,$A367,従業員の給与情報!$F:$F)),0,AVERAGEIF(従業員の給与情報!$B:$B,$A367,従業員の給与情報!$F:$F)))))</f>
        <v/>
      </c>
    </row>
    <row r="368" spans="1:23" s="10" customFormat="1">
      <c r="A368" s="253"/>
      <c r="B368" s="246"/>
      <c r="C368" s="247"/>
      <c r="D368" s="246"/>
      <c r="E368" s="246"/>
      <c r="F368" s="257" t="str">
        <f>IF($G$1,"",IF(COUNTIF(A368:E368,"")=5,"",IF(G368,入力リスト!$K$28,IF(OR(A368="",B368="",IF(COUNTIF($C$3,"*不要*"),"",C368=""),D368=""),IF(A368="","従業員番号","")&amp;IF(B368="","「雇用形態」","")&amp;IF(OR(入力シート!$J$18=入力リスト!$H$9,入力シート!$J$22=入力リスト!$H$9),IF(C368="","「入社年月日」",""),"")&amp;IF(D368="","「性別」","")&amp;IF(IF(A368="","従業員番号","")&amp;IF(B368="","「雇用形態」","")&amp;IF(OR(入力シート!$J$18=入力リスト!$H$9,入力シート!$J$22=入力リスト!$H$9),IF(C368="","「入社年月日」",""),"")&amp;IF(D368="","「性別」","")="","",入力リスト!$K$29),IF(J368,入力リスト!$K$30,"")&amp;IF(I368,入力リスト!$K$31,"")&amp;IF(H368,"「雇用形態」","")&amp;IF(K368,"「性別」","")&amp;IF(L368,"「役職」","")&amp;IF(OR(H368,K368,L368),入力リスト!$K$32,"")))))</f>
        <v/>
      </c>
      <c r="G368" s="209" t="b">
        <f>COUNTIF($A$4:A367,$A368)&gt;0</f>
        <v>0</v>
      </c>
      <c r="H368" s="210" t="b">
        <f>IF($H$1,FALSE,COUNTIF(入力シート!$S$37:$V$62,B368)=0)</f>
        <v>0</v>
      </c>
      <c r="I368" s="210" t="b">
        <f t="shared" si="12"/>
        <v>0</v>
      </c>
      <c r="J368" s="210" t="b">
        <f>IF($J$1,FALSE,IF(I368=TRUE,FALSE,IF(I368,FALSE,C368&gt;入力シート!$J$24)))</f>
        <v>0</v>
      </c>
      <c r="K368" s="210" t="b">
        <f>IF($K$1,FALSE,COUNTIF(入力シート!$AW$37:$BB$38,D368)=0)</f>
        <v>0</v>
      </c>
      <c r="L368" s="210" t="b">
        <f>IF($L$1,FALSE,IF($L$3,FALSE,IF(E368="",FALSE,COUNTIF(入力シート!$AH$37:$AK$62,E368)=0)))</f>
        <v>0</v>
      </c>
      <c r="M368" s="211" t="str">
        <f t="shared" si="11"/>
        <v/>
      </c>
      <c r="N368" s="211"/>
      <c r="O368" s="209" t="str">
        <f>IF(B368="","",VLOOKUP('従業員情報(給与以外)'!$B368,入力シート!$S$37:$Z$62,5,0))</f>
        <v/>
      </c>
      <c r="P368" s="156" t="str">
        <f>IF(ISNUMBER(C368)=FALSE,"",IF(C368&gt;入力シート!$J$24,"",_xlfn.DAYS(入力シート!$J$24,'従業員情報(給与以外)'!$C368)/365))</f>
        <v/>
      </c>
      <c r="Q368" s="210" t="str">
        <f>IF(P368="","",VLOOKUP(_xlfn.DAYS(入力シート!$J$24,'従業員情報(給与以外)'!$C368)/365,入力リスト!$K$18:$L$26,2,2))</f>
        <v/>
      </c>
      <c r="R368" s="209" t="str">
        <f>IF(D368="","",VLOOKUP('従業員情報(給与以外)'!$D368,入力シート!$AW$37:$BB$38,4,0))</f>
        <v/>
      </c>
      <c r="S368" s="209" t="str">
        <f>IF(A368="","",IF(E368="","非役職",VLOOKUP('従業員情報(給与以外)'!$E368,入力シート!$AH$37:$AO$62,5,0)))</f>
        <v/>
      </c>
      <c r="T368" s="102" t="str">
        <f>IF(OR(入力シート!$C$5&lt;&gt;入力リスト!$C$3,COUNTIF(入力シート!$J$16:$S$23,入力リスト!$H$9)=0),"",IF($A368="","",IF(ISERROR(AVERAGEIF(従業員の給与情報!$B:$B,$A368,従業員の給与情報!$C:$C)),0,IF(ISERROR(AVERAGEIF(従業員の給与情報!$B:$B,$A368,従業員の給与情報!$C:$C)),0,AVERAGEIF(従業員の給与情報!$B:$B,$A368,従業員の給与情報!$C:$C)))))</f>
        <v/>
      </c>
      <c r="U368" s="102" t="str">
        <f>IF(OR(入力シート!$C$5&lt;&gt;入力リスト!$C$3,COUNTIF(入力シート!$J$16:$S$23,入力リスト!$H$9)=0),"",IF(A368="","",IF(ISERROR(AVERAGEIF(従業員の給与情報!$B:$B,$A368,従業員の給与情報!$D:$D)),0,IF(ISERROR(AVERAGEIF(従業員の給与情報!$B:$B,$A368,従業員の給与情報!$D:$D)),0,AVERAGEIF(従業員の給与情報!$B:$B,$A368,従業員の給与情報!$D:$D)))))</f>
        <v/>
      </c>
      <c r="V368" s="102" t="str">
        <f>IF(OR(入力シート!$C$5&lt;&gt;入力リスト!$C$3,COUNTIF(入力シート!$J$16:$S$23,入力リスト!$H$9)=0),"",IF(A368="","",IF(ISERROR(AVERAGEIF(従業員の給与情報!$B:$B,$A368,従業員の給与情報!$E:$E)),0,IF(ISERROR(AVERAGEIF(従業員の給与情報!$B:$B,$A368,従業員の給与情報!$E:$E)),0,AVERAGEIF(従業員の給与情報!$B:$B,$A368,従業員の給与情報!$E:$E)))))</f>
        <v/>
      </c>
      <c r="W368" s="103" t="str">
        <f>IF(OR(入力シート!$C$5&lt;&gt;入力リスト!$C$3,COUNTIF(入力シート!$J$16:$S$23,入力リスト!$H$9)=0),"",IF(A368="","",IF(ISERROR(AVERAGEIF(従業員の給与情報!$B:$B,$A368,従業員の給与情報!$F:$F)),0,IF(ISERROR(AVERAGEIF(従業員の給与情報!$B:$B,$A368,従業員の給与情報!$F:$F)),0,AVERAGEIF(従業員の給与情報!$B:$B,$A368,従業員の給与情報!$F:$F)))))</f>
        <v/>
      </c>
    </row>
    <row r="369" spans="1:23" s="10" customFormat="1">
      <c r="A369" s="253"/>
      <c r="B369" s="246"/>
      <c r="C369" s="247"/>
      <c r="D369" s="246"/>
      <c r="E369" s="246"/>
      <c r="F369" s="257" t="str">
        <f>IF($G$1,"",IF(COUNTIF(A369:E369,"")=5,"",IF(G369,入力リスト!$K$28,IF(OR(A369="",B369="",IF(COUNTIF($C$3,"*不要*"),"",C369=""),D369=""),IF(A369="","従業員番号","")&amp;IF(B369="","「雇用形態」","")&amp;IF(OR(入力シート!$J$18=入力リスト!$H$9,入力シート!$J$22=入力リスト!$H$9),IF(C369="","「入社年月日」",""),"")&amp;IF(D369="","「性別」","")&amp;IF(IF(A369="","従業員番号","")&amp;IF(B369="","「雇用形態」","")&amp;IF(OR(入力シート!$J$18=入力リスト!$H$9,入力シート!$J$22=入力リスト!$H$9),IF(C369="","「入社年月日」",""),"")&amp;IF(D369="","「性別」","")="","",入力リスト!$K$29),IF(J369,入力リスト!$K$30,"")&amp;IF(I369,入力リスト!$K$31,"")&amp;IF(H369,"「雇用形態」","")&amp;IF(K369,"「性別」","")&amp;IF(L369,"「役職」","")&amp;IF(OR(H369,K369,L369),入力リスト!$K$32,"")))))</f>
        <v/>
      </c>
      <c r="G369" s="209" t="b">
        <f>COUNTIF($A$4:A368,$A369)&gt;0</f>
        <v>0</v>
      </c>
      <c r="H369" s="210" t="b">
        <f>IF($H$1,FALSE,COUNTIF(入力シート!$S$37:$V$62,B369)=0)</f>
        <v>0</v>
      </c>
      <c r="I369" s="210" t="b">
        <f t="shared" si="12"/>
        <v>0</v>
      </c>
      <c r="J369" s="210" t="b">
        <f>IF($J$1,FALSE,IF(I369=TRUE,FALSE,IF(I369,FALSE,C369&gt;入力シート!$J$24)))</f>
        <v>0</v>
      </c>
      <c r="K369" s="210" t="b">
        <f>IF($K$1,FALSE,COUNTIF(入力シート!$AW$37:$BB$38,D369)=0)</f>
        <v>0</v>
      </c>
      <c r="L369" s="210" t="b">
        <f>IF($L$1,FALSE,IF($L$3,FALSE,IF(E369="",FALSE,COUNTIF(入力シート!$AH$37:$AK$62,E369)=0)))</f>
        <v>0</v>
      </c>
      <c r="M369" s="211" t="str">
        <f t="shared" si="11"/>
        <v/>
      </c>
      <c r="N369" s="211"/>
      <c r="O369" s="209" t="str">
        <f>IF(B369="","",VLOOKUP('従業員情報(給与以外)'!$B369,入力シート!$S$37:$Z$62,5,0))</f>
        <v/>
      </c>
      <c r="P369" s="156" t="str">
        <f>IF(ISNUMBER(C369)=FALSE,"",IF(C369&gt;入力シート!$J$24,"",_xlfn.DAYS(入力シート!$J$24,'従業員情報(給与以外)'!$C369)/365))</f>
        <v/>
      </c>
      <c r="Q369" s="210" t="str">
        <f>IF(P369="","",VLOOKUP(_xlfn.DAYS(入力シート!$J$24,'従業員情報(給与以外)'!$C369)/365,入力リスト!$K$18:$L$26,2,2))</f>
        <v/>
      </c>
      <c r="R369" s="209" t="str">
        <f>IF(D369="","",VLOOKUP('従業員情報(給与以外)'!$D369,入力シート!$AW$37:$BB$38,4,0))</f>
        <v/>
      </c>
      <c r="S369" s="209" t="str">
        <f>IF(A369="","",IF(E369="","非役職",VLOOKUP('従業員情報(給与以外)'!$E369,入力シート!$AH$37:$AO$62,5,0)))</f>
        <v/>
      </c>
      <c r="T369" s="102" t="str">
        <f>IF(OR(入力シート!$C$5&lt;&gt;入力リスト!$C$3,COUNTIF(入力シート!$J$16:$S$23,入力リスト!$H$9)=0),"",IF($A369="","",IF(ISERROR(AVERAGEIF(従業員の給与情報!$B:$B,$A369,従業員の給与情報!$C:$C)),0,IF(ISERROR(AVERAGEIF(従業員の給与情報!$B:$B,$A369,従業員の給与情報!$C:$C)),0,AVERAGEIF(従業員の給与情報!$B:$B,$A369,従業員の給与情報!$C:$C)))))</f>
        <v/>
      </c>
      <c r="U369" s="102" t="str">
        <f>IF(OR(入力シート!$C$5&lt;&gt;入力リスト!$C$3,COUNTIF(入力シート!$J$16:$S$23,入力リスト!$H$9)=0),"",IF(A369="","",IF(ISERROR(AVERAGEIF(従業員の給与情報!$B:$B,$A369,従業員の給与情報!$D:$D)),0,IF(ISERROR(AVERAGEIF(従業員の給与情報!$B:$B,$A369,従業員の給与情報!$D:$D)),0,AVERAGEIF(従業員の給与情報!$B:$B,$A369,従業員の給与情報!$D:$D)))))</f>
        <v/>
      </c>
      <c r="V369" s="102" t="str">
        <f>IF(OR(入力シート!$C$5&lt;&gt;入力リスト!$C$3,COUNTIF(入力シート!$J$16:$S$23,入力リスト!$H$9)=0),"",IF(A369="","",IF(ISERROR(AVERAGEIF(従業員の給与情報!$B:$B,$A369,従業員の給与情報!$E:$E)),0,IF(ISERROR(AVERAGEIF(従業員の給与情報!$B:$B,$A369,従業員の給与情報!$E:$E)),0,AVERAGEIF(従業員の給与情報!$B:$B,$A369,従業員の給与情報!$E:$E)))))</f>
        <v/>
      </c>
      <c r="W369" s="103" t="str">
        <f>IF(OR(入力シート!$C$5&lt;&gt;入力リスト!$C$3,COUNTIF(入力シート!$J$16:$S$23,入力リスト!$H$9)=0),"",IF(A369="","",IF(ISERROR(AVERAGEIF(従業員の給与情報!$B:$B,$A369,従業員の給与情報!$F:$F)),0,IF(ISERROR(AVERAGEIF(従業員の給与情報!$B:$B,$A369,従業員の給与情報!$F:$F)),0,AVERAGEIF(従業員の給与情報!$B:$B,$A369,従業員の給与情報!$F:$F)))))</f>
        <v/>
      </c>
    </row>
    <row r="370" spans="1:23" s="10" customFormat="1">
      <c r="A370" s="253"/>
      <c r="B370" s="246"/>
      <c r="C370" s="247"/>
      <c r="D370" s="246"/>
      <c r="E370" s="246"/>
      <c r="F370" s="257" t="str">
        <f>IF($G$1,"",IF(COUNTIF(A370:E370,"")=5,"",IF(G370,入力リスト!$K$28,IF(OR(A370="",B370="",IF(COUNTIF($C$3,"*不要*"),"",C370=""),D370=""),IF(A370="","従業員番号","")&amp;IF(B370="","「雇用形態」","")&amp;IF(OR(入力シート!$J$18=入力リスト!$H$9,入力シート!$J$22=入力リスト!$H$9),IF(C370="","「入社年月日」",""),"")&amp;IF(D370="","「性別」","")&amp;IF(IF(A370="","従業員番号","")&amp;IF(B370="","「雇用形態」","")&amp;IF(OR(入力シート!$J$18=入力リスト!$H$9,入力シート!$J$22=入力リスト!$H$9),IF(C370="","「入社年月日」",""),"")&amp;IF(D370="","「性別」","")="","",入力リスト!$K$29),IF(J370,入力リスト!$K$30,"")&amp;IF(I370,入力リスト!$K$31,"")&amp;IF(H370,"「雇用形態」","")&amp;IF(K370,"「性別」","")&amp;IF(L370,"「役職」","")&amp;IF(OR(H370,K370,L370),入力リスト!$K$32,"")))))</f>
        <v/>
      </c>
      <c r="G370" s="209" t="b">
        <f>COUNTIF($A$4:A369,$A370)&gt;0</f>
        <v>0</v>
      </c>
      <c r="H370" s="210" t="b">
        <f>IF($H$1,FALSE,COUNTIF(入力シート!$S$37:$V$62,B370)=0)</f>
        <v>0</v>
      </c>
      <c r="I370" s="210" t="b">
        <f t="shared" si="12"/>
        <v>0</v>
      </c>
      <c r="J370" s="210" t="b">
        <f>IF($J$1,FALSE,IF(I370=TRUE,FALSE,IF(I370,FALSE,C370&gt;入力シート!$J$24)))</f>
        <v>0</v>
      </c>
      <c r="K370" s="210" t="b">
        <f>IF($K$1,FALSE,COUNTIF(入力シート!$AW$37:$BB$38,D370)=0)</f>
        <v>0</v>
      </c>
      <c r="L370" s="210" t="b">
        <f>IF($L$1,FALSE,IF($L$3,FALSE,IF(E370="",FALSE,COUNTIF(入力シート!$AH$37:$AK$62,E370)=0)))</f>
        <v>0</v>
      </c>
      <c r="M370" s="211" t="str">
        <f t="shared" si="11"/>
        <v/>
      </c>
      <c r="N370" s="211"/>
      <c r="O370" s="209" t="str">
        <f>IF(B370="","",VLOOKUP('従業員情報(給与以外)'!$B370,入力シート!$S$37:$Z$62,5,0))</f>
        <v/>
      </c>
      <c r="P370" s="156" t="str">
        <f>IF(ISNUMBER(C370)=FALSE,"",IF(C370&gt;入力シート!$J$24,"",_xlfn.DAYS(入力シート!$J$24,'従業員情報(給与以外)'!$C370)/365))</f>
        <v/>
      </c>
      <c r="Q370" s="210" t="str">
        <f>IF(P370="","",VLOOKUP(_xlfn.DAYS(入力シート!$J$24,'従業員情報(給与以外)'!$C370)/365,入力リスト!$K$18:$L$26,2,2))</f>
        <v/>
      </c>
      <c r="R370" s="209" t="str">
        <f>IF(D370="","",VLOOKUP('従業員情報(給与以外)'!$D370,入力シート!$AW$37:$BB$38,4,0))</f>
        <v/>
      </c>
      <c r="S370" s="209" t="str">
        <f>IF(A370="","",IF(E370="","非役職",VLOOKUP('従業員情報(給与以外)'!$E370,入力シート!$AH$37:$AO$62,5,0)))</f>
        <v/>
      </c>
      <c r="T370" s="102" t="str">
        <f>IF(OR(入力シート!$C$5&lt;&gt;入力リスト!$C$3,COUNTIF(入力シート!$J$16:$S$23,入力リスト!$H$9)=0),"",IF($A370="","",IF(ISERROR(AVERAGEIF(従業員の給与情報!$B:$B,$A370,従業員の給与情報!$C:$C)),0,IF(ISERROR(AVERAGEIF(従業員の給与情報!$B:$B,$A370,従業員の給与情報!$C:$C)),0,AVERAGEIF(従業員の給与情報!$B:$B,$A370,従業員の給与情報!$C:$C)))))</f>
        <v/>
      </c>
      <c r="U370" s="102" t="str">
        <f>IF(OR(入力シート!$C$5&lt;&gt;入力リスト!$C$3,COUNTIF(入力シート!$J$16:$S$23,入力リスト!$H$9)=0),"",IF(A370="","",IF(ISERROR(AVERAGEIF(従業員の給与情報!$B:$B,$A370,従業員の給与情報!$D:$D)),0,IF(ISERROR(AVERAGEIF(従業員の給与情報!$B:$B,$A370,従業員の給与情報!$D:$D)),0,AVERAGEIF(従業員の給与情報!$B:$B,$A370,従業員の給与情報!$D:$D)))))</f>
        <v/>
      </c>
      <c r="V370" s="102" t="str">
        <f>IF(OR(入力シート!$C$5&lt;&gt;入力リスト!$C$3,COUNTIF(入力シート!$J$16:$S$23,入力リスト!$H$9)=0),"",IF(A370="","",IF(ISERROR(AVERAGEIF(従業員の給与情報!$B:$B,$A370,従業員の給与情報!$E:$E)),0,IF(ISERROR(AVERAGEIF(従業員の給与情報!$B:$B,$A370,従業員の給与情報!$E:$E)),0,AVERAGEIF(従業員の給与情報!$B:$B,$A370,従業員の給与情報!$E:$E)))))</f>
        <v/>
      </c>
      <c r="W370" s="103" t="str">
        <f>IF(OR(入力シート!$C$5&lt;&gt;入力リスト!$C$3,COUNTIF(入力シート!$J$16:$S$23,入力リスト!$H$9)=0),"",IF(A370="","",IF(ISERROR(AVERAGEIF(従業員の給与情報!$B:$B,$A370,従業員の給与情報!$F:$F)),0,IF(ISERROR(AVERAGEIF(従業員の給与情報!$B:$B,$A370,従業員の給与情報!$F:$F)),0,AVERAGEIF(従業員の給与情報!$B:$B,$A370,従業員の給与情報!$F:$F)))))</f>
        <v/>
      </c>
    </row>
    <row r="371" spans="1:23" s="10" customFormat="1">
      <c r="A371" s="253"/>
      <c r="B371" s="246"/>
      <c r="C371" s="247"/>
      <c r="D371" s="246"/>
      <c r="E371" s="246"/>
      <c r="F371" s="257" t="str">
        <f>IF($G$1,"",IF(COUNTIF(A371:E371,"")=5,"",IF(G371,入力リスト!$K$28,IF(OR(A371="",B371="",IF(COUNTIF($C$3,"*不要*"),"",C371=""),D371=""),IF(A371="","従業員番号","")&amp;IF(B371="","「雇用形態」","")&amp;IF(OR(入力シート!$J$18=入力リスト!$H$9,入力シート!$J$22=入力リスト!$H$9),IF(C371="","「入社年月日」",""),"")&amp;IF(D371="","「性別」","")&amp;IF(IF(A371="","従業員番号","")&amp;IF(B371="","「雇用形態」","")&amp;IF(OR(入力シート!$J$18=入力リスト!$H$9,入力シート!$J$22=入力リスト!$H$9),IF(C371="","「入社年月日」",""),"")&amp;IF(D371="","「性別」","")="","",入力リスト!$K$29),IF(J371,入力リスト!$K$30,"")&amp;IF(I371,入力リスト!$K$31,"")&amp;IF(H371,"「雇用形態」","")&amp;IF(K371,"「性別」","")&amp;IF(L371,"「役職」","")&amp;IF(OR(H371,K371,L371),入力リスト!$K$32,"")))))</f>
        <v/>
      </c>
      <c r="G371" s="209" t="b">
        <f>COUNTIF($A$4:A370,$A371)&gt;0</f>
        <v>0</v>
      </c>
      <c r="H371" s="210" t="b">
        <f>IF($H$1,FALSE,COUNTIF(入力シート!$S$37:$V$62,B371)=0)</f>
        <v>0</v>
      </c>
      <c r="I371" s="210" t="b">
        <f t="shared" si="12"/>
        <v>0</v>
      </c>
      <c r="J371" s="210" t="b">
        <f>IF($J$1,FALSE,IF(I371=TRUE,FALSE,IF(I371,FALSE,C371&gt;入力シート!$J$24)))</f>
        <v>0</v>
      </c>
      <c r="K371" s="210" t="b">
        <f>IF($K$1,FALSE,COUNTIF(入力シート!$AW$37:$BB$38,D371)=0)</f>
        <v>0</v>
      </c>
      <c r="L371" s="210" t="b">
        <f>IF($L$1,FALSE,IF($L$3,FALSE,IF(E371="",FALSE,COUNTIF(入力シート!$AH$37:$AK$62,E371)=0)))</f>
        <v>0</v>
      </c>
      <c r="M371" s="211" t="str">
        <f t="shared" si="11"/>
        <v/>
      </c>
      <c r="N371" s="211"/>
      <c r="O371" s="209" t="str">
        <f>IF(B371="","",VLOOKUP('従業員情報(給与以外)'!$B371,入力シート!$S$37:$Z$62,5,0))</f>
        <v/>
      </c>
      <c r="P371" s="156" t="str">
        <f>IF(ISNUMBER(C371)=FALSE,"",IF(C371&gt;入力シート!$J$24,"",_xlfn.DAYS(入力シート!$J$24,'従業員情報(給与以外)'!$C371)/365))</f>
        <v/>
      </c>
      <c r="Q371" s="210" t="str">
        <f>IF(P371="","",VLOOKUP(_xlfn.DAYS(入力シート!$J$24,'従業員情報(給与以外)'!$C371)/365,入力リスト!$K$18:$L$26,2,2))</f>
        <v/>
      </c>
      <c r="R371" s="209" t="str">
        <f>IF(D371="","",VLOOKUP('従業員情報(給与以外)'!$D371,入力シート!$AW$37:$BB$38,4,0))</f>
        <v/>
      </c>
      <c r="S371" s="209" t="str">
        <f>IF(A371="","",IF(E371="","非役職",VLOOKUP('従業員情報(給与以外)'!$E371,入力シート!$AH$37:$AO$62,5,0)))</f>
        <v/>
      </c>
      <c r="T371" s="102" t="str">
        <f>IF(OR(入力シート!$C$5&lt;&gt;入力リスト!$C$3,COUNTIF(入力シート!$J$16:$S$23,入力リスト!$H$9)=0),"",IF($A371="","",IF(ISERROR(AVERAGEIF(従業員の給与情報!$B:$B,$A371,従業員の給与情報!$C:$C)),0,IF(ISERROR(AVERAGEIF(従業員の給与情報!$B:$B,$A371,従業員の給与情報!$C:$C)),0,AVERAGEIF(従業員の給与情報!$B:$B,$A371,従業員の給与情報!$C:$C)))))</f>
        <v/>
      </c>
      <c r="U371" s="102" t="str">
        <f>IF(OR(入力シート!$C$5&lt;&gt;入力リスト!$C$3,COUNTIF(入力シート!$J$16:$S$23,入力リスト!$H$9)=0),"",IF(A371="","",IF(ISERROR(AVERAGEIF(従業員の給与情報!$B:$B,$A371,従業員の給与情報!$D:$D)),0,IF(ISERROR(AVERAGEIF(従業員の給与情報!$B:$B,$A371,従業員の給与情報!$D:$D)),0,AVERAGEIF(従業員の給与情報!$B:$B,$A371,従業員の給与情報!$D:$D)))))</f>
        <v/>
      </c>
      <c r="V371" s="102" t="str">
        <f>IF(OR(入力シート!$C$5&lt;&gt;入力リスト!$C$3,COUNTIF(入力シート!$J$16:$S$23,入力リスト!$H$9)=0),"",IF(A371="","",IF(ISERROR(AVERAGEIF(従業員の給与情報!$B:$B,$A371,従業員の給与情報!$E:$E)),0,IF(ISERROR(AVERAGEIF(従業員の給与情報!$B:$B,$A371,従業員の給与情報!$E:$E)),0,AVERAGEIF(従業員の給与情報!$B:$B,$A371,従業員の給与情報!$E:$E)))))</f>
        <v/>
      </c>
      <c r="W371" s="103" t="str">
        <f>IF(OR(入力シート!$C$5&lt;&gt;入力リスト!$C$3,COUNTIF(入力シート!$J$16:$S$23,入力リスト!$H$9)=0),"",IF(A371="","",IF(ISERROR(AVERAGEIF(従業員の給与情報!$B:$B,$A371,従業員の給与情報!$F:$F)),0,IF(ISERROR(AVERAGEIF(従業員の給与情報!$B:$B,$A371,従業員の給与情報!$F:$F)),0,AVERAGEIF(従業員の給与情報!$B:$B,$A371,従業員の給与情報!$F:$F)))))</f>
        <v/>
      </c>
    </row>
    <row r="372" spans="1:23" s="10" customFormat="1">
      <c r="A372" s="253"/>
      <c r="B372" s="246"/>
      <c r="C372" s="247"/>
      <c r="D372" s="246"/>
      <c r="E372" s="246"/>
      <c r="F372" s="257" t="str">
        <f>IF($G$1,"",IF(COUNTIF(A372:E372,"")=5,"",IF(G372,入力リスト!$K$28,IF(OR(A372="",B372="",IF(COUNTIF($C$3,"*不要*"),"",C372=""),D372=""),IF(A372="","従業員番号","")&amp;IF(B372="","「雇用形態」","")&amp;IF(OR(入力シート!$J$18=入力リスト!$H$9,入力シート!$J$22=入力リスト!$H$9),IF(C372="","「入社年月日」",""),"")&amp;IF(D372="","「性別」","")&amp;IF(IF(A372="","従業員番号","")&amp;IF(B372="","「雇用形態」","")&amp;IF(OR(入力シート!$J$18=入力リスト!$H$9,入力シート!$J$22=入力リスト!$H$9),IF(C372="","「入社年月日」",""),"")&amp;IF(D372="","「性別」","")="","",入力リスト!$K$29),IF(J372,入力リスト!$K$30,"")&amp;IF(I372,入力リスト!$K$31,"")&amp;IF(H372,"「雇用形態」","")&amp;IF(K372,"「性別」","")&amp;IF(L372,"「役職」","")&amp;IF(OR(H372,K372,L372),入力リスト!$K$32,"")))))</f>
        <v/>
      </c>
      <c r="G372" s="209" t="b">
        <f>COUNTIF($A$4:A371,$A372)&gt;0</f>
        <v>0</v>
      </c>
      <c r="H372" s="210" t="b">
        <f>IF($H$1,FALSE,COUNTIF(入力シート!$S$37:$V$62,B372)=0)</f>
        <v>0</v>
      </c>
      <c r="I372" s="210" t="b">
        <f t="shared" si="12"/>
        <v>0</v>
      </c>
      <c r="J372" s="210" t="b">
        <f>IF($J$1,FALSE,IF(I372=TRUE,FALSE,IF(I372,FALSE,C372&gt;入力シート!$J$24)))</f>
        <v>0</v>
      </c>
      <c r="K372" s="210" t="b">
        <f>IF($K$1,FALSE,COUNTIF(入力シート!$AW$37:$BB$38,D372)=0)</f>
        <v>0</v>
      </c>
      <c r="L372" s="210" t="b">
        <f>IF($L$1,FALSE,IF($L$3,FALSE,IF(E372="",FALSE,COUNTIF(入力シート!$AH$37:$AK$62,E372)=0)))</f>
        <v>0</v>
      </c>
      <c r="M372" s="211" t="str">
        <f t="shared" si="11"/>
        <v/>
      </c>
      <c r="N372" s="211"/>
      <c r="O372" s="209" t="str">
        <f>IF(B372="","",VLOOKUP('従業員情報(給与以外)'!$B372,入力シート!$S$37:$Z$62,5,0))</f>
        <v/>
      </c>
      <c r="P372" s="156" t="str">
        <f>IF(ISNUMBER(C372)=FALSE,"",IF(C372&gt;入力シート!$J$24,"",_xlfn.DAYS(入力シート!$J$24,'従業員情報(給与以外)'!$C372)/365))</f>
        <v/>
      </c>
      <c r="Q372" s="210" t="str">
        <f>IF(P372="","",VLOOKUP(_xlfn.DAYS(入力シート!$J$24,'従業員情報(給与以外)'!$C372)/365,入力リスト!$K$18:$L$26,2,2))</f>
        <v/>
      </c>
      <c r="R372" s="209" t="str">
        <f>IF(D372="","",VLOOKUP('従業員情報(給与以外)'!$D372,入力シート!$AW$37:$BB$38,4,0))</f>
        <v/>
      </c>
      <c r="S372" s="209" t="str">
        <f>IF(A372="","",IF(E372="","非役職",VLOOKUP('従業員情報(給与以外)'!$E372,入力シート!$AH$37:$AO$62,5,0)))</f>
        <v/>
      </c>
      <c r="T372" s="102" t="str">
        <f>IF(OR(入力シート!$C$5&lt;&gt;入力リスト!$C$3,COUNTIF(入力シート!$J$16:$S$23,入力リスト!$H$9)=0),"",IF($A372="","",IF(ISERROR(AVERAGEIF(従業員の給与情報!$B:$B,$A372,従業員の給与情報!$C:$C)),0,IF(ISERROR(AVERAGEIF(従業員の給与情報!$B:$B,$A372,従業員の給与情報!$C:$C)),0,AVERAGEIF(従業員の給与情報!$B:$B,$A372,従業員の給与情報!$C:$C)))))</f>
        <v/>
      </c>
      <c r="U372" s="102" t="str">
        <f>IF(OR(入力シート!$C$5&lt;&gt;入力リスト!$C$3,COUNTIF(入力シート!$J$16:$S$23,入力リスト!$H$9)=0),"",IF(A372="","",IF(ISERROR(AVERAGEIF(従業員の給与情報!$B:$B,$A372,従業員の給与情報!$D:$D)),0,IF(ISERROR(AVERAGEIF(従業員の給与情報!$B:$B,$A372,従業員の給与情報!$D:$D)),0,AVERAGEIF(従業員の給与情報!$B:$B,$A372,従業員の給与情報!$D:$D)))))</f>
        <v/>
      </c>
      <c r="V372" s="102" t="str">
        <f>IF(OR(入力シート!$C$5&lt;&gt;入力リスト!$C$3,COUNTIF(入力シート!$J$16:$S$23,入力リスト!$H$9)=0),"",IF(A372="","",IF(ISERROR(AVERAGEIF(従業員の給与情報!$B:$B,$A372,従業員の給与情報!$E:$E)),0,IF(ISERROR(AVERAGEIF(従業員の給与情報!$B:$B,$A372,従業員の給与情報!$E:$E)),0,AVERAGEIF(従業員の給与情報!$B:$B,$A372,従業員の給与情報!$E:$E)))))</f>
        <v/>
      </c>
      <c r="W372" s="103" t="str">
        <f>IF(OR(入力シート!$C$5&lt;&gt;入力リスト!$C$3,COUNTIF(入力シート!$J$16:$S$23,入力リスト!$H$9)=0),"",IF(A372="","",IF(ISERROR(AVERAGEIF(従業員の給与情報!$B:$B,$A372,従業員の給与情報!$F:$F)),0,IF(ISERROR(AVERAGEIF(従業員の給与情報!$B:$B,$A372,従業員の給与情報!$F:$F)),0,AVERAGEIF(従業員の給与情報!$B:$B,$A372,従業員の給与情報!$F:$F)))))</f>
        <v/>
      </c>
    </row>
    <row r="373" spans="1:23" s="10" customFormat="1">
      <c r="A373" s="253"/>
      <c r="B373" s="246"/>
      <c r="C373" s="247"/>
      <c r="D373" s="246"/>
      <c r="E373" s="246"/>
      <c r="F373" s="257" t="str">
        <f>IF($G$1,"",IF(COUNTIF(A373:E373,"")=5,"",IF(G373,入力リスト!$K$28,IF(OR(A373="",B373="",IF(COUNTIF($C$3,"*不要*"),"",C373=""),D373=""),IF(A373="","従業員番号","")&amp;IF(B373="","「雇用形態」","")&amp;IF(OR(入力シート!$J$18=入力リスト!$H$9,入力シート!$J$22=入力リスト!$H$9),IF(C373="","「入社年月日」",""),"")&amp;IF(D373="","「性別」","")&amp;IF(IF(A373="","従業員番号","")&amp;IF(B373="","「雇用形態」","")&amp;IF(OR(入力シート!$J$18=入力リスト!$H$9,入力シート!$J$22=入力リスト!$H$9),IF(C373="","「入社年月日」",""),"")&amp;IF(D373="","「性別」","")="","",入力リスト!$K$29),IF(J373,入力リスト!$K$30,"")&amp;IF(I373,入力リスト!$K$31,"")&amp;IF(H373,"「雇用形態」","")&amp;IF(K373,"「性別」","")&amp;IF(L373,"「役職」","")&amp;IF(OR(H373,K373,L373),入力リスト!$K$32,"")))))</f>
        <v/>
      </c>
      <c r="G373" s="209" t="b">
        <f>COUNTIF($A$4:A372,$A373)&gt;0</f>
        <v>0</v>
      </c>
      <c r="H373" s="210" t="b">
        <f>IF($H$1,FALSE,COUNTIF(入力シート!$S$37:$V$62,B373)=0)</f>
        <v>0</v>
      </c>
      <c r="I373" s="210" t="b">
        <f t="shared" si="12"/>
        <v>0</v>
      </c>
      <c r="J373" s="210" t="b">
        <f>IF($J$1,FALSE,IF(I373=TRUE,FALSE,IF(I373,FALSE,C373&gt;入力シート!$J$24)))</f>
        <v>0</v>
      </c>
      <c r="K373" s="210" t="b">
        <f>IF($K$1,FALSE,COUNTIF(入力シート!$AW$37:$BB$38,D373)=0)</f>
        <v>0</v>
      </c>
      <c r="L373" s="210" t="b">
        <f>IF($L$1,FALSE,IF($L$3,FALSE,IF(E373="",FALSE,COUNTIF(入力シート!$AH$37:$AK$62,E373)=0)))</f>
        <v>0</v>
      </c>
      <c r="M373" s="211" t="str">
        <f t="shared" si="11"/>
        <v/>
      </c>
      <c r="N373" s="211"/>
      <c r="O373" s="209" t="str">
        <f>IF(B373="","",VLOOKUP('従業員情報(給与以外)'!$B373,入力シート!$S$37:$Z$62,5,0))</f>
        <v/>
      </c>
      <c r="P373" s="156" t="str">
        <f>IF(ISNUMBER(C373)=FALSE,"",IF(C373&gt;入力シート!$J$24,"",_xlfn.DAYS(入力シート!$J$24,'従業員情報(給与以外)'!$C373)/365))</f>
        <v/>
      </c>
      <c r="Q373" s="210" t="str">
        <f>IF(P373="","",VLOOKUP(_xlfn.DAYS(入力シート!$J$24,'従業員情報(給与以外)'!$C373)/365,入力リスト!$K$18:$L$26,2,2))</f>
        <v/>
      </c>
      <c r="R373" s="209" t="str">
        <f>IF(D373="","",VLOOKUP('従業員情報(給与以外)'!$D373,入力シート!$AW$37:$BB$38,4,0))</f>
        <v/>
      </c>
      <c r="S373" s="209" t="str">
        <f>IF(A373="","",IF(E373="","非役職",VLOOKUP('従業員情報(給与以外)'!$E373,入力シート!$AH$37:$AO$62,5,0)))</f>
        <v/>
      </c>
      <c r="T373" s="102" t="str">
        <f>IF(OR(入力シート!$C$5&lt;&gt;入力リスト!$C$3,COUNTIF(入力シート!$J$16:$S$23,入力リスト!$H$9)=0),"",IF($A373="","",IF(ISERROR(AVERAGEIF(従業員の給与情報!$B:$B,$A373,従業員の給与情報!$C:$C)),0,IF(ISERROR(AVERAGEIF(従業員の給与情報!$B:$B,$A373,従業員の給与情報!$C:$C)),0,AVERAGEIF(従業員の給与情報!$B:$B,$A373,従業員の給与情報!$C:$C)))))</f>
        <v/>
      </c>
      <c r="U373" s="102" t="str">
        <f>IF(OR(入力シート!$C$5&lt;&gt;入力リスト!$C$3,COUNTIF(入力シート!$J$16:$S$23,入力リスト!$H$9)=0),"",IF(A373="","",IF(ISERROR(AVERAGEIF(従業員の給与情報!$B:$B,$A373,従業員の給与情報!$D:$D)),0,IF(ISERROR(AVERAGEIF(従業員の給与情報!$B:$B,$A373,従業員の給与情報!$D:$D)),0,AVERAGEIF(従業員の給与情報!$B:$B,$A373,従業員の給与情報!$D:$D)))))</f>
        <v/>
      </c>
      <c r="V373" s="102" t="str">
        <f>IF(OR(入力シート!$C$5&lt;&gt;入力リスト!$C$3,COUNTIF(入力シート!$J$16:$S$23,入力リスト!$H$9)=0),"",IF(A373="","",IF(ISERROR(AVERAGEIF(従業員の給与情報!$B:$B,$A373,従業員の給与情報!$E:$E)),0,IF(ISERROR(AVERAGEIF(従業員の給与情報!$B:$B,$A373,従業員の給与情報!$E:$E)),0,AVERAGEIF(従業員の給与情報!$B:$B,$A373,従業員の給与情報!$E:$E)))))</f>
        <v/>
      </c>
      <c r="W373" s="103" t="str">
        <f>IF(OR(入力シート!$C$5&lt;&gt;入力リスト!$C$3,COUNTIF(入力シート!$J$16:$S$23,入力リスト!$H$9)=0),"",IF(A373="","",IF(ISERROR(AVERAGEIF(従業員の給与情報!$B:$B,$A373,従業員の給与情報!$F:$F)),0,IF(ISERROR(AVERAGEIF(従業員の給与情報!$B:$B,$A373,従業員の給与情報!$F:$F)),0,AVERAGEIF(従業員の給与情報!$B:$B,$A373,従業員の給与情報!$F:$F)))))</f>
        <v/>
      </c>
    </row>
    <row r="374" spans="1:23" s="10" customFormat="1">
      <c r="A374" s="253"/>
      <c r="B374" s="246"/>
      <c r="C374" s="247"/>
      <c r="D374" s="246"/>
      <c r="E374" s="246"/>
      <c r="F374" s="257" t="str">
        <f>IF($G$1,"",IF(COUNTIF(A374:E374,"")=5,"",IF(G374,入力リスト!$K$28,IF(OR(A374="",B374="",IF(COUNTIF($C$3,"*不要*"),"",C374=""),D374=""),IF(A374="","従業員番号","")&amp;IF(B374="","「雇用形態」","")&amp;IF(OR(入力シート!$J$18=入力リスト!$H$9,入力シート!$J$22=入力リスト!$H$9),IF(C374="","「入社年月日」",""),"")&amp;IF(D374="","「性別」","")&amp;IF(IF(A374="","従業員番号","")&amp;IF(B374="","「雇用形態」","")&amp;IF(OR(入力シート!$J$18=入力リスト!$H$9,入力シート!$J$22=入力リスト!$H$9),IF(C374="","「入社年月日」",""),"")&amp;IF(D374="","「性別」","")="","",入力リスト!$K$29),IF(J374,入力リスト!$K$30,"")&amp;IF(I374,入力リスト!$K$31,"")&amp;IF(H374,"「雇用形態」","")&amp;IF(K374,"「性別」","")&amp;IF(L374,"「役職」","")&amp;IF(OR(H374,K374,L374),入力リスト!$K$32,"")))))</f>
        <v/>
      </c>
      <c r="G374" s="209" t="b">
        <f>COUNTIF($A$4:A373,$A374)&gt;0</f>
        <v>0</v>
      </c>
      <c r="H374" s="210" t="b">
        <f>IF($H$1,FALSE,COUNTIF(入力シート!$S$37:$V$62,B374)=0)</f>
        <v>0</v>
      </c>
      <c r="I374" s="210" t="b">
        <f t="shared" si="12"/>
        <v>0</v>
      </c>
      <c r="J374" s="210" t="b">
        <f>IF($J$1,FALSE,IF(I374=TRUE,FALSE,IF(I374,FALSE,C374&gt;入力シート!$J$24)))</f>
        <v>0</v>
      </c>
      <c r="K374" s="210" t="b">
        <f>IF($K$1,FALSE,COUNTIF(入力シート!$AW$37:$BB$38,D374)=0)</f>
        <v>0</v>
      </c>
      <c r="L374" s="210" t="b">
        <f>IF($L$1,FALSE,IF($L$3,FALSE,IF(E374="",FALSE,COUNTIF(入力シート!$AH$37:$AK$62,E374)=0)))</f>
        <v>0</v>
      </c>
      <c r="M374" s="211" t="str">
        <f t="shared" si="11"/>
        <v/>
      </c>
      <c r="N374" s="211"/>
      <c r="O374" s="209" t="str">
        <f>IF(B374="","",VLOOKUP('従業員情報(給与以外)'!$B374,入力シート!$S$37:$Z$62,5,0))</f>
        <v/>
      </c>
      <c r="P374" s="156" t="str">
        <f>IF(ISNUMBER(C374)=FALSE,"",IF(C374&gt;入力シート!$J$24,"",_xlfn.DAYS(入力シート!$J$24,'従業員情報(給与以外)'!$C374)/365))</f>
        <v/>
      </c>
      <c r="Q374" s="210" t="str">
        <f>IF(P374="","",VLOOKUP(_xlfn.DAYS(入力シート!$J$24,'従業員情報(給与以外)'!$C374)/365,入力リスト!$K$18:$L$26,2,2))</f>
        <v/>
      </c>
      <c r="R374" s="209" t="str">
        <f>IF(D374="","",VLOOKUP('従業員情報(給与以外)'!$D374,入力シート!$AW$37:$BB$38,4,0))</f>
        <v/>
      </c>
      <c r="S374" s="209" t="str">
        <f>IF(A374="","",IF(E374="","非役職",VLOOKUP('従業員情報(給与以外)'!$E374,入力シート!$AH$37:$AO$62,5,0)))</f>
        <v/>
      </c>
      <c r="T374" s="102" t="str">
        <f>IF(OR(入力シート!$C$5&lt;&gt;入力リスト!$C$3,COUNTIF(入力シート!$J$16:$S$23,入力リスト!$H$9)=0),"",IF($A374="","",IF(ISERROR(AVERAGEIF(従業員の給与情報!$B:$B,$A374,従業員の給与情報!$C:$C)),0,IF(ISERROR(AVERAGEIF(従業員の給与情報!$B:$B,$A374,従業員の給与情報!$C:$C)),0,AVERAGEIF(従業員の給与情報!$B:$B,$A374,従業員の給与情報!$C:$C)))))</f>
        <v/>
      </c>
      <c r="U374" s="102" t="str">
        <f>IF(OR(入力シート!$C$5&lt;&gt;入力リスト!$C$3,COUNTIF(入力シート!$J$16:$S$23,入力リスト!$H$9)=0),"",IF(A374="","",IF(ISERROR(AVERAGEIF(従業員の給与情報!$B:$B,$A374,従業員の給与情報!$D:$D)),0,IF(ISERROR(AVERAGEIF(従業員の給与情報!$B:$B,$A374,従業員の給与情報!$D:$D)),0,AVERAGEIF(従業員の給与情報!$B:$B,$A374,従業員の給与情報!$D:$D)))))</f>
        <v/>
      </c>
      <c r="V374" s="102" t="str">
        <f>IF(OR(入力シート!$C$5&lt;&gt;入力リスト!$C$3,COUNTIF(入力シート!$J$16:$S$23,入力リスト!$H$9)=0),"",IF(A374="","",IF(ISERROR(AVERAGEIF(従業員の給与情報!$B:$B,$A374,従業員の給与情報!$E:$E)),0,IF(ISERROR(AVERAGEIF(従業員の給与情報!$B:$B,$A374,従業員の給与情報!$E:$E)),0,AVERAGEIF(従業員の給与情報!$B:$B,$A374,従業員の給与情報!$E:$E)))))</f>
        <v/>
      </c>
      <c r="W374" s="103" t="str">
        <f>IF(OR(入力シート!$C$5&lt;&gt;入力リスト!$C$3,COUNTIF(入力シート!$J$16:$S$23,入力リスト!$H$9)=0),"",IF(A374="","",IF(ISERROR(AVERAGEIF(従業員の給与情報!$B:$B,$A374,従業員の給与情報!$F:$F)),0,IF(ISERROR(AVERAGEIF(従業員の給与情報!$B:$B,$A374,従業員の給与情報!$F:$F)),0,AVERAGEIF(従業員の給与情報!$B:$B,$A374,従業員の給与情報!$F:$F)))))</f>
        <v/>
      </c>
    </row>
    <row r="375" spans="1:23" s="10" customFormat="1">
      <c r="A375" s="253"/>
      <c r="B375" s="246"/>
      <c r="C375" s="247"/>
      <c r="D375" s="246"/>
      <c r="E375" s="246"/>
      <c r="F375" s="257" t="str">
        <f>IF($G$1,"",IF(COUNTIF(A375:E375,"")=5,"",IF(G375,入力リスト!$K$28,IF(OR(A375="",B375="",IF(COUNTIF($C$3,"*不要*"),"",C375=""),D375=""),IF(A375="","従業員番号","")&amp;IF(B375="","「雇用形態」","")&amp;IF(OR(入力シート!$J$18=入力リスト!$H$9,入力シート!$J$22=入力リスト!$H$9),IF(C375="","「入社年月日」",""),"")&amp;IF(D375="","「性別」","")&amp;IF(IF(A375="","従業員番号","")&amp;IF(B375="","「雇用形態」","")&amp;IF(OR(入力シート!$J$18=入力リスト!$H$9,入力シート!$J$22=入力リスト!$H$9),IF(C375="","「入社年月日」",""),"")&amp;IF(D375="","「性別」","")="","",入力リスト!$K$29),IF(J375,入力リスト!$K$30,"")&amp;IF(I375,入力リスト!$K$31,"")&amp;IF(H375,"「雇用形態」","")&amp;IF(K375,"「性別」","")&amp;IF(L375,"「役職」","")&amp;IF(OR(H375,K375,L375),入力リスト!$K$32,"")))))</f>
        <v/>
      </c>
      <c r="G375" s="209" t="b">
        <f>COUNTIF($A$4:A374,$A375)&gt;0</f>
        <v>0</v>
      </c>
      <c r="H375" s="210" t="b">
        <f>IF($H$1,FALSE,COUNTIF(入力シート!$S$37:$V$62,B375)=0)</f>
        <v>0</v>
      </c>
      <c r="I375" s="210" t="b">
        <f t="shared" si="12"/>
        <v>0</v>
      </c>
      <c r="J375" s="210" t="b">
        <f>IF($J$1,FALSE,IF(I375=TRUE,FALSE,IF(I375,FALSE,C375&gt;入力シート!$J$24)))</f>
        <v>0</v>
      </c>
      <c r="K375" s="210" t="b">
        <f>IF($K$1,FALSE,COUNTIF(入力シート!$AW$37:$BB$38,D375)=0)</f>
        <v>0</v>
      </c>
      <c r="L375" s="210" t="b">
        <f>IF($L$1,FALSE,IF($L$3,FALSE,IF(E375="",FALSE,COUNTIF(入力シート!$AH$37:$AK$62,E375)=0)))</f>
        <v>0</v>
      </c>
      <c r="M375" s="211" t="str">
        <f t="shared" si="11"/>
        <v/>
      </c>
      <c r="N375" s="211"/>
      <c r="O375" s="209" t="str">
        <f>IF(B375="","",VLOOKUP('従業員情報(給与以外)'!$B375,入力シート!$S$37:$Z$62,5,0))</f>
        <v/>
      </c>
      <c r="P375" s="156" t="str">
        <f>IF(ISNUMBER(C375)=FALSE,"",IF(C375&gt;入力シート!$J$24,"",_xlfn.DAYS(入力シート!$J$24,'従業員情報(給与以外)'!$C375)/365))</f>
        <v/>
      </c>
      <c r="Q375" s="210" t="str">
        <f>IF(P375="","",VLOOKUP(_xlfn.DAYS(入力シート!$J$24,'従業員情報(給与以外)'!$C375)/365,入力リスト!$K$18:$L$26,2,2))</f>
        <v/>
      </c>
      <c r="R375" s="209" t="str">
        <f>IF(D375="","",VLOOKUP('従業員情報(給与以外)'!$D375,入力シート!$AW$37:$BB$38,4,0))</f>
        <v/>
      </c>
      <c r="S375" s="209" t="str">
        <f>IF(A375="","",IF(E375="","非役職",VLOOKUP('従業員情報(給与以外)'!$E375,入力シート!$AH$37:$AO$62,5,0)))</f>
        <v/>
      </c>
      <c r="T375" s="102" t="str">
        <f>IF(OR(入力シート!$C$5&lt;&gt;入力リスト!$C$3,COUNTIF(入力シート!$J$16:$S$23,入力リスト!$H$9)=0),"",IF($A375="","",IF(ISERROR(AVERAGEIF(従業員の給与情報!$B:$B,$A375,従業員の給与情報!$C:$C)),0,IF(ISERROR(AVERAGEIF(従業員の給与情報!$B:$B,$A375,従業員の給与情報!$C:$C)),0,AVERAGEIF(従業員の給与情報!$B:$B,$A375,従業員の給与情報!$C:$C)))))</f>
        <v/>
      </c>
      <c r="U375" s="102" t="str">
        <f>IF(OR(入力シート!$C$5&lt;&gt;入力リスト!$C$3,COUNTIF(入力シート!$J$16:$S$23,入力リスト!$H$9)=0),"",IF(A375="","",IF(ISERROR(AVERAGEIF(従業員の給与情報!$B:$B,$A375,従業員の給与情報!$D:$D)),0,IF(ISERROR(AVERAGEIF(従業員の給与情報!$B:$B,$A375,従業員の給与情報!$D:$D)),0,AVERAGEIF(従業員の給与情報!$B:$B,$A375,従業員の給与情報!$D:$D)))))</f>
        <v/>
      </c>
      <c r="V375" s="102" t="str">
        <f>IF(OR(入力シート!$C$5&lt;&gt;入力リスト!$C$3,COUNTIF(入力シート!$J$16:$S$23,入力リスト!$H$9)=0),"",IF(A375="","",IF(ISERROR(AVERAGEIF(従業員の給与情報!$B:$B,$A375,従業員の給与情報!$E:$E)),0,IF(ISERROR(AVERAGEIF(従業員の給与情報!$B:$B,$A375,従業員の給与情報!$E:$E)),0,AVERAGEIF(従業員の給与情報!$B:$B,$A375,従業員の給与情報!$E:$E)))))</f>
        <v/>
      </c>
      <c r="W375" s="103" t="str">
        <f>IF(OR(入力シート!$C$5&lt;&gt;入力リスト!$C$3,COUNTIF(入力シート!$J$16:$S$23,入力リスト!$H$9)=0),"",IF(A375="","",IF(ISERROR(AVERAGEIF(従業員の給与情報!$B:$B,$A375,従業員の給与情報!$F:$F)),0,IF(ISERROR(AVERAGEIF(従業員の給与情報!$B:$B,$A375,従業員の給与情報!$F:$F)),0,AVERAGEIF(従業員の給与情報!$B:$B,$A375,従業員の給与情報!$F:$F)))))</f>
        <v/>
      </c>
    </row>
    <row r="376" spans="1:23" s="10" customFormat="1">
      <c r="A376" s="253"/>
      <c r="B376" s="246"/>
      <c r="C376" s="247"/>
      <c r="D376" s="246"/>
      <c r="E376" s="246"/>
      <c r="F376" s="257" t="str">
        <f>IF($G$1,"",IF(COUNTIF(A376:E376,"")=5,"",IF(G376,入力リスト!$K$28,IF(OR(A376="",B376="",IF(COUNTIF($C$3,"*不要*"),"",C376=""),D376=""),IF(A376="","従業員番号","")&amp;IF(B376="","「雇用形態」","")&amp;IF(OR(入力シート!$J$18=入力リスト!$H$9,入力シート!$J$22=入力リスト!$H$9),IF(C376="","「入社年月日」",""),"")&amp;IF(D376="","「性別」","")&amp;IF(IF(A376="","従業員番号","")&amp;IF(B376="","「雇用形態」","")&amp;IF(OR(入力シート!$J$18=入力リスト!$H$9,入力シート!$J$22=入力リスト!$H$9),IF(C376="","「入社年月日」",""),"")&amp;IF(D376="","「性別」","")="","",入力リスト!$K$29),IF(J376,入力リスト!$K$30,"")&amp;IF(I376,入力リスト!$K$31,"")&amp;IF(H376,"「雇用形態」","")&amp;IF(K376,"「性別」","")&amp;IF(L376,"「役職」","")&amp;IF(OR(H376,K376,L376),入力リスト!$K$32,"")))))</f>
        <v/>
      </c>
      <c r="G376" s="209" t="b">
        <f>COUNTIF($A$4:A375,$A376)&gt;0</f>
        <v>0</v>
      </c>
      <c r="H376" s="210" t="b">
        <f>IF($H$1,FALSE,COUNTIF(入力シート!$S$37:$V$62,B376)=0)</f>
        <v>0</v>
      </c>
      <c r="I376" s="210" t="b">
        <f t="shared" si="12"/>
        <v>0</v>
      </c>
      <c r="J376" s="210" t="b">
        <f>IF($J$1,FALSE,IF(I376=TRUE,FALSE,IF(I376,FALSE,C376&gt;入力シート!$J$24)))</f>
        <v>0</v>
      </c>
      <c r="K376" s="210" t="b">
        <f>IF($K$1,FALSE,COUNTIF(入力シート!$AW$37:$BB$38,D376)=0)</f>
        <v>0</v>
      </c>
      <c r="L376" s="210" t="b">
        <f>IF($L$1,FALSE,IF($L$3,FALSE,IF(E376="",FALSE,COUNTIF(入力シート!$AH$37:$AK$62,E376)=0)))</f>
        <v>0</v>
      </c>
      <c r="M376" s="211" t="str">
        <f t="shared" si="11"/>
        <v/>
      </c>
      <c r="N376" s="211"/>
      <c r="O376" s="209" t="str">
        <f>IF(B376="","",VLOOKUP('従業員情報(給与以外)'!$B376,入力シート!$S$37:$Z$62,5,0))</f>
        <v/>
      </c>
      <c r="P376" s="156" t="str">
        <f>IF(ISNUMBER(C376)=FALSE,"",IF(C376&gt;入力シート!$J$24,"",_xlfn.DAYS(入力シート!$J$24,'従業員情報(給与以外)'!$C376)/365))</f>
        <v/>
      </c>
      <c r="Q376" s="210" t="str">
        <f>IF(P376="","",VLOOKUP(_xlfn.DAYS(入力シート!$J$24,'従業員情報(給与以外)'!$C376)/365,入力リスト!$K$18:$L$26,2,2))</f>
        <v/>
      </c>
      <c r="R376" s="209" t="str">
        <f>IF(D376="","",VLOOKUP('従業員情報(給与以外)'!$D376,入力シート!$AW$37:$BB$38,4,0))</f>
        <v/>
      </c>
      <c r="S376" s="209" t="str">
        <f>IF(A376="","",IF(E376="","非役職",VLOOKUP('従業員情報(給与以外)'!$E376,入力シート!$AH$37:$AO$62,5,0)))</f>
        <v/>
      </c>
      <c r="T376" s="102" t="str">
        <f>IF(OR(入力シート!$C$5&lt;&gt;入力リスト!$C$3,COUNTIF(入力シート!$J$16:$S$23,入力リスト!$H$9)=0),"",IF($A376="","",IF(ISERROR(AVERAGEIF(従業員の給与情報!$B:$B,$A376,従業員の給与情報!$C:$C)),0,IF(ISERROR(AVERAGEIF(従業員の給与情報!$B:$B,$A376,従業員の給与情報!$C:$C)),0,AVERAGEIF(従業員の給与情報!$B:$B,$A376,従業員の給与情報!$C:$C)))))</f>
        <v/>
      </c>
      <c r="U376" s="102" t="str">
        <f>IF(OR(入力シート!$C$5&lt;&gt;入力リスト!$C$3,COUNTIF(入力シート!$J$16:$S$23,入力リスト!$H$9)=0),"",IF(A376="","",IF(ISERROR(AVERAGEIF(従業員の給与情報!$B:$B,$A376,従業員の給与情報!$D:$D)),0,IF(ISERROR(AVERAGEIF(従業員の給与情報!$B:$B,$A376,従業員の給与情報!$D:$D)),0,AVERAGEIF(従業員の給与情報!$B:$B,$A376,従業員の給与情報!$D:$D)))))</f>
        <v/>
      </c>
      <c r="V376" s="102" t="str">
        <f>IF(OR(入力シート!$C$5&lt;&gt;入力リスト!$C$3,COUNTIF(入力シート!$J$16:$S$23,入力リスト!$H$9)=0),"",IF(A376="","",IF(ISERROR(AVERAGEIF(従業員の給与情報!$B:$B,$A376,従業員の給与情報!$E:$E)),0,IF(ISERROR(AVERAGEIF(従業員の給与情報!$B:$B,$A376,従業員の給与情報!$E:$E)),0,AVERAGEIF(従業員の給与情報!$B:$B,$A376,従業員の給与情報!$E:$E)))))</f>
        <v/>
      </c>
      <c r="W376" s="103" t="str">
        <f>IF(OR(入力シート!$C$5&lt;&gt;入力リスト!$C$3,COUNTIF(入力シート!$J$16:$S$23,入力リスト!$H$9)=0),"",IF(A376="","",IF(ISERROR(AVERAGEIF(従業員の給与情報!$B:$B,$A376,従業員の給与情報!$F:$F)),0,IF(ISERROR(AVERAGEIF(従業員の給与情報!$B:$B,$A376,従業員の給与情報!$F:$F)),0,AVERAGEIF(従業員の給与情報!$B:$B,$A376,従業員の給与情報!$F:$F)))))</f>
        <v/>
      </c>
    </row>
    <row r="377" spans="1:23" s="10" customFormat="1">
      <c r="A377" s="253"/>
      <c r="B377" s="246"/>
      <c r="C377" s="247"/>
      <c r="D377" s="246"/>
      <c r="E377" s="246"/>
      <c r="F377" s="257" t="str">
        <f>IF($G$1,"",IF(COUNTIF(A377:E377,"")=5,"",IF(G377,入力リスト!$K$28,IF(OR(A377="",B377="",IF(COUNTIF($C$3,"*不要*"),"",C377=""),D377=""),IF(A377="","従業員番号","")&amp;IF(B377="","「雇用形態」","")&amp;IF(OR(入力シート!$J$18=入力リスト!$H$9,入力シート!$J$22=入力リスト!$H$9),IF(C377="","「入社年月日」",""),"")&amp;IF(D377="","「性別」","")&amp;IF(IF(A377="","従業員番号","")&amp;IF(B377="","「雇用形態」","")&amp;IF(OR(入力シート!$J$18=入力リスト!$H$9,入力シート!$J$22=入力リスト!$H$9),IF(C377="","「入社年月日」",""),"")&amp;IF(D377="","「性別」","")="","",入力リスト!$K$29),IF(J377,入力リスト!$K$30,"")&amp;IF(I377,入力リスト!$K$31,"")&amp;IF(H377,"「雇用形態」","")&amp;IF(K377,"「性別」","")&amp;IF(L377,"「役職」","")&amp;IF(OR(H377,K377,L377),入力リスト!$K$32,"")))))</f>
        <v/>
      </c>
      <c r="G377" s="209" t="b">
        <f>COUNTIF($A$4:A376,$A377)&gt;0</f>
        <v>0</v>
      </c>
      <c r="H377" s="210" t="b">
        <f>IF($H$1,FALSE,COUNTIF(入力シート!$S$37:$V$62,B377)=0)</f>
        <v>0</v>
      </c>
      <c r="I377" s="210" t="b">
        <f t="shared" si="12"/>
        <v>0</v>
      </c>
      <c r="J377" s="210" t="b">
        <f>IF($J$1,FALSE,IF(I377=TRUE,FALSE,IF(I377,FALSE,C377&gt;入力シート!$J$24)))</f>
        <v>0</v>
      </c>
      <c r="K377" s="210" t="b">
        <f>IF($K$1,FALSE,COUNTIF(入力シート!$AW$37:$BB$38,D377)=0)</f>
        <v>0</v>
      </c>
      <c r="L377" s="210" t="b">
        <f>IF($L$1,FALSE,IF($L$3,FALSE,IF(E377="",FALSE,COUNTIF(入力シート!$AH$37:$AK$62,E377)=0)))</f>
        <v>0</v>
      </c>
      <c r="M377" s="211" t="str">
        <f t="shared" si="11"/>
        <v/>
      </c>
      <c r="N377" s="211"/>
      <c r="O377" s="209" t="str">
        <f>IF(B377="","",VLOOKUP('従業員情報(給与以外)'!$B377,入力シート!$S$37:$Z$62,5,0))</f>
        <v/>
      </c>
      <c r="P377" s="156" t="str">
        <f>IF(ISNUMBER(C377)=FALSE,"",IF(C377&gt;入力シート!$J$24,"",_xlfn.DAYS(入力シート!$J$24,'従業員情報(給与以外)'!$C377)/365))</f>
        <v/>
      </c>
      <c r="Q377" s="210" t="str">
        <f>IF(P377="","",VLOOKUP(_xlfn.DAYS(入力シート!$J$24,'従業員情報(給与以外)'!$C377)/365,入力リスト!$K$18:$L$26,2,2))</f>
        <v/>
      </c>
      <c r="R377" s="209" t="str">
        <f>IF(D377="","",VLOOKUP('従業員情報(給与以外)'!$D377,入力シート!$AW$37:$BB$38,4,0))</f>
        <v/>
      </c>
      <c r="S377" s="209" t="str">
        <f>IF(A377="","",IF(E377="","非役職",VLOOKUP('従業員情報(給与以外)'!$E377,入力シート!$AH$37:$AO$62,5,0)))</f>
        <v/>
      </c>
      <c r="T377" s="102" t="str">
        <f>IF(OR(入力シート!$C$5&lt;&gt;入力リスト!$C$3,COUNTIF(入力シート!$J$16:$S$23,入力リスト!$H$9)=0),"",IF($A377="","",IF(ISERROR(AVERAGEIF(従業員の給与情報!$B:$B,$A377,従業員の給与情報!$C:$C)),0,IF(ISERROR(AVERAGEIF(従業員の給与情報!$B:$B,$A377,従業員の給与情報!$C:$C)),0,AVERAGEIF(従業員の給与情報!$B:$B,$A377,従業員の給与情報!$C:$C)))))</f>
        <v/>
      </c>
      <c r="U377" s="102" t="str">
        <f>IF(OR(入力シート!$C$5&lt;&gt;入力リスト!$C$3,COUNTIF(入力シート!$J$16:$S$23,入力リスト!$H$9)=0),"",IF(A377="","",IF(ISERROR(AVERAGEIF(従業員の給与情報!$B:$B,$A377,従業員の給与情報!$D:$D)),0,IF(ISERROR(AVERAGEIF(従業員の給与情報!$B:$B,$A377,従業員の給与情報!$D:$D)),0,AVERAGEIF(従業員の給与情報!$B:$B,$A377,従業員の給与情報!$D:$D)))))</f>
        <v/>
      </c>
      <c r="V377" s="102" t="str">
        <f>IF(OR(入力シート!$C$5&lt;&gt;入力リスト!$C$3,COUNTIF(入力シート!$J$16:$S$23,入力リスト!$H$9)=0),"",IF(A377="","",IF(ISERROR(AVERAGEIF(従業員の給与情報!$B:$B,$A377,従業員の給与情報!$E:$E)),0,IF(ISERROR(AVERAGEIF(従業員の給与情報!$B:$B,$A377,従業員の給与情報!$E:$E)),0,AVERAGEIF(従業員の給与情報!$B:$B,$A377,従業員の給与情報!$E:$E)))))</f>
        <v/>
      </c>
      <c r="W377" s="103" t="str">
        <f>IF(OR(入力シート!$C$5&lt;&gt;入力リスト!$C$3,COUNTIF(入力シート!$J$16:$S$23,入力リスト!$H$9)=0),"",IF(A377="","",IF(ISERROR(AVERAGEIF(従業員の給与情報!$B:$B,$A377,従業員の給与情報!$F:$F)),0,IF(ISERROR(AVERAGEIF(従業員の給与情報!$B:$B,$A377,従業員の給与情報!$F:$F)),0,AVERAGEIF(従業員の給与情報!$B:$B,$A377,従業員の給与情報!$F:$F)))))</f>
        <v/>
      </c>
    </row>
    <row r="378" spans="1:23" s="10" customFormat="1">
      <c r="A378" s="253"/>
      <c r="B378" s="246"/>
      <c r="C378" s="247"/>
      <c r="D378" s="246"/>
      <c r="E378" s="246"/>
      <c r="F378" s="257" t="str">
        <f>IF($G$1,"",IF(COUNTIF(A378:E378,"")=5,"",IF(G378,入力リスト!$K$28,IF(OR(A378="",B378="",IF(COUNTIF($C$3,"*不要*"),"",C378=""),D378=""),IF(A378="","従業員番号","")&amp;IF(B378="","「雇用形態」","")&amp;IF(OR(入力シート!$J$18=入力リスト!$H$9,入力シート!$J$22=入力リスト!$H$9),IF(C378="","「入社年月日」",""),"")&amp;IF(D378="","「性別」","")&amp;IF(IF(A378="","従業員番号","")&amp;IF(B378="","「雇用形態」","")&amp;IF(OR(入力シート!$J$18=入力リスト!$H$9,入力シート!$J$22=入力リスト!$H$9),IF(C378="","「入社年月日」",""),"")&amp;IF(D378="","「性別」","")="","",入力リスト!$K$29),IF(J378,入力リスト!$K$30,"")&amp;IF(I378,入力リスト!$K$31,"")&amp;IF(H378,"「雇用形態」","")&amp;IF(K378,"「性別」","")&amp;IF(L378,"「役職」","")&amp;IF(OR(H378,K378,L378),入力リスト!$K$32,"")))))</f>
        <v/>
      </c>
      <c r="G378" s="209" t="b">
        <f>COUNTIF($A$4:A377,$A378)&gt;0</f>
        <v>0</v>
      </c>
      <c r="H378" s="210" t="b">
        <f>IF($H$1,FALSE,COUNTIF(入力シート!$S$37:$V$62,B378)=0)</f>
        <v>0</v>
      </c>
      <c r="I378" s="210" t="b">
        <f t="shared" si="12"/>
        <v>0</v>
      </c>
      <c r="J378" s="210" t="b">
        <f>IF($J$1,FALSE,IF(I378=TRUE,FALSE,IF(I378,FALSE,C378&gt;入力シート!$J$24)))</f>
        <v>0</v>
      </c>
      <c r="K378" s="210" t="b">
        <f>IF($K$1,FALSE,COUNTIF(入力シート!$AW$37:$BB$38,D378)=0)</f>
        <v>0</v>
      </c>
      <c r="L378" s="210" t="b">
        <f>IF($L$1,FALSE,IF($L$3,FALSE,IF(E378="",FALSE,COUNTIF(入力シート!$AH$37:$AK$62,E378)=0)))</f>
        <v>0</v>
      </c>
      <c r="M378" s="211" t="str">
        <f t="shared" si="11"/>
        <v/>
      </c>
      <c r="N378" s="211"/>
      <c r="O378" s="209" t="str">
        <f>IF(B378="","",VLOOKUP('従業員情報(給与以外)'!$B378,入力シート!$S$37:$Z$62,5,0))</f>
        <v/>
      </c>
      <c r="P378" s="156" t="str">
        <f>IF(ISNUMBER(C378)=FALSE,"",IF(C378&gt;入力シート!$J$24,"",_xlfn.DAYS(入力シート!$J$24,'従業員情報(給与以外)'!$C378)/365))</f>
        <v/>
      </c>
      <c r="Q378" s="210" t="str">
        <f>IF(P378="","",VLOOKUP(_xlfn.DAYS(入力シート!$J$24,'従業員情報(給与以外)'!$C378)/365,入力リスト!$K$18:$L$26,2,2))</f>
        <v/>
      </c>
      <c r="R378" s="209" t="str">
        <f>IF(D378="","",VLOOKUP('従業員情報(給与以外)'!$D378,入力シート!$AW$37:$BB$38,4,0))</f>
        <v/>
      </c>
      <c r="S378" s="209" t="str">
        <f>IF(A378="","",IF(E378="","非役職",VLOOKUP('従業員情報(給与以外)'!$E378,入力シート!$AH$37:$AO$62,5,0)))</f>
        <v/>
      </c>
      <c r="T378" s="102" t="str">
        <f>IF(OR(入力シート!$C$5&lt;&gt;入力リスト!$C$3,COUNTIF(入力シート!$J$16:$S$23,入力リスト!$H$9)=0),"",IF($A378="","",IF(ISERROR(AVERAGEIF(従業員の給与情報!$B:$B,$A378,従業員の給与情報!$C:$C)),0,IF(ISERROR(AVERAGEIF(従業員の給与情報!$B:$B,$A378,従業員の給与情報!$C:$C)),0,AVERAGEIF(従業員の給与情報!$B:$B,$A378,従業員の給与情報!$C:$C)))))</f>
        <v/>
      </c>
      <c r="U378" s="102" t="str">
        <f>IF(OR(入力シート!$C$5&lt;&gt;入力リスト!$C$3,COUNTIF(入力シート!$J$16:$S$23,入力リスト!$H$9)=0),"",IF(A378="","",IF(ISERROR(AVERAGEIF(従業員の給与情報!$B:$B,$A378,従業員の給与情報!$D:$D)),0,IF(ISERROR(AVERAGEIF(従業員の給与情報!$B:$B,$A378,従業員の給与情報!$D:$D)),0,AVERAGEIF(従業員の給与情報!$B:$B,$A378,従業員の給与情報!$D:$D)))))</f>
        <v/>
      </c>
      <c r="V378" s="102" t="str">
        <f>IF(OR(入力シート!$C$5&lt;&gt;入力リスト!$C$3,COUNTIF(入力シート!$J$16:$S$23,入力リスト!$H$9)=0),"",IF(A378="","",IF(ISERROR(AVERAGEIF(従業員の給与情報!$B:$B,$A378,従業員の給与情報!$E:$E)),0,IF(ISERROR(AVERAGEIF(従業員の給与情報!$B:$B,$A378,従業員の給与情報!$E:$E)),0,AVERAGEIF(従業員の給与情報!$B:$B,$A378,従業員の給与情報!$E:$E)))))</f>
        <v/>
      </c>
      <c r="W378" s="103" t="str">
        <f>IF(OR(入力シート!$C$5&lt;&gt;入力リスト!$C$3,COUNTIF(入力シート!$J$16:$S$23,入力リスト!$H$9)=0),"",IF(A378="","",IF(ISERROR(AVERAGEIF(従業員の給与情報!$B:$B,$A378,従業員の給与情報!$F:$F)),0,IF(ISERROR(AVERAGEIF(従業員の給与情報!$B:$B,$A378,従業員の給与情報!$F:$F)),0,AVERAGEIF(従業員の給与情報!$B:$B,$A378,従業員の給与情報!$F:$F)))))</f>
        <v/>
      </c>
    </row>
    <row r="379" spans="1:23" s="10" customFormat="1">
      <c r="A379" s="253"/>
      <c r="B379" s="246"/>
      <c r="C379" s="247"/>
      <c r="D379" s="246"/>
      <c r="E379" s="246"/>
      <c r="F379" s="257" t="str">
        <f>IF($G$1,"",IF(COUNTIF(A379:E379,"")=5,"",IF(G379,入力リスト!$K$28,IF(OR(A379="",B379="",IF(COUNTIF($C$3,"*不要*"),"",C379=""),D379=""),IF(A379="","従業員番号","")&amp;IF(B379="","「雇用形態」","")&amp;IF(OR(入力シート!$J$18=入力リスト!$H$9,入力シート!$J$22=入力リスト!$H$9),IF(C379="","「入社年月日」",""),"")&amp;IF(D379="","「性別」","")&amp;IF(IF(A379="","従業員番号","")&amp;IF(B379="","「雇用形態」","")&amp;IF(OR(入力シート!$J$18=入力リスト!$H$9,入力シート!$J$22=入力リスト!$H$9),IF(C379="","「入社年月日」",""),"")&amp;IF(D379="","「性別」","")="","",入力リスト!$K$29),IF(J379,入力リスト!$K$30,"")&amp;IF(I379,入力リスト!$K$31,"")&amp;IF(H379,"「雇用形態」","")&amp;IF(K379,"「性別」","")&amp;IF(L379,"「役職」","")&amp;IF(OR(H379,K379,L379),入力リスト!$K$32,"")))))</f>
        <v/>
      </c>
      <c r="G379" s="209" t="b">
        <f>COUNTIF($A$4:A378,$A379)&gt;0</f>
        <v>0</v>
      </c>
      <c r="H379" s="210" t="b">
        <f>IF($H$1,FALSE,COUNTIF(入力シート!$S$37:$V$62,B379)=0)</f>
        <v>0</v>
      </c>
      <c r="I379" s="210" t="b">
        <f t="shared" si="12"/>
        <v>0</v>
      </c>
      <c r="J379" s="210" t="b">
        <f>IF($J$1,FALSE,IF(I379=TRUE,FALSE,IF(I379,FALSE,C379&gt;入力シート!$J$24)))</f>
        <v>0</v>
      </c>
      <c r="K379" s="210" t="b">
        <f>IF($K$1,FALSE,COUNTIF(入力シート!$AW$37:$BB$38,D379)=0)</f>
        <v>0</v>
      </c>
      <c r="L379" s="210" t="b">
        <f>IF($L$1,FALSE,IF($L$3,FALSE,IF(E379="",FALSE,COUNTIF(入力シート!$AH$37:$AK$62,E379)=0)))</f>
        <v>0</v>
      </c>
      <c r="M379" s="211" t="str">
        <f t="shared" si="11"/>
        <v/>
      </c>
      <c r="N379" s="211"/>
      <c r="O379" s="209" t="str">
        <f>IF(B379="","",VLOOKUP('従業員情報(給与以外)'!$B379,入力シート!$S$37:$Z$62,5,0))</f>
        <v/>
      </c>
      <c r="P379" s="156" t="str">
        <f>IF(ISNUMBER(C379)=FALSE,"",IF(C379&gt;入力シート!$J$24,"",_xlfn.DAYS(入力シート!$J$24,'従業員情報(給与以外)'!$C379)/365))</f>
        <v/>
      </c>
      <c r="Q379" s="210" t="str">
        <f>IF(P379="","",VLOOKUP(_xlfn.DAYS(入力シート!$J$24,'従業員情報(給与以外)'!$C379)/365,入力リスト!$K$18:$L$26,2,2))</f>
        <v/>
      </c>
      <c r="R379" s="209" t="str">
        <f>IF(D379="","",VLOOKUP('従業員情報(給与以外)'!$D379,入力シート!$AW$37:$BB$38,4,0))</f>
        <v/>
      </c>
      <c r="S379" s="209" t="str">
        <f>IF(A379="","",IF(E379="","非役職",VLOOKUP('従業員情報(給与以外)'!$E379,入力シート!$AH$37:$AO$62,5,0)))</f>
        <v/>
      </c>
      <c r="T379" s="102" t="str">
        <f>IF(OR(入力シート!$C$5&lt;&gt;入力リスト!$C$3,COUNTIF(入力シート!$J$16:$S$23,入力リスト!$H$9)=0),"",IF($A379="","",IF(ISERROR(AVERAGEIF(従業員の給与情報!$B:$B,$A379,従業員の給与情報!$C:$C)),0,IF(ISERROR(AVERAGEIF(従業員の給与情報!$B:$B,$A379,従業員の給与情報!$C:$C)),0,AVERAGEIF(従業員の給与情報!$B:$B,$A379,従業員の給与情報!$C:$C)))))</f>
        <v/>
      </c>
      <c r="U379" s="102" t="str">
        <f>IF(OR(入力シート!$C$5&lt;&gt;入力リスト!$C$3,COUNTIF(入力シート!$J$16:$S$23,入力リスト!$H$9)=0),"",IF(A379="","",IF(ISERROR(AVERAGEIF(従業員の給与情報!$B:$B,$A379,従業員の給与情報!$D:$D)),0,IF(ISERROR(AVERAGEIF(従業員の給与情報!$B:$B,$A379,従業員の給与情報!$D:$D)),0,AVERAGEIF(従業員の給与情報!$B:$B,$A379,従業員の給与情報!$D:$D)))))</f>
        <v/>
      </c>
      <c r="V379" s="102" t="str">
        <f>IF(OR(入力シート!$C$5&lt;&gt;入力リスト!$C$3,COUNTIF(入力シート!$J$16:$S$23,入力リスト!$H$9)=0),"",IF(A379="","",IF(ISERROR(AVERAGEIF(従業員の給与情報!$B:$B,$A379,従業員の給与情報!$E:$E)),0,IF(ISERROR(AVERAGEIF(従業員の給与情報!$B:$B,$A379,従業員の給与情報!$E:$E)),0,AVERAGEIF(従業員の給与情報!$B:$B,$A379,従業員の給与情報!$E:$E)))))</f>
        <v/>
      </c>
      <c r="W379" s="103" t="str">
        <f>IF(OR(入力シート!$C$5&lt;&gt;入力リスト!$C$3,COUNTIF(入力シート!$J$16:$S$23,入力リスト!$H$9)=0),"",IF(A379="","",IF(ISERROR(AVERAGEIF(従業員の給与情報!$B:$B,$A379,従業員の給与情報!$F:$F)),0,IF(ISERROR(AVERAGEIF(従業員の給与情報!$B:$B,$A379,従業員の給与情報!$F:$F)),0,AVERAGEIF(従業員の給与情報!$B:$B,$A379,従業員の給与情報!$F:$F)))))</f>
        <v/>
      </c>
    </row>
    <row r="380" spans="1:23" s="10" customFormat="1">
      <c r="A380" s="253"/>
      <c r="B380" s="246"/>
      <c r="C380" s="247"/>
      <c r="D380" s="246"/>
      <c r="E380" s="246"/>
      <c r="F380" s="257" t="str">
        <f>IF($G$1,"",IF(COUNTIF(A380:E380,"")=5,"",IF(G380,入力リスト!$K$28,IF(OR(A380="",B380="",IF(COUNTIF($C$3,"*不要*"),"",C380=""),D380=""),IF(A380="","従業員番号","")&amp;IF(B380="","「雇用形態」","")&amp;IF(OR(入力シート!$J$18=入力リスト!$H$9,入力シート!$J$22=入力リスト!$H$9),IF(C380="","「入社年月日」",""),"")&amp;IF(D380="","「性別」","")&amp;IF(IF(A380="","従業員番号","")&amp;IF(B380="","「雇用形態」","")&amp;IF(OR(入力シート!$J$18=入力リスト!$H$9,入力シート!$J$22=入力リスト!$H$9),IF(C380="","「入社年月日」",""),"")&amp;IF(D380="","「性別」","")="","",入力リスト!$K$29),IF(J380,入力リスト!$K$30,"")&amp;IF(I380,入力リスト!$K$31,"")&amp;IF(H380,"「雇用形態」","")&amp;IF(K380,"「性別」","")&amp;IF(L380,"「役職」","")&amp;IF(OR(H380,K380,L380),入力リスト!$K$32,"")))))</f>
        <v/>
      </c>
      <c r="G380" s="209" t="b">
        <f>COUNTIF($A$4:A379,$A380)&gt;0</f>
        <v>0</v>
      </c>
      <c r="H380" s="210" t="b">
        <f>IF($H$1,FALSE,COUNTIF(入力シート!$S$37:$V$62,B380)=0)</f>
        <v>0</v>
      </c>
      <c r="I380" s="210" t="b">
        <f t="shared" si="12"/>
        <v>0</v>
      </c>
      <c r="J380" s="210" t="b">
        <f>IF($J$1,FALSE,IF(I380=TRUE,FALSE,IF(I380,FALSE,C380&gt;入力シート!$J$24)))</f>
        <v>0</v>
      </c>
      <c r="K380" s="210" t="b">
        <f>IF($K$1,FALSE,COUNTIF(入力シート!$AW$37:$BB$38,D380)=0)</f>
        <v>0</v>
      </c>
      <c r="L380" s="210" t="b">
        <f>IF($L$1,FALSE,IF($L$3,FALSE,IF(E380="",FALSE,COUNTIF(入力シート!$AH$37:$AK$62,E380)=0)))</f>
        <v>0</v>
      </c>
      <c r="M380" s="211" t="str">
        <f t="shared" si="11"/>
        <v/>
      </c>
      <c r="N380" s="211"/>
      <c r="O380" s="209" t="str">
        <f>IF(B380="","",VLOOKUP('従業員情報(給与以外)'!$B380,入力シート!$S$37:$Z$62,5,0))</f>
        <v/>
      </c>
      <c r="P380" s="156" t="str">
        <f>IF(ISNUMBER(C380)=FALSE,"",IF(C380&gt;入力シート!$J$24,"",_xlfn.DAYS(入力シート!$J$24,'従業員情報(給与以外)'!$C380)/365))</f>
        <v/>
      </c>
      <c r="Q380" s="210" t="str">
        <f>IF(P380="","",VLOOKUP(_xlfn.DAYS(入力シート!$J$24,'従業員情報(給与以外)'!$C380)/365,入力リスト!$K$18:$L$26,2,2))</f>
        <v/>
      </c>
      <c r="R380" s="209" t="str">
        <f>IF(D380="","",VLOOKUP('従業員情報(給与以外)'!$D380,入力シート!$AW$37:$BB$38,4,0))</f>
        <v/>
      </c>
      <c r="S380" s="209" t="str">
        <f>IF(A380="","",IF(E380="","非役職",VLOOKUP('従業員情報(給与以外)'!$E380,入力シート!$AH$37:$AO$62,5,0)))</f>
        <v/>
      </c>
      <c r="T380" s="102" t="str">
        <f>IF(OR(入力シート!$C$5&lt;&gt;入力リスト!$C$3,COUNTIF(入力シート!$J$16:$S$23,入力リスト!$H$9)=0),"",IF($A380="","",IF(ISERROR(AVERAGEIF(従業員の給与情報!$B:$B,$A380,従業員の給与情報!$C:$C)),0,IF(ISERROR(AVERAGEIF(従業員の給与情報!$B:$B,$A380,従業員の給与情報!$C:$C)),0,AVERAGEIF(従業員の給与情報!$B:$B,$A380,従業員の給与情報!$C:$C)))))</f>
        <v/>
      </c>
      <c r="U380" s="102" t="str">
        <f>IF(OR(入力シート!$C$5&lt;&gt;入力リスト!$C$3,COUNTIF(入力シート!$J$16:$S$23,入力リスト!$H$9)=0),"",IF(A380="","",IF(ISERROR(AVERAGEIF(従業員の給与情報!$B:$B,$A380,従業員の給与情報!$D:$D)),0,IF(ISERROR(AVERAGEIF(従業員の給与情報!$B:$B,$A380,従業員の給与情報!$D:$D)),0,AVERAGEIF(従業員の給与情報!$B:$B,$A380,従業員の給与情報!$D:$D)))))</f>
        <v/>
      </c>
      <c r="V380" s="102" t="str">
        <f>IF(OR(入力シート!$C$5&lt;&gt;入力リスト!$C$3,COUNTIF(入力シート!$J$16:$S$23,入力リスト!$H$9)=0),"",IF(A380="","",IF(ISERROR(AVERAGEIF(従業員の給与情報!$B:$B,$A380,従業員の給与情報!$E:$E)),0,IF(ISERROR(AVERAGEIF(従業員の給与情報!$B:$B,$A380,従業員の給与情報!$E:$E)),0,AVERAGEIF(従業員の給与情報!$B:$B,$A380,従業員の給与情報!$E:$E)))))</f>
        <v/>
      </c>
      <c r="W380" s="103" t="str">
        <f>IF(OR(入力シート!$C$5&lt;&gt;入力リスト!$C$3,COUNTIF(入力シート!$J$16:$S$23,入力リスト!$H$9)=0),"",IF(A380="","",IF(ISERROR(AVERAGEIF(従業員の給与情報!$B:$B,$A380,従業員の給与情報!$F:$F)),0,IF(ISERROR(AVERAGEIF(従業員の給与情報!$B:$B,$A380,従業員の給与情報!$F:$F)),0,AVERAGEIF(従業員の給与情報!$B:$B,$A380,従業員の給与情報!$F:$F)))))</f>
        <v/>
      </c>
    </row>
    <row r="381" spans="1:23" s="10" customFormat="1">
      <c r="A381" s="253"/>
      <c r="B381" s="246"/>
      <c r="C381" s="247"/>
      <c r="D381" s="246"/>
      <c r="E381" s="246"/>
      <c r="F381" s="257" t="str">
        <f>IF($G$1,"",IF(COUNTIF(A381:E381,"")=5,"",IF(G381,入力リスト!$K$28,IF(OR(A381="",B381="",IF(COUNTIF($C$3,"*不要*"),"",C381=""),D381=""),IF(A381="","従業員番号","")&amp;IF(B381="","「雇用形態」","")&amp;IF(OR(入力シート!$J$18=入力リスト!$H$9,入力シート!$J$22=入力リスト!$H$9),IF(C381="","「入社年月日」",""),"")&amp;IF(D381="","「性別」","")&amp;IF(IF(A381="","従業員番号","")&amp;IF(B381="","「雇用形態」","")&amp;IF(OR(入力シート!$J$18=入力リスト!$H$9,入力シート!$J$22=入力リスト!$H$9),IF(C381="","「入社年月日」",""),"")&amp;IF(D381="","「性別」","")="","",入力リスト!$K$29),IF(J381,入力リスト!$K$30,"")&amp;IF(I381,入力リスト!$K$31,"")&amp;IF(H381,"「雇用形態」","")&amp;IF(K381,"「性別」","")&amp;IF(L381,"「役職」","")&amp;IF(OR(H381,K381,L381),入力リスト!$K$32,"")))))</f>
        <v/>
      </c>
      <c r="G381" s="209" t="b">
        <f>COUNTIF($A$4:A380,$A381)&gt;0</f>
        <v>0</v>
      </c>
      <c r="H381" s="210" t="b">
        <f>IF($H$1,FALSE,COUNTIF(入力シート!$S$37:$V$62,B381)=0)</f>
        <v>0</v>
      </c>
      <c r="I381" s="210" t="b">
        <f t="shared" si="12"/>
        <v>0</v>
      </c>
      <c r="J381" s="210" t="b">
        <f>IF($J$1,FALSE,IF(I381=TRUE,FALSE,IF(I381,FALSE,C381&gt;入力シート!$J$24)))</f>
        <v>0</v>
      </c>
      <c r="K381" s="210" t="b">
        <f>IF($K$1,FALSE,COUNTIF(入力シート!$AW$37:$BB$38,D381)=0)</f>
        <v>0</v>
      </c>
      <c r="L381" s="210" t="b">
        <f>IF($L$1,FALSE,IF($L$3,FALSE,IF(E381="",FALSE,COUNTIF(入力シート!$AH$37:$AK$62,E381)=0)))</f>
        <v>0</v>
      </c>
      <c r="M381" s="211" t="str">
        <f t="shared" si="11"/>
        <v/>
      </c>
      <c r="N381" s="211"/>
      <c r="O381" s="209" t="str">
        <f>IF(B381="","",VLOOKUP('従業員情報(給与以外)'!$B381,入力シート!$S$37:$Z$62,5,0))</f>
        <v/>
      </c>
      <c r="P381" s="156" t="str">
        <f>IF(ISNUMBER(C381)=FALSE,"",IF(C381&gt;入力シート!$J$24,"",_xlfn.DAYS(入力シート!$J$24,'従業員情報(給与以外)'!$C381)/365))</f>
        <v/>
      </c>
      <c r="Q381" s="210" t="str">
        <f>IF(P381="","",VLOOKUP(_xlfn.DAYS(入力シート!$J$24,'従業員情報(給与以外)'!$C381)/365,入力リスト!$K$18:$L$26,2,2))</f>
        <v/>
      </c>
      <c r="R381" s="209" t="str">
        <f>IF(D381="","",VLOOKUP('従業員情報(給与以外)'!$D381,入力シート!$AW$37:$BB$38,4,0))</f>
        <v/>
      </c>
      <c r="S381" s="209" t="str">
        <f>IF(A381="","",IF(E381="","非役職",VLOOKUP('従業員情報(給与以外)'!$E381,入力シート!$AH$37:$AO$62,5,0)))</f>
        <v/>
      </c>
      <c r="T381" s="102" t="str">
        <f>IF(OR(入力シート!$C$5&lt;&gt;入力リスト!$C$3,COUNTIF(入力シート!$J$16:$S$23,入力リスト!$H$9)=0),"",IF($A381="","",IF(ISERROR(AVERAGEIF(従業員の給与情報!$B:$B,$A381,従業員の給与情報!$C:$C)),0,IF(ISERROR(AVERAGEIF(従業員の給与情報!$B:$B,$A381,従業員の給与情報!$C:$C)),0,AVERAGEIF(従業員の給与情報!$B:$B,$A381,従業員の給与情報!$C:$C)))))</f>
        <v/>
      </c>
      <c r="U381" s="102" t="str">
        <f>IF(OR(入力シート!$C$5&lt;&gt;入力リスト!$C$3,COUNTIF(入力シート!$J$16:$S$23,入力リスト!$H$9)=0),"",IF(A381="","",IF(ISERROR(AVERAGEIF(従業員の給与情報!$B:$B,$A381,従業員の給与情報!$D:$D)),0,IF(ISERROR(AVERAGEIF(従業員の給与情報!$B:$B,$A381,従業員の給与情報!$D:$D)),0,AVERAGEIF(従業員の給与情報!$B:$B,$A381,従業員の給与情報!$D:$D)))))</f>
        <v/>
      </c>
      <c r="V381" s="102" t="str">
        <f>IF(OR(入力シート!$C$5&lt;&gt;入力リスト!$C$3,COUNTIF(入力シート!$J$16:$S$23,入力リスト!$H$9)=0),"",IF(A381="","",IF(ISERROR(AVERAGEIF(従業員の給与情報!$B:$B,$A381,従業員の給与情報!$E:$E)),0,IF(ISERROR(AVERAGEIF(従業員の給与情報!$B:$B,$A381,従業員の給与情報!$E:$E)),0,AVERAGEIF(従業員の給与情報!$B:$B,$A381,従業員の給与情報!$E:$E)))))</f>
        <v/>
      </c>
      <c r="W381" s="103" t="str">
        <f>IF(OR(入力シート!$C$5&lt;&gt;入力リスト!$C$3,COUNTIF(入力シート!$J$16:$S$23,入力リスト!$H$9)=0),"",IF(A381="","",IF(ISERROR(AVERAGEIF(従業員の給与情報!$B:$B,$A381,従業員の給与情報!$F:$F)),0,IF(ISERROR(AVERAGEIF(従業員の給与情報!$B:$B,$A381,従業員の給与情報!$F:$F)),0,AVERAGEIF(従業員の給与情報!$B:$B,$A381,従業員の給与情報!$F:$F)))))</f>
        <v/>
      </c>
    </row>
    <row r="382" spans="1:23" s="10" customFormat="1">
      <c r="A382" s="253"/>
      <c r="B382" s="246"/>
      <c r="C382" s="247"/>
      <c r="D382" s="246"/>
      <c r="E382" s="246"/>
      <c r="F382" s="257" t="str">
        <f>IF($G$1,"",IF(COUNTIF(A382:E382,"")=5,"",IF(G382,入力リスト!$K$28,IF(OR(A382="",B382="",IF(COUNTIF($C$3,"*不要*"),"",C382=""),D382=""),IF(A382="","従業員番号","")&amp;IF(B382="","「雇用形態」","")&amp;IF(OR(入力シート!$J$18=入力リスト!$H$9,入力シート!$J$22=入力リスト!$H$9),IF(C382="","「入社年月日」",""),"")&amp;IF(D382="","「性別」","")&amp;IF(IF(A382="","従業員番号","")&amp;IF(B382="","「雇用形態」","")&amp;IF(OR(入力シート!$J$18=入力リスト!$H$9,入力シート!$J$22=入力リスト!$H$9),IF(C382="","「入社年月日」",""),"")&amp;IF(D382="","「性別」","")="","",入力リスト!$K$29),IF(J382,入力リスト!$K$30,"")&amp;IF(I382,入力リスト!$K$31,"")&amp;IF(H382,"「雇用形態」","")&amp;IF(K382,"「性別」","")&amp;IF(L382,"「役職」","")&amp;IF(OR(H382,K382,L382),入力リスト!$K$32,"")))))</f>
        <v/>
      </c>
      <c r="G382" s="209" t="b">
        <f>COUNTIF($A$4:A381,$A382)&gt;0</f>
        <v>0</v>
      </c>
      <c r="H382" s="210" t="b">
        <f>IF($H$1,FALSE,COUNTIF(入力シート!$S$37:$V$62,B382)=0)</f>
        <v>0</v>
      </c>
      <c r="I382" s="210" t="b">
        <f t="shared" si="12"/>
        <v>0</v>
      </c>
      <c r="J382" s="210" t="b">
        <f>IF($J$1,FALSE,IF(I382=TRUE,FALSE,IF(I382,FALSE,C382&gt;入力シート!$J$24)))</f>
        <v>0</v>
      </c>
      <c r="K382" s="210" t="b">
        <f>IF($K$1,FALSE,COUNTIF(入力シート!$AW$37:$BB$38,D382)=0)</f>
        <v>0</v>
      </c>
      <c r="L382" s="210" t="b">
        <f>IF($L$1,FALSE,IF($L$3,FALSE,IF(E382="",FALSE,COUNTIF(入力シート!$AH$37:$AK$62,E382)=0)))</f>
        <v>0</v>
      </c>
      <c r="M382" s="211" t="str">
        <f t="shared" si="11"/>
        <v/>
      </c>
      <c r="N382" s="211"/>
      <c r="O382" s="209" t="str">
        <f>IF(B382="","",VLOOKUP('従業員情報(給与以外)'!$B382,入力シート!$S$37:$Z$62,5,0))</f>
        <v/>
      </c>
      <c r="P382" s="156" t="str">
        <f>IF(ISNUMBER(C382)=FALSE,"",IF(C382&gt;入力シート!$J$24,"",_xlfn.DAYS(入力シート!$J$24,'従業員情報(給与以外)'!$C382)/365))</f>
        <v/>
      </c>
      <c r="Q382" s="210" t="str">
        <f>IF(P382="","",VLOOKUP(_xlfn.DAYS(入力シート!$J$24,'従業員情報(給与以外)'!$C382)/365,入力リスト!$K$18:$L$26,2,2))</f>
        <v/>
      </c>
      <c r="R382" s="209" t="str">
        <f>IF(D382="","",VLOOKUP('従業員情報(給与以外)'!$D382,入力シート!$AW$37:$BB$38,4,0))</f>
        <v/>
      </c>
      <c r="S382" s="209" t="str">
        <f>IF(A382="","",IF(E382="","非役職",VLOOKUP('従業員情報(給与以外)'!$E382,入力シート!$AH$37:$AO$62,5,0)))</f>
        <v/>
      </c>
      <c r="T382" s="102" t="str">
        <f>IF(OR(入力シート!$C$5&lt;&gt;入力リスト!$C$3,COUNTIF(入力シート!$J$16:$S$23,入力リスト!$H$9)=0),"",IF($A382="","",IF(ISERROR(AVERAGEIF(従業員の給与情報!$B:$B,$A382,従業員の給与情報!$C:$C)),0,IF(ISERROR(AVERAGEIF(従業員の給与情報!$B:$B,$A382,従業員の給与情報!$C:$C)),0,AVERAGEIF(従業員の給与情報!$B:$B,$A382,従業員の給与情報!$C:$C)))))</f>
        <v/>
      </c>
      <c r="U382" s="102" t="str">
        <f>IF(OR(入力シート!$C$5&lt;&gt;入力リスト!$C$3,COUNTIF(入力シート!$J$16:$S$23,入力リスト!$H$9)=0),"",IF(A382="","",IF(ISERROR(AVERAGEIF(従業員の給与情報!$B:$B,$A382,従業員の給与情報!$D:$D)),0,IF(ISERROR(AVERAGEIF(従業員の給与情報!$B:$B,$A382,従業員の給与情報!$D:$D)),0,AVERAGEIF(従業員の給与情報!$B:$B,$A382,従業員の給与情報!$D:$D)))))</f>
        <v/>
      </c>
      <c r="V382" s="102" t="str">
        <f>IF(OR(入力シート!$C$5&lt;&gt;入力リスト!$C$3,COUNTIF(入力シート!$J$16:$S$23,入力リスト!$H$9)=0),"",IF(A382="","",IF(ISERROR(AVERAGEIF(従業員の給与情報!$B:$B,$A382,従業員の給与情報!$E:$E)),0,IF(ISERROR(AVERAGEIF(従業員の給与情報!$B:$B,$A382,従業員の給与情報!$E:$E)),0,AVERAGEIF(従業員の給与情報!$B:$B,$A382,従業員の給与情報!$E:$E)))))</f>
        <v/>
      </c>
      <c r="W382" s="103" t="str">
        <f>IF(OR(入力シート!$C$5&lt;&gt;入力リスト!$C$3,COUNTIF(入力シート!$J$16:$S$23,入力リスト!$H$9)=0),"",IF(A382="","",IF(ISERROR(AVERAGEIF(従業員の給与情報!$B:$B,$A382,従業員の給与情報!$F:$F)),0,IF(ISERROR(AVERAGEIF(従業員の給与情報!$B:$B,$A382,従業員の給与情報!$F:$F)),0,AVERAGEIF(従業員の給与情報!$B:$B,$A382,従業員の給与情報!$F:$F)))))</f>
        <v/>
      </c>
    </row>
    <row r="383" spans="1:23" s="10" customFormat="1">
      <c r="A383" s="253"/>
      <c r="B383" s="246"/>
      <c r="C383" s="247"/>
      <c r="D383" s="246"/>
      <c r="E383" s="246"/>
      <c r="F383" s="257" t="str">
        <f>IF($G$1,"",IF(COUNTIF(A383:E383,"")=5,"",IF(G383,入力リスト!$K$28,IF(OR(A383="",B383="",IF(COUNTIF($C$3,"*不要*"),"",C383=""),D383=""),IF(A383="","従業員番号","")&amp;IF(B383="","「雇用形態」","")&amp;IF(OR(入力シート!$J$18=入力リスト!$H$9,入力シート!$J$22=入力リスト!$H$9),IF(C383="","「入社年月日」",""),"")&amp;IF(D383="","「性別」","")&amp;IF(IF(A383="","従業員番号","")&amp;IF(B383="","「雇用形態」","")&amp;IF(OR(入力シート!$J$18=入力リスト!$H$9,入力シート!$J$22=入力リスト!$H$9),IF(C383="","「入社年月日」",""),"")&amp;IF(D383="","「性別」","")="","",入力リスト!$K$29),IF(J383,入力リスト!$K$30,"")&amp;IF(I383,入力リスト!$K$31,"")&amp;IF(H383,"「雇用形態」","")&amp;IF(K383,"「性別」","")&amp;IF(L383,"「役職」","")&amp;IF(OR(H383,K383,L383),入力リスト!$K$32,"")))))</f>
        <v/>
      </c>
      <c r="G383" s="209" t="b">
        <f>COUNTIF($A$4:A382,$A383)&gt;0</f>
        <v>0</v>
      </c>
      <c r="H383" s="210" t="b">
        <f>IF($H$1,FALSE,COUNTIF(入力シート!$S$37:$V$62,B383)=0)</f>
        <v>0</v>
      </c>
      <c r="I383" s="210" t="b">
        <f t="shared" si="12"/>
        <v>0</v>
      </c>
      <c r="J383" s="210" t="b">
        <f>IF($J$1,FALSE,IF(I383=TRUE,FALSE,IF(I383,FALSE,C383&gt;入力シート!$J$24)))</f>
        <v>0</v>
      </c>
      <c r="K383" s="210" t="b">
        <f>IF($K$1,FALSE,COUNTIF(入力シート!$AW$37:$BB$38,D383)=0)</f>
        <v>0</v>
      </c>
      <c r="L383" s="210" t="b">
        <f>IF($L$1,FALSE,IF($L$3,FALSE,IF(E383="",FALSE,COUNTIF(入力シート!$AH$37:$AK$62,E383)=0)))</f>
        <v>0</v>
      </c>
      <c r="M383" s="211" t="str">
        <f t="shared" si="11"/>
        <v/>
      </c>
      <c r="N383" s="211"/>
      <c r="O383" s="209" t="str">
        <f>IF(B383="","",VLOOKUP('従業員情報(給与以外)'!$B383,入力シート!$S$37:$Z$62,5,0))</f>
        <v/>
      </c>
      <c r="P383" s="156" t="str">
        <f>IF(ISNUMBER(C383)=FALSE,"",IF(C383&gt;入力シート!$J$24,"",_xlfn.DAYS(入力シート!$J$24,'従業員情報(給与以外)'!$C383)/365))</f>
        <v/>
      </c>
      <c r="Q383" s="210" t="str">
        <f>IF(P383="","",VLOOKUP(_xlfn.DAYS(入力シート!$J$24,'従業員情報(給与以外)'!$C383)/365,入力リスト!$K$18:$L$26,2,2))</f>
        <v/>
      </c>
      <c r="R383" s="209" t="str">
        <f>IF(D383="","",VLOOKUP('従業員情報(給与以外)'!$D383,入力シート!$AW$37:$BB$38,4,0))</f>
        <v/>
      </c>
      <c r="S383" s="209" t="str">
        <f>IF(A383="","",IF(E383="","非役職",VLOOKUP('従業員情報(給与以外)'!$E383,入力シート!$AH$37:$AO$62,5,0)))</f>
        <v/>
      </c>
      <c r="T383" s="102" t="str">
        <f>IF(OR(入力シート!$C$5&lt;&gt;入力リスト!$C$3,COUNTIF(入力シート!$J$16:$S$23,入力リスト!$H$9)=0),"",IF($A383="","",IF(ISERROR(AVERAGEIF(従業員の給与情報!$B:$B,$A383,従業員の給与情報!$C:$C)),0,IF(ISERROR(AVERAGEIF(従業員の給与情報!$B:$B,$A383,従業員の給与情報!$C:$C)),0,AVERAGEIF(従業員の給与情報!$B:$B,$A383,従業員の給与情報!$C:$C)))))</f>
        <v/>
      </c>
      <c r="U383" s="102" t="str">
        <f>IF(OR(入力シート!$C$5&lt;&gt;入力リスト!$C$3,COUNTIF(入力シート!$J$16:$S$23,入力リスト!$H$9)=0),"",IF(A383="","",IF(ISERROR(AVERAGEIF(従業員の給与情報!$B:$B,$A383,従業員の給与情報!$D:$D)),0,IF(ISERROR(AVERAGEIF(従業員の給与情報!$B:$B,$A383,従業員の給与情報!$D:$D)),0,AVERAGEIF(従業員の給与情報!$B:$B,$A383,従業員の給与情報!$D:$D)))))</f>
        <v/>
      </c>
      <c r="V383" s="102" t="str">
        <f>IF(OR(入力シート!$C$5&lt;&gt;入力リスト!$C$3,COUNTIF(入力シート!$J$16:$S$23,入力リスト!$H$9)=0),"",IF(A383="","",IF(ISERROR(AVERAGEIF(従業員の給与情報!$B:$B,$A383,従業員の給与情報!$E:$E)),0,IF(ISERROR(AVERAGEIF(従業員の給与情報!$B:$B,$A383,従業員の給与情報!$E:$E)),0,AVERAGEIF(従業員の給与情報!$B:$B,$A383,従業員の給与情報!$E:$E)))))</f>
        <v/>
      </c>
      <c r="W383" s="103" t="str">
        <f>IF(OR(入力シート!$C$5&lt;&gt;入力リスト!$C$3,COUNTIF(入力シート!$J$16:$S$23,入力リスト!$H$9)=0),"",IF(A383="","",IF(ISERROR(AVERAGEIF(従業員の給与情報!$B:$B,$A383,従業員の給与情報!$F:$F)),0,IF(ISERROR(AVERAGEIF(従業員の給与情報!$B:$B,$A383,従業員の給与情報!$F:$F)),0,AVERAGEIF(従業員の給与情報!$B:$B,$A383,従業員の給与情報!$F:$F)))))</f>
        <v/>
      </c>
    </row>
    <row r="384" spans="1:23" s="10" customFormat="1">
      <c r="A384" s="253"/>
      <c r="B384" s="246"/>
      <c r="C384" s="247"/>
      <c r="D384" s="246"/>
      <c r="E384" s="246"/>
      <c r="F384" s="257" t="str">
        <f>IF($G$1,"",IF(COUNTIF(A384:E384,"")=5,"",IF(G384,入力リスト!$K$28,IF(OR(A384="",B384="",IF(COUNTIF($C$3,"*不要*"),"",C384=""),D384=""),IF(A384="","従業員番号","")&amp;IF(B384="","「雇用形態」","")&amp;IF(OR(入力シート!$J$18=入力リスト!$H$9,入力シート!$J$22=入力リスト!$H$9),IF(C384="","「入社年月日」",""),"")&amp;IF(D384="","「性別」","")&amp;IF(IF(A384="","従業員番号","")&amp;IF(B384="","「雇用形態」","")&amp;IF(OR(入力シート!$J$18=入力リスト!$H$9,入力シート!$J$22=入力リスト!$H$9),IF(C384="","「入社年月日」",""),"")&amp;IF(D384="","「性別」","")="","",入力リスト!$K$29),IF(J384,入力リスト!$K$30,"")&amp;IF(I384,入力リスト!$K$31,"")&amp;IF(H384,"「雇用形態」","")&amp;IF(K384,"「性別」","")&amp;IF(L384,"「役職」","")&amp;IF(OR(H384,K384,L384),入力リスト!$K$32,"")))))</f>
        <v/>
      </c>
      <c r="G384" s="209" t="b">
        <f>COUNTIF($A$4:A383,$A384)&gt;0</f>
        <v>0</v>
      </c>
      <c r="H384" s="210" t="b">
        <f>IF($H$1,FALSE,COUNTIF(入力シート!$S$37:$V$62,B384)=0)</f>
        <v>0</v>
      </c>
      <c r="I384" s="210" t="b">
        <f t="shared" si="12"/>
        <v>0</v>
      </c>
      <c r="J384" s="210" t="b">
        <f>IF($J$1,FALSE,IF(I384=TRUE,FALSE,IF(I384,FALSE,C384&gt;入力シート!$J$24)))</f>
        <v>0</v>
      </c>
      <c r="K384" s="210" t="b">
        <f>IF($K$1,FALSE,COUNTIF(入力シート!$AW$37:$BB$38,D384)=0)</f>
        <v>0</v>
      </c>
      <c r="L384" s="210" t="b">
        <f>IF($L$1,FALSE,IF($L$3,FALSE,IF(E384="",FALSE,COUNTIF(入力シート!$AH$37:$AK$62,E384)=0)))</f>
        <v>0</v>
      </c>
      <c r="M384" s="211" t="str">
        <f t="shared" si="11"/>
        <v/>
      </c>
      <c r="N384" s="211"/>
      <c r="O384" s="209" t="str">
        <f>IF(B384="","",VLOOKUP('従業員情報(給与以外)'!$B384,入力シート!$S$37:$Z$62,5,0))</f>
        <v/>
      </c>
      <c r="P384" s="156" t="str">
        <f>IF(ISNUMBER(C384)=FALSE,"",IF(C384&gt;入力シート!$J$24,"",_xlfn.DAYS(入力シート!$J$24,'従業員情報(給与以外)'!$C384)/365))</f>
        <v/>
      </c>
      <c r="Q384" s="210" t="str">
        <f>IF(P384="","",VLOOKUP(_xlfn.DAYS(入力シート!$J$24,'従業員情報(給与以外)'!$C384)/365,入力リスト!$K$18:$L$26,2,2))</f>
        <v/>
      </c>
      <c r="R384" s="209" t="str">
        <f>IF(D384="","",VLOOKUP('従業員情報(給与以外)'!$D384,入力シート!$AW$37:$BB$38,4,0))</f>
        <v/>
      </c>
      <c r="S384" s="209" t="str">
        <f>IF(A384="","",IF(E384="","非役職",VLOOKUP('従業員情報(給与以外)'!$E384,入力シート!$AH$37:$AO$62,5,0)))</f>
        <v/>
      </c>
      <c r="T384" s="102" t="str">
        <f>IF(OR(入力シート!$C$5&lt;&gt;入力リスト!$C$3,COUNTIF(入力シート!$J$16:$S$23,入力リスト!$H$9)=0),"",IF($A384="","",IF(ISERROR(AVERAGEIF(従業員の給与情報!$B:$B,$A384,従業員の給与情報!$C:$C)),0,IF(ISERROR(AVERAGEIF(従業員の給与情報!$B:$B,$A384,従業員の給与情報!$C:$C)),0,AVERAGEIF(従業員の給与情報!$B:$B,$A384,従業員の給与情報!$C:$C)))))</f>
        <v/>
      </c>
      <c r="U384" s="102" t="str">
        <f>IF(OR(入力シート!$C$5&lt;&gt;入力リスト!$C$3,COUNTIF(入力シート!$J$16:$S$23,入力リスト!$H$9)=0),"",IF(A384="","",IF(ISERROR(AVERAGEIF(従業員の給与情報!$B:$B,$A384,従業員の給与情報!$D:$D)),0,IF(ISERROR(AVERAGEIF(従業員の給与情報!$B:$B,$A384,従業員の給与情報!$D:$D)),0,AVERAGEIF(従業員の給与情報!$B:$B,$A384,従業員の給与情報!$D:$D)))))</f>
        <v/>
      </c>
      <c r="V384" s="102" t="str">
        <f>IF(OR(入力シート!$C$5&lt;&gt;入力リスト!$C$3,COUNTIF(入力シート!$J$16:$S$23,入力リスト!$H$9)=0),"",IF(A384="","",IF(ISERROR(AVERAGEIF(従業員の給与情報!$B:$B,$A384,従業員の給与情報!$E:$E)),0,IF(ISERROR(AVERAGEIF(従業員の給与情報!$B:$B,$A384,従業員の給与情報!$E:$E)),0,AVERAGEIF(従業員の給与情報!$B:$B,$A384,従業員の給与情報!$E:$E)))))</f>
        <v/>
      </c>
      <c r="W384" s="103" t="str">
        <f>IF(OR(入力シート!$C$5&lt;&gt;入力リスト!$C$3,COUNTIF(入力シート!$J$16:$S$23,入力リスト!$H$9)=0),"",IF(A384="","",IF(ISERROR(AVERAGEIF(従業員の給与情報!$B:$B,$A384,従業員の給与情報!$F:$F)),0,IF(ISERROR(AVERAGEIF(従業員の給与情報!$B:$B,$A384,従業員の給与情報!$F:$F)),0,AVERAGEIF(従業員の給与情報!$B:$B,$A384,従業員の給与情報!$F:$F)))))</f>
        <v/>
      </c>
    </row>
    <row r="385" spans="1:23" s="10" customFormat="1">
      <c r="A385" s="253"/>
      <c r="B385" s="246"/>
      <c r="C385" s="247"/>
      <c r="D385" s="246"/>
      <c r="E385" s="246"/>
      <c r="F385" s="257" t="str">
        <f>IF($G$1,"",IF(COUNTIF(A385:E385,"")=5,"",IF(G385,入力リスト!$K$28,IF(OR(A385="",B385="",IF(COUNTIF($C$3,"*不要*"),"",C385=""),D385=""),IF(A385="","従業員番号","")&amp;IF(B385="","「雇用形態」","")&amp;IF(OR(入力シート!$J$18=入力リスト!$H$9,入力シート!$J$22=入力リスト!$H$9),IF(C385="","「入社年月日」",""),"")&amp;IF(D385="","「性別」","")&amp;IF(IF(A385="","従業員番号","")&amp;IF(B385="","「雇用形態」","")&amp;IF(OR(入力シート!$J$18=入力リスト!$H$9,入力シート!$J$22=入力リスト!$H$9),IF(C385="","「入社年月日」",""),"")&amp;IF(D385="","「性別」","")="","",入力リスト!$K$29),IF(J385,入力リスト!$K$30,"")&amp;IF(I385,入力リスト!$K$31,"")&amp;IF(H385,"「雇用形態」","")&amp;IF(K385,"「性別」","")&amp;IF(L385,"「役職」","")&amp;IF(OR(H385,K385,L385),入力リスト!$K$32,"")))))</f>
        <v/>
      </c>
      <c r="G385" s="209" t="b">
        <f>COUNTIF($A$4:A384,$A385)&gt;0</f>
        <v>0</v>
      </c>
      <c r="H385" s="210" t="b">
        <f>IF($H$1,FALSE,COUNTIF(入力シート!$S$37:$V$62,B385)=0)</f>
        <v>0</v>
      </c>
      <c r="I385" s="210" t="b">
        <f t="shared" si="12"/>
        <v>0</v>
      </c>
      <c r="J385" s="210" t="b">
        <f>IF($J$1,FALSE,IF(I385=TRUE,FALSE,IF(I385,FALSE,C385&gt;入力シート!$J$24)))</f>
        <v>0</v>
      </c>
      <c r="K385" s="210" t="b">
        <f>IF($K$1,FALSE,COUNTIF(入力シート!$AW$37:$BB$38,D385)=0)</f>
        <v>0</v>
      </c>
      <c r="L385" s="210" t="b">
        <f>IF($L$1,FALSE,IF($L$3,FALSE,IF(E385="",FALSE,COUNTIF(入力シート!$AH$37:$AK$62,E385)=0)))</f>
        <v>0</v>
      </c>
      <c r="M385" s="211" t="str">
        <f t="shared" si="11"/>
        <v/>
      </c>
      <c r="N385" s="211"/>
      <c r="O385" s="209" t="str">
        <f>IF(B385="","",VLOOKUP('従業員情報(給与以外)'!$B385,入力シート!$S$37:$Z$62,5,0))</f>
        <v/>
      </c>
      <c r="P385" s="156" t="str">
        <f>IF(ISNUMBER(C385)=FALSE,"",IF(C385&gt;入力シート!$J$24,"",_xlfn.DAYS(入力シート!$J$24,'従業員情報(給与以外)'!$C385)/365))</f>
        <v/>
      </c>
      <c r="Q385" s="210" t="str">
        <f>IF(P385="","",VLOOKUP(_xlfn.DAYS(入力シート!$J$24,'従業員情報(給与以外)'!$C385)/365,入力リスト!$K$18:$L$26,2,2))</f>
        <v/>
      </c>
      <c r="R385" s="209" t="str">
        <f>IF(D385="","",VLOOKUP('従業員情報(給与以外)'!$D385,入力シート!$AW$37:$BB$38,4,0))</f>
        <v/>
      </c>
      <c r="S385" s="209" t="str">
        <f>IF(A385="","",IF(E385="","非役職",VLOOKUP('従業員情報(給与以外)'!$E385,入力シート!$AH$37:$AO$62,5,0)))</f>
        <v/>
      </c>
      <c r="T385" s="102" t="str">
        <f>IF(OR(入力シート!$C$5&lt;&gt;入力リスト!$C$3,COUNTIF(入力シート!$J$16:$S$23,入力リスト!$H$9)=0),"",IF($A385="","",IF(ISERROR(AVERAGEIF(従業員の給与情報!$B:$B,$A385,従業員の給与情報!$C:$C)),0,IF(ISERROR(AVERAGEIF(従業員の給与情報!$B:$B,$A385,従業員の給与情報!$C:$C)),0,AVERAGEIF(従業員の給与情報!$B:$B,$A385,従業員の給与情報!$C:$C)))))</f>
        <v/>
      </c>
      <c r="U385" s="102" t="str">
        <f>IF(OR(入力シート!$C$5&lt;&gt;入力リスト!$C$3,COUNTIF(入力シート!$J$16:$S$23,入力リスト!$H$9)=0),"",IF(A385="","",IF(ISERROR(AVERAGEIF(従業員の給与情報!$B:$B,$A385,従業員の給与情報!$D:$D)),0,IF(ISERROR(AVERAGEIF(従業員の給与情報!$B:$B,$A385,従業員の給与情報!$D:$D)),0,AVERAGEIF(従業員の給与情報!$B:$B,$A385,従業員の給与情報!$D:$D)))))</f>
        <v/>
      </c>
      <c r="V385" s="102" t="str">
        <f>IF(OR(入力シート!$C$5&lt;&gt;入力リスト!$C$3,COUNTIF(入力シート!$J$16:$S$23,入力リスト!$H$9)=0),"",IF(A385="","",IF(ISERROR(AVERAGEIF(従業員の給与情報!$B:$B,$A385,従業員の給与情報!$E:$E)),0,IF(ISERROR(AVERAGEIF(従業員の給与情報!$B:$B,$A385,従業員の給与情報!$E:$E)),0,AVERAGEIF(従業員の給与情報!$B:$B,$A385,従業員の給与情報!$E:$E)))))</f>
        <v/>
      </c>
      <c r="W385" s="103" t="str">
        <f>IF(OR(入力シート!$C$5&lt;&gt;入力リスト!$C$3,COUNTIF(入力シート!$J$16:$S$23,入力リスト!$H$9)=0),"",IF(A385="","",IF(ISERROR(AVERAGEIF(従業員の給与情報!$B:$B,$A385,従業員の給与情報!$F:$F)),0,IF(ISERROR(AVERAGEIF(従業員の給与情報!$B:$B,$A385,従業員の給与情報!$F:$F)),0,AVERAGEIF(従業員の給与情報!$B:$B,$A385,従業員の給与情報!$F:$F)))))</f>
        <v/>
      </c>
    </row>
    <row r="386" spans="1:23" s="10" customFormat="1">
      <c r="A386" s="253"/>
      <c r="B386" s="246"/>
      <c r="C386" s="247"/>
      <c r="D386" s="246"/>
      <c r="E386" s="246"/>
      <c r="F386" s="257" t="str">
        <f>IF($G$1,"",IF(COUNTIF(A386:E386,"")=5,"",IF(G386,入力リスト!$K$28,IF(OR(A386="",B386="",IF(COUNTIF($C$3,"*不要*"),"",C386=""),D386=""),IF(A386="","従業員番号","")&amp;IF(B386="","「雇用形態」","")&amp;IF(OR(入力シート!$J$18=入力リスト!$H$9,入力シート!$J$22=入力リスト!$H$9),IF(C386="","「入社年月日」",""),"")&amp;IF(D386="","「性別」","")&amp;IF(IF(A386="","従業員番号","")&amp;IF(B386="","「雇用形態」","")&amp;IF(OR(入力シート!$J$18=入力リスト!$H$9,入力シート!$J$22=入力リスト!$H$9),IF(C386="","「入社年月日」",""),"")&amp;IF(D386="","「性別」","")="","",入力リスト!$K$29),IF(J386,入力リスト!$K$30,"")&amp;IF(I386,入力リスト!$K$31,"")&amp;IF(H386,"「雇用形態」","")&amp;IF(K386,"「性別」","")&amp;IF(L386,"「役職」","")&amp;IF(OR(H386,K386,L386),入力リスト!$K$32,"")))))</f>
        <v/>
      </c>
      <c r="G386" s="209" t="b">
        <f>COUNTIF($A$4:A385,$A386)&gt;0</f>
        <v>0</v>
      </c>
      <c r="H386" s="210" t="b">
        <f>IF($H$1,FALSE,COUNTIF(入力シート!$S$37:$V$62,B386)=0)</f>
        <v>0</v>
      </c>
      <c r="I386" s="210" t="b">
        <f t="shared" si="12"/>
        <v>0</v>
      </c>
      <c r="J386" s="210" t="b">
        <f>IF($J$1,FALSE,IF(I386=TRUE,FALSE,IF(I386,FALSE,C386&gt;入力シート!$J$24)))</f>
        <v>0</v>
      </c>
      <c r="K386" s="210" t="b">
        <f>IF($K$1,FALSE,COUNTIF(入力シート!$AW$37:$BB$38,D386)=0)</f>
        <v>0</v>
      </c>
      <c r="L386" s="210" t="b">
        <f>IF($L$1,FALSE,IF($L$3,FALSE,IF(E386="",FALSE,COUNTIF(入力シート!$AH$37:$AK$62,E386)=0)))</f>
        <v>0</v>
      </c>
      <c r="M386" s="211" t="str">
        <f t="shared" si="11"/>
        <v/>
      </c>
      <c r="N386" s="211"/>
      <c r="O386" s="209" t="str">
        <f>IF(B386="","",VLOOKUP('従業員情報(給与以外)'!$B386,入力シート!$S$37:$Z$62,5,0))</f>
        <v/>
      </c>
      <c r="P386" s="156" t="str">
        <f>IF(ISNUMBER(C386)=FALSE,"",IF(C386&gt;入力シート!$J$24,"",_xlfn.DAYS(入力シート!$J$24,'従業員情報(給与以外)'!$C386)/365))</f>
        <v/>
      </c>
      <c r="Q386" s="210" t="str">
        <f>IF(P386="","",VLOOKUP(_xlfn.DAYS(入力シート!$J$24,'従業員情報(給与以外)'!$C386)/365,入力リスト!$K$18:$L$26,2,2))</f>
        <v/>
      </c>
      <c r="R386" s="209" t="str">
        <f>IF(D386="","",VLOOKUP('従業員情報(給与以外)'!$D386,入力シート!$AW$37:$BB$38,4,0))</f>
        <v/>
      </c>
      <c r="S386" s="209" t="str">
        <f>IF(A386="","",IF(E386="","非役職",VLOOKUP('従業員情報(給与以外)'!$E386,入力シート!$AH$37:$AO$62,5,0)))</f>
        <v/>
      </c>
      <c r="T386" s="102" t="str">
        <f>IF(OR(入力シート!$C$5&lt;&gt;入力リスト!$C$3,COUNTIF(入力シート!$J$16:$S$23,入力リスト!$H$9)=0),"",IF($A386="","",IF(ISERROR(AVERAGEIF(従業員の給与情報!$B:$B,$A386,従業員の給与情報!$C:$C)),0,IF(ISERROR(AVERAGEIF(従業員の給与情報!$B:$B,$A386,従業員の給与情報!$C:$C)),0,AVERAGEIF(従業員の給与情報!$B:$B,$A386,従業員の給与情報!$C:$C)))))</f>
        <v/>
      </c>
      <c r="U386" s="102" t="str">
        <f>IF(OR(入力シート!$C$5&lt;&gt;入力リスト!$C$3,COUNTIF(入力シート!$J$16:$S$23,入力リスト!$H$9)=0),"",IF(A386="","",IF(ISERROR(AVERAGEIF(従業員の給与情報!$B:$B,$A386,従業員の給与情報!$D:$D)),0,IF(ISERROR(AVERAGEIF(従業員の給与情報!$B:$B,$A386,従業員の給与情報!$D:$D)),0,AVERAGEIF(従業員の給与情報!$B:$B,$A386,従業員の給与情報!$D:$D)))))</f>
        <v/>
      </c>
      <c r="V386" s="102" t="str">
        <f>IF(OR(入力シート!$C$5&lt;&gt;入力リスト!$C$3,COUNTIF(入力シート!$J$16:$S$23,入力リスト!$H$9)=0),"",IF(A386="","",IF(ISERROR(AVERAGEIF(従業員の給与情報!$B:$B,$A386,従業員の給与情報!$E:$E)),0,IF(ISERROR(AVERAGEIF(従業員の給与情報!$B:$B,$A386,従業員の給与情報!$E:$E)),0,AVERAGEIF(従業員の給与情報!$B:$B,$A386,従業員の給与情報!$E:$E)))))</f>
        <v/>
      </c>
      <c r="W386" s="103" t="str">
        <f>IF(OR(入力シート!$C$5&lt;&gt;入力リスト!$C$3,COUNTIF(入力シート!$J$16:$S$23,入力リスト!$H$9)=0),"",IF(A386="","",IF(ISERROR(AVERAGEIF(従業員の給与情報!$B:$B,$A386,従業員の給与情報!$F:$F)),0,IF(ISERROR(AVERAGEIF(従業員の給与情報!$B:$B,$A386,従業員の給与情報!$F:$F)),0,AVERAGEIF(従業員の給与情報!$B:$B,$A386,従業員の給与情報!$F:$F)))))</f>
        <v/>
      </c>
    </row>
    <row r="387" spans="1:23" s="10" customFormat="1">
      <c r="A387" s="253"/>
      <c r="B387" s="246"/>
      <c r="C387" s="247"/>
      <c r="D387" s="246"/>
      <c r="E387" s="246"/>
      <c r="F387" s="257" t="str">
        <f>IF($G$1,"",IF(COUNTIF(A387:E387,"")=5,"",IF(G387,入力リスト!$K$28,IF(OR(A387="",B387="",IF(COUNTIF($C$3,"*不要*"),"",C387=""),D387=""),IF(A387="","従業員番号","")&amp;IF(B387="","「雇用形態」","")&amp;IF(OR(入力シート!$J$18=入力リスト!$H$9,入力シート!$J$22=入力リスト!$H$9),IF(C387="","「入社年月日」",""),"")&amp;IF(D387="","「性別」","")&amp;IF(IF(A387="","従業員番号","")&amp;IF(B387="","「雇用形態」","")&amp;IF(OR(入力シート!$J$18=入力リスト!$H$9,入力シート!$J$22=入力リスト!$H$9),IF(C387="","「入社年月日」",""),"")&amp;IF(D387="","「性別」","")="","",入力リスト!$K$29),IF(J387,入力リスト!$K$30,"")&amp;IF(I387,入力リスト!$K$31,"")&amp;IF(H387,"「雇用形態」","")&amp;IF(K387,"「性別」","")&amp;IF(L387,"「役職」","")&amp;IF(OR(H387,K387,L387),入力リスト!$K$32,"")))))</f>
        <v/>
      </c>
      <c r="G387" s="209" t="b">
        <f>COUNTIF($A$4:A386,$A387)&gt;0</f>
        <v>0</v>
      </c>
      <c r="H387" s="210" t="b">
        <f>IF($H$1,FALSE,COUNTIF(入力シート!$S$37:$V$62,B387)=0)</f>
        <v>0</v>
      </c>
      <c r="I387" s="210" t="b">
        <f t="shared" si="12"/>
        <v>0</v>
      </c>
      <c r="J387" s="210" t="b">
        <f>IF($J$1,FALSE,IF(I387=TRUE,FALSE,IF(I387,FALSE,C387&gt;入力シート!$J$24)))</f>
        <v>0</v>
      </c>
      <c r="K387" s="210" t="b">
        <f>IF($K$1,FALSE,COUNTIF(入力シート!$AW$37:$BB$38,D387)=0)</f>
        <v>0</v>
      </c>
      <c r="L387" s="210" t="b">
        <f>IF($L$1,FALSE,IF($L$3,FALSE,IF(E387="",FALSE,COUNTIF(入力シート!$AH$37:$AK$62,E387)=0)))</f>
        <v>0</v>
      </c>
      <c r="M387" s="211" t="str">
        <f t="shared" si="11"/>
        <v/>
      </c>
      <c r="N387" s="211"/>
      <c r="O387" s="209" t="str">
        <f>IF(B387="","",VLOOKUP('従業員情報(給与以外)'!$B387,入力シート!$S$37:$Z$62,5,0))</f>
        <v/>
      </c>
      <c r="P387" s="156" t="str">
        <f>IF(ISNUMBER(C387)=FALSE,"",IF(C387&gt;入力シート!$J$24,"",_xlfn.DAYS(入力シート!$J$24,'従業員情報(給与以外)'!$C387)/365))</f>
        <v/>
      </c>
      <c r="Q387" s="210" t="str">
        <f>IF(P387="","",VLOOKUP(_xlfn.DAYS(入力シート!$J$24,'従業員情報(給与以外)'!$C387)/365,入力リスト!$K$18:$L$26,2,2))</f>
        <v/>
      </c>
      <c r="R387" s="209" t="str">
        <f>IF(D387="","",VLOOKUP('従業員情報(給与以外)'!$D387,入力シート!$AW$37:$BB$38,4,0))</f>
        <v/>
      </c>
      <c r="S387" s="209" t="str">
        <f>IF(A387="","",IF(E387="","非役職",VLOOKUP('従業員情報(給与以外)'!$E387,入力シート!$AH$37:$AO$62,5,0)))</f>
        <v/>
      </c>
      <c r="T387" s="102" t="str">
        <f>IF(OR(入力シート!$C$5&lt;&gt;入力リスト!$C$3,COUNTIF(入力シート!$J$16:$S$23,入力リスト!$H$9)=0),"",IF($A387="","",IF(ISERROR(AVERAGEIF(従業員の給与情報!$B:$B,$A387,従業員の給与情報!$C:$C)),0,IF(ISERROR(AVERAGEIF(従業員の給与情報!$B:$B,$A387,従業員の給与情報!$C:$C)),0,AVERAGEIF(従業員の給与情報!$B:$B,$A387,従業員の給与情報!$C:$C)))))</f>
        <v/>
      </c>
      <c r="U387" s="102" t="str">
        <f>IF(OR(入力シート!$C$5&lt;&gt;入力リスト!$C$3,COUNTIF(入力シート!$J$16:$S$23,入力リスト!$H$9)=0),"",IF(A387="","",IF(ISERROR(AVERAGEIF(従業員の給与情報!$B:$B,$A387,従業員の給与情報!$D:$D)),0,IF(ISERROR(AVERAGEIF(従業員の給与情報!$B:$B,$A387,従業員の給与情報!$D:$D)),0,AVERAGEIF(従業員の給与情報!$B:$B,$A387,従業員の給与情報!$D:$D)))))</f>
        <v/>
      </c>
      <c r="V387" s="102" t="str">
        <f>IF(OR(入力シート!$C$5&lt;&gt;入力リスト!$C$3,COUNTIF(入力シート!$J$16:$S$23,入力リスト!$H$9)=0),"",IF(A387="","",IF(ISERROR(AVERAGEIF(従業員の給与情報!$B:$B,$A387,従業員の給与情報!$E:$E)),0,IF(ISERROR(AVERAGEIF(従業員の給与情報!$B:$B,$A387,従業員の給与情報!$E:$E)),0,AVERAGEIF(従業員の給与情報!$B:$B,$A387,従業員の給与情報!$E:$E)))))</f>
        <v/>
      </c>
      <c r="W387" s="103" t="str">
        <f>IF(OR(入力シート!$C$5&lt;&gt;入力リスト!$C$3,COUNTIF(入力シート!$J$16:$S$23,入力リスト!$H$9)=0),"",IF(A387="","",IF(ISERROR(AVERAGEIF(従業員の給与情報!$B:$B,$A387,従業員の給与情報!$F:$F)),0,IF(ISERROR(AVERAGEIF(従業員の給与情報!$B:$B,$A387,従業員の給与情報!$F:$F)),0,AVERAGEIF(従業員の給与情報!$B:$B,$A387,従業員の給与情報!$F:$F)))))</f>
        <v/>
      </c>
    </row>
    <row r="388" spans="1:23" s="10" customFormat="1">
      <c r="A388" s="253"/>
      <c r="B388" s="246"/>
      <c r="C388" s="247"/>
      <c r="D388" s="246"/>
      <c r="E388" s="246"/>
      <c r="F388" s="257" t="str">
        <f>IF($G$1,"",IF(COUNTIF(A388:E388,"")=5,"",IF(G388,入力リスト!$K$28,IF(OR(A388="",B388="",IF(COUNTIF($C$3,"*不要*"),"",C388=""),D388=""),IF(A388="","従業員番号","")&amp;IF(B388="","「雇用形態」","")&amp;IF(OR(入力シート!$J$18=入力リスト!$H$9,入力シート!$J$22=入力リスト!$H$9),IF(C388="","「入社年月日」",""),"")&amp;IF(D388="","「性別」","")&amp;IF(IF(A388="","従業員番号","")&amp;IF(B388="","「雇用形態」","")&amp;IF(OR(入力シート!$J$18=入力リスト!$H$9,入力シート!$J$22=入力リスト!$H$9),IF(C388="","「入社年月日」",""),"")&amp;IF(D388="","「性別」","")="","",入力リスト!$K$29),IF(J388,入力リスト!$K$30,"")&amp;IF(I388,入力リスト!$K$31,"")&amp;IF(H388,"「雇用形態」","")&amp;IF(K388,"「性別」","")&amp;IF(L388,"「役職」","")&amp;IF(OR(H388,K388,L388),入力リスト!$K$32,"")))))</f>
        <v/>
      </c>
      <c r="G388" s="209" t="b">
        <f>COUNTIF($A$4:A387,$A388)&gt;0</f>
        <v>0</v>
      </c>
      <c r="H388" s="210" t="b">
        <f>IF($H$1,FALSE,COUNTIF(入力シート!$S$37:$V$62,B388)=0)</f>
        <v>0</v>
      </c>
      <c r="I388" s="210" t="b">
        <f t="shared" si="12"/>
        <v>0</v>
      </c>
      <c r="J388" s="210" t="b">
        <f>IF($J$1,FALSE,IF(I388=TRUE,FALSE,IF(I388,FALSE,C388&gt;入力シート!$J$24)))</f>
        <v>0</v>
      </c>
      <c r="K388" s="210" t="b">
        <f>IF($K$1,FALSE,COUNTIF(入力シート!$AW$37:$BB$38,D388)=0)</f>
        <v>0</v>
      </c>
      <c r="L388" s="210" t="b">
        <f>IF($L$1,FALSE,IF($L$3,FALSE,IF(E388="",FALSE,COUNTIF(入力シート!$AH$37:$AK$62,E388)=0)))</f>
        <v>0</v>
      </c>
      <c r="M388" s="211" t="str">
        <f t="shared" ref="M388:M451" si="13">IF(COUNTIF(F388,"*入社年月日に数値以外*"),"※1900/0/0以前は数値として認識されません。","")</f>
        <v/>
      </c>
      <c r="N388" s="211"/>
      <c r="O388" s="209" t="str">
        <f>IF(B388="","",VLOOKUP('従業員情報(給与以外)'!$B388,入力シート!$S$37:$Z$62,5,0))</f>
        <v/>
      </c>
      <c r="P388" s="156" t="str">
        <f>IF(ISNUMBER(C388)=FALSE,"",IF(C388&gt;入力シート!$J$24,"",_xlfn.DAYS(入力シート!$J$24,'従業員情報(給与以外)'!$C388)/365))</f>
        <v/>
      </c>
      <c r="Q388" s="210" t="str">
        <f>IF(P388="","",VLOOKUP(_xlfn.DAYS(入力シート!$J$24,'従業員情報(給与以外)'!$C388)/365,入力リスト!$K$18:$L$26,2,2))</f>
        <v/>
      </c>
      <c r="R388" s="209" t="str">
        <f>IF(D388="","",VLOOKUP('従業員情報(給与以外)'!$D388,入力シート!$AW$37:$BB$38,4,0))</f>
        <v/>
      </c>
      <c r="S388" s="209" t="str">
        <f>IF(A388="","",IF(E388="","非役職",VLOOKUP('従業員情報(給与以外)'!$E388,入力シート!$AH$37:$AO$62,5,0)))</f>
        <v/>
      </c>
      <c r="T388" s="102" t="str">
        <f>IF(OR(入力シート!$C$5&lt;&gt;入力リスト!$C$3,COUNTIF(入力シート!$J$16:$S$23,入力リスト!$H$9)=0),"",IF($A388="","",IF(ISERROR(AVERAGEIF(従業員の給与情報!$B:$B,$A388,従業員の給与情報!$C:$C)),0,IF(ISERROR(AVERAGEIF(従業員の給与情報!$B:$B,$A388,従業員の給与情報!$C:$C)),0,AVERAGEIF(従業員の給与情報!$B:$B,$A388,従業員の給与情報!$C:$C)))))</f>
        <v/>
      </c>
      <c r="U388" s="102" t="str">
        <f>IF(OR(入力シート!$C$5&lt;&gt;入力リスト!$C$3,COUNTIF(入力シート!$J$16:$S$23,入力リスト!$H$9)=0),"",IF(A388="","",IF(ISERROR(AVERAGEIF(従業員の給与情報!$B:$B,$A388,従業員の給与情報!$D:$D)),0,IF(ISERROR(AVERAGEIF(従業員の給与情報!$B:$B,$A388,従業員の給与情報!$D:$D)),0,AVERAGEIF(従業員の給与情報!$B:$B,$A388,従業員の給与情報!$D:$D)))))</f>
        <v/>
      </c>
      <c r="V388" s="102" t="str">
        <f>IF(OR(入力シート!$C$5&lt;&gt;入力リスト!$C$3,COUNTIF(入力シート!$J$16:$S$23,入力リスト!$H$9)=0),"",IF(A388="","",IF(ISERROR(AVERAGEIF(従業員の給与情報!$B:$B,$A388,従業員の給与情報!$E:$E)),0,IF(ISERROR(AVERAGEIF(従業員の給与情報!$B:$B,$A388,従業員の給与情報!$E:$E)),0,AVERAGEIF(従業員の給与情報!$B:$B,$A388,従業員の給与情報!$E:$E)))))</f>
        <v/>
      </c>
      <c r="W388" s="103" t="str">
        <f>IF(OR(入力シート!$C$5&lt;&gt;入力リスト!$C$3,COUNTIF(入力シート!$J$16:$S$23,入力リスト!$H$9)=0),"",IF(A388="","",IF(ISERROR(AVERAGEIF(従業員の給与情報!$B:$B,$A388,従業員の給与情報!$F:$F)),0,IF(ISERROR(AVERAGEIF(従業員の給与情報!$B:$B,$A388,従業員の給与情報!$F:$F)),0,AVERAGEIF(従業員の給与情報!$B:$B,$A388,従業員の給与情報!$F:$F)))))</f>
        <v/>
      </c>
    </row>
    <row r="389" spans="1:23" s="10" customFormat="1">
      <c r="A389" s="253"/>
      <c r="B389" s="246"/>
      <c r="C389" s="247"/>
      <c r="D389" s="246"/>
      <c r="E389" s="246"/>
      <c r="F389" s="257" t="str">
        <f>IF($G$1,"",IF(COUNTIF(A389:E389,"")=5,"",IF(G389,入力リスト!$K$28,IF(OR(A389="",B389="",IF(COUNTIF($C$3,"*不要*"),"",C389=""),D389=""),IF(A389="","従業員番号","")&amp;IF(B389="","「雇用形態」","")&amp;IF(OR(入力シート!$J$18=入力リスト!$H$9,入力シート!$J$22=入力リスト!$H$9),IF(C389="","「入社年月日」",""),"")&amp;IF(D389="","「性別」","")&amp;IF(IF(A389="","従業員番号","")&amp;IF(B389="","「雇用形態」","")&amp;IF(OR(入力シート!$J$18=入力リスト!$H$9,入力シート!$J$22=入力リスト!$H$9),IF(C389="","「入社年月日」",""),"")&amp;IF(D389="","「性別」","")="","",入力リスト!$K$29),IF(J389,入力リスト!$K$30,"")&amp;IF(I389,入力リスト!$K$31,"")&amp;IF(H389,"「雇用形態」","")&amp;IF(K389,"「性別」","")&amp;IF(L389,"「役職」","")&amp;IF(OR(H389,K389,L389),入力リスト!$K$32,"")))))</f>
        <v/>
      </c>
      <c r="G389" s="209" t="b">
        <f>COUNTIF($A$4:A388,$A389)&gt;0</f>
        <v>0</v>
      </c>
      <c r="H389" s="210" t="b">
        <f>IF($H$1,FALSE,COUNTIF(入力シート!$S$37:$V$62,B389)=0)</f>
        <v>0</v>
      </c>
      <c r="I389" s="210" t="b">
        <f t="shared" si="12"/>
        <v>0</v>
      </c>
      <c r="J389" s="210" t="b">
        <f>IF($J$1,FALSE,IF(I389=TRUE,FALSE,IF(I389,FALSE,C389&gt;入力シート!$J$24)))</f>
        <v>0</v>
      </c>
      <c r="K389" s="210" t="b">
        <f>IF($K$1,FALSE,COUNTIF(入力シート!$AW$37:$BB$38,D389)=0)</f>
        <v>0</v>
      </c>
      <c r="L389" s="210" t="b">
        <f>IF($L$1,FALSE,IF($L$3,FALSE,IF(E389="",FALSE,COUNTIF(入力シート!$AH$37:$AK$62,E389)=0)))</f>
        <v>0</v>
      </c>
      <c r="M389" s="211" t="str">
        <f t="shared" si="13"/>
        <v/>
      </c>
      <c r="N389" s="211"/>
      <c r="O389" s="209" t="str">
        <f>IF(B389="","",VLOOKUP('従業員情報(給与以外)'!$B389,入力シート!$S$37:$Z$62,5,0))</f>
        <v/>
      </c>
      <c r="P389" s="156" t="str">
        <f>IF(ISNUMBER(C389)=FALSE,"",IF(C389&gt;入力シート!$J$24,"",_xlfn.DAYS(入力シート!$J$24,'従業員情報(給与以外)'!$C389)/365))</f>
        <v/>
      </c>
      <c r="Q389" s="210" t="str">
        <f>IF(P389="","",VLOOKUP(_xlfn.DAYS(入力シート!$J$24,'従業員情報(給与以外)'!$C389)/365,入力リスト!$K$18:$L$26,2,2))</f>
        <v/>
      </c>
      <c r="R389" s="209" t="str">
        <f>IF(D389="","",VLOOKUP('従業員情報(給与以外)'!$D389,入力シート!$AW$37:$BB$38,4,0))</f>
        <v/>
      </c>
      <c r="S389" s="209" t="str">
        <f>IF(A389="","",IF(E389="","非役職",VLOOKUP('従業員情報(給与以外)'!$E389,入力シート!$AH$37:$AO$62,5,0)))</f>
        <v/>
      </c>
      <c r="T389" s="102" t="str">
        <f>IF(OR(入力シート!$C$5&lt;&gt;入力リスト!$C$3,COUNTIF(入力シート!$J$16:$S$23,入力リスト!$H$9)=0),"",IF($A389="","",IF(ISERROR(AVERAGEIF(従業員の給与情報!$B:$B,$A389,従業員の給与情報!$C:$C)),0,IF(ISERROR(AVERAGEIF(従業員の給与情報!$B:$B,$A389,従業員の給与情報!$C:$C)),0,AVERAGEIF(従業員の給与情報!$B:$B,$A389,従業員の給与情報!$C:$C)))))</f>
        <v/>
      </c>
      <c r="U389" s="102" t="str">
        <f>IF(OR(入力シート!$C$5&lt;&gt;入力リスト!$C$3,COUNTIF(入力シート!$J$16:$S$23,入力リスト!$H$9)=0),"",IF(A389="","",IF(ISERROR(AVERAGEIF(従業員の給与情報!$B:$B,$A389,従業員の給与情報!$D:$D)),0,IF(ISERROR(AVERAGEIF(従業員の給与情報!$B:$B,$A389,従業員の給与情報!$D:$D)),0,AVERAGEIF(従業員の給与情報!$B:$B,$A389,従業員の給与情報!$D:$D)))))</f>
        <v/>
      </c>
      <c r="V389" s="102" t="str">
        <f>IF(OR(入力シート!$C$5&lt;&gt;入力リスト!$C$3,COUNTIF(入力シート!$J$16:$S$23,入力リスト!$H$9)=0),"",IF(A389="","",IF(ISERROR(AVERAGEIF(従業員の給与情報!$B:$B,$A389,従業員の給与情報!$E:$E)),0,IF(ISERROR(AVERAGEIF(従業員の給与情報!$B:$B,$A389,従業員の給与情報!$E:$E)),0,AVERAGEIF(従業員の給与情報!$B:$B,$A389,従業員の給与情報!$E:$E)))))</f>
        <v/>
      </c>
      <c r="W389" s="103" t="str">
        <f>IF(OR(入力シート!$C$5&lt;&gt;入力リスト!$C$3,COUNTIF(入力シート!$J$16:$S$23,入力リスト!$H$9)=0),"",IF(A389="","",IF(ISERROR(AVERAGEIF(従業員の給与情報!$B:$B,$A389,従業員の給与情報!$F:$F)),0,IF(ISERROR(AVERAGEIF(従業員の給与情報!$B:$B,$A389,従業員の給与情報!$F:$F)),0,AVERAGEIF(従業員の給与情報!$B:$B,$A389,従業員の給与情報!$F:$F)))))</f>
        <v/>
      </c>
    </row>
    <row r="390" spans="1:23" s="10" customFormat="1">
      <c r="A390" s="253"/>
      <c r="B390" s="246"/>
      <c r="C390" s="247"/>
      <c r="D390" s="246"/>
      <c r="E390" s="246"/>
      <c r="F390" s="257" t="str">
        <f>IF($G$1,"",IF(COUNTIF(A390:E390,"")=5,"",IF(G390,入力リスト!$K$28,IF(OR(A390="",B390="",IF(COUNTIF($C$3,"*不要*"),"",C390=""),D390=""),IF(A390="","従業員番号","")&amp;IF(B390="","「雇用形態」","")&amp;IF(OR(入力シート!$J$18=入力リスト!$H$9,入力シート!$J$22=入力リスト!$H$9),IF(C390="","「入社年月日」",""),"")&amp;IF(D390="","「性別」","")&amp;IF(IF(A390="","従業員番号","")&amp;IF(B390="","「雇用形態」","")&amp;IF(OR(入力シート!$J$18=入力リスト!$H$9,入力シート!$J$22=入力リスト!$H$9),IF(C390="","「入社年月日」",""),"")&amp;IF(D390="","「性別」","")="","",入力リスト!$K$29),IF(J390,入力リスト!$K$30,"")&amp;IF(I390,入力リスト!$K$31,"")&amp;IF(H390,"「雇用形態」","")&amp;IF(K390,"「性別」","")&amp;IF(L390,"「役職」","")&amp;IF(OR(H390,K390,L390),入力リスト!$K$32,"")))))</f>
        <v/>
      </c>
      <c r="G390" s="209" t="b">
        <f>COUNTIF($A$4:A389,$A390)&gt;0</f>
        <v>0</v>
      </c>
      <c r="H390" s="210" t="b">
        <f>IF($H$1,FALSE,COUNTIF(入力シート!$S$37:$V$62,B390)=0)</f>
        <v>0</v>
      </c>
      <c r="I390" s="210" t="b">
        <f t="shared" ref="I390:I453" si="14">IF($I$1,IF(ISNUMBER(C390),FALSE,TRUE),FALSE)</f>
        <v>0</v>
      </c>
      <c r="J390" s="210" t="b">
        <f>IF($J$1,FALSE,IF(I390=TRUE,FALSE,IF(I390,FALSE,C390&gt;入力シート!$J$24)))</f>
        <v>0</v>
      </c>
      <c r="K390" s="210" t="b">
        <f>IF($K$1,FALSE,COUNTIF(入力シート!$AW$37:$BB$38,D390)=0)</f>
        <v>0</v>
      </c>
      <c r="L390" s="210" t="b">
        <f>IF($L$1,FALSE,IF($L$3,FALSE,IF(E390="",FALSE,COUNTIF(入力シート!$AH$37:$AK$62,E390)=0)))</f>
        <v>0</v>
      </c>
      <c r="M390" s="211" t="str">
        <f t="shared" si="13"/>
        <v/>
      </c>
      <c r="N390" s="211"/>
      <c r="O390" s="209" t="str">
        <f>IF(B390="","",VLOOKUP('従業員情報(給与以外)'!$B390,入力シート!$S$37:$Z$62,5,0))</f>
        <v/>
      </c>
      <c r="P390" s="156" t="str">
        <f>IF(ISNUMBER(C390)=FALSE,"",IF(C390&gt;入力シート!$J$24,"",_xlfn.DAYS(入力シート!$J$24,'従業員情報(給与以外)'!$C390)/365))</f>
        <v/>
      </c>
      <c r="Q390" s="210" t="str">
        <f>IF(P390="","",VLOOKUP(_xlfn.DAYS(入力シート!$J$24,'従業員情報(給与以外)'!$C390)/365,入力リスト!$K$18:$L$26,2,2))</f>
        <v/>
      </c>
      <c r="R390" s="209" t="str">
        <f>IF(D390="","",VLOOKUP('従業員情報(給与以外)'!$D390,入力シート!$AW$37:$BB$38,4,0))</f>
        <v/>
      </c>
      <c r="S390" s="209" t="str">
        <f>IF(A390="","",IF(E390="","非役職",VLOOKUP('従業員情報(給与以外)'!$E390,入力シート!$AH$37:$AO$62,5,0)))</f>
        <v/>
      </c>
      <c r="T390" s="102" t="str">
        <f>IF(OR(入力シート!$C$5&lt;&gt;入力リスト!$C$3,COUNTIF(入力シート!$J$16:$S$23,入力リスト!$H$9)=0),"",IF($A390="","",IF(ISERROR(AVERAGEIF(従業員の給与情報!$B:$B,$A390,従業員の給与情報!$C:$C)),0,IF(ISERROR(AVERAGEIF(従業員の給与情報!$B:$B,$A390,従業員の給与情報!$C:$C)),0,AVERAGEIF(従業員の給与情報!$B:$B,$A390,従業員の給与情報!$C:$C)))))</f>
        <v/>
      </c>
      <c r="U390" s="102" t="str">
        <f>IF(OR(入力シート!$C$5&lt;&gt;入力リスト!$C$3,COUNTIF(入力シート!$J$16:$S$23,入力リスト!$H$9)=0),"",IF(A390="","",IF(ISERROR(AVERAGEIF(従業員の給与情報!$B:$B,$A390,従業員の給与情報!$D:$D)),0,IF(ISERROR(AVERAGEIF(従業員の給与情報!$B:$B,$A390,従業員の給与情報!$D:$D)),0,AVERAGEIF(従業員の給与情報!$B:$B,$A390,従業員の給与情報!$D:$D)))))</f>
        <v/>
      </c>
      <c r="V390" s="102" t="str">
        <f>IF(OR(入力シート!$C$5&lt;&gt;入力リスト!$C$3,COUNTIF(入力シート!$J$16:$S$23,入力リスト!$H$9)=0),"",IF(A390="","",IF(ISERROR(AVERAGEIF(従業員の給与情報!$B:$B,$A390,従業員の給与情報!$E:$E)),0,IF(ISERROR(AVERAGEIF(従業員の給与情報!$B:$B,$A390,従業員の給与情報!$E:$E)),0,AVERAGEIF(従業員の給与情報!$B:$B,$A390,従業員の給与情報!$E:$E)))))</f>
        <v/>
      </c>
      <c r="W390" s="103" t="str">
        <f>IF(OR(入力シート!$C$5&lt;&gt;入力リスト!$C$3,COUNTIF(入力シート!$J$16:$S$23,入力リスト!$H$9)=0),"",IF(A390="","",IF(ISERROR(AVERAGEIF(従業員の給与情報!$B:$B,$A390,従業員の給与情報!$F:$F)),0,IF(ISERROR(AVERAGEIF(従業員の給与情報!$B:$B,$A390,従業員の給与情報!$F:$F)),0,AVERAGEIF(従業員の給与情報!$B:$B,$A390,従業員の給与情報!$F:$F)))))</f>
        <v/>
      </c>
    </row>
    <row r="391" spans="1:23" s="10" customFormat="1">
      <c r="A391" s="253"/>
      <c r="B391" s="246"/>
      <c r="C391" s="247"/>
      <c r="D391" s="246"/>
      <c r="E391" s="246"/>
      <c r="F391" s="257" t="str">
        <f>IF($G$1,"",IF(COUNTIF(A391:E391,"")=5,"",IF(G391,入力リスト!$K$28,IF(OR(A391="",B391="",IF(COUNTIF($C$3,"*不要*"),"",C391=""),D391=""),IF(A391="","従業員番号","")&amp;IF(B391="","「雇用形態」","")&amp;IF(OR(入力シート!$J$18=入力リスト!$H$9,入力シート!$J$22=入力リスト!$H$9),IF(C391="","「入社年月日」",""),"")&amp;IF(D391="","「性別」","")&amp;IF(IF(A391="","従業員番号","")&amp;IF(B391="","「雇用形態」","")&amp;IF(OR(入力シート!$J$18=入力リスト!$H$9,入力シート!$J$22=入力リスト!$H$9),IF(C391="","「入社年月日」",""),"")&amp;IF(D391="","「性別」","")="","",入力リスト!$K$29),IF(J391,入力リスト!$K$30,"")&amp;IF(I391,入力リスト!$K$31,"")&amp;IF(H391,"「雇用形態」","")&amp;IF(K391,"「性別」","")&amp;IF(L391,"「役職」","")&amp;IF(OR(H391,K391,L391),入力リスト!$K$32,"")))))</f>
        <v/>
      </c>
      <c r="G391" s="209" t="b">
        <f>COUNTIF($A$4:A390,$A391)&gt;0</f>
        <v>0</v>
      </c>
      <c r="H391" s="210" t="b">
        <f>IF($H$1,FALSE,COUNTIF(入力シート!$S$37:$V$62,B391)=0)</f>
        <v>0</v>
      </c>
      <c r="I391" s="210" t="b">
        <f t="shared" si="14"/>
        <v>0</v>
      </c>
      <c r="J391" s="210" t="b">
        <f>IF($J$1,FALSE,IF(I391=TRUE,FALSE,IF(I391,FALSE,C391&gt;入力シート!$J$24)))</f>
        <v>0</v>
      </c>
      <c r="K391" s="210" t="b">
        <f>IF($K$1,FALSE,COUNTIF(入力シート!$AW$37:$BB$38,D391)=0)</f>
        <v>0</v>
      </c>
      <c r="L391" s="210" t="b">
        <f>IF($L$1,FALSE,IF($L$3,FALSE,IF(E391="",FALSE,COUNTIF(入力シート!$AH$37:$AK$62,E391)=0)))</f>
        <v>0</v>
      </c>
      <c r="M391" s="211" t="str">
        <f t="shared" si="13"/>
        <v/>
      </c>
      <c r="N391" s="211"/>
      <c r="O391" s="209" t="str">
        <f>IF(B391="","",VLOOKUP('従業員情報(給与以外)'!$B391,入力シート!$S$37:$Z$62,5,0))</f>
        <v/>
      </c>
      <c r="P391" s="156" t="str">
        <f>IF(ISNUMBER(C391)=FALSE,"",IF(C391&gt;入力シート!$J$24,"",_xlfn.DAYS(入力シート!$J$24,'従業員情報(給与以外)'!$C391)/365))</f>
        <v/>
      </c>
      <c r="Q391" s="210" t="str">
        <f>IF(P391="","",VLOOKUP(_xlfn.DAYS(入力シート!$J$24,'従業員情報(給与以外)'!$C391)/365,入力リスト!$K$18:$L$26,2,2))</f>
        <v/>
      </c>
      <c r="R391" s="209" t="str">
        <f>IF(D391="","",VLOOKUP('従業員情報(給与以外)'!$D391,入力シート!$AW$37:$BB$38,4,0))</f>
        <v/>
      </c>
      <c r="S391" s="209" t="str">
        <f>IF(A391="","",IF(E391="","非役職",VLOOKUP('従業員情報(給与以外)'!$E391,入力シート!$AH$37:$AO$62,5,0)))</f>
        <v/>
      </c>
      <c r="T391" s="102" t="str">
        <f>IF(OR(入力シート!$C$5&lt;&gt;入力リスト!$C$3,COUNTIF(入力シート!$J$16:$S$23,入力リスト!$H$9)=0),"",IF($A391="","",IF(ISERROR(AVERAGEIF(従業員の給与情報!$B:$B,$A391,従業員の給与情報!$C:$C)),0,IF(ISERROR(AVERAGEIF(従業員の給与情報!$B:$B,$A391,従業員の給与情報!$C:$C)),0,AVERAGEIF(従業員の給与情報!$B:$B,$A391,従業員の給与情報!$C:$C)))))</f>
        <v/>
      </c>
      <c r="U391" s="102" t="str">
        <f>IF(OR(入力シート!$C$5&lt;&gt;入力リスト!$C$3,COUNTIF(入力シート!$J$16:$S$23,入力リスト!$H$9)=0),"",IF(A391="","",IF(ISERROR(AVERAGEIF(従業員の給与情報!$B:$B,$A391,従業員の給与情報!$D:$D)),0,IF(ISERROR(AVERAGEIF(従業員の給与情報!$B:$B,$A391,従業員の給与情報!$D:$D)),0,AVERAGEIF(従業員の給与情報!$B:$B,$A391,従業員の給与情報!$D:$D)))))</f>
        <v/>
      </c>
      <c r="V391" s="102" t="str">
        <f>IF(OR(入力シート!$C$5&lt;&gt;入力リスト!$C$3,COUNTIF(入力シート!$J$16:$S$23,入力リスト!$H$9)=0),"",IF(A391="","",IF(ISERROR(AVERAGEIF(従業員の給与情報!$B:$B,$A391,従業員の給与情報!$E:$E)),0,IF(ISERROR(AVERAGEIF(従業員の給与情報!$B:$B,$A391,従業員の給与情報!$E:$E)),0,AVERAGEIF(従業員の給与情報!$B:$B,$A391,従業員の給与情報!$E:$E)))))</f>
        <v/>
      </c>
      <c r="W391" s="103" t="str">
        <f>IF(OR(入力シート!$C$5&lt;&gt;入力リスト!$C$3,COUNTIF(入力シート!$J$16:$S$23,入力リスト!$H$9)=0),"",IF(A391="","",IF(ISERROR(AVERAGEIF(従業員の給与情報!$B:$B,$A391,従業員の給与情報!$F:$F)),0,IF(ISERROR(AVERAGEIF(従業員の給与情報!$B:$B,$A391,従業員の給与情報!$F:$F)),0,AVERAGEIF(従業員の給与情報!$B:$B,$A391,従業員の給与情報!$F:$F)))))</f>
        <v/>
      </c>
    </row>
    <row r="392" spans="1:23" s="10" customFormat="1">
      <c r="A392" s="253"/>
      <c r="B392" s="246"/>
      <c r="C392" s="247"/>
      <c r="D392" s="246"/>
      <c r="E392" s="246"/>
      <c r="F392" s="257" t="str">
        <f>IF($G$1,"",IF(COUNTIF(A392:E392,"")=5,"",IF(G392,入力リスト!$K$28,IF(OR(A392="",B392="",IF(COUNTIF($C$3,"*不要*"),"",C392=""),D392=""),IF(A392="","従業員番号","")&amp;IF(B392="","「雇用形態」","")&amp;IF(OR(入力シート!$J$18=入力リスト!$H$9,入力シート!$J$22=入力リスト!$H$9),IF(C392="","「入社年月日」",""),"")&amp;IF(D392="","「性別」","")&amp;IF(IF(A392="","従業員番号","")&amp;IF(B392="","「雇用形態」","")&amp;IF(OR(入力シート!$J$18=入力リスト!$H$9,入力シート!$J$22=入力リスト!$H$9),IF(C392="","「入社年月日」",""),"")&amp;IF(D392="","「性別」","")="","",入力リスト!$K$29),IF(J392,入力リスト!$K$30,"")&amp;IF(I392,入力リスト!$K$31,"")&amp;IF(H392,"「雇用形態」","")&amp;IF(K392,"「性別」","")&amp;IF(L392,"「役職」","")&amp;IF(OR(H392,K392,L392),入力リスト!$K$32,"")))))</f>
        <v/>
      </c>
      <c r="G392" s="209" t="b">
        <f>COUNTIF($A$4:A391,$A392)&gt;0</f>
        <v>0</v>
      </c>
      <c r="H392" s="210" t="b">
        <f>IF($H$1,FALSE,COUNTIF(入力シート!$S$37:$V$62,B392)=0)</f>
        <v>0</v>
      </c>
      <c r="I392" s="210" t="b">
        <f t="shared" si="14"/>
        <v>0</v>
      </c>
      <c r="J392" s="210" t="b">
        <f>IF($J$1,FALSE,IF(I392=TRUE,FALSE,IF(I392,FALSE,C392&gt;入力シート!$J$24)))</f>
        <v>0</v>
      </c>
      <c r="K392" s="210" t="b">
        <f>IF($K$1,FALSE,COUNTIF(入力シート!$AW$37:$BB$38,D392)=0)</f>
        <v>0</v>
      </c>
      <c r="L392" s="210" t="b">
        <f>IF($L$1,FALSE,IF($L$3,FALSE,IF(E392="",FALSE,COUNTIF(入力シート!$AH$37:$AK$62,E392)=0)))</f>
        <v>0</v>
      </c>
      <c r="M392" s="211" t="str">
        <f t="shared" si="13"/>
        <v/>
      </c>
      <c r="N392" s="211"/>
      <c r="O392" s="209" t="str">
        <f>IF(B392="","",VLOOKUP('従業員情報(給与以外)'!$B392,入力シート!$S$37:$Z$62,5,0))</f>
        <v/>
      </c>
      <c r="P392" s="156" t="str">
        <f>IF(ISNUMBER(C392)=FALSE,"",IF(C392&gt;入力シート!$J$24,"",_xlfn.DAYS(入力シート!$J$24,'従業員情報(給与以外)'!$C392)/365))</f>
        <v/>
      </c>
      <c r="Q392" s="210" t="str">
        <f>IF(P392="","",VLOOKUP(_xlfn.DAYS(入力シート!$J$24,'従業員情報(給与以外)'!$C392)/365,入力リスト!$K$18:$L$26,2,2))</f>
        <v/>
      </c>
      <c r="R392" s="209" t="str">
        <f>IF(D392="","",VLOOKUP('従業員情報(給与以外)'!$D392,入力シート!$AW$37:$BB$38,4,0))</f>
        <v/>
      </c>
      <c r="S392" s="209" t="str">
        <f>IF(A392="","",IF(E392="","非役職",VLOOKUP('従業員情報(給与以外)'!$E392,入力シート!$AH$37:$AO$62,5,0)))</f>
        <v/>
      </c>
      <c r="T392" s="102" t="str">
        <f>IF(OR(入力シート!$C$5&lt;&gt;入力リスト!$C$3,COUNTIF(入力シート!$J$16:$S$23,入力リスト!$H$9)=0),"",IF($A392="","",IF(ISERROR(AVERAGEIF(従業員の給与情報!$B:$B,$A392,従業員の給与情報!$C:$C)),0,IF(ISERROR(AVERAGEIF(従業員の給与情報!$B:$B,$A392,従業員の給与情報!$C:$C)),0,AVERAGEIF(従業員の給与情報!$B:$B,$A392,従業員の給与情報!$C:$C)))))</f>
        <v/>
      </c>
      <c r="U392" s="102" t="str">
        <f>IF(OR(入力シート!$C$5&lt;&gt;入力リスト!$C$3,COUNTIF(入力シート!$J$16:$S$23,入力リスト!$H$9)=0),"",IF(A392="","",IF(ISERROR(AVERAGEIF(従業員の給与情報!$B:$B,$A392,従業員の給与情報!$D:$D)),0,IF(ISERROR(AVERAGEIF(従業員の給与情報!$B:$B,$A392,従業員の給与情報!$D:$D)),0,AVERAGEIF(従業員の給与情報!$B:$B,$A392,従業員の給与情報!$D:$D)))))</f>
        <v/>
      </c>
      <c r="V392" s="102" t="str">
        <f>IF(OR(入力シート!$C$5&lt;&gt;入力リスト!$C$3,COUNTIF(入力シート!$J$16:$S$23,入力リスト!$H$9)=0),"",IF(A392="","",IF(ISERROR(AVERAGEIF(従業員の給与情報!$B:$B,$A392,従業員の給与情報!$E:$E)),0,IF(ISERROR(AVERAGEIF(従業員の給与情報!$B:$B,$A392,従業員の給与情報!$E:$E)),0,AVERAGEIF(従業員の給与情報!$B:$B,$A392,従業員の給与情報!$E:$E)))))</f>
        <v/>
      </c>
      <c r="W392" s="103" t="str">
        <f>IF(OR(入力シート!$C$5&lt;&gt;入力リスト!$C$3,COUNTIF(入力シート!$J$16:$S$23,入力リスト!$H$9)=0),"",IF(A392="","",IF(ISERROR(AVERAGEIF(従業員の給与情報!$B:$B,$A392,従業員の給与情報!$F:$F)),0,IF(ISERROR(AVERAGEIF(従業員の給与情報!$B:$B,$A392,従業員の給与情報!$F:$F)),0,AVERAGEIF(従業員の給与情報!$B:$B,$A392,従業員の給与情報!$F:$F)))))</f>
        <v/>
      </c>
    </row>
    <row r="393" spans="1:23" s="10" customFormat="1">
      <c r="A393" s="253"/>
      <c r="B393" s="246"/>
      <c r="C393" s="247"/>
      <c r="D393" s="246"/>
      <c r="E393" s="246"/>
      <c r="F393" s="257" t="str">
        <f>IF($G$1,"",IF(COUNTIF(A393:E393,"")=5,"",IF(G393,入力リスト!$K$28,IF(OR(A393="",B393="",IF(COUNTIF($C$3,"*不要*"),"",C393=""),D393=""),IF(A393="","従業員番号","")&amp;IF(B393="","「雇用形態」","")&amp;IF(OR(入力シート!$J$18=入力リスト!$H$9,入力シート!$J$22=入力リスト!$H$9),IF(C393="","「入社年月日」",""),"")&amp;IF(D393="","「性別」","")&amp;IF(IF(A393="","従業員番号","")&amp;IF(B393="","「雇用形態」","")&amp;IF(OR(入力シート!$J$18=入力リスト!$H$9,入力シート!$J$22=入力リスト!$H$9),IF(C393="","「入社年月日」",""),"")&amp;IF(D393="","「性別」","")="","",入力リスト!$K$29),IF(J393,入力リスト!$K$30,"")&amp;IF(I393,入力リスト!$K$31,"")&amp;IF(H393,"「雇用形態」","")&amp;IF(K393,"「性別」","")&amp;IF(L393,"「役職」","")&amp;IF(OR(H393,K393,L393),入力リスト!$K$32,"")))))</f>
        <v/>
      </c>
      <c r="G393" s="209" t="b">
        <f>COUNTIF($A$4:A392,$A393)&gt;0</f>
        <v>0</v>
      </c>
      <c r="H393" s="210" t="b">
        <f>IF($H$1,FALSE,COUNTIF(入力シート!$S$37:$V$62,B393)=0)</f>
        <v>0</v>
      </c>
      <c r="I393" s="210" t="b">
        <f t="shared" si="14"/>
        <v>0</v>
      </c>
      <c r="J393" s="210" t="b">
        <f>IF($J$1,FALSE,IF(I393=TRUE,FALSE,IF(I393,FALSE,C393&gt;入力シート!$J$24)))</f>
        <v>0</v>
      </c>
      <c r="K393" s="210" t="b">
        <f>IF($K$1,FALSE,COUNTIF(入力シート!$AW$37:$BB$38,D393)=0)</f>
        <v>0</v>
      </c>
      <c r="L393" s="210" t="b">
        <f>IF($L$1,FALSE,IF($L$3,FALSE,IF(E393="",FALSE,COUNTIF(入力シート!$AH$37:$AK$62,E393)=0)))</f>
        <v>0</v>
      </c>
      <c r="M393" s="211" t="str">
        <f t="shared" si="13"/>
        <v/>
      </c>
      <c r="N393" s="211"/>
      <c r="O393" s="209" t="str">
        <f>IF(B393="","",VLOOKUP('従業員情報(給与以外)'!$B393,入力シート!$S$37:$Z$62,5,0))</f>
        <v/>
      </c>
      <c r="P393" s="156" t="str">
        <f>IF(ISNUMBER(C393)=FALSE,"",IF(C393&gt;入力シート!$J$24,"",_xlfn.DAYS(入力シート!$J$24,'従業員情報(給与以外)'!$C393)/365))</f>
        <v/>
      </c>
      <c r="Q393" s="210" t="str">
        <f>IF(P393="","",VLOOKUP(_xlfn.DAYS(入力シート!$J$24,'従業員情報(給与以外)'!$C393)/365,入力リスト!$K$18:$L$26,2,2))</f>
        <v/>
      </c>
      <c r="R393" s="209" t="str">
        <f>IF(D393="","",VLOOKUP('従業員情報(給与以外)'!$D393,入力シート!$AW$37:$BB$38,4,0))</f>
        <v/>
      </c>
      <c r="S393" s="209" t="str">
        <f>IF(A393="","",IF(E393="","非役職",VLOOKUP('従業員情報(給与以外)'!$E393,入力シート!$AH$37:$AO$62,5,0)))</f>
        <v/>
      </c>
      <c r="T393" s="102" t="str">
        <f>IF(OR(入力シート!$C$5&lt;&gt;入力リスト!$C$3,COUNTIF(入力シート!$J$16:$S$23,入力リスト!$H$9)=0),"",IF($A393="","",IF(ISERROR(AVERAGEIF(従業員の給与情報!$B:$B,$A393,従業員の給与情報!$C:$C)),0,IF(ISERROR(AVERAGEIF(従業員の給与情報!$B:$B,$A393,従業員の給与情報!$C:$C)),0,AVERAGEIF(従業員の給与情報!$B:$B,$A393,従業員の給与情報!$C:$C)))))</f>
        <v/>
      </c>
      <c r="U393" s="102" t="str">
        <f>IF(OR(入力シート!$C$5&lt;&gt;入力リスト!$C$3,COUNTIF(入力シート!$J$16:$S$23,入力リスト!$H$9)=0),"",IF(A393="","",IF(ISERROR(AVERAGEIF(従業員の給与情報!$B:$B,$A393,従業員の給与情報!$D:$D)),0,IF(ISERROR(AVERAGEIF(従業員の給与情報!$B:$B,$A393,従業員の給与情報!$D:$D)),0,AVERAGEIF(従業員の給与情報!$B:$B,$A393,従業員の給与情報!$D:$D)))))</f>
        <v/>
      </c>
      <c r="V393" s="102" t="str">
        <f>IF(OR(入力シート!$C$5&lt;&gt;入力リスト!$C$3,COUNTIF(入力シート!$J$16:$S$23,入力リスト!$H$9)=0),"",IF(A393="","",IF(ISERROR(AVERAGEIF(従業員の給与情報!$B:$B,$A393,従業員の給与情報!$E:$E)),0,IF(ISERROR(AVERAGEIF(従業員の給与情報!$B:$B,$A393,従業員の給与情報!$E:$E)),0,AVERAGEIF(従業員の給与情報!$B:$B,$A393,従業員の給与情報!$E:$E)))))</f>
        <v/>
      </c>
      <c r="W393" s="103" t="str">
        <f>IF(OR(入力シート!$C$5&lt;&gt;入力リスト!$C$3,COUNTIF(入力シート!$J$16:$S$23,入力リスト!$H$9)=0),"",IF(A393="","",IF(ISERROR(AVERAGEIF(従業員の給与情報!$B:$B,$A393,従業員の給与情報!$F:$F)),0,IF(ISERROR(AVERAGEIF(従業員の給与情報!$B:$B,$A393,従業員の給与情報!$F:$F)),0,AVERAGEIF(従業員の給与情報!$B:$B,$A393,従業員の給与情報!$F:$F)))))</f>
        <v/>
      </c>
    </row>
    <row r="394" spans="1:23" s="10" customFormat="1">
      <c r="A394" s="253"/>
      <c r="B394" s="246"/>
      <c r="C394" s="247"/>
      <c r="D394" s="246"/>
      <c r="E394" s="246"/>
      <c r="F394" s="257" t="str">
        <f>IF($G$1,"",IF(COUNTIF(A394:E394,"")=5,"",IF(G394,入力リスト!$K$28,IF(OR(A394="",B394="",IF(COUNTIF($C$3,"*不要*"),"",C394=""),D394=""),IF(A394="","従業員番号","")&amp;IF(B394="","「雇用形態」","")&amp;IF(OR(入力シート!$J$18=入力リスト!$H$9,入力シート!$J$22=入力リスト!$H$9),IF(C394="","「入社年月日」",""),"")&amp;IF(D394="","「性別」","")&amp;IF(IF(A394="","従業員番号","")&amp;IF(B394="","「雇用形態」","")&amp;IF(OR(入力シート!$J$18=入力リスト!$H$9,入力シート!$J$22=入力リスト!$H$9),IF(C394="","「入社年月日」",""),"")&amp;IF(D394="","「性別」","")="","",入力リスト!$K$29),IF(J394,入力リスト!$K$30,"")&amp;IF(I394,入力リスト!$K$31,"")&amp;IF(H394,"「雇用形態」","")&amp;IF(K394,"「性別」","")&amp;IF(L394,"「役職」","")&amp;IF(OR(H394,K394,L394),入力リスト!$K$32,"")))))</f>
        <v/>
      </c>
      <c r="G394" s="209" t="b">
        <f>COUNTIF($A$4:A393,$A394)&gt;0</f>
        <v>0</v>
      </c>
      <c r="H394" s="210" t="b">
        <f>IF($H$1,FALSE,COUNTIF(入力シート!$S$37:$V$62,B394)=0)</f>
        <v>0</v>
      </c>
      <c r="I394" s="210" t="b">
        <f t="shared" si="14"/>
        <v>0</v>
      </c>
      <c r="J394" s="210" t="b">
        <f>IF($J$1,FALSE,IF(I394=TRUE,FALSE,IF(I394,FALSE,C394&gt;入力シート!$J$24)))</f>
        <v>0</v>
      </c>
      <c r="K394" s="210" t="b">
        <f>IF($K$1,FALSE,COUNTIF(入力シート!$AW$37:$BB$38,D394)=0)</f>
        <v>0</v>
      </c>
      <c r="L394" s="210" t="b">
        <f>IF($L$1,FALSE,IF($L$3,FALSE,IF(E394="",FALSE,COUNTIF(入力シート!$AH$37:$AK$62,E394)=0)))</f>
        <v>0</v>
      </c>
      <c r="M394" s="211" t="str">
        <f t="shared" si="13"/>
        <v/>
      </c>
      <c r="N394" s="211"/>
      <c r="O394" s="209" t="str">
        <f>IF(B394="","",VLOOKUP('従業員情報(給与以外)'!$B394,入力シート!$S$37:$Z$62,5,0))</f>
        <v/>
      </c>
      <c r="P394" s="156" t="str">
        <f>IF(ISNUMBER(C394)=FALSE,"",IF(C394&gt;入力シート!$J$24,"",_xlfn.DAYS(入力シート!$J$24,'従業員情報(給与以外)'!$C394)/365))</f>
        <v/>
      </c>
      <c r="Q394" s="210" t="str">
        <f>IF(P394="","",VLOOKUP(_xlfn.DAYS(入力シート!$J$24,'従業員情報(給与以外)'!$C394)/365,入力リスト!$K$18:$L$26,2,2))</f>
        <v/>
      </c>
      <c r="R394" s="209" t="str">
        <f>IF(D394="","",VLOOKUP('従業員情報(給与以外)'!$D394,入力シート!$AW$37:$BB$38,4,0))</f>
        <v/>
      </c>
      <c r="S394" s="209" t="str">
        <f>IF(A394="","",IF(E394="","非役職",VLOOKUP('従業員情報(給与以外)'!$E394,入力シート!$AH$37:$AO$62,5,0)))</f>
        <v/>
      </c>
      <c r="T394" s="102" t="str">
        <f>IF(OR(入力シート!$C$5&lt;&gt;入力リスト!$C$3,COUNTIF(入力シート!$J$16:$S$23,入力リスト!$H$9)=0),"",IF($A394="","",IF(ISERROR(AVERAGEIF(従業員の給与情報!$B:$B,$A394,従業員の給与情報!$C:$C)),0,IF(ISERROR(AVERAGEIF(従業員の給与情報!$B:$B,$A394,従業員の給与情報!$C:$C)),0,AVERAGEIF(従業員の給与情報!$B:$B,$A394,従業員の給与情報!$C:$C)))))</f>
        <v/>
      </c>
      <c r="U394" s="102" t="str">
        <f>IF(OR(入力シート!$C$5&lt;&gt;入力リスト!$C$3,COUNTIF(入力シート!$J$16:$S$23,入力リスト!$H$9)=0),"",IF(A394="","",IF(ISERROR(AVERAGEIF(従業員の給与情報!$B:$B,$A394,従業員の給与情報!$D:$D)),0,IF(ISERROR(AVERAGEIF(従業員の給与情報!$B:$B,$A394,従業員の給与情報!$D:$D)),0,AVERAGEIF(従業員の給与情報!$B:$B,$A394,従業員の給与情報!$D:$D)))))</f>
        <v/>
      </c>
      <c r="V394" s="102" t="str">
        <f>IF(OR(入力シート!$C$5&lt;&gt;入力リスト!$C$3,COUNTIF(入力シート!$J$16:$S$23,入力リスト!$H$9)=0),"",IF(A394="","",IF(ISERROR(AVERAGEIF(従業員の給与情報!$B:$B,$A394,従業員の給与情報!$E:$E)),0,IF(ISERROR(AVERAGEIF(従業員の給与情報!$B:$B,$A394,従業員の給与情報!$E:$E)),0,AVERAGEIF(従業員の給与情報!$B:$B,$A394,従業員の給与情報!$E:$E)))))</f>
        <v/>
      </c>
      <c r="W394" s="103" t="str">
        <f>IF(OR(入力シート!$C$5&lt;&gt;入力リスト!$C$3,COUNTIF(入力シート!$J$16:$S$23,入力リスト!$H$9)=0),"",IF(A394="","",IF(ISERROR(AVERAGEIF(従業員の給与情報!$B:$B,$A394,従業員の給与情報!$F:$F)),0,IF(ISERROR(AVERAGEIF(従業員の給与情報!$B:$B,$A394,従業員の給与情報!$F:$F)),0,AVERAGEIF(従業員の給与情報!$B:$B,$A394,従業員の給与情報!$F:$F)))))</f>
        <v/>
      </c>
    </row>
    <row r="395" spans="1:23" s="10" customFormat="1">
      <c r="A395" s="253"/>
      <c r="B395" s="246"/>
      <c r="C395" s="247"/>
      <c r="D395" s="246"/>
      <c r="E395" s="246"/>
      <c r="F395" s="257" t="str">
        <f>IF($G$1,"",IF(COUNTIF(A395:E395,"")=5,"",IF(G395,入力リスト!$K$28,IF(OR(A395="",B395="",IF(COUNTIF($C$3,"*不要*"),"",C395=""),D395=""),IF(A395="","従業員番号","")&amp;IF(B395="","「雇用形態」","")&amp;IF(OR(入力シート!$J$18=入力リスト!$H$9,入力シート!$J$22=入力リスト!$H$9),IF(C395="","「入社年月日」",""),"")&amp;IF(D395="","「性別」","")&amp;IF(IF(A395="","従業員番号","")&amp;IF(B395="","「雇用形態」","")&amp;IF(OR(入力シート!$J$18=入力リスト!$H$9,入力シート!$J$22=入力リスト!$H$9),IF(C395="","「入社年月日」",""),"")&amp;IF(D395="","「性別」","")="","",入力リスト!$K$29),IF(J395,入力リスト!$K$30,"")&amp;IF(I395,入力リスト!$K$31,"")&amp;IF(H395,"「雇用形態」","")&amp;IF(K395,"「性別」","")&amp;IF(L395,"「役職」","")&amp;IF(OR(H395,K395,L395),入力リスト!$K$32,"")))))</f>
        <v/>
      </c>
      <c r="G395" s="209" t="b">
        <f>COUNTIF($A$4:A394,$A395)&gt;0</f>
        <v>0</v>
      </c>
      <c r="H395" s="210" t="b">
        <f>IF($H$1,FALSE,COUNTIF(入力シート!$S$37:$V$62,B395)=0)</f>
        <v>0</v>
      </c>
      <c r="I395" s="210" t="b">
        <f t="shared" si="14"/>
        <v>0</v>
      </c>
      <c r="J395" s="210" t="b">
        <f>IF($J$1,FALSE,IF(I395=TRUE,FALSE,IF(I395,FALSE,C395&gt;入力シート!$J$24)))</f>
        <v>0</v>
      </c>
      <c r="K395" s="210" t="b">
        <f>IF($K$1,FALSE,COUNTIF(入力シート!$AW$37:$BB$38,D395)=0)</f>
        <v>0</v>
      </c>
      <c r="L395" s="210" t="b">
        <f>IF($L$1,FALSE,IF($L$3,FALSE,IF(E395="",FALSE,COUNTIF(入力シート!$AH$37:$AK$62,E395)=0)))</f>
        <v>0</v>
      </c>
      <c r="M395" s="211" t="str">
        <f t="shared" si="13"/>
        <v/>
      </c>
      <c r="N395" s="211"/>
      <c r="O395" s="209" t="str">
        <f>IF(B395="","",VLOOKUP('従業員情報(給与以外)'!$B395,入力シート!$S$37:$Z$62,5,0))</f>
        <v/>
      </c>
      <c r="P395" s="156" t="str">
        <f>IF(ISNUMBER(C395)=FALSE,"",IF(C395&gt;入力シート!$J$24,"",_xlfn.DAYS(入力シート!$J$24,'従業員情報(給与以外)'!$C395)/365))</f>
        <v/>
      </c>
      <c r="Q395" s="210" t="str">
        <f>IF(P395="","",VLOOKUP(_xlfn.DAYS(入力シート!$J$24,'従業員情報(給与以外)'!$C395)/365,入力リスト!$K$18:$L$26,2,2))</f>
        <v/>
      </c>
      <c r="R395" s="209" t="str">
        <f>IF(D395="","",VLOOKUP('従業員情報(給与以外)'!$D395,入力シート!$AW$37:$BB$38,4,0))</f>
        <v/>
      </c>
      <c r="S395" s="209" t="str">
        <f>IF(A395="","",IF(E395="","非役職",VLOOKUP('従業員情報(給与以外)'!$E395,入力シート!$AH$37:$AO$62,5,0)))</f>
        <v/>
      </c>
      <c r="T395" s="102" t="str">
        <f>IF(OR(入力シート!$C$5&lt;&gt;入力リスト!$C$3,COUNTIF(入力シート!$J$16:$S$23,入力リスト!$H$9)=0),"",IF($A395="","",IF(ISERROR(AVERAGEIF(従業員の給与情報!$B:$B,$A395,従業員の給与情報!$C:$C)),0,IF(ISERROR(AVERAGEIF(従業員の給与情報!$B:$B,$A395,従業員の給与情報!$C:$C)),0,AVERAGEIF(従業員の給与情報!$B:$B,$A395,従業員の給与情報!$C:$C)))))</f>
        <v/>
      </c>
      <c r="U395" s="102" t="str">
        <f>IF(OR(入力シート!$C$5&lt;&gt;入力リスト!$C$3,COUNTIF(入力シート!$J$16:$S$23,入力リスト!$H$9)=0),"",IF(A395="","",IF(ISERROR(AVERAGEIF(従業員の給与情報!$B:$B,$A395,従業員の給与情報!$D:$D)),0,IF(ISERROR(AVERAGEIF(従業員の給与情報!$B:$B,$A395,従業員の給与情報!$D:$D)),0,AVERAGEIF(従業員の給与情報!$B:$B,$A395,従業員の給与情報!$D:$D)))))</f>
        <v/>
      </c>
      <c r="V395" s="102" t="str">
        <f>IF(OR(入力シート!$C$5&lt;&gt;入力リスト!$C$3,COUNTIF(入力シート!$J$16:$S$23,入力リスト!$H$9)=0),"",IF(A395="","",IF(ISERROR(AVERAGEIF(従業員の給与情報!$B:$B,$A395,従業員の給与情報!$E:$E)),0,IF(ISERROR(AVERAGEIF(従業員の給与情報!$B:$B,$A395,従業員の給与情報!$E:$E)),0,AVERAGEIF(従業員の給与情報!$B:$B,$A395,従業員の給与情報!$E:$E)))))</f>
        <v/>
      </c>
      <c r="W395" s="103" t="str">
        <f>IF(OR(入力シート!$C$5&lt;&gt;入力リスト!$C$3,COUNTIF(入力シート!$J$16:$S$23,入力リスト!$H$9)=0),"",IF(A395="","",IF(ISERROR(AVERAGEIF(従業員の給与情報!$B:$B,$A395,従業員の給与情報!$F:$F)),0,IF(ISERROR(AVERAGEIF(従業員の給与情報!$B:$B,$A395,従業員の給与情報!$F:$F)),0,AVERAGEIF(従業員の給与情報!$B:$B,$A395,従業員の給与情報!$F:$F)))))</f>
        <v/>
      </c>
    </row>
    <row r="396" spans="1:23" s="10" customFormat="1">
      <c r="A396" s="253"/>
      <c r="B396" s="246"/>
      <c r="C396" s="247"/>
      <c r="D396" s="246"/>
      <c r="E396" s="246"/>
      <c r="F396" s="257" t="str">
        <f>IF($G$1,"",IF(COUNTIF(A396:E396,"")=5,"",IF(G396,入力リスト!$K$28,IF(OR(A396="",B396="",IF(COUNTIF($C$3,"*不要*"),"",C396=""),D396=""),IF(A396="","従業員番号","")&amp;IF(B396="","「雇用形態」","")&amp;IF(OR(入力シート!$J$18=入力リスト!$H$9,入力シート!$J$22=入力リスト!$H$9),IF(C396="","「入社年月日」",""),"")&amp;IF(D396="","「性別」","")&amp;IF(IF(A396="","従業員番号","")&amp;IF(B396="","「雇用形態」","")&amp;IF(OR(入力シート!$J$18=入力リスト!$H$9,入力シート!$J$22=入力リスト!$H$9),IF(C396="","「入社年月日」",""),"")&amp;IF(D396="","「性別」","")="","",入力リスト!$K$29),IF(J396,入力リスト!$K$30,"")&amp;IF(I396,入力リスト!$K$31,"")&amp;IF(H396,"「雇用形態」","")&amp;IF(K396,"「性別」","")&amp;IF(L396,"「役職」","")&amp;IF(OR(H396,K396,L396),入力リスト!$K$32,"")))))</f>
        <v/>
      </c>
      <c r="G396" s="209" t="b">
        <f>COUNTIF($A$4:A395,$A396)&gt;0</f>
        <v>0</v>
      </c>
      <c r="H396" s="210" t="b">
        <f>IF($H$1,FALSE,COUNTIF(入力シート!$S$37:$V$62,B396)=0)</f>
        <v>0</v>
      </c>
      <c r="I396" s="210" t="b">
        <f t="shared" si="14"/>
        <v>0</v>
      </c>
      <c r="J396" s="210" t="b">
        <f>IF($J$1,FALSE,IF(I396=TRUE,FALSE,IF(I396,FALSE,C396&gt;入力シート!$J$24)))</f>
        <v>0</v>
      </c>
      <c r="K396" s="210" t="b">
        <f>IF($K$1,FALSE,COUNTIF(入力シート!$AW$37:$BB$38,D396)=0)</f>
        <v>0</v>
      </c>
      <c r="L396" s="210" t="b">
        <f>IF($L$1,FALSE,IF($L$3,FALSE,IF(E396="",FALSE,COUNTIF(入力シート!$AH$37:$AK$62,E396)=0)))</f>
        <v>0</v>
      </c>
      <c r="M396" s="211" t="str">
        <f t="shared" si="13"/>
        <v/>
      </c>
      <c r="N396" s="211"/>
      <c r="O396" s="209" t="str">
        <f>IF(B396="","",VLOOKUP('従業員情報(給与以外)'!$B396,入力シート!$S$37:$Z$62,5,0))</f>
        <v/>
      </c>
      <c r="P396" s="156" t="str">
        <f>IF(ISNUMBER(C396)=FALSE,"",IF(C396&gt;入力シート!$J$24,"",_xlfn.DAYS(入力シート!$J$24,'従業員情報(給与以外)'!$C396)/365))</f>
        <v/>
      </c>
      <c r="Q396" s="210" t="str">
        <f>IF(P396="","",VLOOKUP(_xlfn.DAYS(入力シート!$J$24,'従業員情報(給与以外)'!$C396)/365,入力リスト!$K$18:$L$26,2,2))</f>
        <v/>
      </c>
      <c r="R396" s="209" t="str">
        <f>IF(D396="","",VLOOKUP('従業員情報(給与以外)'!$D396,入力シート!$AW$37:$BB$38,4,0))</f>
        <v/>
      </c>
      <c r="S396" s="209" t="str">
        <f>IF(A396="","",IF(E396="","非役職",VLOOKUP('従業員情報(給与以外)'!$E396,入力シート!$AH$37:$AO$62,5,0)))</f>
        <v/>
      </c>
      <c r="T396" s="102" t="str">
        <f>IF(OR(入力シート!$C$5&lt;&gt;入力リスト!$C$3,COUNTIF(入力シート!$J$16:$S$23,入力リスト!$H$9)=0),"",IF($A396="","",IF(ISERROR(AVERAGEIF(従業員の給与情報!$B:$B,$A396,従業員の給与情報!$C:$C)),0,IF(ISERROR(AVERAGEIF(従業員の給与情報!$B:$B,$A396,従業員の給与情報!$C:$C)),0,AVERAGEIF(従業員の給与情報!$B:$B,$A396,従業員の給与情報!$C:$C)))))</f>
        <v/>
      </c>
      <c r="U396" s="102" t="str">
        <f>IF(OR(入力シート!$C$5&lt;&gt;入力リスト!$C$3,COUNTIF(入力シート!$J$16:$S$23,入力リスト!$H$9)=0),"",IF(A396="","",IF(ISERROR(AVERAGEIF(従業員の給与情報!$B:$B,$A396,従業員の給与情報!$D:$D)),0,IF(ISERROR(AVERAGEIF(従業員の給与情報!$B:$B,$A396,従業員の給与情報!$D:$D)),0,AVERAGEIF(従業員の給与情報!$B:$B,$A396,従業員の給与情報!$D:$D)))))</f>
        <v/>
      </c>
      <c r="V396" s="102" t="str">
        <f>IF(OR(入力シート!$C$5&lt;&gt;入力リスト!$C$3,COUNTIF(入力シート!$J$16:$S$23,入力リスト!$H$9)=0),"",IF(A396="","",IF(ISERROR(AVERAGEIF(従業員の給与情報!$B:$B,$A396,従業員の給与情報!$E:$E)),0,IF(ISERROR(AVERAGEIF(従業員の給与情報!$B:$B,$A396,従業員の給与情報!$E:$E)),0,AVERAGEIF(従業員の給与情報!$B:$B,$A396,従業員の給与情報!$E:$E)))))</f>
        <v/>
      </c>
      <c r="W396" s="103" t="str">
        <f>IF(OR(入力シート!$C$5&lt;&gt;入力リスト!$C$3,COUNTIF(入力シート!$J$16:$S$23,入力リスト!$H$9)=0),"",IF(A396="","",IF(ISERROR(AVERAGEIF(従業員の給与情報!$B:$B,$A396,従業員の給与情報!$F:$F)),0,IF(ISERROR(AVERAGEIF(従業員の給与情報!$B:$B,$A396,従業員の給与情報!$F:$F)),0,AVERAGEIF(従業員の給与情報!$B:$B,$A396,従業員の給与情報!$F:$F)))))</f>
        <v/>
      </c>
    </row>
    <row r="397" spans="1:23" s="10" customFormat="1">
      <c r="A397" s="253"/>
      <c r="B397" s="246"/>
      <c r="C397" s="247"/>
      <c r="D397" s="246"/>
      <c r="E397" s="246"/>
      <c r="F397" s="257" t="str">
        <f>IF($G$1,"",IF(COUNTIF(A397:E397,"")=5,"",IF(G397,入力リスト!$K$28,IF(OR(A397="",B397="",IF(COUNTIF($C$3,"*不要*"),"",C397=""),D397=""),IF(A397="","従業員番号","")&amp;IF(B397="","「雇用形態」","")&amp;IF(OR(入力シート!$J$18=入力リスト!$H$9,入力シート!$J$22=入力リスト!$H$9),IF(C397="","「入社年月日」",""),"")&amp;IF(D397="","「性別」","")&amp;IF(IF(A397="","従業員番号","")&amp;IF(B397="","「雇用形態」","")&amp;IF(OR(入力シート!$J$18=入力リスト!$H$9,入力シート!$J$22=入力リスト!$H$9),IF(C397="","「入社年月日」",""),"")&amp;IF(D397="","「性別」","")="","",入力リスト!$K$29),IF(J397,入力リスト!$K$30,"")&amp;IF(I397,入力リスト!$K$31,"")&amp;IF(H397,"「雇用形態」","")&amp;IF(K397,"「性別」","")&amp;IF(L397,"「役職」","")&amp;IF(OR(H397,K397,L397),入力リスト!$K$32,"")))))</f>
        <v/>
      </c>
      <c r="G397" s="209" t="b">
        <f>COUNTIF($A$4:A396,$A397)&gt;0</f>
        <v>0</v>
      </c>
      <c r="H397" s="210" t="b">
        <f>IF($H$1,FALSE,COUNTIF(入力シート!$S$37:$V$62,B397)=0)</f>
        <v>0</v>
      </c>
      <c r="I397" s="210" t="b">
        <f t="shared" si="14"/>
        <v>0</v>
      </c>
      <c r="J397" s="210" t="b">
        <f>IF($J$1,FALSE,IF(I397=TRUE,FALSE,IF(I397,FALSE,C397&gt;入力シート!$J$24)))</f>
        <v>0</v>
      </c>
      <c r="K397" s="210" t="b">
        <f>IF($K$1,FALSE,COUNTIF(入力シート!$AW$37:$BB$38,D397)=0)</f>
        <v>0</v>
      </c>
      <c r="L397" s="210" t="b">
        <f>IF($L$1,FALSE,IF($L$3,FALSE,IF(E397="",FALSE,COUNTIF(入力シート!$AH$37:$AK$62,E397)=0)))</f>
        <v>0</v>
      </c>
      <c r="M397" s="211" t="str">
        <f t="shared" si="13"/>
        <v/>
      </c>
      <c r="N397" s="211"/>
      <c r="O397" s="209" t="str">
        <f>IF(B397="","",VLOOKUP('従業員情報(給与以外)'!$B397,入力シート!$S$37:$Z$62,5,0))</f>
        <v/>
      </c>
      <c r="P397" s="156" t="str">
        <f>IF(ISNUMBER(C397)=FALSE,"",IF(C397&gt;入力シート!$J$24,"",_xlfn.DAYS(入力シート!$J$24,'従業員情報(給与以外)'!$C397)/365))</f>
        <v/>
      </c>
      <c r="Q397" s="210" t="str">
        <f>IF(P397="","",VLOOKUP(_xlfn.DAYS(入力シート!$J$24,'従業員情報(給与以外)'!$C397)/365,入力リスト!$K$18:$L$26,2,2))</f>
        <v/>
      </c>
      <c r="R397" s="209" t="str">
        <f>IF(D397="","",VLOOKUP('従業員情報(給与以外)'!$D397,入力シート!$AW$37:$BB$38,4,0))</f>
        <v/>
      </c>
      <c r="S397" s="209" t="str">
        <f>IF(A397="","",IF(E397="","非役職",VLOOKUP('従業員情報(給与以外)'!$E397,入力シート!$AH$37:$AO$62,5,0)))</f>
        <v/>
      </c>
      <c r="T397" s="102" t="str">
        <f>IF(OR(入力シート!$C$5&lt;&gt;入力リスト!$C$3,COUNTIF(入力シート!$J$16:$S$23,入力リスト!$H$9)=0),"",IF($A397="","",IF(ISERROR(AVERAGEIF(従業員の給与情報!$B:$B,$A397,従業員の給与情報!$C:$C)),0,IF(ISERROR(AVERAGEIF(従業員の給与情報!$B:$B,$A397,従業員の給与情報!$C:$C)),0,AVERAGEIF(従業員の給与情報!$B:$B,$A397,従業員の給与情報!$C:$C)))))</f>
        <v/>
      </c>
      <c r="U397" s="102" t="str">
        <f>IF(OR(入力シート!$C$5&lt;&gt;入力リスト!$C$3,COUNTIF(入力シート!$J$16:$S$23,入力リスト!$H$9)=0),"",IF(A397="","",IF(ISERROR(AVERAGEIF(従業員の給与情報!$B:$B,$A397,従業員の給与情報!$D:$D)),0,IF(ISERROR(AVERAGEIF(従業員の給与情報!$B:$B,$A397,従業員の給与情報!$D:$D)),0,AVERAGEIF(従業員の給与情報!$B:$B,$A397,従業員の給与情報!$D:$D)))))</f>
        <v/>
      </c>
      <c r="V397" s="102" t="str">
        <f>IF(OR(入力シート!$C$5&lt;&gt;入力リスト!$C$3,COUNTIF(入力シート!$J$16:$S$23,入力リスト!$H$9)=0),"",IF(A397="","",IF(ISERROR(AVERAGEIF(従業員の給与情報!$B:$B,$A397,従業員の給与情報!$E:$E)),0,IF(ISERROR(AVERAGEIF(従業員の給与情報!$B:$B,$A397,従業員の給与情報!$E:$E)),0,AVERAGEIF(従業員の給与情報!$B:$B,$A397,従業員の給与情報!$E:$E)))))</f>
        <v/>
      </c>
      <c r="W397" s="103" t="str">
        <f>IF(OR(入力シート!$C$5&lt;&gt;入力リスト!$C$3,COUNTIF(入力シート!$J$16:$S$23,入力リスト!$H$9)=0),"",IF(A397="","",IF(ISERROR(AVERAGEIF(従業員の給与情報!$B:$B,$A397,従業員の給与情報!$F:$F)),0,IF(ISERROR(AVERAGEIF(従業員の給与情報!$B:$B,$A397,従業員の給与情報!$F:$F)),0,AVERAGEIF(従業員の給与情報!$B:$B,$A397,従業員の給与情報!$F:$F)))))</f>
        <v/>
      </c>
    </row>
    <row r="398" spans="1:23" s="10" customFormat="1">
      <c r="A398" s="253"/>
      <c r="B398" s="246"/>
      <c r="C398" s="247"/>
      <c r="D398" s="246"/>
      <c r="E398" s="246"/>
      <c r="F398" s="257" t="str">
        <f>IF($G$1,"",IF(COUNTIF(A398:E398,"")=5,"",IF(G398,入力リスト!$K$28,IF(OR(A398="",B398="",IF(COUNTIF($C$3,"*不要*"),"",C398=""),D398=""),IF(A398="","従業員番号","")&amp;IF(B398="","「雇用形態」","")&amp;IF(OR(入力シート!$J$18=入力リスト!$H$9,入力シート!$J$22=入力リスト!$H$9),IF(C398="","「入社年月日」",""),"")&amp;IF(D398="","「性別」","")&amp;IF(IF(A398="","従業員番号","")&amp;IF(B398="","「雇用形態」","")&amp;IF(OR(入力シート!$J$18=入力リスト!$H$9,入力シート!$J$22=入力リスト!$H$9),IF(C398="","「入社年月日」",""),"")&amp;IF(D398="","「性別」","")="","",入力リスト!$K$29),IF(J398,入力リスト!$K$30,"")&amp;IF(I398,入力リスト!$K$31,"")&amp;IF(H398,"「雇用形態」","")&amp;IF(K398,"「性別」","")&amp;IF(L398,"「役職」","")&amp;IF(OR(H398,K398,L398),入力リスト!$K$32,"")))))</f>
        <v/>
      </c>
      <c r="G398" s="209" t="b">
        <f>COUNTIF($A$4:A397,$A398)&gt;0</f>
        <v>0</v>
      </c>
      <c r="H398" s="210" t="b">
        <f>IF($H$1,FALSE,COUNTIF(入力シート!$S$37:$V$62,B398)=0)</f>
        <v>0</v>
      </c>
      <c r="I398" s="210" t="b">
        <f t="shared" si="14"/>
        <v>0</v>
      </c>
      <c r="J398" s="210" t="b">
        <f>IF($J$1,FALSE,IF(I398=TRUE,FALSE,IF(I398,FALSE,C398&gt;入力シート!$J$24)))</f>
        <v>0</v>
      </c>
      <c r="K398" s="210" t="b">
        <f>IF($K$1,FALSE,COUNTIF(入力シート!$AW$37:$BB$38,D398)=0)</f>
        <v>0</v>
      </c>
      <c r="L398" s="210" t="b">
        <f>IF($L$1,FALSE,IF($L$3,FALSE,IF(E398="",FALSE,COUNTIF(入力シート!$AH$37:$AK$62,E398)=0)))</f>
        <v>0</v>
      </c>
      <c r="M398" s="211" t="str">
        <f t="shared" si="13"/>
        <v/>
      </c>
      <c r="N398" s="211"/>
      <c r="O398" s="209" t="str">
        <f>IF(B398="","",VLOOKUP('従業員情報(給与以外)'!$B398,入力シート!$S$37:$Z$62,5,0))</f>
        <v/>
      </c>
      <c r="P398" s="156" t="str">
        <f>IF(ISNUMBER(C398)=FALSE,"",IF(C398&gt;入力シート!$J$24,"",_xlfn.DAYS(入力シート!$J$24,'従業員情報(給与以外)'!$C398)/365))</f>
        <v/>
      </c>
      <c r="Q398" s="210" t="str">
        <f>IF(P398="","",VLOOKUP(_xlfn.DAYS(入力シート!$J$24,'従業員情報(給与以外)'!$C398)/365,入力リスト!$K$18:$L$26,2,2))</f>
        <v/>
      </c>
      <c r="R398" s="209" t="str">
        <f>IF(D398="","",VLOOKUP('従業員情報(給与以外)'!$D398,入力シート!$AW$37:$BB$38,4,0))</f>
        <v/>
      </c>
      <c r="S398" s="209" t="str">
        <f>IF(A398="","",IF(E398="","非役職",VLOOKUP('従業員情報(給与以外)'!$E398,入力シート!$AH$37:$AO$62,5,0)))</f>
        <v/>
      </c>
      <c r="T398" s="102" t="str">
        <f>IF(OR(入力シート!$C$5&lt;&gt;入力リスト!$C$3,COUNTIF(入力シート!$J$16:$S$23,入力リスト!$H$9)=0),"",IF($A398="","",IF(ISERROR(AVERAGEIF(従業員の給与情報!$B:$B,$A398,従業員の給与情報!$C:$C)),0,IF(ISERROR(AVERAGEIF(従業員の給与情報!$B:$B,$A398,従業員の給与情報!$C:$C)),0,AVERAGEIF(従業員の給与情報!$B:$B,$A398,従業員の給与情報!$C:$C)))))</f>
        <v/>
      </c>
      <c r="U398" s="102" t="str">
        <f>IF(OR(入力シート!$C$5&lt;&gt;入力リスト!$C$3,COUNTIF(入力シート!$J$16:$S$23,入力リスト!$H$9)=0),"",IF(A398="","",IF(ISERROR(AVERAGEIF(従業員の給与情報!$B:$B,$A398,従業員の給与情報!$D:$D)),0,IF(ISERROR(AVERAGEIF(従業員の給与情報!$B:$B,$A398,従業員の給与情報!$D:$D)),0,AVERAGEIF(従業員の給与情報!$B:$B,$A398,従業員の給与情報!$D:$D)))))</f>
        <v/>
      </c>
      <c r="V398" s="102" t="str">
        <f>IF(OR(入力シート!$C$5&lt;&gt;入力リスト!$C$3,COUNTIF(入力シート!$J$16:$S$23,入力リスト!$H$9)=0),"",IF(A398="","",IF(ISERROR(AVERAGEIF(従業員の給与情報!$B:$B,$A398,従業員の給与情報!$E:$E)),0,IF(ISERROR(AVERAGEIF(従業員の給与情報!$B:$B,$A398,従業員の給与情報!$E:$E)),0,AVERAGEIF(従業員の給与情報!$B:$B,$A398,従業員の給与情報!$E:$E)))))</f>
        <v/>
      </c>
      <c r="W398" s="103" t="str">
        <f>IF(OR(入力シート!$C$5&lt;&gt;入力リスト!$C$3,COUNTIF(入力シート!$J$16:$S$23,入力リスト!$H$9)=0),"",IF(A398="","",IF(ISERROR(AVERAGEIF(従業員の給与情報!$B:$B,$A398,従業員の給与情報!$F:$F)),0,IF(ISERROR(AVERAGEIF(従業員の給与情報!$B:$B,$A398,従業員の給与情報!$F:$F)),0,AVERAGEIF(従業員の給与情報!$B:$B,$A398,従業員の給与情報!$F:$F)))))</f>
        <v/>
      </c>
    </row>
    <row r="399" spans="1:23" s="10" customFormat="1">
      <c r="A399" s="253"/>
      <c r="B399" s="246"/>
      <c r="C399" s="247"/>
      <c r="D399" s="246"/>
      <c r="E399" s="246"/>
      <c r="F399" s="257" t="str">
        <f>IF($G$1,"",IF(COUNTIF(A399:E399,"")=5,"",IF(G399,入力リスト!$K$28,IF(OR(A399="",B399="",IF(COUNTIF($C$3,"*不要*"),"",C399=""),D399=""),IF(A399="","従業員番号","")&amp;IF(B399="","「雇用形態」","")&amp;IF(OR(入力シート!$J$18=入力リスト!$H$9,入力シート!$J$22=入力リスト!$H$9),IF(C399="","「入社年月日」",""),"")&amp;IF(D399="","「性別」","")&amp;IF(IF(A399="","従業員番号","")&amp;IF(B399="","「雇用形態」","")&amp;IF(OR(入力シート!$J$18=入力リスト!$H$9,入力シート!$J$22=入力リスト!$H$9),IF(C399="","「入社年月日」",""),"")&amp;IF(D399="","「性別」","")="","",入力リスト!$K$29),IF(J399,入力リスト!$K$30,"")&amp;IF(I399,入力リスト!$K$31,"")&amp;IF(H399,"「雇用形態」","")&amp;IF(K399,"「性別」","")&amp;IF(L399,"「役職」","")&amp;IF(OR(H399,K399,L399),入力リスト!$K$32,"")))))</f>
        <v/>
      </c>
      <c r="G399" s="209" t="b">
        <f>COUNTIF($A$4:A398,$A399)&gt;0</f>
        <v>0</v>
      </c>
      <c r="H399" s="210" t="b">
        <f>IF($H$1,FALSE,COUNTIF(入力シート!$S$37:$V$62,B399)=0)</f>
        <v>0</v>
      </c>
      <c r="I399" s="210" t="b">
        <f t="shared" si="14"/>
        <v>0</v>
      </c>
      <c r="J399" s="210" t="b">
        <f>IF($J$1,FALSE,IF(I399=TRUE,FALSE,IF(I399,FALSE,C399&gt;入力シート!$J$24)))</f>
        <v>0</v>
      </c>
      <c r="K399" s="210" t="b">
        <f>IF($K$1,FALSE,COUNTIF(入力シート!$AW$37:$BB$38,D399)=0)</f>
        <v>0</v>
      </c>
      <c r="L399" s="210" t="b">
        <f>IF($L$1,FALSE,IF($L$3,FALSE,IF(E399="",FALSE,COUNTIF(入力シート!$AH$37:$AK$62,E399)=0)))</f>
        <v>0</v>
      </c>
      <c r="M399" s="211" t="str">
        <f t="shared" si="13"/>
        <v/>
      </c>
      <c r="N399" s="211"/>
      <c r="O399" s="209" t="str">
        <f>IF(B399="","",VLOOKUP('従業員情報(給与以外)'!$B399,入力シート!$S$37:$Z$62,5,0))</f>
        <v/>
      </c>
      <c r="P399" s="156" t="str">
        <f>IF(ISNUMBER(C399)=FALSE,"",IF(C399&gt;入力シート!$J$24,"",_xlfn.DAYS(入力シート!$J$24,'従業員情報(給与以外)'!$C399)/365))</f>
        <v/>
      </c>
      <c r="Q399" s="210" t="str">
        <f>IF(P399="","",VLOOKUP(_xlfn.DAYS(入力シート!$J$24,'従業員情報(給与以外)'!$C399)/365,入力リスト!$K$18:$L$26,2,2))</f>
        <v/>
      </c>
      <c r="R399" s="209" t="str">
        <f>IF(D399="","",VLOOKUP('従業員情報(給与以外)'!$D399,入力シート!$AW$37:$BB$38,4,0))</f>
        <v/>
      </c>
      <c r="S399" s="209" t="str">
        <f>IF(A399="","",IF(E399="","非役職",VLOOKUP('従業員情報(給与以外)'!$E399,入力シート!$AH$37:$AO$62,5,0)))</f>
        <v/>
      </c>
      <c r="T399" s="102" t="str">
        <f>IF(OR(入力シート!$C$5&lt;&gt;入力リスト!$C$3,COUNTIF(入力シート!$J$16:$S$23,入力リスト!$H$9)=0),"",IF($A399="","",IF(ISERROR(AVERAGEIF(従業員の給与情報!$B:$B,$A399,従業員の給与情報!$C:$C)),0,IF(ISERROR(AVERAGEIF(従業員の給与情報!$B:$B,$A399,従業員の給与情報!$C:$C)),0,AVERAGEIF(従業員の給与情報!$B:$B,$A399,従業員の給与情報!$C:$C)))))</f>
        <v/>
      </c>
      <c r="U399" s="102" t="str">
        <f>IF(OR(入力シート!$C$5&lt;&gt;入力リスト!$C$3,COUNTIF(入力シート!$J$16:$S$23,入力リスト!$H$9)=0),"",IF(A399="","",IF(ISERROR(AVERAGEIF(従業員の給与情報!$B:$B,$A399,従業員の給与情報!$D:$D)),0,IF(ISERROR(AVERAGEIF(従業員の給与情報!$B:$B,$A399,従業員の給与情報!$D:$D)),0,AVERAGEIF(従業員の給与情報!$B:$B,$A399,従業員の給与情報!$D:$D)))))</f>
        <v/>
      </c>
      <c r="V399" s="102" t="str">
        <f>IF(OR(入力シート!$C$5&lt;&gt;入力リスト!$C$3,COUNTIF(入力シート!$J$16:$S$23,入力リスト!$H$9)=0),"",IF(A399="","",IF(ISERROR(AVERAGEIF(従業員の給与情報!$B:$B,$A399,従業員の給与情報!$E:$E)),0,IF(ISERROR(AVERAGEIF(従業員の給与情報!$B:$B,$A399,従業員の給与情報!$E:$E)),0,AVERAGEIF(従業員の給与情報!$B:$B,$A399,従業員の給与情報!$E:$E)))))</f>
        <v/>
      </c>
      <c r="W399" s="103" t="str">
        <f>IF(OR(入力シート!$C$5&lt;&gt;入力リスト!$C$3,COUNTIF(入力シート!$J$16:$S$23,入力リスト!$H$9)=0),"",IF(A399="","",IF(ISERROR(AVERAGEIF(従業員の給与情報!$B:$B,$A399,従業員の給与情報!$F:$F)),0,IF(ISERROR(AVERAGEIF(従業員の給与情報!$B:$B,$A399,従業員の給与情報!$F:$F)),0,AVERAGEIF(従業員の給与情報!$B:$B,$A399,従業員の給与情報!$F:$F)))))</f>
        <v/>
      </c>
    </row>
    <row r="400" spans="1:23" s="10" customFormat="1">
      <c r="A400" s="253"/>
      <c r="B400" s="246"/>
      <c r="C400" s="247"/>
      <c r="D400" s="246"/>
      <c r="E400" s="246"/>
      <c r="F400" s="257" t="str">
        <f>IF($G$1,"",IF(COUNTIF(A400:E400,"")=5,"",IF(G400,入力リスト!$K$28,IF(OR(A400="",B400="",IF(COUNTIF($C$3,"*不要*"),"",C400=""),D400=""),IF(A400="","従業員番号","")&amp;IF(B400="","「雇用形態」","")&amp;IF(OR(入力シート!$J$18=入力リスト!$H$9,入力シート!$J$22=入力リスト!$H$9),IF(C400="","「入社年月日」",""),"")&amp;IF(D400="","「性別」","")&amp;IF(IF(A400="","従業員番号","")&amp;IF(B400="","「雇用形態」","")&amp;IF(OR(入力シート!$J$18=入力リスト!$H$9,入力シート!$J$22=入力リスト!$H$9),IF(C400="","「入社年月日」",""),"")&amp;IF(D400="","「性別」","")="","",入力リスト!$K$29),IF(J400,入力リスト!$K$30,"")&amp;IF(I400,入力リスト!$K$31,"")&amp;IF(H400,"「雇用形態」","")&amp;IF(K400,"「性別」","")&amp;IF(L400,"「役職」","")&amp;IF(OR(H400,K400,L400),入力リスト!$K$32,"")))))</f>
        <v/>
      </c>
      <c r="G400" s="209" t="b">
        <f>COUNTIF($A$4:A399,$A400)&gt;0</f>
        <v>0</v>
      </c>
      <c r="H400" s="210" t="b">
        <f>IF($H$1,FALSE,COUNTIF(入力シート!$S$37:$V$62,B400)=0)</f>
        <v>0</v>
      </c>
      <c r="I400" s="210" t="b">
        <f t="shared" si="14"/>
        <v>0</v>
      </c>
      <c r="J400" s="210" t="b">
        <f>IF($J$1,FALSE,IF(I400=TRUE,FALSE,IF(I400,FALSE,C400&gt;入力シート!$J$24)))</f>
        <v>0</v>
      </c>
      <c r="K400" s="210" t="b">
        <f>IF($K$1,FALSE,COUNTIF(入力シート!$AW$37:$BB$38,D400)=0)</f>
        <v>0</v>
      </c>
      <c r="L400" s="210" t="b">
        <f>IF($L$1,FALSE,IF($L$3,FALSE,IF(E400="",FALSE,COUNTIF(入力シート!$AH$37:$AK$62,E400)=0)))</f>
        <v>0</v>
      </c>
      <c r="M400" s="211" t="str">
        <f t="shared" si="13"/>
        <v/>
      </c>
      <c r="N400" s="211"/>
      <c r="O400" s="209" t="str">
        <f>IF(B400="","",VLOOKUP('従業員情報(給与以外)'!$B400,入力シート!$S$37:$Z$62,5,0))</f>
        <v/>
      </c>
      <c r="P400" s="156" t="str">
        <f>IF(ISNUMBER(C400)=FALSE,"",IF(C400&gt;入力シート!$J$24,"",_xlfn.DAYS(入力シート!$J$24,'従業員情報(給与以外)'!$C400)/365))</f>
        <v/>
      </c>
      <c r="Q400" s="210" t="str">
        <f>IF(P400="","",VLOOKUP(_xlfn.DAYS(入力シート!$J$24,'従業員情報(給与以外)'!$C400)/365,入力リスト!$K$18:$L$26,2,2))</f>
        <v/>
      </c>
      <c r="R400" s="209" t="str">
        <f>IF(D400="","",VLOOKUP('従業員情報(給与以外)'!$D400,入力シート!$AW$37:$BB$38,4,0))</f>
        <v/>
      </c>
      <c r="S400" s="209" t="str">
        <f>IF(A400="","",IF(E400="","非役職",VLOOKUP('従業員情報(給与以外)'!$E400,入力シート!$AH$37:$AO$62,5,0)))</f>
        <v/>
      </c>
      <c r="T400" s="102" t="str">
        <f>IF(OR(入力シート!$C$5&lt;&gt;入力リスト!$C$3,COUNTIF(入力シート!$J$16:$S$23,入力リスト!$H$9)=0),"",IF($A400="","",IF(ISERROR(AVERAGEIF(従業員の給与情報!$B:$B,$A400,従業員の給与情報!$C:$C)),0,IF(ISERROR(AVERAGEIF(従業員の給与情報!$B:$B,$A400,従業員の給与情報!$C:$C)),0,AVERAGEIF(従業員の給与情報!$B:$B,$A400,従業員の給与情報!$C:$C)))))</f>
        <v/>
      </c>
      <c r="U400" s="102" t="str">
        <f>IF(OR(入力シート!$C$5&lt;&gt;入力リスト!$C$3,COUNTIF(入力シート!$J$16:$S$23,入力リスト!$H$9)=0),"",IF(A400="","",IF(ISERROR(AVERAGEIF(従業員の給与情報!$B:$B,$A400,従業員の給与情報!$D:$D)),0,IF(ISERROR(AVERAGEIF(従業員の給与情報!$B:$B,$A400,従業員の給与情報!$D:$D)),0,AVERAGEIF(従業員の給与情報!$B:$B,$A400,従業員の給与情報!$D:$D)))))</f>
        <v/>
      </c>
      <c r="V400" s="102" t="str">
        <f>IF(OR(入力シート!$C$5&lt;&gt;入力リスト!$C$3,COUNTIF(入力シート!$J$16:$S$23,入力リスト!$H$9)=0),"",IF(A400="","",IF(ISERROR(AVERAGEIF(従業員の給与情報!$B:$B,$A400,従業員の給与情報!$E:$E)),0,IF(ISERROR(AVERAGEIF(従業員の給与情報!$B:$B,$A400,従業員の給与情報!$E:$E)),0,AVERAGEIF(従業員の給与情報!$B:$B,$A400,従業員の給与情報!$E:$E)))))</f>
        <v/>
      </c>
      <c r="W400" s="103" t="str">
        <f>IF(OR(入力シート!$C$5&lt;&gt;入力リスト!$C$3,COUNTIF(入力シート!$J$16:$S$23,入力リスト!$H$9)=0),"",IF(A400="","",IF(ISERROR(AVERAGEIF(従業員の給与情報!$B:$B,$A400,従業員の給与情報!$F:$F)),0,IF(ISERROR(AVERAGEIF(従業員の給与情報!$B:$B,$A400,従業員の給与情報!$F:$F)),0,AVERAGEIF(従業員の給与情報!$B:$B,$A400,従業員の給与情報!$F:$F)))))</f>
        <v/>
      </c>
    </row>
    <row r="401" spans="1:23" s="10" customFormat="1">
      <c r="A401" s="253"/>
      <c r="B401" s="246"/>
      <c r="C401" s="247"/>
      <c r="D401" s="246"/>
      <c r="E401" s="246"/>
      <c r="F401" s="257" t="str">
        <f>IF($G$1,"",IF(COUNTIF(A401:E401,"")=5,"",IF(G401,入力リスト!$K$28,IF(OR(A401="",B401="",IF(COUNTIF($C$3,"*不要*"),"",C401=""),D401=""),IF(A401="","従業員番号","")&amp;IF(B401="","「雇用形態」","")&amp;IF(OR(入力シート!$J$18=入力リスト!$H$9,入力シート!$J$22=入力リスト!$H$9),IF(C401="","「入社年月日」",""),"")&amp;IF(D401="","「性別」","")&amp;IF(IF(A401="","従業員番号","")&amp;IF(B401="","「雇用形態」","")&amp;IF(OR(入力シート!$J$18=入力リスト!$H$9,入力シート!$J$22=入力リスト!$H$9),IF(C401="","「入社年月日」",""),"")&amp;IF(D401="","「性別」","")="","",入力リスト!$K$29),IF(J401,入力リスト!$K$30,"")&amp;IF(I401,入力リスト!$K$31,"")&amp;IF(H401,"「雇用形態」","")&amp;IF(K401,"「性別」","")&amp;IF(L401,"「役職」","")&amp;IF(OR(H401,K401,L401),入力リスト!$K$32,"")))))</f>
        <v/>
      </c>
      <c r="G401" s="209" t="b">
        <f>COUNTIF($A$4:A400,$A401)&gt;0</f>
        <v>0</v>
      </c>
      <c r="H401" s="210" t="b">
        <f>IF($H$1,FALSE,COUNTIF(入力シート!$S$37:$V$62,B401)=0)</f>
        <v>0</v>
      </c>
      <c r="I401" s="210" t="b">
        <f t="shared" si="14"/>
        <v>0</v>
      </c>
      <c r="J401" s="210" t="b">
        <f>IF($J$1,FALSE,IF(I401=TRUE,FALSE,IF(I401,FALSE,C401&gt;入力シート!$J$24)))</f>
        <v>0</v>
      </c>
      <c r="K401" s="210" t="b">
        <f>IF($K$1,FALSE,COUNTIF(入力シート!$AW$37:$BB$38,D401)=0)</f>
        <v>0</v>
      </c>
      <c r="L401" s="210" t="b">
        <f>IF($L$1,FALSE,IF($L$3,FALSE,IF(E401="",FALSE,COUNTIF(入力シート!$AH$37:$AK$62,E401)=0)))</f>
        <v>0</v>
      </c>
      <c r="M401" s="211" t="str">
        <f t="shared" si="13"/>
        <v/>
      </c>
      <c r="N401" s="211"/>
      <c r="O401" s="209" t="str">
        <f>IF(B401="","",VLOOKUP('従業員情報(給与以外)'!$B401,入力シート!$S$37:$Z$62,5,0))</f>
        <v/>
      </c>
      <c r="P401" s="156" t="str">
        <f>IF(ISNUMBER(C401)=FALSE,"",IF(C401&gt;入力シート!$J$24,"",_xlfn.DAYS(入力シート!$J$24,'従業員情報(給与以外)'!$C401)/365))</f>
        <v/>
      </c>
      <c r="Q401" s="210" t="str">
        <f>IF(P401="","",VLOOKUP(_xlfn.DAYS(入力シート!$J$24,'従業員情報(給与以外)'!$C401)/365,入力リスト!$K$18:$L$26,2,2))</f>
        <v/>
      </c>
      <c r="R401" s="209" t="str">
        <f>IF(D401="","",VLOOKUP('従業員情報(給与以外)'!$D401,入力シート!$AW$37:$BB$38,4,0))</f>
        <v/>
      </c>
      <c r="S401" s="209" t="str">
        <f>IF(A401="","",IF(E401="","非役職",VLOOKUP('従業員情報(給与以外)'!$E401,入力シート!$AH$37:$AO$62,5,0)))</f>
        <v/>
      </c>
      <c r="T401" s="102" t="str">
        <f>IF(OR(入力シート!$C$5&lt;&gt;入力リスト!$C$3,COUNTIF(入力シート!$J$16:$S$23,入力リスト!$H$9)=0),"",IF($A401="","",IF(ISERROR(AVERAGEIF(従業員の給与情報!$B:$B,$A401,従業員の給与情報!$C:$C)),0,IF(ISERROR(AVERAGEIF(従業員の給与情報!$B:$B,$A401,従業員の給与情報!$C:$C)),0,AVERAGEIF(従業員の給与情報!$B:$B,$A401,従業員の給与情報!$C:$C)))))</f>
        <v/>
      </c>
      <c r="U401" s="102" t="str">
        <f>IF(OR(入力シート!$C$5&lt;&gt;入力リスト!$C$3,COUNTIF(入力シート!$J$16:$S$23,入力リスト!$H$9)=0),"",IF(A401="","",IF(ISERROR(AVERAGEIF(従業員の給与情報!$B:$B,$A401,従業員の給与情報!$D:$D)),0,IF(ISERROR(AVERAGEIF(従業員の給与情報!$B:$B,$A401,従業員の給与情報!$D:$D)),0,AVERAGEIF(従業員の給与情報!$B:$B,$A401,従業員の給与情報!$D:$D)))))</f>
        <v/>
      </c>
      <c r="V401" s="102" t="str">
        <f>IF(OR(入力シート!$C$5&lt;&gt;入力リスト!$C$3,COUNTIF(入力シート!$J$16:$S$23,入力リスト!$H$9)=0),"",IF(A401="","",IF(ISERROR(AVERAGEIF(従業員の給与情報!$B:$B,$A401,従業員の給与情報!$E:$E)),0,IF(ISERROR(AVERAGEIF(従業員の給与情報!$B:$B,$A401,従業員の給与情報!$E:$E)),0,AVERAGEIF(従業員の給与情報!$B:$B,$A401,従業員の給与情報!$E:$E)))))</f>
        <v/>
      </c>
      <c r="W401" s="103" t="str">
        <f>IF(OR(入力シート!$C$5&lt;&gt;入力リスト!$C$3,COUNTIF(入力シート!$J$16:$S$23,入力リスト!$H$9)=0),"",IF(A401="","",IF(ISERROR(AVERAGEIF(従業員の給与情報!$B:$B,$A401,従業員の給与情報!$F:$F)),0,IF(ISERROR(AVERAGEIF(従業員の給与情報!$B:$B,$A401,従業員の給与情報!$F:$F)),0,AVERAGEIF(従業員の給与情報!$B:$B,$A401,従業員の給与情報!$F:$F)))))</f>
        <v/>
      </c>
    </row>
    <row r="402" spans="1:23" s="10" customFormat="1">
      <c r="A402" s="253"/>
      <c r="B402" s="246"/>
      <c r="C402" s="247"/>
      <c r="D402" s="246"/>
      <c r="E402" s="246"/>
      <c r="F402" s="257" t="str">
        <f>IF($G$1,"",IF(COUNTIF(A402:E402,"")=5,"",IF(G402,入力リスト!$K$28,IF(OR(A402="",B402="",IF(COUNTIF($C$3,"*不要*"),"",C402=""),D402=""),IF(A402="","従業員番号","")&amp;IF(B402="","「雇用形態」","")&amp;IF(OR(入力シート!$J$18=入力リスト!$H$9,入力シート!$J$22=入力リスト!$H$9),IF(C402="","「入社年月日」",""),"")&amp;IF(D402="","「性別」","")&amp;IF(IF(A402="","従業員番号","")&amp;IF(B402="","「雇用形態」","")&amp;IF(OR(入力シート!$J$18=入力リスト!$H$9,入力シート!$J$22=入力リスト!$H$9),IF(C402="","「入社年月日」",""),"")&amp;IF(D402="","「性別」","")="","",入力リスト!$K$29),IF(J402,入力リスト!$K$30,"")&amp;IF(I402,入力リスト!$K$31,"")&amp;IF(H402,"「雇用形態」","")&amp;IF(K402,"「性別」","")&amp;IF(L402,"「役職」","")&amp;IF(OR(H402,K402,L402),入力リスト!$K$32,"")))))</f>
        <v/>
      </c>
      <c r="G402" s="209" t="b">
        <f>COUNTIF($A$4:A401,$A402)&gt;0</f>
        <v>0</v>
      </c>
      <c r="H402" s="210" t="b">
        <f>IF($H$1,FALSE,COUNTIF(入力シート!$S$37:$V$62,B402)=0)</f>
        <v>0</v>
      </c>
      <c r="I402" s="210" t="b">
        <f t="shared" si="14"/>
        <v>0</v>
      </c>
      <c r="J402" s="210" t="b">
        <f>IF($J$1,FALSE,IF(I402=TRUE,FALSE,IF(I402,FALSE,C402&gt;入力シート!$J$24)))</f>
        <v>0</v>
      </c>
      <c r="K402" s="210" t="b">
        <f>IF($K$1,FALSE,COUNTIF(入力シート!$AW$37:$BB$38,D402)=0)</f>
        <v>0</v>
      </c>
      <c r="L402" s="210" t="b">
        <f>IF($L$1,FALSE,IF($L$3,FALSE,IF(E402="",FALSE,COUNTIF(入力シート!$AH$37:$AK$62,E402)=0)))</f>
        <v>0</v>
      </c>
      <c r="M402" s="211" t="str">
        <f t="shared" si="13"/>
        <v/>
      </c>
      <c r="N402" s="211"/>
      <c r="O402" s="209" t="str">
        <f>IF(B402="","",VLOOKUP('従業員情報(給与以外)'!$B402,入力シート!$S$37:$Z$62,5,0))</f>
        <v/>
      </c>
      <c r="P402" s="156" t="str">
        <f>IF(ISNUMBER(C402)=FALSE,"",IF(C402&gt;入力シート!$J$24,"",_xlfn.DAYS(入力シート!$J$24,'従業員情報(給与以外)'!$C402)/365))</f>
        <v/>
      </c>
      <c r="Q402" s="210" t="str">
        <f>IF(P402="","",VLOOKUP(_xlfn.DAYS(入力シート!$J$24,'従業員情報(給与以外)'!$C402)/365,入力リスト!$K$18:$L$26,2,2))</f>
        <v/>
      </c>
      <c r="R402" s="209" t="str">
        <f>IF(D402="","",VLOOKUP('従業員情報(給与以外)'!$D402,入力シート!$AW$37:$BB$38,4,0))</f>
        <v/>
      </c>
      <c r="S402" s="209" t="str">
        <f>IF(A402="","",IF(E402="","非役職",VLOOKUP('従業員情報(給与以外)'!$E402,入力シート!$AH$37:$AO$62,5,0)))</f>
        <v/>
      </c>
      <c r="T402" s="102" t="str">
        <f>IF(OR(入力シート!$C$5&lt;&gt;入力リスト!$C$3,COUNTIF(入力シート!$J$16:$S$23,入力リスト!$H$9)=0),"",IF($A402="","",IF(ISERROR(AVERAGEIF(従業員の給与情報!$B:$B,$A402,従業員の給与情報!$C:$C)),0,IF(ISERROR(AVERAGEIF(従業員の給与情報!$B:$B,$A402,従業員の給与情報!$C:$C)),0,AVERAGEIF(従業員の給与情報!$B:$B,$A402,従業員の給与情報!$C:$C)))))</f>
        <v/>
      </c>
      <c r="U402" s="102" t="str">
        <f>IF(OR(入力シート!$C$5&lt;&gt;入力リスト!$C$3,COUNTIF(入力シート!$J$16:$S$23,入力リスト!$H$9)=0),"",IF(A402="","",IF(ISERROR(AVERAGEIF(従業員の給与情報!$B:$B,$A402,従業員の給与情報!$D:$D)),0,IF(ISERROR(AVERAGEIF(従業員の給与情報!$B:$B,$A402,従業員の給与情報!$D:$D)),0,AVERAGEIF(従業員の給与情報!$B:$B,$A402,従業員の給与情報!$D:$D)))))</f>
        <v/>
      </c>
      <c r="V402" s="102" t="str">
        <f>IF(OR(入力シート!$C$5&lt;&gt;入力リスト!$C$3,COUNTIF(入力シート!$J$16:$S$23,入力リスト!$H$9)=0),"",IF(A402="","",IF(ISERROR(AVERAGEIF(従業員の給与情報!$B:$B,$A402,従業員の給与情報!$E:$E)),0,IF(ISERROR(AVERAGEIF(従業員の給与情報!$B:$B,$A402,従業員の給与情報!$E:$E)),0,AVERAGEIF(従業員の給与情報!$B:$B,$A402,従業員の給与情報!$E:$E)))))</f>
        <v/>
      </c>
      <c r="W402" s="103" t="str">
        <f>IF(OR(入力シート!$C$5&lt;&gt;入力リスト!$C$3,COUNTIF(入力シート!$J$16:$S$23,入力リスト!$H$9)=0),"",IF(A402="","",IF(ISERROR(AVERAGEIF(従業員の給与情報!$B:$B,$A402,従業員の給与情報!$F:$F)),0,IF(ISERROR(AVERAGEIF(従業員の給与情報!$B:$B,$A402,従業員の給与情報!$F:$F)),0,AVERAGEIF(従業員の給与情報!$B:$B,$A402,従業員の給与情報!$F:$F)))))</f>
        <v/>
      </c>
    </row>
    <row r="403" spans="1:23" s="10" customFormat="1">
      <c r="A403" s="253"/>
      <c r="B403" s="246"/>
      <c r="C403" s="247"/>
      <c r="D403" s="246"/>
      <c r="E403" s="246"/>
      <c r="F403" s="257" t="str">
        <f>IF($G$1,"",IF(COUNTIF(A403:E403,"")=5,"",IF(G403,入力リスト!$K$28,IF(OR(A403="",B403="",IF(COUNTIF($C$3,"*不要*"),"",C403=""),D403=""),IF(A403="","従業員番号","")&amp;IF(B403="","「雇用形態」","")&amp;IF(OR(入力シート!$J$18=入力リスト!$H$9,入力シート!$J$22=入力リスト!$H$9),IF(C403="","「入社年月日」",""),"")&amp;IF(D403="","「性別」","")&amp;IF(IF(A403="","従業員番号","")&amp;IF(B403="","「雇用形態」","")&amp;IF(OR(入力シート!$J$18=入力リスト!$H$9,入力シート!$J$22=入力リスト!$H$9),IF(C403="","「入社年月日」",""),"")&amp;IF(D403="","「性別」","")="","",入力リスト!$K$29),IF(J403,入力リスト!$K$30,"")&amp;IF(I403,入力リスト!$K$31,"")&amp;IF(H403,"「雇用形態」","")&amp;IF(K403,"「性別」","")&amp;IF(L403,"「役職」","")&amp;IF(OR(H403,K403,L403),入力リスト!$K$32,"")))))</f>
        <v/>
      </c>
      <c r="G403" s="209" t="b">
        <f>COUNTIF($A$4:A402,$A403)&gt;0</f>
        <v>0</v>
      </c>
      <c r="H403" s="210" t="b">
        <f>IF($H$1,FALSE,COUNTIF(入力シート!$S$37:$V$62,B403)=0)</f>
        <v>0</v>
      </c>
      <c r="I403" s="210" t="b">
        <f t="shared" si="14"/>
        <v>0</v>
      </c>
      <c r="J403" s="210" t="b">
        <f>IF($J$1,FALSE,IF(I403=TRUE,FALSE,IF(I403,FALSE,C403&gt;入力シート!$J$24)))</f>
        <v>0</v>
      </c>
      <c r="K403" s="210" t="b">
        <f>IF($K$1,FALSE,COUNTIF(入力シート!$AW$37:$BB$38,D403)=0)</f>
        <v>0</v>
      </c>
      <c r="L403" s="210" t="b">
        <f>IF($L$1,FALSE,IF($L$3,FALSE,IF(E403="",FALSE,COUNTIF(入力シート!$AH$37:$AK$62,E403)=0)))</f>
        <v>0</v>
      </c>
      <c r="M403" s="211" t="str">
        <f t="shared" si="13"/>
        <v/>
      </c>
      <c r="N403" s="211"/>
      <c r="O403" s="209" t="str">
        <f>IF(B403="","",VLOOKUP('従業員情報(給与以外)'!$B403,入力シート!$S$37:$Z$62,5,0))</f>
        <v/>
      </c>
      <c r="P403" s="156" t="str">
        <f>IF(ISNUMBER(C403)=FALSE,"",IF(C403&gt;入力シート!$J$24,"",_xlfn.DAYS(入力シート!$J$24,'従業員情報(給与以外)'!$C403)/365))</f>
        <v/>
      </c>
      <c r="Q403" s="210" t="str">
        <f>IF(P403="","",VLOOKUP(_xlfn.DAYS(入力シート!$J$24,'従業員情報(給与以外)'!$C403)/365,入力リスト!$K$18:$L$26,2,2))</f>
        <v/>
      </c>
      <c r="R403" s="209" t="str">
        <f>IF(D403="","",VLOOKUP('従業員情報(給与以外)'!$D403,入力シート!$AW$37:$BB$38,4,0))</f>
        <v/>
      </c>
      <c r="S403" s="209" t="str">
        <f>IF(A403="","",IF(E403="","非役職",VLOOKUP('従業員情報(給与以外)'!$E403,入力シート!$AH$37:$AO$62,5,0)))</f>
        <v/>
      </c>
      <c r="T403" s="102" t="str">
        <f>IF(OR(入力シート!$C$5&lt;&gt;入力リスト!$C$3,COUNTIF(入力シート!$J$16:$S$23,入力リスト!$H$9)=0),"",IF($A403="","",IF(ISERROR(AVERAGEIF(従業員の給与情報!$B:$B,$A403,従業員の給与情報!$C:$C)),0,IF(ISERROR(AVERAGEIF(従業員の給与情報!$B:$B,$A403,従業員の給与情報!$C:$C)),0,AVERAGEIF(従業員の給与情報!$B:$B,$A403,従業員の給与情報!$C:$C)))))</f>
        <v/>
      </c>
      <c r="U403" s="102" t="str">
        <f>IF(OR(入力シート!$C$5&lt;&gt;入力リスト!$C$3,COUNTIF(入力シート!$J$16:$S$23,入力リスト!$H$9)=0),"",IF(A403="","",IF(ISERROR(AVERAGEIF(従業員の給与情報!$B:$B,$A403,従業員の給与情報!$D:$D)),0,IF(ISERROR(AVERAGEIF(従業員の給与情報!$B:$B,$A403,従業員の給与情報!$D:$D)),0,AVERAGEIF(従業員の給与情報!$B:$B,$A403,従業員の給与情報!$D:$D)))))</f>
        <v/>
      </c>
      <c r="V403" s="102" t="str">
        <f>IF(OR(入力シート!$C$5&lt;&gt;入力リスト!$C$3,COUNTIF(入力シート!$J$16:$S$23,入力リスト!$H$9)=0),"",IF(A403="","",IF(ISERROR(AVERAGEIF(従業員の給与情報!$B:$B,$A403,従業員の給与情報!$E:$E)),0,IF(ISERROR(AVERAGEIF(従業員の給与情報!$B:$B,$A403,従業員の給与情報!$E:$E)),0,AVERAGEIF(従業員の給与情報!$B:$B,$A403,従業員の給与情報!$E:$E)))))</f>
        <v/>
      </c>
      <c r="W403" s="103" t="str">
        <f>IF(OR(入力シート!$C$5&lt;&gt;入力リスト!$C$3,COUNTIF(入力シート!$J$16:$S$23,入力リスト!$H$9)=0),"",IF(A403="","",IF(ISERROR(AVERAGEIF(従業員の給与情報!$B:$B,$A403,従業員の給与情報!$F:$F)),0,IF(ISERROR(AVERAGEIF(従業員の給与情報!$B:$B,$A403,従業員の給与情報!$F:$F)),0,AVERAGEIF(従業員の給与情報!$B:$B,$A403,従業員の給与情報!$F:$F)))))</f>
        <v/>
      </c>
    </row>
    <row r="404" spans="1:23" s="10" customFormat="1">
      <c r="A404" s="253"/>
      <c r="B404" s="246"/>
      <c r="C404" s="247"/>
      <c r="D404" s="246"/>
      <c r="E404" s="246"/>
      <c r="F404" s="257" t="str">
        <f>IF($G$1,"",IF(COUNTIF(A404:E404,"")=5,"",IF(G404,入力リスト!$K$28,IF(OR(A404="",B404="",IF(COUNTIF($C$3,"*不要*"),"",C404=""),D404=""),IF(A404="","従業員番号","")&amp;IF(B404="","「雇用形態」","")&amp;IF(OR(入力シート!$J$18=入力リスト!$H$9,入力シート!$J$22=入力リスト!$H$9),IF(C404="","「入社年月日」",""),"")&amp;IF(D404="","「性別」","")&amp;IF(IF(A404="","従業員番号","")&amp;IF(B404="","「雇用形態」","")&amp;IF(OR(入力シート!$J$18=入力リスト!$H$9,入力シート!$J$22=入力リスト!$H$9),IF(C404="","「入社年月日」",""),"")&amp;IF(D404="","「性別」","")="","",入力リスト!$K$29),IF(J404,入力リスト!$K$30,"")&amp;IF(I404,入力リスト!$K$31,"")&amp;IF(H404,"「雇用形態」","")&amp;IF(K404,"「性別」","")&amp;IF(L404,"「役職」","")&amp;IF(OR(H404,K404,L404),入力リスト!$K$32,"")))))</f>
        <v/>
      </c>
      <c r="G404" s="209" t="b">
        <f>COUNTIF($A$4:A403,$A404)&gt;0</f>
        <v>0</v>
      </c>
      <c r="H404" s="210" t="b">
        <f>IF($H$1,FALSE,COUNTIF(入力シート!$S$37:$V$62,B404)=0)</f>
        <v>0</v>
      </c>
      <c r="I404" s="210" t="b">
        <f t="shared" si="14"/>
        <v>0</v>
      </c>
      <c r="J404" s="210" t="b">
        <f>IF($J$1,FALSE,IF(I404=TRUE,FALSE,IF(I404,FALSE,C404&gt;入力シート!$J$24)))</f>
        <v>0</v>
      </c>
      <c r="K404" s="210" t="b">
        <f>IF($K$1,FALSE,COUNTIF(入力シート!$AW$37:$BB$38,D404)=0)</f>
        <v>0</v>
      </c>
      <c r="L404" s="210" t="b">
        <f>IF($L$1,FALSE,IF($L$3,FALSE,IF(E404="",FALSE,COUNTIF(入力シート!$AH$37:$AK$62,E404)=0)))</f>
        <v>0</v>
      </c>
      <c r="M404" s="211" t="str">
        <f t="shared" si="13"/>
        <v/>
      </c>
      <c r="N404" s="211"/>
      <c r="O404" s="209" t="str">
        <f>IF(B404="","",VLOOKUP('従業員情報(給与以外)'!$B404,入力シート!$S$37:$Z$62,5,0))</f>
        <v/>
      </c>
      <c r="P404" s="156" t="str">
        <f>IF(ISNUMBER(C404)=FALSE,"",IF(C404&gt;入力シート!$J$24,"",_xlfn.DAYS(入力シート!$J$24,'従業員情報(給与以外)'!$C404)/365))</f>
        <v/>
      </c>
      <c r="Q404" s="210" t="str">
        <f>IF(P404="","",VLOOKUP(_xlfn.DAYS(入力シート!$J$24,'従業員情報(給与以外)'!$C404)/365,入力リスト!$K$18:$L$26,2,2))</f>
        <v/>
      </c>
      <c r="R404" s="209" t="str">
        <f>IF(D404="","",VLOOKUP('従業員情報(給与以外)'!$D404,入力シート!$AW$37:$BB$38,4,0))</f>
        <v/>
      </c>
      <c r="S404" s="209" t="str">
        <f>IF(A404="","",IF(E404="","非役職",VLOOKUP('従業員情報(給与以外)'!$E404,入力シート!$AH$37:$AO$62,5,0)))</f>
        <v/>
      </c>
      <c r="T404" s="102" t="str">
        <f>IF(OR(入力シート!$C$5&lt;&gt;入力リスト!$C$3,COUNTIF(入力シート!$J$16:$S$23,入力リスト!$H$9)=0),"",IF($A404="","",IF(ISERROR(AVERAGEIF(従業員の給与情報!$B:$B,$A404,従業員の給与情報!$C:$C)),0,IF(ISERROR(AVERAGEIF(従業員の給与情報!$B:$B,$A404,従業員の給与情報!$C:$C)),0,AVERAGEIF(従業員の給与情報!$B:$B,$A404,従業員の給与情報!$C:$C)))))</f>
        <v/>
      </c>
      <c r="U404" s="102" t="str">
        <f>IF(OR(入力シート!$C$5&lt;&gt;入力リスト!$C$3,COUNTIF(入力シート!$J$16:$S$23,入力リスト!$H$9)=0),"",IF(A404="","",IF(ISERROR(AVERAGEIF(従業員の給与情報!$B:$B,$A404,従業員の給与情報!$D:$D)),0,IF(ISERROR(AVERAGEIF(従業員の給与情報!$B:$B,$A404,従業員の給与情報!$D:$D)),0,AVERAGEIF(従業員の給与情報!$B:$B,$A404,従業員の給与情報!$D:$D)))))</f>
        <v/>
      </c>
      <c r="V404" s="102" t="str">
        <f>IF(OR(入力シート!$C$5&lt;&gt;入力リスト!$C$3,COUNTIF(入力シート!$J$16:$S$23,入力リスト!$H$9)=0),"",IF(A404="","",IF(ISERROR(AVERAGEIF(従業員の給与情報!$B:$B,$A404,従業員の給与情報!$E:$E)),0,IF(ISERROR(AVERAGEIF(従業員の給与情報!$B:$B,$A404,従業員の給与情報!$E:$E)),0,AVERAGEIF(従業員の給与情報!$B:$B,$A404,従業員の給与情報!$E:$E)))))</f>
        <v/>
      </c>
      <c r="W404" s="103" t="str">
        <f>IF(OR(入力シート!$C$5&lt;&gt;入力リスト!$C$3,COUNTIF(入力シート!$J$16:$S$23,入力リスト!$H$9)=0),"",IF(A404="","",IF(ISERROR(AVERAGEIF(従業員の給与情報!$B:$B,$A404,従業員の給与情報!$F:$F)),0,IF(ISERROR(AVERAGEIF(従業員の給与情報!$B:$B,$A404,従業員の給与情報!$F:$F)),0,AVERAGEIF(従業員の給与情報!$B:$B,$A404,従業員の給与情報!$F:$F)))))</f>
        <v/>
      </c>
    </row>
    <row r="405" spans="1:23" s="10" customFormat="1">
      <c r="A405" s="253"/>
      <c r="B405" s="246"/>
      <c r="C405" s="247"/>
      <c r="D405" s="246"/>
      <c r="E405" s="246"/>
      <c r="F405" s="257" t="str">
        <f>IF($G$1,"",IF(COUNTIF(A405:E405,"")=5,"",IF(G405,入力リスト!$K$28,IF(OR(A405="",B405="",IF(COUNTIF($C$3,"*不要*"),"",C405=""),D405=""),IF(A405="","従業員番号","")&amp;IF(B405="","「雇用形態」","")&amp;IF(OR(入力シート!$J$18=入力リスト!$H$9,入力シート!$J$22=入力リスト!$H$9),IF(C405="","「入社年月日」",""),"")&amp;IF(D405="","「性別」","")&amp;IF(IF(A405="","従業員番号","")&amp;IF(B405="","「雇用形態」","")&amp;IF(OR(入力シート!$J$18=入力リスト!$H$9,入力シート!$J$22=入力リスト!$H$9),IF(C405="","「入社年月日」",""),"")&amp;IF(D405="","「性別」","")="","",入力リスト!$K$29),IF(J405,入力リスト!$K$30,"")&amp;IF(I405,入力リスト!$K$31,"")&amp;IF(H405,"「雇用形態」","")&amp;IF(K405,"「性別」","")&amp;IF(L405,"「役職」","")&amp;IF(OR(H405,K405,L405),入力リスト!$K$32,"")))))</f>
        <v/>
      </c>
      <c r="G405" s="209" t="b">
        <f>COUNTIF($A$4:A404,$A405)&gt;0</f>
        <v>0</v>
      </c>
      <c r="H405" s="210" t="b">
        <f>IF($H$1,FALSE,COUNTIF(入力シート!$S$37:$V$62,B405)=0)</f>
        <v>0</v>
      </c>
      <c r="I405" s="210" t="b">
        <f t="shared" si="14"/>
        <v>0</v>
      </c>
      <c r="J405" s="210" t="b">
        <f>IF($J$1,FALSE,IF(I405=TRUE,FALSE,IF(I405,FALSE,C405&gt;入力シート!$J$24)))</f>
        <v>0</v>
      </c>
      <c r="K405" s="210" t="b">
        <f>IF($K$1,FALSE,COUNTIF(入力シート!$AW$37:$BB$38,D405)=0)</f>
        <v>0</v>
      </c>
      <c r="L405" s="210" t="b">
        <f>IF($L$1,FALSE,IF($L$3,FALSE,IF(E405="",FALSE,COUNTIF(入力シート!$AH$37:$AK$62,E405)=0)))</f>
        <v>0</v>
      </c>
      <c r="M405" s="211" t="str">
        <f t="shared" si="13"/>
        <v/>
      </c>
      <c r="N405" s="211"/>
      <c r="O405" s="209" t="str">
        <f>IF(B405="","",VLOOKUP('従業員情報(給与以外)'!$B405,入力シート!$S$37:$Z$62,5,0))</f>
        <v/>
      </c>
      <c r="P405" s="156" t="str">
        <f>IF(ISNUMBER(C405)=FALSE,"",IF(C405&gt;入力シート!$J$24,"",_xlfn.DAYS(入力シート!$J$24,'従業員情報(給与以外)'!$C405)/365))</f>
        <v/>
      </c>
      <c r="Q405" s="210" t="str">
        <f>IF(P405="","",VLOOKUP(_xlfn.DAYS(入力シート!$J$24,'従業員情報(給与以外)'!$C405)/365,入力リスト!$K$18:$L$26,2,2))</f>
        <v/>
      </c>
      <c r="R405" s="209" t="str">
        <f>IF(D405="","",VLOOKUP('従業員情報(給与以外)'!$D405,入力シート!$AW$37:$BB$38,4,0))</f>
        <v/>
      </c>
      <c r="S405" s="209" t="str">
        <f>IF(A405="","",IF(E405="","非役職",VLOOKUP('従業員情報(給与以外)'!$E405,入力シート!$AH$37:$AO$62,5,0)))</f>
        <v/>
      </c>
      <c r="T405" s="102" t="str">
        <f>IF(OR(入力シート!$C$5&lt;&gt;入力リスト!$C$3,COUNTIF(入力シート!$J$16:$S$23,入力リスト!$H$9)=0),"",IF($A405="","",IF(ISERROR(AVERAGEIF(従業員の給与情報!$B:$B,$A405,従業員の給与情報!$C:$C)),0,IF(ISERROR(AVERAGEIF(従業員の給与情報!$B:$B,$A405,従業員の給与情報!$C:$C)),0,AVERAGEIF(従業員の給与情報!$B:$B,$A405,従業員の給与情報!$C:$C)))))</f>
        <v/>
      </c>
      <c r="U405" s="102" t="str">
        <f>IF(OR(入力シート!$C$5&lt;&gt;入力リスト!$C$3,COUNTIF(入力シート!$J$16:$S$23,入力リスト!$H$9)=0),"",IF(A405="","",IF(ISERROR(AVERAGEIF(従業員の給与情報!$B:$B,$A405,従業員の給与情報!$D:$D)),0,IF(ISERROR(AVERAGEIF(従業員の給与情報!$B:$B,$A405,従業員の給与情報!$D:$D)),0,AVERAGEIF(従業員の給与情報!$B:$B,$A405,従業員の給与情報!$D:$D)))))</f>
        <v/>
      </c>
      <c r="V405" s="102" t="str">
        <f>IF(OR(入力シート!$C$5&lt;&gt;入力リスト!$C$3,COUNTIF(入力シート!$J$16:$S$23,入力リスト!$H$9)=0),"",IF(A405="","",IF(ISERROR(AVERAGEIF(従業員の給与情報!$B:$B,$A405,従業員の給与情報!$E:$E)),0,IF(ISERROR(AVERAGEIF(従業員の給与情報!$B:$B,$A405,従業員の給与情報!$E:$E)),0,AVERAGEIF(従業員の給与情報!$B:$B,$A405,従業員の給与情報!$E:$E)))))</f>
        <v/>
      </c>
      <c r="W405" s="103" t="str">
        <f>IF(OR(入力シート!$C$5&lt;&gt;入力リスト!$C$3,COUNTIF(入力シート!$J$16:$S$23,入力リスト!$H$9)=0),"",IF(A405="","",IF(ISERROR(AVERAGEIF(従業員の給与情報!$B:$B,$A405,従業員の給与情報!$F:$F)),0,IF(ISERROR(AVERAGEIF(従業員の給与情報!$B:$B,$A405,従業員の給与情報!$F:$F)),0,AVERAGEIF(従業員の給与情報!$B:$B,$A405,従業員の給与情報!$F:$F)))))</f>
        <v/>
      </c>
    </row>
    <row r="406" spans="1:23" s="10" customFormat="1">
      <c r="A406" s="253"/>
      <c r="B406" s="246"/>
      <c r="C406" s="247"/>
      <c r="D406" s="246"/>
      <c r="E406" s="246"/>
      <c r="F406" s="257" t="str">
        <f>IF($G$1,"",IF(COUNTIF(A406:E406,"")=5,"",IF(G406,入力リスト!$K$28,IF(OR(A406="",B406="",IF(COUNTIF($C$3,"*不要*"),"",C406=""),D406=""),IF(A406="","従業員番号","")&amp;IF(B406="","「雇用形態」","")&amp;IF(OR(入力シート!$J$18=入力リスト!$H$9,入力シート!$J$22=入力リスト!$H$9),IF(C406="","「入社年月日」",""),"")&amp;IF(D406="","「性別」","")&amp;IF(IF(A406="","従業員番号","")&amp;IF(B406="","「雇用形態」","")&amp;IF(OR(入力シート!$J$18=入力リスト!$H$9,入力シート!$J$22=入力リスト!$H$9),IF(C406="","「入社年月日」",""),"")&amp;IF(D406="","「性別」","")="","",入力リスト!$K$29),IF(J406,入力リスト!$K$30,"")&amp;IF(I406,入力リスト!$K$31,"")&amp;IF(H406,"「雇用形態」","")&amp;IF(K406,"「性別」","")&amp;IF(L406,"「役職」","")&amp;IF(OR(H406,K406,L406),入力リスト!$K$32,"")))))</f>
        <v/>
      </c>
      <c r="G406" s="209" t="b">
        <f>COUNTIF($A$4:A405,$A406)&gt;0</f>
        <v>0</v>
      </c>
      <c r="H406" s="210" t="b">
        <f>IF($H$1,FALSE,COUNTIF(入力シート!$S$37:$V$62,B406)=0)</f>
        <v>0</v>
      </c>
      <c r="I406" s="210" t="b">
        <f t="shared" si="14"/>
        <v>0</v>
      </c>
      <c r="J406" s="210" t="b">
        <f>IF($J$1,FALSE,IF(I406=TRUE,FALSE,IF(I406,FALSE,C406&gt;入力シート!$J$24)))</f>
        <v>0</v>
      </c>
      <c r="K406" s="210" t="b">
        <f>IF($K$1,FALSE,COUNTIF(入力シート!$AW$37:$BB$38,D406)=0)</f>
        <v>0</v>
      </c>
      <c r="L406" s="210" t="b">
        <f>IF($L$1,FALSE,IF($L$3,FALSE,IF(E406="",FALSE,COUNTIF(入力シート!$AH$37:$AK$62,E406)=0)))</f>
        <v>0</v>
      </c>
      <c r="M406" s="211" t="str">
        <f t="shared" si="13"/>
        <v/>
      </c>
      <c r="N406" s="211"/>
      <c r="O406" s="209" t="str">
        <f>IF(B406="","",VLOOKUP('従業員情報(給与以外)'!$B406,入力シート!$S$37:$Z$62,5,0))</f>
        <v/>
      </c>
      <c r="P406" s="156" t="str">
        <f>IF(ISNUMBER(C406)=FALSE,"",IF(C406&gt;入力シート!$J$24,"",_xlfn.DAYS(入力シート!$J$24,'従業員情報(給与以外)'!$C406)/365))</f>
        <v/>
      </c>
      <c r="Q406" s="210" t="str">
        <f>IF(P406="","",VLOOKUP(_xlfn.DAYS(入力シート!$J$24,'従業員情報(給与以外)'!$C406)/365,入力リスト!$K$18:$L$26,2,2))</f>
        <v/>
      </c>
      <c r="R406" s="209" t="str">
        <f>IF(D406="","",VLOOKUP('従業員情報(給与以外)'!$D406,入力シート!$AW$37:$BB$38,4,0))</f>
        <v/>
      </c>
      <c r="S406" s="209" t="str">
        <f>IF(A406="","",IF(E406="","非役職",VLOOKUP('従業員情報(給与以外)'!$E406,入力シート!$AH$37:$AO$62,5,0)))</f>
        <v/>
      </c>
      <c r="T406" s="102" t="str">
        <f>IF(OR(入力シート!$C$5&lt;&gt;入力リスト!$C$3,COUNTIF(入力シート!$J$16:$S$23,入力リスト!$H$9)=0),"",IF($A406="","",IF(ISERROR(AVERAGEIF(従業員の給与情報!$B:$B,$A406,従業員の給与情報!$C:$C)),0,IF(ISERROR(AVERAGEIF(従業員の給与情報!$B:$B,$A406,従業員の給与情報!$C:$C)),0,AVERAGEIF(従業員の給与情報!$B:$B,$A406,従業員の給与情報!$C:$C)))))</f>
        <v/>
      </c>
      <c r="U406" s="102" t="str">
        <f>IF(OR(入力シート!$C$5&lt;&gt;入力リスト!$C$3,COUNTIF(入力シート!$J$16:$S$23,入力リスト!$H$9)=0),"",IF(A406="","",IF(ISERROR(AVERAGEIF(従業員の給与情報!$B:$B,$A406,従業員の給与情報!$D:$D)),0,IF(ISERROR(AVERAGEIF(従業員の給与情報!$B:$B,$A406,従業員の給与情報!$D:$D)),0,AVERAGEIF(従業員の給与情報!$B:$B,$A406,従業員の給与情報!$D:$D)))))</f>
        <v/>
      </c>
      <c r="V406" s="102" t="str">
        <f>IF(OR(入力シート!$C$5&lt;&gt;入力リスト!$C$3,COUNTIF(入力シート!$J$16:$S$23,入力リスト!$H$9)=0),"",IF(A406="","",IF(ISERROR(AVERAGEIF(従業員の給与情報!$B:$B,$A406,従業員の給与情報!$E:$E)),0,IF(ISERROR(AVERAGEIF(従業員の給与情報!$B:$B,$A406,従業員の給与情報!$E:$E)),0,AVERAGEIF(従業員の給与情報!$B:$B,$A406,従業員の給与情報!$E:$E)))))</f>
        <v/>
      </c>
      <c r="W406" s="103" t="str">
        <f>IF(OR(入力シート!$C$5&lt;&gt;入力リスト!$C$3,COUNTIF(入力シート!$J$16:$S$23,入力リスト!$H$9)=0),"",IF(A406="","",IF(ISERROR(AVERAGEIF(従業員の給与情報!$B:$B,$A406,従業員の給与情報!$F:$F)),0,IF(ISERROR(AVERAGEIF(従業員の給与情報!$B:$B,$A406,従業員の給与情報!$F:$F)),0,AVERAGEIF(従業員の給与情報!$B:$B,$A406,従業員の給与情報!$F:$F)))))</f>
        <v/>
      </c>
    </row>
    <row r="407" spans="1:23" s="10" customFormat="1">
      <c r="A407" s="253"/>
      <c r="B407" s="246"/>
      <c r="C407" s="247"/>
      <c r="D407" s="246"/>
      <c r="E407" s="246"/>
      <c r="F407" s="257" t="str">
        <f>IF($G$1,"",IF(COUNTIF(A407:E407,"")=5,"",IF(G407,入力リスト!$K$28,IF(OR(A407="",B407="",IF(COUNTIF($C$3,"*不要*"),"",C407=""),D407=""),IF(A407="","従業員番号","")&amp;IF(B407="","「雇用形態」","")&amp;IF(OR(入力シート!$J$18=入力リスト!$H$9,入力シート!$J$22=入力リスト!$H$9),IF(C407="","「入社年月日」",""),"")&amp;IF(D407="","「性別」","")&amp;IF(IF(A407="","従業員番号","")&amp;IF(B407="","「雇用形態」","")&amp;IF(OR(入力シート!$J$18=入力リスト!$H$9,入力シート!$J$22=入力リスト!$H$9),IF(C407="","「入社年月日」",""),"")&amp;IF(D407="","「性別」","")="","",入力リスト!$K$29),IF(J407,入力リスト!$K$30,"")&amp;IF(I407,入力リスト!$K$31,"")&amp;IF(H407,"「雇用形態」","")&amp;IF(K407,"「性別」","")&amp;IF(L407,"「役職」","")&amp;IF(OR(H407,K407,L407),入力リスト!$K$32,"")))))</f>
        <v/>
      </c>
      <c r="G407" s="209" t="b">
        <f>COUNTIF($A$4:A406,$A407)&gt;0</f>
        <v>0</v>
      </c>
      <c r="H407" s="210" t="b">
        <f>IF($H$1,FALSE,COUNTIF(入力シート!$S$37:$V$62,B407)=0)</f>
        <v>0</v>
      </c>
      <c r="I407" s="210" t="b">
        <f t="shared" si="14"/>
        <v>0</v>
      </c>
      <c r="J407" s="210" t="b">
        <f>IF($J$1,FALSE,IF(I407=TRUE,FALSE,IF(I407,FALSE,C407&gt;入力シート!$J$24)))</f>
        <v>0</v>
      </c>
      <c r="K407" s="210" t="b">
        <f>IF($K$1,FALSE,COUNTIF(入力シート!$AW$37:$BB$38,D407)=0)</f>
        <v>0</v>
      </c>
      <c r="L407" s="210" t="b">
        <f>IF($L$1,FALSE,IF($L$3,FALSE,IF(E407="",FALSE,COUNTIF(入力シート!$AH$37:$AK$62,E407)=0)))</f>
        <v>0</v>
      </c>
      <c r="M407" s="211" t="str">
        <f t="shared" si="13"/>
        <v/>
      </c>
      <c r="N407" s="211"/>
      <c r="O407" s="209" t="str">
        <f>IF(B407="","",VLOOKUP('従業員情報(給与以外)'!$B407,入力シート!$S$37:$Z$62,5,0))</f>
        <v/>
      </c>
      <c r="P407" s="156" t="str">
        <f>IF(ISNUMBER(C407)=FALSE,"",IF(C407&gt;入力シート!$J$24,"",_xlfn.DAYS(入力シート!$J$24,'従業員情報(給与以外)'!$C407)/365))</f>
        <v/>
      </c>
      <c r="Q407" s="210" t="str">
        <f>IF(P407="","",VLOOKUP(_xlfn.DAYS(入力シート!$J$24,'従業員情報(給与以外)'!$C407)/365,入力リスト!$K$18:$L$26,2,2))</f>
        <v/>
      </c>
      <c r="R407" s="209" t="str">
        <f>IF(D407="","",VLOOKUP('従業員情報(給与以外)'!$D407,入力シート!$AW$37:$BB$38,4,0))</f>
        <v/>
      </c>
      <c r="S407" s="209" t="str">
        <f>IF(A407="","",IF(E407="","非役職",VLOOKUP('従業員情報(給与以外)'!$E407,入力シート!$AH$37:$AO$62,5,0)))</f>
        <v/>
      </c>
      <c r="T407" s="102" t="str">
        <f>IF(OR(入力シート!$C$5&lt;&gt;入力リスト!$C$3,COUNTIF(入力シート!$J$16:$S$23,入力リスト!$H$9)=0),"",IF($A407="","",IF(ISERROR(AVERAGEIF(従業員の給与情報!$B:$B,$A407,従業員の給与情報!$C:$C)),0,IF(ISERROR(AVERAGEIF(従業員の給与情報!$B:$B,$A407,従業員の給与情報!$C:$C)),0,AVERAGEIF(従業員の給与情報!$B:$B,$A407,従業員の給与情報!$C:$C)))))</f>
        <v/>
      </c>
      <c r="U407" s="102" t="str">
        <f>IF(OR(入力シート!$C$5&lt;&gt;入力リスト!$C$3,COUNTIF(入力シート!$J$16:$S$23,入力リスト!$H$9)=0),"",IF(A407="","",IF(ISERROR(AVERAGEIF(従業員の給与情報!$B:$B,$A407,従業員の給与情報!$D:$D)),0,IF(ISERROR(AVERAGEIF(従業員の給与情報!$B:$B,$A407,従業員の給与情報!$D:$D)),0,AVERAGEIF(従業員の給与情報!$B:$B,$A407,従業員の給与情報!$D:$D)))))</f>
        <v/>
      </c>
      <c r="V407" s="102" t="str">
        <f>IF(OR(入力シート!$C$5&lt;&gt;入力リスト!$C$3,COUNTIF(入力シート!$J$16:$S$23,入力リスト!$H$9)=0),"",IF(A407="","",IF(ISERROR(AVERAGEIF(従業員の給与情報!$B:$B,$A407,従業員の給与情報!$E:$E)),0,IF(ISERROR(AVERAGEIF(従業員の給与情報!$B:$B,$A407,従業員の給与情報!$E:$E)),0,AVERAGEIF(従業員の給与情報!$B:$B,$A407,従業員の給与情報!$E:$E)))))</f>
        <v/>
      </c>
      <c r="W407" s="103" t="str">
        <f>IF(OR(入力シート!$C$5&lt;&gt;入力リスト!$C$3,COUNTIF(入力シート!$J$16:$S$23,入力リスト!$H$9)=0),"",IF(A407="","",IF(ISERROR(AVERAGEIF(従業員の給与情報!$B:$B,$A407,従業員の給与情報!$F:$F)),0,IF(ISERROR(AVERAGEIF(従業員の給与情報!$B:$B,$A407,従業員の給与情報!$F:$F)),0,AVERAGEIF(従業員の給与情報!$B:$B,$A407,従業員の給与情報!$F:$F)))))</f>
        <v/>
      </c>
    </row>
    <row r="408" spans="1:23" s="10" customFormat="1">
      <c r="A408" s="253"/>
      <c r="B408" s="246"/>
      <c r="C408" s="247"/>
      <c r="D408" s="246"/>
      <c r="E408" s="246"/>
      <c r="F408" s="257" t="str">
        <f>IF($G$1,"",IF(COUNTIF(A408:E408,"")=5,"",IF(G408,入力リスト!$K$28,IF(OR(A408="",B408="",IF(COUNTIF($C$3,"*不要*"),"",C408=""),D408=""),IF(A408="","従業員番号","")&amp;IF(B408="","「雇用形態」","")&amp;IF(OR(入力シート!$J$18=入力リスト!$H$9,入力シート!$J$22=入力リスト!$H$9),IF(C408="","「入社年月日」",""),"")&amp;IF(D408="","「性別」","")&amp;IF(IF(A408="","従業員番号","")&amp;IF(B408="","「雇用形態」","")&amp;IF(OR(入力シート!$J$18=入力リスト!$H$9,入力シート!$J$22=入力リスト!$H$9),IF(C408="","「入社年月日」",""),"")&amp;IF(D408="","「性別」","")="","",入力リスト!$K$29),IF(J408,入力リスト!$K$30,"")&amp;IF(I408,入力リスト!$K$31,"")&amp;IF(H408,"「雇用形態」","")&amp;IF(K408,"「性別」","")&amp;IF(L408,"「役職」","")&amp;IF(OR(H408,K408,L408),入力リスト!$K$32,"")))))</f>
        <v/>
      </c>
      <c r="G408" s="209" t="b">
        <f>COUNTIF($A$4:A407,$A408)&gt;0</f>
        <v>0</v>
      </c>
      <c r="H408" s="210" t="b">
        <f>IF($H$1,FALSE,COUNTIF(入力シート!$S$37:$V$62,B408)=0)</f>
        <v>0</v>
      </c>
      <c r="I408" s="210" t="b">
        <f t="shared" si="14"/>
        <v>0</v>
      </c>
      <c r="J408" s="210" t="b">
        <f>IF($J$1,FALSE,IF(I408=TRUE,FALSE,IF(I408,FALSE,C408&gt;入力シート!$J$24)))</f>
        <v>0</v>
      </c>
      <c r="K408" s="210" t="b">
        <f>IF($K$1,FALSE,COUNTIF(入力シート!$AW$37:$BB$38,D408)=0)</f>
        <v>0</v>
      </c>
      <c r="L408" s="210" t="b">
        <f>IF($L$1,FALSE,IF($L$3,FALSE,IF(E408="",FALSE,COUNTIF(入力シート!$AH$37:$AK$62,E408)=0)))</f>
        <v>0</v>
      </c>
      <c r="M408" s="211" t="str">
        <f t="shared" si="13"/>
        <v/>
      </c>
      <c r="N408" s="211"/>
      <c r="O408" s="209" t="str">
        <f>IF(B408="","",VLOOKUP('従業員情報(給与以外)'!$B408,入力シート!$S$37:$Z$62,5,0))</f>
        <v/>
      </c>
      <c r="P408" s="156" t="str">
        <f>IF(ISNUMBER(C408)=FALSE,"",IF(C408&gt;入力シート!$J$24,"",_xlfn.DAYS(入力シート!$J$24,'従業員情報(給与以外)'!$C408)/365))</f>
        <v/>
      </c>
      <c r="Q408" s="210" t="str">
        <f>IF(P408="","",VLOOKUP(_xlfn.DAYS(入力シート!$J$24,'従業員情報(給与以外)'!$C408)/365,入力リスト!$K$18:$L$26,2,2))</f>
        <v/>
      </c>
      <c r="R408" s="209" t="str">
        <f>IF(D408="","",VLOOKUP('従業員情報(給与以外)'!$D408,入力シート!$AW$37:$BB$38,4,0))</f>
        <v/>
      </c>
      <c r="S408" s="209" t="str">
        <f>IF(A408="","",IF(E408="","非役職",VLOOKUP('従業員情報(給与以外)'!$E408,入力シート!$AH$37:$AO$62,5,0)))</f>
        <v/>
      </c>
      <c r="T408" s="102" t="str">
        <f>IF(OR(入力シート!$C$5&lt;&gt;入力リスト!$C$3,COUNTIF(入力シート!$J$16:$S$23,入力リスト!$H$9)=0),"",IF($A408="","",IF(ISERROR(AVERAGEIF(従業員の給与情報!$B:$B,$A408,従業員の給与情報!$C:$C)),0,IF(ISERROR(AVERAGEIF(従業員の給与情報!$B:$B,$A408,従業員の給与情報!$C:$C)),0,AVERAGEIF(従業員の給与情報!$B:$B,$A408,従業員の給与情報!$C:$C)))))</f>
        <v/>
      </c>
      <c r="U408" s="102" t="str">
        <f>IF(OR(入力シート!$C$5&lt;&gt;入力リスト!$C$3,COUNTIF(入力シート!$J$16:$S$23,入力リスト!$H$9)=0),"",IF(A408="","",IF(ISERROR(AVERAGEIF(従業員の給与情報!$B:$B,$A408,従業員の給与情報!$D:$D)),0,IF(ISERROR(AVERAGEIF(従業員の給与情報!$B:$B,$A408,従業員の給与情報!$D:$D)),0,AVERAGEIF(従業員の給与情報!$B:$B,$A408,従業員の給与情報!$D:$D)))))</f>
        <v/>
      </c>
      <c r="V408" s="102" t="str">
        <f>IF(OR(入力シート!$C$5&lt;&gt;入力リスト!$C$3,COUNTIF(入力シート!$J$16:$S$23,入力リスト!$H$9)=0),"",IF(A408="","",IF(ISERROR(AVERAGEIF(従業員の給与情報!$B:$B,$A408,従業員の給与情報!$E:$E)),0,IF(ISERROR(AVERAGEIF(従業員の給与情報!$B:$B,$A408,従業員の給与情報!$E:$E)),0,AVERAGEIF(従業員の給与情報!$B:$B,$A408,従業員の給与情報!$E:$E)))))</f>
        <v/>
      </c>
      <c r="W408" s="103" t="str">
        <f>IF(OR(入力シート!$C$5&lt;&gt;入力リスト!$C$3,COUNTIF(入力シート!$J$16:$S$23,入力リスト!$H$9)=0),"",IF(A408="","",IF(ISERROR(AVERAGEIF(従業員の給与情報!$B:$B,$A408,従業員の給与情報!$F:$F)),0,IF(ISERROR(AVERAGEIF(従業員の給与情報!$B:$B,$A408,従業員の給与情報!$F:$F)),0,AVERAGEIF(従業員の給与情報!$B:$B,$A408,従業員の給与情報!$F:$F)))))</f>
        <v/>
      </c>
    </row>
    <row r="409" spans="1:23" s="10" customFormat="1">
      <c r="A409" s="253"/>
      <c r="B409" s="246"/>
      <c r="C409" s="247"/>
      <c r="D409" s="246"/>
      <c r="E409" s="246"/>
      <c r="F409" s="257" t="str">
        <f>IF($G$1,"",IF(COUNTIF(A409:E409,"")=5,"",IF(G409,入力リスト!$K$28,IF(OR(A409="",B409="",IF(COUNTIF($C$3,"*不要*"),"",C409=""),D409=""),IF(A409="","従業員番号","")&amp;IF(B409="","「雇用形態」","")&amp;IF(OR(入力シート!$J$18=入力リスト!$H$9,入力シート!$J$22=入力リスト!$H$9),IF(C409="","「入社年月日」",""),"")&amp;IF(D409="","「性別」","")&amp;IF(IF(A409="","従業員番号","")&amp;IF(B409="","「雇用形態」","")&amp;IF(OR(入力シート!$J$18=入力リスト!$H$9,入力シート!$J$22=入力リスト!$H$9),IF(C409="","「入社年月日」",""),"")&amp;IF(D409="","「性別」","")="","",入力リスト!$K$29),IF(J409,入力リスト!$K$30,"")&amp;IF(I409,入力リスト!$K$31,"")&amp;IF(H409,"「雇用形態」","")&amp;IF(K409,"「性別」","")&amp;IF(L409,"「役職」","")&amp;IF(OR(H409,K409,L409),入力リスト!$K$32,"")))))</f>
        <v/>
      </c>
      <c r="G409" s="209" t="b">
        <f>COUNTIF($A$4:A408,$A409)&gt;0</f>
        <v>0</v>
      </c>
      <c r="H409" s="210" t="b">
        <f>IF($H$1,FALSE,COUNTIF(入力シート!$S$37:$V$62,B409)=0)</f>
        <v>0</v>
      </c>
      <c r="I409" s="210" t="b">
        <f t="shared" si="14"/>
        <v>0</v>
      </c>
      <c r="J409" s="210" t="b">
        <f>IF($J$1,FALSE,IF(I409=TRUE,FALSE,IF(I409,FALSE,C409&gt;入力シート!$J$24)))</f>
        <v>0</v>
      </c>
      <c r="K409" s="210" t="b">
        <f>IF($K$1,FALSE,COUNTIF(入力シート!$AW$37:$BB$38,D409)=0)</f>
        <v>0</v>
      </c>
      <c r="L409" s="210" t="b">
        <f>IF($L$1,FALSE,IF($L$3,FALSE,IF(E409="",FALSE,COUNTIF(入力シート!$AH$37:$AK$62,E409)=0)))</f>
        <v>0</v>
      </c>
      <c r="M409" s="211" t="str">
        <f t="shared" si="13"/>
        <v/>
      </c>
      <c r="N409" s="211"/>
      <c r="O409" s="209" t="str">
        <f>IF(B409="","",VLOOKUP('従業員情報(給与以外)'!$B409,入力シート!$S$37:$Z$62,5,0))</f>
        <v/>
      </c>
      <c r="P409" s="156" t="str">
        <f>IF(ISNUMBER(C409)=FALSE,"",IF(C409&gt;入力シート!$J$24,"",_xlfn.DAYS(入力シート!$J$24,'従業員情報(給与以外)'!$C409)/365))</f>
        <v/>
      </c>
      <c r="Q409" s="210" t="str">
        <f>IF(P409="","",VLOOKUP(_xlfn.DAYS(入力シート!$J$24,'従業員情報(給与以外)'!$C409)/365,入力リスト!$K$18:$L$26,2,2))</f>
        <v/>
      </c>
      <c r="R409" s="209" t="str">
        <f>IF(D409="","",VLOOKUP('従業員情報(給与以外)'!$D409,入力シート!$AW$37:$BB$38,4,0))</f>
        <v/>
      </c>
      <c r="S409" s="209" t="str">
        <f>IF(A409="","",IF(E409="","非役職",VLOOKUP('従業員情報(給与以外)'!$E409,入力シート!$AH$37:$AO$62,5,0)))</f>
        <v/>
      </c>
      <c r="T409" s="102" t="str">
        <f>IF(OR(入力シート!$C$5&lt;&gt;入力リスト!$C$3,COUNTIF(入力シート!$J$16:$S$23,入力リスト!$H$9)=0),"",IF($A409="","",IF(ISERROR(AVERAGEIF(従業員の給与情報!$B:$B,$A409,従業員の給与情報!$C:$C)),0,IF(ISERROR(AVERAGEIF(従業員の給与情報!$B:$B,$A409,従業員の給与情報!$C:$C)),0,AVERAGEIF(従業員の給与情報!$B:$B,$A409,従業員の給与情報!$C:$C)))))</f>
        <v/>
      </c>
      <c r="U409" s="102" t="str">
        <f>IF(OR(入力シート!$C$5&lt;&gt;入力リスト!$C$3,COUNTIF(入力シート!$J$16:$S$23,入力リスト!$H$9)=0),"",IF(A409="","",IF(ISERROR(AVERAGEIF(従業員の給与情報!$B:$B,$A409,従業員の給与情報!$D:$D)),0,IF(ISERROR(AVERAGEIF(従業員の給与情報!$B:$B,$A409,従業員の給与情報!$D:$D)),0,AVERAGEIF(従業員の給与情報!$B:$B,$A409,従業員の給与情報!$D:$D)))))</f>
        <v/>
      </c>
      <c r="V409" s="102" t="str">
        <f>IF(OR(入力シート!$C$5&lt;&gt;入力リスト!$C$3,COUNTIF(入力シート!$J$16:$S$23,入力リスト!$H$9)=0),"",IF(A409="","",IF(ISERROR(AVERAGEIF(従業員の給与情報!$B:$B,$A409,従業員の給与情報!$E:$E)),0,IF(ISERROR(AVERAGEIF(従業員の給与情報!$B:$B,$A409,従業員の給与情報!$E:$E)),0,AVERAGEIF(従業員の給与情報!$B:$B,$A409,従業員の給与情報!$E:$E)))))</f>
        <v/>
      </c>
      <c r="W409" s="103" t="str">
        <f>IF(OR(入力シート!$C$5&lt;&gt;入力リスト!$C$3,COUNTIF(入力シート!$J$16:$S$23,入力リスト!$H$9)=0),"",IF(A409="","",IF(ISERROR(AVERAGEIF(従業員の給与情報!$B:$B,$A409,従業員の給与情報!$F:$F)),0,IF(ISERROR(AVERAGEIF(従業員の給与情報!$B:$B,$A409,従業員の給与情報!$F:$F)),0,AVERAGEIF(従業員の給与情報!$B:$B,$A409,従業員の給与情報!$F:$F)))))</f>
        <v/>
      </c>
    </row>
    <row r="410" spans="1:23" s="10" customFormat="1">
      <c r="A410" s="253"/>
      <c r="B410" s="246"/>
      <c r="C410" s="247"/>
      <c r="D410" s="246"/>
      <c r="E410" s="246"/>
      <c r="F410" s="257" t="str">
        <f>IF($G$1,"",IF(COUNTIF(A410:E410,"")=5,"",IF(G410,入力リスト!$K$28,IF(OR(A410="",B410="",IF(COUNTIF($C$3,"*不要*"),"",C410=""),D410=""),IF(A410="","従業員番号","")&amp;IF(B410="","「雇用形態」","")&amp;IF(OR(入力シート!$J$18=入力リスト!$H$9,入力シート!$J$22=入力リスト!$H$9),IF(C410="","「入社年月日」",""),"")&amp;IF(D410="","「性別」","")&amp;IF(IF(A410="","従業員番号","")&amp;IF(B410="","「雇用形態」","")&amp;IF(OR(入力シート!$J$18=入力リスト!$H$9,入力シート!$J$22=入力リスト!$H$9),IF(C410="","「入社年月日」",""),"")&amp;IF(D410="","「性別」","")="","",入力リスト!$K$29),IF(J410,入力リスト!$K$30,"")&amp;IF(I410,入力リスト!$K$31,"")&amp;IF(H410,"「雇用形態」","")&amp;IF(K410,"「性別」","")&amp;IF(L410,"「役職」","")&amp;IF(OR(H410,K410,L410),入力リスト!$K$32,"")))))</f>
        <v/>
      </c>
      <c r="G410" s="209" t="b">
        <f>COUNTIF($A$4:A409,$A410)&gt;0</f>
        <v>0</v>
      </c>
      <c r="H410" s="210" t="b">
        <f>IF($H$1,FALSE,COUNTIF(入力シート!$S$37:$V$62,B410)=0)</f>
        <v>0</v>
      </c>
      <c r="I410" s="210" t="b">
        <f t="shared" si="14"/>
        <v>0</v>
      </c>
      <c r="J410" s="210" t="b">
        <f>IF($J$1,FALSE,IF(I410=TRUE,FALSE,IF(I410,FALSE,C410&gt;入力シート!$J$24)))</f>
        <v>0</v>
      </c>
      <c r="K410" s="210" t="b">
        <f>IF($K$1,FALSE,COUNTIF(入力シート!$AW$37:$BB$38,D410)=0)</f>
        <v>0</v>
      </c>
      <c r="L410" s="210" t="b">
        <f>IF($L$1,FALSE,IF($L$3,FALSE,IF(E410="",FALSE,COUNTIF(入力シート!$AH$37:$AK$62,E410)=0)))</f>
        <v>0</v>
      </c>
      <c r="M410" s="211" t="str">
        <f t="shared" si="13"/>
        <v/>
      </c>
      <c r="N410" s="211"/>
      <c r="O410" s="209" t="str">
        <f>IF(B410="","",VLOOKUP('従業員情報(給与以外)'!$B410,入力シート!$S$37:$Z$62,5,0))</f>
        <v/>
      </c>
      <c r="P410" s="156" t="str">
        <f>IF(ISNUMBER(C410)=FALSE,"",IF(C410&gt;入力シート!$J$24,"",_xlfn.DAYS(入力シート!$J$24,'従業員情報(給与以外)'!$C410)/365))</f>
        <v/>
      </c>
      <c r="Q410" s="210" t="str">
        <f>IF(P410="","",VLOOKUP(_xlfn.DAYS(入力シート!$J$24,'従業員情報(給与以外)'!$C410)/365,入力リスト!$K$18:$L$26,2,2))</f>
        <v/>
      </c>
      <c r="R410" s="209" t="str">
        <f>IF(D410="","",VLOOKUP('従業員情報(給与以外)'!$D410,入力シート!$AW$37:$BB$38,4,0))</f>
        <v/>
      </c>
      <c r="S410" s="209" t="str">
        <f>IF(A410="","",IF(E410="","非役職",VLOOKUP('従業員情報(給与以外)'!$E410,入力シート!$AH$37:$AO$62,5,0)))</f>
        <v/>
      </c>
      <c r="T410" s="102" t="str">
        <f>IF(OR(入力シート!$C$5&lt;&gt;入力リスト!$C$3,COUNTIF(入力シート!$J$16:$S$23,入力リスト!$H$9)=0),"",IF($A410="","",IF(ISERROR(AVERAGEIF(従業員の給与情報!$B:$B,$A410,従業員の給与情報!$C:$C)),0,IF(ISERROR(AVERAGEIF(従業員の給与情報!$B:$B,$A410,従業員の給与情報!$C:$C)),0,AVERAGEIF(従業員の給与情報!$B:$B,$A410,従業員の給与情報!$C:$C)))))</f>
        <v/>
      </c>
      <c r="U410" s="102" t="str">
        <f>IF(OR(入力シート!$C$5&lt;&gt;入力リスト!$C$3,COUNTIF(入力シート!$J$16:$S$23,入力リスト!$H$9)=0),"",IF(A410="","",IF(ISERROR(AVERAGEIF(従業員の給与情報!$B:$B,$A410,従業員の給与情報!$D:$D)),0,IF(ISERROR(AVERAGEIF(従業員の給与情報!$B:$B,$A410,従業員の給与情報!$D:$D)),0,AVERAGEIF(従業員の給与情報!$B:$B,$A410,従業員の給与情報!$D:$D)))))</f>
        <v/>
      </c>
      <c r="V410" s="102" t="str">
        <f>IF(OR(入力シート!$C$5&lt;&gt;入力リスト!$C$3,COUNTIF(入力シート!$J$16:$S$23,入力リスト!$H$9)=0),"",IF(A410="","",IF(ISERROR(AVERAGEIF(従業員の給与情報!$B:$B,$A410,従業員の給与情報!$E:$E)),0,IF(ISERROR(AVERAGEIF(従業員の給与情報!$B:$B,$A410,従業員の給与情報!$E:$E)),0,AVERAGEIF(従業員の給与情報!$B:$B,$A410,従業員の給与情報!$E:$E)))))</f>
        <v/>
      </c>
      <c r="W410" s="103" t="str">
        <f>IF(OR(入力シート!$C$5&lt;&gt;入力リスト!$C$3,COUNTIF(入力シート!$J$16:$S$23,入力リスト!$H$9)=0),"",IF(A410="","",IF(ISERROR(AVERAGEIF(従業員の給与情報!$B:$B,$A410,従業員の給与情報!$F:$F)),0,IF(ISERROR(AVERAGEIF(従業員の給与情報!$B:$B,$A410,従業員の給与情報!$F:$F)),0,AVERAGEIF(従業員の給与情報!$B:$B,$A410,従業員の給与情報!$F:$F)))))</f>
        <v/>
      </c>
    </row>
    <row r="411" spans="1:23" s="10" customFormat="1">
      <c r="A411" s="253"/>
      <c r="B411" s="246"/>
      <c r="C411" s="247"/>
      <c r="D411" s="246"/>
      <c r="E411" s="246"/>
      <c r="F411" s="257" t="str">
        <f>IF($G$1,"",IF(COUNTIF(A411:E411,"")=5,"",IF(G411,入力リスト!$K$28,IF(OR(A411="",B411="",IF(COUNTIF($C$3,"*不要*"),"",C411=""),D411=""),IF(A411="","従業員番号","")&amp;IF(B411="","「雇用形態」","")&amp;IF(OR(入力シート!$J$18=入力リスト!$H$9,入力シート!$J$22=入力リスト!$H$9),IF(C411="","「入社年月日」",""),"")&amp;IF(D411="","「性別」","")&amp;IF(IF(A411="","従業員番号","")&amp;IF(B411="","「雇用形態」","")&amp;IF(OR(入力シート!$J$18=入力リスト!$H$9,入力シート!$J$22=入力リスト!$H$9),IF(C411="","「入社年月日」",""),"")&amp;IF(D411="","「性別」","")="","",入力リスト!$K$29),IF(J411,入力リスト!$K$30,"")&amp;IF(I411,入力リスト!$K$31,"")&amp;IF(H411,"「雇用形態」","")&amp;IF(K411,"「性別」","")&amp;IF(L411,"「役職」","")&amp;IF(OR(H411,K411,L411),入力リスト!$K$32,"")))))</f>
        <v/>
      </c>
      <c r="G411" s="209" t="b">
        <f>COUNTIF($A$4:A410,$A411)&gt;0</f>
        <v>0</v>
      </c>
      <c r="H411" s="210" t="b">
        <f>IF($H$1,FALSE,COUNTIF(入力シート!$S$37:$V$62,B411)=0)</f>
        <v>0</v>
      </c>
      <c r="I411" s="210" t="b">
        <f t="shared" si="14"/>
        <v>0</v>
      </c>
      <c r="J411" s="210" t="b">
        <f>IF($J$1,FALSE,IF(I411=TRUE,FALSE,IF(I411,FALSE,C411&gt;入力シート!$J$24)))</f>
        <v>0</v>
      </c>
      <c r="K411" s="210" t="b">
        <f>IF($K$1,FALSE,COUNTIF(入力シート!$AW$37:$BB$38,D411)=0)</f>
        <v>0</v>
      </c>
      <c r="L411" s="210" t="b">
        <f>IF($L$1,FALSE,IF($L$3,FALSE,IF(E411="",FALSE,COUNTIF(入力シート!$AH$37:$AK$62,E411)=0)))</f>
        <v>0</v>
      </c>
      <c r="M411" s="211" t="str">
        <f t="shared" si="13"/>
        <v/>
      </c>
      <c r="N411" s="211"/>
      <c r="O411" s="209" t="str">
        <f>IF(B411="","",VLOOKUP('従業員情報(給与以外)'!$B411,入力シート!$S$37:$Z$62,5,0))</f>
        <v/>
      </c>
      <c r="P411" s="156" t="str">
        <f>IF(ISNUMBER(C411)=FALSE,"",IF(C411&gt;入力シート!$J$24,"",_xlfn.DAYS(入力シート!$J$24,'従業員情報(給与以外)'!$C411)/365))</f>
        <v/>
      </c>
      <c r="Q411" s="210" t="str">
        <f>IF(P411="","",VLOOKUP(_xlfn.DAYS(入力シート!$J$24,'従業員情報(給与以外)'!$C411)/365,入力リスト!$K$18:$L$26,2,2))</f>
        <v/>
      </c>
      <c r="R411" s="209" t="str">
        <f>IF(D411="","",VLOOKUP('従業員情報(給与以外)'!$D411,入力シート!$AW$37:$BB$38,4,0))</f>
        <v/>
      </c>
      <c r="S411" s="209" t="str">
        <f>IF(A411="","",IF(E411="","非役職",VLOOKUP('従業員情報(給与以外)'!$E411,入力シート!$AH$37:$AO$62,5,0)))</f>
        <v/>
      </c>
      <c r="T411" s="102" t="str">
        <f>IF(OR(入力シート!$C$5&lt;&gt;入力リスト!$C$3,COUNTIF(入力シート!$J$16:$S$23,入力リスト!$H$9)=0),"",IF($A411="","",IF(ISERROR(AVERAGEIF(従業員の給与情報!$B:$B,$A411,従業員の給与情報!$C:$C)),0,IF(ISERROR(AVERAGEIF(従業員の給与情報!$B:$B,$A411,従業員の給与情報!$C:$C)),0,AVERAGEIF(従業員の給与情報!$B:$B,$A411,従業員の給与情報!$C:$C)))))</f>
        <v/>
      </c>
      <c r="U411" s="102" t="str">
        <f>IF(OR(入力シート!$C$5&lt;&gt;入力リスト!$C$3,COUNTIF(入力シート!$J$16:$S$23,入力リスト!$H$9)=0),"",IF(A411="","",IF(ISERROR(AVERAGEIF(従業員の給与情報!$B:$B,$A411,従業員の給与情報!$D:$D)),0,IF(ISERROR(AVERAGEIF(従業員の給与情報!$B:$B,$A411,従業員の給与情報!$D:$D)),0,AVERAGEIF(従業員の給与情報!$B:$B,$A411,従業員の給与情報!$D:$D)))))</f>
        <v/>
      </c>
      <c r="V411" s="102" t="str">
        <f>IF(OR(入力シート!$C$5&lt;&gt;入力リスト!$C$3,COUNTIF(入力シート!$J$16:$S$23,入力リスト!$H$9)=0),"",IF(A411="","",IF(ISERROR(AVERAGEIF(従業員の給与情報!$B:$B,$A411,従業員の給与情報!$E:$E)),0,IF(ISERROR(AVERAGEIF(従業員の給与情報!$B:$B,$A411,従業員の給与情報!$E:$E)),0,AVERAGEIF(従業員の給与情報!$B:$B,$A411,従業員の給与情報!$E:$E)))))</f>
        <v/>
      </c>
      <c r="W411" s="103" t="str">
        <f>IF(OR(入力シート!$C$5&lt;&gt;入力リスト!$C$3,COUNTIF(入力シート!$J$16:$S$23,入力リスト!$H$9)=0),"",IF(A411="","",IF(ISERROR(AVERAGEIF(従業員の給与情報!$B:$B,$A411,従業員の給与情報!$F:$F)),0,IF(ISERROR(AVERAGEIF(従業員の給与情報!$B:$B,$A411,従業員の給与情報!$F:$F)),0,AVERAGEIF(従業員の給与情報!$B:$B,$A411,従業員の給与情報!$F:$F)))))</f>
        <v/>
      </c>
    </row>
    <row r="412" spans="1:23" s="10" customFormat="1">
      <c r="A412" s="253"/>
      <c r="B412" s="246"/>
      <c r="C412" s="247"/>
      <c r="D412" s="246"/>
      <c r="E412" s="246"/>
      <c r="F412" s="257" t="str">
        <f>IF($G$1,"",IF(COUNTIF(A412:E412,"")=5,"",IF(G412,入力リスト!$K$28,IF(OR(A412="",B412="",IF(COUNTIF($C$3,"*不要*"),"",C412=""),D412=""),IF(A412="","従業員番号","")&amp;IF(B412="","「雇用形態」","")&amp;IF(OR(入力シート!$J$18=入力リスト!$H$9,入力シート!$J$22=入力リスト!$H$9),IF(C412="","「入社年月日」",""),"")&amp;IF(D412="","「性別」","")&amp;IF(IF(A412="","従業員番号","")&amp;IF(B412="","「雇用形態」","")&amp;IF(OR(入力シート!$J$18=入力リスト!$H$9,入力シート!$J$22=入力リスト!$H$9),IF(C412="","「入社年月日」",""),"")&amp;IF(D412="","「性別」","")="","",入力リスト!$K$29),IF(J412,入力リスト!$K$30,"")&amp;IF(I412,入力リスト!$K$31,"")&amp;IF(H412,"「雇用形態」","")&amp;IF(K412,"「性別」","")&amp;IF(L412,"「役職」","")&amp;IF(OR(H412,K412,L412),入力リスト!$K$32,"")))))</f>
        <v/>
      </c>
      <c r="G412" s="209" t="b">
        <f>COUNTIF($A$4:A411,$A412)&gt;0</f>
        <v>0</v>
      </c>
      <c r="H412" s="210" t="b">
        <f>IF($H$1,FALSE,COUNTIF(入力シート!$S$37:$V$62,B412)=0)</f>
        <v>0</v>
      </c>
      <c r="I412" s="210" t="b">
        <f t="shared" si="14"/>
        <v>0</v>
      </c>
      <c r="J412" s="210" t="b">
        <f>IF($J$1,FALSE,IF(I412=TRUE,FALSE,IF(I412,FALSE,C412&gt;入力シート!$J$24)))</f>
        <v>0</v>
      </c>
      <c r="K412" s="210" t="b">
        <f>IF($K$1,FALSE,COUNTIF(入力シート!$AW$37:$BB$38,D412)=0)</f>
        <v>0</v>
      </c>
      <c r="L412" s="210" t="b">
        <f>IF($L$1,FALSE,IF($L$3,FALSE,IF(E412="",FALSE,COUNTIF(入力シート!$AH$37:$AK$62,E412)=0)))</f>
        <v>0</v>
      </c>
      <c r="M412" s="211" t="str">
        <f t="shared" si="13"/>
        <v/>
      </c>
      <c r="N412" s="211"/>
      <c r="O412" s="209" t="str">
        <f>IF(B412="","",VLOOKUP('従業員情報(給与以外)'!$B412,入力シート!$S$37:$Z$62,5,0))</f>
        <v/>
      </c>
      <c r="P412" s="156" t="str">
        <f>IF(ISNUMBER(C412)=FALSE,"",IF(C412&gt;入力シート!$J$24,"",_xlfn.DAYS(入力シート!$J$24,'従業員情報(給与以外)'!$C412)/365))</f>
        <v/>
      </c>
      <c r="Q412" s="210" t="str">
        <f>IF(P412="","",VLOOKUP(_xlfn.DAYS(入力シート!$J$24,'従業員情報(給与以外)'!$C412)/365,入力リスト!$K$18:$L$26,2,2))</f>
        <v/>
      </c>
      <c r="R412" s="209" t="str">
        <f>IF(D412="","",VLOOKUP('従業員情報(給与以外)'!$D412,入力シート!$AW$37:$BB$38,4,0))</f>
        <v/>
      </c>
      <c r="S412" s="209" t="str">
        <f>IF(A412="","",IF(E412="","非役職",VLOOKUP('従業員情報(給与以外)'!$E412,入力シート!$AH$37:$AO$62,5,0)))</f>
        <v/>
      </c>
      <c r="T412" s="102" t="str">
        <f>IF(OR(入力シート!$C$5&lt;&gt;入力リスト!$C$3,COUNTIF(入力シート!$J$16:$S$23,入力リスト!$H$9)=0),"",IF($A412="","",IF(ISERROR(AVERAGEIF(従業員の給与情報!$B:$B,$A412,従業員の給与情報!$C:$C)),0,IF(ISERROR(AVERAGEIF(従業員の給与情報!$B:$B,$A412,従業員の給与情報!$C:$C)),0,AVERAGEIF(従業員の給与情報!$B:$B,$A412,従業員の給与情報!$C:$C)))))</f>
        <v/>
      </c>
      <c r="U412" s="102" t="str">
        <f>IF(OR(入力シート!$C$5&lt;&gt;入力リスト!$C$3,COUNTIF(入力シート!$J$16:$S$23,入力リスト!$H$9)=0),"",IF(A412="","",IF(ISERROR(AVERAGEIF(従業員の給与情報!$B:$B,$A412,従業員の給与情報!$D:$D)),0,IF(ISERROR(AVERAGEIF(従業員の給与情報!$B:$B,$A412,従業員の給与情報!$D:$D)),0,AVERAGEIF(従業員の給与情報!$B:$B,$A412,従業員の給与情報!$D:$D)))))</f>
        <v/>
      </c>
      <c r="V412" s="102" t="str">
        <f>IF(OR(入力シート!$C$5&lt;&gt;入力リスト!$C$3,COUNTIF(入力シート!$J$16:$S$23,入力リスト!$H$9)=0),"",IF(A412="","",IF(ISERROR(AVERAGEIF(従業員の給与情報!$B:$B,$A412,従業員の給与情報!$E:$E)),0,IF(ISERROR(AVERAGEIF(従業員の給与情報!$B:$B,$A412,従業員の給与情報!$E:$E)),0,AVERAGEIF(従業員の給与情報!$B:$B,$A412,従業員の給与情報!$E:$E)))))</f>
        <v/>
      </c>
      <c r="W412" s="103" t="str">
        <f>IF(OR(入力シート!$C$5&lt;&gt;入力リスト!$C$3,COUNTIF(入力シート!$J$16:$S$23,入力リスト!$H$9)=0),"",IF(A412="","",IF(ISERROR(AVERAGEIF(従業員の給与情報!$B:$B,$A412,従業員の給与情報!$F:$F)),0,IF(ISERROR(AVERAGEIF(従業員の給与情報!$B:$B,$A412,従業員の給与情報!$F:$F)),0,AVERAGEIF(従業員の給与情報!$B:$B,$A412,従業員の給与情報!$F:$F)))))</f>
        <v/>
      </c>
    </row>
    <row r="413" spans="1:23" s="10" customFormat="1">
      <c r="A413" s="253"/>
      <c r="B413" s="246"/>
      <c r="C413" s="247"/>
      <c r="D413" s="246"/>
      <c r="E413" s="246"/>
      <c r="F413" s="257" t="str">
        <f>IF($G$1,"",IF(COUNTIF(A413:E413,"")=5,"",IF(G413,入力リスト!$K$28,IF(OR(A413="",B413="",IF(COUNTIF($C$3,"*不要*"),"",C413=""),D413=""),IF(A413="","従業員番号","")&amp;IF(B413="","「雇用形態」","")&amp;IF(OR(入力シート!$J$18=入力リスト!$H$9,入力シート!$J$22=入力リスト!$H$9),IF(C413="","「入社年月日」",""),"")&amp;IF(D413="","「性別」","")&amp;IF(IF(A413="","従業員番号","")&amp;IF(B413="","「雇用形態」","")&amp;IF(OR(入力シート!$J$18=入力リスト!$H$9,入力シート!$J$22=入力リスト!$H$9),IF(C413="","「入社年月日」",""),"")&amp;IF(D413="","「性別」","")="","",入力リスト!$K$29),IF(J413,入力リスト!$K$30,"")&amp;IF(I413,入力リスト!$K$31,"")&amp;IF(H413,"「雇用形態」","")&amp;IF(K413,"「性別」","")&amp;IF(L413,"「役職」","")&amp;IF(OR(H413,K413,L413),入力リスト!$K$32,"")))))</f>
        <v/>
      </c>
      <c r="G413" s="209" t="b">
        <f>COUNTIF($A$4:A412,$A413)&gt;0</f>
        <v>0</v>
      </c>
      <c r="H413" s="210" t="b">
        <f>IF($H$1,FALSE,COUNTIF(入力シート!$S$37:$V$62,B413)=0)</f>
        <v>0</v>
      </c>
      <c r="I413" s="210" t="b">
        <f t="shared" si="14"/>
        <v>0</v>
      </c>
      <c r="J413" s="210" t="b">
        <f>IF($J$1,FALSE,IF(I413=TRUE,FALSE,IF(I413,FALSE,C413&gt;入力シート!$J$24)))</f>
        <v>0</v>
      </c>
      <c r="K413" s="210" t="b">
        <f>IF($K$1,FALSE,COUNTIF(入力シート!$AW$37:$BB$38,D413)=0)</f>
        <v>0</v>
      </c>
      <c r="L413" s="210" t="b">
        <f>IF($L$1,FALSE,IF($L$3,FALSE,IF(E413="",FALSE,COUNTIF(入力シート!$AH$37:$AK$62,E413)=0)))</f>
        <v>0</v>
      </c>
      <c r="M413" s="211" t="str">
        <f t="shared" si="13"/>
        <v/>
      </c>
      <c r="N413" s="211"/>
      <c r="O413" s="209" t="str">
        <f>IF(B413="","",VLOOKUP('従業員情報(給与以外)'!$B413,入力シート!$S$37:$Z$62,5,0))</f>
        <v/>
      </c>
      <c r="P413" s="156" t="str">
        <f>IF(ISNUMBER(C413)=FALSE,"",IF(C413&gt;入力シート!$J$24,"",_xlfn.DAYS(入力シート!$J$24,'従業員情報(給与以外)'!$C413)/365))</f>
        <v/>
      </c>
      <c r="Q413" s="210" t="str">
        <f>IF(P413="","",VLOOKUP(_xlfn.DAYS(入力シート!$J$24,'従業員情報(給与以外)'!$C413)/365,入力リスト!$K$18:$L$26,2,2))</f>
        <v/>
      </c>
      <c r="R413" s="209" t="str">
        <f>IF(D413="","",VLOOKUP('従業員情報(給与以外)'!$D413,入力シート!$AW$37:$BB$38,4,0))</f>
        <v/>
      </c>
      <c r="S413" s="209" t="str">
        <f>IF(A413="","",IF(E413="","非役職",VLOOKUP('従業員情報(給与以外)'!$E413,入力シート!$AH$37:$AO$62,5,0)))</f>
        <v/>
      </c>
      <c r="T413" s="102" t="str">
        <f>IF(OR(入力シート!$C$5&lt;&gt;入力リスト!$C$3,COUNTIF(入力シート!$J$16:$S$23,入力リスト!$H$9)=0),"",IF($A413="","",IF(ISERROR(AVERAGEIF(従業員の給与情報!$B:$B,$A413,従業員の給与情報!$C:$C)),0,IF(ISERROR(AVERAGEIF(従業員の給与情報!$B:$B,$A413,従業員の給与情報!$C:$C)),0,AVERAGEIF(従業員の給与情報!$B:$B,$A413,従業員の給与情報!$C:$C)))))</f>
        <v/>
      </c>
      <c r="U413" s="102" t="str">
        <f>IF(OR(入力シート!$C$5&lt;&gt;入力リスト!$C$3,COUNTIF(入力シート!$J$16:$S$23,入力リスト!$H$9)=0),"",IF(A413="","",IF(ISERROR(AVERAGEIF(従業員の給与情報!$B:$B,$A413,従業員の給与情報!$D:$D)),0,IF(ISERROR(AVERAGEIF(従業員の給与情報!$B:$B,$A413,従業員の給与情報!$D:$D)),0,AVERAGEIF(従業員の給与情報!$B:$B,$A413,従業員の給与情報!$D:$D)))))</f>
        <v/>
      </c>
      <c r="V413" s="102" t="str">
        <f>IF(OR(入力シート!$C$5&lt;&gt;入力リスト!$C$3,COUNTIF(入力シート!$J$16:$S$23,入力リスト!$H$9)=0),"",IF(A413="","",IF(ISERROR(AVERAGEIF(従業員の給与情報!$B:$B,$A413,従業員の給与情報!$E:$E)),0,IF(ISERROR(AVERAGEIF(従業員の給与情報!$B:$B,$A413,従業員の給与情報!$E:$E)),0,AVERAGEIF(従業員の給与情報!$B:$B,$A413,従業員の給与情報!$E:$E)))))</f>
        <v/>
      </c>
      <c r="W413" s="103" t="str">
        <f>IF(OR(入力シート!$C$5&lt;&gt;入力リスト!$C$3,COUNTIF(入力シート!$J$16:$S$23,入力リスト!$H$9)=0),"",IF(A413="","",IF(ISERROR(AVERAGEIF(従業員の給与情報!$B:$B,$A413,従業員の給与情報!$F:$F)),0,IF(ISERROR(AVERAGEIF(従業員の給与情報!$B:$B,$A413,従業員の給与情報!$F:$F)),0,AVERAGEIF(従業員の給与情報!$B:$B,$A413,従業員の給与情報!$F:$F)))))</f>
        <v/>
      </c>
    </row>
    <row r="414" spans="1:23" s="10" customFormat="1">
      <c r="A414" s="253"/>
      <c r="B414" s="246"/>
      <c r="C414" s="247"/>
      <c r="D414" s="246"/>
      <c r="E414" s="246"/>
      <c r="F414" s="257" t="str">
        <f>IF($G$1,"",IF(COUNTIF(A414:E414,"")=5,"",IF(G414,入力リスト!$K$28,IF(OR(A414="",B414="",IF(COUNTIF($C$3,"*不要*"),"",C414=""),D414=""),IF(A414="","従業員番号","")&amp;IF(B414="","「雇用形態」","")&amp;IF(OR(入力シート!$J$18=入力リスト!$H$9,入力シート!$J$22=入力リスト!$H$9),IF(C414="","「入社年月日」",""),"")&amp;IF(D414="","「性別」","")&amp;IF(IF(A414="","従業員番号","")&amp;IF(B414="","「雇用形態」","")&amp;IF(OR(入力シート!$J$18=入力リスト!$H$9,入力シート!$J$22=入力リスト!$H$9),IF(C414="","「入社年月日」",""),"")&amp;IF(D414="","「性別」","")="","",入力リスト!$K$29),IF(J414,入力リスト!$K$30,"")&amp;IF(I414,入力リスト!$K$31,"")&amp;IF(H414,"「雇用形態」","")&amp;IF(K414,"「性別」","")&amp;IF(L414,"「役職」","")&amp;IF(OR(H414,K414,L414),入力リスト!$K$32,"")))))</f>
        <v/>
      </c>
      <c r="G414" s="209" t="b">
        <f>COUNTIF($A$4:A413,$A414)&gt;0</f>
        <v>0</v>
      </c>
      <c r="H414" s="210" t="b">
        <f>IF($H$1,FALSE,COUNTIF(入力シート!$S$37:$V$62,B414)=0)</f>
        <v>0</v>
      </c>
      <c r="I414" s="210" t="b">
        <f t="shared" si="14"/>
        <v>0</v>
      </c>
      <c r="J414" s="210" t="b">
        <f>IF($J$1,FALSE,IF(I414=TRUE,FALSE,IF(I414,FALSE,C414&gt;入力シート!$J$24)))</f>
        <v>0</v>
      </c>
      <c r="K414" s="210" t="b">
        <f>IF($K$1,FALSE,COUNTIF(入力シート!$AW$37:$BB$38,D414)=0)</f>
        <v>0</v>
      </c>
      <c r="L414" s="210" t="b">
        <f>IF($L$1,FALSE,IF($L$3,FALSE,IF(E414="",FALSE,COUNTIF(入力シート!$AH$37:$AK$62,E414)=0)))</f>
        <v>0</v>
      </c>
      <c r="M414" s="211" t="str">
        <f t="shared" si="13"/>
        <v/>
      </c>
      <c r="N414" s="211"/>
      <c r="O414" s="209" t="str">
        <f>IF(B414="","",VLOOKUP('従業員情報(給与以外)'!$B414,入力シート!$S$37:$Z$62,5,0))</f>
        <v/>
      </c>
      <c r="P414" s="156" t="str">
        <f>IF(ISNUMBER(C414)=FALSE,"",IF(C414&gt;入力シート!$J$24,"",_xlfn.DAYS(入力シート!$J$24,'従業員情報(給与以外)'!$C414)/365))</f>
        <v/>
      </c>
      <c r="Q414" s="210" t="str">
        <f>IF(P414="","",VLOOKUP(_xlfn.DAYS(入力シート!$J$24,'従業員情報(給与以外)'!$C414)/365,入力リスト!$K$18:$L$26,2,2))</f>
        <v/>
      </c>
      <c r="R414" s="209" t="str">
        <f>IF(D414="","",VLOOKUP('従業員情報(給与以外)'!$D414,入力シート!$AW$37:$BB$38,4,0))</f>
        <v/>
      </c>
      <c r="S414" s="209" t="str">
        <f>IF(A414="","",IF(E414="","非役職",VLOOKUP('従業員情報(給与以外)'!$E414,入力シート!$AH$37:$AO$62,5,0)))</f>
        <v/>
      </c>
      <c r="T414" s="102" t="str">
        <f>IF(OR(入力シート!$C$5&lt;&gt;入力リスト!$C$3,COUNTIF(入力シート!$J$16:$S$23,入力リスト!$H$9)=0),"",IF($A414="","",IF(ISERROR(AVERAGEIF(従業員の給与情報!$B:$B,$A414,従業員の給与情報!$C:$C)),0,IF(ISERROR(AVERAGEIF(従業員の給与情報!$B:$B,$A414,従業員の給与情報!$C:$C)),0,AVERAGEIF(従業員の給与情報!$B:$B,$A414,従業員の給与情報!$C:$C)))))</f>
        <v/>
      </c>
      <c r="U414" s="102" t="str">
        <f>IF(OR(入力シート!$C$5&lt;&gt;入力リスト!$C$3,COUNTIF(入力シート!$J$16:$S$23,入力リスト!$H$9)=0),"",IF(A414="","",IF(ISERROR(AVERAGEIF(従業員の給与情報!$B:$B,$A414,従業員の給与情報!$D:$D)),0,IF(ISERROR(AVERAGEIF(従業員の給与情報!$B:$B,$A414,従業員の給与情報!$D:$D)),0,AVERAGEIF(従業員の給与情報!$B:$B,$A414,従業員の給与情報!$D:$D)))))</f>
        <v/>
      </c>
      <c r="V414" s="102" t="str">
        <f>IF(OR(入力シート!$C$5&lt;&gt;入力リスト!$C$3,COUNTIF(入力シート!$J$16:$S$23,入力リスト!$H$9)=0),"",IF(A414="","",IF(ISERROR(AVERAGEIF(従業員の給与情報!$B:$B,$A414,従業員の給与情報!$E:$E)),0,IF(ISERROR(AVERAGEIF(従業員の給与情報!$B:$B,$A414,従業員の給与情報!$E:$E)),0,AVERAGEIF(従業員の給与情報!$B:$B,$A414,従業員の給与情報!$E:$E)))))</f>
        <v/>
      </c>
      <c r="W414" s="103" t="str">
        <f>IF(OR(入力シート!$C$5&lt;&gt;入力リスト!$C$3,COUNTIF(入力シート!$J$16:$S$23,入力リスト!$H$9)=0),"",IF(A414="","",IF(ISERROR(AVERAGEIF(従業員の給与情報!$B:$B,$A414,従業員の給与情報!$F:$F)),0,IF(ISERROR(AVERAGEIF(従業員の給与情報!$B:$B,$A414,従業員の給与情報!$F:$F)),0,AVERAGEIF(従業員の給与情報!$B:$B,$A414,従業員の給与情報!$F:$F)))))</f>
        <v/>
      </c>
    </row>
    <row r="415" spans="1:23" s="10" customFormat="1">
      <c r="A415" s="253"/>
      <c r="B415" s="246"/>
      <c r="C415" s="247"/>
      <c r="D415" s="246"/>
      <c r="E415" s="246"/>
      <c r="F415" s="257" t="str">
        <f>IF($G$1,"",IF(COUNTIF(A415:E415,"")=5,"",IF(G415,入力リスト!$K$28,IF(OR(A415="",B415="",IF(COUNTIF($C$3,"*不要*"),"",C415=""),D415=""),IF(A415="","従業員番号","")&amp;IF(B415="","「雇用形態」","")&amp;IF(OR(入力シート!$J$18=入力リスト!$H$9,入力シート!$J$22=入力リスト!$H$9),IF(C415="","「入社年月日」",""),"")&amp;IF(D415="","「性別」","")&amp;IF(IF(A415="","従業員番号","")&amp;IF(B415="","「雇用形態」","")&amp;IF(OR(入力シート!$J$18=入力リスト!$H$9,入力シート!$J$22=入力リスト!$H$9),IF(C415="","「入社年月日」",""),"")&amp;IF(D415="","「性別」","")="","",入力リスト!$K$29),IF(J415,入力リスト!$K$30,"")&amp;IF(I415,入力リスト!$K$31,"")&amp;IF(H415,"「雇用形態」","")&amp;IF(K415,"「性別」","")&amp;IF(L415,"「役職」","")&amp;IF(OR(H415,K415,L415),入力リスト!$K$32,"")))))</f>
        <v/>
      </c>
      <c r="G415" s="209" t="b">
        <f>COUNTIF($A$4:A414,$A415)&gt;0</f>
        <v>0</v>
      </c>
      <c r="H415" s="210" t="b">
        <f>IF($H$1,FALSE,COUNTIF(入力シート!$S$37:$V$62,B415)=0)</f>
        <v>0</v>
      </c>
      <c r="I415" s="210" t="b">
        <f t="shared" si="14"/>
        <v>0</v>
      </c>
      <c r="J415" s="210" t="b">
        <f>IF($J$1,FALSE,IF(I415=TRUE,FALSE,IF(I415,FALSE,C415&gt;入力シート!$J$24)))</f>
        <v>0</v>
      </c>
      <c r="K415" s="210" t="b">
        <f>IF($K$1,FALSE,COUNTIF(入力シート!$AW$37:$BB$38,D415)=0)</f>
        <v>0</v>
      </c>
      <c r="L415" s="210" t="b">
        <f>IF($L$1,FALSE,IF($L$3,FALSE,IF(E415="",FALSE,COUNTIF(入力シート!$AH$37:$AK$62,E415)=0)))</f>
        <v>0</v>
      </c>
      <c r="M415" s="211" t="str">
        <f t="shared" si="13"/>
        <v/>
      </c>
      <c r="N415" s="211"/>
      <c r="O415" s="209" t="str">
        <f>IF(B415="","",VLOOKUP('従業員情報(給与以外)'!$B415,入力シート!$S$37:$Z$62,5,0))</f>
        <v/>
      </c>
      <c r="P415" s="156" t="str">
        <f>IF(ISNUMBER(C415)=FALSE,"",IF(C415&gt;入力シート!$J$24,"",_xlfn.DAYS(入力シート!$J$24,'従業員情報(給与以外)'!$C415)/365))</f>
        <v/>
      </c>
      <c r="Q415" s="210" t="str">
        <f>IF(P415="","",VLOOKUP(_xlfn.DAYS(入力シート!$J$24,'従業員情報(給与以外)'!$C415)/365,入力リスト!$K$18:$L$26,2,2))</f>
        <v/>
      </c>
      <c r="R415" s="209" t="str">
        <f>IF(D415="","",VLOOKUP('従業員情報(給与以外)'!$D415,入力シート!$AW$37:$BB$38,4,0))</f>
        <v/>
      </c>
      <c r="S415" s="209" t="str">
        <f>IF(A415="","",IF(E415="","非役職",VLOOKUP('従業員情報(給与以外)'!$E415,入力シート!$AH$37:$AO$62,5,0)))</f>
        <v/>
      </c>
      <c r="T415" s="102" t="str">
        <f>IF(OR(入力シート!$C$5&lt;&gt;入力リスト!$C$3,COUNTIF(入力シート!$J$16:$S$23,入力リスト!$H$9)=0),"",IF($A415="","",IF(ISERROR(AVERAGEIF(従業員の給与情報!$B:$B,$A415,従業員の給与情報!$C:$C)),0,IF(ISERROR(AVERAGEIF(従業員の給与情報!$B:$B,$A415,従業員の給与情報!$C:$C)),0,AVERAGEIF(従業員の給与情報!$B:$B,$A415,従業員の給与情報!$C:$C)))))</f>
        <v/>
      </c>
      <c r="U415" s="102" t="str">
        <f>IF(OR(入力シート!$C$5&lt;&gt;入力リスト!$C$3,COUNTIF(入力シート!$J$16:$S$23,入力リスト!$H$9)=0),"",IF(A415="","",IF(ISERROR(AVERAGEIF(従業員の給与情報!$B:$B,$A415,従業員の給与情報!$D:$D)),0,IF(ISERROR(AVERAGEIF(従業員の給与情報!$B:$B,$A415,従業員の給与情報!$D:$D)),0,AVERAGEIF(従業員の給与情報!$B:$B,$A415,従業員の給与情報!$D:$D)))))</f>
        <v/>
      </c>
      <c r="V415" s="102" t="str">
        <f>IF(OR(入力シート!$C$5&lt;&gt;入力リスト!$C$3,COUNTIF(入力シート!$J$16:$S$23,入力リスト!$H$9)=0),"",IF(A415="","",IF(ISERROR(AVERAGEIF(従業員の給与情報!$B:$B,$A415,従業員の給与情報!$E:$E)),0,IF(ISERROR(AVERAGEIF(従業員の給与情報!$B:$B,$A415,従業員の給与情報!$E:$E)),0,AVERAGEIF(従業員の給与情報!$B:$B,$A415,従業員の給与情報!$E:$E)))))</f>
        <v/>
      </c>
      <c r="W415" s="103" t="str">
        <f>IF(OR(入力シート!$C$5&lt;&gt;入力リスト!$C$3,COUNTIF(入力シート!$J$16:$S$23,入力リスト!$H$9)=0),"",IF(A415="","",IF(ISERROR(AVERAGEIF(従業員の給与情報!$B:$B,$A415,従業員の給与情報!$F:$F)),0,IF(ISERROR(AVERAGEIF(従業員の給与情報!$B:$B,$A415,従業員の給与情報!$F:$F)),0,AVERAGEIF(従業員の給与情報!$B:$B,$A415,従業員の給与情報!$F:$F)))))</f>
        <v/>
      </c>
    </row>
    <row r="416" spans="1:23" s="10" customFormat="1">
      <c r="A416" s="253"/>
      <c r="B416" s="246"/>
      <c r="C416" s="247"/>
      <c r="D416" s="246"/>
      <c r="E416" s="246"/>
      <c r="F416" s="257" t="str">
        <f>IF($G$1,"",IF(COUNTIF(A416:E416,"")=5,"",IF(G416,入力リスト!$K$28,IF(OR(A416="",B416="",IF(COUNTIF($C$3,"*不要*"),"",C416=""),D416=""),IF(A416="","従業員番号","")&amp;IF(B416="","「雇用形態」","")&amp;IF(OR(入力シート!$J$18=入力リスト!$H$9,入力シート!$J$22=入力リスト!$H$9),IF(C416="","「入社年月日」",""),"")&amp;IF(D416="","「性別」","")&amp;IF(IF(A416="","従業員番号","")&amp;IF(B416="","「雇用形態」","")&amp;IF(OR(入力シート!$J$18=入力リスト!$H$9,入力シート!$J$22=入力リスト!$H$9),IF(C416="","「入社年月日」",""),"")&amp;IF(D416="","「性別」","")="","",入力リスト!$K$29),IF(J416,入力リスト!$K$30,"")&amp;IF(I416,入力リスト!$K$31,"")&amp;IF(H416,"「雇用形態」","")&amp;IF(K416,"「性別」","")&amp;IF(L416,"「役職」","")&amp;IF(OR(H416,K416,L416),入力リスト!$K$32,"")))))</f>
        <v/>
      </c>
      <c r="G416" s="209" t="b">
        <f>COUNTIF($A$4:A415,$A416)&gt;0</f>
        <v>0</v>
      </c>
      <c r="H416" s="210" t="b">
        <f>IF($H$1,FALSE,COUNTIF(入力シート!$S$37:$V$62,B416)=0)</f>
        <v>0</v>
      </c>
      <c r="I416" s="210" t="b">
        <f t="shared" si="14"/>
        <v>0</v>
      </c>
      <c r="J416" s="210" t="b">
        <f>IF($J$1,FALSE,IF(I416=TRUE,FALSE,IF(I416,FALSE,C416&gt;入力シート!$J$24)))</f>
        <v>0</v>
      </c>
      <c r="K416" s="210" t="b">
        <f>IF($K$1,FALSE,COUNTIF(入力シート!$AW$37:$BB$38,D416)=0)</f>
        <v>0</v>
      </c>
      <c r="L416" s="210" t="b">
        <f>IF($L$1,FALSE,IF($L$3,FALSE,IF(E416="",FALSE,COUNTIF(入力シート!$AH$37:$AK$62,E416)=0)))</f>
        <v>0</v>
      </c>
      <c r="M416" s="211" t="str">
        <f t="shared" si="13"/>
        <v/>
      </c>
      <c r="N416" s="211"/>
      <c r="O416" s="209" t="str">
        <f>IF(B416="","",VLOOKUP('従業員情報(給与以外)'!$B416,入力シート!$S$37:$Z$62,5,0))</f>
        <v/>
      </c>
      <c r="P416" s="156" t="str">
        <f>IF(ISNUMBER(C416)=FALSE,"",IF(C416&gt;入力シート!$J$24,"",_xlfn.DAYS(入力シート!$J$24,'従業員情報(給与以外)'!$C416)/365))</f>
        <v/>
      </c>
      <c r="Q416" s="210" t="str">
        <f>IF(P416="","",VLOOKUP(_xlfn.DAYS(入力シート!$J$24,'従業員情報(給与以外)'!$C416)/365,入力リスト!$K$18:$L$26,2,2))</f>
        <v/>
      </c>
      <c r="R416" s="209" t="str">
        <f>IF(D416="","",VLOOKUP('従業員情報(給与以外)'!$D416,入力シート!$AW$37:$BB$38,4,0))</f>
        <v/>
      </c>
      <c r="S416" s="209" t="str">
        <f>IF(A416="","",IF(E416="","非役職",VLOOKUP('従業員情報(給与以外)'!$E416,入力シート!$AH$37:$AO$62,5,0)))</f>
        <v/>
      </c>
      <c r="T416" s="102" t="str">
        <f>IF(OR(入力シート!$C$5&lt;&gt;入力リスト!$C$3,COUNTIF(入力シート!$J$16:$S$23,入力リスト!$H$9)=0),"",IF($A416="","",IF(ISERROR(AVERAGEIF(従業員の給与情報!$B:$B,$A416,従業員の給与情報!$C:$C)),0,IF(ISERROR(AVERAGEIF(従業員の給与情報!$B:$B,$A416,従業員の給与情報!$C:$C)),0,AVERAGEIF(従業員の給与情報!$B:$B,$A416,従業員の給与情報!$C:$C)))))</f>
        <v/>
      </c>
      <c r="U416" s="102" t="str">
        <f>IF(OR(入力シート!$C$5&lt;&gt;入力リスト!$C$3,COUNTIF(入力シート!$J$16:$S$23,入力リスト!$H$9)=0),"",IF(A416="","",IF(ISERROR(AVERAGEIF(従業員の給与情報!$B:$B,$A416,従業員の給与情報!$D:$D)),0,IF(ISERROR(AVERAGEIF(従業員の給与情報!$B:$B,$A416,従業員の給与情報!$D:$D)),0,AVERAGEIF(従業員の給与情報!$B:$B,$A416,従業員の給与情報!$D:$D)))))</f>
        <v/>
      </c>
      <c r="V416" s="102" t="str">
        <f>IF(OR(入力シート!$C$5&lt;&gt;入力リスト!$C$3,COUNTIF(入力シート!$J$16:$S$23,入力リスト!$H$9)=0),"",IF(A416="","",IF(ISERROR(AVERAGEIF(従業員の給与情報!$B:$B,$A416,従業員の給与情報!$E:$E)),0,IF(ISERROR(AVERAGEIF(従業員の給与情報!$B:$B,$A416,従業員の給与情報!$E:$E)),0,AVERAGEIF(従業員の給与情報!$B:$B,$A416,従業員の給与情報!$E:$E)))))</f>
        <v/>
      </c>
      <c r="W416" s="103" t="str">
        <f>IF(OR(入力シート!$C$5&lt;&gt;入力リスト!$C$3,COUNTIF(入力シート!$J$16:$S$23,入力リスト!$H$9)=0),"",IF(A416="","",IF(ISERROR(AVERAGEIF(従業員の給与情報!$B:$B,$A416,従業員の給与情報!$F:$F)),0,IF(ISERROR(AVERAGEIF(従業員の給与情報!$B:$B,$A416,従業員の給与情報!$F:$F)),0,AVERAGEIF(従業員の給与情報!$B:$B,$A416,従業員の給与情報!$F:$F)))))</f>
        <v/>
      </c>
    </row>
    <row r="417" spans="1:23" s="10" customFormat="1">
      <c r="A417" s="253"/>
      <c r="B417" s="246"/>
      <c r="C417" s="247"/>
      <c r="D417" s="246"/>
      <c r="E417" s="246"/>
      <c r="F417" s="257" t="str">
        <f>IF($G$1,"",IF(COUNTIF(A417:E417,"")=5,"",IF(G417,入力リスト!$K$28,IF(OR(A417="",B417="",IF(COUNTIF($C$3,"*不要*"),"",C417=""),D417=""),IF(A417="","従業員番号","")&amp;IF(B417="","「雇用形態」","")&amp;IF(OR(入力シート!$J$18=入力リスト!$H$9,入力シート!$J$22=入力リスト!$H$9),IF(C417="","「入社年月日」",""),"")&amp;IF(D417="","「性別」","")&amp;IF(IF(A417="","従業員番号","")&amp;IF(B417="","「雇用形態」","")&amp;IF(OR(入力シート!$J$18=入力リスト!$H$9,入力シート!$J$22=入力リスト!$H$9),IF(C417="","「入社年月日」",""),"")&amp;IF(D417="","「性別」","")="","",入力リスト!$K$29),IF(J417,入力リスト!$K$30,"")&amp;IF(I417,入力リスト!$K$31,"")&amp;IF(H417,"「雇用形態」","")&amp;IF(K417,"「性別」","")&amp;IF(L417,"「役職」","")&amp;IF(OR(H417,K417,L417),入力リスト!$K$32,"")))))</f>
        <v/>
      </c>
      <c r="G417" s="209" t="b">
        <f>COUNTIF($A$4:A416,$A417)&gt;0</f>
        <v>0</v>
      </c>
      <c r="H417" s="210" t="b">
        <f>IF($H$1,FALSE,COUNTIF(入力シート!$S$37:$V$62,B417)=0)</f>
        <v>0</v>
      </c>
      <c r="I417" s="210" t="b">
        <f t="shared" si="14"/>
        <v>0</v>
      </c>
      <c r="J417" s="210" t="b">
        <f>IF($J$1,FALSE,IF(I417=TRUE,FALSE,IF(I417,FALSE,C417&gt;入力シート!$J$24)))</f>
        <v>0</v>
      </c>
      <c r="K417" s="210" t="b">
        <f>IF($K$1,FALSE,COUNTIF(入力シート!$AW$37:$BB$38,D417)=0)</f>
        <v>0</v>
      </c>
      <c r="L417" s="210" t="b">
        <f>IF($L$1,FALSE,IF($L$3,FALSE,IF(E417="",FALSE,COUNTIF(入力シート!$AH$37:$AK$62,E417)=0)))</f>
        <v>0</v>
      </c>
      <c r="M417" s="211" t="str">
        <f t="shared" si="13"/>
        <v/>
      </c>
      <c r="N417" s="211"/>
      <c r="O417" s="209" t="str">
        <f>IF(B417="","",VLOOKUP('従業員情報(給与以外)'!$B417,入力シート!$S$37:$Z$62,5,0))</f>
        <v/>
      </c>
      <c r="P417" s="156" t="str">
        <f>IF(ISNUMBER(C417)=FALSE,"",IF(C417&gt;入力シート!$J$24,"",_xlfn.DAYS(入力シート!$J$24,'従業員情報(給与以外)'!$C417)/365))</f>
        <v/>
      </c>
      <c r="Q417" s="210" t="str">
        <f>IF(P417="","",VLOOKUP(_xlfn.DAYS(入力シート!$J$24,'従業員情報(給与以外)'!$C417)/365,入力リスト!$K$18:$L$26,2,2))</f>
        <v/>
      </c>
      <c r="R417" s="209" t="str">
        <f>IF(D417="","",VLOOKUP('従業員情報(給与以外)'!$D417,入力シート!$AW$37:$BB$38,4,0))</f>
        <v/>
      </c>
      <c r="S417" s="209" t="str">
        <f>IF(A417="","",IF(E417="","非役職",VLOOKUP('従業員情報(給与以外)'!$E417,入力シート!$AH$37:$AO$62,5,0)))</f>
        <v/>
      </c>
      <c r="T417" s="102" t="str">
        <f>IF(OR(入力シート!$C$5&lt;&gt;入力リスト!$C$3,COUNTIF(入力シート!$J$16:$S$23,入力リスト!$H$9)=0),"",IF($A417="","",IF(ISERROR(AVERAGEIF(従業員の給与情報!$B:$B,$A417,従業員の給与情報!$C:$C)),0,IF(ISERROR(AVERAGEIF(従業員の給与情報!$B:$B,$A417,従業員の給与情報!$C:$C)),0,AVERAGEIF(従業員の給与情報!$B:$B,$A417,従業員の給与情報!$C:$C)))))</f>
        <v/>
      </c>
      <c r="U417" s="102" t="str">
        <f>IF(OR(入力シート!$C$5&lt;&gt;入力リスト!$C$3,COUNTIF(入力シート!$J$16:$S$23,入力リスト!$H$9)=0),"",IF(A417="","",IF(ISERROR(AVERAGEIF(従業員の給与情報!$B:$B,$A417,従業員の給与情報!$D:$D)),0,IF(ISERROR(AVERAGEIF(従業員の給与情報!$B:$B,$A417,従業員の給与情報!$D:$D)),0,AVERAGEIF(従業員の給与情報!$B:$B,$A417,従業員の給与情報!$D:$D)))))</f>
        <v/>
      </c>
      <c r="V417" s="102" t="str">
        <f>IF(OR(入力シート!$C$5&lt;&gt;入力リスト!$C$3,COUNTIF(入力シート!$J$16:$S$23,入力リスト!$H$9)=0),"",IF(A417="","",IF(ISERROR(AVERAGEIF(従業員の給与情報!$B:$B,$A417,従業員の給与情報!$E:$E)),0,IF(ISERROR(AVERAGEIF(従業員の給与情報!$B:$B,$A417,従業員の給与情報!$E:$E)),0,AVERAGEIF(従業員の給与情報!$B:$B,$A417,従業員の給与情報!$E:$E)))))</f>
        <v/>
      </c>
      <c r="W417" s="103" t="str">
        <f>IF(OR(入力シート!$C$5&lt;&gt;入力リスト!$C$3,COUNTIF(入力シート!$J$16:$S$23,入力リスト!$H$9)=0),"",IF(A417="","",IF(ISERROR(AVERAGEIF(従業員の給与情報!$B:$B,$A417,従業員の給与情報!$F:$F)),0,IF(ISERROR(AVERAGEIF(従業員の給与情報!$B:$B,$A417,従業員の給与情報!$F:$F)),0,AVERAGEIF(従業員の給与情報!$B:$B,$A417,従業員の給与情報!$F:$F)))))</f>
        <v/>
      </c>
    </row>
    <row r="418" spans="1:23" s="10" customFormat="1">
      <c r="A418" s="253"/>
      <c r="B418" s="246"/>
      <c r="C418" s="247"/>
      <c r="D418" s="246"/>
      <c r="E418" s="246"/>
      <c r="F418" s="257" t="str">
        <f>IF($G$1,"",IF(COUNTIF(A418:E418,"")=5,"",IF(G418,入力リスト!$K$28,IF(OR(A418="",B418="",IF(COUNTIF($C$3,"*不要*"),"",C418=""),D418=""),IF(A418="","従業員番号","")&amp;IF(B418="","「雇用形態」","")&amp;IF(OR(入力シート!$J$18=入力リスト!$H$9,入力シート!$J$22=入力リスト!$H$9),IF(C418="","「入社年月日」",""),"")&amp;IF(D418="","「性別」","")&amp;IF(IF(A418="","従業員番号","")&amp;IF(B418="","「雇用形態」","")&amp;IF(OR(入力シート!$J$18=入力リスト!$H$9,入力シート!$J$22=入力リスト!$H$9),IF(C418="","「入社年月日」",""),"")&amp;IF(D418="","「性別」","")="","",入力リスト!$K$29),IF(J418,入力リスト!$K$30,"")&amp;IF(I418,入力リスト!$K$31,"")&amp;IF(H418,"「雇用形態」","")&amp;IF(K418,"「性別」","")&amp;IF(L418,"「役職」","")&amp;IF(OR(H418,K418,L418),入力リスト!$K$32,"")))))</f>
        <v/>
      </c>
      <c r="G418" s="209" t="b">
        <f>COUNTIF($A$4:A417,$A418)&gt;0</f>
        <v>0</v>
      </c>
      <c r="H418" s="210" t="b">
        <f>IF($H$1,FALSE,COUNTIF(入力シート!$S$37:$V$62,B418)=0)</f>
        <v>0</v>
      </c>
      <c r="I418" s="210" t="b">
        <f t="shared" si="14"/>
        <v>0</v>
      </c>
      <c r="J418" s="210" t="b">
        <f>IF($J$1,FALSE,IF(I418=TRUE,FALSE,IF(I418,FALSE,C418&gt;入力シート!$J$24)))</f>
        <v>0</v>
      </c>
      <c r="K418" s="210" t="b">
        <f>IF($K$1,FALSE,COUNTIF(入力シート!$AW$37:$BB$38,D418)=0)</f>
        <v>0</v>
      </c>
      <c r="L418" s="210" t="b">
        <f>IF($L$1,FALSE,IF($L$3,FALSE,IF(E418="",FALSE,COUNTIF(入力シート!$AH$37:$AK$62,E418)=0)))</f>
        <v>0</v>
      </c>
      <c r="M418" s="211" t="str">
        <f t="shared" si="13"/>
        <v/>
      </c>
      <c r="N418" s="211"/>
      <c r="O418" s="209" t="str">
        <f>IF(B418="","",VLOOKUP('従業員情報(給与以外)'!$B418,入力シート!$S$37:$Z$62,5,0))</f>
        <v/>
      </c>
      <c r="P418" s="156" t="str">
        <f>IF(ISNUMBER(C418)=FALSE,"",IF(C418&gt;入力シート!$J$24,"",_xlfn.DAYS(入力シート!$J$24,'従業員情報(給与以外)'!$C418)/365))</f>
        <v/>
      </c>
      <c r="Q418" s="210" t="str">
        <f>IF(P418="","",VLOOKUP(_xlfn.DAYS(入力シート!$J$24,'従業員情報(給与以外)'!$C418)/365,入力リスト!$K$18:$L$26,2,2))</f>
        <v/>
      </c>
      <c r="R418" s="209" t="str">
        <f>IF(D418="","",VLOOKUP('従業員情報(給与以外)'!$D418,入力シート!$AW$37:$BB$38,4,0))</f>
        <v/>
      </c>
      <c r="S418" s="209" t="str">
        <f>IF(A418="","",IF(E418="","非役職",VLOOKUP('従業員情報(給与以外)'!$E418,入力シート!$AH$37:$AO$62,5,0)))</f>
        <v/>
      </c>
      <c r="T418" s="102" t="str">
        <f>IF(OR(入力シート!$C$5&lt;&gt;入力リスト!$C$3,COUNTIF(入力シート!$J$16:$S$23,入力リスト!$H$9)=0),"",IF($A418="","",IF(ISERROR(AVERAGEIF(従業員の給与情報!$B:$B,$A418,従業員の給与情報!$C:$C)),0,IF(ISERROR(AVERAGEIF(従業員の給与情報!$B:$B,$A418,従業員の給与情報!$C:$C)),0,AVERAGEIF(従業員の給与情報!$B:$B,$A418,従業員の給与情報!$C:$C)))))</f>
        <v/>
      </c>
      <c r="U418" s="102" t="str">
        <f>IF(OR(入力シート!$C$5&lt;&gt;入力リスト!$C$3,COUNTIF(入力シート!$J$16:$S$23,入力リスト!$H$9)=0),"",IF(A418="","",IF(ISERROR(AVERAGEIF(従業員の給与情報!$B:$B,$A418,従業員の給与情報!$D:$D)),0,IF(ISERROR(AVERAGEIF(従業員の給与情報!$B:$B,$A418,従業員の給与情報!$D:$D)),0,AVERAGEIF(従業員の給与情報!$B:$B,$A418,従業員の給与情報!$D:$D)))))</f>
        <v/>
      </c>
      <c r="V418" s="102" t="str">
        <f>IF(OR(入力シート!$C$5&lt;&gt;入力リスト!$C$3,COUNTIF(入力シート!$J$16:$S$23,入力リスト!$H$9)=0),"",IF(A418="","",IF(ISERROR(AVERAGEIF(従業員の給与情報!$B:$B,$A418,従業員の給与情報!$E:$E)),0,IF(ISERROR(AVERAGEIF(従業員の給与情報!$B:$B,$A418,従業員の給与情報!$E:$E)),0,AVERAGEIF(従業員の給与情報!$B:$B,$A418,従業員の給与情報!$E:$E)))))</f>
        <v/>
      </c>
      <c r="W418" s="103" t="str">
        <f>IF(OR(入力シート!$C$5&lt;&gt;入力リスト!$C$3,COUNTIF(入力シート!$J$16:$S$23,入力リスト!$H$9)=0),"",IF(A418="","",IF(ISERROR(AVERAGEIF(従業員の給与情報!$B:$B,$A418,従業員の給与情報!$F:$F)),0,IF(ISERROR(AVERAGEIF(従業員の給与情報!$B:$B,$A418,従業員の給与情報!$F:$F)),0,AVERAGEIF(従業員の給与情報!$B:$B,$A418,従業員の給与情報!$F:$F)))))</f>
        <v/>
      </c>
    </row>
    <row r="419" spans="1:23" s="10" customFormat="1">
      <c r="A419" s="253"/>
      <c r="B419" s="246"/>
      <c r="C419" s="247"/>
      <c r="D419" s="246"/>
      <c r="E419" s="246"/>
      <c r="F419" s="257" t="str">
        <f>IF($G$1,"",IF(COUNTIF(A419:E419,"")=5,"",IF(G419,入力リスト!$K$28,IF(OR(A419="",B419="",IF(COUNTIF($C$3,"*不要*"),"",C419=""),D419=""),IF(A419="","従業員番号","")&amp;IF(B419="","「雇用形態」","")&amp;IF(OR(入力シート!$J$18=入力リスト!$H$9,入力シート!$J$22=入力リスト!$H$9),IF(C419="","「入社年月日」",""),"")&amp;IF(D419="","「性別」","")&amp;IF(IF(A419="","従業員番号","")&amp;IF(B419="","「雇用形態」","")&amp;IF(OR(入力シート!$J$18=入力リスト!$H$9,入力シート!$J$22=入力リスト!$H$9),IF(C419="","「入社年月日」",""),"")&amp;IF(D419="","「性別」","")="","",入力リスト!$K$29),IF(J419,入力リスト!$K$30,"")&amp;IF(I419,入力リスト!$K$31,"")&amp;IF(H419,"「雇用形態」","")&amp;IF(K419,"「性別」","")&amp;IF(L419,"「役職」","")&amp;IF(OR(H419,K419,L419),入力リスト!$K$32,"")))))</f>
        <v/>
      </c>
      <c r="G419" s="209" t="b">
        <f>COUNTIF($A$4:A418,$A419)&gt;0</f>
        <v>0</v>
      </c>
      <c r="H419" s="210" t="b">
        <f>IF($H$1,FALSE,COUNTIF(入力シート!$S$37:$V$62,B419)=0)</f>
        <v>0</v>
      </c>
      <c r="I419" s="210" t="b">
        <f t="shared" si="14"/>
        <v>0</v>
      </c>
      <c r="J419" s="210" t="b">
        <f>IF($J$1,FALSE,IF(I419=TRUE,FALSE,IF(I419,FALSE,C419&gt;入力シート!$J$24)))</f>
        <v>0</v>
      </c>
      <c r="K419" s="210" t="b">
        <f>IF($K$1,FALSE,COUNTIF(入力シート!$AW$37:$BB$38,D419)=0)</f>
        <v>0</v>
      </c>
      <c r="L419" s="210" t="b">
        <f>IF($L$1,FALSE,IF($L$3,FALSE,IF(E419="",FALSE,COUNTIF(入力シート!$AH$37:$AK$62,E419)=0)))</f>
        <v>0</v>
      </c>
      <c r="M419" s="211" t="str">
        <f t="shared" si="13"/>
        <v/>
      </c>
      <c r="N419" s="211"/>
      <c r="O419" s="209" t="str">
        <f>IF(B419="","",VLOOKUP('従業員情報(給与以外)'!$B419,入力シート!$S$37:$Z$62,5,0))</f>
        <v/>
      </c>
      <c r="P419" s="156" t="str">
        <f>IF(ISNUMBER(C419)=FALSE,"",IF(C419&gt;入力シート!$J$24,"",_xlfn.DAYS(入力シート!$J$24,'従業員情報(給与以外)'!$C419)/365))</f>
        <v/>
      </c>
      <c r="Q419" s="210" t="str">
        <f>IF(P419="","",VLOOKUP(_xlfn.DAYS(入力シート!$J$24,'従業員情報(給与以外)'!$C419)/365,入力リスト!$K$18:$L$26,2,2))</f>
        <v/>
      </c>
      <c r="R419" s="209" t="str">
        <f>IF(D419="","",VLOOKUP('従業員情報(給与以外)'!$D419,入力シート!$AW$37:$BB$38,4,0))</f>
        <v/>
      </c>
      <c r="S419" s="209" t="str">
        <f>IF(A419="","",IF(E419="","非役職",VLOOKUP('従業員情報(給与以外)'!$E419,入力シート!$AH$37:$AO$62,5,0)))</f>
        <v/>
      </c>
      <c r="T419" s="102" t="str">
        <f>IF(OR(入力シート!$C$5&lt;&gt;入力リスト!$C$3,COUNTIF(入力シート!$J$16:$S$23,入力リスト!$H$9)=0),"",IF($A419="","",IF(ISERROR(AVERAGEIF(従業員の給与情報!$B:$B,$A419,従業員の給与情報!$C:$C)),0,IF(ISERROR(AVERAGEIF(従業員の給与情報!$B:$B,$A419,従業員の給与情報!$C:$C)),0,AVERAGEIF(従業員の給与情報!$B:$B,$A419,従業員の給与情報!$C:$C)))))</f>
        <v/>
      </c>
      <c r="U419" s="102" t="str">
        <f>IF(OR(入力シート!$C$5&lt;&gt;入力リスト!$C$3,COUNTIF(入力シート!$J$16:$S$23,入力リスト!$H$9)=0),"",IF(A419="","",IF(ISERROR(AVERAGEIF(従業員の給与情報!$B:$B,$A419,従業員の給与情報!$D:$D)),0,IF(ISERROR(AVERAGEIF(従業員の給与情報!$B:$B,$A419,従業員の給与情報!$D:$D)),0,AVERAGEIF(従業員の給与情報!$B:$B,$A419,従業員の給与情報!$D:$D)))))</f>
        <v/>
      </c>
      <c r="V419" s="102" t="str">
        <f>IF(OR(入力シート!$C$5&lt;&gt;入力リスト!$C$3,COUNTIF(入力シート!$J$16:$S$23,入力リスト!$H$9)=0),"",IF(A419="","",IF(ISERROR(AVERAGEIF(従業員の給与情報!$B:$B,$A419,従業員の給与情報!$E:$E)),0,IF(ISERROR(AVERAGEIF(従業員の給与情報!$B:$B,$A419,従業員の給与情報!$E:$E)),0,AVERAGEIF(従業員の給与情報!$B:$B,$A419,従業員の給与情報!$E:$E)))))</f>
        <v/>
      </c>
      <c r="W419" s="103" t="str">
        <f>IF(OR(入力シート!$C$5&lt;&gt;入力リスト!$C$3,COUNTIF(入力シート!$J$16:$S$23,入力リスト!$H$9)=0),"",IF(A419="","",IF(ISERROR(AVERAGEIF(従業員の給与情報!$B:$B,$A419,従業員の給与情報!$F:$F)),0,IF(ISERROR(AVERAGEIF(従業員の給与情報!$B:$B,$A419,従業員の給与情報!$F:$F)),0,AVERAGEIF(従業員の給与情報!$B:$B,$A419,従業員の給与情報!$F:$F)))))</f>
        <v/>
      </c>
    </row>
    <row r="420" spans="1:23" s="10" customFormat="1">
      <c r="A420" s="253"/>
      <c r="B420" s="246"/>
      <c r="C420" s="247"/>
      <c r="D420" s="246"/>
      <c r="E420" s="246"/>
      <c r="F420" s="257" t="str">
        <f>IF($G$1,"",IF(COUNTIF(A420:E420,"")=5,"",IF(G420,入力リスト!$K$28,IF(OR(A420="",B420="",IF(COUNTIF($C$3,"*不要*"),"",C420=""),D420=""),IF(A420="","従業員番号","")&amp;IF(B420="","「雇用形態」","")&amp;IF(OR(入力シート!$J$18=入力リスト!$H$9,入力シート!$J$22=入力リスト!$H$9),IF(C420="","「入社年月日」",""),"")&amp;IF(D420="","「性別」","")&amp;IF(IF(A420="","従業員番号","")&amp;IF(B420="","「雇用形態」","")&amp;IF(OR(入力シート!$J$18=入力リスト!$H$9,入力シート!$J$22=入力リスト!$H$9),IF(C420="","「入社年月日」",""),"")&amp;IF(D420="","「性別」","")="","",入力リスト!$K$29),IF(J420,入力リスト!$K$30,"")&amp;IF(I420,入力リスト!$K$31,"")&amp;IF(H420,"「雇用形態」","")&amp;IF(K420,"「性別」","")&amp;IF(L420,"「役職」","")&amp;IF(OR(H420,K420,L420),入力リスト!$K$32,"")))))</f>
        <v/>
      </c>
      <c r="G420" s="209" t="b">
        <f>COUNTIF($A$4:A419,$A420)&gt;0</f>
        <v>0</v>
      </c>
      <c r="H420" s="210" t="b">
        <f>IF($H$1,FALSE,COUNTIF(入力シート!$S$37:$V$62,B420)=0)</f>
        <v>0</v>
      </c>
      <c r="I420" s="210" t="b">
        <f t="shared" si="14"/>
        <v>0</v>
      </c>
      <c r="J420" s="210" t="b">
        <f>IF($J$1,FALSE,IF(I420=TRUE,FALSE,IF(I420,FALSE,C420&gt;入力シート!$J$24)))</f>
        <v>0</v>
      </c>
      <c r="K420" s="210" t="b">
        <f>IF($K$1,FALSE,COUNTIF(入力シート!$AW$37:$BB$38,D420)=0)</f>
        <v>0</v>
      </c>
      <c r="L420" s="210" t="b">
        <f>IF($L$1,FALSE,IF($L$3,FALSE,IF(E420="",FALSE,COUNTIF(入力シート!$AH$37:$AK$62,E420)=0)))</f>
        <v>0</v>
      </c>
      <c r="M420" s="211" t="str">
        <f t="shared" si="13"/>
        <v/>
      </c>
      <c r="N420" s="211"/>
      <c r="O420" s="209" t="str">
        <f>IF(B420="","",VLOOKUP('従業員情報(給与以外)'!$B420,入力シート!$S$37:$Z$62,5,0))</f>
        <v/>
      </c>
      <c r="P420" s="156" t="str">
        <f>IF(ISNUMBER(C420)=FALSE,"",IF(C420&gt;入力シート!$J$24,"",_xlfn.DAYS(入力シート!$J$24,'従業員情報(給与以外)'!$C420)/365))</f>
        <v/>
      </c>
      <c r="Q420" s="210" t="str">
        <f>IF(P420="","",VLOOKUP(_xlfn.DAYS(入力シート!$J$24,'従業員情報(給与以外)'!$C420)/365,入力リスト!$K$18:$L$26,2,2))</f>
        <v/>
      </c>
      <c r="R420" s="209" t="str">
        <f>IF(D420="","",VLOOKUP('従業員情報(給与以外)'!$D420,入力シート!$AW$37:$BB$38,4,0))</f>
        <v/>
      </c>
      <c r="S420" s="209" t="str">
        <f>IF(A420="","",IF(E420="","非役職",VLOOKUP('従業員情報(給与以外)'!$E420,入力シート!$AH$37:$AO$62,5,0)))</f>
        <v/>
      </c>
      <c r="T420" s="102" t="str">
        <f>IF(OR(入力シート!$C$5&lt;&gt;入力リスト!$C$3,COUNTIF(入力シート!$J$16:$S$23,入力リスト!$H$9)=0),"",IF($A420="","",IF(ISERROR(AVERAGEIF(従業員の給与情報!$B:$B,$A420,従業員の給与情報!$C:$C)),0,IF(ISERROR(AVERAGEIF(従業員の給与情報!$B:$B,$A420,従業員の給与情報!$C:$C)),0,AVERAGEIF(従業員の給与情報!$B:$B,$A420,従業員の給与情報!$C:$C)))))</f>
        <v/>
      </c>
      <c r="U420" s="102" t="str">
        <f>IF(OR(入力シート!$C$5&lt;&gt;入力リスト!$C$3,COUNTIF(入力シート!$J$16:$S$23,入力リスト!$H$9)=0),"",IF(A420="","",IF(ISERROR(AVERAGEIF(従業員の給与情報!$B:$B,$A420,従業員の給与情報!$D:$D)),0,IF(ISERROR(AVERAGEIF(従業員の給与情報!$B:$B,$A420,従業員の給与情報!$D:$D)),0,AVERAGEIF(従業員の給与情報!$B:$B,$A420,従業員の給与情報!$D:$D)))))</f>
        <v/>
      </c>
      <c r="V420" s="102" t="str">
        <f>IF(OR(入力シート!$C$5&lt;&gt;入力リスト!$C$3,COUNTIF(入力シート!$J$16:$S$23,入力リスト!$H$9)=0),"",IF(A420="","",IF(ISERROR(AVERAGEIF(従業員の給与情報!$B:$B,$A420,従業員の給与情報!$E:$E)),0,IF(ISERROR(AVERAGEIF(従業員の給与情報!$B:$B,$A420,従業員の給与情報!$E:$E)),0,AVERAGEIF(従業員の給与情報!$B:$B,$A420,従業員の給与情報!$E:$E)))))</f>
        <v/>
      </c>
      <c r="W420" s="103" t="str">
        <f>IF(OR(入力シート!$C$5&lt;&gt;入力リスト!$C$3,COUNTIF(入力シート!$J$16:$S$23,入力リスト!$H$9)=0),"",IF(A420="","",IF(ISERROR(AVERAGEIF(従業員の給与情報!$B:$B,$A420,従業員の給与情報!$F:$F)),0,IF(ISERROR(AVERAGEIF(従業員の給与情報!$B:$B,$A420,従業員の給与情報!$F:$F)),0,AVERAGEIF(従業員の給与情報!$B:$B,$A420,従業員の給与情報!$F:$F)))))</f>
        <v/>
      </c>
    </row>
    <row r="421" spans="1:23" s="10" customFormat="1">
      <c r="A421" s="253"/>
      <c r="B421" s="246"/>
      <c r="C421" s="247"/>
      <c r="D421" s="246"/>
      <c r="E421" s="246"/>
      <c r="F421" s="257" t="str">
        <f>IF($G$1,"",IF(COUNTIF(A421:E421,"")=5,"",IF(G421,入力リスト!$K$28,IF(OR(A421="",B421="",IF(COUNTIF($C$3,"*不要*"),"",C421=""),D421=""),IF(A421="","従業員番号","")&amp;IF(B421="","「雇用形態」","")&amp;IF(OR(入力シート!$J$18=入力リスト!$H$9,入力シート!$J$22=入力リスト!$H$9),IF(C421="","「入社年月日」",""),"")&amp;IF(D421="","「性別」","")&amp;IF(IF(A421="","従業員番号","")&amp;IF(B421="","「雇用形態」","")&amp;IF(OR(入力シート!$J$18=入力リスト!$H$9,入力シート!$J$22=入力リスト!$H$9),IF(C421="","「入社年月日」",""),"")&amp;IF(D421="","「性別」","")="","",入力リスト!$K$29),IF(J421,入力リスト!$K$30,"")&amp;IF(I421,入力リスト!$K$31,"")&amp;IF(H421,"「雇用形態」","")&amp;IF(K421,"「性別」","")&amp;IF(L421,"「役職」","")&amp;IF(OR(H421,K421,L421),入力リスト!$K$32,"")))))</f>
        <v/>
      </c>
      <c r="G421" s="209" t="b">
        <f>COUNTIF($A$4:A420,$A421)&gt;0</f>
        <v>0</v>
      </c>
      <c r="H421" s="210" t="b">
        <f>IF($H$1,FALSE,COUNTIF(入力シート!$S$37:$V$62,B421)=0)</f>
        <v>0</v>
      </c>
      <c r="I421" s="210" t="b">
        <f t="shared" si="14"/>
        <v>0</v>
      </c>
      <c r="J421" s="210" t="b">
        <f>IF($J$1,FALSE,IF(I421=TRUE,FALSE,IF(I421,FALSE,C421&gt;入力シート!$J$24)))</f>
        <v>0</v>
      </c>
      <c r="K421" s="210" t="b">
        <f>IF($K$1,FALSE,COUNTIF(入力シート!$AW$37:$BB$38,D421)=0)</f>
        <v>0</v>
      </c>
      <c r="L421" s="210" t="b">
        <f>IF($L$1,FALSE,IF($L$3,FALSE,IF(E421="",FALSE,COUNTIF(入力シート!$AH$37:$AK$62,E421)=0)))</f>
        <v>0</v>
      </c>
      <c r="M421" s="211" t="str">
        <f t="shared" si="13"/>
        <v/>
      </c>
      <c r="N421" s="211"/>
      <c r="O421" s="209" t="str">
        <f>IF(B421="","",VLOOKUP('従業員情報(給与以外)'!$B421,入力シート!$S$37:$Z$62,5,0))</f>
        <v/>
      </c>
      <c r="P421" s="156" t="str">
        <f>IF(ISNUMBER(C421)=FALSE,"",IF(C421&gt;入力シート!$J$24,"",_xlfn.DAYS(入力シート!$J$24,'従業員情報(給与以外)'!$C421)/365))</f>
        <v/>
      </c>
      <c r="Q421" s="210" t="str">
        <f>IF(P421="","",VLOOKUP(_xlfn.DAYS(入力シート!$J$24,'従業員情報(給与以外)'!$C421)/365,入力リスト!$K$18:$L$26,2,2))</f>
        <v/>
      </c>
      <c r="R421" s="209" t="str">
        <f>IF(D421="","",VLOOKUP('従業員情報(給与以外)'!$D421,入力シート!$AW$37:$BB$38,4,0))</f>
        <v/>
      </c>
      <c r="S421" s="209" t="str">
        <f>IF(A421="","",IF(E421="","非役職",VLOOKUP('従業員情報(給与以外)'!$E421,入力シート!$AH$37:$AO$62,5,0)))</f>
        <v/>
      </c>
      <c r="T421" s="102" t="str">
        <f>IF(OR(入力シート!$C$5&lt;&gt;入力リスト!$C$3,COUNTIF(入力シート!$J$16:$S$23,入力リスト!$H$9)=0),"",IF($A421="","",IF(ISERROR(AVERAGEIF(従業員の給与情報!$B:$B,$A421,従業員の給与情報!$C:$C)),0,IF(ISERROR(AVERAGEIF(従業員の給与情報!$B:$B,$A421,従業員の給与情報!$C:$C)),0,AVERAGEIF(従業員の給与情報!$B:$B,$A421,従業員の給与情報!$C:$C)))))</f>
        <v/>
      </c>
      <c r="U421" s="102" t="str">
        <f>IF(OR(入力シート!$C$5&lt;&gt;入力リスト!$C$3,COUNTIF(入力シート!$J$16:$S$23,入力リスト!$H$9)=0),"",IF(A421="","",IF(ISERROR(AVERAGEIF(従業員の給与情報!$B:$B,$A421,従業員の給与情報!$D:$D)),0,IF(ISERROR(AVERAGEIF(従業員の給与情報!$B:$B,$A421,従業員の給与情報!$D:$D)),0,AVERAGEIF(従業員の給与情報!$B:$B,$A421,従業員の給与情報!$D:$D)))))</f>
        <v/>
      </c>
      <c r="V421" s="102" t="str">
        <f>IF(OR(入力シート!$C$5&lt;&gt;入力リスト!$C$3,COUNTIF(入力シート!$J$16:$S$23,入力リスト!$H$9)=0),"",IF(A421="","",IF(ISERROR(AVERAGEIF(従業員の給与情報!$B:$B,$A421,従業員の給与情報!$E:$E)),0,IF(ISERROR(AVERAGEIF(従業員の給与情報!$B:$B,$A421,従業員の給与情報!$E:$E)),0,AVERAGEIF(従業員の給与情報!$B:$B,$A421,従業員の給与情報!$E:$E)))))</f>
        <v/>
      </c>
      <c r="W421" s="103" t="str">
        <f>IF(OR(入力シート!$C$5&lt;&gt;入力リスト!$C$3,COUNTIF(入力シート!$J$16:$S$23,入力リスト!$H$9)=0),"",IF(A421="","",IF(ISERROR(AVERAGEIF(従業員の給与情報!$B:$B,$A421,従業員の給与情報!$F:$F)),0,IF(ISERROR(AVERAGEIF(従業員の給与情報!$B:$B,$A421,従業員の給与情報!$F:$F)),0,AVERAGEIF(従業員の給与情報!$B:$B,$A421,従業員の給与情報!$F:$F)))))</f>
        <v/>
      </c>
    </row>
    <row r="422" spans="1:23" s="10" customFormat="1">
      <c r="A422" s="253"/>
      <c r="B422" s="246"/>
      <c r="C422" s="247"/>
      <c r="D422" s="246"/>
      <c r="E422" s="246"/>
      <c r="F422" s="257" t="str">
        <f>IF($G$1,"",IF(COUNTIF(A422:E422,"")=5,"",IF(G422,入力リスト!$K$28,IF(OR(A422="",B422="",IF(COUNTIF($C$3,"*不要*"),"",C422=""),D422=""),IF(A422="","従業員番号","")&amp;IF(B422="","「雇用形態」","")&amp;IF(OR(入力シート!$J$18=入力リスト!$H$9,入力シート!$J$22=入力リスト!$H$9),IF(C422="","「入社年月日」",""),"")&amp;IF(D422="","「性別」","")&amp;IF(IF(A422="","従業員番号","")&amp;IF(B422="","「雇用形態」","")&amp;IF(OR(入力シート!$J$18=入力リスト!$H$9,入力シート!$J$22=入力リスト!$H$9),IF(C422="","「入社年月日」",""),"")&amp;IF(D422="","「性別」","")="","",入力リスト!$K$29),IF(J422,入力リスト!$K$30,"")&amp;IF(I422,入力リスト!$K$31,"")&amp;IF(H422,"「雇用形態」","")&amp;IF(K422,"「性別」","")&amp;IF(L422,"「役職」","")&amp;IF(OR(H422,K422,L422),入力リスト!$K$32,"")))))</f>
        <v/>
      </c>
      <c r="G422" s="209" t="b">
        <f>COUNTIF($A$4:A421,$A422)&gt;0</f>
        <v>0</v>
      </c>
      <c r="H422" s="210" t="b">
        <f>IF($H$1,FALSE,COUNTIF(入力シート!$S$37:$V$62,B422)=0)</f>
        <v>0</v>
      </c>
      <c r="I422" s="210" t="b">
        <f t="shared" si="14"/>
        <v>0</v>
      </c>
      <c r="J422" s="210" t="b">
        <f>IF($J$1,FALSE,IF(I422=TRUE,FALSE,IF(I422,FALSE,C422&gt;入力シート!$J$24)))</f>
        <v>0</v>
      </c>
      <c r="K422" s="210" t="b">
        <f>IF($K$1,FALSE,COUNTIF(入力シート!$AW$37:$BB$38,D422)=0)</f>
        <v>0</v>
      </c>
      <c r="L422" s="210" t="b">
        <f>IF($L$1,FALSE,IF($L$3,FALSE,IF(E422="",FALSE,COUNTIF(入力シート!$AH$37:$AK$62,E422)=0)))</f>
        <v>0</v>
      </c>
      <c r="M422" s="211" t="str">
        <f t="shared" si="13"/>
        <v/>
      </c>
      <c r="N422" s="211"/>
      <c r="O422" s="209" t="str">
        <f>IF(B422="","",VLOOKUP('従業員情報(給与以外)'!$B422,入力シート!$S$37:$Z$62,5,0))</f>
        <v/>
      </c>
      <c r="P422" s="156" t="str">
        <f>IF(ISNUMBER(C422)=FALSE,"",IF(C422&gt;入力シート!$J$24,"",_xlfn.DAYS(入力シート!$J$24,'従業員情報(給与以外)'!$C422)/365))</f>
        <v/>
      </c>
      <c r="Q422" s="210" t="str">
        <f>IF(P422="","",VLOOKUP(_xlfn.DAYS(入力シート!$J$24,'従業員情報(給与以外)'!$C422)/365,入力リスト!$K$18:$L$26,2,2))</f>
        <v/>
      </c>
      <c r="R422" s="209" t="str">
        <f>IF(D422="","",VLOOKUP('従業員情報(給与以外)'!$D422,入力シート!$AW$37:$BB$38,4,0))</f>
        <v/>
      </c>
      <c r="S422" s="209" t="str">
        <f>IF(A422="","",IF(E422="","非役職",VLOOKUP('従業員情報(給与以外)'!$E422,入力シート!$AH$37:$AO$62,5,0)))</f>
        <v/>
      </c>
      <c r="T422" s="102" t="str">
        <f>IF(OR(入力シート!$C$5&lt;&gt;入力リスト!$C$3,COUNTIF(入力シート!$J$16:$S$23,入力リスト!$H$9)=0),"",IF($A422="","",IF(ISERROR(AVERAGEIF(従業員の給与情報!$B:$B,$A422,従業員の給与情報!$C:$C)),0,IF(ISERROR(AVERAGEIF(従業員の給与情報!$B:$B,$A422,従業員の給与情報!$C:$C)),0,AVERAGEIF(従業員の給与情報!$B:$B,$A422,従業員の給与情報!$C:$C)))))</f>
        <v/>
      </c>
      <c r="U422" s="102" t="str">
        <f>IF(OR(入力シート!$C$5&lt;&gt;入力リスト!$C$3,COUNTIF(入力シート!$J$16:$S$23,入力リスト!$H$9)=0),"",IF(A422="","",IF(ISERROR(AVERAGEIF(従業員の給与情報!$B:$B,$A422,従業員の給与情報!$D:$D)),0,IF(ISERROR(AVERAGEIF(従業員の給与情報!$B:$B,$A422,従業員の給与情報!$D:$D)),0,AVERAGEIF(従業員の給与情報!$B:$B,$A422,従業員の給与情報!$D:$D)))))</f>
        <v/>
      </c>
      <c r="V422" s="102" t="str">
        <f>IF(OR(入力シート!$C$5&lt;&gt;入力リスト!$C$3,COUNTIF(入力シート!$J$16:$S$23,入力リスト!$H$9)=0),"",IF(A422="","",IF(ISERROR(AVERAGEIF(従業員の給与情報!$B:$B,$A422,従業員の給与情報!$E:$E)),0,IF(ISERROR(AVERAGEIF(従業員の給与情報!$B:$B,$A422,従業員の給与情報!$E:$E)),0,AVERAGEIF(従業員の給与情報!$B:$B,$A422,従業員の給与情報!$E:$E)))))</f>
        <v/>
      </c>
      <c r="W422" s="103" t="str">
        <f>IF(OR(入力シート!$C$5&lt;&gt;入力リスト!$C$3,COUNTIF(入力シート!$J$16:$S$23,入力リスト!$H$9)=0),"",IF(A422="","",IF(ISERROR(AVERAGEIF(従業員の給与情報!$B:$B,$A422,従業員の給与情報!$F:$F)),0,IF(ISERROR(AVERAGEIF(従業員の給与情報!$B:$B,$A422,従業員の給与情報!$F:$F)),0,AVERAGEIF(従業員の給与情報!$B:$B,$A422,従業員の給与情報!$F:$F)))))</f>
        <v/>
      </c>
    </row>
    <row r="423" spans="1:23" s="10" customFormat="1">
      <c r="A423" s="253"/>
      <c r="B423" s="246"/>
      <c r="C423" s="247"/>
      <c r="D423" s="246"/>
      <c r="E423" s="246"/>
      <c r="F423" s="257" t="str">
        <f>IF($G$1,"",IF(COUNTIF(A423:E423,"")=5,"",IF(G423,入力リスト!$K$28,IF(OR(A423="",B423="",IF(COUNTIF($C$3,"*不要*"),"",C423=""),D423=""),IF(A423="","従業員番号","")&amp;IF(B423="","「雇用形態」","")&amp;IF(OR(入力シート!$J$18=入力リスト!$H$9,入力シート!$J$22=入力リスト!$H$9),IF(C423="","「入社年月日」",""),"")&amp;IF(D423="","「性別」","")&amp;IF(IF(A423="","従業員番号","")&amp;IF(B423="","「雇用形態」","")&amp;IF(OR(入力シート!$J$18=入力リスト!$H$9,入力シート!$J$22=入力リスト!$H$9),IF(C423="","「入社年月日」",""),"")&amp;IF(D423="","「性別」","")="","",入力リスト!$K$29),IF(J423,入力リスト!$K$30,"")&amp;IF(I423,入力リスト!$K$31,"")&amp;IF(H423,"「雇用形態」","")&amp;IF(K423,"「性別」","")&amp;IF(L423,"「役職」","")&amp;IF(OR(H423,K423,L423),入力リスト!$K$32,"")))))</f>
        <v/>
      </c>
      <c r="G423" s="209" t="b">
        <f>COUNTIF($A$4:A422,$A423)&gt;0</f>
        <v>0</v>
      </c>
      <c r="H423" s="210" t="b">
        <f>IF($H$1,FALSE,COUNTIF(入力シート!$S$37:$V$62,B423)=0)</f>
        <v>0</v>
      </c>
      <c r="I423" s="210" t="b">
        <f t="shared" si="14"/>
        <v>0</v>
      </c>
      <c r="J423" s="210" t="b">
        <f>IF($J$1,FALSE,IF(I423=TRUE,FALSE,IF(I423,FALSE,C423&gt;入力シート!$J$24)))</f>
        <v>0</v>
      </c>
      <c r="K423" s="210" t="b">
        <f>IF($K$1,FALSE,COUNTIF(入力シート!$AW$37:$BB$38,D423)=0)</f>
        <v>0</v>
      </c>
      <c r="L423" s="210" t="b">
        <f>IF($L$1,FALSE,IF($L$3,FALSE,IF(E423="",FALSE,COUNTIF(入力シート!$AH$37:$AK$62,E423)=0)))</f>
        <v>0</v>
      </c>
      <c r="M423" s="211" t="str">
        <f t="shared" si="13"/>
        <v/>
      </c>
      <c r="N423" s="211"/>
      <c r="O423" s="209" t="str">
        <f>IF(B423="","",VLOOKUP('従業員情報(給与以外)'!$B423,入力シート!$S$37:$Z$62,5,0))</f>
        <v/>
      </c>
      <c r="P423" s="156" t="str">
        <f>IF(ISNUMBER(C423)=FALSE,"",IF(C423&gt;入力シート!$J$24,"",_xlfn.DAYS(入力シート!$J$24,'従業員情報(給与以外)'!$C423)/365))</f>
        <v/>
      </c>
      <c r="Q423" s="210" t="str">
        <f>IF(P423="","",VLOOKUP(_xlfn.DAYS(入力シート!$J$24,'従業員情報(給与以外)'!$C423)/365,入力リスト!$K$18:$L$26,2,2))</f>
        <v/>
      </c>
      <c r="R423" s="209" t="str">
        <f>IF(D423="","",VLOOKUP('従業員情報(給与以外)'!$D423,入力シート!$AW$37:$BB$38,4,0))</f>
        <v/>
      </c>
      <c r="S423" s="209" t="str">
        <f>IF(A423="","",IF(E423="","非役職",VLOOKUP('従業員情報(給与以外)'!$E423,入力シート!$AH$37:$AO$62,5,0)))</f>
        <v/>
      </c>
      <c r="T423" s="102" t="str">
        <f>IF(OR(入力シート!$C$5&lt;&gt;入力リスト!$C$3,COUNTIF(入力シート!$J$16:$S$23,入力リスト!$H$9)=0),"",IF($A423="","",IF(ISERROR(AVERAGEIF(従業員の給与情報!$B:$B,$A423,従業員の給与情報!$C:$C)),0,IF(ISERROR(AVERAGEIF(従業員の給与情報!$B:$B,$A423,従業員の給与情報!$C:$C)),0,AVERAGEIF(従業員の給与情報!$B:$B,$A423,従業員の給与情報!$C:$C)))))</f>
        <v/>
      </c>
      <c r="U423" s="102" t="str">
        <f>IF(OR(入力シート!$C$5&lt;&gt;入力リスト!$C$3,COUNTIF(入力シート!$J$16:$S$23,入力リスト!$H$9)=0),"",IF(A423="","",IF(ISERROR(AVERAGEIF(従業員の給与情報!$B:$B,$A423,従業員の給与情報!$D:$D)),0,IF(ISERROR(AVERAGEIF(従業員の給与情報!$B:$B,$A423,従業員の給与情報!$D:$D)),0,AVERAGEIF(従業員の給与情報!$B:$B,$A423,従業員の給与情報!$D:$D)))))</f>
        <v/>
      </c>
      <c r="V423" s="102" t="str">
        <f>IF(OR(入力シート!$C$5&lt;&gt;入力リスト!$C$3,COUNTIF(入力シート!$J$16:$S$23,入力リスト!$H$9)=0),"",IF(A423="","",IF(ISERROR(AVERAGEIF(従業員の給与情報!$B:$B,$A423,従業員の給与情報!$E:$E)),0,IF(ISERROR(AVERAGEIF(従業員の給与情報!$B:$B,$A423,従業員の給与情報!$E:$E)),0,AVERAGEIF(従業員の給与情報!$B:$B,$A423,従業員の給与情報!$E:$E)))))</f>
        <v/>
      </c>
      <c r="W423" s="103" t="str">
        <f>IF(OR(入力シート!$C$5&lt;&gt;入力リスト!$C$3,COUNTIF(入力シート!$J$16:$S$23,入力リスト!$H$9)=0),"",IF(A423="","",IF(ISERROR(AVERAGEIF(従業員の給与情報!$B:$B,$A423,従業員の給与情報!$F:$F)),0,IF(ISERROR(AVERAGEIF(従業員の給与情報!$B:$B,$A423,従業員の給与情報!$F:$F)),0,AVERAGEIF(従業員の給与情報!$B:$B,$A423,従業員の給与情報!$F:$F)))))</f>
        <v/>
      </c>
    </row>
    <row r="424" spans="1:23" s="10" customFormat="1">
      <c r="A424" s="253"/>
      <c r="B424" s="246"/>
      <c r="C424" s="247"/>
      <c r="D424" s="246"/>
      <c r="E424" s="246"/>
      <c r="F424" s="257" t="str">
        <f>IF($G$1,"",IF(COUNTIF(A424:E424,"")=5,"",IF(G424,入力リスト!$K$28,IF(OR(A424="",B424="",IF(COUNTIF($C$3,"*不要*"),"",C424=""),D424=""),IF(A424="","従業員番号","")&amp;IF(B424="","「雇用形態」","")&amp;IF(OR(入力シート!$J$18=入力リスト!$H$9,入力シート!$J$22=入力リスト!$H$9),IF(C424="","「入社年月日」",""),"")&amp;IF(D424="","「性別」","")&amp;IF(IF(A424="","従業員番号","")&amp;IF(B424="","「雇用形態」","")&amp;IF(OR(入力シート!$J$18=入力リスト!$H$9,入力シート!$J$22=入力リスト!$H$9),IF(C424="","「入社年月日」",""),"")&amp;IF(D424="","「性別」","")="","",入力リスト!$K$29),IF(J424,入力リスト!$K$30,"")&amp;IF(I424,入力リスト!$K$31,"")&amp;IF(H424,"「雇用形態」","")&amp;IF(K424,"「性別」","")&amp;IF(L424,"「役職」","")&amp;IF(OR(H424,K424,L424),入力リスト!$K$32,"")))))</f>
        <v/>
      </c>
      <c r="G424" s="209" t="b">
        <f>COUNTIF($A$4:A423,$A424)&gt;0</f>
        <v>0</v>
      </c>
      <c r="H424" s="210" t="b">
        <f>IF($H$1,FALSE,COUNTIF(入力シート!$S$37:$V$62,B424)=0)</f>
        <v>0</v>
      </c>
      <c r="I424" s="210" t="b">
        <f t="shared" si="14"/>
        <v>0</v>
      </c>
      <c r="J424" s="210" t="b">
        <f>IF($J$1,FALSE,IF(I424=TRUE,FALSE,IF(I424,FALSE,C424&gt;入力シート!$J$24)))</f>
        <v>0</v>
      </c>
      <c r="K424" s="210" t="b">
        <f>IF($K$1,FALSE,COUNTIF(入力シート!$AW$37:$BB$38,D424)=0)</f>
        <v>0</v>
      </c>
      <c r="L424" s="210" t="b">
        <f>IF($L$1,FALSE,IF($L$3,FALSE,IF(E424="",FALSE,COUNTIF(入力シート!$AH$37:$AK$62,E424)=0)))</f>
        <v>0</v>
      </c>
      <c r="M424" s="211" t="str">
        <f t="shared" si="13"/>
        <v/>
      </c>
      <c r="N424" s="211"/>
      <c r="O424" s="209" t="str">
        <f>IF(B424="","",VLOOKUP('従業員情報(給与以外)'!$B424,入力シート!$S$37:$Z$62,5,0))</f>
        <v/>
      </c>
      <c r="P424" s="156" t="str">
        <f>IF(ISNUMBER(C424)=FALSE,"",IF(C424&gt;入力シート!$J$24,"",_xlfn.DAYS(入力シート!$J$24,'従業員情報(給与以外)'!$C424)/365))</f>
        <v/>
      </c>
      <c r="Q424" s="210" t="str">
        <f>IF(P424="","",VLOOKUP(_xlfn.DAYS(入力シート!$J$24,'従業員情報(給与以外)'!$C424)/365,入力リスト!$K$18:$L$26,2,2))</f>
        <v/>
      </c>
      <c r="R424" s="209" t="str">
        <f>IF(D424="","",VLOOKUP('従業員情報(給与以外)'!$D424,入力シート!$AW$37:$BB$38,4,0))</f>
        <v/>
      </c>
      <c r="S424" s="209" t="str">
        <f>IF(A424="","",IF(E424="","非役職",VLOOKUP('従業員情報(給与以外)'!$E424,入力シート!$AH$37:$AO$62,5,0)))</f>
        <v/>
      </c>
      <c r="T424" s="102" t="str">
        <f>IF(OR(入力シート!$C$5&lt;&gt;入力リスト!$C$3,COUNTIF(入力シート!$J$16:$S$23,入力リスト!$H$9)=0),"",IF($A424="","",IF(ISERROR(AVERAGEIF(従業員の給与情報!$B:$B,$A424,従業員の給与情報!$C:$C)),0,IF(ISERROR(AVERAGEIF(従業員の給与情報!$B:$B,$A424,従業員の給与情報!$C:$C)),0,AVERAGEIF(従業員の給与情報!$B:$B,$A424,従業員の給与情報!$C:$C)))))</f>
        <v/>
      </c>
      <c r="U424" s="102" t="str">
        <f>IF(OR(入力シート!$C$5&lt;&gt;入力リスト!$C$3,COUNTIF(入力シート!$J$16:$S$23,入力リスト!$H$9)=0),"",IF(A424="","",IF(ISERROR(AVERAGEIF(従業員の給与情報!$B:$B,$A424,従業員の給与情報!$D:$D)),0,IF(ISERROR(AVERAGEIF(従業員の給与情報!$B:$B,$A424,従業員の給与情報!$D:$D)),0,AVERAGEIF(従業員の給与情報!$B:$B,$A424,従業員の給与情報!$D:$D)))))</f>
        <v/>
      </c>
      <c r="V424" s="102" t="str">
        <f>IF(OR(入力シート!$C$5&lt;&gt;入力リスト!$C$3,COUNTIF(入力シート!$J$16:$S$23,入力リスト!$H$9)=0),"",IF(A424="","",IF(ISERROR(AVERAGEIF(従業員の給与情報!$B:$B,$A424,従業員の給与情報!$E:$E)),0,IF(ISERROR(AVERAGEIF(従業員の給与情報!$B:$B,$A424,従業員の給与情報!$E:$E)),0,AVERAGEIF(従業員の給与情報!$B:$B,$A424,従業員の給与情報!$E:$E)))))</f>
        <v/>
      </c>
      <c r="W424" s="103" t="str">
        <f>IF(OR(入力シート!$C$5&lt;&gt;入力リスト!$C$3,COUNTIF(入力シート!$J$16:$S$23,入力リスト!$H$9)=0),"",IF(A424="","",IF(ISERROR(AVERAGEIF(従業員の給与情報!$B:$B,$A424,従業員の給与情報!$F:$F)),0,IF(ISERROR(AVERAGEIF(従業員の給与情報!$B:$B,$A424,従業員の給与情報!$F:$F)),0,AVERAGEIF(従業員の給与情報!$B:$B,$A424,従業員の給与情報!$F:$F)))))</f>
        <v/>
      </c>
    </row>
    <row r="425" spans="1:23" s="10" customFormat="1">
      <c r="A425" s="253"/>
      <c r="B425" s="246"/>
      <c r="C425" s="247"/>
      <c r="D425" s="246"/>
      <c r="E425" s="246"/>
      <c r="F425" s="257" t="str">
        <f>IF($G$1,"",IF(COUNTIF(A425:E425,"")=5,"",IF(G425,入力リスト!$K$28,IF(OR(A425="",B425="",IF(COUNTIF($C$3,"*不要*"),"",C425=""),D425=""),IF(A425="","従業員番号","")&amp;IF(B425="","「雇用形態」","")&amp;IF(OR(入力シート!$J$18=入力リスト!$H$9,入力シート!$J$22=入力リスト!$H$9),IF(C425="","「入社年月日」",""),"")&amp;IF(D425="","「性別」","")&amp;IF(IF(A425="","従業員番号","")&amp;IF(B425="","「雇用形態」","")&amp;IF(OR(入力シート!$J$18=入力リスト!$H$9,入力シート!$J$22=入力リスト!$H$9),IF(C425="","「入社年月日」",""),"")&amp;IF(D425="","「性別」","")="","",入力リスト!$K$29),IF(J425,入力リスト!$K$30,"")&amp;IF(I425,入力リスト!$K$31,"")&amp;IF(H425,"「雇用形態」","")&amp;IF(K425,"「性別」","")&amp;IF(L425,"「役職」","")&amp;IF(OR(H425,K425,L425),入力リスト!$K$32,"")))))</f>
        <v/>
      </c>
      <c r="G425" s="209" t="b">
        <f>COUNTIF($A$4:A424,$A425)&gt;0</f>
        <v>0</v>
      </c>
      <c r="H425" s="210" t="b">
        <f>IF($H$1,FALSE,COUNTIF(入力シート!$S$37:$V$62,B425)=0)</f>
        <v>0</v>
      </c>
      <c r="I425" s="210" t="b">
        <f t="shared" si="14"/>
        <v>0</v>
      </c>
      <c r="J425" s="210" t="b">
        <f>IF($J$1,FALSE,IF(I425=TRUE,FALSE,IF(I425,FALSE,C425&gt;入力シート!$J$24)))</f>
        <v>0</v>
      </c>
      <c r="K425" s="210" t="b">
        <f>IF($K$1,FALSE,COUNTIF(入力シート!$AW$37:$BB$38,D425)=0)</f>
        <v>0</v>
      </c>
      <c r="L425" s="210" t="b">
        <f>IF($L$1,FALSE,IF($L$3,FALSE,IF(E425="",FALSE,COUNTIF(入力シート!$AH$37:$AK$62,E425)=0)))</f>
        <v>0</v>
      </c>
      <c r="M425" s="211" t="str">
        <f t="shared" si="13"/>
        <v/>
      </c>
      <c r="N425" s="211"/>
      <c r="O425" s="209" t="str">
        <f>IF(B425="","",VLOOKUP('従業員情報(給与以外)'!$B425,入力シート!$S$37:$Z$62,5,0))</f>
        <v/>
      </c>
      <c r="P425" s="156" t="str">
        <f>IF(ISNUMBER(C425)=FALSE,"",IF(C425&gt;入力シート!$J$24,"",_xlfn.DAYS(入力シート!$J$24,'従業員情報(給与以外)'!$C425)/365))</f>
        <v/>
      </c>
      <c r="Q425" s="210" t="str">
        <f>IF(P425="","",VLOOKUP(_xlfn.DAYS(入力シート!$J$24,'従業員情報(給与以外)'!$C425)/365,入力リスト!$K$18:$L$26,2,2))</f>
        <v/>
      </c>
      <c r="R425" s="209" t="str">
        <f>IF(D425="","",VLOOKUP('従業員情報(給与以外)'!$D425,入力シート!$AW$37:$BB$38,4,0))</f>
        <v/>
      </c>
      <c r="S425" s="209" t="str">
        <f>IF(A425="","",IF(E425="","非役職",VLOOKUP('従業員情報(給与以外)'!$E425,入力シート!$AH$37:$AO$62,5,0)))</f>
        <v/>
      </c>
      <c r="T425" s="102" t="str">
        <f>IF(OR(入力シート!$C$5&lt;&gt;入力リスト!$C$3,COUNTIF(入力シート!$J$16:$S$23,入力リスト!$H$9)=0),"",IF($A425="","",IF(ISERROR(AVERAGEIF(従業員の給与情報!$B:$B,$A425,従業員の給与情報!$C:$C)),0,IF(ISERROR(AVERAGEIF(従業員の給与情報!$B:$B,$A425,従業員の給与情報!$C:$C)),0,AVERAGEIF(従業員の給与情報!$B:$B,$A425,従業員の給与情報!$C:$C)))))</f>
        <v/>
      </c>
      <c r="U425" s="102" t="str">
        <f>IF(OR(入力シート!$C$5&lt;&gt;入力リスト!$C$3,COUNTIF(入力シート!$J$16:$S$23,入力リスト!$H$9)=0),"",IF(A425="","",IF(ISERROR(AVERAGEIF(従業員の給与情報!$B:$B,$A425,従業員の給与情報!$D:$D)),0,IF(ISERROR(AVERAGEIF(従業員の給与情報!$B:$B,$A425,従業員の給与情報!$D:$D)),0,AVERAGEIF(従業員の給与情報!$B:$B,$A425,従業員の給与情報!$D:$D)))))</f>
        <v/>
      </c>
      <c r="V425" s="102" t="str">
        <f>IF(OR(入力シート!$C$5&lt;&gt;入力リスト!$C$3,COUNTIF(入力シート!$J$16:$S$23,入力リスト!$H$9)=0),"",IF(A425="","",IF(ISERROR(AVERAGEIF(従業員の給与情報!$B:$B,$A425,従業員の給与情報!$E:$E)),0,IF(ISERROR(AVERAGEIF(従業員の給与情報!$B:$B,$A425,従業員の給与情報!$E:$E)),0,AVERAGEIF(従業員の給与情報!$B:$B,$A425,従業員の給与情報!$E:$E)))))</f>
        <v/>
      </c>
      <c r="W425" s="103" t="str">
        <f>IF(OR(入力シート!$C$5&lt;&gt;入力リスト!$C$3,COUNTIF(入力シート!$J$16:$S$23,入力リスト!$H$9)=0),"",IF(A425="","",IF(ISERROR(AVERAGEIF(従業員の給与情報!$B:$B,$A425,従業員の給与情報!$F:$F)),0,IF(ISERROR(AVERAGEIF(従業員の給与情報!$B:$B,$A425,従業員の給与情報!$F:$F)),0,AVERAGEIF(従業員の給与情報!$B:$B,$A425,従業員の給与情報!$F:$F)))))</f>
        <v/>
      </c>
    </row>
    <row r="426" spans="1:23" s="10" customFormat="1">
      <c r="A426" s="253"/>
      <c r="B426" s="246"/>
      <c r="C426" s="247"/>
      <c r="D426" s="246"/>
      <c r="E426" s="246"/>
      <c r="F426" s="257" t="str">
        <f>IF($G$1,"",IF(COUNTIF(A426:E426,"")=5,"",IF(G426,入力リスト!$K$28,IF(OR(A426="",B426="",IF(COUNTIF($C$3,"*不要*"),"",C426=""),D426=""),IF(A426="","従業員番号","")&amp;IF(B426="","「雇用形態」","")&amp;IF(OR(入力シート!$J$18=入力リスト!$H$9,入力シート!$J$22=入力リスト!$H$9),IF(C426="","「入社年月日」",""),"")&amp;IF(D426="","「性別」","")&amp;IF(IF(A426="","従業員番号","")&amp;IF(B426="","「雇用形態」","")&amp;IF(OR(入力シート!$J$18=入力リスト!$H$9,入力シート!$J$22=入力リスト!$H$9),IF(C426="","「入社年月日」",""),"")&amp;IF(D426="","「性別」","")="","",入力リスト!$K$29),IF(J426,入力リスト!$K$30,"")&amp;IF(I426,入力リスト!$K$31,"")&amp;IF(H426,"「雇用形態」","")&amp;IF(K426,"「性別」","")&amp;IF(L426,"「役職」","")&amp;IF(OR(H426,K426,L426),入力リスト!$K$32,"")))))</f>
        <v/>
      </c>
      <c r="G426" s="209" t="b">
        <f>COUNTIF($A$4:A425,$A426)&gt;0</f>
        <v>0</v>
      </c>
      <c r="H426" s="210" t="b">
        <f>IF($H$1,FALSE,COUNTIF(入力シート!$S$37:$V$62,B426)=0)</f>
        <v>0</v>
      </c>
      <c r="I426" s="210" t="b">
        <f t="shared" si="14"/>
        <v>0</v>
      </c>
      <c r="J426" s="210" t="b">
        <f>IF($J$1,FALSE,IF(I426=TRUE,FALSE,IF(I426,FALSE,C426&gt;入力シート!$J$24)))</f>
        <v>0</v>
      </c>
      <c r="K426" s="210" t="b">
        <f>IF($K$1,FALSE,COUNTIF(入力シート!$AW$37:$BB$38,D426)=0)</f>
        <v>0</v>
      </c>
      <c r="L426" s="210" t="b">
        <f>IF($L$1,FALSE,IF($L$3,FALSE,IF(E426="",FALSE,COUNTIF(入力シート!$AH$37:$AK$62,E426)=0)))</f>
        <v>0</v>
      </c>
      <c r="M426" s="211" t="str">
        <f t="shared" si="13"/>
        <v/>
      </c>
      <c r="N426" s="211"/>
      <c r="O426" s="209" t="str">
        <f>IF(B426="","",VLOOKUP('従業員情報(給与以外)'!$B426,入力シート!$S$37:$Z$62,5,0))</f>
        <v/>
      </c>
      <c r="P426" s="156" t="str">
        <f>IF(ISNUMBER(C426)=FALSE,"",IF(C426&gt;入力シート!$J$24,"",_xlfn.DAYS(入力シート!$J$24,'従業員情報(給与以外)'!$C426)/365))</f>
        <v/>
      </c>
      <c r="Q426" s="210" t="str">
        <f>IF(P426="","",VLOOKUP(_xlfn.DAYS(入力シート!$J$24,'従業員情報(給与以外)'!$C426)/365,入力リスト!$K$18:$L$26,2,2))</f>
        <v/>
      </c>
      <c r="R426" s="209" t="str">
        <f>IF(D426="","",VLOOKUP('従業員情報(給与以外)'!$D426,入力シート!$AW$37:$BB$38,4,0))</f>
        <v/>
      </c>
      <c r="S426" s="209" t="str">
        <f>IF(A426="","",IF(E426="","非役職",VLOOKUP('従業員情報(給与以外)'!$E426,入力シート!$AH$37:$AO$62,5,0)))</f>
        <v/>
      </c>
      <c r="T426" s="102" t="str">
        <f>IF(OR(入力シート!$C$5&lt;&gt;入力リスト!$C$3,COUNTIF(入力シート!$J$16:$S$23,入力リスト!$H$9)=0),"",IF($A426="","",IF(ISERROR(AVERAGEIF(従業員の給与情報!$B:$B,$A426,従業員の給与情報!$C:$C)),0,IF(ISERROR(AVERAGEIF(従業員の給与情報!$B:$B,$A426,従業員の給与情報!$C:$C)),0,AVERAGEIF(従業員の給与情報!$B:$B,$A426,従業員の給与情報!$C:$C)))))</f>
        <v/>
      </c>
      <c r="U426" s="102" t="str">
        <f>IF(OR(入力シート!$C$5&lt;&gt;入力リスト!$C$3,COUNTIF(入力シート!$J$16:$S$23,入力リスト!$H$9)=0),"",IF(A426="","",IF(ISERROR(AVERAGEIF(従業員の給与情報!$B:$B,$A426,従業員の給与情報!$D:$D)),0,IF(ISERROR(AVERAGEIF(従業員の給与情報!$B:$B,$A426,従業員の給与情報!$D:$D)),0,AVERAGEIF(従業員の給与情報!$B:$B,$A426,従業員の給与情報!$D:$D)))))</f>
        <v/>
      </c>
      <c r="V426" s="102" t="str">
        <f>IF(OR(入力シート!$C$5&lt;&gt;入力リスト!$C$3,COUNTIF(入力シート!$J$16:$S$23,入力リスト!$H$9)=0),"",IF(A426="","",IF(ISERROR(AVERAGEIF(従業員の給与情報!$B:$B,$A426,従業員の給与情報!$E:$E)),0,IF(ISERROR(AVERAGEIF(従業員の給与情報!$B:$B,$A426,従業員の給与情報!$E:$E)),0,AVERAGEIF(従業員の給与情報!$B:$B,$A426,従業員の給与情報!$E:$E)))))</f>
        <v/>
      </c>
      <c r="W426" s="103" t="str">
        <f>IF(OR(入力シート!$C$5&lt;&gt;入力リスト!$C$3,COUNTIF(入力シート!$J$16:$S$23,入力リスト!$H$9)=0),"",IF(A426="","",IF(ISERROR(AVERAGEIF(従業員の給与情報!$B:$B,$A426,従業員の給与情報!$F:$F)),0,IF(ISERROR(AVERAGEIF(従業員の給与情報!$B:$B,$A426,従業員の給与情報!$F:$F)),0,AVERAGEIF(従業員の給与情報!$B:$B,$A426,従業員の給与情報!$F:$F)))))</f>
        <v/>
      </c>
    </row>
    <row r="427" spans="1:23" s="10" customFormat="1">
      <c r="A427" s="253"/>
      <c r="B427" s="246"/>
      <c r="C427" s="247"/>
      <c r="D427" s="246"/>
      <c r="E427" s="246"/>
      <c r="F427" s="257" t="str">
        <f>IF($G$1,"",IF(COUNTIF(A427:E427,"")=5,"",IF(G427,入力リスト!$K$28,IF(OR(A427="",B427="",IF(COUNTIF($C$3,"*不要*"),"",C427=""),D427=""),IF(A427="","従業員番号","")&amp;IF(B427="","「雇用形態」","")&amp;IF(OR(入力シート!$J$18=入力リスト!$H$9,入力シート!$J$22=入力リスト!$H$9),IF(C427="","「入社年月日」",""),"")&amp;IF(D427="","「性別」","")&amp;IF(IF(A427="","従業員番号","")&amp;IF(B427="","「雇用形態」","")&amp;IF(OR(入力シート!$J$18=入力リスト!$H$9,入力シート!$J$22=入力リスト!$H$9),IF(C427="","「入社年月日」",""),"")&amp;IF(D427="","「性別」","")="","",入力リスト!$K$29),IF(J427,入力リスト!$K$30,"")&amp;IF(I427,入力リスト!$K$31,"")&amp;IF(H427,"「雇用形態」","")&amp;IF(K427,"「性別」","")&amp;IF(L427,"「役職」","")&amp;IF(OR(H427,K427,L427),入力リスト!$K$32,"")))))</f>
        <v/>
      </c>
      <c r="G427" s="209" t="b">
        <f>COUNTIF($A$4:A426,$A427)&gt;0</f>
        <v>0</v>
      </c>
      <c r="H427" s="210" t="b">
        <f>IF($H$1,FALSE,COUNTIF(入力シート!$S$37:$V$62,B427)=0)</f>
        <v>0</v>
      </c>
      <c r="I427" s="210" t="b">
        <f t="shared" si="14"/>
        <v>0</v>
      </c>
      <c r="J427" s="210" t="b">
        <f>IF($J$1,FALSE,IF(I427=TRUE,FALSE,IF(I427,FALSE,C427&gt;入力シート!$J$24)))</f>
        <v>0</v>
      </c>
      <c r="K427" s="210" t="b">
        <f>IF($K$1,FALSE,COUNTIF(入力シート!$AW$37:$BB$38,D427)=0)</f>
        <v>0</v>
      </c>
      <c r="L427" s="210" t="b">
        <f>IF($L$1,FALSE,IF($L$3,FALSE,IF(E427="",FALSE,COUNTIF(入力シート!$AH$37:$AK$62,E427)=0)))</f>
        <v>0</v>
      </c>
      <c r="M427" s="211" t="str">
        <f t="shared" si="13"/>
        <v/>
      </c>
      <c r="N427" s="211"/>
      <c r="O427" s="209" t="str">
        <f>IF(B427="","",VLOOKUP('従業員情報(給与以外)'!$B427,入力シート!$S$37:$Z$62,5,0))</f>
        <v/>
      </c>
      <c r="P427" s="156" t="str">
        <f>IF(ISNUMBER(C427)=FALSE,"",IF(C427&gt;入力シート!$J$24,"",_xlfn.DAYS(入力シート!$J$24,'従業員情報(給与以外)'!$C427)/365))</f>
        <v/>
      </c>
      <c r="Q427" s="210" t="str">
        <f>IF(P427="","",VLOOKUP(_xlfn.DAYS(入力シート!$J$24,'従業員情報(給与以外)'!$C427)/365,入力リスト!$K$18:$L$26,2,2))</f>
        <v/>
      </c>
      <c r="R427" s="209" t="str">
        <f>IF(D427="","",VLOOKUP('従業員情報(給与以外)'!$D427,入力シート!$AW$37:$BB$38,4,0))</f>
        <v/>
      </c>
      <c r="S427" s="209" t="str">
        <f>IF(A427="","",IF(E427="","非役職",VLOOKUP('従業員情報(給与以外)'!$E427,入力シート!$AH$37:$AO$62,5,0)))</f>
        <v/>
      </c>
      <c r="T427" s="102" t="str">
        <f>IF(OR(入力シート!$C$5&lt;&gt;入力リスト!$C$3,COUNTIF(入力シート!$J$16:$S$23,入力リスト!$H$9)=0),"",IF($A427="","",IF(ISERROR(AVERAGEIF(従業員の給与情報!$B:$B,$A427,従業員の給与情報!$C:$C)),0,IF(ISERROR(AVERAGEIF(従業員の給与情報!$B:$B,$A427,従業員の給与情報!$C:$C)),0,AVERAGEIF(従業員の給与情報!$B:$B,$A427,従業員の給与情報!$C:$C)))))</f>
        <v/>
      </c>
      <c r="U427" s="102" t="str">
        <f>IF(OR(入力シート!$C$5&lt;&gt;入力リスト!$C$3,COUNTIF(入力シート!$J$16:$S$23,入力リスト!$H$9)=0),"",IF(A427="","",IF(ISERROR(AVERAGEIF(従業員の給与情報!$B:$B,$A427,従業員の給与情報!$D:$D)),0,IF(ISERROR(AVERAGEIF(従業員の給与情報!$B:$B,$A427,従業員の給与情報!$D:$D)),0,AVERAGEIF(従業員の給与情報!$B:$B,$A427,従業員の給与情報!$D:$D)))))</f>
        <v/>
      </c>
      <c r="V427" s="102" t="str">
        <f>IF(OR(入力シート!$C$5&lt;&gt;入力リスト!$C$3,COUNTIF(入力シート!$J$16:$S$23,入力リスト!$H$9)=0),"",IF(A427="","",IF(ISERROR(AVERAGEIF(従業員の給与情報!$B:$B,$A427,従業員の給与情報!$E:$E)),0,IF(ISERROR(AVERAGEIF(従業員の給与情報!$B:$B,$A427,従業員の給与情報!$E:$E)),0,AVERAGEIF(従業員の給与情報!$B:$B,$A427,従業員の給与情報!$E:$E)))))</f>
        <v/>
      </c>
      <c r="W427" s="103" t="str">
        <f>IF(OR(入力シート!$C$5&lt;&gt;入力リスト!$C$3,COUNTIF(入力シート!$J$16:$S$23,入力リスト!$H$9)=0),"",IF(A427="","",IF(ISERROR(AVERAGEIF(従業員の給与情報!$B:$B,$A427,従業員の給与情報!$F:$F)),0,IF(ISERROR(AVERAGEIF(従業員の給与情報!$B:$B,$A427,従業員の給与情報!$F:$F)),0,AVERAGEIF(従業員の給与情報!$B:$B,$A427,従業員の給与情報!$F:$F)))))</f>
        <v/>
      </c>
    </row>
    <row r="428" spans="1:23" s="10" customFormat="1">
      <c r="A428" s="253"/>
      <c r="B428" s="246"/>
      <c r="C428" s="247"/>
      <c r="D428" s="246"/>
      <c r="E428" s="246"/>
      <c r="F428" s="257" t="str">
        <f>IF($G$1,"",IF(COUNTIF(A428:E428,"")=5,"",IF(G428,入力リスト!$K$28,IF(OR(A428="",B428="",IF(COUNTIF($C$3,"*不要*"),"",C428=""),D428=""),IF(A428="","従業員番号","")&amp;IF(B428="","「雇用形態」","")&amp;IF(OR(入力シート!$J$18=入力リスト!$H$9,入力シート!$J$22=入力リスト!$H$9),IF(C428="","「入社年月日」",""),"")&amp;IF(D428="","「性別」","")&amp;IF(IF(A428="","従業員番号","")&amp;IF(B428="","「雇用形態」","")&amp;IF(OR(入力シート!$J$18=入力リスト!$H$9,入力シート!$J$22=入力リスト!$H$9),IF(C428="","「入社年月日」",""),"")&amp;IF(D428="","「性別」","")="","",入力リスト!$K$29),IF(J428,入力リスト!$K$30,"")&amp;IF(I428,入力リスト!$K$31,"")&amp;IF(H428,"「雇用形態」","")&amp;IF(K428,"「性別」","")&amp;IF(L428,"「役職」","")&amp;IF(OR(H428,K428,L428),入力リスト!$K$32,"")))))</f>
        <v/>
      </c>
      <c r="G428" s="209" t="b">
        <f>COUNTIF($A$4:A427,$A428)&gt;0</f>
        <v>0</v>
      </c>
      <c r="H428" s="210" t="b">
        <f>IF($H$1,FALSE,COUNTIF(入力シート!$S$37:$V$62,B428)=0)</f>
        <v>0</v>
      </c>
      <c r="I428" s="210" t="b">
        <f t="shared" si="14"/>
        <v>0</v>
      </c>
      <c r="J428" s="210" t="b">
        <f>IF($J$1,FALSE,IF(I428=TRUE,FALSE,IF(I428,FALSE,C428&gt;入力シート!$J$24)))</f>
        <v>0</v>
      </c>
      <c r="K428" s="210" t="b">
        <f>IF($K$1,FALSE,COUNTIF(入力シート!$AW$37:$BB$38,D428)=0)</f>
        <v>0</v>
      </c>
      <c r="L428" s="210" t="b">
        <f>IF($L$1,FALSE,IF($L$3,FALSE,IF(E428="",FALSE,COUNTIF(入力シート!$AH$37:$AK$62,E428)=0)))</f>
        <v>0</v>
      </c>
      <c r="M428" s="211" t="str">
        <f t="shared" si="13"/>
        <v/>
      </c>
      <c r="N428" s="211"/>
      <c r="O428" s="209" t="str">
        <f>IF(B428="","",VLOOKUP('従業員情報(給与以外)'!$B428,入力シート!$S$37:$Z$62,5,0))</f>
        <v/>
      </c>
      <c r="P428" s="156" t="str">
        <f>IF(ISNUMBER(C428)=FALSE,"",IF(C428&gt;入力シート!$J$24,"",_xlfn.DAYS(入力シート!$J$24,'従業員情報(給与以外)'!$C428)/365))</f>
        <v/>
      </c>
      <c r="Q428" s="210" t="str">
        <f>IF(P428="","",VLOOKUP(_xlfn.DAYS(入力シート!$J$24,'従業員情報(給与以外)'!$C428)/365,入力リスト!$K$18:$L$26,2,2))</f>
        <v/>
      </c>
      <c r="R428" s="209" t="str">
        <f>IF(D428="","",VLOOKUP('従業員情報(給与以外)'!$D428,入力シート!$AW$37:$BB$38,4,0))</f>
        <v/>
      </c>
      <c r="S428" s="209" t="str">
        <f>IF(A428="","",IF(E428="","非役職",VLOOKUP('従業員情報(給与以外)'!$E428,入力シート!$AH$37:$AO$62,5,0)))</f>
        <v/>
      </c>
      <c r="T428" s="102" t="str">
        <f>IF(OR(入力シート!$C$5&lt;&gt;入力リスト!$C$3,COUNTIF(入力シート!$J$16:$S$23,入力リスト!$H$9)=0),"",IF($A428="","",IF(ISERROR(AVERAGEIF(従業員の給与情報!$B:$B,$A428,従業員の給与情報!$C:$C)),0,IF(ISERROR(AVERAGEIF(従業員の給与情報!$B:$B,$A428,従業員の給与情報!$C:$C)),0,AVERAGEIF(従業員の給与情報!$B:$B,$A428,従業員の給与情報!$C:$C)))))</f>
        <v/>
      </c>
      <c r="U428" s="102" t="str">
        <f>IF(OR(入力シート!$C$5&lt;&gt;入力リスト!$C$3,COUNTIF(入力シート!$J$16:$S$23,入力リスト!$H$9)=0),"",IF(A428="","",IF(ISERROR(AVERAGEIF(従業員の給与情報!$B:$B,$A428,従業員の給与情報!$D:$D)),0,IF(ISERROR(AVERAGEIF(従業員の給与情報!$B:$B,$A428,従業員の給与情報!$D:$D)),0,AVERAGEIF(従業員の給与情報!$B:$B,$A428,従業員の給与情報!$D:$D)))))</f>
        <v/>
      </c>
      <c r="V428" s="102" t="str">
        <f>IF(OR(入力シート!$C$5&lt;&gt;入力リスト!$C$3,COUNTIF(入力シート!$J$16:$S$23,入力リスト!$H$9)=0),"",IF(A428="","",IF(ISERROR(AVERAGEIF(従業員の給与情報!$B:$B,$A428,従業員の給与情報!$E:$E)),0,IF(ISERROR(AVERAGEIF(従業員の給与情報!$B:$B,$A428,従業員の給与情報!$E:$E)),0,AVERAGEIF(従業員の給与情報!$B:$B,$A428,従業員の給与情報!$E:$E)))))</f>
        <v/>
      </c>
      <c r="W428" s="103" t="str">
        <f>IF(OR(入力シート!$C$5&lt;&gt;入力リスト!$C$3,COUNTIF(入力シート!$J$16:$S$23,入力リスト!$H$9)=0),"",IF(A428="","",IF(ISERROR(AVERAGEIF(従業員の給与情報!$B:$B,$A428,従業員の給与情報!$F:$F)),0,IF(ISERROR(AVERAGEIF(従業員の給与情報!$B:$B,$A428,従業員の給与情報!$F:$F)),0,AVERAGEIF(従業員の給与情報!$B:$B,$A428,従業員の給与情報!$F:$F)))))</f>
        <v/>
      </c>
    </row>
    <row r="429" spans="1:23" s="10" customFormat="1">
      <c r="A429" s="253"/>
      <c r="B429" s="246"/>
      <c r="C429" s="247"/>
      <c r="D429" s="246"/>
      <c r="E429" s="246"/>
      <c r="F429" s="257" t="str">
        <f>IF($G$1,"",IF(COUNTIF(A429:E429,"")=5,"",IF(G429,入力リスト!$K$28,IF(OR(A429="",B429="",IF(COUNTIF($C$3,"*不要*"),"",C429=""),D429=""),IF(A429="","従業員番号","")&amp;IF(B429="","「雇用形態」","")&amp;IF(OR(入力シート!$J$18=入力リスト!$H$9,入力シート!$J$22=入力リスト!$H$9),IF(C429="","「入社年月日」",""),"")&amp;IF(D429="","「性別」","")&amp;IF(IF(A429="","従業員番号","")&amp;IF(B429="","「雇用形態」","")&amp;IF(OR(入力シート!$J$18=入力リスト!$H$9,入力シート!$J$22=入力リスト!$H$9),IF(C429="","「入社年月日」",""),"")&amp;IF(D429="","「性別」","")="","",入力リスト!$K$29),IF(J429,入力リスト!$K$30,"")&amp;IF(I429,入力リスト!$K$31,"")&amp;IF(H429,"「雇用形態」","")&amp;IF(K429,"「性別」","")&amp;IF(L429,"「役職」","")&amp;IF(OR(H429,K429,L429),入力リスト!$K$32,"")))))</f>
        <v/>
      </c>
      <c r="G429" s="209" t="b">
        <f>COUNTIF($A$4:A428,$A429)&gt;0</f>
        <v>0</v>
      </c>
      <c r="H429" s="210" t="b">
        <f>IF($H$1,FALSE,COUNTIF(入力シート!$S$37:$V$62,B429)=0)</f>
        <v>0</v>
      </c>
      <c r="I429" s="210" t="b">
        <f t="shared" si="14"/>
        <v>0</v>
      </c>
      <c r="J429" s="210" t="b">
        <f>IF($J$1,FALSE,IF(I429=TRUE,FALSE,IF(I429,FALSE,C429&gt;入力シート!$J$24)))</f>
        <v>0</v>
      </c>
      <c r="K429" s="210" t="b">
        <f>IF($K$1,FALSE,COUNTIF(入力シート!$AW$37:$BB$38,D429)=0)</f>
        <v>0</v>
      </c>
      <c r="L429" s="210" t="b">
        <f>IF($L$1,FALSE,IF($L$3,FALSE,IF(E429="",FALSE,COUNTIF(入力シート!$AH$37:$AK$62,E429)=0)))</f>
        <v>0</v>
      </c>
      <c r="M429" s="211" t="str">
        <f t="shared" si="13"/>
        <v/>
      </c>
      <c r="N429" s="211"/>
      <c r="O429" s="209" t="str">
        <f>IF(B429="","",VLOOKUP('従業員情報(給与以外)'!$B429,入力シート!$S$37:$Z$62,5,0))</f>
        <v/>
      </c>
      <c r="P429" s="156" t="str">
        <f>IF(ISNUMBER(C429)=FALSE,"",IF(C429&gt;入力シート!$J$24,"",_xlfn.DAYS(入力シート!$J$24,'従業員情報(給与以外)'!$C429)/365))</f>
        <v/>
      </c>
      <c r="Q429" s="210" t="str">
        <f>IF(P429="","",VLOOKUP(_xlfn.DAYS(入力シート!$J$24,'従業員情報(給与以外)'!$C429)/365,入力リスト!$K$18:$L$26,2,2))</f>
        <v/>
      </c>
      <c r="R429" s="209" t="str">
        <f>IF(D429="","",VLOOKUP('従業員情報(給与以外)'!$D429,入力シート!$AW$37:$BB$38,4,0))</f>
        <v/>
      </c>
      <c r="S429" s="209" t="str">
        <f>IF(A429="","",IF(E429="","非役職",VLOOKUP('従業員情報(給与以外)'!$E429,入力シート!$AH$37:$AO$62,5,0)))</f>
        <v/>
      </c>
      <c r="T429" s="102" t="str">
        <f>IF(OR(入力シート!$C$5&lt;&gt;入力リスト!$C$3,COUNTIF(入力シート!$J$16:$S$23,入力リスト!$H$9)=0),"",IF($A429="","",IF(ISERROR(AVERAGEIF(従業員の給与情報!$B:$B,$A429,従業員の給与情報!$C:$C)),0,IF(ISERROR(AVERAGEIF(従業員の給与情報!$B:$B,$A429,従業員の給与情報!$C:$C)),0,AVERAGEIF(従業員の給与情報!$B:$B,$A429,従業員の給与情報!$C:$C)))))</f>
        <v/>
      </c>
      <c r="U429" s="102" t="str">
        <f>IF(OR(入力シート!$C$5&lt;&gt;入力リスト!$C$3,COUNTIF(入力シート!$J$16:$S$23,入力リスト!$H$9)=0),"",IF(A429="","",IF(ISERROR(AVERAGEIF(従業員の給与情報!$B:$B,$A429,従業員の給与情報!$D:$D)),0,IF(ISERROR(AVERAGEIF(従業員の給与情報!$B:$B,$A429,従業員の給与情報!$D:$D)),0,AVERAGEIF(従業員の給与情報!$B:$B,$A429,従業員の給与情報!$D:$D)))))</f>
        <v/>
      </c>
      <c r="V429" s="102" t="str">
        <f>IF(OR(入力シート!$C$5&lt;&gt;入力リスト!$C$3,COUNTIF(入力シート!$J$16:$S$23,入力リスト!$H$9)=0),"",IF(A429="","",IF(ISERROR(AVERAGEIF(従業員の給与情報!$B:$B,$A429,従業員の給与情報!$E:$E)),0,IF(ISERROR(AVERAGEIF(従業員の給与情報!$B:$B,$A429,従業員の給与情報!$E:$E)),0,AVERAGEIF(従業員の給与情報!$B:$B,$A429,従業員の給与情報!$E:$E)))))</f>
        <v/>
      </c>
      <c r="W429" s="103" t="str">
        <f>IF(OR(入力シート!$C$5&lt;&gt;入力リスト!$C$3,COUNTIF(入力シート!$J$16:$S$23,入力リスト!$H$9)=0),"",IF(A429="","",IF(ISERROR(AVERAGEIF(従業員の給与情報!$B:$B,$A429,従業員の給与情報!$F:$F)),0,IF(ISERROR(AVERAGEIF(従業員の給与情報!$B:$B,$A429,従業員の給与情報!$F:$F)),0,AVERAGEIF(従業員の給与情報!$B:$B,$A429,従業員の給与情報!$F:$F)))))</f>
        <v/>
      </c>
    </row>
    <row r="430" spans="1:23" s="10" customFormat="1">
      <c r="A430" s="253"/>
      <c r="B430" s="246"/>
      <c r="C430" s="247"/>
      <c r="D430" s="246"/>
      <c r="E430" s="246"/>
      <c r="F430" s="257" t="str">
        <f>IF($G$1,"",IF(COUNTIF(A430:E430,"")=5,"",IF(G430,入力リスト!$K$28,IF(OR(A430="",B430="",IF(COUNTIF($C$3,"*不要*"),"",C430=""),D430=""),IF(A430="","従業員番号","")&amp;IF(B430="","「雇用形態」","")&amp;IF(OR(入力シート!$J$18=入力リスト!$H$9,入力シート!$J$22=入力リスト!$H$9),IF(C430="","「入社年月日」",""),"")&amp;IF(D430="","「性別」","")&amp;IF(IF(A430="","従業員番号","")&amp;IF(B430="","「雇用形態」","")&amp;IF(OR(入力シート!$J$18=入力リスト!$H$9,入力シート!$J$22=入力リスト!$H$9),IF(C430="","「入社年月日」",""),"")&amp;IF(D430="","「性別」","")="","",入力リスト!$K$29),IF(J430,入力リスト!$K$30,"")&amp;IF(I430,入力リスト!$K$31,"")&amp;IF(H430,"「雇用形態」","")&amp;IF(K430,"「性別」","")&amp;IF(L430,"「役職」","")&amp;IF(OR(H430,K430,L430),入力リスト!$K$32,"")))))</f>
        <v/>
      </c>
      <c r="G430" s="209" t="b">
        <f>COUNTIF($A$4:A429,$A430)&gt;0</f>
        <v>0</v>
      </c>
      <c r="H430" s="210" t="b">
        <f>IF($H$1,FALSE,COUNTIF(入力シート!$S$37:$V$62,B430)=0)</f>
        <v>0</v>
      </c>
      <c r="I430" s="210" t="b">
        <f t="shared" si="14"/>
        <v>0</v>
      </c>
      <c r="J430" s="210" t="b">
        <f>IF($J$1,FALSE,IF(I430=TRUE,FALSE,IF(I430,FALSE,C430&gt;入力シート!$J$24)))</f>
        <v>0</v>
      </c>
      <c r="K430" s="210" t="b">
        <f>IF($K$1,FALSE,COUNTIF(入力シート!$AW$37:$BB$38,D430)=0)</f>
        <v>0</v>
      </c>
      <c r="L430" s="210" t="b">
        <f>IF($L$1,FALSE,IF($L$3,FALSE,IF(E430="",FALSE,COUNTIF(入力シート!$AH$37:$AK$62,E430)=0)))</f>
        <v>0</v>
      </c>
      <c r="M430" s="211" t="str">
        <f t="shared" si="13"/>
        <v/>
      </c>
      <c r="N430" s="211"/>
      <c r="O430" s="209" t="str">
        <f>IF(B430="","",VLOOKUP('従業員情報(給与以外)'!$B430,入力シート!$S$37:$Z$62,5,0))</f>
        <v/>
      </c>
      <c r="P430" s="156" t="str">
        <f>IF(ISNUMBER(C430)=FALSE,"",IF(C430&gt;入力シート!$J$24,"",_xlfn.DAYS(入力シート!$J$24,'従業員情報(給与以外)'!$C430)/365))</f>
        <v/>
      </c>
      <c r="Q430" s="210" t="str">
        <f>IF(P430="","",VLOOKUP(_xlfn.DAYS(入力シート!$J$24,'従業員情報(給与以外)'!$C430)/365,入力リスト!$K$18:$L$26,2,2))</f>
        <v/>
      </c>
      <c r="R430" s="209" t="str">
        <f>IF(D430="","",VLOOKUP('従業員情報(給与以外)'!$D430,入力シート!$AW$37:$BB$38,4,0))</f>
        <v/>
      </c>
      <c r="S430" s="209" t="str">
        <f>IF(A430="","",IF(E430="","非役職",VLOOKUP('従業員情報(給与以外)'!$E430,入力シート!$AH$37:$AO$62,5,0)))</f>
        <v/>
      </c>
      <c r="T430" s="102" t="str">
        <f>IF(OR(入力シート!$C$5&lt;&gt;入力リスト!$C$3,COUNTIF(入力シート!$J$16:$S$23,入力リスト!$H$9)=0),"",IF($A430="","",IF(ISERROR(AVERAGEIF(従業員の給与情報!$B:$B,$A430,従業員の給与情報!$C:$C)),0,IF(ISERROR(AVERAGEIF(従業員の給与情報!$B:$B,$A430,従業員の給与情報!$C:$C)),0,AVERAGEIF(従業員の給与情報!$B:$B,$A430,従業員の給与情報!$C:$C)))))</f>
        <v/>
      </c>
      <c r="U430" s="102" t="str">
        <f>IF(OR(入力シート!$C$5&lt;&gt;入力リスト!$C$3,COUNTIF(入力シート!$J$16:$S$23,入力リスト!$H$9)=0),"",IF(A430="","",IF(ISERROR(AVERAGEIF(従業員の給与情報!$B:$B,$A430,従業員の給与情報!$D:$D)),0,IF(ISERROR(AVERAGEIF(従業員の給与情報!$B:$B,$A430,従業員の給与情報!$D:$D)),0,AVERAGEIF(従業員の給与情報!$B:$B,$A430,従業員の給与情報!$D:$D)))))</f>
        <v/>
      </c>
      <c r="V430" s="102" t="str">
        <f>IF(OR(入力シート!$C$5&lt;&gt;入力リスト!$C$3,COUNTIF(入力シート!$J$16:$S$23,入力リスト!$H$9)=0),"",IF(A430="","",IF(ISERROR(AVERAGEIF(従業員の給与情報!$B:$B,$A430,従業員の給与情報!$E:$E)),0,IF(ISERROR(AVERAGEIF(従業員の給与情報!$B:$B,$A430,従業員の給与情報!$E:$E)),0,AVERAGEIF(従業員の給与情報!$B:$B,$A430,従業員の給与情報!$E:$E)))))</f>
        <v/>
      </c>
      <c r="W430" s="103" t="str">
        <f>IF(OR(入力シート!$C$5&lt;&gt;入力リスト!$C$3,COUNTIF(入力シート!$J$16:$S$23,入力リスト!$H$9)=0),"",IF(A430="","",IF(ISERROR(AVERAGEIF(従業員の給与情報!$B:$B,$A430,従業員の給与情報!$F:$F)),0,IF(ISERROR(AVERAGEIF(従業員の給与情報!$B:$B,$A430,従業員の給与情報!$F:$F)),0,AVERAGEIF(従業員の給与情報!$B:$B,$A430,従業員の給与情報!$F:$F)))))</f>
        <v/>
      </c>
    </row>
    <row r="431" spans="1:23" s="10" customFormat="1">
      <c r="A431" s="253"/>
      <c r="B431" s="246"/>
      <c r="C431" s="247"/>
      <c r="D431" s="246"/>
      <c r="E431" s="246"/>
      <c r="F431" s="257" t="str">
        <f>IF($G$1,"",IF(COUNTIF(A431:E431,"")=5,"",IF(G431,入力リスト!$K$28,IF(OR(A431="",B431="",IF(COUNTIF($C$3,"*不要*"),"",C431=""),D431=""),IF(A431="","従業員番号","")&amp;IF(B431="","「雇用形態」","")&amp;IF(OR(入力シート!$J$18=入力リスト!$H$9,入力シート!$J$22=入力リスト!$H$9),IF(C431="","「入社年月日」",""),"")&amp;IF(D431="","「性別」","")&amp;IF(IF(A431="","従業員番号","")&amp;IF(B431="","「雇用形態」","")&amp;IF(OR(入力シート!$J$18=入力リスト!$H$9,入力シート!$J$22=入力リスト!$H$9),IF(C431="","「入社年月日」",""),"")&amp;IF(D431="","「性別」","")="","",入力リスト!$K$29),IF(J431,入力リスト!$K$30,"")&amp;IF(I431,入力リスト!$K$31,"")&amp;IF(H431,"「雇用形態」","")&amp;IF(K431,"「性別」","")&amp;IF(L431,"「役職」","")&amp;IF(OR(H431,K431,L431),入力リスト!$K$32,"")))))</f>
        <v/>
      </c>
      <c r="G431" s="209" t="b">
        <f>COUNTIF($A$4:A430,$A431)&gt;0</f>
        <v>0</v>
      </c>
      <c r="H431" s="210" t="b">
        <f>IF($H$1,FALSE,COUNTIF(入力シート!$S$37:$V$62,B431)=0)</f>
        <v>0</v>
      </c>
      <c r="I431" s="210" t="b">
        <f t="shared" si="14"/>
        <v>0</v>
      </c>
      <c r="J431" s="210" t="b">
        <f>IF($J$1,FALSE,IF(I431=TRUE,FALSE,IF(I431,FALSE,C431&gt;入力シート!$J$24)))</f>
        <v>0</v>
      </c>
      <c r="K431" s="210" t="b">
        <f>IF($K$1,FALSE,COUNTIF(入力シート!$AW$37:$BB$38,D431)=0)</f>
        <v>0</v>
      </c>
      <c r="L431" s="210" t="b">
        <f>IF($L$1,FALSE,IF($L$3,FALSE,IF(E431="",FALSE,COUNTIF(入力シート!$AH$37:$AK$62,E431)=0)))</f>
        <v>0</v>
      </c>
      <c r="M431" s="211" t="str">
        <f t="shared" si="13"/>
        <v/>
      </c>
      <c r="N431" s="211"/>
      <c r="O431" s="209" t="str">
        <f>IF(B431="","",VLOOKUP('従業員情報(給与以外)'!$B431,入力シート!$S$37:$Z$62,5,0))</f>
        <v/>
      </c>
      <c r="P431" s="156" t="str">
        <f>IF(ISNUMBER(C431)=FALSE,"",IF(C431&gt;入力シート!$J$24,"",_xlfn.DAYS(入力シート!$J$24,'従業員情報(給与以外)'!$C431)/365))</f>
        <v/>
      </c>
      <c r="Q431" s="210" t="str">
        <f>IF(P431="","",VLOOKUP(_xlfn.DAYS(入力シート!$J$24,'従業員情報(給与以外)'!$C431)/365,入力リスト!$K$18:$L$26,2,2))</f>
        <v/>
      </c>
      <c r="R431" s="209" t="str">
        <f>IF(D431="","",VLOOKUP('従業員情報(給与以外)'!$D431,入力シート!$AW$37:$BB$38,4,0))</f>
        <v/>
      </c>
      <c r="S431" s="209" t="str">
        <f>IF(A431="","",IF(E431="","非役職",VLOOKUP('従業員情報(給与以外)'!$E431,入力シート!$AH$37:$AO$62,5,0)))</f>
        <v/>
      </c>
      <c r="T431" s="102" t="str">
        <f>IF(OR(入力シート!$C$5&lt;&gt;入力リスト!$C$3,COUNTIF(入力シート!$J$16:$S$23,入力リスト!$H$9)=0),"",IF($A431="","",IF(ISERROR(AVERAGEIF(従業員の給与情報!$B:$B,$A431,従業員の給与情報!$C:$C)),0,IF(ISERROR(AVERAGEIF(従業員の給与情報!$B:$B,$A431,従業員の給与情報!$C:$C)),0,AVERAGEIF(従業員の給与情報!$B:$B,$A431,従業員の給与情報!$C:$C)))))</f>
        <v/>
      </c>
      <c r="U431" s="102" t="str">
        <f>IF(OR(入力シート!$C$5&lt;&gt;入力リスト!$C$3,COUNTIF(入力シート!$J$16:$S$23,入力リスト!$H$9)=0),"",IF(A431="","",IF(ISERROR(AVERAGEIF(従業員の給与情報!$B:$B,$A431,従業員の給与情報!$D:$D)),0,IF(ISERROR(AVERAGEIF(従業員の給与情報!$B:$B,$A431,従業員の給与情報!$D:$D)),0,AVERAGEIF(従業員の給与情報!$B:$B,$A431,従業員の給与情報!$D:$D)))))</f>
        <v/>
      </c>
      <c r="V431" s="102" t="str">
        <f>IF(OR(入力シート!$C$5&lt;&gt;入力リスト!$C$3,COUNTIF(入力シート!$J$16:$S$23,入力リスト!$H$9)=0),"",IF(A431="","",IF(ISERROR(AVERAGEIF(従業員の給与情報!$B:$B,$A431,従業員の給与情報!$E:$E)),0,IF(ISERROR(AVERAGEIF(従業員の給与情報!$B:$B,$A431,従業員の給与情報!$E:$E)),0,AVERAGEIF(従業員の給与情報!$B:$B,$A431,従業員の給与情報!$E:$E)))))</f>
        <v/>
      </c>
      <c r="W431" s="103" t="str">
        <f>IF(OR(入力シート!$C$5&lt;&gt;入力リスト!$C$3,COUNTIF(入力シート!$J$16:$S$23,入力リスト!$H$9)=0),"",IF(A431="","",IF(ISERROR(AVERAGEIF(従業員の給与情報!$B:$B,$A431,従業員の給与情報!$F:$F)),0,IF(ISERROR(AVERAGEIF(従業員の給与情報!$B:$B,$A431,従業員の給与情報!$F:$F)),0,AVERAGEIF(従業員の給与情報!$B:$B,$A431,従業員の給与情報!$F:$F)))))</f>
        <v/>
      </c>
    </row>
    <row r="432" spans="1:23" s="10" customFormat="1">
      <c r="A432" s="253"/>
      <c r="B432" s="246"/>
      <c r="C432" s="247"/>
      <c r="D432" s="246"/>
      <c r="E432" s="246"/>
      <c r="F432" s="257" t="str">
        <f>IF($G$1,"",IF(COUNTIF(A432:E432,"")=5,"",IF(G432,入力リスト!$K$28,IF(OR(A432="",B432="",IF(COUNTIF($C$3,"*不要*"),"",C432=""),D432=""),IF(A432="","従業員番号","")&amp;IF(B432="","「雇用形態」","")&amp;IF(OR(入力シート!$J$18=入力リスト!$H$9,入力シート!$J$22=入力リスト!$H$9),IF(C432="","「入社年月日」",""),"")&amp;IF(D432="","「性別」","")&amp;IF(IF(A432="","従業員番号","")&amp;IF(B432="","「雇用形態」","")&amp;IF(OR(入力シート!$J$18=入力リスト!$H$9,入力シート!$J$22=入力リスト!$H$9),IF(C432="","「入社年月日」",""),"")&amp;IF(D432="","「性別」","")="","",入力リスト!$K$29),IF(J432,入力リスト!$K$30,"")&amp;IF(I432,入力リスト!$K$31,"")&amp;IF(H432,"「雇用形態」","")&amp;IF(K432,"「性別」","")&amp;IF(L432,"「役職」","")&amp;IF(OR(H432,K432,L432),入力リスト!$K$32,"")))))</f>
        <v/>
      </c>
      <c r="G432" s="209" t="b">
        <f>COUNTIF($A$4:A431,$A432)&gt;0</f>
        <v>0</v>
      </c>
      <c r="H432" s="210" t="b">
        <f>IF($H$1,FALSE,COUNTIF(入力シート!$S$37:$V$62,B432)=0)</f>
        <v>0</v>
      </c>
      <c r="I432" s="210" t="b">
        <f t="shared" si="14"/>
        <v>0</v>
      </c>
      <c r="J432" s="210" t="b">
        <f>IF($J$1,FALSE,IF(I432=TRUE,FALSE,IF(I432,FALSE,C432&gt;入力シート!$J$24)))</f>
        <v>0</v>
      </c>
      <c r="K432" s="210" t="b">
        <f>IF($K$1,FALSE,COUNTIF(入力シート!$AW$37:$BB$38,D432)=0)</f>
        <v>0</v>
      </c>
      <c r="L432" s="210" t="b">
        <f>IF($L$1,FALSE,IF($L$3,FALSE,IF(E432="",FALSE,COUNTIF(入力シート!$AH$37:$AK$62,E432)=0)))</f>
        <v>0</v>
      </c>
      <c r="M432" s="211" t="str">
        <f t="shared" si="13"/>
        <v/>
      </c>
      <c r="N432" s="211"/>
      <c r="O432" s="209" t="str">
        <f>IF(B432="","",VLOOKUP('従業員情報(給与以外)'!$B432,入力シート!$S$37:$Z$62,5,0))</f>
        <v/>
      </c>
      <c r="P432" s="156" t="str">
        <f>IF(ISNUMBER(C432)=FALSE,"",IF(C432&gt;入力シート!$J$24,"",_xlfn.DAYS(入力シート!$J$24,'従業員情報(給与以外)'!$C432)/365))</f>
        <v/>
      </c>
      <c r="Q432" s="210" t="str">
        <f>IF(P432="","",VLOOKUP(_xlfn.DAYS(入力シート!$J$24,'従業員情報(給与以外)'!$C432)/365,入力リスト!$K$18:$L$26,2,2))</f>
        <v/>
      </c>
      <c r="R432" s="209" t="str">
        <f>IF(D432="","",VLOOKUP('従業員情報(給与以外)'!$D432,入力シート!$AW$37:$BB$38,4,0))</f>
        <v/>
      </c>
      <c r="S432" s="209" t="str">
        <f>IF(A432="","",IF(E432="","非役職",VLOOKUP('従業員情報(給与以外)'!$E432,入力シート!$AH$37:$AO$62,5,0)))</f>
        <v/>
      </c>
      <c r="T432" s="102" t="str">
        <f>IF(OR(入力シート!$C$5&lt;&gt;入力リスト!$C$3,COUNTIF(入力シート!$J$16:$S$23,入力リスト!$H$9)=0),"",IF($A432="","",IF(ISERROR(AVERAGEIF(従業員の給与情報!$B:$B,$A432,従業員の給与情報!$C:$C)),0,IF(ISERROR(AVERAGEIF(従業員の給与情報!$B:$B,$A432,従業員の給与情報!$C:$C)),0,AVERAGEIF(従業員の給与情報!$B:$B,$A432,従業員の給与情報!$C:$C)))))</f>
        <v/>
      </c>
      <c r="U432" s="102" t="str">
        <f>IF(OR(入力シート!$C$5&lt;&gt;入力リスト!$C$3,COUNTIF(入力シート!$J$16:$S$23,入力リスト!$H$9)=0),"",IF(A432="","",IF(ISERROR(AVERAGEIF(従業員の給与情報!$B:$B,$A432,従業員の給与情報!$D:$D)),0,IF(ISERROR(AVERAGEIF(従業員の給与情報!$B:$B,$A432,従業員の給与情報!$D:$D)),0,AVERAGEIF(従業員の給与情報!$B:$B,$A432,従業員の給与情報!$D:$D)))))</f>
        <v/>
      </c>
      <c r="V432" s="102" t="str">
        <f>IF(OR(入力シート!$C$5&lt;&gt;入力リスト!$C$3,COUNTIF(入力シート!$J$16:$S$23,入力リスト!$H$9)=0),"",IF(A432="","",IF(ISERROR(AVERAGEIF(従業員の給与情報!$B:$B,$A432,従業員の給与情報!$E:$E)),0,IF(ISERROR(AVERAGEIF(従業員の給与情報!$B:$B,$A432,従業員の給与情報!$E:$E)),0,AVERAGEIF(従業員の給与情報!$B:$B,$A432,従業員の給与情報!$E:$E)))))</f>
        <v/>
      </c>
      <c r="W432" s="103" t="str">
        <f>IF(OR(入力シート!$C$5&lt;&gt;入力リスト!$C$3,COUNTIF(入力シート!$J$16:$S$23,入力リスト!$H$9)=0),"",IF(A432="","",IF(ISERROR(AVERAGEIF(従業員の給与情報!$B:$B,$A432,従業員の給与情報!$F:$F)),0,IF(ISERROR(AVERAGEIF(従業員の給与情報!$B:$B,$A432,従業員の給与情報!$F:$F)),0,AVERAGEIF(従業員の給与情報!$B:$B,$A432,従業員の給与情報!$F:$F)))))</f>
        <v/>
      </c>
    </row>
    <row r="433" spans="1:23" s="10" customFormat="1">
      <c r="A433" s="253"/>
      <c r="B433" s="246"/>
      <c r="C433" s="247"/>
      <c r="D433" s="246"/>
      <c r="E433" s="246"/>
      <c r="F433" s="257" t="str">
        <f>IF($G$1,"",IF(COUNTIF(A433:E433,"")=5,"",IF(G433,入力リスト!$K$28,IF(OR(A433="",B433="",IF(COUNTIF($C$3,"*不要*"),"",C433=""),D433=""),IF(A433="","従業員番号","")&amp;IF(B433="","「雇用形態」","")&amp;IF(OR(入力シート!$J$18=入力リスト!$H$9,入力シート!$J$22=入力リスト!$H$9),IF(C433="","「入社年月日」",""),"")&amp;IF(D433="","「性別」","")&amp;IF(IF(A433="","従業員番号","")&amp;IF(B433="","「雇用形態」","")&amp;IF(OR(入力シート!$J$18=入力リスト!$H$9,入力シート!$J$22=入力リスト!$H$9),IF(C433="","「入社年月日」",""),"")&amp;IF(D433="","「性別」","")="","",入力リスト!$K$29),IF(J433,入力リスト!$K$30,"")&amp;IF(I433,入力リスト!$K$31,"")&amp;IF(H433,"「雇用形態」","")&amp;IF(K433,"「性別」","")&amp;IF(L433,"「役職」","")&amp;IF(OR(H433,K433,L433),入力リスト!$K$32,"")))))</f>
        <v/>
      </c>
      <c r="G433" s="209" t="b">
        <f>COUNTIF($A$4:A432,$A433)&gt;0</f>
        <v>0</v>
      </c>
      <c r="H433" s="210" t="b">
        <f>IF($H$1,FALSE,COUNTIF(入力シート!$S$37:$V$62,B433)=0)</f>
        <v>0</v>
      </c>
      <c r="I433" s="210" t="b">
        <f t="shared" si="14"/>
        <v>0</v>
      </c>
      <c r="J433" s="210" t="b">
        <f>IF($J$1,FALSE,IF(I433=TRUE,FALSE,IF(I433,FALSE,C433&gt;入力シート!$J$24)))</f>
        <v>0</v>
      </c>
      <c r="K433" s="210" t="b">
        <f>IF($K$1,FALSE,COUNTIF(入力シート!$AW$37:$BB$38,D433)=0)</f>
        <v>0</v>
      </c>
      <c r="L433" s="210" t="b">
        <f>IF($L$1,FALSE,IF($L$3,FALSE,IF(E433="",FALSE,COUNTIF(入力シート!$AH$37:$AK$62,E433)=0)))</f>
        <v>0</v>
      </c>
      <c r="M433" s="211" t="str">
        <f t="shared" si="13"/>
        <v/>
      </c>
      <c r="N433" s="211"/>
      <c r="O433" s="209" t="str">
        <f>IF(B433="","",VLOOKUP('従業員情報(給与以外)'!$B433,入力シート!$S$37:$Z$62,5,0))</f>
        <v/>
      </c>
      <c r="P433" s="156" t="str">
        <f>IF(ISNUMBER(C433)=FALSE,"",IF(C433&gt;入力シート!$J$24,"",_xlfn.DAYS(入力シート!$J$24,'従業員情報(給与以外)'!$C433)/365))</f>
        <v/>
      </c>
      <c r="Q433" s="210" t="str">
        <f>IF(P433="","",VLOOKUP(_xlfn.DAYS(入力シート!$J$24,'従業員情報(給与以外)'!$C433)/365,入力リスト!$K$18:$L$26,2,2))</f>
        <v/>
      </c>
      <c r="R433" s="209" t="str">
        <f>IF(D433="","",VLOOKUP('従業員情報(給与以外)'!$D433,入力シート!$AW$37:$BB$38,4,0))</f>
        <v/>
      </c>
      <c r="S433" s="209" t="str">
        <f>IF(A433="","",IF(E433="","非役職",VLOOKUP('従業員情報(給与以外)'!$E433,入力シート!$AH$37:$AO$62,5,0)))</f>
        <v/>
      </c>
      <c r="T433" s="102" t="str">
        <f>IF(OR(入力シート!$C$5&lt;&gt;入力リスト!$C$3,COUNTIF(入力シート!$J$16:$S$23,入力リスト!$H$9)=0),"",IF($A433="","",IF(ISERROR(AVERAGEIF(従業員の給与情報!$B:$B,$A433,従業員の給与情報!$C:$C)),0,IF(ISERROR(AVERAGEIF(従業員の給与情報!$B:$B,$A433,従業員の給与情報!$C:$C)),0,AVERAGEIF(従業員の給与情報!$B:$B,$A433,従業員の給与情報!$C:$C)))))</f>
        <v/>
      </c>
      <c r="U433" s="102" t="str">
        <f>IF(OR(入力シート!$C$5&lt;&gt;入力リスト!$C$3,COUNTIF(入力シート!$J$16:$S$23,入力リスト!$H$9)=0),"",IF(A433="","",IF(ISERROR(AVERAGEIF(従業員の給与情報!$B:$B,$A433,従業員の給与情報!$D:$D)),0,IF(ISERROR(AVERAGEIF(従業員の給与情報!$B:$B,$A433,従業員の給与情報!$D:$D)),0,AVERAGEIF(従業員の給与情報!$B:$B,$A433,従業員の給与情報!$D:$D)))))</f>
        <v/>
      </c>
      <c r="V433" s="102" t="str">
        <f>IF(OR(入力シート!$C$5&lt;&gt;入力リスト!$C$3,COUNTIF(入力シート!$J$16:$S$23,入力リスト!$H$9)=0),"",IF(A433="","",IF(ISERROR(AVERAGEIF(従業員の給与情報!$B:$B,$A433,従業員の給与情報!$E:$E)),0,IF(ISERROR(AVERAGEIF(従業員の給与情報!$B:$B,$A433,従業員の給与情報!$E:$E)),0,AVERAGEIF(従業員の給与情報!$B:$B,$A433,従業員の給与情報!$E:$E)))))</f>
        <v/>
      </c>
      <c r="W433" s="103" t="str">
        <f>IF(OR(入力シート!$C$5&lt;&gt;入力リスト!$C$3,COUNTIF(入力シート!$J$16:$S$23,入力リスト!$H$9)=0),"",IF(A433="","",IF(ISERROR(AVERAGEIF(従業員の給与情報!$B:$B,$A433,従業員の給与情報!$F:$F)),0,IF(ISERROR(AVERAGEIF(従業員の給与情報!$B:$B,$A433,従業員の給与情報!$F:$F)),0,AVERAGEIF(従業員の給与情報!$B:$B,$A433,従業員の給与情報!$F:$F)))))</f>
        <v/>
      </c>
    </row>
    <row r="434" spans="1:23" s="10" customFormat="1">
      <c r="A434" s="253"/>
      <c r="B434" s="246"/>
      <c r="C434" s="247"/>
      <c r="D434" s="246"/>
      <c r="E434" s="246"/>
      <c r="F434" s="257" t="str">
        <f>IF($G$1,"",IF(COUNTIF(A434:E434,"")=5,"",IF(G434,入力リスト!$K$28,IF(OR(A434="",B434="",IF(COUNTIF($C$3,"*不要*"),"",C434=""),D434=""),IF(A434="","従業員番号","")&amp;IF(B434="","「雇用形態」","")&amp;IF(OR(入力シート!$J$18=入力リスト!$H$9,入力シート!$J$22=入力リスト!$H$9),IF(C434="","「入社年月日」",""),"")&amp;IF(D434="","「性別」","")&amp;IF(IF(A434="","従業員番号","")&amp;IF(B434="","「雇用形態」","")&amp;IF(OR(入力シート!$J$18=入力リスト!$H$9,入力シート!$J$22=入力リスト!$H$9),IF(C434="","「入社年月日」",""),"")&amp;IF(D434="","「性別」","")="","",入力リスト!$K$29),IF(J434,入力リスト!$K$30,"")&amp;IF(I434,入力リスト!$K$31,"")&amp;IF(H434,"「雇用形態」","")&amp;IF(K434,"「性別」","")&amp;IF(L434,"「役職」","")&amp;IF(OR(H434,K434,L434),入力リスト!$K$32,"")))))</f>
        <v/>
      </c>
      <c r="G434" s="209" t="b">
        <f>COUNTIF($A$4:A433,$A434)&gt;0</f>
        <v>0</v>
      </c>
      <c r="H434" s="210" t="b">
        <f>IF($H$1,FALSE,COUNTIF(入力シート!$S$37:$V$62,B434)=0)</f>
        <v>0</v>
      </c>
      <c r="I434" s="210" t="b">
        <f t="shared" si="14"/>
        <v>0</v>
      </c>
      <c r="J434" s="210" t="b">
        <f>IF($J$1,FALSE,IF(I434=TRUE,FALSE,IF(I434,FALSE,C434&gt;入力シート!$J$24)))</f>
        <v>0</v>
      </c>
      <c r="K434" s="210" t="b">
        <f>IF($K$1,FALSE,COUNTIF(入力シート!$AW$37:$BB$38,D434)=0)</f>
        <v>0</v>
      </c>
      <c r="L434" s="210" t="b">
        <f>IF($L$1,FALSE,IF($L$3,FALSE,IF(E434="",FALSE,COUNTIF(入力シート!$AH$37:$AK$62,E434)=0)))</f>
        <v>0</v>
      </c>
      <c r="M434" s="211" t="str">
        <f t="shared" si="13"/>
        <v/>
      </c>
      <c r="N434" s="211"/>
      <c r="O434" s="209" t="str">
        <f>IF(B434="","",VLOOKUP('従業員情報(給与以外)'!$B434,入力シート!$S$37:$Z$62,5,0))</f>
        <v/>
      </c>
      <c r="P434" s="156" t="str">
        <f>IF(ISNUMBER(C434)=FALSE,"",IF(C434&gt;入力シート!$J$24,"",_xlfn.DAYS(入力シート!$J$24,'従業員情報(給与以外)'!$C434)/365))</f>
        <v/>
      </c>
      <c r="Q434" s="210" t="str">
        <f>IF(P434="","",VLOOKUP(_xlfn.DAYS(入力シート!$J$24,'従業員情報(給与以外)'!$C434)/365,入力リスト!$K$18:$L$26,2,2))</f>
        <v/>
      </c>
      <c r="R434" s="209" t="str">
        <f>IF(D434="","",VLOOKUP('従業員情報(給与以外)'!$D434,入力シート!$AW$37:$BB$38,4,0))</f>
        <v/>
      </c>
      <c r="S434" s="209" t="str">
        <f>IF(A434="","",IF(E434="","非役職",VLOOKUP('従業員情報(給与以外)'!$E434,入力シート!$AH$37:$AO$62,5,0)))</f>
        <v/>
      </c>
      <c r="T434" s="102" t="str">
        <f>IF(OR(入力シート!$C$5&lt;&gt;入力リスト!$C$3,COUNTIF(入力シート!$J$16:$S$23,入力リスト!$H$9)=0),"",IF($A434="","",IF(ISERROR(AVERAGEIF(従業員の給与情報!$B:$B,$A434,従業員の給与情報!$C:$C)),0,IF(ISERROR(AVERAGEIF(従業員の給与情報!$B:$B,$A434,従業員の給与情報!$C:$C)),0,AVERAGEIF(従業員の給与情報!$B:$B,$A434,従業員の給与情報!$C:$C)))))</f>
        <v/>
      </c>
      <c r="U434" s="102" t="str">
        <f>IF(OR(入力シート!$C$5&lt;&gt;入力リスト!$C$3,COUNTIF(入力シート!$J$16:$S$23,入力リスト!$H$9)=0),"",IF(A434="","",IF(ISERROR(AVERAGEIF(従業員の給与情報!$B:$B,$A434,従業員の給与情報!$D:$D)),0,IF(ISERROR(AVERAGEIF(従業員の給与情報!$B:$B,$A434,従業員の給与情報!$D:$D)),0,AVERAGEIF(従業員の給与情報!$B:$B,$A434,従業員の給与情報!$D:$D)))))</f>
        <v/>
      </c>
      <c r="V434" s="102" t="str">
        <f>IF(OR(入力シート!$C$5&lt;&gt;入力リスト!$C$3,COUNTIF(入力シート!$J$16:$S$23,入力リスト!$H$9)=0),"",IF(A434="","",IF(ISERROR(AVERAGEIF(従業員の給与情報!$B:$B,$A434,従業員の給与情報!$E:$E)),0,IF(ISERROR(AVERAGEIF(従業員の給与情報!$B:$B,$A434,従業員の給与情報!$E:$E)),0,AVERAGEIF(従業員の給与情報!$B:$B,$A434,従業員の給与情報!$E:$E)))))</f>
        <v/>
      </c>
      <c r="W434" s="103" t="str">
        <f>IF(OR(入力シート!$C$5&lt;&gt;入力リスト!$C$3,COUNTIF(入力シート!$J$16:$S$23,入力リスト!$H$9)=0),"",IF(A434="","",IF(ISERROR(AVERAGEIF(従業員の給与情報!$B:$B,$A434,従業員の給与情報!$F:$F)),0,IF(ISERROR(AVERAGEIF(従業員の給与情報!$B:$B,$A434,従業員の給与情報!$F:$F)),0,AVERAGEIF(従業員の給与情報!$B:$B,$A434,従業員の給与情報!$F:$F)))))</f>
        <v/>
      </c>
    </row>
    <row r="435" spans="1:23" s="10" customFormat="1">
      <c r="A435" s="253"/>
      <c r="B435" s="246"/>
      <c r="C435" s="247"/>
      <c r="D435" s="246"/>
      <c r="E435" s="246"/>
      <c r="F435" s="257" t="str">
        <f>IF($G$1,"",IF(COUNTIF(A435:E435,"")=5,"",IF(G435,入力リスト!$K$28,IF(OR(A435="",B435="",IF(COUNTIF($C$3,"*不要*"),"",C435=""),D435=""),IF(A435="","従業員番号","")&amp;IF(B435="","「雇用形態」","")&amp;IF(OR(入力シート!$J$18=入力リスト!$H$9,入力シート!$J$22=入力リスト!$H$9),IF(C435="","「入社年月日」",""),"")&amp;IF(D435="","「性別」","")&amp;IF(IF(A435="","従業員番号","")&amp;IF(B435="","「雇用形態」","")&amp;IF(OR(入力シート!$J$18=入力リスト!$H$9,入力シート!$J$22=入力リスト!$H$9),IF(C435="","「入社年月日」",""),"")&amp;IF(D435="","「性別」","")="","",入力リスト!$K$29),IF(J435,入力リスト!$K$30,"")&amp;IF(I435,入力リスト!$K$31,"")&amp;IF(H435,"「雇用形態」","")&amp;IF(K435,"「性別」","")&amp;IF(L435,"「役職」","")&amp;IF(OR(H435,K435,L435),入力リスト!$K$32,"")))))</f>
        <v/>
      </c>
      <c r="G435" s="209" t="b">
        <f>COUNTIF($A$4:A434,$A435)&gt;0</f>
        <v>0</v>
      </c>
      <c r="H435" s="210" t="b">
        <f>IF($H$1,FALSE,COUNTIF(入力シート!$S$37:$V$62,B435)=0)</f>
        <v>0</v>
      </c>
      <c r="I435" s="210" t="b">
        <f t="shared" si="14"/>
        <v>0</v>
      </c>
      <c r="J435" s="210" t="b">
        <f>IF($J$1,FALSE,IF(I435=TRUE,FALSE,IF(I435,FALSE,C435&gt;入力シート!$J$24)))</f>
        <v>0</v>
      </c>
      <c r="K435" s="210" t="b">
        <f>IF($K$1,FALSE,COUNTIF(入力シート!$AW$37:$BB$38,D435)=0)</f>
        <v>0</v>
      </c>
      <c r="L435" s="210" t="b">
        <f>IF($L$1,FALSE,IF($L$3,FALSE,IF(E435="",FALSE,COUNTIF(入力シート!$AH$37:$AK$62,E435)=0)))</f>
        <v>0</v>
      </c>
      <c r="M435" s="211" t="str">
        <f t="shared" si="13"/>
        <v/>
      </c>
      <c r="N435" s="211"/>
      <c r="O435" s="209" t="str">
        <f>IF(B435="","",VLOOKUP('従業員情報(給与以外)'!$B435,入力シート!$S$37:$Z$62,5,0))</f>
        <v/>
      </c>
      <c r="P435" s="156" t="str">
        <f>IF(ISNUMBER(C435)=FALSE,"",IF(C435&gt;入力シート!$J$24,"",_xlfn.DAYS(入力シート!$J$24,'従業員情報(給与以外)'!$C435)/365))</f>
        <v/>
      </c>
      <c r="Q435" s="210" t="str">
        <f>IF(P435="","",VLOOKUP(_xlfn.DAYS(入力シート!$J$24,'従業員情報(給与以外)'!$C435)/365,入力リスト!$K$18:$L$26,2,2))</f>
        <v/>
      </c>
      <c r="R435" s="209" t="str">
        <f>IF(D435="","",VLOOKUP('従業員情報(給与以外)'!$D435,入力シート!$AW$37:$BB$38,4,0))</f>
        <v/>
      </c>
      <c r="S435" s="209" t="str">
        <f>IF(A435="","",IF(E435="","非役職",VLOOKUP('従業員情報(給与以外)'!$E435,入力シート!$AH$37:$AO$62,5,0)))</f>
        <v/>
      </c>
      <c r="T435" s="102" t="str">
        <f>IF(OR(入力シート!$C$5&lt;&gt;入力リスト!$C$3,COUNTIF(入力シート!$J$16:$S$23,入力リスト!$H$9)=0),"",IF($A435="","",IF(ISERROR(AVERAGEIF(従業員の給与情報!$B:$B,$A435,従業員の給与情報!$C:$C)),0,IF(ISERROR(AVERAGEIF(従業員の給与情報!$B:$B,$A435,従業員の給与情報!$C:$C)),0,AVERAGEIF(従業員の給与情報!$B:$B,$A435,従業員の給与情報!$C:$C)))))</f>
        <v/>
      </c>
      <c r="U435" s="102" t="str">
        <f>IF(OR(入力シート!$C$5&lt;&gt;入力リスト!$C$3,COUNTIF(入力シート!$J$16:$S$23,入力リスト!$H$9)=0),"",IF(A435="","",IF(ISERROR(AVERAGEIF(従業員の給与情報!$B:$B,$A435,従業員の給与情報!$D:$D)),0,IF(ISERROR(AVERAGEIF(従業員の給与情報!$B:$B,$A435,従業員の給与情報!$D:$D)),0,AVERAGEIF(従業員の給与情報!$B:$B,$A435,従業員の給与情報!$D:$D)))))</f>
        <v/>
      </c>
      <c r="V435" s="102" t="str">
        <f>IF(OR(入力シート!$C$5&lt;&gt;入力リスト!$C$3,COUNTIF(入力シート!$J$16:$S$23,入力リスト!$H$9)=0),"",IF(A435="","",IF(ISERROR(AVERAGEIF(従業員の給与情報!$B:$B,$A435,従業員の給与情報!$E:$E)),0,IF(ISERROR(AVERAGEIF(従業員の給与情報!$B:$B,$A435,従業員の給与情報!$E:$E)),0,AVERAGEIF(従業員の給与情報!$B:$B,$A435,従業員の給与情報!$E:$E)))))</f>
        <v/>
      </c>
      <c r="W435" s="103" t="str">
        <f>IF(OR(入力シート!$C$5&lt;&gt;入力リスト!$C$3,COUNTIF(入力シート!$J$16:$S$23,入力リスト!$H$9)=0),"",IF(A435="","",IF(ISERROR(AVERAGEIF(従業員の給与情報!$B:$B,$A435,従業員の給与情報!$F:$F)),0,IF(ISERROR(AVERAGEIF(従業員の給与情報!$B:$B,$A435,従業員の給与情報!$F:$F)),0,AVERAGEIF(従業員の給与情報!$B:$B,$A435,従業員の給与情報!$F:$F)))))</f>
        <v/>
      </c>
    </row>
    <row r="436" spans="1:23" s="10" customFormat="1">
      <c r="A436" s="253"/>
      <c r="B436" s="246"/>
      <c r="C436" s="247"/>
      <c r="D436" s="246"/>
      <c r="E436" s="246"/>
      <c r="F436" s="257" t="str">
        <f>IF($G$1,"",IF(COUNTIF(A436:E436,"")=5,"",IF(G436,入力リスト!$K$28,IF(OR(A436="",B436="",IF(COUNTIF($C$3,"*不要*"),"",C436=""),D436=""),IF(A436="","従業員番号","")&amp;IF(B436="","「雇用形態」","")&amp;IF(OR(入力シート!$J$18=入力リスト!$H$9,入力シート!$J$22=入力リスト!$H$9),IF(C436="","「入社年月日」",""),"")&amp;IF(D436="","「性別」","")&amp;IF(IF(A436="","従業員番号","")&amp;IF(B436="","「雇用形態」","")&amp;IF(OR(入力シート!$J$18=入力リスト!$H$9,入力シート!$J$22=入力リスト!$H$9),IF(C436="","「入社年月日」",""),"")&amp;IF(D436="","「性別」","")="","",入力リスト!$K$29),IF(J436,入力リスト!$K$30,"")&amp;IF(I436,入力リスト!$K$31,"")&amp;IF(H436,"「雇用形態」","")&amp;IF(K436,"「性別」","")&amp;IF(L436,"「役職」","")&amp;IF(OR(H436,K436,L436),入力リスト!$K$32,"")))))</f>
        <v/>
      </c>
      <c r="G436" s="209" t="b">
        <f>COUNTIF($A$4:A435,$A436)&gt;0</f>
        <v>0</v>
      </c>
      <c r="H436" s="210" t="b">
        <f>IF($H$1,FALSE,COUNTIF(入力シート!$S$37:$V$62,B436)=0)</f>
        <v>0</v>
      </c>
      <c r="I436" s="210" t="b">
        <f t="shared" si="14"/>
        <v>0</v>
      </c>
      <c r="J436" s="210" t="b">
        <f>IF($J$1,FALSE,IF(I436=TRUE,FALSE,IF(I436,FALSE,C436&gt;入力シート!$J$24)))</f>
        <v>0</v>
      </c>
      <c r="K436" s="210" t="b">
        <f>IF($K$1,FALSE,COUNTIF(入力シート!$AW$37:$BB$38,D436)=0)</f>
        <v>0</v>
      </c>
      <c r="L436" s="210" t="b">
        <f>IF($L$1,FALSE,IF($L$3,FALSE,IF(E436="",FALSE,COUNTIF(入力シート!$AH$37:$AK$62,E436)=0)))</f>
        <v>0</v>
      </c>
      <c r="M436" s="211" t="str">
        <f t="shared" si="13"/>
        <v/>
      </c>
      <c r="N436" s="211"/>
      <c r="O436" s="209" t="str">
        <f>IF(B436="","",VLOOKUP('従業員情報(給与以外)'!$B436,入力シート!$S$37:$Z$62,5,0))</f>
        <v/>
      </c>
      <c r="P436" s="156" t="str">
        <f>IF(ISNUMBER(C436)=FALSE,"",IF(C436&gt;入力シート!$J$24,"",_xlfn.DAYS(入力シート!$J$24,'従業員情報(給与以外)'!$C436)/365))</f>
        <v/>
      </c>
      <c r="Q436" s="210" t="str">
        <f>IF(P436="","",VLOOKUP(_xlfn.DAYS(入力シート!$J$24,'従業員情報(給与以外)'!$C436)/365,入力リスト!$K$18:$L$26,2,2))</f>
        <v/>
      </c>
      <c r="R436" s="209" t="str">
        <f>IF(D436="","",VLOOKUP('従業員情報(給与以外)'!$D436,入力シート!$AW$37:$BB$38,4,0))</f>
        <v/>
      </c>
      <c r="S436" s="209" t="str">
        <f>IF(A436="","",IF(E436="","非役職",VLOOKUP('従業員情報(給与以外)'!$E436,入力シート!$AH$37:$AO$62,5,0)))</f>
        <v/>
      </c>
      <c r="T436" s="102" t="str">
        <f>IF(OR(入力シート!$C$5&lt;&gt;入力リスト!$C$3,COUNTIF(入力シート!$J$16:$S$23,入力リスト!$H$9)=0),"",IF($A436="","",IF(ISERROR(AVERAGEIF(従業員の給与情報!$B:$B,$A436,従業員の給与情報!$C:$C)),0,IF(ISERROR(AVERAGEIF(従業員の給与情報!$B:$B,$A436,従業員の給与情報!$C:$C)),0,AVERAGEIF(従業員の給与情報!$B:$B,$A436,従業員の給与情報!$C:$C)))))</f>
        <v/>
      </c>
      <c r="U436" s="102" t="str">
        <f>IF(OR(入力シート!$C$5&lt;&gt;入力リスト!$C$3,COUNTIF(入力シート!$J$16:$S$23,入力リスト!$H$9)=0),"",IF(A436="","",IF(ISERROR(AVERAGEIF(従業員の給与情報!$B:$B,$A436,従業員の給与情報!$D:$D)),0,IF(ISERROR(AVERAGEIF(従業員の給与情報!$B:$B,$A436,従業員の給与情報!$D:$D)),0,AVERAGEIF(従業員の給与情報!$B:$B,$A436,従業員の給与情報!$D:$D)))))</f>
        <v/>
      </c>
      <c r="V436" s="102" t="str">
        <f>IF(OR(入力シート!$C$5&lt;&gt;入力リスト!$C$3,COUNTIF(入力シート!$J$16:$S$23,入力リスト!$H$9)=0),"",IF(A436="","",IF(ISERROR(AVERAGEIF(従業員の給与情報!$B:$B,$A436,従業員の給与情報!$E:$E)),0,IF(ISERROR(AVERAGEIF(従業員の給与情報!$B:$B,$A436,従業員の給与情報!$E:$E)),0,AVERAGEIF(従業員の給与情報!$B:$B,$A436,従業員の給与情報!$E:$E)))))</f>
        <v/>
      </c>
      <c r="W436" s="103" t="str">
        <f>IF(OR(入力シート!$C$5&lt;&gt;入力リスト!$C$3,COUNTIF(入力シート!$J$16:$S$23,入力リスト!$H$9)=0),"",IF(A436="","",IF(ISERROR(AVERAGEIF(従業員の給与情報!$B:$B,$A436,従業員の給与情報!$F:$F)),0,IF(ISERROR(AVERAGEIF(従業員の給与情報!$B:$B,$A436,従業員の給与情報!$F:$F)),0,AVERAGEIF(従業員の給与情報!$B:$B,$A436,従業員の給与情報!$F:$F)))))</f>
        <v/>
      </c>
    </row>
    <row r="437" spans="1:23" s="10" customFormat="1">
      <c r="A437" s="253"/>
      <c r="B437" s="246"/>
      <c r="C437" s="247"/>
      <c r="D437" s="246"/>
      <c r="E437" s="246"/>
      <c r="F437" s="257" t="str">
        <f>IF($G$1,"",IF(COUNTIF(A437:E437,"")=5,"",IF(G437,入力リスト!$K$28,IF(OR(A437="",B437="",IF(COUNTIF($C$3,"*不要*"),"",C437=""),D437=""),IF(A437="","従業員番号","")&amp;IF(B437="","「雇用形態」","")&amp;IF(OR(入力シート!$J$18=入力リスト!$H$9,入力シート!$J$22=入力リスト!$H$9),IF(C437="","「入社年月日」",""),"")&amp;IF(D437="","「性別」","")&amp;IF(IF(A437="","従業員番号","")&amp;IF(B437="","「雇用形態」","")&amp;IF(OR(入力シート!$J$18=入力リスト!$H$9,入力シート!$J$22=入力リスト!$H$9),IF(C437="","「入社年月日」",""),"")&amp;IF(D437="","「性別」","")="","",入力リスト!$K$29),IF(J437,入力リスト!$K$30,"")&amp;IF(I437,入力リスト!$K$31,"")&amp;IF(H437,"「雇用形態」","")&amp;IF(K437,"「性別」","")&amp;IF(L437,"「役職」","")&amp;IF(OR(H437,K437,L437),入力リスト!$K$32,"")))))</f>
        <v/>
      </c>
      <c r="G437" s="209" t="b">
        <f>COUNTIF($A$4:A436,$A437)&gt;0</f>
        <v>0</v>
      </c>
      <c r="H437" s="210" t="b">
        <f>IF($H$1,FALSE,COUNTIF(入力シート!$S$37:$V$62,B437)=0)</f>
        <v>0</v>
      </c>
      <c r="I437" s="210" t="b">
        <f t="shared" si="14"/>
        <v>0</v>
      </c>
      <c r="J437" s="210" t="b">
        <f>IF($J$1,FALSE,IF(I437=TRUE,FALSE,IF(I437,FALSE,C437&gt;入力シート!$J$24)))</f>
        <v>0</v>
      </c>
      <c r="K437" s="210" t="b">
        <f>IF($K$1,FALSE,COUNTIF(入力シート!$AW$37:$BB$38,D437)=0)</f>
        <v>0</v>
      </c>
      <c r="L437" s="210" t="b">
        <f>IF($L$1,FALSE,IF($L$3,FALSE,IF(E437="",FALSE,COUNTIF(入力シート!$AH$37:$AK$62,E437)=0)))</f>
        <v>0</v>
      </c>
      <c r="M437" s="211" t="str">
        <f t="shared" si="13"/>
        <v/>
      </c>
      <c r="N437" s="211"/>
      <c r="O437" s="209" t="str">
        <f>IF(B437="","",VLOOKUP('従業員情報(給与以外)'!$B437,入力シート!$S$37:$Z$62,5,0))</f>
        <v/>
      </c>
      <c r="P437" s="156" t="str">
        <f>IF(ISNUMBER(C437)=FALSE,"",IF(C437&gt;入力シート!$J$24,"",_xlfn.DAYS(入力シート!$J$24,'従業員情報(給与以外)'!$C437)/365))</f>
        <v/>
      </c>
      <c r="Q437" s="210" t="str">
        <f>IF(P437="","",VLOOKUP(_xlfn.DAYS(入力シート!$J$24,'従業員情報(給与以外)'!$C437)/365,入力リスト!$K$18:$L$26,2,2))</f>
        <v/>
      </c>
      <c r="R437" s="209" t="str">
        <f>IF(D437="","",VLOOKUP('従業員情報(給与以外)'!$D437,入力シート!$AW$37:$BB$38,4,0))</f>
        <v/>
      </c>
      <c r="S437" s="209" t="str">
        <f>IF(A437="","",IF(E437="","非役職",VLOOKUP('従業員情報(給与以外)'!$E437,入力シート!$AH$37:$AO$62,5,0)))</f>
        <v/>
      </c>
      <c r="T437" s="102" t="str">
        <f>IF(OR(入力シート!$C$5&lt;&gt;入力リスト!$C$3,COUNTIF(入力シート!$J$16:$S$23,入力リスト!$H$9)=0),"",IF($A437="","",IF(ISERROR(AVERAGEIF(従業員の給与情報!$B:$B,$A437,従業員の給与情報!$C:$C)),0,IF(ISERROR(AVERAGEIF(従業員の給与情報!$B:$B,$A437,従業員の給与情報!$C:$C)),0,AVERAGEIF(従業員の給与情報!$B:$B,$A437,従業員の給与情報!$C:$C)))))</f>
        <v/>
      </c>
      <c r="U437" s="102" t="str">
        <f>IF(OR(入力シート!$C$5&lt;&gt;入力リスト!$C$3,COUNTIF(入力シート!$J$16:$S$23,入力リスト!$H$9)=0),"",IF(A437="","",IF(ISERROR(AVERAGEIF(従業員の給与情報!$B:$B,$A437,従業員の給与情報!$D:$D)),0,IF(ISERROR(AVERAGEIF(従業員の給与情報!$B:$B,$A437,従業員の給与情報!$D:$D)),0,AVERAGEIF(従業員の給与情報!$B:$B,$A437,従業員の給与情報!$D:$D)))))</f>
        <v/>
      </c>
      <c r="V437" s="102" t="str">
        <f>IF(OR(入力シート!$C$5&lt;&gt;入力リスト!$C$3,COUNTIF(入力シート!$J$16:$S$23,入力リスト!$H$9)=0),"",IF(A437="","",IF(ISERROR(AVERAGEIF(従業員の給与情報!$B:$B,$A437,従業員の給与情報!$E:$E)),0,IF(ISERROR(AVERAGEIF(従業員の給与情報!$B:$B,$A437,従業員の給与情報!$E:$E)),0,AVERAGEIF(従業員の給与情報!$B:$B,$A437,従業員の給与情報!$E:$E)))))</f>
        <v/>
      </c>
      <c r="W437" s="103" t="str">
        <f>IF(OR(入力シート!$C$5&lt;&gt;入力リスト!$C$3,COUNTIF(入力シート!$J$16:$S$23,入力リスト!$H$9)=0),"",IF(A437="","",IF(ISERROR(AVERAGEIF(従業員の給与情報!$B:$B,$A437,従業員の給与情報!$F:$F)),0,IF(ISERROR(AVERAGEIF(従業員の給与情報!$B:$B,$A437,従業員の給与情報!$F:$F)),0,AVERAGEIF(従業員の給与情報!$B:$B,$A437,従業員の給与情報!$F:$F)))))</f>
        <v/>
      </c>
    </row>
    <row r="438" spans="1:23" s="10" customFormat="1">
      <c r="A438" s="253"/>
      <c r="B438" s="246"/>
      <c r="C438" s="247"/>
      <c r="D438" s="246"/>
      <c r="E438" s="246"/>
      <c r="F438" s="257" t="str">
        <f>IF($G$1,"",IF(COUNTIF(A438:E438,"")=5,"",IF(G438,入力リスト!$K$28,IF(OR(A438="",B438="",IF(COUNTIF($C$3,"*不要*"),"",C438=""),D438=""),IF(A438="","従業員番号","")&amp;IF(B438="","「雇用形態」","")&amp;IF(OR(入力シート!$J$18=入力リスト!$H$9,入力シート!$J$22=入力リスト!$H$9),IF(C438="","「入社年月日」",""),"")&amp;IF(D438="","「性別」","")&amp;IF(IF(A438="","従業員番号","")&amp;IF(B438="","「雇用形態」","")&amp;IF(OR(入力シート!$J$18=入力リスト!$H$9,入力シート!$J$22=入力リスト!$H$9),IF(C438="","「入社年月日」",""),"")&amp;IF(D438="","「性別」","")="","",入力リスト!$K$29),IF(J438,入力リスト!$K$30,"")&amp;IF(I438,入力リスト!$K$31,"")&amp;IF(H438,"「雇用形態」","")&amp;IF(K438,"「性別」","")&amp;IF(L438,"「役職」","")&amp;IF(OR(H438,K438,L438),入力リスト!$K$32,"")))))</f>
        <v/>
      </c>
      <c r="G438" s="209" t="b">
        <f>COUNTIF($A$4:A437,$A438)&gt;0</f>
        <v>0</v>
      </c>
      <c r="H438" s="210" t="b">
        <f>IF($H$1,FALSE,COUNTIF(入力シート!$S$37:$V$62,B438)=0)</f>
        <v>0</v>
      </c>
      <c r="I438" s="210" t="b">
        <f t="shared" si="14"/>
        <v>0</v>
      </c>
      <c r="J438" s="210" t="b">
        <f>IF($J$1,FALSE,IF(I438=TRUE,FALSE,IF(I438,FALSE,C438&gt;入力シート!$J$24)))</f>
        <v>0</v>
      </c>
      <c r="K438" s="210" t="b">
        <f>IF($K$1,FALSE,COUNTIF(入力シート!$AW$37:$BB$38,D438)=0)</f>
        <v>0</v>
      </c>
      <c r="L438" s="210" t="b">
        <f>IF($L$1,FALSE,IF($L$3,FALSE,IF(E438="",FALSE,COUNTIF(入力シート!$AH$37:$AK$62,E438)=0)))</f>
        <v>0</v>
      </c>
      <c r="M438" s="211" t="str">
        <f t="shared" si="13"/>
        <v/>
      </c>
      <c r="N438" s="211"/>
      <c r="O438" s="209" t="str">
        <f>IF(B438="","",VLOOKUP('従業員情報(給与以外)'!$B438,入力シート!$S$37:$Z$62,5,0))</f>
        <v/>
      </c>
      <c r="P438" s="156" t="str">
        <f>IF(ISNUMBER(C438)=FALSE,"",IF(C438&gt;入力シート!$J$24,"",_xlfn.DAYS(入力シート!$J$24,'従業員情報(給与以外)'!$C438)/365))</f>
        <v/>
      </c>
      <c r="Q438" s="210" t="str">
        <f>IF(P438="","",VLOOKUP(_xlfn.DAYS(入力シート!$J$24,'従業員情報(給与以外)'!$C438)/365,入力リスト!$K$18:$L$26,2,2))</f>
        <v/>
      </c>
      <c r="R438" s="209" t="str">
        <f>IF(D438="","",VLOOKUP('従業員情報(給与以外)'!$D438,入力シート!$AW$37:$BB$38,4,0))</f>
        <v/>
      </c>
      <c r="S438" s="209" t="str">
        <f>IF(A438="","",IF(E438="","非役職",VLOOKUP('従業員情報(給与以外)'!$E438,入力シート!$AH$37:$AO$62,5,0)))</f>
        <v/>
      </c>
      <c r="T438" s="102" t="str">
        <f>IF(OR(入力シート!$C$5&lt;&gt;入力リスト!$C$3,COUNTIF(入力シート!$J$16:$S$23,入力リスト!$H$9)=0),"",IF($A438="","",IF(ISERROR(AVERAGEIF(従業員の給与情報!$B:$B,$A438,従業員の給与情報!$C:$C)),0,IF(ISERROR(AVERAGEIF(従業員の給与情報!$B:$B,$A438,従業員の給与情報!$C:$C)),0,AVERAGEIF(従業員の給与情報!$B:$B,$A438,従業員の給与情報!$C:$C)))))</f>
        <v/>
      </c>
      <c r="U438" s="102" t="str">
        <f>IF(OR(入力シート!$C$5&lt;&gt;入力リスト!$C$3,COUNTIF(入力シート!$J$16:$S$23,入力リスト!$H$9)=0),"",IF(A438="","",IF(ISERROR(AVERAGEIF(従業員の給与情報!$B:$B,$A438,従業員の給与情報!$D:$D)),0,IF(ISERROR(AVERAGEIF(従業員の給与情報!$B:$B,$A438,従業員の給与情報!$D:$D)),0,AVERAGEIF(従業員の給与情報!$B:$B,$A438,従業員の給与情報!$D:$D)))))</f>
        <v/>
      </c>
      <c r="V438" s="102" t="str">
        <f>IF(OR(入力シート!$C$5&lt;&gt;入力リスト!$C$3,COUNTIF(入力シート!$J$16:$S$23,入力リスト!$H$9)=0),"",IF(A438="","",IF(ISERROR(AVERAGEIF(従業員の給与情報!$B:$B,$A438,従業員の給与情報!$E:$E)),0,IF(ISERROR(AVERAGEIF(従業員の給与情報!$B:$B,$A438,従業員の給与情報!$E:$E)),0,AVERAGEIF(従業員の給与情報!$B:$B,$A438,従業員の給与情報!$E:$E)))))</f>
        <v/>
      </c>
      <c r="W438" s="103" t="str">
        <f>IF(OR(入力シート!$C$5&lt;&gt;入力リスト!$C$3,COUNTIF(入力シート!$J$16:$S$23,入力リスト!$H$9)=0),"",IF(A438="","",IF(ISERROR(AVERAGEIF(従業員の給与情報!$B:$B,$A438,従業員の給与情報!$F:$F)),0,IF(ISERROR(AVERAGEIF(従業員の給与情報!$B:$B,$A438,従業員の給与情報!$F:$F)),0,AVERAGEIF(従業員の給与情報!$B:$B,$A438,従業員の給与情報!$F:$F)))))</f>
        <v/>
      </c>
    </row>
    <row r="439" spans="1:23" s="10" customFormat="1">
      <c r="A439" s="253"/>
      <c r="B439" s="246"/>
      <c r="C439" s="247"/>
      <c r="D439" s="246"/>
      <c r="E439" s="246"/>
      <c r="F439" s="257" t="str">
        <f>IF($G$1,"",IF(COUNTIF(A439:E439,"")=5,"",IF(G439,入力リスト!$K$28,IF(OR(A439="",B439="",IF(COUNTIF($C$3,"*不要*"),"",C439=""),D439=""),IF(A439="","従業員番号","")&amp;IF(B439="","「雇用形態」","")&amp;IF(OR(入力シート!$J$18=入力リスト!$H$9,入力シート!$J$22=入力リスト!$H$9),IF(C439="","「入社年月日」",""),"")&amp;IF(D439="","「性別」","")&amp;IF(IF(A439="","従業員番号","")&amp;IF(B439="","「雇用形態」","")&amp;IF(OR(入力シート!$J$18=入力リスト!$H$9,入力シート!$J$22=入力リスト!$H$9),IF(C439="","「入社年月日」",""),"")&amp;IF(D439="","「性別」","")="","",入力リスト!$K$29),IF(J439,入力リスト!$K$30,"")&amp;IF(I439,入力リスト!$K$31,"")&amp;IF(H439,"「雇用形態」","")&amp;IF(K439,"「性別」","")&amp;IF(L439,"「役職」","")&amp;IF(OR(H439,K439,L439),入力リスト!$K$32,"")))))</f>
        <v/>
      </c>
      <c r="G439" s="209" t="b">
        <f>COUNTIF($A$4:A438,$A439)&gt;0</f>
        <v>0</v>
      </c>
      <c r="H439" s="210" t="b">
        <f>IF($H$1,FALSE,COUNTIF(入力シート!$S$37:$V$62,B439)=0)</f>
        <v>0</v>
      </c>
      <c r="I439" s="210" t="b">
        <f t="shared" si="14"/>
        <v>0</v>
      </c>
      <c r="J439" s="210" t="b">
        <f>IF($J$1,FALSE,IF(I439=TRUE,FALSE,IF(I439,FALSE,C439&gt;入力シート!$J$24)))</f>
        <v>0</v>
      </c>
      <c r="K439" s="210" t="b">
        <f>IF($K$1,FALSE,COUNTIF(入力シート!$AW$37:$BB$38,D439)=0)</f>
        <v>0</v>
      </c>
      <c r="L439" s="210" t="b">
        <f>IF($L$1,FALSE,IF($L$3,FALSE,IF(E439="",FALSE,COUNTIF(入力シート!$AH$37:$AK$62,E439)=0)))</f>
        <v>0</v>
      </c>
      <c r="M439" s="211" t="str">
        <f t="shared" si="13"/>
        <v/>
      </c>
      <c r="N439" s="211"/>
      <c r="O439" s="209" t="str">
        <f>IF(B439="","",VLOOKUP('従業員情報(給与以外)'!$B439,入力シート!$S$37:$Z$62,5,0))</f>
        <v/>
      </c>
      <c r="P439" s="156" t="str">
        <f>IF(ISNUMBER(C439)=FALSE,"",IF(C439&gt;入力シート!$J$24,"",_xlfn.DAYS(入力シート!$J$24,'従業員情報(給与以外)'!$C439)/365))</f>
        <v/>
      </c>
      <c r="Q439" s="210" t="str">
        <f>IF(P439="","",VLOOKUP(_xlfn.DAYS(入力シート!$J$24,'従業員情報(給与以外)'!$C439)/365,入力リスト!$K$18:$L$26,2,2))</f>
        <v/>
      </c>
      <c r="R439" s="209" t="str">
        <f>IF(D439="","",VLOOKUP('従業員情報(給与以外)'!$D439,入力シート!$AW$37:$BB$38,4,0))</f>
        <v/>
      </c>
      <c r="S439" s="209" t="str">
        <f>IF(A439="","",IF(E439="","非役職",VLOOKUP('従業員情報(給与以外)'!$E439,入力シート!$AH$37:$AO$62,5,0)))</f>
        <v/>
      </c>
      <c r="T439" s="102" t="str">
        <f>IF(OR(入力シート!$C$5&lt;&gt;入力リスト!$C$3,COUNTIF(入力シート!$J$16:$S$23,入力リスト!$H$9)=0),"",IF($A439="","",IF(ISERROR(AVERAGEIF(従業員の給与情報!$B:$B,$A439,従業員の給与情報!$C:$C)),0,IF(ISERROR(AVERAGEIF(従業員の給与情報!$B:$B,$A439,従業員の給与情報!$C:$C)),0,AVERAGEIF(従業員の給与情報!$B:$B,$A439,従業員の給与情報!$C:$C)))))</f>
        <v/>
      </c>
      <c r="U439" s="102" t="str">
        <f>IF(OR(入力シート!$C$5&lt;&gt;入力リスト!$C$3,COUNTIF(入力シート!$J$16:$S$23,入力リスト!$H$9)=0),"",IF(A439="","",IF(ISERROR(AVERAGEIF(従業員の給与情報!$B:$B,$A439,従業員の給与情報!$D:$D)),0,IF(ISERROR(AVERAGEIF(従業員の給与情報!$B:$B,$A439,従業員の給与情報!$D:$D)),0,AVERAGEIF(従業員の給与情報!$B:$B,$A439,従業員の給与情報!$D:$D)))))</f>
        <v/>
      </c>
      <c r="V439" s="102" t="str">
        <f>IF(OR(入力シート!$C$5&lt;&gt;入力リスト!$C$3,COUNTIF(入力シート!$J$16:$S$23,入力リスト!$H$9)=0),"",IF(A439="","",IF(ISERROR(AVERAGEIF(従業員の給与情報!$B:$B,$A439,従業員の給与情報!$E:$E)),0,IF(ISERROR(AVERAGEIF(従業員の給与情報!$B:$B,$A439,従業員の給与情報!$E:$E)),0,AVERAGEIF(従業員の給与情報!$B:$B,$A439,従業員の給与情報!$E:$E)))))</f>
        <v/>
      </c>
      <c r="W439" s="103" t="str">
        <f>IF(OR(入力シート!$C$5&lt;&gt;入力リスト!$C$3,COUNTIF(入力シート!$J$16:$S$23,入力リスト!$H$9)=0),"",IF(A439="","",IF(ISERROR(AVERAGEIF(従業員の給与情報!$B:$B,$A439,従業員の給与情報!$F:$F)),0,IF(ISERROR(AVERAGEIF(従業員の給与情報!$B:$B,$A439,従業員の給与情報!$F:$F)),0,AVERAGEIF(従業員の給与情報!$B:$B,$A439,従業員の給与情報!$F:$F)))))</f>
        <v/>
      </c>
    </row>
    <row r="440" spans="1:23" s="10" customFormat="1">
      <c r="A440" s="253"/>
      <c r="B440" s="246"/>
      <c r="C440" s="247"/>
      <c r="D440" s="246"/>
      <c r="E440" s="246"/>
      <c r="F440" s="257" t="str">
        <f>IF($G$1,"",IF(COUNTIF(A440:E440,"")=5,"",IF(G440,入力リスト!$K$28,IF(OR(A440="",B440="",IF(COUNTIF($C$3,"*不要*"),"",C440=""),D440=""),IF(A440="","従業員番号","")&amp;IF(B440="","「雇用形態」","")&amp;IF(OR(入力シート!$J$18=入力リスト!$H$9,入力シート!$J$22=入力リスト!$H$9),IF(C440="","「入社年月日」",""),"")&amp;IF(D440="","「性別」","")&amp;IF(IF(A440="","従業員番号","")&amp;IF(B440="","「雇用形態」","")&amp;IF(OR(入力シート!$J$18=入力リスト!$H$9,入力シート!$J$22=入力リスト!$H$9),IF(C440="","「入社年月日」",""),"")&amp;IF(D440="","「性別」","")="","",入力リスト!$K$29),IF(J440,入力リスト!$K$30,"")&amp;IF(I440,入力リスト!$K$31,"")&amp;IF(H440,"「雇用形態」","")&amp;IF(K440,"「性別」","")&amp;IF(L440,"「役職」","")&amp;IF(OR(H440,K440,L440),入力リスト!$K$32,"")))))</f>
        <v/>
      </c>
      <c r="G440" s="209" t="b">
        <f>COUNTIF($A$4:A439,$A440)&gt;0</f>
        <v>0</v>
      </c>
      <c r="H440" s="210" t="b">
        <f>IF($H$1,FALSE,COUNTIF(入力シート!$S$37:$V$62,B440)=0)</f>
        <v>0</v>
      </c>
      <c r="I440" s="210" t="b">
        <f t="shared" si="14"/>
        <v>0</v>
      </c>
      <c r="J440" s="210" t="b">
        <f>IF($J$1,FALSE,IF(I440=TRUE,FALSE,IF(I440,FALSE,C440&gt;入力シート!$J$24)))</f>
        <v>0</v>
      </c>
      <c r="K440" s="210" t="b">
        <f>IF($K$1,FALSE,COUNTIF(入力シート!$AW$37:$BB$38,D440)=0)</f>
        <v>0</v>
      </c>
      <c r="L440" s="210" t="b">
        <f>IF($L$1,FALSE,IF($L$3,FALSE,IF(E440="",FALSE,COUNTIF(入力シート!$AH$37:$AK$62,E440)=0)))</f>
        <v>0</v>
      </c>
      <c r="M440" s="211" t="str">
        <f t="shared" si="13"/>
        <v/>
      </c>
      <c r="N440" s="211"/>
      <c r="O440" s="209" t="str">
        <f>IF(B440="","",VLOOKUP('従業員情報(給与以外)'!$B440,入力シート!$S$37:$Z$62,5,0))</f>
        <v/>
      </c>
      <c r="P440" s="156" t="str">
        <f>IF(ISNUMBER(C440)=FALSE,"",IF(C440&gt;入力シート!$J$24,"",_xlfn.DAYS(入力シート!$J$24,'従業員情報(給与以外)'!$C440)/365))</f>
        <v/>
      </c>
      <c r="Q440" s="210" t="str">
        <f>IF(P440="","",VLOOKUP(_xlfn.DAYS(入力シート!$J$24,'従業員情報(給与以外)'!$C440)/365,入力リスト!$K$18:$L$26,2,2))</f>
        <v/>
      </c>
      <c r="R440" s="209" t="str">
        <f>IF(D440="","",VLOOKUP('従業員情報(給与以外)'!$D440,入力シート!$AW$37:$BB$38,4,0))</f>
        <v/>
      </c>
      <c r="S440" s="209" t="str">
        <f>IF(A440="","",IF(E440="","非役職",VLOOKUP('従業員情報(給与以外)'!$E440,入力シート!$AH$37:$AO$62,5,0)))</f>
        <v/>
      </c>
      <c r="T440" s="102" t="str">
        <f>IF(OR(入力シート!$C$5&lt;&gt;入力リスト!$C$3,COUNTIF(入力シート!$J$16:$S$23,入力リスト!$H$9)=0),"",IF($A440="","",IF(ISERROR(AVERAGEIF(従業員の給与情報!$B:$B,$A440,従業員の給与情報!$C:$C)),0,IF(ISERROR(AVERAGEIF(従業員の給与情報!$B:$B,$A440,従業員の給与情報!$C:$C)),0,AVERAGEIF(従業員の給与情報!$B:$B,$A440,従業員の給与情報!$C:$C)))))</f>
        <v/>
      </c>
      <c r="U440" s="102" t="str">
        <f>IF(OR(入力シート!$C$5&lt;&gt;入力リスト!$C$3,COUNTIF(入力シート!$J$16:$S$23,入力リスト!$H$9)=0),"",IF(A440="","",IF(ISERROR(AVERAGEIF(従業員の給与情報!$B:$B,$A440,従業員の給与情報!$D:$D)),0,IF(ISERROR(AVERAGEIF(従業員の給与情報!$B:$B,$A440,従業員の給与情報!$D:$D)),0,AVERAGEIF(従業員の給与情報!$B:$B,$A440,従業員の給与情報!$D:$D)))))</f>
        <v/>
      </c>
      <c r="V440" s="102" t="str">
        <f>IF(OR(入力シート!$C$5&lt;&gt;入力リスト!$C$3,COUNTIF(入力シート!$J$16:$S$23,入力リスト!$H$9)=0),"",IF(A440="","",IF(ISERROR(AVERAGEIF(従業員の給与情報!$B:$B,$A440,従業員の給与情報!$E:$E)),0,IF(ISERROR(AVERAGEIF(従業員の給与情報!$B:$B,$A440,従業員の給与情報!$E:$E)),0,AVERAGEIF(従業員の給与情報!$B:$B,$A440,従業員の給与情報!$E:$E)))))</f>
        <v/>
      </c>
      <c r="W440" s="103" t="str">
        <f>IF(OR(入力シート!$C$5&lt;&gt;入力リスト!$C$3,COUNTIF(入力シート!$J$16:$S$23,入力リスト!$H$9)=0),"",IF(A440="","",IF(ISERROR(AVERAGEIF(従業員の給与情報!$B:$B,$A440,従業員の給与情報!$F:$F)),0,IF(ISERROR(AVERAGEIF(従業員の給与情報!$B:$B,$A440,従業員の給与情報!$F:$F)),0,AVERAGEIF(従業員の給与情報!$B:$B,$A440,従業員の給与情報!$F:$F)))))</f>
        <v/>
      </c>
    </row>
    <row r="441" spans="1:23" s="10" customFormat="1">
      <c r="A441" s="253"/>
      <c r="B441" s="246"/>
      <c r="C441" s="247"/>
      <c r="D441" s="246"/>
      <c r="E441" s="246"/>
      <c r="F441" s="257" t="str">
        <f>IF($G$1,"",IF(COUNTIF(A441:E441,"")=5,"",IF(G441,入力リスト!$K$28,IF(OR(A441="",B441="",IF(COUNTIF($C$3,"*不要*"),"",C441=""),D441=""),IF(A441="","従業員番号","")&amp;IF(B441="","「雇用形態」","")&amp;IF(OR(入力シート!$J$18=入力リスト!$H$9,入力シート!$J$22=入力リスト!$H$9),IF(C441="","「入社年月日」",""),"")&amp;IF(D441="","「性別」","")&amp;IF(IF(A441="","従業員番号","")&amp;IF(B441="","「雇用形態」","")&amp;IF(OR(入力シート!$J$18=入力リスト!$H$9,入力シート!$J$22=入力リスト!$H$9),IF(C441="","「入社年月日」",""),"")&amp;IF(D441="","「性別」","")="","",入力リスト!$K$29),IF(J441,入力リスト!$K$30,"")&amp;IF(I441,入力リスト!$K$31,"")&amp;IF(H441,"「雇用形態」","")&amp;IF(K441,"「性別」","")&amp;IF(L441,"「役職」","")&amp;IF(OR(H441,K441,L441),入力リスト!$K$32,"")))))</f>
        <v/>
      </c>
      <c r="G441" s="209" t="b">
        <f>COUNTIF($A$4:A440,$A441)&gt;0</f>
        <v>0</v>
      </c>
      <c r="H441" s="210" t="b">
        <f>IF($H$1,FALSE,COUNTIF(入力シート!$S$37:$V$62,B441)=0)</f>
        <v>0</v>
      </c>
      <c r="I441" s="210" t="b">
        <f t="shared" si="14"/>
        <v>0</v>
      </c>
      <c r="J441" s="210" t="b">
        <f>IF($J$1,FALSE,IF(I441=TRUE,FALSE,IF(I441,FALSE,C441&gt;入力シート!$J$24)))</f>
        <v>0</v>
      </c>
      <c r="K441" s="210" t="b">
        <f>IF($K$1,FALSE,COUNTIF(入力シート!$AW$37:$BB$38,D441)=0)</f>
        <v>0</v>
      </c>
      <c r="L441" s="210" t="b">
        <f>IF($L$1,FALSE,IF($L$3,FALSE,IF(E441="",FALSE,COUNTIF(入力シート!$AH$37:$AK$62,E441)=0)))</f>
        <v>0</v>
      </c>
      <c r="M441" s="211" t="str">
        <f t="shared" si="13"/>
        <v/>
      </c>
      <c r="N441" s="211"/>
      <c r="O441" s="209" t="str">
        <f>IF(B441="","",VLOOKUP('従業員情報(給与以外)'!$B441,入力シート!$S$37:$Z$62,5,0))</f>
        <v/>
      </c>
      <c r="P441" s="156" t="str">
        <f>IF(ISNUMBER(C441)=FALSE,"",IF(C441&gt;入力シート!$J$24,"",_xlfn.DAYS(入力シート!$J$24,'従業員情報(給与以外)'!$C441)/365))</f>
        <v/>
      </c>
      <c r="Q441" s="210" t="str">
        <f>IF(P441="","",VLOOKUP(_xlfn.DAYS(入力シート!$J$24,'従業員情報(給与以外)'!$C441)/365,入力リスト!$K$18:$L$26,2,2))</f>
        <v/>
      </c>
      <c r="R441" s="209" t="str">
        <f>IF(D441="","",VLOOKUP('従業員情報(給与以外)'!$D441,入力シート!$AW$37:$BB$38,4,0))</f>
        <v/>
      </c>
      <c r="S441" s="209" t="str">
        <f>IF(A441="","",IF(E441="","非役職",VLOOKUP('従業員情報(給与以外)'!$E441,入力シート!$AH$37:$AO$62,5,0)))</f>
        <v/>
      </c>
      <c r="T441" s="102" t="str">
        <f>IF(OR(入力シート!$C$5&lt;&gt;入力リスト!$C$3,COUNTIF(入力シート!$J$16:$S$23,入力リスト!$H$9)=0),"",IF($A441="","",IF(ISERROR(AVERAGEIF(従業員の給与情報!$B:$B,$A441,従業員の給与情報!$C:$C)),0,IF(ISERROR(AVERAGEIF(従業員の給与情報!$B:$B,$A441,従業員の給与情報!$C:$C)),0,AVERAGEIF(従業員の給与情報!$B:$B,$A441,従業員の給与情報!$C:$C)))))</f>
        <v/>
      </c>
      <c r="U441" s="102" t="str">
        <f>IF(OR(入力シート!$C$5&lt;&gt;入力リスト!$C$3,COUNTIF(入力シート!$J$16:$S$23,入力リスト!$H$9)=0),"",IF(A441="","",IF(ISERROR(AVERAGEIF(従業員の給与情報!$B:$B,$A441,従業員の給与情報!$D:$D)),0,IF(ISERROR(AVERAGEIF(従業員の給与情報!$B:$B,$A441,従業員の給与情報!$D:$D)),0,AVERAGEIF(従業員の給与情報!$B:$B,$A441,従業員の給与情報!$D:$D)))))</f>
        <v/>
      </c>
      <c r="V441" s="102" t="str">
        <f>IF(OR(入力シート!$C$5&lt;&gt;入力リスト!$C$3,COUNTIF(入力シート!$J$16:$S$23,入力リスト!$H$9)=0),"",IF(A441="","",IF(ISERROR(AVERAGEIF(従業員の給与情報!$B:$B,$A441,従業員の給与情報!$E:$E)),0,IF(ISERROR(AVERAGEIF(従業員の給与情報!$B:$B,$A441,従業員の給与情報!$E:$E)),0,AVERAGEIF(従業員の給与情報!$B:$B,$A441,従業員の給与情報!$E:$E)))))</f>
        <v/>
      </c>
      <c r="W441" s="103" t="str">
        <f>IF(OR(入力シート!$C$5&lt;&gt;入力リスト!$C$3,COUNTIF(入力シート!$J$16:$S$23,入力リスト!$H$9)=0),"",IF(A441="","",IF(ISERROR(AVERAGEIF(従業員の給与情報!$B:$B,$A441,従業員の給与情報!$F:$F)),0,IF(ISERROR(AVERAGEIF(従業員の給与情報!$B:$B,$A441,従業員の給与情報!$F:$F)),0,AVERAGEIF(従業員の給与情報!$B:$B,$A441,従業員の給与情報!$F:$F)))))</f>
        <v/>
      </c>
    </row>
    <row r="442" spans="1:23" s="10" customFormat="1">
      <c r="A442" s="253"/>
      <c r="B442" s="246"/>
      <c r="C442" s="247"/>
      <c r="D442" s="246"/>
      <c r="E442" s="246"/>
      <c r="F442" s="257" t="str">
        <f>IF($G$1,"",IF(COUNTIF(A442:E442,"")=5,"",IF(G442,入力リスト!$K$28,IF(OR(A442="",B442="",IF(COUNTIF($C$3,"*不要*"),"",C442=""),D442=""),IF(A442="","従業員番号","")&amp;IF(B442="","「雇用形態」","")&amp;IF(OR(入力シート!$J$18=入力リスト!$H$9,入力シート!$J$22=入力リスト!$H$9),IF(C442="","「入社年月日」",""),"")&amp;IF(D442="","「性別」","")&amp;IF(IF(A442="","従業員番号","")&amp;IF(B442="","「雇用形態」","")&amp;IF(OR(入力シート!$J$18=入力リスト!$H$9,入力シート!$J$22=入力リスト!$H$9),IF(C442="","「入社年月日」",""),"")&amp;IF(D442="","「性別」","")="","",入力リスト!$K$29),IF(J442,入力リスト!$K$30,"")&amp;IF(I442,入力リスト!$K$31,"")&amp;IF(H442,"「雇用形態」","")&amp;IF(K442,"「性別」","")&amp;IF(L442,"「役職」","")&amp;IF(OR(H442,K442,L442),入力リスト!$K$32,"")))))</f>
        <v/>
      </c>
      <c r="G442" s="209" t="b">
        <f>COUNTIF($A$4:A441,$A442)&gt;0</f>
        <v>0</v>
      </c>
      <c r="H442" s="210" t="b">
        <f>IF($H$1,FALSE,COUNTIF(入力シート!$S$37:$V$62,B442)=0)</f>
        <v>0</v>
      </c>
      <c r="I442" s="210" t="b">
        <f t="shared" si="14"/>
        <v>0</v>
      </c>
      <c r="J442" s="210" t="b">
        <f>IF($J$1,FALSE,IF(I442=TRUE,FALSE,IF(I442,FALSE,C442&gt;入力シート!$J$24)))</f>
        <v>0</v>
      </c>
      <c r="K442" s="210" t="b">
        <f>IF($K$1,FALSE,COUNTIF(入力シート!$AW$37:$BB$38,D442)=0)</f>
        <v>0</v>
      </c>
      <c r="L442" s="210" t="b">
        <f>IF($L$1,FALSE,IF($L$3,FALSE,IF(E442="",FALSE,COUNTIF(入力シート!$AH$37:$AK$62,E442)=0)))</f>
        <v>0</v>
      </c>
      <c r="M442" s="211" t="str">
        <f t="shared" si="13"/>
        <v/>
      </c>
      <c r="N442" s="211"/>
      <c r="O442" s="209" t="str">
        <f>IF(B442="","",VLOOKUP('従業員情報(給与以外)'!$B442,入力シート!$S$37:$Z$62,5,0))</f>
        <v/>
      </c>
      <c r="P442" s="156" t="str">
        <f>IF(ISNUMBER(C442)=FALSE,"",IF(C442&gt;入力シート!$J$24,"",_xlfn.DAYS(入力シート!$J$24,'従業員情報(給与以外)'!$C442)/365))</f>
        <v/>
      </c>
      <c r="Q442" s="210" t="str">
        <f>IF(P442="","",VLOOKUP(_xlfn.DAYS(入力シート!$J$24,'従業員情報(給与以外)'!$C442)/365,入力リスト!$K$18:$L$26,2,2))</f>
        <v/>
      </c>
      <c r="R442" s="209" t="str">
        <f>IF(D442="","",VLOOKUP('従業員情報(給与以外)'!$D442,入力シート!$AW$37:$BB$38,4,0))</f>
        <v/>
      </c>
      <c r="S442" s="209" t="str">
        <f>IF(A442="","",IF(E442="","非役職",VLOOKUP('従業員情報(給与以外)'!$E442,入力シート!$AH$37:$AO$62,5,0)))</f>
        <v/>
      </c>
      <c r="T442" s="102" t="str">
        <f>IF(OR(入力シート!$C$5&lt;&gt;入力リスト!$C$3,COUNTIF(入力シート!$J$16:$S$23,入力リスト!$H$9)=0),"",IF($A442="","",IF(ISERROR(AVERAGEIF(従業員の給与情報!$B:$B,$A442,従業員の給与情報!$C:$C)),0,IF(ISERROR(AVERAGEIF(従業員の給与情報!$B:$B,$A442,従業員の給与情報!$C:$C)),0,AVERAGEIF(従業員の給与情報!$B:$B,$A442,従業員の給与情報!$C:$C)))))</f>
        <v/>
      </c>
      <c r="U442" s="102" t="str">
        <f>IF(OR(入力シート!$C$5&lt;&gt;入力リスト!$C$3,COUNTIF(入力シート!$J$16:$S$23,入力リスト!$H$9)=0),"",IF(A442="","",IF(ISERROR(AVERAGEIF(従業員の給与情報!$B:$B,$A442,従業員の給与情報!$D:$D)),0,IF(ISERROR(AVERAGEIF(従業員の給与情報!$B:$B,$A442,従業員の給与情報!$D:$D)),0,AVERAGEIF(従業員の給与情報!$B:$B,$A442,従業員の給与情報!$D:$D)))))</f>
        <v/>
      </c>
      <c r="V442" s="102" t="str">
        <f>IF(OR(入力シート!$C$5&lt;&gt;入力リスト!$C$3,COUNTIF(入力シート!$J$16:$S$23,入力リスト!$H$9)=0),"",IF(A442="","",IF(ISERROR(AVERAGEIF(従業員の給与情報!$B:$B,$A442,従業員の給与情報!$E:$E)),0,IF(ISERROR(AVERAGEIF(従業員の給与情報!$B:$B,$A442,従業員の給与情報!$E:$E)),0,AVERAGEIF(従業員の給与情報!$B:$B,$A442,従業員の給与情報!$E:$E)))))</f>
        <v/>
      </c>
      <c r="W442" s="103" t="str">
        <f>IF(OR(入力シート!$C$5&lt;&gt;入力リスト!$C$3,COUNTIF(入力シート!$J$16:$S$23,入力リスト!$H$9)=0),"",IF(A442="","",IF(ISERROR(AVERAGEIF(従業員の給与情報!$B:$B,$A442,従業員の給与情報!$F:$F)),0,IF(ISERROR(AVERAGEIF(従業員の給与情報!$B:$B,$A442,従業員の給与情報!$F:$F)),0,AVERAGEIF(従業員の給与情報!$B:$B,$A442,従業員の給与情報!$F:$F)))))</f>
        <v/>
      </c>
    </row>
    <row r="443" spans="1:23" s="10" customFormat="1">
      <c r="A443" s="253"/>
      <c r="B443" s="246"/>
      <c r="C443" s="247"/>
      <c r="D443" s="246"/>
      <c r="E443" s="246"/>
      <c r="F443" s="257" t="str">
        <f>IF($G$1,"",IF(COUNTIF(A443:E443,"")=5,"",IF(G443,入力リスト!$K$28,IF(OR(A443="",B443="",IF(COUNTIF($C$3,"*不要*"),"",C443=""),D443=""),IF(A443="","従業員番号","")&amp;IF(B443="","「雇用形態」","")&amp;IF(OR(入力シート!$J$18=入力リスト!$H$9,入力シート!$J$22=入力リスト!$H$9),IF(C443="","「入社年月日」",""),"")&amp;IF(D443="","「性別」","")&amp;IF(IF(A443="","従業員番号","")&amp;IF(B443="","「雇用形態」","")&amp;IF(OR(入力シート!$J$18=入力リスト!$H$9,入力シート!$J$22=入力リスト!$H$9),IF(C443="","「入社年月日」",""),"")&amp;IF(D443="","「性別」","")="","",入力リスト!$K$29),IF(J443,入力リスト!$K$30,"")&amp;IF(I443,入力リスト!$K$31,"")&amp;IF(H443,"「雇用形態」","")&amp;IF(K443,"「性別」","")&amp;IF(L443,"「役職」","")&amp;IF(OR(H443,K443,L443),入力リスト!$K$32,"")))))</f>
        <v/>
      </c>
      <c r="G443" s="209" t="b">
        <f>COUNTIF($A$4:A442,$A443)&gt;0</f>
        <v>0</v>
      </c>
      <c r="H443" s="210" t="b">
        <f>IF($H$1,FALSE,COUNTIF(入力シート!$S$37:$V$62,B443)=0)</f>
        <v>0</v>
      </c>
      <c r="I443" s="210" t="b">
        <f t="shared" si="14"/>
        <v>0</v>
      </c>
      <c r="J443" s="210" t="b">
        <f>IF($J$1,FALSE,IF(I443=TRUE,FALSE,IF(I443,FALSE,C443&gt;入力シート!$J$24)))</f>
        <v>0</v>
      </c>
      <c r="K443" s="210" t="b">
        <f>IF($K$1,FALSE,COUNTIF(入力シート!$AW$37:$BB$38,D443)=0)</f>
        <v>0</v>
      </c>
      <c r="L443" s="210" t="b">
        <f>IF($L$1,FALSE,IF($L$3,FALSE,IF(E443="",FALSE,COUNTIF(入力シート!$AH$37:$AK$62,E443)=0)))</f>
        <v>0</v>
      </c>
      <c r="M443" s="211" t="str">
        <f t="shared" si="13"/>
        <v/>
      </c>
      <c r="N443" s="211"/>
      <c r="O443" s="209" t="str">
        <f>IF(B443="","",VLOOKUP('従業員情報(給与以外)'!$B443,入力シート!$S$37:$Z$62,5,0))</f>
        <v/>
      </c>
      <c r="P443" s="156" t="str">
        <f>IF(ISNUMBER(C443)=FALSE,"",IF(C443&gt;入力シート!$J$24,"",_xlfn.DAYS(入力シート!$J$24,'従業員情報(給与以外)'!$C443)/365))</f>
        <v/>
      </c>
      <c r="Q443" s="210" t="str">
        <f>IF(P443="","",VLOOKUP(_xlfn.DAYS(入力シート!$J$24,'従業員情報(給与以外)'!$C443)/365,入力リスト!$K$18:$L$26,2,2))</f>
        <v/>
      </c>
      <c r="R443" s="209" t="str">
        <f>IF(D443="","",VLOOKUP('従業員情報(給与以外)'!$D443,入力シート!$AW$37:$BB$38,4,0))</f>
        <v/>
      </c>
      <c r="S443" s="209" t="str">
        <f>IF(A443="","",IF(E443="","非役職",VLOOKUP('従業員情報(給与以外)'!$E443,入力シート!$AH$37:$AO$62,5,0)))</f>
        <v/>
      </c>
      <c r="T443" s="102" t="str">
        <f>IF(OR(入力シート!$C$5&lt;&gt;入力リスト!$C$3,COUNTIF(入力シート!$J$16:$S$23,入力リスト!$H$9)=0),"",IF($A443="","",IF(ISERROR(AVERAGEIF(従業員の給与情報!$B:$B,$A443,従業員の給与情報!$C:$C)),0,IF(ISERROR(AVERAGEIF(従業員の給与情報!$B:$B,$A443,従業員の給与情報!$C:$C)),0,AVERAGEIF(従業員の給与情報!$B:$B,$A443,従業員の給与情報!$C:$C)))))</f>
        <v/>
      </c>
      <c r="U443" s="102" t="str">
        <f>IF(OR(入力シート!$C$5&lt;&gt;入力リスト!$C$3,COUNTIF(入力シート!$J$16:$S$23,入力リスト!$H$9)=0),"",IF(A443="","",IF(ISERROR(AVERAGEIF(従業員の給与情報!$B:$B,$A443,従業員の給与情報!$D:$D)),0,IF(ISERROR(AVERAGEIF(従業員の給与情報!$B:$B,$A443,従業員の給与情報!$D:$D)),0,AVERAGEIF(従業員の給与情報!$B:$B,$A443,従業員の給与情報!$D:$D)))))</f>
        <v/>
      </c>
      <c r="V443" s="102" t="str">
        <f>IF(OR(入力シート!$C$5&lt;&gt;入力リスト!$C$3,COUNTIF(入力シート!$J$16:$S$23,入力リスト!$H$9)=0),"",IF(A443="","",IF(ISERROR(AVERAGEIF(従業員の給与情報!$B:$B,$A443,従業員の給与情報!$E:$E)),0,IF(ISERROR(AVERAGEIF(従業員の給与情報!$B:$B,$A443,従業員の給与情報!$E:$E)),0,AVERAGEIF(従業員の給与情報!$B:$B,$A443,従業員の給与情報!$E:$E)))))</f>
        <v/>
      </c>
      <c r="W443" s="103" t="str">
        <f>IF(OR(入力シート!$C$5&lt;&gt;入力リスト!$C$3,COUNTIF(入力シート!$J$16:$S$23,入力リスト!$H$9)=0),"",IF(A443="","",IF(ISERROR(AVERAGEIF(従業員の給与情報!$B:$B,$A443,従業員の給与情報!$F:$F)),0,IF(ISERROR(AVERAGEIF(従業員の給与情報!$B:$B,$A443,従業員の給与情報!$F:$F)),0,AVERAGEIF(従業員の給与情報!$B:$B,$A443,従業員の給与情報!$F:$F)))))</f>
        <v/>
      </c>
    </row>
    <row r="444" spans="1:23" s="10" customFormat="1">
      <c r="A444" s="253"/>
      <c r="B444" s="246"/>
      <c r="C444" s="247"/>
      <c r="D444" s="246"/>
      <c r="E444" s="246"/>
      <c r="F444" s="257" t="str">
        <f>IF($G$1,"",IF(COUNTIF(A444:E444,"")=5,"",IF(G444,入力リスト!$K$28,IF(OR(A444="",B444="",IF(COUNTIF($C$3,"*不要*"),"",C444=""),D444=""),IF(A444="","従業員番号","")&amp;IF(B444="","「雇用形態」","")&amp;IF(OR(入力シート!$J$18=入力リスト!$H$9,入力シート!$J$22=入力リスト!$H$9),IF(C444="","「入社年月日」",""),"")&amp;IF(D444="","「性別」","")&amp;IF(IF(A444="","従業員番号","")&amp;IF(B444="","「雇用形態」","")&amp;IF(OR(入力シート!$J$18=入力リスト!$H$9,入力シート!$J$22=入力リスト!$H$9),IF(C444="","「入社年月日」",""),"")&amp;IF(D444="","「性別」","")="","",入力リスト!$K$29),IF(J444,入力リスト!$K$30,"")&amp;IF(I444,入力リスト!$K$31,"")&amp;IF(H444,"「雇用形態」","")&amp;IF(K444,"「性別」","")&amp;IF(L444,"「役職」","")&amp;IF(OR(H444,K444,L444),入力リスト!$K$32,"")))))</f>
        <v/>
      </c>
      <c r="G444" s="209" t="b">
        <f>COUNTIF($A$4:A443,$A444)&gt;0</f>
        <v>0</v>
      </c>
      <c r="H444" s="210" t="b">
        <f>IF($H$1,FALSE,COUNTIF(入力シート!$S$37:$V$62,B444)=0)</f>
        <v>0</v>
      </c>
      <c r="I444" s="210" t="b">
        <f t="shared" si="14"/>
        <v>0</v>
      </c>
      <c r="J444" s="210" t="b">
        <f>IF($J$1,FALSE,IF(I444=TRUE,FALSE,IF(I444,FALSE,C444&gt;入力シート!$J$24)))</f>
        <v>0</v>
      </c>
      <c r="K444" s="210" t="b">
        <f>IF($K$1,FALSE,COUNTIF(入力シート!$AW$37:$BB$38,D444)=0)</f>
        <v>0</v>
      </c>
      <c r="L444" s="210" t="b">
        <f>IF($L$1,FALSE,IF($L$3,FALSE,IF(E444="",FALSE,COUNTIF(入力シート!$AH$37:$AK$62,E444)=0)))</f>
        <v>0</v>
      </c>
      <c r="M444" s="211" t="str">
        <f t="shared" si="13"/>
        <v/>
      </c>
      <c r="N444" s="211"/>
      <c r="O444" s="209" t="str">
        <f>IF(B444="","",VLOOKUP('従業員情報(給与以外)'!$B444,入力シート!$S$37:$Z$62,5,0))</f>
        <v/>
      </c>
      <c r="P444" s="156" t="str">
        <f>IF(ISNUMBER(C444)=FALSE,"",IF(C444&gt;入力シート!$J$24,"",_xlfn.DAYS(入力シート!$J$24,'従業員情報(給与以外)'!$C444)/365))</f>
        <v/>
      </c>
      <c r="Q444" s="210" t="str">
        <f>IF(P444="","",VLOOKUP(_xlfn.DAYS(入力シート!$J$24,'従業員情報(給与以外)'!$C444)/365,入力リスト!$K$18:$L$26,2,2))</f>
        <v/>
      </c>
      <c r="R444" s="209" t="str">
        <f>IF(D444="","",VLOOKUP('従業員情報(給与以外)'!$D444,入力シート!$AW$37:$BB$38,4,0))</f>
        <v/>
      </c>
      <c r="S444" s="209" t="str">
        <f>IF(A444="","",IF(E444="","非役職",VLOOKUP('従業員情報(給与以外)'!$E444,入力シート!$AH$37:$AO$62,5,0)))</f>
        <v/>
      </c>
      <c r="T444" s="102" t="str">
        <f>IF(OR(入力シート!$C$5&lt;&gt;入力リスト!$C$3,COUNTIF(入力シート!$J$16:$S$23,入力リスト!$H$9)=0),"",IF($A444="","",IF(ISERROR(AVERAGEIF(従業員の給与情報!$B:$B,$A444,従業員の給与情報!$C:$C)),0,IF(ISERROR(AVERAGEIF(従業員の給与情報!$B:$B,$A444,従業員の給与情報!$C:$C)),0,AVERAGEIF(従業員の給与情報!$B:$B,$A444,従業員の給与情報!$C:$C)))))</f>
        <v/>
      </c>
      <c r="U444" s="102" t="str">
        <f>IF(OR(入力シート!$C$5&lt;&gt;入力リスト!$C$3,COUNTIF(入力シート!$J$16:$S$23,入力リスト!$H$9)=0),"",IF(A444="","",IF(ISERROR(AVERAGEIF(従業員の給与情報!$B:$B,$A444,従業員の給与情報!$D:$D)),0,IF(ISERROR(AVERAGEIF(従業員の給与情報!$B:$B,$A444,従業員の給与情報!$D:$D)),0,AVERAGEIF(従業員の給与情報!$B:$B,$A444,従業員の給与情報!$D:$D)))))</f>
        <v/>
      </c>
      <c r="V444" s="102" t="str">
        <f>IF(OR(入力シート!$C$5&lt;&gt;入力リスト!$C$3,COUNTIF(入力シート!$J$16:$S$23,入力リスト!$H$9)=0),"",IF(A444="","",IF(ISERROR(AVERAGEIF(従業員の給与情報!$B:$B,$A444,従業員の給与情報!$E:$E)),0,IF(ISERROR(AVERAGEIF(従業員の給与情報!$B:$B,$A444,従業員の給与情報!$E:$E)),0,AVERAGEIF(従業員の給与情報!$B:$B,$A444,従業員の給与情報!$E:$E)))))</f>
        <v/>
      </c>
      <c r="W444" s="103" t="str">
        <f>IF(OR(入力シート!$C$5&lt;&gt;入力リスト!$C$3,COUNTIF(入力シート!$J$16:$S$23,入力リスト!$H$9)=0),"",IF(A444="","",IF(ISERROR(AVERAGEIF(従業員の給与情報!$B:$B,$A444,従業員の給与情報!$F:$F)),0,IF(ISERROR(AVERAGEIF(従業員の給与情報!$B:$B,$A444,従業員の給与情報!$F:$F)),0,AVERAGEIF(従業員の給与情報!$B:$B,$A444,従業員の給与情報!$F:$F)))))</f>
        <v/>
      </c>
    </row>
    <row r="445" spans="1:23" s="10" customFormat="1">
      <c r="A445" s="253"/>
      <c r="B445" s="246"/>
      <c r="C445" s="247"/>
      <c r="D445" s="246"/>
      <c r="E445" s="246"/>
      <c r="F445" s="257" t="str">
        <f>IF($G$1,"",IF(COUNTIF(A445:E445,"")=5,"",IF(G445,入力リスト!$K$28,IF(OR(A445="",B445="",IF(COUNTIF($C$3,"*不要*"),"",C445=""),D445=""),IF(A445="","従業員番号","")&amp;IF(B445="","「雇用形態」","")&amp;IF(OR(入力シート!$J$18=入力リスト!$H$9,入力シート!$J$22=入力リスト!$H$9),IF(C445="","「入社年月日」",""),"")&amp;IF(D445="","「性別」","")&amp;IF(IF(A445="","従業員番号","")&amp;IF(B445="","「雇用形態」","")&amp;IF(OR(入力シート!$J$18=入力リスト!$H$9,入力シート!$J$22=入力リスト!$H$9),IF(C445="","「入社年月日」",""),"")&amp;IF(D445="","「性別」","")="","",入力リスト!$K$29),IF(J445,入力リスト!$K$30,"")&amp;IF(I445,入力リスト!$K$31,"")&amp;IF(H445,"「雇用形態」","")&amp;IF(K445,"「性別」","")&amp;IF(L445,"「役職」","")&amp;IF(OR(H445,K445,L445),入力リスト!$K$32,"")))))</f>
        <v/>
      </c>
      <c r="G445" s="209" t="b">
        <f>COUNTIF($A$4:A444,$A445)&gt;0</f>
        <v>0</v>
      </c>
      <c r="H445" s="210" t="b">
        <f>IF($H$1,FALSE,COUNTIF(入力シート!$S$37:$V$62,B445)=0)</f>
        <v>0</v>
      </c>
      <c r="I445" s="210" t="b">
        <f t="shared" si="14"/>
        <v>0</v>
      </c>
      <c r="J445" s="210" t="b">
        <f>IF($J$1,FALSE,IF(I445=TRUE,FALSE,IF(I445,FALSE,C445&gt;入力シート!$J$24)))</f>
        <v>0</v>
      </c>
      <c r="K445" s="210" t="b">
        <f>IF($K$1,FALSE,COUNTIF(入力シート!$AW$37:$BB$38,D445)=0)</f>
        <v>0</v>
      </c>
      <c r="L445" s="210" t="b">
        <f>IF($L$1,FALSE,IF($L$3,FALSE,IF(E445="",FALSE,COUNTIF(入力シート!$AH$37:$AK$62,E445)=0)))</f>
        <v>0</v>
      </c>
      <c r="M445" s="211" t="str">
        <f t="shared" si="13"/>
        <v/>
      </c>
      <c r="N445" s="211"/>
      <c r="O445" s="209" t="str">
        <f>IF(B445="","",VLOOKUP('従業員情報(給与以外)'!$B445,入力シート!$S$37:$Z$62,5,0))</f>
        <v/>
      </c>
      <c r="P445" s="156" t="str">
        <f>IF(ISNUMBER(C445)=FALSE,"",IF(C445&gt;入力シート!$J$24,"",_xlfn.DAYS(入力シート!$J$24,'従業員情報(給与以外)'!$C445)/365))</f>
        <v/>
      </c>
      <c r="Q445" s="210" t="str">
        <f>IF(P445="","",VLOOKUP(_xlfn.DAYS(入力シート!$J$24,'従業員情報(給与以外)'!$C445)/365,入力リスト!$K$18:$L$26,2,2))</f>
        <v/>
      </c>
      <c r="R445" s="209" t="str">
        <f>IF(D445="","",VLOOKUP('従業員情報(給与以外)'!$D445,入力シート!$AW$37:$BB$38,4,0))</f>
        <v/>
      </c>
      <c r="S445" s="209" t="str">
        <f>IF(A445="","",IF(E445="","非役職",VLOOKUP('従業員情報(給与以外)'!$E445,入力シート!$AH$37:$AO$62,5,0)))</f>
        <v/>
      </c>
      <c r="T445" s="102" t="str">
        <f>IF(OR(入力シート!$C$5&lt;&gt;入力リスト!$C$3,COUNTIF(入力シート!$J$16:$S$23,入力リスト!$H$9)=0),"",IF($A445="","",IF(ISERROR(AVERAGEIF(従業員の給与情報!$B:$B,$A445,従業員の給与情報!$C:$C)),0,IF(ISERROR(AVERAGEIF(従業員の給与情報!$B:$B,$A445,従業員の給与情報!$C:$C)),0,AVERAGEIF(従業員の給与情報!$B:$B,$A445,従業員の給与情報!$C:$C)))))</f>
        <v/>
      </c>
      <c r="U445" s="102" t="str">
        <f>IF(OR(入力シート!$C$5&lt;&gt;入力リスト!$C$3,COUNTIF(入力シート!$J$16:$S$23,入力リスト!$H$9)=0),"",IF(A445="","",IF(ISERROR(AVERAGEIF(従業員の給与情報!$B:$B,$A445,従業員の給与情報!$D:$D)),0,IF(ISERROR(AVERAGEIF(従業員の給与情報!$B:$B,$A445,従業員の給与情報!$D:$D)),0,AVERAGEIF(従業員の給与情報!$B:$B,$A445,従業員の給与情報!$D:$D)))))</f>
        <v/>
      </c>
      <c r="V445" s="102" t="str">
        <f>IF(OR(入力シート!$C$5&lt;&gt;入力リスト!$C$3,COUNTIF(入力シート!$J$16:$S$23,入力リスト!$H$9)=0),"",IF(A445="","",IF(ISERROR(AVERAGEIF(従業員の給与情報!$B:$B,$A445,従業員の給与情報!$E:$E)),0,IF(ISERROR(AVERAGEIF(従業員の給与情報!$B:$B,$A445,従業員の給与情報!$E:$E)),0,AVERAGEIF(従業員の給与情報!$B:$B,$A445,従業員の給与情報!$E:$E)))))</f>
        <v/>
      </c>
      <c r="W445" s="103" t="str">
        <f>IF(OR(入力シート!$C$5&lt;&gt;入力リスト!$C$3,COUNTIF(入力シート!$J$16:$S$23,入力リスト!$H$9)=0),"",IF(A445="","",IF(ISERROR(AVERAGEIF(従業員の給与情報!$B:$B,$A445,従業員の給与情報!$F:$F)),0,IF(ISERROR(AVERAGEIF(従業員の給与情報!$B:$B,$A445,従業員の給与情報!$F:$F)),0,AVERAGEIF(従業員の給与情報!$B:$B,$A445,従業員の給与情報!$F:$F)))))</f>
        <v/>
      </c>
    </row>
    <row r="446" spans="1:23" s="10" customFormat="1">
      <c r="A446" s="253"/>
      <c r="B446" s="246"/>
      <c r="C446" s="247"/>
      <c r="D446" s="246"/>
      <c r="E446" s="246"/>
      <c r="F446" s="257" t="str">
        <f>IF($G$1,"",IF(COUNTIF(A446:E446,"")=5,"",IF(G446,入力リスト!$K$28,IF(OR(A446="",B446="",IF(COUNTIF($C$3,"*不要*"),"",C446=""),D446=""),IF(A446="","従業員番号","")&amp;IF(B446="","「雇用形態」","")&amp;IF(OR(入力シート!$J$18=入力リスト!$H$9,入力シート!$J$22=入力リスト!$H$9),IF(C446="","「入社年月日」",""),"")&amp;IF(D446="","「性別」","")&amp;IF(IF(A446="","従業員番号","")&amp;IF(B446="","「雇用形態」","")&amp;IF(OR(入力シート!$J$18=入力リスト!$H$9,入力シート!$J$22=入力リスト!$H$9),IF(C446="","「入社年月日」",""),"")&amp;IF(D446="","「性別」","")="","",入力リスト!$K$29),IF(J446,入力リスト!$K$30,"")&amp;IF(I446,入力リスト!$K$31,"")&amp;IF(H446,"「雇用形態」","")&amp;IF(K446,"「性別」","")&amp;IF(L446,"「役職」","")&amp;IF(OR(H446,K446,L446),入力リスト!$K$32,"")))))</f>
        <v/>
      </c>
      <c r="G446" s="209" t="b">
        <f>COUNTIF($A$4:A445,$A446)&gt;0</f>
        <v>0</v>
      </c>
      <c r="H446" s="210" t="b">
        <f>IF($H$1,FALSE,COUNTIF(入力シート!$S$37:$V$62,B446)=0)</f>
        <v>0</v>
      </c>
      <c r="I446" s="210" t="b">
        <f t="shared" si="14"/>
        <v>0</v>
      </c>
      <c r="J446" s="210" t="b">
        <f>IF($J$1,FALSE,IF(I446=TRUE,FALSE,IF(I446,FALSE,C446&gt;入力シート!$J$24)))</f>
        <v>0</v>
      </c>
      <c r="K446" s="210" t="b">
        <f>IF($K$1,FALSE,COUNTIF(入力シート!$AW$37:$BB$38,D446)=0)</f>
        <v>0</v>
      </c>
      <c r="L446" s="210" t="b">
        <f>IF($L$1,FALSE,IF($L$3,FALSE,IF(E446="",FALSE,COUNTIF(入力シート!$AH$37:$AK$62,E446)=0)))</f>
        <v>0</v>
      </c>
      <c r="M446" s="211" t="str">
        <f t="shared" si="13"/>
        <v/>
      </c>
      <c r="N446" s="211"/>
      <c r="O446" s="209" t="str">
        <f>IF(B446="","",VLOOKUP('従業員情報(給与以外)'!$B446,入力シート!$S$37:$Z$62,5,0))</f>
        <v/>
      </c>
      <c r="P446" s="156" t="str">
        <f>IF(ISNUMBER(C446)=FALSE,"",IF(C446&gt;入力シート!$J$24,"",_xlfn.DAYS(入力シート!$J$24,'従業員情報(給与以外)'!$C446)/365))</f>
        <v/>
      </c>
      <c r="Q446" s="210" t="str">
        <f>IF(P446="","",VLOOKUP(_xlfn.DAYS(入力シート!$J$24,'従業員情報(給与以外)'!$C446)/365,入力リスト!$K$18:$L$26,2,2))</f>
        <v/>
      </c>
      <c r="R446" s="209" t="str">
        <f>IF(D446="","",VLOOKUP('従業員情報(給与以外)'!$D446,入力シート!$AW$37:$BB$38,4,0))</f>
        <v/>
      </c>
      <c r="S446" s="209" t="str">
        <f>IF(A446="","",IF(E446="","非役職",VLOOKUP('従業員情報(給与以外)'!$E446,入力シート!$AH$37:$AO$62,5,0)))</f>
        <v/>
      </c>
      <c r="T446" s="102" t="str">
        <f>IF(OR(入力シート!$C$5&lt;&gt;入力リスト!$C$3,COUNTIF(入力シート!$J$16:$S$23,入力リスト!$H$9)=0),"",IF($A446="","",IF(ISERROR(AVERAGEIF(従業員の給与情報!$B:$B,$A446,従業員の給与情報!$C:$C)),0,IF(ISERROR(AVERAGEIF(従業員の給与情報!$B:$B,$A446,従業員の給与情報!$C:$C)),0,AVERAGEIF(従業員の給与情報!$B:$B,$A446,従業員の給与情報!$C:$C)))))</f>
        <v/>
      </c>
      <c r="U446" s="102" t="str">
        <f>IF(OR(入力シート!$C$5&lt;&gt;入力リスト!$C$3,COUNTIF(入力シート!$J$16:$S$23,入力リスト!$H$9)=0),"",IF(A446="","",IF(ISERROR(AVERAGEIF(従業員の給与情報!$B:$B,$A446,従業員の給与情報!$D:$D)),0,IF(ISERROR(AVERAGEIF(従業員の給与情報!$B:$B,$A446,従業員の給与情報!$D:$D)),0,AVERAGEIF(従業員の給与情報!$B:$B,$A446,従業員の給与情報!$D:$D)))))</f>
        <v/>
      </c>
      <c r="V446" s="102" t="str">
        <f>IF(OR(入力シート!$C$5&lt;&gt;入力リスト!$C$3,COUNTIF(入力シート!$J$16:$S$23,入力リスト!$H$9)=0),"",IF(A446="","",IF(ISERROR(AVERAGEIF(従業員の給与情報!$B:$B,$A446,従業員の給与情報!$E:$E)),0,IF(ISERROR(AVERAGEIF(従業員の給与情報!$B:$B,$A446,従業員の給与情報!$E:$E)),0,AVERAGEIF(従業員の給与情報!$B:$B,$A446,従業員の給与情報!$E:$E)))))</f>
        <v/>
      </c>
      <c r="W446" s="103" t="str">
        <f>IF(OR(入力シート!$C$5&lt;&gt;入力リスト!$C$3,COUNTIF(入力シート!$J$16:$S$23,入力リスト!$H$9)=0),"",IF(A446="","",IF(ISERROR(AVERAGEIF(従業員の給与情報!$B:$B,$A446,従業員の給与情報!$F:$F)),0,IF(ISERROR(AVERAGEIF(従業員の給与情報!$B:$B,$A446,従業員の給与情報!$F:$F)),0,AVERAGEIF(従業員の給与情報!$B:$B,$A446,従業員の給与情報!$F:$F)))))</f>
        <v/>
      </c>
    </row>
    <row r="447" spans="1:23" s="10" customFormat="1">
      <c r="A447" s="253"/>
      <c r="B447" s="246"/>
      <c r="C447" s="247"/>
      <c r="D447" s="246"/>
      <c r="E447" s="246"/>
      <c r="F447" s="257" t="str">
        <f>IF($G$1,"",IF(COUNTIF(A447:E447,"")=5,"",IF(G447,入力リスト!$K$28,IF(OR(A447="",B447="",IF(COUNTIF($C$3,"*不要*"),"",C447=""),D447=""),IF(A447="","従業員番号","")&amp;IF(B447="","「雇用形態」","")&amp;IF(OR(入力シート!$J$18=入力リスト!$H$9,入力シート!$J$22=入力リスト!$H$9),IF(C447="","「入社年月日」",""),"")&amp;IF(D447="","「性別」","")&amp;IF(IF(A447="","従業員番号","")&amp;IF(B447="","「雇用形態」","")&amp;IF(OR(入力シート!$J$18=入力リスト!$H$9,入力シート!$J$22=入力リスト!$H$9),IF(C447="","「入社年月日」",""),"")&amp;IF(D447="","「性別」","")="","",入力リスト!$K$29),IF(J447,入力リスト!$K$30,"")&amp;IF(I447,入力リスト!$K$31,"")&amp;IF(H447,"「雇用形態」","")&amp;IF(K447,"「性別」","")&amp;IF(L447,"「役職」","")&amp;IF(OR(H447,K447,L447),入力リスト!$K$32,"")))))</f>
        <v/>
      </c>
      <c r="G447" s="209" t="b">
        <f>COUNTIF($A$4:A446,$A447)&gt;0</f>
        <v>0</v>
      </c>
      <c r="H447" s="210" t="b">
        <f>IF($H$1,FALSE,COUNTIF(入力シート!$S$37:$V$62,B447)=0)</f>
        <v>0</v>
      </c>
      <c r="I447" s="210" t="b">
        <f t="shared" si="14"/>
        <v>0</v>
      </c>
      <c r="J447" s="210" t="b">
        <f>IF($J$1,FALSE,IF(I447=TRUE,FALSE,IF(I447,FALSE,C447&gt;入力シート!$J$24)))</f>
        <v>0</v>
      </c>
      <c r="K447" s="210" t="b">
        <f>IF($K$1,FALSE,COUNTIF(入力シート!$AW$37:$BB$38,D447)=0)</f>
        <v>0</v>
      </c>
      <c r="L447" s="210" t="b">
        <f>IF($L$1,FALSE,IF($L$3,FALSE,IF(E447="",FALSE,COUNTIF(入力シート!$AH$37:$AK$62,E447)=0)))</f>
        <v>0</v>
      </c>
      <c r="M447" s="211" t="str">
        <f t="shared" si="13"/>
        <v/>
      </c>
      <c r="N447" s="211"/>
      <c r="O447" s="209" t="str">
        <f>IF(B447="","",VLOOKUP('従業員情報(給与以外)'!$B447,入力シート!$S$37:$Z$62,5,0))</f>
        <v/>
      </c>
      <c r="P447" s="156" t="str">
        <f>IF(ISNUMBER(C447)=FALSE,"",IF(C447&gt;入力シート!$J$24,"",_xlfn.DAYS(入力シート!$J$24,'従業員情報(給与以外)'!$C447)/365))</f>
        <v/>
      </c>
      <c r="Q447" s="210" t="str">
        <f>IF(P447="","",VLOOKUP(_xlfn.DAYS(入力シート!$J$24,'従業員情報(給与以外)'!$C447)/365,入力リスト!$K$18:$L$26,2,2))</f>
        <v/>
      </c>
      <c r="R447" s="209" t="str">
        <f>IF(D447="","",VLOOKUP('従業員情報(給与以外)'!$D447,入力シート!$AW$37:$BB$38,4,0))</f>
        <v/>
      </c>
      <c r="S447" s="209" t="str">
        <f>IF(A447="","",IF(E447="","非役職",VLOOKUP('従業員情報(給与以外)'!$E447,入力シート!$AH$37:$AO$62,5,0)))</f>
        <v/>
      </c>
      <c r="T447" s="102" t="str">
        <f>IF(OR(入力シート!$C$5&lt;&gt;入力リスト!$C$3,COUNTIF(入力シート!$J$16:$S$23,入力リスト!$H$9)=0),"",IF($A447="","",IF(ISERROR(AVERAGEIF(従業員の給与情報!$B:$B,$A447,従業員の給与情報!$C:$C)),0,IF(ISERROR(AVERAGEIF(従業員の給与情報!$B:$B,$A447,従業員の給与情報!$C:$C)),0,AVERAGEIF(従業員の給与情報!$B:$B,$A447,従業員の給与情報!$C:$C)))))</f>
        <v/>
      </c>
      <c r="U447" s="102" t="str">
        <f>IF(OR(入力シート!$C$5&lt;&gt;入力リスト!$C$3,COUNTIF(入力シート!$J$16:$S$23,入力リスト!$H$9)=0),"",IF(A447="","",IF(ISERROR(AVERAGEIF(従業員の給与情報!$B:$B,$A447,従業員の給与情報!$D:$D)),0,IF(ISERROR(AVERAGEIF(従業員の給与情報!$B:$B,$A447,従業員の給与情報!$D:$D)),0,AVERAGEIF(従業員の給与情報!$B:$B,$A447,従業員の給与情報!$D:$D)))))</f>
        <v/>
      </c>
      <c r="V447" s="102" t="str">
        <f>IF(OR(入力シート!$C$5&lt;&gt;入力リスト!$C$3,COUNTIF(入力シート!$J$16:$S$23,入力リスト!$H$9)=0),"",IF(A447="","",IF(ISERROR(AVERAGEIF(従業員の給与情報!$B:$B,$A447,従業員の給与情報!$E:$E)),0,IF(ISERROR(AVERAGEIF(従業員の給与情報!$B:$B,$A447,従業員の給与情報!$E:$E)),0,AVERAGEIF(従業員の給与情報!$B:$B,$A447,従業員の給与情報!$E:$E)))))</f>
        <v/>
      </c>
      <c r="W447" s="103" t="str">
        <f>IF(OR(入力シート!$C$5&lt;&gt;入力リスト!$C$3,COUNTIF(入力シート!$J$16:$S$23,入力リスト!$H$9)=0),"",IF(A447="","",IF(ISERROR(AVERAGEIF(従業員の給与情報!$B:$B,$A447,従業員の給与情報!$F:$F)),0,IF(ISERROR(AVERAGEIF(従業員の給与情報!$B:$B,$A447,従業員の給与情報!$F:$F)),0,AVERAGEIF(従業員の給与情報!$B:$B,$A447,従業員の給与情報!$F:$F)))))</f>
        <v/>
      </c>
    </row>
    <row r="448" spans="1:23" s="10" customFormat="1">
      <c r="A448" s="253"/>
      <c r="B448" s="246"/>
      <c r="C448" s="247"/>
      <c r="D448" s="246"/>
      <c r="E448" s="246"/>
      <c r="F448" s="257" t="str">
        <f>IF($G$1,"",IF(COUNTIF(A448:E448,"")=5,"",IF(G448,入力リスト!$K$28,IF(OR(A448="",B448="",IF(COUNTIF($C$3,"*不要*"),"",C448=""),D448=""),IF(A448="","従業員番号","")&amp;IF(B448="","「雇用形態」","")&amp;IF(OR(入力シート!$J$18=入力リスト!$H$9,入力シート!$J$22=入力リスト!$H$9),IF(C448="","「入社年月日」",""),"")&amp;IF(D448="","「性別」","")&amp;IF(IF(A448="","従業員番号","")&amp;IF(B448="","「雇用形態」","")&amp;IF(OR(入力シート!$J$18=入力リスト!$H$9,入力シート!$J$22=入力リスト!$H$9),IF(C448="","「入社年月日」",""),"")&amp;IF(D448="","「性別」","")="","",入力リスト!$K$29),IF(J448,入力リスト!$K$30,"")&amp;IF(I448,入力リスト!$K$31,"")&amp;IF(H448,"「雇用形態」","")&amp;IF(K448,"「性別」","")&amp;IF(L448,"「役職」","")&amp;IF(OR(H448,K448,L448),入力リスト!$K$32,"")))))</f>
        <v/>
      </c>
      <c r="G448" s="209" t="b">
        <f>COUNTIF($A$4:A447,$A448)&gt;0</f>
        <v>0</v>
      </c>
      <c r="H448" s="210" t="b">
        <f>IF($H$1,FALSE,COUNTIF(入力シート!$S$37:$V$62,B448)=0)</f>
        <v>0</v>
      </c>
      <c r="I448" s="210" t="b">
        <f t="shared" si="14"/>
        <v>0</v>
      </c>
      <c r="J448" s="210" t="b">
        <f>IF($J$1,FALSE,IF(I448=TRUE,FALSE,IF(I448,FALSE,C448&gt;入力シート!$J$24)))</f>
        <v>0</v>
      </c>
      <c r="K448" s="210" t="b">
        <f>IF($K$1,FALSE,COUNTIF(入力シート!$AW$37:$BB$38,D448)=0)</f>
        <v>0</v>
      </c>
      <c r="L448" s="210" t="b">
        <f>IF($L$1,FALSE,IF($L$3,FALSE,IF(E448="",FALSE,COUNTIF(入力シート!$AH$37:$AK$62,E448)=0)))</f>
        <v>0</v>
      </c>
      <c r="M448" s="211" t="str">
        <f t="shared" si="13"/>
        <v/>
      </c>
      <c r="N448" s="211"/>
      <c r="O448" s="209" t="str">
        <f>IF(B448="","",VLOOKUP('従業員情報(給与以外)'!$B448,入力シート!$S$37:$Z$62,5,0))</f>
        <v/>
      </c>
      <c r="P448" s="156" t="str">
        <f>IF(ISNUMBER(C448)=FALSE,"",IF(C448&gt;入力シート!$J$24,"",_xlfn.DAYS(入力シート!$J$24,'従業員情報(給与以外)'!$C448)/365))</f>
        <v/>
      </c>
      <c r="Q448" s="210" t="str">
        <f>IF(P448="","",VLOOKUP(_xlfn.DAYS(入力シート!$J$24,'従業員情報(給与以外)'!$C448)/365,入力リスト!$K$18:$L$26,2,2))</f>
        <v/>
      </c>
      <c r="R448" s="209" t="str">
        <f>IF(D448="","",VLOOKUP('従業員情報(給与以外)'!$D448,入力シート!$AW$37:$BB$38,4,0))</f>
        <v/>
      </c>
      <c r="S448" s="209" t="str">
        <f>IF(A448="","",IF(E448="","非役職",VLOOKUP('従業員情報(給与以外)'!$E448,入力シート!$AH$37:$AO$62,5,0)))</f>
        <v/>
      </c>
      <c r="T448" s="102" t="str">
        <f>IF(OR(入力シート!$C$5&lt;&gt;入力リスト!$C$3,COUNTIF(入力シート!$J$16:$S$23,入力リスト!$H$9)=0),"",IF($A448="","",IF(ISERROR(AVERAGEIF(従業員の給与情報!$B:$B,$A448,従業員の給与情報!$C:$C)),0,IF(ISERROR(AVERAGEIF(従業員の給与情報!$B:$B,$A448,従業員の給与情報!$C:$C)),0,AVERAGEIF(従業員の給与情報!$B:$B,$A448,従業員の給与情報!$C:$C)))))</f>
        <v/>
      </c>
      <c r="U448" s="102" t="str">
        <f>IF(OR(入力シート!$C$5&lt;&gt;入力リスト!$C$3,COUNTIF(入力シート!$J$16:$S$23,入力リスト!$H$9)=0),"",IF(A448="","",IF(ISERROR(AVERAGEIF(従業員の給与情報!$B:$B,$A448,従業員の給与情報!$D:$D)),0,IF(ISERROR(AVERAGEIF(従業員の給与情報!$B:$B,$A448,従業員の給与情報!$D:$D)),0,AVERAGEIF(従業員の給与情報!$B:$B,$A448,従業員の給与情報!$D:$D)))))</f>
        <v/>
      </c>
      <c r="V448" s="102" t="str">
        <f>IF(OR(入力シート!$C$5&lt;&gt;入力リスト!$C$3,COUNTIF(入力シート!$J$16:$S$23,入力リスト!$H$9)=0),"",IF(A448="","",IF(ISERROR(AVERAGEIF(従業員の給与情報!$B:$B,$A448,従業員の給与情報!$E:$E)),0,IF(ISERROR(AVERAGEIF(従業員の給与情報!$B:$B,$A448,従業員の給与情報!$E:$E)),0,AVERAGEIF(従業員の給与情報!$B:$B,$A448,従業員の給与情報!$E:$E)))))</f>
        <v/>
      </c>
      <c r="W448" s="103" t="str">
        <f>IF(OR(入力シート!$C$5&lt;&gt;入力リスト!$C$3,COUNTIF(入力シート!$J$16:$S$23,入力リスト!$H$9)=0),"",IF(A448="","",IF(ISERROR(AVERAGEIF(従業員の給与情報!$B:$B,$A448,従業員の給与情報!$F:$F)),0,IF(ISERROR(AVERAGEIF(従業員の給与情報!$B:$B,$A448,従業員の給与情報!$F:$F)),0,AVERAGEIF(従業員の給与情報!$B:$B,$A448,従業員の給与情報!$F:$F)))))</f>
        <v/>
      </c>
    </row>
    <row r="449" spans="1:23" s="10" customFormat="1">
      <c r="A449" s="253"/>
      <c r="B449" s="246"/>
      <c r="C449" s="247"/>
      <c r="D449" s="246"/>
      <c r="E449" s="246"/>
      <c r="F449" s="257" t="str">
        <f>IF($G$1,"",IF(COUNTIF(A449:E449,"")=5,"",IF(G449,入力リスト!$K$28,IF(OR(A449="",B449="",IF(COUNTIF($C$3,"*不要*"),"",C449=""),D449=""),IF(A449="","従業員番号","")&amp;IF(B449="","「雇用形態」","")&amp;IF(OR(入力シート!$J$18=入力リスト!$H$9,入力シート!$J$22=入力リスト!$H$9),IF(C449="","「入社年月日」",""),"")&amp;IF(D449="","「性別」","")&amp;IF(IF(A449="","従業員番号","")&amp;IF(B449="","「雇用形態」","")&amp;IF(OR(入力シート!$J$18=入力リスト!$H$9,入力シート!$J$22=入力リスト!$H$9),IF(C449="","「入社年月日」",""),"")&amp;IF(D449="","「性別」","")="","",入力リスト!$K$29),IF(J449,入力リスト!$K$30,"")&amp;IF(I449,入力リスト!$K$31,"")&amp;IF(H449,"「雇用形態」","")&amp;IF(K449,"「性別」","")&amp;IF(L449,"「役職」","")&amp;IF(OR(H449,K449,L449),入力リスト!$K$32,"")))))</f>
        <v/>
      </c>
      <c r="G449" s="209" t="b">
        <f>COUNTIF($A$4:A448,$A449)&gt;0</f>
        <v>0</v>
      </c>
      <c r="H449" s="210" t="b">
        <f>IF($H$1,FALSE,COUNTIF(入力シート!$S$37:$V$62,B449)=0)</f>
        <v>0</v>
      </c>
      <c r="I449" s="210" t="b">
        <f t="shared" si="14"/>
        <v>0</v>
      </c>
      <c r="J449" s="210" t="b">
        <f>IF($J$1,FALSE,IF(I449=TRUE,FALSE,IF(I449,FALSE,C449&gt;入力シート!$J$24)))</f>
        <v>0</v>
      </c>
      <c r="K449" s="210" t="b">
        <f>IF($K$1,FALSE,COUNTIF(入力シート!$AW$37:$BB$38,D449)=0)</f>
        <v>0</v>
      </c>
      <c r="L449" s="210" t="b">
        <f>IF($L$1,FALSE,IF($L$3,FALSE,IF(E449="",FALSE,COUNTIF(入力シート!$AH$37:$AK$62,E449)=0)))</f>
        <v>0</v>
      </c>
      <c r="M449" s="211" t="str">
        <f t="shared" si="13"/>
        <v/>
      </c>
      <c r="N449" s="211"/>
      <c r="O449" s="209" t="str">
        <f>IF(B449="","",VLOOKUP('従業員情報(給与以外)'!$B449,入力シート!$S$37:$Z$62,5,0))</f>
        <v/>
      </c>
      <c r="P449" s="156" t="str">
        <f>IF(ISNUMBER(C449)=FALSE,"",IF(C449&gt;入力シート!$J$24,"",_xlfn.DAYS(入力シート!$J$24,'従業員情報(給与以外)'!$C449)/365))</f>
        <v/>
      </c>
      <c r="Q449" s="210" t="str">
        <f>IF(P449="","",VLOOKUP(_xlfn.DAYS(入力シート!$J$24,'従業員情報(給与以外)'!$C449)/365,入力リスト!$K$18:$L$26,2,2))</f>
        <v/>
      </c>
      <c r="R449" s="209" t="str">
        <f>IF(D449="","",VLOOKUP('従業員情報(給与以外)'!$D449,入力シート!$AW$37:$BB$38,4,0))</f>
        <v/>
      </c>
      <c r="S449" s="209" t="str">
        <f>IF(A449="","",IF(E449="","非役職",VLOOKUP('従業員情報(給与以外)'!$E449,入力シート!$AH$37:$AO$62,5,0)))</f>
        <v/>
      </c>
      <c r="T449" s="102" t="str">
        <f>IF(OR(入力シート!$C$5&lt;&gt;入力リスト!$C$3,COUNTIF(入力シート!$J$16:$S$23,入力リスト!$H$9)=0),"",IF($A449="","",IF(ISERROR(AVERAGEIF(従業員の給与情報!$B:$B,$A449,従業員の給与情報!$C:$C)),0,IF(ISERROR(AVERAGEIF(従業員の給与情報!$B:$B,$A449,従業員の給与情報!$C:$C)),0,AVERAGEIF(従業員の給与情報!$B:$B,$A449,従業員の給与情報!$C:$C)))))</f>
        <v/>
      </c>
      <c r="U449" s="102" t="str">
        <f>IF(OR(入力シート!$C$5&lt;&gt;入力リスト!$C$3,COUNTIF(入力シート!$J$16:$S$23,入力リスト!$H$9)=0),"",IF(A449="","",IF(ISERROR(AVERAGEIF(従業員の給与情報!$B:$B,$A449,従業員の給与情報!$D:$D)),0,IF(ISERROR(AVERAGEIF(従業員の給与情報!$B:$B,$A449,従業員の給与情報!$D:$D)),0,AVERAGEIF(従業員の給与情報!$B:$B,$A449,従業員の給与情報!$D:$D)))))</f>
        <v/>
      </c>
      <c r="V449" s="102" t="str">
        <f>IF(OR(入力シート!$C$5&lt;&gt;入力リスト!$C$3,COUNTIF(入力シート!$J$16:$S$23,入力リスト!$H$9)=0),"",IF(A449="","",IF(ISERROR(AVERAGEIF(従業員の給与情報!$B:$B,$A449,従業員の給与情報!$E:$E)),0,IF(ISERROR(AVERAGEIF(従業員の給与情報!$B:$B,$A449,従業員の給与情報!$E:$E)),0,AVERAGEIF(従業員の給与情報!$B:$B,$A449,従業員の給与情報!$E:$E)))))</f>
        <v/>
      </c>
      <c r="W449" s="103" t="str">
        <f>IF(OR(入力シート!$C$5&lt;&gt;入力リスト!$C$3,COUNTIF(入力シート!$J$16:$S$23,入力リスト!$H$9)=0),"",IF(A449="","",IF(ISERROR(AVERAGEIF(従業員の給与情報!$B:$B,$A449,従業員の給与情報!$F:$F)),0,IF(ISERROR(AVERAGEIF(従業員の給与情報!$B:$B,$A449,従業員の給与情報!$F:$F)),0,AVERAGEIF(従業員の給与情報!$B:$B,$A449,従業員の給与情報!$F:$F)))))</f>
        <v/>
      </c>
    </row>
    <row r="450" spans="1:23" s="10" customFormat="1">
      <c r="A450" s="253"/>
      <c r="B450" s="246"/>
      <c r="C450" s="247"/>
      <c r="D450" s="246"/>
      <c r="E450" s="246"/>
      <c r="F450" s="257" t="str">
        <f>IF($G$1,"",IF(COUNTIF(A450:E450,"")=5,"",IF(G450,入力リスト!$K$28,IF(OR(A450="",B450="",IF(COUNTIF($C$3,"*不要*"),"",C450=""),D450=""),IF(A450="","従業員番号","")&amp;IF(B450="","「雇用形態」","")&amp;IF(OR(入力シート!$J$18=入力リスト!$H$9,入力シート!$J$22=入力リスト!$H$9),IF(C450="","「入社年月日」",""),"")&amp;IF(D450="","「性別」","")&amp;IF(IF(A450="","従業員番号","")&amp;IF(B450="","「雇用形態」","")&amp;IF(OR(入力シート!$J$18=入力リスト!$H$9,入力シート!$J$22=入力リスト!$H$9),IF(C450="","「入社年月日」",""),"")&amp;IF(D450="","「性別」","")="","",入力リスト!$K$29),IF(J450,入力リスト!$K$30,"")&amp;IF(I450,入力リスト!$K$31,"")&amp;IF(H450,"「雇用形態」","")&amp;IF(K450,"「性別」","")&amp;IF(L450,"「役職」","")&amp;IF(OR(H450,K450,L450),入力リスト!$K$32,"")))))</f>
        <v/>
      </c>
      <c r="G450" s="209" t="b">
        <f>COUNTIF($A$4:A449,$A450)&gt;0</f>
        <v>0</v>
      </c>
      <c r="H450" s="210" t="b">
        <f>IF($H$1,FALSE,COUNTIF(入力シート!$S$37:$V$62,B450)=0)</f>
        <v>0</v>
      </c>
      <c r="I450" s="210" t="b">
        <f t="shared" si="14"/>
        <v>0</v>
      </c>
      <c r="J450" s="210" t="b">
        <f>IF($J$1,FALSE,IF(I450=TRUE,FALSE,IF(I450,FALSE,C450&gt;入力シート!$J$24)))</f>
        <v>0</v>
      </c>
      <c r="K450" s="210" t="b">
        <f>IF($K$1,FALSE,COUNTIF(入力シート!$AW$37:$BB$38,D450)=0)</f>
        <v>0</v>
      </c>
      <c r="L450" s="210" t="b">
        <f>IF($L$1,FALSE,IF($L$3,FALSE,IF(E450="",FALSE,COUNTIF(入力シート!$AH$37:$AK$62,E450)=0)))</f>
        <v>0</v>
      </c>
      <c r="M450" s="211" t="str">
        <f t="shared" si="13"/>
        <v/>
      </c>
      <c r="N450" s="211"/>
      <c r="O450" s="209" t="str">
        <f>IF(B450="","",VLOOKUP('従業員情報(給与以外)'!$B450,入力シート!$S$37:$Z$62,5,0))</f>
        <v/>
      </c>
      <c r="P450" s="156" t="str">
        <f>IF(ISNUMBER(C450)=FALSE,"",IF(C450&gt;入力シート!$J$24,"",_xlfn.DAYS(入力シート!$J$24,'従業員情報(給与以外)'!$C450)/365))</f>
        <v/>
      </c>
      <c r="Q450" s="210" t="str">
        <f>IF(P450="","",VLOOKUP(_xlfn.DAYS(入力シート!$J$24,'従業員情報(給与以外)'!$C450)/365,入力リスト!$K$18:$L$26,2,2))</f>
        <v/>
      </c>
      <c r="R450" s="209" t="str">
        <f>IF(D450="","",VLOOKUP('従業員情報(給与以外)'!$D450,入力シート!$AW$37:$BB$38,4,0))</f>
        <v/>
      </c>
      <c r="S450" s="209" t="str">
        <f>IF(A450="","",IF(E450="","非役職",VLOOKUP('従業員情報(給与以外)'!$E450,入力シート!$AH$37:$AO$62,5,0)))</f>
        <v/>
      </c>
      <c r="T450" s="102" t="str">
        <f>IF(OR(入力シート!$C$5&lt;&gt;入力リスト!$C$3,COUNTIF(入力シート!$J$16:$S$23,入力リスト!$H$9)=0),"",IF($A450="","",IF(ISERROR(AVERAGEIF(従業員の給与情報!$B:$B,$A450,従業員の給与情報!$C:$C)),0,IF(ISERROR(AVERAGEIF(従業員の給与情報!$B:$B,$A450,従業員の給与情報!$C:$C)),0,AVERAGEIF(従業員の給与情報!$B:$B,$A450,従業員の給与情報!$C:$C)))))</f>
        <v/>
      </c>
      <c r="U450" s="102" t="str">
        <f>IF(OR(入力シート!$C$5&lt;&gt;入力リスト!$C$3,COUNTIF(入力シート!$J$16:$S$23,入力リスト!$H$9)=0),"",IF(A450="","",IF(ISERROR(AVERAGEIF(従業員の給与情報!$B:$B,$A450,従業員の給与情報!$D:$D)),0,IF(ISERROR(AVERAGEIF(従業員の給与情報!$B:$B,$A450,従業員の給与情報!$D:$D)),0,AVERAGEIF(従業員の給与情報!$B:$B,$A450,従業員の給与情報!$D:$D)))))</f>
        <v/>
      </c>
      <c r="V450" s="102" t="str">
        <f>IF(OR(入力シート!$C$5&lt;&gt;入力リスト!$C$3,COUNTIF(入力シート!$J$16:$S$23,入力リスト!$H$9)=0),"",IF(A450="","",IF(ISERROR(AVERAGEIF(従業員の給与情報!$B:$B,$A450,従業員の給与情報!$E:$E)),0,IF(ISERROR(AVERAGEIF(従業員の給与情報!$B:$B,$A450,従業員の給与情報!$E:$E)),0,AVERAGEIF(従業員の給与情報!$B:$B,$A450,従業員の給与情報!$E:$E)))))</f>
        <v/>
      </c>
      <c r="W450" s="103" t="str">
        <f>IF(OR(入力シート!$C$5&lt;&gt;入力リスト!$C$3,COUNTIF(入力シート!$J$16:$S$23,入力リスト!$H$9)=0),"",IF(A450="","",IF(ISERROR(AVERAGEIF(従業員の給与情報!$B:$B,$A450,従業員の給与情報!$F:$F)),0,IF(ISERROR(AVERAGEIF(従業員の給与情報!$B:$B,$A450,従業員の給与情報!$F:$F)),0,AVERAGEIF(従業員の給与情報!$B:$B,$A450,従業員の給与情報!$F:$F)))))</f>
        <v/>
      </c>
    </row>
    <row r="451" spans="1:23" s="10" customFormat="1">
      <c r="A451" s="253"/>
      <c r="B451" s="246"/>
      <c r="C451" s="247"/>
      <c r="D451" s="246"/>
      <c r="E451" s="246"/>
      <c r="F451" s="257" t="str">
        <f>IF($G$1,"",IF(COUNTIF(A451:E451,"")=5,"",IF(G451,入力リスト!$K$28,IF(OR(A451="",B451="",IF(COUNTIF($C$3,"*不要*"),"",C451=""),D451=""),IF(A451="","従業員番号","")&amp;IF(B451="","「雇用形態」","")&amp;IF(OR(入力シート!$J$18=入力リスト!$H$9,入力シート!$J$22=入力リスト!$H$9),IF(C451="","「入社年月日」",""),"")&amp;IF(D451="","「性別」","")&amp;IF(IF(A451="","従業員番号","")&amp;IF(B451="","「雇用形態」","")&amp;IF(OR(入力シート!$J$18=入力リスト!$H$9,入力シート!$J$22=入力リスト!$H$9),IF(C451="","「入社年月日」",""),"")&amp;IF(D451="","「性別」","")="","",入力リスト!$K$29),IF(J451,入力リスト!$K$30,"")&amp;IF(I451,入力リスト!$K$31,"")&amp;IF(H451,"「雇用形態」","")&amp;IF(K451,"「性別」","")&amp;IF(L451,"「役職」","")&amp;IF(OR(H451,K451,L451),入力リスト!$K$32,"")))))</f>
        <v/>
      </c>
      <c r="G451" s="209" t="b">
        <f>COUNTIF($A$4:A450,$A451)&gt;0</f>
        <v>0</v>
      </c>
      <c r="H451" s="210" t="b">
        <f>IF($H$1,FALSE,COUNTIF(入力シート!$S$37:$V$62,B451)=0)</f>
        <v>0</v>
      </c>
      <c r="I451" s="210" t="b">
        <f t="shared" si="14"/>
        <v>0</v>
      </c>
      <c r="J451" s="210" t="b">
        <f>IF($J$1,FALSE,IF(I451=TRUE,FALSE,IF(I451,FALSE,C451&gt;入力シート!$J$24)))</f>
        <v>0</v>
      </c>
      <c r="K451" s="210" t="b">
        <f>IF($K$1,FALSE,COUNTIF(入力シート!$AW$37:$BB$38,D451)=0)</f>
        <v>0</v>
      </c>
      <c r="L451" s="210" t="b">
        <f>IF($L$1,FALSE,IF($L$3,FALSE,IF(E451="",FALSE,COUNTIF(入力シート!$AH$37:$AK$62,E451)=0)))</f>
        <v>0</v>
      </c>
      <c r="M451" s="211" t="str">
        <f t="shared" si="13"/>
        <v/>
      </c>
      <c r="N451" s="211"/>
      <c r="O451" s="209" t="str">
        <f>IF(B451="","",VLOOKUP('従業員情報(給与以外)'!$B451,入力シート!$S$37:$Z$62,5,0))</f>
        <v/>
      </c>
      <c r="P451" s="156" t="str">
        <f>IF(ISNUMBER(C451)=FALSE,"",IF(C451&gt;入力シート!$J$24,"",_xlfn.DAYS(入力シート!$J$24,'従業員情報(給与以外)'!$C451)/365))</f>
        <v/>
      </c>
      <c r="Q451" s="210" t="str">
        <f>IF(P451="","",VLOOKUP(_xlfn.DAYS(入力シート!$J$24,'従業員情報(給与以外)'!$C451)/365,入力リスト!$K$18:$L$26,2,2))</f>
        <v/>
      </c>
      <c r="R451" s="209" t="str">
        <f>IF(D451="","",VLOOKUP('従業員情報(給与以外)'!$D451,入力シート!$AW$37:$BB$38,4,0))</f>
        <v/>
      </c>
      <c r="S451" s="209" t="str">
        <f>IF(A451="","",IF(E451="","非役職",VLOOKUP('従業員情報(給与以外)'!$E451,入力シート!$AH$37:$AO$62,5,0)))</f>
        <v/>
      </c>
      <c r="T451" s="102" t="str">
        <f>IF(OR(入力シート!$C$5&lt;&gt;入力リスト!$C$3,COUNTIF(入力シート!$J$16:$S$23,入力リスト!$H$9)=0),"",IF($A451="","",IF(ISERROR(AVERAGEIF(従業員の給与情報!$B:$B,$A451,従業員の給与情報!$C:$C)),0,IF(ISERROR(AVERAGEIF(従業員の給与情報!$B:$B,$A451,従業員の給与情報!$C:$C)),0,AVERAGEIF(従業員の給与情報!$B:$B,$A451,従業員の給与情報!$C:$C)))))</f>
        <v/>
      </c>
      <c r="U451" s="102" t="str">
        <f>IF(OR(入力シート!$C$5&lt;&gt;入力リスト!$C$3,COUNTIF(入力シート!$J$16:$S$23,入力リスト!$H$9)=0),"",IF(A451="","",IF(ISERROR(AVERAGEIF(従業員の給与情報!$B:$B,$A451,従業員の給与情報!$D:$D)),0,IF(ISERROR(AVERAGEIF(従業員の給与情報!$B:$B,$A451,従業員の給与情報!$D:$D)),0,AVERAGEIF(従業員の給与情報!$B:$B,$A451,従業員の給与情報!$D:$D)))))</f>
        <v/>
      </c>
      <c r="V451" s="102" t="str">
        <f>IF(OR(入力シート!$C$5&lt;&gt;入力リスト!$C$3,COUNTIF(入力シート!$J$16:$S$23,入力リスト!$H$9)=0),"",IF(A451="","",IF(ISERROR(AVERAGEIF(従業員の給与情報!$B:$B,$A451,従業員の給与情報!$E:$E)),0,IF(ISERROR(AVERAGEIF(従業員の給与情報!$B:$B,$A451,従業員の給与情報!$E:$E)),0,AVERAGEIF(従業員の給与情報!$B:$B,$A451,従業員の給与情報!$E:$E)))))</f>
        <v/>
      </c>
      <c r="W451" s="103" t="str">
        <f>IF(OR(入力シート!$C$5&lt;&gt;入力リスト!$C$3,COUNTIF(入力シート!$J$16:$S$23,入力リスト!$H$9)=0),"",IF(A451="","",IF(ISERROR(AVERAGEIF(従業員の給与情報!$B:$B,$A451,従業員の給与情報!$F:$F)),0,IF(ISERROR(AVERAGEIF(従業員の給与情報!$B:$B,$A451,従業員の給与情報!$F:$F)),0,AVERAGEIF(従業員の給与情報!$B:$B,$A451,従業員の給与情報!$F:$F)))))</f>
        <v/>
      </c>
    </row>
    <row r="452" spans="1:23" s="10" customFormat="1">
      <c r="A452" s="253"/>
      <c r="B452" s="246"/>
      <c r="C452" s="247"/>
      <c r="D452" s="246"/>
      <c r="E452" s="246"/>
      <c r="F452" s="257" t="str">
        <f>IF($G$1,"",IF(COUNTIF(A452:E452,"")=5,"",IF(G452,入力リスト!$K$28,IF(OR(A452="",B452="",IF(COUNTIF($C$3,"*不要*"),"",C452=""),D452=""),IF(A452="","従業員番号","")&amp;IF(B452="","「雇用形態」","")&amp;IF(OR(入力シート!$J$18=入力リスト!$H$9,入力シート!$J$22=入力リスト!$H$9),IF(C452="","「入社年月日」",""),"")&amp;IF(D452="","「性別」","")&amp;IF(IF(A452="","従業員番号","")&amp;IF(B452="","「雇用形態」","")&amp;IF(OR(入力シート!$J$18=入力リスト!$H$9,入力シート!$J$22=入力リスト!$H$9),IF(C452="","「入社年月日」",""),"")&amp;IF(D452="","「性別」","")="","",入力リスト!$K$29),IF(J452,入力リスト!$K$30,"")&amp;IF(I452,入力リスト!$K$31,"")&amp;IF(H452,"「雇用形態」","")&amp;IF(K452,"「性別」","")&amp;IF(L452,"「役職」","")&amp;IF(OR(H452,K452,L452),入力リスト!$K$32,"")))))</f>
        <v/>
      </c>
      <c r="G452" s="209" t="b">
        <f>COUNTIF($A$4:A451,$A452)&gt;0</f>
        <v>0</v>
      </c>
      <c r="H452" s="210" t="b">
        <f>IF($H$1,FALSE,COUNTIF(入力シート!$S$37:$V$62,B452)=0)</f>
        <v>0</v>
      </c>
      <c r="I452" s="210" t="b">
        <f t="shared" si="14"/>
        <v>0</v>
      </c>
      <c r="J452" s="210" t="b">
        <f>IF($J$1,FALSE,IF(I452=TRUE,FALSE,IF(I452,FALSE,C452&gt;入力シート!$J$24)))</f>
        <v>0</v>
      </c>
      <c r="K452" s="210" t="b">
        <f>IF($K$1,FALSE,COUNTIF(入力シート!$AW$37:$BB$38,D452)=0)</f>
        <v>0</v>
      </c>
      <c r="L452" s="210" t="b">
        <f>IF($L$1,FALSE,IF($L$3,FALSE,IF(E452="",FALSE,COUNTIF(入力シート!$AH$37:$AK$62,E452)=0)))</f>
        <v>0</v>
      </c>
      <c r="M452" s="211" t="str">
        <f t="shared" ref="M452:M501" si="15">IF(COUNTIF(F452,"*入社年月日に数値以外*"),"※1900/0/0以前は数値として認識されません。","")</f>
        <v/>
      </c>
      <c r="N452" s="211"/>
      <c r="O452" s="209" t="str">
        <f>IF(B452="","",VLOOKUP('従業員情報(給与以外)'!$B452,入力シート!$S$37:$Z$62,5,0))</f>
        <v/>
      </c>
      <c r="P452" s="156" t="str">
        <f>IF(ISNUMBER(C452)=FALSE,"",IF(C452&gt;入力シート!$J$24,"",_xlfn.DAYS(入力シート!$J$24,'従業員情報(給与以外)'!$C452)/365))</f>
        <v/>
      </c>
      <c r="Q452" s="210" t="str">
        <f>IF(P452="","",VLOOKUP(_xlfn.DAYS(入力シート!$J$24,'従業員情報(給与以外)'!$C452)/365,入力リスト!$K$18:$L$26,2,2))</f>
        <v/>
      </c>
      <c r="R452" s="209" t="str">
        <f>IF(D452="","",VLOOKUP('従業員情報(給与以外)'!$D452,入力シート!$AW$37:$BB$38,4,0))</f>
        <v/>
      </c>
      <c r="S452" s="209" t="str">
        <f>IF(A452="","",IF(E452="","非役職",VLOOKUP('従業員情報(給与以外)'!$E452,入力シート!$AH$37:$AO$62,5,0)))</f>
        <v/>
      </c>
      <c r="T452" s="102" t="str">
        <f>IF(OR(入力シート!$C$5&lt;&gt;入力リスト!$C$3,COUNTIF(入力シート!$J$16:$S$23,入力リスト!$H$9)=0),"",IF($A452="","",IF(ISERROR(AVERAGEIF(従業員の給与情報!$B:$B,$A452,従業員の給与情報!$C:$C)),0,IF(ISERROR(AVERAGEIF(従業員の給与情報!$B:$B,$A452,従業員の給与情報!$C:$C)),0,AVERAGEIF(従業員の給与情報!$B:$B,$A452,従業員の給与情報!$C:$C)))))</f>
        <v/>
      </c>
      <c r="U452" s="102" t="str">
        <f>IF(OR(入力シート!$C$5&lt;&gt;入力リスト!$C$3,COUNTIF(入力シート!$J$16:$S$23,入力リスト!$H$9)=0),"",IF(A452="","",IF(ISERROR(AVERAGEIF(従業員の給与情報!$B:$B,$A452,従業員の給与情報!$D:$D)),0,IF(ISERROR(AVERAGEIF(従業員の給与情報!$B:$B,$A452,従業員の給与情報!$D:$D)),0,AVERAGEIF(従業員の給与情報!$B:$B,$A452,従業員の給与情報!$D:$D)))))</f>
        <v/>
      </c>
      <c r="V452" s="102" t="str">
        <f>IF(OR(入力シート!$C$5&lt;&gt;入力リスト!$C$3,COUNTIF(入力シート!$J$16:$S$23,入力リスト!$H$9)=0),"",IF(A452="","",IF(ISERROR(AVERAGEIF(従業員の給与情報!$B:$B,$A452,従業員の給与情報!$E:$E)),0,IF(ISERROR(AVERAGEIF(従業員の給与情報!$B:$B,$A452,従業員の給与情報!$E:$E)),0,AVERAGEIF(従業員の給与情報!$B:$B,$A452,従業員の給与情報!$E:$E)))))</f>
        <v/>
      </c>
      <c r="W452" s="103" t="str">
        <f>IF(OR(入力シート!$C$5&lt;&gt;入力リスト!$C$3,COUNTIF(入力シート!$J$16:$S$23,入力リスト!$H$9)=0),"",IF(A452="","",IF(ISERROR(AVERAGEIF(従業員の給与情報!$B:$B,$A452,従業員の給与情報!$F:$F)),0,IF(ISERROR(AVERAGEIF(従業員の給与情報!$B:$B,$A452,従業員の給与情報!$F:$F)),0,AVERAGEIF(従業員の給与情報!$B:$B,$A452,従業員の給与情報!$F:$F)))))</f>
        <v/>
      </c>
    </row>
    <row r="453" spans="1:23" s="10" customFormat="1">
      <c r="A453" s="253"/>
      <c r="B453" s="246"/>
      <c r="C453" s="247"/>
      <c r="D453" s="246"/>
      <c r="E453" s="246"/>
      <c r="F453" s="257" t="str">
        <f>IF($G$1,"",IF(COUNTIF(A453:E453,"")=5,"",IF(G453,入力リスト!$K$28,IF(OR(A453="",B453="",IF(COUNTIF($C$3,"*不要*"),"",C453=""),D453=""),IF(A453="","従業員番号","")&amp;IF(B453="","「雇用形態」","")&amp;IF(OR(入力シート!$J$18=入力リスト!$H$9,入力シート!$J$22=入力リスト!$H$9),IF(C453="","「入社年月日」",""),"")&amp;IF(D453="","「性別」","")&amp;IF(IF(A453="","従業員番号","")&amp;IF(B453="","「雇用形態」","")&amp;IF(OR(入力シート!$J$18=入力リスト!$H$9,入力シート!$J$22=入力リスト!$H$9),IF(C453="","「入社年月日」",""),"")&amp;IF(D453="","「性別」","")="","",入力リスト!$K$29),IF(J453,入力リスト!$K$30,"")&amp;IF(I453,入力リスト!$K$31,"")&amp;IF(H453,"「雇用形態」","")&amp;IF(K453,"「性別」","")&amp;IF(L453,"「役職」","")&amp;IF(OR(H453,K453,L453),入力リスト!$K$32,"")))))</f>
        <v/>
      </c>
      <c r="G453" s="209" t="b">
        <f>COUNTIF($A$4:A452,$A453)&gt;0</f>
        <v>0</v>
      </c>
      <c r="H453" s="210" t="b">
        <f>IF($H$1,FALSE,COUNTIF(入力シート!$S$37:$V$62,B453)=0)</f>
        <v>0</v>
      </c>
      <c r="I453" s="210" t="b">
        <f t="shared" si="14"/>
        <v>0</v>
      </c>
      <c r="J453" s="210" t="b">
        <f>IF($J$1,FALSE,IF(I453=TRUE,FALSE,IF(I453,FALSE,C453&gt;入力シート!$J$24)))</f>
        <v>0</v>
      </c>
      <c r="K453" s="210" t="b">
        <f>IF($K$1,FALSE,COUNTIF(入力シート!$AW$37:$BB$38,D453)=0)</f>
        <v>0</v>
      </c>
      <c r="L453" s="210" t="b">
        <f>IF($L$1,FALSE,IF($L$3,FALSE,IF(E453="",FALSE,COUNTIF(入力シート!$AH$37:$AK$62,E453)=0)))</f>
        <v>0</v>
      </c>
      <c r="M453" s="211" t="str">
        <f t="shared" si="15"/>
        <v/>
      </c>
      <c r="N453" s="211"/>
      <c r="O453" s="209" t="str">
        <f>IF(B453="","",VLOOKUP('従業員情報(給与以外)'!$B453,入力シート!$S$37:$Z$62,5,0))</f>
        <v/>
      </c>
      <c r="P453" s="156" t="str">
        <f>IF(ISNUMBER(C453)=FALSE,"",IF(C453&gt;入力シート!$J$24,"",_xlfn.DAYS(入力シート!$J$24,'従業員情報(給与以外)'!$C453)/365))</f>
        <v/>
      </c>
      <c r="Q453" s="210" t="str">
        <f>IF(P453="","",VLOOKUP(_xlfn.DAYS(入力シート!$J$24,'従業員情報(給与以外)'!$C453)/365,入力リスト!$K$18:$L$26,2,2))</f>
        <v/>
      </c>
      <c r="R453" s="209" t="str">
        <f>IF(D453="","",VLOOKUP('従業員情報(給与以外)'!$D453,入力シート!$AW$37:$BB$38,4,0))</f>
        <v/>
      </c>
      <c r="S453" s="209" t="str">
        <f>IF(A453="","",IF(E453="","非役職",VLOOKUP('従業員情報(給与以外)'!$E453,入力シート!$AH$37:$AO$62,5,0)))</f>
        <v/>
      </c>
      <c r="T453" s="102" t="str">
        <f>IF(OR(入力シート!$C$5&lt;&gt;入力リスト!$C$3,COUNTIF(入力シート!$J$16:$S$23,入力リスト!$H$9)=0),"",IF($A453="","",IF(ISERROR(AVERAGEIF(従業員の給与情報!$B:$B,$A453,従業員の給与情報!$C:$C)),0,IF(ISERROR(AVERAGEIF(従業員の給与情報!$B:$B,$A453,従業員の給与情報!$C:$C)),0,AVERAGEIF(従業員の給与情報!$B:$B,$A453,従業員の給与情報!$C:$C)))))</f>
        <v/>
      </c>
      <c r="U453" s="102" t="str">
        <f>IF(OR(入力シート!$C$5&lt;&gt;入力リスト!$C$3,COUNTIF(入力シート!$J$16:$S$23,入力リスト!$H$9)=0),"",IF(A453="","",IF(ISERROR(AVERAGEIF(従業員の給与情報!$B:$B,$A453,従業員の給与情報!$D:$D)),0,IF(ISERROR(AVERAGEIF(従業員の給与情報!$B:$B,$A453,従業員の給与情報!$D:$D)),0,AVERAGEIF(従業員の給与情報!$B:$B,$A453,従業員の給与情報!$D:$D)))))</f>
        <v/>
      </c>
      <c r="V453" s="102" t="str">
        <f>IF(OR(入力シート!$C$5&lt;&gt;入力リスト!$C$3,COUNTIF(入力シート!$J$16:$S$23,入力リスト!$H$9)=0),"",IF(A453="","",IF(ISERROR(AVERAGEIF(従業員の給与情報!$B:$B,$A453,従業員の給与情報!$E:$E)),0,IF(ISERROR(AVERAGEIF(従業員の給与情報!$B:$B,$A453,従業員の給与情報!$E:$E)),0,AVERAGEIF(従業員の給与情報!$B:$B,$A453,従業員の給与情報!$E:$E)))))</f>
        <v/>
      </c>
      <c r="W453" s="103" t="str">
        <f>IF(OR(入力シート!$C$5&lt;&gt;入力リスト!$C$3,COUNTIF(入力シート!$J$16:$S$23,入力リスト!$H$9)=0),"",IF(A453="","",IF(ISERROR(AVERAGEIF(従業員の給与情報!$B:$B,$A453,従業員の給与情報!$F:$F)),0,IF(ISERROR(AVERAGEIF(従業員の給与情報!$B:$B,$A453,従業員の給与情報!$F:$F)),0,AVERAGEIF(従業員の給与情報!$B:$B,$A453,従業員の給与情報!$F:$F)))))</f>
        <v/>
      </c>
    </row>
    <row r="454" spans="1:23" s="10" customFormat="1">
      <c r="A454" s="253"/>
      <c r="B454" s="246"/>
      <c r="C454" s="247"/>
      <c r="D454" s="246"/>
      <c r="E454" s="246"/>
      <c r="F454" s="257" t="str">
        <f>IF($G$1,"",IF(COUNTIF(A454:E454,"")=5,"",IF(G454,入力リスト!$K$28,IF(OR(A454="",B454="",IF(COUNTIF($C$3,"*不要*"),"",C454=""),D454=""),IF(A454="","従業員番号","")&amp;IF(B454="","「雇用形態」","")&amp;IF(OR(入力シート!$J$18=入力リスト!$H$9,入力シート!$J$22=入力リスト!$H$9),IF(C454="","「入社年月日」",""),"")&amp;IF(D454="","「性別」","")&amp;IF(IF(A454="","従業員番号","")&amp;IF(B454="","「雇用形態」","")&amp;IF(OR(入力シート!$J$18=入力リスト!$H$9,入力シート!$J$22=入力リスト!$H$9),IF(C454="","「入社年月日」",""),"")&amp;IF(D454="","「性別」","")="","",入力リスト!$K$29),IF(J454,入力リスト!$K$30,"")&amp;IF(I454,入力リスト!$K$31,"")&amp;IF(H454,"「雇用形態」","")&amp;IF(K454,"「性別」","")&amp;IF(L454,"「役職」","")&amp;IF(OR(H454,K454,L454),入力リスト!$K$32,"")))))</f>
        <v/>
      </c>
      <c r="G454" s="209" t="b">
        <f>COUNTIF($A$4:A453,$A454)&gt;0</f>
        <v>0</v>
      </c>
      <c r="H454" s="210" t="b">
        <f>IF($H$1,FALSE,COUNTIF(入力シート!$S$37:$V$62,B454)=0)</f>
        <v>0</v>
      </c>
      <c r="I454" s="210" t="b">
        <f t="shared" ref="I454:I502" si="16">IF($I$1,IF(ISNUMBER(C454),FALSE,TRUE),FALSE)</f>
        <v>0</v>
      </c>
      <c r="J454" s="210" t="b">
        <f>IF($J$1,FALSE,IF(I454=TRUE,FALSE,IF(I454,FALSE,C454&gt;入力シート!$J$24)))</f>
        <v>0</v>
      </c>
      <c r="K454" s="210" t="b">
        <f>IF($K$1,FALSE,COUNTIF(入力シート!$AW$37:$BB$38,D454)=0)</f>
        <v>0</v>
      </c>
      <c r="L454" s="210" t="b">
        <f>IF($L$1,FALSE,IF($L$3,FALSE,IF(E454="",FALSE,COUNTIF(入力シート!$AH$37:$AK$62,E454)=0)))</f>
        <v>0</v>
      </c>
      <c r="M454" s="211" t="str">
        <f t="shared" si="15"/>
        <v/>
      </c>
      <c r="N454" s="211"/>
      <c r="O454" s="209" t="str">
        <f>IF(B454="","",VLOOKUP('従業員情報(給与以外)'!$B454,入力シート!$S$37:$Z$62,5,0))</f>
        <v/>
      </c>
      <c r="P454" s="156" t="str">
        <f>IF(ISNUMBER(C454)=FALSE,"",IF(C454&gt;入力シート!$J$24,"",_xlfn.DAYS(入力シート!$J$24,'従業員情報(給与以外)'!$C454)/365))</f>
        <v/>
      </c>
      <c r="Q454" s="210" t="str">
        <f>IF(P454="","",VLOOKUP(_xlfn.DAYS(入力シート!$J$24,'従業員情報(給与以外)'!$C454)/365,入力リスト!$K$18:$L$26,2,2))</f>
        <v/>
      </c>
      <c r="R454" s="209" t="str">
        <f>IF(D454="","",VLOOKUP('従業員情報(給与以外)'!$D454,入力シート!$AW$37:$BB$38,4,0))</f>
        <v/>
      </c>
      <c r="S454" s="209" t="str">
        <f>IF(A454="","",IF(E454="","非役職",VLOOKUP('従業員情報(給与以外)'!$E454,入力シート!$AH$37:$AO$62,5,0)))</f>
        <v/>
      </c>
      <c r="T454" s="102" t="str">
        <f>IF(OR(入力シート!$C$5&lt;&gt;入力リスト!$C$3,COUNTIF(入力シート!$J$16:$S$23,入力リスト!$H$9)=0),"",IF($A454="","",IF(ISERROR(AVERAGEIF(従業員の給与情報!$B:$B,$A454,従業員の給与情報!$C:$C)),0,IF(ISERROR(AVERAGEIF(従業員の給与情報!$B:$B,$A454,従業員の給与情報!$C:$C)),0,AVERAGEIF(従業員の給与情報!$B:$B,$A454,従業員の給与情報!$C:$C)))))</f>
        <v/>
      </c>
      <c r="U454" s="102" t="str">
        <f>IF(OR(入力シート!$C$5&lt;&gt;入力リスト!$C$3,COUNTIF(入力シート!$J$16:$S$23,入力リスト!$H$9)=0),"",IF(A454="","",IF(ISERROR(AVERAGEIF(従業員の給与情報!$B:$B,$A454,従業員の給与情報!$D:$D)),0,IF(ISERROR(AVERAGEIF(従業員の給与情報!$B:$B,$A454,従業員の給与情報!$D:$D)),0,AVERAGEIF(従業員の給与情報!$B:$B,$A454,従業員の給与情報!$D:$D)))))</f>
        <v/>
      </c>
      <c r="V454" s="102" t="str">
        <f>IF(OR(入力シート!$C$5&lt;&gt;入力リスト!$C$3,COUNTIF(入力シート!$J$16:$S$23,入力リスト!$H$9)=0),"",IF(A454="","",IF(ISERROR(AVERAGEIF(従業員の給与情報!$B:$B,$A454,従業員の給与情報!$E:$E)),0,IF(ISERROR(AVERAGEIF(従業員の給与情報!$B:$B,$A454,従業員の給与情報!$E:$E)),0,AVERAGEIF(従業員の給与情報!$B:$B,$A454,従業員の給与情報!$E:$E)))))</f>
        <v/>
      </c>
      <c r="W454" s="103" t="str">
        <f>IF(OR(入力シート!$C$5&lt;&gt;入力リスト!$C$3,COUNTIF(入力シート!$J$16:$S$23,入力リスト!$H$9)=0),"",IF(A454="","",IF(ISERROR(AVERAGEIF(従業員の給与情報!$B:$B,$A454,従業員の給与情報!$F:$F)),0,IF(ISERROR(AVERAGEIF(従業員の給与情報!$B:$B,$A454,従業員の給与情報!$F:$F)),0,AVERAGEIF(従業員の給与情報!$B:$B,$A454,従業員の給与情報!$F:$F)))))</f>
        <v/>
      </c>
    </row>
    <row r="455" spans="1:23" s="10" customFormat="1">
      <c r="A455" s="253"/>
      <c r="B455" s="246"/>
      <c r="C455" s="247"/>
      <c r="D455" s="246"/>
      <c r="E455" s="246"/>
      <c r="F455" s="257" t="str">
        <f>IF($G$1,"",IF(COUNTIF(A455:E455,"")=5,"",IF(G455,入力リスト!$K$28,IF(OR(A455="",B455="",IF(COUNTIF($C$3,"*不要*"),"",C455=""),D455=""),IF(A455="","従業員番号","")&amp;IF(B455="","「雇用形態」","")&amp;IF(OR(入力シート!$J$18=入力リスト!$H$9,入力シート!$J$22=入力リスト!$H$9),IF(C455="","「入社年月日」",""),"")&amp;IF(D455="","「性別」","")&amp;IF(IF(A455="","従業員番号","")&amp;IF(B455="","「雇用形態」","")&amp;IF(OR(入力シート!$J$18=入力リスト!$H$9,入力シート!$J$22=入力リスト!$H$9),IF(C455="","「入社年月日」",""),"")&amp;IF(D455="","「性別」","")="","",入力リスト!$K$29),IF(J455,入力リスト!$K$30,"")&amp;IF(I455,入力リスト!$K$31,"")&amp;IF(H455,"「雇用形態」","")&amp;IF(K455,"「性別」","")&amp;IF(L455,"「役職」","")&amp;IF(OR(H455,K455,L455),入力リスト!$K$32,"")))))</f>
        <v/>
      </c>
      <c r="G455" s="209" t="b">
        <f>COUNTIF($A$4:A454,$A455)&gt;0</f>
        <v>0</v>
      </c>
      <c r="H455" s="210" t="b">
        <f>IF($H$1,FALSE,COUNTIF(入力シート!$S$37:$V$62,B455)=0)</f>
        <v>0</v>
      </c>
      <c r="I455" s="210" t="b">
        <f t="shared" si="16"/>
        <v>0</v>
      </c>
      <c r="J455" s="210" t="b">
        <f>IF($J$1,FALSE,IF(I455=TRUE,FALSE,IF(I455,FALSE,C455&gt;入力シート!$J$24)))</f>
        <v>0</v>
      </c>
      <c r="K455" s="210" t="b">
        <f>IF($K$1,FALSE,COUNTIF(入力シート!$AW$37:$BB$38,D455)=0)</f>
        <v>0</v>
      </c>
      <c r="L455" s="210" t="b">
        <f>IF($L$1,FALSE,IF($L$3,FALSE,IF(E455="",FALSE,COUNTIF(入力シート!$AH$37:$AK$62,E455)=0)))</f>
        <v>0</v>
      </c>
      <c r="M455" s="211" t="str">
        <f t="shared" si="15"/>
        <v/>
      </c>
      <c r="N455" s="211"/>
      <c r="O455" s="209" t="str">
        <f>IF(B455="","",VLOOKUP('従業員情報(給与以外)'!$B455,入力シート!$S$37:$Z$62,5,0))</f>
        <v/>
      </c>
      <c r="P455" s="156" t="str">
        <f>IF(ISNUMBER(C455)=FALSE,"",IF(C455&gt;入力シート!$J$24,"",_xlfn.DAYS(入力シート!$J$24,'従業員情報(給与以外)'!$C455)/365))</f>
        <v/>
      </c>
      <c r="Q455" s="210" t="str">
        <f>IF(P455="","",VLOOKUP(_xlfn.DAYS(入力シート!$J$24,'従業員情報(給与以外)'!$C455)/365,入力リスト!$K$18:$L$26,2,2))</f>
        <v/>
      </c>
      <c r="R455" s="209" t="str">
        <f>IF(D455="","",VLOOKUP('従業員情報(給与以外)'!$D455,入力シート!$AW$37:$BB$38,4,0))</f>
        <v/>
      </c>
      <c r="S455" s="209" t="str">
        <f>IF(A455="","",IF(E455="","非役職",VLOOKUP('従業員情報(給与以外)'!$E455,入力シート!$AH$37:$AO$62,5,0)))</f>
        <v/>
      </c>
      <c r="T455" s="102" t="str">
        <f>IF(OR(入力シート!$C$5&lt;&gt;入力リスト!$C$3,COUNTIF(入力シート!$J$16:$S$23,入力リスト!$H$9)=0),"",IF($A455="","",IF(ISERROR(AVERAGEIF(従業員の給与情報!$B:$B,$A455,従業員の給与情報!$C:$C)),0,IF(ISERROR(AVERAGEIF(従業員の給与情報!$B:$B,$A455,従業員の給与情報!$C:$C)),0,AVERAGEIF(従業員の給与情報!$B:$B,$A455,従業員の給与情報!$C:$C)))))</f>
        <v/>
      </c>
      <c r="U455" s="102" t="str">
        <f>IF(OR(入力シート!$C$5&lt;&gt;入力リスト!$C$3,COUNTIF(入力シート!$J$16:$S$23,入力リスト!$H$9)=0),"",IF(A455="","",IF(ISERROR(AVERAGEIF(従業員の給与情報!$B:$B,$A455,従業員の給与情報!$D:$D)),0,IF(ISERROR(AVERAGEIF(従業員の給与情報!$B:$B,$A455,従業員の給与情報!$D:$D)),0,AVERAGEIF(従業員の給与情報!$B:$B,$A455,従業員の給与情報!$D:$D)))))</f>
        <v/>
      </c>
      <c r="V455" s="102" t="str">
        <f>IF(OR(入力シート!$C$5&lt;&gt;入力リスト!$C$3,COUNTIF(入力シート!$J$16:$S$23,入力リスト!$H$9)=0),"",IF(A455="","",IF(ISERROR(AVERAGEIF(従業員の給与情報!$B:$B,$A455,従業員の給与情報!$E:$E)),0,IF(ISERROR(AVERAGEIF(従業員の給与情報!$B:$B,$A455,従業員の給与情報!$E:$E)),0,AVERAGEIF(従業員の給与情報!$B:$B,$A455,従業員の給与情報!$E:$E)))))</f>
        <v/>
      </c>
      <c r="W455" s="103" t="str">
        <f>IF(OR(入力シート!$C$5&lt;&gt;入力リスト!$C$3,COUNTIF(入力シート!$J$16:$S$23,入力リスト!$H$9)=0),"",IF(A455="","",IF(ISERROR(AVERAGEIF(従業員の給与情報!$B:$B,$A455,従業員の給与情報!$F:$F)),0,IF(ISERROR(AVERAGEIF(従業員の給与情報!$B:$B,$A455,従業員の給与情報!$F:$F)),0,AVERAGEIF(従業員の給与情報!$B:$B,$A455,従業員の給与情報!$F:$F)))))</f>
        <v/>
      </c>
    </row>
    <row r="456" spans="1:23" s="10" customFormat="1">
      <c r="A456" s="253"/>
      <c r="B456" s="246"/>
      <c r="C456" s="247"/>
      <c r="D456" s="246"/>
      <c r="E456" s="246"/>
      <c r="F456" s="257" t="str">
        <f>IF($G$1,"",IF(COUNTIF(A456:E456,"")=5,"",IF(G456,入力リスト!$K$28,IF(OR(A456="",B456="",IF(COUNTIF($C$3,"*不要*"),"",C456=""),D456=""),IF(A456="","従業員番号","")&amp;IF(B456="","「雇用形態」","")&amp;IF(OR(入力シート!$J$18=入力リスト!$H$9,入力シート!$J$22=入力リスト!$H$9),IF(C456="","「入社年月日」",""),"")&amp;IF(D456="","「性別」","")&amp;IF(IF(A456="","従業員番号","")&amp;IF(B456="","「雇用形態」","")&amp;IF(OR(入力シート!$J$18=入力リスト!$H$9,入力シート!$J$22=入力リスト!$H$9),IF(C456="","「入社年月日」",""),"")&amp;IF(D456="","「性別」","")="","",入力リスト!$K$29),IF(J456,入力リスト!$K$30,"")&amp;IF(I456,入力リスト!$K$31,"")&amp;IF(H456,"「雇用形態」","")&amp;IF(K456,"「性別」","")&amp;IF(L456,"「役職」","")&amp;IF(OR(H456,K456,L456),入力リスト!$K$32,"")))))</f>
        <v/>
      </c>
      <c r="G456" s="209" t="b">
        <f>COUNTIF($A$4:A455,$A456)&gt;0</f>
        <v>0</v>
      </c>
      <c r="H456" s="210" t="b">
        <f>IF($H$1,FALSE,COUNTIF(入力シート!$S$37:$V$62,B456)=0)</f>
        <v>0</v>
      </c>
      <c r="I456" s="210" t="b">
        <f t="shared" si="16"/>
        <v>0</v>
      </c>
      <c r="J456" s="210" t="b">
        <f>IF($J$1,FALSE,IF(I456=TRUE,FALSE,IF(I456,FALSE,C456&gt;入力シート!$J$24)))</f>
        <v>0</v>
      </c>
      <c r="K456" s="210" t="b">
        <f>IF($K$1,FALSE,COUNTIF(入力シート!$AW$37:$BB$38,D456)=0)</f>
        <v>0</v>
      </c>
      <c r="L456" s="210" t="b">
        <f>IF($L$1,FALSE,IF($L$3,FALSE,IF(E456="",FALSE,COUNTIF(入力シート!$AH$37:$AK$62,E456)=0)))</f>
        <v>0</v>
      </c>
      <c r="M456" s="211" t="str">
        <f t="shared" si="15"/>
        <v/>
      </c>
      <c r="N456" s="211"/>
      <c r="O456" s="209" t="str">
        <f>IF(B456="","",VLOOKUP('従業員情報(給与以外)'!$B456,入力シート!$S$37:$Z$62,5,0))</f>
        <v/>
      </c>
      <c r="P456" s="156" t="str">
        <f>IF(ISNUMBER(C456)=FALSE,"",IF(C456&gt;入力シート!$J$24,"",_xlfn.DAYS(入力シート!$J$24,'従業員情報(給与以外)'!$C456)/365))</f>
        <v/>
      </c>
      <c r="Q456" s="210" t="str">
        <f>IF(P456="","",VLOOKUP(_xlfn.DAYS(入力シート!$J$24,'従業員情報(給与以外)'!$C456)/365,入力リスト!$K$18:$L$26,2,2))</f>
        <v/>
      </c>
      <c r="R456" s="209" t="str">
        <f>IF(D456="","",VLOOKUP('従業員情報(給与以外)'!$D456,入力シート!$AW$37:$BB$38,4,0))</f>
        <v/>
      </c>
      <c r="S456" s="209" t="str">
        <f>IF(A456="","",IF(E456="","非役職",VLOOKUP('従業員情報(給与以外)'!$E456,入力シート!$AH$37:$AO$62,5,0)))</f>
        <v/>
      </c>
      <c r="T456" s="102" t="str">
        <f>IF(OR(入力シート!$C$5&lt;&gt;入力リスト!$C$3,COUNTIF(入力シート!$J$16:$S$23,入力リスト!$H$9)=0),"",IF($A456="","",IF(ISERROR(AVERAGEIF(従業員の給与情報!$B:$B,$A456,従業員の給与情報!$C:$C)),0,IF(ISERROR(AVERAGEIF(従業員の給与情報!$B:$B,$A456,従業員の給与情報!$C:$C)),0,AVERAGEIF(従業員の給与情報!$B:$B,$A456,従業員の給与情報!$C:$C)))))</f>
        <v/>
      </c>
      <c r="U456" s="102" t="str">
        <f>IF(OR(入力シート!$C$5&lt;&gt;入力リスト!$C$3,COUNTIF(入力シート!$J$16:$S$23,入力リスト!$H$9)=0),"",IF(A456="","",IF(ISERROR(AVERAGEIF(従業員の給与情報!$B:$B,$A456,従業員の給与情報!$D:$D)),0,IF(ISERROR(AVERAGEIF(従業員の給与情報!$B:$B,$A456,従業員の給与情報!$D:$D)),0,AVERAGEIF(従業員の給与情報!$B:$B,$A456,従業員の給与情報!$D:$D)))))</f>
        <v/>
      </c>
      <c r="V456" s="102" t="str">
        <f>IF(OR(入力シート!$C$5&lt;&gt;入力リスト!$C$3,COUNTIF(入力シート!$J$16:$S$23,入力リスト!$H$9)=0),"",IF(A456="","",IF(ISERROR(AVERAGEIF(従業員の給与情報!$B:$B,$A456,従業員の給与情報!$E:$E)),0,IF(ISERROR(AVERAGEIF(従業員の給与情報!$B:$B,$A456,従業員の給与情報!$E:$E)),0,AVERAGEIF(従業員の給与情報!$B:$B,$A456,従業員の給与情報!$E:$E)))))</f>
        <v/>
      </c>
      <c r="W456" s="103" t="str">
        <f>IF(OR(入力シート!$C$5&lt;&gt;入力リスト!$C$3,COUNTIF(入力シート!$J$16:$S$23,入力リスト!$H$9)=0),"",IF(A456="","",IF(ISERROR(AVERAGEIF(従業員の給与情報!$B:$B,$A456,従業員の給与情報!$F:$F)),0,IF(ISERROR(AVERAGEIF(従業員の給与情報!$B:$B,$A456,従業員の給与情報!$F:$F)),0,AVERAGEIF(従業員の給与情報!$B:$B,$A456,従業員の給与情報!$F:$F)))))</f>
        <v/>
      </c>
    </row>
    <row r="457" spans="1:23" s="10" customFormat="1">
      <c r="A457" s="253"/>
      <c r="B457" s="246"/>
      <c r="C457" s="247"/>
      <c r="D457" s="246"/>
      <c r="E457" s="246"/>
      <c r="F457" s="257" t="str">
        <f>IF($G$1,"",IF(COUNTIF(A457:E457,"")=5,"",IF(G457,入力リスト!$K$28,IF(OR(A457="",B457="",IF(COUNTIF($C$3,"*不要*"),"",C457=""),D457=""),IF(A457="","従業員番号","")&amp;IF(B457="","「雇用形態」","")&amp;IF(OR(入力シート!$J$18=入力リスト!$H$9,入力シート!$J$22=入力リスト!$H$9),IF(C457="","「入社年月日」",""),"")&amp;IF(D457="","「性別」","")&amp;IF(IF(A457="","従業員番号","")&amp;IF(B457="","「雇用形態」","")&amp;IF(OR(入力シート!$J$18=入力リスト!$H$9,入力シート!$J$22=入力リスト!$H$9),IF(C457="","「入社年月日」",""),"")&amp;IF(D457="","「性別」","")="","",入力リスト!$K$29),IF(J457,入力リスト!$K$30,"")&amp;IF(I457,入力リスト!$K$31,"")&amp;IF(H457,"「雇用形態」","")&amp;IF(K457,"「性別」","")&amp;IF(L457,"「役職」","")&amp;IF(OR(H457,K457,L457),入力リスト!$K$32,"")))))</f>
        <v/>
      </c>
      <c r="G457" s="209" t="b">
        <f>COUNTIF($A$4:A456,$A457)&gt;0</f>
        <v>0</v>
      </c>
      <c r="H457" s="210" t="b">
        <f>IF($H$1,FALSE,COUNTIF(入力シート!$S$37:$V$62,B457)=0)</f>
        <v>0</v>
      </c>
      <c r="I457" s="210" t="b">
        <f t="shared" si="16"/>
        <v>0</v>
      </c>
      <c r="J457" s="210" t="b">
        <f>IF($J$1,FALSE,IF(I457=TRUE,FALSE,IF(I457,FALSE,C457&gt;入力シート!$J$24)))</f>
        <v>0</v>
      </c>
      <c r="K457" s="210" t="b">
        <f>IF($K$1,FALSE,COUNTIF(入力シート!$AW$37:$BB$38,D457)=0)</f>
        <v>0</v>
      </c>
      <c r="L457" s="210" t="b">
        <f>IF($L$1,FALSE,IF($L$3,FALSE,IF(E457="",FALSE,COUNTIF(入力シート!$AH$37:$AK$62,E457)=0)))</f>
        <v>0</v>
      </c>
      <c r="M457" s="211" t="str">
        <f t="shared" si="15"/>
        <v/>
      </c>
      <c r="N457" s="211"/>
      <c r="O457" s="209" t="str">
        <f>IF(B457="","",VLOOKUP('従業員情報(給与以外)'!$B457,入力シート!$S$37:$Z$62,5,0))</f>
        <v/>
      </c>
      <c r="P457" s="156" t="str">
        <f>IF(ISNUMBER(C457)=FALSE,"",IF(C457&gt;入力シート!$J$24,"",_xlfn.DAYS(入力シート!$J$24,'従業員情報(給与以外)'!$C457)/365))</f>
        <v/>
      </c>
      <c r="Q457" s="210" t="str">
        <f>IF(P457="","",VLOOKUP(_xlfn.DAYS(入力シート!$J$24,'従業員情報(給与以外)'!$C457)/365,入力リスト!$K$18:$L$26,2,2))</f>
        <v/>
      </c>
      <c r="R457" s="209" t="str">
        <f>IF(D457="","",VLOOKUP('従業員情報(給与以外)'!$D457,入力シート!$AW$37:$BB$38,4,0))</f>
        <v/>
      </c>
      <c r="S457" s="209" t="str">
        <f>IF(A457="","",IF(E457="","非役職",VLOOKUP('従業員情報(給与以外)'!$E457,入力シート!$AH$37:$AO$62,5,0)))</f>
        <v/>
      </c>
      <c r="T457" s="102" t="str">
        <f>IF(OR(入力シート!$C$5&lt;&gt;入力リスト!$C$3,COUNTIF(入力シート!$J$16:$S$23,入力リスト!$H$9)=0),"",IF($A457="","",IF(ISERROR(AVERAGEIF(従業員の給与情報!$B:$B,$A457,従業員の給与情報!$C:$C)),0,IF(ISERROR(AVERAGEIF(従業員の給与情報!$B:$B,$A457,従業員の給与情報!$C:$C)),0,AVERAGEIF(従業員の給与情報!$B:$B,$A457,従業員の給与情報!$C:$C)))))</f>
        <v/>
      </c>
      <c r="U457" s="102" t="str">
        <f>IF(OR(入力シート!$C$5&lt;&gt;入力リスト!$C$3,COUNTIF(入力シート!$J$16:$S$23,入力リスト!$H$9)=0),"",IF(A457="","",IF(ISERROR(AVERAGEIF(従業員の給与情報!$B:$B,$A457,従業員の給与情報!$D:$D)),0,IF(ISERROR(AVERAGEIF(従業員の給与情報!$B:$B,$A457,従業員の給与情報!$D:$D)),0,AVERAGEIF(従業員の給与情報!$B:$B,$A457,従業員の給与情報!$D:$D)))))</f>
        <v/>
      </c>
      <c r="V457" s="102" t="str">
        <f>IF(OR(入力シート!$C$5&lt;&gt;入力リスト!$C$3,COUNTIF(入力シート!$J$16:$S$23,入力リスト!$H$9)=0),"",IF(A457="","",IF(ISERROR(AVERAGEIF(従業員の給与情報!$B:$B,$A457,従業員の給与情報!$E:$E)),0,IF(ISERROR(AVERAGEIF(従業員の給与情報!$B:$B,$A457,従業員の給与情報!$E:$E)),0,AVERAGEIF(従業員の給与情報!$B:$B,$A457,従業員の給与情報!$E:$E)))))</f>
        <v/>
      </c>
      <c r="W457" s="103" t="str">
        <f>IF(OR(入力シート!$C$5&lt;&gt;入力リスト!$C$3,COUNTIF(入力シート!$J$16:$S$23,入力リスト!$H$9)=0),"",IF(A457="","",IF(ISERROR(AVERAGEIF(従業員の給与情報!$B:$B,$A457,従業員の給与情報!$F:$F)),0,IF(ISERROR(AVERAGEIF(従業員の給与情報!$B:$B,$A457,従業員の給与情報!$F:$F)),0,AVERAGEIF(従業員の給与情報!$B:$B,$A457,従業員の給与情報!$F:$F)))))</f>
        <v/>
      </c>
    </row>
    <row r="458" spans="1:23" s="10" customFormat="1">
      <c r="A458" s="253"/>
      <c r="B458" s="246"/>
      <c r="C458" s="247"/>
      <c r="D458" s="246"/>
      <c r="E458" s="246"/>
      <c r="F458" s="257" t="str">
        <f>IF($G$1,"",IF(COUNTIF(A458:E458,"")=5,"",IF(G458,入力リスト!$K$28,IF(OR(A458="",B458="",IF(COUNTIF($C$3,"*不要*"),"",C458=""),D458=""),IF(A458="","従業員番号","")&amp;IF(B458="","「雇用形態」","")&amp;IF(OR(入力シート!$J$18=入力リスト!$H$9,入力シート!$J$22=入力リスト!$H$9),IF(C458="","「入社年月日」",""),"")&amp;IF(D458="","「性別」","")&amp;IF(IF(A458="","従業員番号","")&amp;IF(B458="","「雇用形態」","")&amp;IF(OR(入力シート!$J$18=入力リスト!$H$9,入力シート!$J$22=入力リスト!$H$9),IF(C458="","「入社年月日」",""),"")&amp;IF(D458="","「性別」","")="","",入力リスト!$K$29),IF(J458,入力リスト!$K$30,"")&amp;IF(I458,入力リスト!$K$31,"")&amp;IF(H458,"「雇用形態」","")&amp;IF(K458,"「性別」","")&amp;IF(L458,"「役職」","")&amp;IF(OR(H458,K458,L458),入力リスト!$K$32,"")))))</f>
        <v/>
      </c>
      <c r="G458" s="209" t="b">
        <f>COUNTIF($A$4:A457,$A458)&gt;0</f>
        <v>0</v>
      </c>
      <c r="H458" s="210" t="b">
        <f>IF($H$1,FALSE,COUNTIF(入力シート!$S$37:$V$62,B458)=0)</f>
        <v>0</v>
      </c>
      <c r="I458" s="210" t="b">
        <f t="shared" si="16"/>
        <v>0</v>
      </c>
      <c r="J458" s="210" t="b">
        <f>IF($J$1,FALSE,IF(I458=TRUE,FALSE,IF(I458,FALSE,C458&gt;入力シート!$J$24)))</f>
        <v>0</v>
      </c>
      <c r="K458" s="210" t="b">
        <f>IF($K$1,FALSE,COUNTIF(入力シート!$AW$37:$BB$38,D458)=0)</f>
        <v>0</v>
      </c>
      <c r="L458" s="210" t="b">
        <f>IF($L$1,FALSE,IF($L$3,FALSE,IF(E458="",FALSE,COUNTIF(入力シート!$AH$37:$AK$62,E458)=0)))</f>
        <v>0</v>
      </c>
      <c r="M458" s="211" t="str">
        <f t="shared" si="15"/>
        <v/>
      </c>
      <c r="N458" s="211"/>
      <c r="O458" s="209" t="str">
        <f>IF(B458="","",VLOOKUP('従業員情報(給与以外)'!$B458,入力シート!$S$37:$Z$62,5,0))</f>
        <v/>
      </c>
      <c r="P458" s="156" t="str">
        <f>IF(ISNUMBER(C458)=FALSE,"",IF(C458&gt;入力シート!$J$24,"",_xlfn.DAYS(入力シート!$J$24,'従業員情報(給与以外)'!$C458)/365))</f>
        <v/>
      </c>
      <c r="Q458" s="210" t="str">
        <f>IF(P458="","",VLOOKUP(_xlfn.DAYS(入力シート!$J$24,'従業員情報(給与以外)'!$C458)/365,入力リスト!$K$18:$L$26,2,2))</f>
        <v/>
      </c>
      <c r="R458" s="209" t="str">
        <f>IF(D458="","",VLOOKUP('従業員情報(給与以外)'!$D458,入力シート!$AW$37:$BB$38,4,0))</f>
        <v/>
      </c>
      <c r="S458" s="209" t="str">
        <f>IF(A458="","",IF(E458="","非役職",VLOOKUP('従業員情報(給与以外)'!$E458,入力シート!$AH$37:$AO$62,5,0)))</f>
        <v/>
      </c>
      <c r="T458" s="102" t="str">
        <f>IF(OR(入力シート!$C$5&lt;&gt;入力リスト!$C$3,COUNTIF(入力シート!$J$16:$S$23,入力リスト!$H$9)=0),"",IF($A458="","",IF(ISERROR(AVERAGEIF(従業員の給与情報!$B:$B,$A458,従業員の給与情報!$C:$C)),0,IF(ISERROR(AVERAGEIF(従業員の給与情報!$B:$B,$A458,従業員の給与情報!$C:$C)),0,AVERAGEIF(従業員の給与情報!$B:$B,$A458,従業員の給与情報!$C:$C)))))</f>
        <v/>
      </c>
      <c r="U458" s="102" t="str">
        <f>IF(OR(入力シート!$C$5&lt;&gt;入力リスト!$C$3,COUNTIF(入力シート!$J$16:$S$23,入力リスト!$H$9)=0),"",IF(A458="","",IF(ISERROR(AVERAGEIF(従業員の給与情報!$B:$B,$A458,従業員の給与情報!$D:$D)),0,IF(ISERROR(AVERAGEIF(従業員の給与情報!$B:$B,$A458,従業員の給与情報!$D:$D)),0,AVERAGEIF(従業員の給与情報!$B:$B,$A458,従業員の給与情報!$D:$D)))))</f>
        <v/>
      </c>
      <c r="V458" s="102" t="str">
        <f>IF(OR(入力シート!$C$5&lt;&gt;入力リスト!$C$3,COUNTIF(入力シート!$J$16:$S$23,入力リスト!$H$9)=0),"",IF(A458="","",IF(ISERROR(AVERAGEIF(従業員の給与情報!$B:$B,$A458,従業員の給与情報!$E:$E)),0,IF(ISERROR(AVERAGEIF(従業員の給与情報!$B:$B,$A458,従業員の給与情報!$E:$E)),0,AVERAGEIF(従業員の給与情報!$B:$B,$A458,従業員の給与情報!$E:$E)))))</f>
        <v/>
      </c>
      <c r="W458" s="103" t="str">
        <f>IF(OR(入力シート!$C$5&lt;&gt;入力リスト!$C$3,COUNTIF(入力シート!$J$16:$S$23,入力リスト!$H$9)=0),"",IF(A458="","",IF(ISERROR(AVERAGEIF(従業員の給与情報!$B:$B,$A458,従業員の給与情報!$F:$F)),0,IF(ISERROR(AVERAGEIF(従業員の給与情報!$B:$B,$A458,従業員の給与情報!$F:$F)),0,AVERAGEIF(従業員の給与情報!$B:$B,$A458,従業員の給与情報!$F:$F)))))</f>
        <v/>
      </c>
    </row>
    <row r="459" spans="1:23" s="10" customFormat="1">
      <c r="A459" s="253"/>
      <c r="B459" s="246"/>
      <c r="C459" s="247"/>
      <c r="D459" s="246"/>
      <c r="E459" s="246"/>
      <c r="F459" s="257" t="str">
        <f>IF($G$1,"",IF(COUNTIF(A459:E459,"")=5,"",IF(G459,入力リスト!$K$28,IF(OR(A459="",B459="",IF(COUNTIF($C$3,"*不要*"),"",C459=""),D459=""),IF(A459="","従業員番号","")&amp;IF(B459="","「雇用形態」","")&amp;IF(OR(入力シート!$J$18=入力リスト!$H$9,入力シート!$J$22=入力リスト!$H$9),IF(C459="","「入社年月日」",""),"")&amp;IF(D459="","「性別」","")&amp;IF(IF(A459="","従業員番号","")&amp;IF(B459="","「雇用形態」","")&amp;IF(OR(入力シート!$J$18=入力リスト!$H$9,入力シート!$J$22=入力リスト!$H$9),IF(C459="","「入社年月日」",""),"")&amp;IF(D459="","「性別」","")="","",入力リスト!$K$29),IF(J459,入力リスト!$K$30,"")&amp;IF(I459,入力リスト!$K$31,"")&amp;IF(H459,"「雇用形態」","")&amp;IF(K459,"「性別」","")&amp;IF(L459,"「役職」","")&amp;IF(OR(H459,K459,L459),入力リスト!$K$32,"")))))</f>
        <v/>
      </c>
      <c r="G459" s="209" t="b">
        <f>COUNTIF($A$4:A458,$A459)&gt;0</f>
        <v>0</v>
      </c>
      <c r="H459" s="210" t="b">
        <f>IF($H$1,FALSE,COUNTIF(入力シート!$S$37:$V$62,B459)=0)</f>
        <v>0</v>
      </c>
      <c r="I459" s="210" t="b">
        <f t="shared" si="16"/>
        <v>0</v>
      </c>
      <c r="J459" s="210" t="b">
        <f>IF($J$1,FALSE,IF(I459=TRUE,FALSE,IF(I459,FALSE,C459&gt;入力シート!$J$24)))</f>
        <v>0</v>
      </c>
      <c r="K459" s="210" t="b">
        <f>IF($K$1,FALSE,COUNTIF(入力シート!$AW$37:$BB$38,D459)=0)</f>
        <v>0</v>
      </c>
      <c r="L459" s="210" t="b">
        <f>IF($L$1,FALSE,IF($L$3,FALSE,IF(E459="",FALSE,COUNTIF(入力シート!$AH$37:$AK$62,E459)=0)))</f>
        <v>0</v>
      </c>
      <c r="M459" s="211" t="str">
        <f t="shared" si="15"/>
        <v/>
      </c>
      <c r="N459" s="211"/>
      <c r="O459" s="209" t="str">
        <f>IF(B459="","",VLOOKUP('従業員情報(給与以外)'!$B459,入力シート!$S$37:$Z$62,5,0))</f>
        <v/>
      </c>
      <c r="P459" s="156" t="str">
        <f>IF(ISNUMBER(C459)=FALSE,"",IF(C459&gt;入力シート!$J$24,"",_xlfn.DAYS(入力シート!$J$24,'従業員情報(給与以外)'!$C459)/365))</f>
        <v/>
      </c>
      <c r="Q459" s="210" t="str">
        <f>IF(P459="","",VLOOKUP(_xlfn.DAYS(入力シート!$J$24,'従業員情報(給与以外)'!$C459)/365,入力リスト!$K$18:$L$26,2,2))</f>
        <v/>
      </c>
      <c r="R459" s="209" t="str">
        <f>IF(D459="","",VLOOKUP('従業員情報(給与以外)'!$D459,入力シート!$AW$37:$BB$38,4,0))</f>
        <v/>
      </c>
      <c r="S459" s="209" t="str">
        <f>IF(A459="","",IF(E459="","非役職",VLOOKUP('従業員情報(給与以外)'!$E459,入力シート!$AH$37:$AO$62,5,0)))</f>
        <v/>
      </c>
      <c r="T459" s="102" t="str">
        <f>IF(OR(入力シート!$C$5&lt;&gt;入力リスト!$C$3,COUNTIF(入力シート!$J$16:$S$23,入力リスト!$H$9)=0),"",IF($A459="","",IF(ISERROR(AVERAGEIF(従業員の給与情報!$B:$B,$A459,従業員の給与情報!$C:$C)),0,IF(ISERROR(AVERAGEIF(従業員の給与情報!$B:$B,$A459,従業員の給与情報!$C:$C)),0,AVERAGEIF(従業員の給与情報!$B:$B,$A459,従業員の給与情報!$C:$C)))))</f>
        <v/>
      </c>
      <c r="U459" s="102" t="str">
        <f>IF(OR(入力シート!$C$5&lt;&gt;入力リスト!$C$3,COUNTIF(入力シート!$J$16:$S$23,入力リスト!$H$9)=0),"",IF(A459="","",IF(ISERROR(AVERAGEIF(従業員の給与情報!$B:$B,$A459,従業員の給与情報!$D:$D)),0,IF(ISERROR(AVERAGEIF(従業員の給与情報!$B:$B,$A459,従業員の給与情報!$D:$D)),0,AVERAGEIF(従業員の給与情報!$B:$B,$A459,従業員の給与情報!$D:$D)))))</f>
        <v/>
      </c>
      <c r="V459" s="102" t="str">
        <f>IF(OR(入力シート!$C$5&lt;&gt;入力リスト!$C$3,COUNTIF(入力シート!$J$16:$S$23,入力リスト!$H$9)=0),"",IF(A459="","",IF(ISERROR(AVERAGEIF(従業員の給与情報!$B:$B,$A459,従業員の給与情報!$E:$E)),0,IF(ISERROR(AVERAGEIF(従業員の給与情報!$B:$B,$A459,従業員の給与情報!$E:$E)),0,AVERAGEIF(従業員の給与情報!$B:$B,$A459,従業員の給与情報!$E:$E)))))</f>
        <v/>
      </c>
      <c r="W459" s="103" t="str">
        <f>IF(OR(入力シート!$C$5&lt;&gt;入力リスト!$C$3,COUNTIF(入力シート!$J$16:$S$23,入力リスト!$H$9)=0),"",IF(A459="","",IF(ISERROR(AVERAGEIF(従業員の給与情報!$B:$B,$A459,従業員の給与情報!$F:$F)),0,IF(ISERROR(AVERAGEIF(従業員の給与情報!$B:$B,$A459,従業員の給与情報!$F:$F)),0,AVERAGEIF(従業員の給与情報!$B:$B,$A459,従業員の給与情報!$F:$F)))))</f>
        <v/>
      </c>
    </row>
    <row r="460" spans="1:23" s="10" customFormat="1">
      <c r="A460" s="253"/>
      <c r="B460" s="246"/>
      <c r="C460" s="247"/>
      <c r="D460" s="246"/>
      <c r="E460" s="246"/>
      <c r="F460" s="257" t="str">
        <f>IF($G$1,"",IF(COUNTIF(A460:E460,"")=5,"",IF(G460,入力リスト!$K$28,IF(OR(A460="",B460="",IF(COUNTIF($C$3,"*不要*"),"",C460=""),D460=""),IF(A460="","従業員番号","")&amp;IF(B460="","「雇用形態」","")&amp;IF(OR(入力シート!$J$18=入力リスト!$H$9,入力シート!$J$22=入力リスト!$H$9),IF(C460="","「入社年月日」",""),"")&amp;IF(D460="","「性別」","")&amp;IF(IF(A460="","従業員番号","")&amp;IF(B460="","「雇用形態」","")&amp;IF(OR(入力シート!$J$18=入力リスト!$H$9,入力シート!$J$22=入力リスト!$H$9),IF(C460="","「入社年月日」",""),"")&amp;IF(D460="","「性別」","")="","",入力リスト!$K$29),IF(J460,入力リスト!$K$30,"")&amp;IF(I460,入力リスト!$K$31,"")&amp;IF(H460,"「雇用形態」","")&amp;IF(K460,"「性別」","")&amp;IF(L460,"「役職」","")&amp;IF(OR(H460,K460,L460),入力リスト!$K$32,"")))))</f>
        <v/>
      </c>
      <c r="G460" s="209" t="b">
        <f>COUNTIF($A$4:A459,$A460)&gt;0</f>
        <v>0</v>
      </c>
      <c r="H460" s="210" t="b">
        <f>IF($H$1,FALSE,COUNTIF(入力シート!$S$37:$V$62,B460)=0)</f>
        <v>0</v>
      </c>
      <c r="I460" s="210" t="b">
        <f t="shared" si="16"/>
        <v>0</v>
      </c>
      <c r="J460" s="210" t="b">
        <f>IF($J$1,FALSE,IF(I460=TRUE,FALSE,IF(I460,FALSE,C460&gt;入力シート!$J$24)))</f>
        <v>0</v>
      </c>
      <c r="K460" s="210" t="b">
        <f>IF($K$1,FALSE,COUNTIF(入力シート!$AW$37:$BB$38,D460)=0)</f>
        <v>0</v>
      </c>
      <c r="L460" s="210" t="b">
        <f>IF($L$1,FALSE,IF($L$3,FALSE,IF(E460="",FALSE,COUNTIF(入力シート!$AH$37:$AK$62,E460)=0)))</f>
        <v>0</v>
      </c>
      <c r="M460" s="211" t="str">
        <f t="shared" si="15"/>
        <v/>
      </c>
      <c r="N460" s="211"/>
      <c r="O460" s="209" t="str">
        <f>IF(B460="","",VLOOKUP('従業員情報(給与以外)'!$B460,入力シート!$S$37:$Z$62,5,0))</f>
        <v/>
      </c>
      <c r="P460" s="156" t="str">
        <f>IF(ISNUMBER(C460)=FALSE,"",IF(C460&gt;入力シート!$J$24,"",_xlfn.DAYS(入力シート!$J$24,'従業員情報(給与以外)'!$C460)/365))</f>
        <v/>
      </c>
      <c r="Q460" s="210" t="str">
        <f>IF(P460="","",VLOOKUP(_xlfn.DAYS(入力シート!$J$24,'従業員情報(給与以外)'!$C460)/365,入力リスト!$K$18:$L$26,2,2))</f>
        <v/>
      </c>
      <c r="R460" s="209" t="str">
        <f>IF(D460="","",VLOOKUP('従業員情報(給与以外)'!$D460,入力シート!$AW$37:$BB$38,4,0))</f>
        <v/>
      </c>
      <c r="S460" s="209" t="str">
        <f>IF(A460="","",IF(E460="","非役職",VLOOKUP('従業員情報(給与以外)'!$E460,入力シート!$AH$37:$AO$62,5,0)))</f>
        <v/>
      </c>
      <c r="T460" s="102" t="str">
        <f>IF(OR(入力シート!$C$5&lt;&gt;入力リスト!$C$3,COUNTIF(入力シート!$J$16:$S$23,入力リスト!$H$9)=0),"",IF($A460="","",IF(ISERROR(AVERAGEIF(従業員の給与情報!$B:$B,$A460,従業員の給与情報!$C:$C)),0,IF(ISERROR(AVERAGEIF(従業員の給与情報!$B:$B,$A460,従業員の給与情報!$C:$C)),0,AVERAGEIF(従業員の給与情報!$B:$B,$A460,従業員の給与情報!$C:$C)))))</f>
        <v/>
      </c>
      <c r="U460" s="102" t="str">
        <f>IF(OR(入力シート!$C$5&lt;&gt;入力リスト!$C$3,COUNTIF(入力シート!$J$16:$S$23,入力リスト!$H$9)=0),"",IF(A460="","",IF(ISERROR(AVERAGEIF(従業員の給与情報!$B:$B,$A460,従業員の給与情報!$D:$D)),0,IF(ISERROR(AVERAGEIF(従業員の給与情報!$B:$B,$A460,従業員の給与情報!$D:$D)),0,AVERAGEIF(従業員の給与情報!$B:$B,$A460,従業員の給与情報!$D:$D)))))</f>
        <v/>
      </c>
      <c r="V460" s="102" t="str">
        <f>IF(OR(入力シート!$C$5&lt;&gt;入力リスト!$C$3,COUNTIF(入力シート!$J$16:$S$23,入力リスト!$H$9)=0),"",IF(A460="","",IF(ISERROR(AVERAGEIF(従業員の給与情報!$B:$B,$A460,従業員の給与情報!$E:$E)),0,IF(ISERROR(AVERAGEIF(従業員の給与情報!$B:$B,$A460,従業員の給与情報!$E:$E)),0,AVERAGEIF(従業員の給与情報!$B:$B,$A460,従業員の給与情報!$E:$E)))))</f>
        <v/>
      </c>
      <c r="W460" s="103" t="str">
        <f>IF(OR(入力シート!$C$5&lt;&gt;入力リスト!$C$3,COUNTIF(入力シート!$J$16:$S$23,入力リスト!$H$9)=0),"",IF(A460="","",IF(ISERROR(AVERAGEIF(従業員の給与情報!$B:$B,$A460,従業員の給与情報!$F:$F)),0,IF(ISERROR(AVERAGEIF(従業員の給与情報!$B:$B,$A460,従業員の給与情報!$F:$F)),0,AVERAGEIF(従業員の給与情報!$B:$B,$A460,従業員の給与情報!$F:$F)))))</f>
        <v/>
      </c>
    </row>
    <row r="461" spans="1:23" s="10" customFormat="1">
      <c r="A461" s="253"/>
      <c r="B461" s="246"/>
      <c r="C461" s="247"/>
      <c r="D461" s="246"/>
      <c r="E461" s="246"/>
      <c r="F461" s="257" t="str">
        <f>IF($G$1,"",IF(COUNTIF(A461:E461,"")=5,"",IF(G461,入力リスト!$K$28,IF(OR(A461="",B461="",IF(COUNTIF($C$3,"*不要*"),"",C461=""),D461=""),IF(A461="","従業員番号","")&amp;IF(B461="","「雇用形態」","")&amp;IF(OR(入力シート!$J$18=入力リスト!$H$9,入力シート!$J$22=入力リスト!$H$9),IF(C461="","「入社年月日」",""),"")&amp;IF(D461="","「性別」","")&amp;IF(IF(A461="","従業員番号","")&amp;IF(B461="","「雇用形態」","")&amp;IF(OR(入力シート!$J$18=入力リスト!$H$9,入力シート!$J$22=入力リスト!$H$9),IF(C461="","「入社年月日」",""),"")&amp;IF(D461="","「性別」","")="","",入力リスト!$K$29),IF(J461,入力リスト!$K$30,"")&amp;IF(I461,入力リスト!$K$31,"")&amp;IF(H461,"「雇用形態」","")&amp;IF(K461,"「性別」","")&amp;IF(L461,"「役職」","")&amp;IF(OR(H461,K461,L461),入力リスト!$K$32,"")))))</f>
        <v/>
      </c>
      <c r="G461" s="209" t="b">
        <f>COUNTIF($A$4:A460,$A461)&gt;0</f>
        <v>0</v>
      </c>
      <c r="H461" s="210" t="b">
        <f>IF($H$1,FALSE,COUNTIF(入力シート!$S$37:$V$62,B461)=0)</f>
        <v>0</v>
      </c>
      <c r="I461" s="210" t="b">
        <f t="shared" si="16"/>
        <v>0</v>
      </c>
      <c r="J461" s="210" t="b">
        <f>IF($J$1,FALSE,IF(I461=TRUE,FALSE,IF(I461,FALSE,C461&gt;入力シート!$J$24)))</f>
        <v>0</v>
      </c>
      <c r="K461" s="210" t="b">
        <f>IF($K$1,FALSE,COUNTIF(入力シート!$AW$37:$BB$38,D461)=0)</f>
        <v>0</v>
      </c>
      <c r="L461" s="210" t="b">
        <f>IF($L$1,FALSE,IF($L$3,FALSE,IF(E461="",FALSE,COUNTIF(入力シート!$AH$37:$AK$62,E461)=0)))</f>
        <v>0</v>
      </c>
      <c r="M461" s="211" t="str">
        <f t="shared" si="15"/>
        <v/>
      </c>
      <c r="N461" s="211"/>
      <c r="O461" s="209" t="str">
        <f>IF(B461="","",VLOOKUP('従業員情報(給与以外)'!$B461,入力シート!$S$37:$Z$62,5,0))</f>
        <v/>
      </c>
      <c r="P461" s="156" t="str">
        <f>IF(ISNUMBER(C461)=FALSE,"",IF(C461&gt;入力シート!$J$24,"",_xlfn.DAYS(入力シート!$J$24,'従業員情報(給与以外)'!$C461)/365))</f>
        <v/>
      </c>
      <c r="Q461" s="210" t="str">
        <f>IF(P461="","",VLOOKUP(_xlfn.DAYS(入力シート!$J$24,'従業員情報(給与以外)'!$C461)/365,入力リスト!$K$18:$L$26,2,2))</f>
        <v/>
      </c>
      <c r="R461" s="209" t="str">
        <f>IF(D461="","",VLOOKUP('従業員情報(給与以外)'!$D461,入力シート!$AW$37:$BB$38,4,0))</f>
        <v/>
      </c>
      <c r="S461" s="209" t="str">
        <f>IF(A461="","",IF(E461="","非役職",VLOOKUP('従業員情報(給与以外)'!$E461,入力シート!$AH$37:$AO$62,5,0)))</f>
        <v/>
      </c>
      <c r="T461" s="102" t="str">
        <f>IF(OR(入力シート!$C$5&lt;&gt;入力リスト!$C$3,COUNTIF(入力シート!$J$16:$S$23,入力リスト!$H$9)=0),"",IF($A461="","",IF(ISERROR(AVERAGEIF(従業員の給与情報!$B:$B,$A461,従業員の給与情報!$C:$C)),0,IF(ISERROR(AVERAGEIF(従業員の給与情報!$B:$B,$A461,従業員の給与情報!$C:$C)),0,AVERAGEIF(従業員の給与情報!$B:$B,$A461,従業員の給与情報!$C:$C)))))</f>
        <v/>
      </c>
      <c r="U461" s="102" t="str">
        <f>IF(OR(入力シート!$C$5&lt;&gt;入力リスト!$C$3,COUNTIF(入力シート!$J$16:$S$23,入力リスト!$H$9)=0),"",IF(A461="","",IF(ISERROR(AVERAGEIF(従業員の給与情報!$B:$B,$A461,従業員の給与情報!$D:$D)),0,IF(ISERROR(AVERAGEIF(従業員の給与情報!$B:$B,$A461,従業員の給与情報!$D:$D)),0,AVERAGEIF(従業員の給与情報!$B:$B,$A461,従業員の給与情報!$D:$D)))))</f>
        <v/>
      </c>
      <c r="V461" s="102" t="str">
        <f>IF(OR(入力シート!$C$5&lt;&gt;入力リスト!$C$3,COUNTIF(入力シート!$J$16:$S$23,入力リスト!$H$9)=0),"",IF(A461="","",IF(ISERROR(AVERAGEIF(従業員の給与情報!$B:$B,$A461,従業員の給与情報!$E:$E)),0,IF(ISERROR(AVERAGEIF(従業員の給与情報!$B:$B,$A461,従業員の給与情報!$E:$E)),0,AVERAGEIF(従業員の給与情報!$B:$B,$A461,従業員の給与情報!$E:$E)))))</f>
        <v/>
      </c>
      <c r="W461" s="103" t="str">
        <f>IF(OR(入力シート!$C$5&lt;&gt;入力リスト!$C$3,COUNTIF(入力シート!$J$16:$S$23,入力リスト!$H$9)=0),"",IF(A461="","",IF(ISERROR(AVERAGEIF(従業員の給与情報!$B:$B,$A461,従業員の給与情報!$F:$F)),0,IF(ISERROR(AVERAGEIF(従業員の給与情報!$B:$B,$A461,従業員の給与情報!$F:$F)),0,AVERAGEIF(従業員の給与情報!$B:$B,$A461,従業員の給与情報!$F:$F)))))</f>
        <v/>
      </c>
    </row>
    <row r="462" spans="1:23" s="10" customFormat="1">
      <c r="A462" s="253"/>
      <c r="B462" s="246"/>
      <c r="C462" s="247"/>
      <c r="D462" s="246"/>
      <c r="E462" s="246"/>
      <c r="F462" s="257" t="str">
        <f>IF($G$1,"",IF(COUNTIF(A462:E462,"")=5,"",IF(G462,入力リスト!$K$28,IF(OR(A462="",B462="",IF(COUNTIF($C$3,"*不要*"),"",C462=""),D462=""),IF(A462="","従業員番号","")&amp;IF(B462="","「雇用形態」","")&amp;IF(OR(入力シート!$J$18=入力リスト!$H$9,入力シート!$J$22=入力リスト!$H$9),IF(C462="","「入社年月日」",""),"")&amp;IF(D462="","「性別」","")&amp;IF(IF(A462="","従業員番号","")&amp;IF(B462="","「雇用形態」","")&amp;IF(OR(入力シート!$J$18=入力リスト!$H$9,入力シート!$J$22=入力リスト!$H$9),IF(C462="","「入社年月日」",""),"")&amp;IF(D462="","「性別」","")="","",入力リスト!$K$29),IF(J462,入力リスト!$K$30,"")&amp;IF(I462,入力リスト!$K$31,"")&amp;IF(H462,"「雇用形態」","")&amp;IF(K462,"「性別」","")&amp;IF(L462,"「役職」","")&amp;IF(OR(H462,K462,L462),入力リスト!$K$32,"")))))</f>
        <v/>
      </c>
      <c r="G462" s="209" t="b">
        <f>COUNTIF($A$4:A461,$A462)&gt;0</f>
        <v>0</v>
      </c>
      <c r="H462" s="210" t="b">
        <f>IF($H$1,FALSE,COUNTIF(入力シート!$S$37:$V$62,B462)=0)</f>
        <v>0</v>
      </c>
      <c r="I462" s="210" t="b">
        <f t="shared" si="16"/>
        <v>0</v>
      </c>
      <c r="J462" s="210" t="b">
        <f>IF($J$1,FALSE,IF(I462=TRUE,FALSE,IF(I462,FALSE,C462&gt;入力シート!$J$24)))</f>
        <v>0</v>
      </c>
      <c r="K462" s="210" t="b">
        <f>IF($K$1,FALSE,COUNTIF(入力シート!$AW$37:$BB$38,D462)=0)</f>
        <v>0</v>
      </c>
      <c r="L462" s="210" t="b">
        <f>IF($L$1,FALSE,IF($L$3,FALSE,IF(E462="",FALSE,COUNTIF(入力シート!$AH$37:$AK$62,E462)=0)))</f>
        <v>0</v>
      </c>
      <c r="M462" s="211" t="str">
        <f t="shared" si="15"/>
        <v/>
      </c>
      <c r="N462" s="211"/>
      <c r="O462" s="209" t="str">
        <f>IF(B462="","",VLOOKUP('従業員情報(給与以外)'!$B462,入力シート!$S$37:$Z$62,5,0))</f>
        <v/>
      </c>
      <c r="P462" s="156" t="str">
        <f>IF(ISNUMBER(C462)=FALSE,"",IF(C462&gt;入力シート!$J$24,"",_xlfn.DAYS(入力シート!$J$24,'従業員情報(給与以外)'!$C462)/365))</f>
        <v/>
      </c>
      <c r="Q462" s="210" t="str">
        <f>IF(P462="","",VLOOKUP(_xlfn.DAYS(入力シート!$J$24,'従業員情報(給与以外)'!$C462)/365,入力リスト!$K$18:$L$26,2,2))</f>
        <v/>
      </c>
      <c r="R462" s="209" t="str">
        <f>IF(D462="","",VLOOKUP('従業員情報(給与以外)'!$D462,入力シート!$AW$37:$BB$38,4,0))</f>
        <v/>
      </c>
      <c r="S462" s="209" t="str">
        <f>IF(A462="","",IF(E462="","非役職",VLOOKUP('従業員情報(給与以外)'!$E462,入力シート!$AH$37:$AO$62,5,0)))</f>
        <v/>
      </c>
      <c r="T462" s="102" t="str">
        <f>IF(OR(入力シート!$C$5&lt;&gt;入力リスト!$C$3,COUNTIF(入力シート!$J$16:$S$23,入力リスト!$H$9)=0),"",IF($A462="","",IF(ISERROR(AVERAGEIF(従業員の給与情報!$B:$B,$A462,従業員の給与情報!$C:$C)),0,IF(ISERROR(AVERAGEIF(従業員の給与情報!$B:$B,$A462,従業員の給与情報!$C:$C)),0,AVERAGEIF(従業員の給与情報!$B:$B,$A462,従業員の給与情報!$C:$C)))))</f>
        <v/>
      </c>
      <c r="U462" s="102" t="str">
        <f>IF(OR(入力シート!$C$5&lt;&gt;入力リスト!$C$3,COUNTIF(入力シート!$J$16:$S$23,入力リスト!$H$9)=0),"",IF(A462="","",IF(ISERROR(AVERAGEIF(従業員の給与情報!$B:$B,$A462,従業員の給与情報!$D:$D)),0,IF(ISERROR(AVERAGEIF(従業員の給与情報!$B:$B,$A462,従業員の給与情報!$D:$D)),0,AVERAGEIF(従業員の給与情報!$B:$B,$A462,従業員の給与情報!$D:$D)))))</f>
        <v/>
      </c>
      <c r="V462" s="102" t="str">
        <f>IF(OR(入力シート!$C$5&lt;&gt;入力リスト!$C$3,COUNTIF(入力シート!$J$16:$S$23,入力リスト!$H$9)=0),"",IF(A462="","",IF(ISERROR(AVERAGEIF(従業員の給与情報!$B:$B,$A462,従業員の給与情報!$E:$E)),0,IF(ISERROR(AVERAGEIF(従業員の給与情報!$B:$B,$A462,従業員の給与情報!$E:$E)),0,AVERAGEIF(従業員の給与情報!$B:$B,$A462,従業員の給与情報!$E:$E)))))</f>
        <v/>
      </c>
      <c r="W462" s="103" t="str">
        <f>IF(OR(入力シート!$C$5&lt;&gt;入力リスト!$C$3,COUNTIF(入力シート!$J$16:$S$23,入力リスト!$H$9)=0),"",IF(A462="","",IF(ISERROR(AVERAGEIF(従業員の給与情報!$B:$B,$A462,従業員の給与情報!$F:$F)),0,IF(ISERROR(AVERAGEIF(従業員の給与情報!$B:$B,$A462,従業員の給与情報!$F:$F)),0,AVERAGEIF(従業員の給与情報!$B:$B,$A462,従業員の給与情報!$F:$F)))))</f>
        <v/>
      </c>
    </row>
    <row r="463" spans="1:23" s="10" customFormat="1">
      <c r="A463" s="253"/>
      <c r="B463" s="246"/>
      <c r="C463" s="247"/>
      <c r="D463" s="246"/>
      <c r="E463" s="246"/>
      <c r="F463" s="257" t="str">
        <f>IF($G$1,"",IF(COUNTIF(A463:E463,"")=5,"",IF(G463,入力リスト!$K$28,IF(OR(A463="",B463="",IF(COUNTIF($C$3,"*不要*"),"",C463=""),D463=""),IF(A463="","従業員番号","")&amp;IF(B463="","「雇用形態」","")&amp;IF(OR(入力シート!$J$18=入力リスト!$H$9,入力シート!$J$22=入力リスト!$H$9),IF(C463="","「入社年月日」",""),"")&amp;IF(D463="","「性別」","")&amp;IF(IF(A463="","従業員番号","")&amp;IF(B463="","「雇用形態」","")&amp;IF(OR(入力シート!$J$18=入力リスト!$H$9,入力シート!$J$22=入力リスト!$H$9),IF(C463="","「入社年月日」",""),"")&amp;IF(D463="","「性別」","")="","",入力リスト!$K$29),IF(J463,入力リスト!$K$30,"")&amp;IF(I463,入力リスト!$K$31,"")&amp;IF(H463,"「雇用形態」","")&amp;IF(K463,"「性別」","")&amp;IF(L463,"「役職」","")&amp;IF(OR(H463,K463,L463),入力リスト!$K$32,"")))))</f>
        <v/>
      </c>
      <c r="G463" s="209" t="b">
        <f>COUNTIF($A$4:A462,$A463)&gt;0</f>
        <v>0</v>
      </c>
      <c r="H463" s="210" t="b">
        <f>IF($H$1,FALSE,COUNTIF(入力シート!$S$37:$V$62,B463)=0)</f>
        <v>0</v>
      </c>
      <c r="I463" s="210" t="b">
        <f t="shared" si="16"/>
        <v>0</v>
      </c>
      <c r="J463" s="210" t="b">
        <f>IF($J$1,FALSE,IF(I463=TRUE,FALSE,IF(I463,FALSE,C463&gt;入力シート!$J$24)))</f>
        <v>0</v>
      </c>
      <c r="K463" s="210" t="b">
        <f>IF($K$1,FALSE,COUNTIF(入力シート!$AW$37:$BB$38,D463)=0)</f>
        <v>0</v>
      </c>
      <c r="L463" s="210" t="b">
        <f>IF($L$1,FALSE,IF($L$3,FALSE,IF(E463="",FALSE,COUNTIF(入力シート!$AH$37:$AK$62,E463)=0)))</f>
        <v>0</v>
      </c>
      <c r="M463" s="211" t="str">
        <f t="shared" si="15"/>
        <v/>
      </c>
      <c r="N463" s="211"/>
      <c r="O463" s="209" t="str">
        <f>IF(B463="","",VLOOKUP('従業員情報(給与以外)'!$B463,入力シート!$S$37:$Z$62,5,0))</f>
        <v/>
      </c>
      <c r="P463" s="156" t="str">
        <f>IF(ISNUMBER(C463)=FALSE,"",IF(C463&gt;入力シート!$J$24,"",_xlfn.DAYS(入力シート!$J$24,'従業員情報(給与以外)'!$C463)/365))</f>
        <v/>
      </c>
      <c r="Q463" s="210" t="str">
        <f>IF(P463="","",VLOOKUP(_xlfn.DAYS(入力シート!$J$24,'従業員情報(給与以外)'!$C463)/365,入力リスト!$K$18:$L$26,2,2))</f>
        <v/>
      </c>
      <c r="R463" s="209" t="str">
        <f>IF(D463="","",VLOOKUP('従業員情報(給与以外)'!$D463,入力シート!$AW$37:$BB$38,4,0))</f>
        <v/>
      </c>
      <c r="S463" s="209" t="str">
        <f>IF(A463="","",IF(E463="","非役職",VLOOKUP('従業員情報(給与以外)'!$E463,入力シート!$AH$37:$AO$62,5,0)))</f>
        <v/>
      </c>
      <c r="T463" s="102" t="str">
        <f>IF(OR(入力シート!$C$5&lt;&gt;入力リスト!$C$3,COUNTIF(入力シート!$J$16:$S$23,入力リスト!$H$9)=0),"",IF($A463="","",IF(ISERROR(AVERAGEIF(従業員の給与情報!$B:$B,$A463,従業員の給与情報!$C:$C)),0,IF(ISERROR(AVERAGEIF(従業員の給与情報!$B:$B,$A463,従業員の給与情報!$C:$C)),0,AVERAGEIF(従業員の給与情報!$B:$B,$A463,従業員の給与情報!$C:$C)))))</f>
        <v/>
      </c>
      <c r="U463" s="102" t="str">
        <f>IF(OR(入力シート!$C$5&lt;&gt;入力リスト!$C$3,COUNTIF(入力シート!$J$16:$S$23,入力リスト!$H$9)=0),"",IF(A463="","",IF(ISERROR(AVERAGEIF(従業員の給与情報!$B:$B,$A463,従業員の給与情報!$D:$D)),0,IF(ISERROR(AVERAGEIF(従業員の給与情報!$B:$B,$A463,従業員の給与情報!$D:$D)),0,AVERAGEIF(従業員の給与情報!$B:$B,$A463,従業員の給与情報!$D:$D)))))</f>
        <v/>
      </c>
      <c r="V463" s="102" t="str">
        <f>IF(OR(入力シート!$C$5&lt;&gt;入力リスト!$C$3,COUNTIF(入力シート!$J$16:$S$23,入力リスト!$H$9)=0),"",IF(A463="","",IF(ISERROR(AVERAGEIF(従業員の給与情報!$B:$B,$A463,従業員の給与情報!$E:$E)),0,IF(ISERROR(AVERAGEIF(従業員の給与情報!$B:$B,$A463,従業員の給与情報!$E:$E)),0,AVERAGEIF(従業員の給与情報!$B:$B,$A463,従業員の給与情報!$E:$E)))))</f>
        <v/>
      </c>
      <c r="W463" s="103" t="str">
        <f>IF(OR(入力シート!$C$5&lt;&gt;入力リスト!$C$3,COUNTIF(入力シート!$J$16:$S$23,入力リスト!$H$9)=0),"",IF(A463="","",IF(ISERROR(AVERAGEIF(従業員の給与情報!$B:$B,$A463,従業員の給与情報!$F:$F)),0,IF(ISERROR(AVERAGEIF(従業員の給与情報!$B:$B,$A463,従業員の給与情報!$F:$F)),0,AVERAGEIF(従業員の給与情報!$B:$B,$A463,従業員の給与情報!$F:$F)))))</f>
        <v/>
      </c>
    </row>
    <row r="464" spans="1:23" s="10" customFormat="1">
      <c r="A464" s="253"/>
      <c r="B464" s="246"/>
      <c r="C464" s="247"/>
      <c r="D464" s="246"/>
      <c r="E464" s="246"/>
      <c r="F464" s="257" t="str">
        <f>IF($G$1,"",IF(COUNTIF(A464:E464,"")=5,"",IF(G464,入力リスト!$K$28,IF(OR(A464="",B464="",IF(COUNTIF($C$3,"*不要*"),"",C464=""),D464=""),IF(A464="","従業員番号","")&amp;IF(B464="","「雇用形態」","")&amp;IF(OR(入力シート!$J$18=入力リスト!$H$9,入力シート!$J$22=入力リスト!$H$9),IF(C464="","「入社年月日」",""),"")&amp;IF(D464="","「性別」","")&amp;IF(IF(A464="","従業員番号","")&amp;IF(B464="","「雇用形態」","")&amp;IF(OR(入力シート!$J$18=入力リスト!$H$9,入力シート!$J$22=入力リスト!$H$9),IF(C464="","「入社年月日」",""),"")&amp;IF(D464="","「性別」","")="","",入力リスト!$K$29),IF(J464,入力リスト!$K$30,"")&amp;IF(I464,入力リスト!$K$31,"")&amp;IF(H464,"「雇用形態」","")&amp;IF(K464,"「性別」","")&amp;IF(L464,"「役職」","")&amp;IF(OR(H464,K464,L464),入力リスト!$K$32,"")))))</f>
        <v/>
      </c>
      <c r="G464" s="209" t="b">
        <f>COUNTIF($A$4:A463,$A464)&gt;0</f>
        <v>0</v>
      </c>
      <c r="H464" s="210" t="b">
        <f>IF($H$1,FALSE,COUNTIF(入力シート!$S$37:$V$62,B464)=0)</f>
        <v>0</v>
      </c>
      <c r="I464" s="210" t="b">
        <f t="shared" si="16"/>
        <v>0</v>
      </c>
      <c r="J464" s="210" t="b">
        <f>IF($J$1,FALSE,IF(I464=TRUE,FALSE,IF(I464,FALSE,C464&gt;入力シート!$J$24)))</f>
        <v>0</v>
      </c>
      <c r="K464" s="210" t="b">
        <f>IF($K$1,FALSE,COUNTIF(入力シート!$AW$37:$BB$38,D464)=0)</f>
        <v>0</v>
      </c>
      <c r="L464" s="210" t="b">
        <f>IF($L$1,FALSE,IF($L$3,FALSE,IF(E464="",FALSE,COUNTIF(入力シート!$AH$37:$AK$62,E464)=0)))</f>
        <v>0</v>
      </c>
      <c r="M464" s="211" t="str">
        <f t="shared" si="15"/>
        <v/>
      </c>
      <c r="N464" s="211"/>
      <c r="O464" s="209" t="str">
        <f>IF(B464="","",VLOOKUP('従業員情報(給与以外)'!$B464,入力シート!$S$37:$Z$62,5,0))</f>
        <v/>
      </c>
      <c r="P464" s="156" t="str">
        <f>IF(ISNUMBER(C464)=FALSE,"",IF(C464&gt;入力シート!$J$24,"",_xlfn.DAYS(入力シート!$J$24,'従業員情報(給与以外)'!$C464)/365))</f>
        <v/>
      </c>
      <c r="Q464" s="210" t="str">
        <f>IF(P464="","",VLOOKUP(_xlfn.DAYS(入力シート!$J$24,'従業員情報(給与以外)'!$C464)/365,入力リスト!$K$18:$L$26,2,2))</f>
        <v/>
      </c>
      <c r="R464" s="209" t="str">
        <f>IF(D464="","",VLOOKUP('従業員情報(給与以外)'!$D464,入力シート!$AW$37:$BB$38,4,0))</f>
        <v/>
      </c>
      <c r="S464" s="209" t="str">
        <f>IF(A464="","",IF(E464="","非役職",VLOOKUP('従業員情報(給与以外)'!$E464,入力シート!$AH$37:$AO$62,5,0)))</f>
        <v/>
      </c>
      <c r="T464" s="102" t="str">
        <f>IF(OR(入力シート!$C$5&lt;&gt;入力リスト!$C$3,COUNTIF(入力シート!$J$16:$S$23,入力リスト!$H$9)=0),"",IF($A464="","",IF(ISERROR(AVERAGEIF(従業員の給与情報!$B:$B,$A464,従業員の給与情報!$C:$C)),0,IF(ISERROR(AVERAGEIF(従業員の給与情報!$B:$B,$A464,従業員の給与情報!$C:$C)),0,AVERAGEIF(従業員の給与情報!$B:$B,$A464,従業員の給与情報!$C:$C)))))</f>
        <v/>
      </c>
      <c r="U464" s="102" t="str">
        <f>IF(OR(入力シート!$C$5&lt;&gt;入力リスト!$C$3,COUNTIF(入力シート!$J$16:$S$23,入力リスト!$H$9)=0),"",IF(A464="","",IF(ISERROR(AVERAGEIF(従業員の給与情報!$B:$B,$A464,従業員の給与情報!$D:$D)),0,IF(ISERROR(AVERAGEIF(従業員の給与情報!$B:$B,$A464,従業員の給与情報!$D:$D)),0,AVERAGEIF(従業員の給与情報!$B:$B,$A464,従業員の給与情報!$D:$D)))))</f>
        <v/>
      </c>
      <c r="V464" s="102" t="str">
        <f>IF(OR(入力シート!$C$5&lt;&gt;入力リスト!$C$3,COUNTIF(入力シート!$J$16:$S$23,入力リスト!$H$9)=0),"",IF(A464="","",IF(ISERROR(AVERAGEIF(従業員の給与情報!$B:$B,$A464,従業員の給与情報!$E:$E)),0,IF(ISERROR(AVERAGEIF(従業員の給与情報!$B:$B,$A464,従業員の給与情報!$E:$E)),0,AVERAGEIF(従業員の給与情報!$B:$B,$A464,従業員の給与情報!$E:$E)))))</f>
        <v/>
      </c>
      <c r="W464" s="103" t="str">
        <f>IF(OR(入力シート!$C$5&lt;&gt;入力リスト!$C$3,COUNTIF(入力シート!$J$16:$S$23,入力リスト!$H$9)=0),"",IF(A464="","",IF(ISERROR(AVERAGEIF(従業員の給与情報!$B:$B,$A464,従業員の給与情報!$F:$F)),0,IF(ISERROR(AVERAGEIF(従業員の給与情報!$B:$B,$A464,従業員の給与情報!$F:$F)),0,AVERAGEIF(従業員の給与情報!$B:$B,$A464,従業員の給与情報!$F:$F)))))</f>
        <v/>
      </c>
    </row>
    <row r="465" spans="1:23" s="10" customFormat="1">
      <c r="A465" s="253"/>
      <c r="B465" s="246"/>
      <c r="C465" s="247"/>
      <c r="D465" s="246"/>
      <c r="E465" s="246"/>
      <c r="F465" s="257" t="str">
        <f>IF($G$1,"",IF(COUNTIF(A465:E465,"")=5,"",IF(G465,入力リスト!$K$28,IF(OR(A465="",B465="",IF(COUNTIF($C$3,"*不要*"),"",C465=""),D465=""),IF(A465="","従業員番号","")&amp;IF(B465="","「雇用形態」","")&amp;IF(OR(入力シート!$J$18=入力リスト!$H$9,入力シート!$J$22=入力リスト!$H$9),IF(C465="","「入社年月日」",""),"")&amp;IF(D465="","「性別」","")&amp;IF(IF(A465="","従業員番号","")&amp;IF(B465="","「雇用形態」","")&amp;IF(OR(入力シート!$J$18=入力リスト!$H$9,入力シート!$J$22=入力リスト!$H$9),IF(C465="","「入社年月日」",""),"")&amp;IF(D465="","「性別」","")="","",入力リスト!$K$29),IF(J465,入力リスト!$K$30,"")&amp;IF(I465,入力リスト!$K$31,"")&amp;IF(H465,"「雇用形態」","")&amp;IF(K465,"「性別」","")&amp;IF(L465,"「役職」","")&amp;IF(OR(H465,K465,L465),入力リスト!$K$32,"")))))</f>
        <v/>
      </c>
      <c r="G465" s="209" t="b">
        <f>COUNTIF($A$4:A464,$A465)&gt;0</f>
        <v>0</v>
      </c>
      <c r="H465" s="210" t="b">
        <f>IF($H$1,FALSE,COUNTIF(入力シート!$S$37:$V$62,B465)=0)</f>
        <v>0</v>
      </c>
      <c r="I465" s="210" t="b">
        <f t="shared" si="16"/>
        <v>0</v>
      </c>
      <c r="J465" s="210" t="b">
        <f>IF($J$1,FALSE,IF(I465=TRUE,FALSE,IF(I465,FALSE,C465&gt;入力シート!$J$24)))</f>
        <v>0</v>
      </c>
      <c r="K465" s="210" t="b">
        <f>IF($K$1,FALSE,COUNTIF(入力シート!$AW$37:$BB$38,D465)=0)</f>
        <v>0</v>
      </c>
      <c r="L465" s="210" t="b">
        <f>IF($L$1,FALSE,IF($L$3,FALSE,IF(E465="",FALSE,COUNTIF(入力シート!$AH$37:$AK$62,E465)=0)))</f>
        <v>0</v>
      </c>
      <c r="M465" s="211" t="str">
        <f t="shared" si="15"/>
        <v/>
      </c>
      <c r="N465" s="211"/>
      <c r="O465" s="209" t="str">
        <f>IF(B465="","",VLOOKUP('従業員情報(給与以外)'!$B465,入力シート!$S$37:$Z$62,5,0))</f>
        <v/>
      </c>
      <c r="P465" s="156" t="str">
        <f>IF(ISNUMBER(C465)=FALSE,"",IF(C465&gt;入力シート!$J$24,"",_xlfn.DAYS(入力シート!$J$24,'従業員情報(給与以外)'!$C465)/365))</f>
        <v/>
      </c>
      <c r="Q465" s="210" t="str">
        <f>IF(P465="","",VLOOKUP(_xlfn.DAYS(入力シート!$J$24,'従業員情報(給与以外)'!$C465)/365,入力リスト!$K$18:$L$26,2,2))</f>
        <v/>
      </c>
      <c r="R465" s="209" t="str">
        <f>IF(D465="","",VLOOKUP('従業員情報(給与以外)'!$D465,入力シート!$AW$37:$BB$38,4,0))</f>
        <v/>
      </c>
      <c r="S465" s="209" t="str">
        <f>IF(A465="","",IF(E465="","非役職",VLOOKUP('従業員情報(給与以外)'!$E465,入力シート!$AH$37:$AO$62,5,0)))</f>
        <v/>
      </c>
      <c r="T465" s="102" t="str">
        <f>IF(OR(入力シート!$C$5&lt;&gt;入力リスト!$C$3,COUNTIF(入力シート!$J$16:$S$23,入力リスト!$H$9)=0),"",IF($A465="","",IF(ISERROR(AVERAGEIF(従業員の給与情報!$B:$B,$A465,従業員の給与情報!$C:$C)),0,IF(ISERROR(AVERAGEIF(従業員の給与情報!$B:$B,$A465,従業員の給与情報!$C:$C)),0,AVERAGEIF(従業員の給与情報!$B:$B,$A465,従業員の給与情報!$C:$C)))))</f>
        <v/>
      </c>
      <c r="U465" s="102" t="str">
        <f>IF(OR(入力シート!$C$5&lt;&gt;入力リスト!$C$3,COUNTIF(入力シート!$J$16:$S$23,入力リスト!$H$9)=0),"",IF(A465="","",IF(ISERROR(AVERAGEIF(従業員の給与情報!$B:$B,$A465,従業員の給与情報!$D:$D)),0,IF(ISERROR(AVERAGEIF(従業員の給与情報!$B:$B,$A465,従業員の給与情報!$D:$D)),0,AVERAGEIF(従業員の給与情報!$B:$B,$A465,従業員の給与情報!$D:$D)))))</f>
        <v/>
      </c>
      <c r="V465" s="102" t="str">
        <f>IF(OR(入力シート!$C$5&lt;&gt;入力リスト!$C$3,COUNTIF(入力シート!$J$16:$S$23,入力リスト!$H$9)=0),"",IF(A465="","",IF(ISERROR(AVERAGEIF(従業員の給与情報!$B:$B,$A465,従業員の給与情報!$E:$E)),0,IF(ISERROR(AVERAGEIF(従業員の給与情報!$B:$B,$A465,従業員の給与情報!$E:$E)),0,AVERAGEIF(従業員の給与情報!$B:$B,$A465,従業員の給与情報!$E:$E)))))</f>
        <v/>
      </c>
      <c r="W465" s="103" t="str">
        <f>IF(OR(入力シート!$C$5&lt;&gt;入力リスト!$C$3,COUNTIF(入力シート!$J$16:$S$23,入力リスト!$H$9)=0),"",IF(A465="","",IF(ISERROR(AVERAGEIF(従業員の給与情報!$B:$B,$A465,従業員の給与情報!$F:$F)),0,IF(ISERROR(AVERAGEIF(従業員の給与情報!$B:$B,$A465,従業員の給与情報!$F:$F)),0,AVERAGEIF(従業員の給与情報!$B:$B,$A465,従業員の給与情報!$F:$F)))))</f>
        <v/>
      </c>
    </row>
    <row r="466" spans="1:23" s="10" customFormat="1">
      <c r="A466" s="253"/>
      <c r="B466" s="246"/>
      <c r="C466" s="247"/>
      <c r="D466" s="246"/>
      <c r="E466" s="246"/>
      <c r="F466" s="257" t="str">
        <f>IF($G$1,"",IF(COUNTIF(A466:E466,"")=5,"",IF(G466,入力リスト!$K$28,IF(OR(A466="",B466="",IF(COUNTIF($C$3,"*不要*"),"",C466=""),D466=""),IF(A466="","従業員番号","")&amp;IF(B466="","「雇用形態」","")&amp;IF(OR(入力シート!$J$18=入力リスト!$H$9,入力シート!$J$22=入力リスト!$H$9),IF(C466="","「入社年月日」",""),"")&amp;IF(D466="","「性別」","")&amp;IF(IF(A466="","従業員番号","")&amp;IF(B466="","「雇用形態」","")&amp;IF(OR(入力シート!$J$18=入力リスト!$H$9,入力シート!$J$22=入力リスト!$H$9),IF(C466="","「入社年月日」",""),"")&amp;IF(D466="","「性別」","")="","",入力リスト!$K$29),IF(J466,入力リスト!$K$30,"")&amp;IF(I466,入力リスト!$K$31,"")&amp;IF(H466,"「雇用形態」","")&amp;IF(K466,"「性別」","")&amp;IF(L466,"「役職」","")&amp;IF(OR(H466,K466,L466),入力リスト!$K$32,"")))))</f>
        <v/>
      </c>
      <c r="G466" s="209" t="b">
        <f>COUNTIF($A$4:A465,$A466)&gt;0</f>
        <v>0</v>
      </c>
      <c r="H466" s="210" t="b">
        <f>IF($H$1,FALSE,COUNTIF(入力シート!$S$37:$V$62,B466)=0)</f>
        <v>0</v>
      </c>
      <c r="I466" s="210" t="b">
        <f t="shared" si="16"/>
        <v>0</v>
      </c>
      <c r="J466" s="210" t="b">
        <f>IF($J$1,FALSE,IF(I466=TRUE,FALSE,IF(I466,FALSE,C466&gt;入力シート!$J$24)))</f>
        <v>0</v>
      </c>
      <c r="K466" s="210" t="b">
        <f>IF($K$1,FALSE,COUNTIF(入力シート!$AW$37:$BB$38,D466)=0)</f>
        <v>0</v>
      </c>
      <c r="L466" s="210" t="b">
        <f>IF($L$1,FALSE,IF($L$3,FALSE,IF(E466="",FALSE,COUNTIF(入力シート!$AH$37:$AK$62,E466)=0)))</f>
        <v>0</v>
      </c>
      <c r="M466" s="211" t="str">
        <f t="shared" si="15"/>
        <v/>
      </c>
      <c r="N466" s="211"/>
      <c r="O466" s="209" t="str">
        <f>IF(B466="","",VLOOKUP('従業員情報(給与以外)'!$B466,入力シート!$S$37:$Z$62,5,0))</f>
        <v/>
      </c>
      <c r="P466" s="156" t="str">
        <f>IF(ISNUMBER(C466)=FALSE,"",IF(C466&gt;入力シート!$J$24,"",_xlfn.DAYS(入力シート!$J$24,'従業員情報(給与以外)'!$C466)/365))</f>
        <v/>
      </c>
      <c r="Q466" s="210" t="str">
        <f>IF(P466="","",VLOOKUP(_xlfn.DAYS(入力シート!$J$24,'従業員情報(給与以外)'!$C466)/365,入力リスト!$K$18:$L$26,2,2))</f>
        <v/>
      </c>
      <c r="R466" s="209" t="str">
        <f>IF(D466="","",VLOOKUP('従業員情報(給与以外)'!$D466,入力シート!$AW$37:$BB$38,4,0))</f>
        <v/>
      </c>
      <c r="S466" s="209" t="str">
        <f>IF(A466="","",IF(E466="","非役職",VLOOKUP('従業員情報(給与以外)'!$E466,入力シート!$AH$37:$AO$62,5,0)))</f>
        <v/>
      </c>
      <c r="T466" s="102" t="str">
        <f>IF(OR(入力シート!$C$5&lt;&gt;入力リスト!$C$3,COUNTIF(入力シート!$J$16:$S$23,入力リスト!$H$9)=0),"",IF($A466="","",IF(ISERROR(AVERAGEIF(従業員の給与情報!$B:$B,$A466,従業員の給与情報!$C:$C)),0,IF(ISERROR(AVERAGEIF(従業員の給与情報!$B:$B,$A466,従業員の給与情報!$C:$C)),0,AVERAGEIF(従業員の給与情報!$B:$B,$A466,従業員の給与情報!$C:$C)))))</f>
        <v/>
      </c>
      <c r="U466" s="102" t="str">
        <f>IF(OR(入力シート!$C$5&lt;&gt;入力リスト!$C$3,COUNTIF(入力シート!$J$16:$S$23,入力リスト!$H$9)=0),"",IF(A466="","",IF(ISERROR(AVERAGEIF(従業員の給与情報!$B:$B,$A466,従業員の給与情報!$D:$D)),0,IF(ISERROR(AVERAGEIF(従業員の給与情報!$B:$B,$A466,従業員の給与情報!$D:$D)),0,AVERAGEIF(従業員の給与情報!$B:$B,$A466,従業員の給与情報!$D:$D)))))</f>
        <v/>
      </c>
      <c r="V466" s="102" t="str">
        <f>IF(OR(入力シート!$C$5&lt;&gt;入力リスト!$C$3,COUNTIF(入力シート!$J$16:$S$23,入力リスト!$H$9)=0),"",IF(A466="","",IF(ISERROR(AVERAGEIF(従業員の給与情報!$B:$B,$A466,従業員の給与情報!$E:$E)),0,IF(ISERROR(AVERAGEIF(従業員の給与情報!$B:$B,$A466,従業員の給与情報!$E:$E)),0,AVERAGEIF(従業員の給与情報!$B:$B,$A466,従業員の給与情報!$E:$E)))))</f>
        <v/>
      </c>
      <c r="W466" s="103" t="str">
        <f>IF(OR(入力シート!$C$5&lt;&gt;入力リスト!$C$3,COUNTIF(入力シート!$J$16:$S$23,入力リスト!$H$9)=0),"",IF(A466="","",IF(ISERROR(AVERAGEIF(従業員の給与情報!$B:$B,$A466,従業員の給与情報!$F:$F)),0,IF(ISERROR(AVERAGEIF(従業員の給与情報!$B:$B,$A466,従業員の給与情報!$F:$F)),0,AVERAGEIF(従業員の給与情報!$B:$B,$A466,従業員の給与情報!$F:$F)))))</f>
        <v/>
      </c>
    </row>
    <row r="467" spans="1:23" s="10" customFormat="1">
      <c r="A467" s="253"/>
      <c r="B467" s="246"/>
      <c r="C467" s="247"/>
      <c r="D467" s="246"/>
      <c r="E467" s="246"/>
      <c r="F467" s="257" t="str">
        <f>IF($G$1,"",IF(COUNTIF(A467:E467,"")=5,"",IF(G467,入力リスト!$K$28,IF(OR(A467="",B467="",IF(COUNTIF($C$3,"*不要*"),"",C467=""),D467=""),IF(A467="","従業員番号","")&amp;IF(B467="","「雇用形態」","")&amp;IF(OR(入力シート!$J$18=入力リスト!$H$9,入力シート!$J$22=入力リスト!$H$9),IF(C467="","「入社年月日」",""),"")&amp;IF(D467="","「性別」","")&amp;IF(IF(A467="","従業員番号","")&amp;IF(B467="","「雇用形態」","")&amp;IF(OR(入力シート!$J$18=入力リスト!$H$9,入力シート!$J$22=入力リスト!$H$9),IF(C467="","「入社年月日」",""),"")&amp;IF(D467="","「性別」","")="","",入力リスト!$K$29),IF(J467,入力リスト!$K$30,"")&amp;IF(I467,入力リスト!$K$31,"")&amp;IF(H467,"「雇用形態」","")&amp;IF(K467,"「性別」","")&amp;IF(L467,"「役職」","")&amp;IF(OR(H467,K467,L467),入力リスト!$K$32,"")))))</f>
        <v/>
      </c>
      <c r="G467" s="209" t="b">
        <f>COUNTIF($A$4:A466,$A467)&gt;0</f>
        <v>0</v>
      </c>
      <c r="H467" s="210" t="b">
        <f>IF($H$1,FALSE,COUNTIF(入力シート!$S$37:$V$62,B467)=0)</f>
        <v>0</v>
      </c>
      <c r="I467" s="210" t="b">
        <f t="shared" si="16"/>
        <v>0</v>
      </c>
      <c r="J467" s="210" t="b">
        <f>IF($J$1,FALSE,IF(I467=TRUE,FALSE,IF(I467,FALSE,C467&gt;入力シート!$J$24)))</f>
        <v>0</v>
      </c>
      <c r="K467" s="210" t="b">
        <f>IF($K$1,FALSE,COUNTIF(入力シート!$AW$37:$BB$38,D467)=0)</f>
        <v>0</v>
      </c>
      <c r="L467" s="210" t="b">
        <f>IF($L$1,FALSE,IF($L$3,FALSE,IF(E467="",FALSE,COUNTIF(入力シート!$AH$37:$AK$62,E467)=0)))</f>
        <v>0</v>
      </c>
      <c r="M467" s="211" t="str">
        <f t="shared" si="15"/>
        <v/>
      </c>
      <c r="N467" s="211"/>
      <c r="O467" s="209" t="str">
        <f>IF(B467="","",VLOOKUP('従業員情報(給与以外)'!$B467,入力シート!$S$37:$Z$62,5,0))</f>
        <v/>
      </c>
      <c r="P467" s="156" t="str">
        <f>IF(ISNUMBER(C467)=FALSE,"",IF(C467&gt;入力シート!$J$24,"",_xlfn.DAYS(入力シート!$J$24,'従業員情報(給与以外)'!$C467)/365))</f>
        <v/>
      </c>
      <c r="Q467" s="210" t="str">
        <f>IF(P467="","",VLOOKUP(_xlfn.DAYS(入力シート!$J$24,'従業員情報(給与以外)'!$C467)/365,入力リスト!$K$18:$L$26,2,2))</f>
        <v/>
      </c>
      <c r="R467" s="209" t="str">
        <f>IF(D467="","",VLOOKUP('従業員情報(給与以外)'!$D467,入力シート!$AW$37:$BB$38,4,0))</f>
        <v/>
      </c>
      <c r="S467" s="209" t="str">
        <f>IF(A467="","",IF(E467="","非役職",VLOOKUP('従業員情報(給与以外)'!$E467,入力シート!$AH$37:$AO$62,5,0)))</f>
        <v/>
      </c>
      <c r="T467" s="102" t="str">
        <f>IF(OR(入力シート!$C$5&lt;&gt;入力リスト!$C$3,COUNTIF(入力シート!$J$16:$S$23,入力リスト!$H$9)=0),"",IF($A467="","",IF(ISERROR(AVERAGEIF(従業員の給与情報!$B:$B,$A467,従業員の給与情報!$C:$C)),0,IF(ISERROR(AVERAGEIF(従業員の給与情報!$B:$B,$A467,従業員の給与情報!$C:$C)),0,AVERAGEIF(従業員の給与情報!$B:$B,$A467,従業員の給与情報!$C:$C)))))</f>
        <v/>
      </c>
      <c r="U467" s="102" t="str">
        <f>IF(OR(入力シート!$C$5&lt;&gt;入力リスト!$C$3,COUNTIF(入力シート!$J$16:$S$23,入力リスト!$H$9)=0),"",IF(A467="","",IF(ISERROR(AVERAGEIF(従業員の給与情報!$B:$B,$A467,従業員の給与情報!$D:$D)),0,IF(ISERROR(AVERAGEIF(従業員の給与情報!$B:$B,$A467,従業員の給与情報!$D:$D)),0,AVERAGEIF(従業員の給与情報!$B:$B,$A467,従業員の給与情報!$D:$D)))))</f>
        <v/>
      </c>
      <c r="V467" s="102" t="str">
        <f>IF(OR(入力シート!$C$5&lt;&gt;入力リスト!$C$3,COUNTIF(入力シート!$J$16:$S$23,入力リスト!$H$9)=0),"",IF(A467="","",IF(ISERROR(AVERAGEIF(従業員の給与情報!$B:$B,$A467,従業員の給与情報!$E:$E)),0,IF(ISERROR(AVERAGEIF(従業員の給与情報!$B:$B,$A467,従業員の給与情報!$E:$E)),0,AVERAGEIF(従業員の給与情報!$B:$B,$A467,従業員の給与情報!$E:$E)))))</f>
        <v/>
      </c>
      <c r="W467" s="103" t="str">
        <f>IF(OR(入力シート!$C$5&lt;&gt;入力リスト!$C$3,COUNTIF(入力シート!$J$16:$S$23,入力リスト!$H$9)=0),"",IF(A467="","",IF(ISERROR(AVERAGEIF(従業員の給与情報!$B:$B,$A467,従業員の給与情報!$F:$F)),0,IF(ISERROR(AVERAGEIF(従業員の給与情報!$B:$B,$A467,従業員の給与情報!$F:$F)),0,AVERAGEIF(従業員の給与情報!$B:$B,$A467,従業員の給与情報!$F:$F)))))</f>
        <v/>
      </c>
    </row>
    <row r="468" spans="1:23" s="10" customFormat="1">
      <c r="A468" s="253"/>
      <c r="B468" s="246"/>
      <c r="C468" s="247"/>
      <c r="D468" s="246"/>
      <c r="E468" s="246"/>
      <c r="F468" s="257" t="str">
        <f>IF($G$1,"",IF(COUNTIF(A468:E468,"")=5,"",IF(G468,入力リスト!$K$28,IF(OR(A468="",B468="",IF(COUNTIF($C$3,"*不要*"),"",C468=""),D468=""),IF(A468="","従業員番号","")&amp;IF(B468="","「雇用形態」","")&amp;IF(OR(入力シート!$J$18=入力リスト!$H$9,入力シート!$J$22=入力リスト!$H$9),IF(C468="","「入社年月日」",""),"")&amp;IF(D468="","「性別」","")&amp;IF(IF(A468="","従業員番号","")&amp;IF(B468="","「雇用形態」","")&amp;IF(OR(入力シート!$J$18=入力リスト!$H$9,入力シート!$J$22=入力リスト!$H$9),IF(C468="","「入社年月日」",""),"")&amp;IF(D468="","「性別」","")="","",入力リスト!$K$29),IF(J468,入力リスト!$K$30,"")&amp;IF(I468,入力リスト!$K$31,"")&amp;IF(H468,"「雇用形態」","")&amp;IF(K468,"「性別」","")&amp;IF(L468,"「役職」","")&amp;IF(OR(H468,K468,L468),入力リスト!$K$32,"")))))</f>
        <v/>
      </c>
      <c r="G468" s="209" t="b">
        <f>COUNTIF($A$4:A467,$A468)&gt;0</f>
        <v>0</v>
      </c>
      <c r="H468" s="210" t="b">
        <f>IF($H$1,FALSE,COUNTIF(入力シート!$S$37:$V$62,B468)=0)</f>
        <v>0</v>
      </c>
      <c r="I468" s="210" t="b">
        <f t="shared" si="16"/>
        <v>0</v>
      </c>
      <c r="J468" s="210" t="b">
        <f>IF($J$1,FALSE,IF(I468=TRUE,FALSE,IF(I468,FALSE,C468&gt;入力シート!$J$24)))</f>
        <v>0</v>
      </c>
      <c r="K468" s="210" t="b">
        <f>IF($K$1,FALSE,COUNTIF(入力シート!$AW$37:$BB$38,D468)=0)</f>
        <v>0</v>
      </c>
      <c r="L468" s="210" t="b">
        <f>IF($L$1,FALSE,IF($L$3,FALSE,IF(E468="",FALSE,COUNTIF(入力シート!$AH$37:$AK$62,E468)=0)))</f>
        <v>0</v>
      </c>
      <c r="M468" s="211" t="str">
        <f t="shared" si="15"/>
        <v/>
      </c>
      <c r="N468" s="211"/>
      <c r="O468" s="209" t="str">
        <f>IF(B468="","",VLOOKUP('従業員情報(給与以外)'!$B468,入力シート!$S$37:$Z$62,5,0))</f>
        <v/>
      </c>
      <c r="P468" s="156" t="str">
        <f>IF(ISNUMBER(C468)=FALSE,"",IF(C468&gt;入力シート!$J$24,"",_xlfn.DAYS(入力シート!$J$24,'従業員情報(給与以外)'!$C468)/365))</f>
        <v/>
      </c>
      <c r="Q468" s="210" t="str">
        <f>IF(P468="","",VLOOKUP(_xlfn.DAYS(入力シート!$J$24,'従業員情報(給与以外)'!$C468)/365,入力リスト!$K$18:$L$26,2,2))</f>
        <v/>
      </c>
      <c r="R468" s="209" t="str">
        <f>IF(D468="","",VLOOKUP('従業員情報(給与以外)'!$D468,入力シート!$AW$37:$BB$38,4,0))</f>
        <v/>
      </c>
      <c r="S468" s="209" t="str">
        <f>IF(A468="","",IF(E468="","非役職",VLOOKUP('従業員情報(給与以外)'!$E468,入力シート!$AH$37:$AO$62,5,0)))</f>
        <v/>
      </c>
      <c r="T468" s="102" t="str">
        <f>IF(OR(入力シート!$C$5&lt;&gt;入力リスト!$C$3,COUNTIF(入力シート!$J$16:$S$23,入力リスト!$H$9)=0),"",IF($A468="","",IF(ISERROR(AVERAGEIF(従業員の給与情報!$B:$B,$A468,従業員の給与情報!$C:$C)),0,IF(ISERROR(AVERAGEIF(従業員の給与情報!$B:$B,$A468,従業員の給与情報!$C:$C)),0,AVERAGEIF(従業員の給与情報!$B:$B,$A468,従業員の給与情報!$C:$C)))))</f>
        <v/>
      </c>
      <c r="U468" s="102" t="str">
        <f>IF(OR(入力シート!$C$5&lt;&gt;入力リスト!$C$3,COUNTIF(入力シート!$J$16:$S$23,入力リスト!$H$9)=0),"",IF(A468="","",IF(ISERROR(AVERAGEIF(従業員の給与情報!$B:$B,$A468,従業員の給与情報!$D:$D)),0,IF(ISERROR(AVERAGEIF(従業員の給与情報!$B:$B,$A468,従業員の給与情報!$D:$D)),0,AVERAGEIF(従業員の給与情報!$B:$B,$A468,従業員の給与情報!$D:$D)))))</f>
        <v/>
      </c>
      <c r="V468" s="102" t="str">
        <f>IF(OR(入力シート!$C$5&lt;&gt;入力リスト!$C$3,COUNTIF(入力シート!$J$16:$S$23,入力リスト!$H$9)=0),"",IF(A468="","",IF(ISERROR(AVERAGEIF(従業員の給与情報!$B:$B,$A468,従業員の給与情報!$E:$E)),0,IF(ISERROR(AVERAGEIF(従業員の給与情報!$B:$B,$A468,従業員の給与情報!$E:$E)),0,AVERAGEIF(従業員の給与情報!$B:$B,$A468,従業員の給与情報!$E:$E)))))</f>
        <v/>
      </c>
      <c r="W468" s="103" t="str">
        <f>IF(OR(入力シート!$C$5&lt;&gt;入力リスト!$C$3,COUNTIF(入力シート!$J$16:$S$23,入力リスト!$H$9)=0),"",IF(A468="","",IF(ISERROR(AVERAGEIF(従業員の給与情報!$B:$B,$A468,従業員の給与情報!$F:$F)),0,IF(ISERROR(AVERAGEIF(従業員の給与情報!$B:$B,$A468,従業員の給与情報!$F:$F)),0,AVERAGEIF(従業員の給与情報!$B:$B,$A468,従業員の給与情報!$F:$F)))))</f>
        <v/>
      </c>
    </row>
    <row r="469" spans="1:23" s="10" customFormat="1">
      <c r="A469" s="253"/>
      <c r="B469" s="246"/>
      <c r="C469" s="247"/>
      <c r="D469" s="246"/>
      <c r="E469" s="246"/>
      <c r="F469" s="257" t="str">
        <f>IF($G$1,"",IF(COUNTIF(A469:E469,"")=5,"",IF(G469,入力リスト!$K$28,IF(OR(A469="",B469="",IF(COUNTIF($C$3,"*不要*"),"",C469=""),D469=""),IF(A469="","従業員番号","")&amp;IF(B469="","「雇用形態」","")&amp;IF(OR(入力シート!$J$18=入力リスト!$H$9,入力シート!$J$22=入力リスト!$H$9),IF(C469="","「入社年月日」",""),"")&amp;IF(D469="","「性別」","")&amp;IF(IF(A469="","従業員番号","")&amp;IF(B469="","「雇用形態」","")&amp;IF(OR(入力シート!$J$18=入力リスト!$H$9,入力シート!$J$22=入力リスト!$H$9),IF(C469="","「入社年月日」",""),"")&amp;IF(D469="","「性別」","")="","",入力リスト!$K$29),IF(J469,入力リスト!$K$30,"")&amp;IF(I469,入力リスト!$K$31,"")&amp;IF(H469,"「雇用形態」","")&amp;IF(K469,"「性別」","")&amp;IF(L469,"「役職」","")&amp;IF(OR(H469,K469,L469),入力リスト!$K$32,"")))))</f>
        <v/>
      </c>
      <c r="G469" s="209" t="b">
        <f>COUNTIF($A$4:A468,$A469)&gt;0</f>
        <v>0</v>
      </c>
      <c r="H469" s="210" t="b">
        <f>IF($H$1,FALSE,COUNTIF(入力シート!$S$37:$V$62,B469)=0)</f>
        <v>0</v>
      </c>
      <c r="I469" s="210" t="b">
        <f t="shared" si="16"/>
        <v>0</v>
      </c>
      <c r="J469" s="210" t="b">
        <f>IF($J$1,FALSE,IF(I469=TRUE,FALSE,IF(I469,FALSE,C469&gt;入力シート!$J$24)))</f>
        <v>0</v>
      </c>
      <c r="K469" s="210" t="b">
        <f>IF($K$1,FALSE,COUNTIF(入力シート!$AW$37:$BB$38,D469)=0)</f>
        <v>0</v>
      </c>
      <c r="L469" s="210" t="b">
        <f>IF($L$1,FALSE,IF($L$3,FALSE,IF(E469="",FALSE,COUNTIF(入力シート!$AH$37:$AK$62,E469)=0)))</f>
        <v>0</v>
      </c>
      <c r="M469" s="211" t="str">
        <f t="shared" si="15"/>
        <v/>
      </c>
      <c r="N469" s="211"/>
      <c r="O469" s="209" t="str">
        <f>IF(B469="","",VLOOKUP('従業員情報(給与以外)'!$B469,入力シート!$S$37:$Z$62,5,0))</f>
        <v/>
      </c>
      <c r="P469" s="156" t="str">
        <f>IF(ISNUMBER(C469)=FALSE,"",IF(C469&gt;入力シート!$J$24,"",_xlfn.DAYS(入力シート!$J$24,'従業員情報(給与以外)'!$C469)/365))</f>
        <v/>
      </c>
      <c r="Q469" s="210" t="str">
        <f>IF(P469="","",VLOOKUP(_xlfn.DAYS(入力シート!$J$24,'従業員情報(給与以外)'!$C469)/365,入力リスト!$K$18:$L$26,2,2))</f>
        <v/>
      </c>
      <c r="R469" s="209" t="str">
        <f>IF(D469="","",VLOOKUP('従業員情報(給与以外)'!$D469,入力シート!$AW$37:$BB$38,4,0))</f>
        <v/>
      </c>
      <c r="S469" s="209" t="str">
        <f>IF(A469="","",IF(E469="","非役職",VLOOKUP('従業員情報(給与以外)'!$E469,入力シート!$AH$37:$AO$62,5,0)))</f>
        <v/>
      </c>
      <c r="T469" s="102" t="str">
        <f>IF(OR(入力シート!$C$5&lt;&gt;入力リスト!$C$3,COUNTIF(入力シート!$J$16:$S$23,入力リスト!$H$9)=0),"",IF($A469="","",IF(ISERROR(AVERAGEIF(従業員の給与情報!$B:$B,$A469,従業員の給与情報!$C:$C)),0,IF(ISERROR(AVERAGEIF(従業員の給与情報!$B:$B,$A469,従業員の給与情報!$C:$C)),0,AVERAGEIF(従業員の給与情報!$B:$B,$A469,従業員の給与情報!$C:$C)))))</f>
        <v/>
      </c>
      <c r="U469" s="102" t="str">
        <f>IF(OR(入力シート!$C$5&lt;&gt;入力リスト!$C$3,COUNTIF(入力シート!$J$16:$S$23,入力リスト!$H$9)=0),"",IF(A469="","",IF(ISERROR(AVERAGEIF(従業員の給与情報!$B:$B,$A469,従業員の給与情報!$D:$D)),0,IF(ISERROR(AVERAGEIF(従業員の給与情報!$B:$B,$A469,従業員の給与情報!$D:$D)),0,AVERAGEIF(従業員の給与情報!$B:$B,$A469,従業員の給与情報!$D:$D)))))</f>
        <v/>
      </c>
      <c r="V469" s="102" t="str">
        <f>IF(OR(入力シート!$C$5&lt;&gt;入力リスト!$C$3,COUNTIF(入力シート!$J$16:$S$23,入力リスト!$H$9)=0),"",IF(A469="","",IF(ISERROR(AVERAGEIF(従業員の給与情報!$B:$B,$A469,従業員の給与情報!$E:$E)),0,IF(ISERROR(AVERAGEIF(従業員の給与情報!$B:$B,$A469,従業員の給与情報!$E:$E)),0,AVERAGEIF(従業員の給与情報!$B:$B,$A469,従業員の給与情報!$E:$E)))))</f>
        <v/>
      </c>
      <c r="W469" s="103" t="str">
        <f>IF(OR(入力シート!$C$5&lt;&gt;入力リスト!$C$3,COUNTIF(入力シート!$J$16:$S$23,入力リスト!$H$9)=0),"",IF(A469="","",IF(ISERROR(AVERAGEIF(従業員の給与情報!$B:$B,$A469,従業員の給与情報!$F:$F)),0,IF(ISERROR(AVERAGEIF(従業員の給与情報!$B:$B,$A469,従業員の給与情報!$F:$F)),0,AVERAGEIF(従業員の給与情報!$B:$B,$A469,従業員の給与情報!$F:$F)))))</f>
        <v/>
      </c>
    </row>
    <row r="470" spans="1:23" s="10" customFormat="1">
      <c r="A470" s="253"/>
      <c r="B470" s="246"/>
      <c r="C470" s="247"/>
      <c r="D470" s="246"/>
      <c r="E470" s="246"/>
      <c r="F470" s="257" t="str">
        <f>IF($G$1,"",IF(COUNTIF(A470:E470,"")=5,"",IF(G470,入力リスト!$K$28,IF(OR(A470="",B470="",IF(COUNTIF($C$3,"*不要*"),"",C470=""),D470=""),IF(A470="","従業員番号","")&amp;IF(B470="","「雇用形態」","")&amp;IF(OR(入力シート!$J$18=入力リスト!$H$9,入力シート!$J$22=入力リスト!$H$9),IF(C470="","「入社年月日」",""),"")&amp;IF(D470="","「性別」","")&amp;IF(IF(A470="","従業員番号","")&amp;IF(B470="","「雇用形態」","")&amp;IF(OR(入力シート!$J$18=入力リスト!$H$9,入力シート!$J$22=入力リスト!$H$9),IF(C470="","「入社年月日」",""),"")&amp;IF(D470="","「性別」","")="","",入力リスト!$K$29),IF(J470,入力リスト!$K$30,"")&amp;IF(I470,入力リスト!$K$31,"")&amp;IF(H470,"「雇用形態」","")&amp;IF(K470,"「性別」","")&amp;IF(L470,"「役職」","")&amp;IF(OR(H470,K470,L470),入力リスト!$K$32,"")))))</f>
        <v/>
      </c>
      <c r="G470" s="209" t="b">
        <f>COUNTIF($A$4:A469,$A470)&gt;0</f>
        <v>0</v>
      </c>
      <c r="H470" s="210" t="b">
        <f>IF($H$1,FALSE,COUNTIF(入力シート!$S$37:$V$62,B470)=0)</f>
        <v>0</v>
      </c>
      <c r="I470" s="210" t="b">
        <f t="shared" si="16"/>
        <v>0</v>
      </c>
      <c r="J470" s="210" t="b">
        <f>IF($J$1,FALSE,IF(I470=TRUE,FALSE,IF(I470,FALSE,C470&gt;入力シート!$J$24)))</f>
        <v>0</v>
      </c>
      <c r="K470" s="210" t="b">
        <f>IF($K$1,FALSE,COUNTIF(入力シート!$AW$37:$BB$38,D470)=0)</f>
        <v>0</v>
      </c>
      <c r="L470" s="210" t="b">
        <f>IF($L$1,FALSE,IF($L$3,FALSE,IF(E470="",FALSE,COUNTIF(入力シート!$AH$37:$AK$62,E470)=0)))</f>
        <v>0</v>
      </c>
      <c r="M470" s="211" t="str">
        <f t="shared" si="15"/>
        <v/>
      </c>
      <c r="N470" s="211"/>
      <c r="O470" s="209" t="str">
        <f>IF(B470="","",VLOOKUP('従業員情報(給与以外)'!$B470,入力シート!$S$37:$Z$62,5,0))</f>
        <v/>
      </c>
      <c r="P470" s="156" t="str">
        <f>IF(ISNUMBER(C470)=FALSE,"",IF(C470&gt;入力シート!$J$24,"",_xlfn.DAYS(入力シート!$J$24,'従業員情報(給与以外)'!$C470)/365))</f>
        <v/>
      </c>
      <c r="Q470" s="210" t="str">
        <f>IF(P470="","",VLOOKUP(_xlfn.DAYS(入力シート!$J$24,'従業員情報(給与以外)'!$C470)/365,入力リスト!$K$18:$L$26,2,2))</f>
        <v/>
      </c>
      <c r="R470" s="209" t="str">
        <f>IF(D470="","",VLOOKUP('従業員情報(給与以外)'!$D470,入力シート!$AW$37:$BB$38,4,0))</f>
        <v/>
      </c>
      <c r="S470" s="209" t="str">
        <f>IF(A470="","",IF(E470="","非役職",VLOOKUP('従業員情報(給与以外)'!$E470,入力シート!$AH$37:$AO$62,5,0)))</f>
        <v/>
      </c>
      <c r="T470" s="102" t="str">
        <f>IF(OR(入力シート!$C$5&lt;&gt;入力リスト!$C$3,COUNTIF(入力シート!$J$16:$S$23,入力リスト!$H$9)=0),"",IF($A470="","",IF(ISERROR(AVERAGEIF(従業員の給与情報!$B:$B,$A470,従業員の給与情報!$C:$C)),0,IF(ISERROR(AVERAGEIF(従業員の給与情報!$B:$B,$A470,従業員の給与情報!$C:$C)),0,AVERAGEIF(従業員の給与情報!$B:$B,$A470,従業員の給与情報!$C:$C)))))</f>
        <v/>
      </c>
      <c r="U470" s="102" t="str">
        <f>IF(OR(入力シート!$C$5&lt;&gt;入力リスト!$C$3,COUNTIF(入力シート!$J$16:$S$23,入力リスト!$H$9)=0),"",IF(A470="","",IF(ISERROR(AVERAGEIF(従業員の給与情報!$B:$B,$A470,従業員の給与情報!$D:$D)),0,IF(ISERROR(AVERAGEIF(従業員の給与情報!$B:$B,$A470,従業員の給与情報!$D:$D)),0,AVERAGEIF(従業員の給与情報!$B:$B,$A470,従業員の給与情報!$D:$D)))))</f>
        <v/>
      </c>
      <c r="V470" s="102" t="str">
        <f>IF(OR(入力シート!$C$5&lt;&gt;入力リスト!$C$3,COUNTIF(入力シート!$J$16:$S$23,入力リスト!$H$9)=0),"",IF(A470="","",IF(ISERROR(AVERAGEIF(従業員の給与情報!$B:$B,$A470,従業員の給与情報!$E:$E)),0,IF(ISERROR(AVERAGEIF(従業員の給与情報!$B:$B,$A470,従業員の給与情報!$E:$E)),0,AVERAGEIF(従業員の給与情報!$B:$B,$A470,従業員の給与情報!$E:$E)))))</f>
        <v/>
      </c>
      <c r="W470" s="103" t="str">
        <f>IF(OR(入力シート!$C$5&lt;&gt;入力リスト!$C$3,COUNTIF(入力シート!$J$16:$S$23,入力リスト!$H$9)=0),"",IF(A470="","",IF(ISERROR(AVERAGEIF(従業員の給与情報!$B:$B,$A470,従業員の給与情報!$F:$F)),0,IF(ISERROR(AVERAGEIF(従業員の給与情報!$B:$B,$A470,従業員の給与情報!$F:$F)),0,AVERAGEIF(従業員の給与情報!$B:$B,$A470,従業員の給与情報!$F:$F)))))</f>
        <v/>
      </c>
    </row>
    <row r="471" spans="1:23" s="10" customFormat="1">
      <c r="A471" s="253"/>
      <c r="B471" s="246"/>
      <c r="C471" s="247"/>
      <c r="D471" s="246"/>
      <c r="E471" s="246"/>
      <c r="F471" s="257" t="str">
        <f>IF($G$1,"",IF(COUNTIF(A471:E471,"")=5,"",IF(G471,入力リスト!$K$28,IF(OR(A471="",B471="",IF(COUNTIF($C$3,"*不要*"),"",C471=""),D471=""),IF(A471="","従業員番号","")&amp;IF(B471="","「雇用形態」","")&amp;IF(OR(入力シート!$J$18=入力リスト!$H$9,入力シート!$J$22=入力リスト!$H$9),IF(C471="","「入社年月日」",""),"")&amp;IF(D471="","「性別」","")&amp;IF(IF(A471="","従業員番号","")&amp;IF(B471="","「雇用形態」","")&amp;IF(OR(入力シート!$J$18=入力リスト!$H$9,入力シート!$J$22=入力リスト!$H$9),IF(C471="","「入社年月日」",""),"")&amp;IF(D471="","「性別」","")="","",入力リスト!$K$29),IF(J471,入力リスト!$K$30,"")&amp;IF(I471,入力リスト!$K$31,"")&amp;IF(H471,"「雇用形態」","")&amp;IF(K471,"「性別」","")&amp;IF(L471,"「役職」","")&amp;IF(OR(H471,K471,L471),入力リスト!$K$32,"")))))</f>
        <v/>
      </c>
      <c r="G471" s="209" t="b">
        <f>COUNTIF($A$4:A470,$A471)&gt;0</f>
        <v>0</v>
      </c>
      <c r="H471" s="210" t="b">
        <f>IF($H$1,FALSE,COUNTIF(入力シート!$S$37:$V$62,B471)=0)</f>
        <v>0</v>
      </c>
      <c r="I471" s="210" t="b">
        <f t="shared" si="16"/>
        <v>0</v>
      </c>
      <c r="J471" s="210" t="b">
        <f>IF($J$1,FALSE,IF(I471=TRUE,FALSE,IF(I471,FALSE,C471&gt;入力シート!$J$24)))</f>
        <v>0</v>
      </c>
      <c r="K471" s="210" t="b">
        <f>IF($K$1,FALSE,COUNTIF(入力シート!$AW$37:$BB$38,D471)=0)</f>
        <v>0</v>
      </c>
      <c r="L471" s="210" t="b">
        <f>IF($L$1,FALSE,IF($L$3,FALSE,IF(E471="",FALSE,COUNTIF(入力シート!$AH$37:$AK$62,E471)=0)))</f>
        <v>0</v>
      </c>
      <c r="M471" s="211" t="str">
        <f t="shared" si="15"/>
        <v/>
      </c>
      <c r="N471" s="211"/>
      <c r="O471" s="209" t="str">
        <f>IF(B471="","",VLOOKUP('従業員情報(給与以外)'!$B471,入力シート!$S$37:$Z$62,5,0))</f>
        <v/>
      </c>
      <c r="P471" s="156" t="str">
        <f>IF(ISNUMBER(C471)=FALSE,"",IF(C471&gt;入力シート!$J$24,"",_xlfn.DAYS(入力シート!$J$24,'従業員情報(給与以外)'!$C471)/365))</f>
        <v/>
      </c>
      <c r="Q471" s="210" t="str">
        <f>IF(P471="","",VLOOKUP(_xlfn.DAYS(入力シート!$J$24,'従業員情報(給与以外)'!$C471)/365,入力リスト!$K$18:$L$26,2,2))</f>
        <v/>
      </c>
      <c r="R471" s="209" t="str">
        <f>IF(D471="","",VLOOKUP('従業員情報(給与以外)'!$D471,入力シート!$AW$37:$BB$38,4,0))</f>
        <v/>
      </c>
      <c r="S471" s="209" t="str">
        <f>IF(A471="","",IF(E471="","非役職",VLOOKUP('従業員情報(給与以外)'!$E471,入力シート!$AH$37:$AO$62,5,0)))</f>
        <v/>
      </c>
      <c r="T471" s="102" t="str">
        <f>IF(OR(入力シート!$C$5&lt;&gt;入力リスト!$C$3,COUNTIF(入力シート!$J$16:$S$23,入力リスト!$H$9)=0),"",IF($A471="","",IF(ISERROR(AVERAGEIF(従業員の給与情報!$B:$B,$A471,従業員の給与情報!$C:$C)),0,IF(ISERROR(AVERAGEIF(従業員の給与情報!$B:$B,$A471,従業員の給与情報!$C:$C)),0,AVERAGEIF(従業員の給与情報!$B:$B,$A471,従業員の給与情報!$C:$C)))))</f>
        <v/>
      </c>
      <c r="U471" s="102" t="str">
        <f>IF(OR(入力シート!$C$5&lt;&gt;入力リスト!$C$3,COUNTIF(入力シート!$J$16:$S$23,入力リスト!$H$9)=0),"",IF(A471="","",IF(ISERROR(AVERAGEIF(従業員の給与情報!$B:$B,$A471,従業員の給与情報!$D:$D)),0,IF(ISERROR(AVERAGEIF(従業員の給与情報!$B:$B,$A471,従業員の給与情報!$D:$D)),0,AVERAGEIF(従業員の給与情報!$B:$B,$A471,従業員の給与情報!$D:$D)))))</f>
        <v/>
      </c>
      <c r="V471" s="102" t="str">
        <f>IF(OR(入力シート!$C$5&lt;&gt;入力リスト!$C$3,COUNTIF(入力シート!$J$16:$S$23,入力リスト!$H$9)=0),"",IF(A471="","",IF(ISERROR(AVERAGEIF(従業員の給与情報!$B:$B,$A471,従業員の給与情報!$E:$E)),0,IF(ISERROR(AVERAGEIF(従業員の給与情報!$B:$B,$A471,従業員の給与情報!$E:$E)),0,AVERAGEIF(従業員の給与情報!$B:$B,$A471,従業員の給与情報!$E:$E)))))</f>
        <v/>
      </c>
      <c r="W471" s="103" t="str">
        <f>IF(OR(入力シート!$C$5&lt;&gt;入力リスト!$C$3,COUNTIF(入力シート!$J$16:$S$23,入力リスト!$H$9)=0),"",IF(A471="","",IF(ISERROR(AVERAGEIF(従業員の給与情報!$B:$B,$A471,従業員の給与情報!$F:$F)),0,IF(ISERROR(AVERAGEIF(従業員の給与情報!$B:$B,$A471,従業員の給与情報!$F:$F)),0,AVERAGEIF(従業員の給与情報!$B:$B,$A471,従業員の給与情報!$F:$F)))))</f>
        <v/>
      </c>
    </row>
    <row r="472" spans="1:23" s="10" customFormat="1">
      <c r="A472" s="253"/>
      <c r="B472" s="246"/>
      <c r="C472" s="247"/>
      <c r="D472" s="246"/>
      <c r="E472" s="246"/>
      <c r="F472" s="257" t="str">
        <f>IF($G$1,"",IF(COUNTIF(A472:E472,"")=5,"",IF(G472,入力リスト!$K$28,IF(OR(A472="",B472="",IF(COUNTIF($C$3,"*不要*"),"",C472=""),D472=""),IF(A472="","従業員番号","")&amp;IF(B472="","「雇用形態」","")&amp;IF(OR(入力シート!$J$18=入力リスト!$H$9,入力シート!$J$22=入力リスト!$H$9),IF(C472="","「入社年月日」",""),"")&amp;IF(D472="","「性別」","")&amp;IF(IF(A472="","従業員番号","")&amp;IF(B472="","「雇用形態」","")&amp;IF(OR(入力シート!$J$18=入力リスト!$H$9,入力シート!$J$22=入力リスト!$H$9),IF(C472="","「入社年月日」",""),"")&amp;IF(D472="","「性別」","")="","",入力リスト!$K$29),IF(J472,入力リスト!$K$30,"")&amp;IF(I472,入力リスト!$K$31,"")&amp;IF(H472,"「雇用形態」","")&amp;IF(K472,"「性別」","")&amp;IF(L472,"「役職」","")&amp;IF(OR(H472,K472,L472),入力リスト!$K$32,"")))))</f>
        <v/>
      </c>
      <c r="G472" s="209" t="b">
        <f>COUNTIF($A$4:A471,$A472)&gt;0</f>
        <v>0</v>
      </c>
      <c r="H472" s="210" t="b">
        <f>IF($H$1,FALSE,COUNTIF(入力シート!$S$37:$V$62,B472)=0)</f>
        <v>0</v>
      </c>
      <c r="I472" s="210" t="b">
        <f t="shared" si="16"/>
        <v>0</v>
      </c>
      <c r="J472" s="210" t="b">
        <f>IF($J$1,FALSE,IF(I472=TRUE,FALSE,IF(I472,FALSE,C472&gt;入力シート!$J$24)))</f>
        <v>0</v>
      </c>
      <c r="K472" s="210" t="b">
        <f>IF($K$1,FALSE,COUNTIF(入力シート!$AW$37:$BB$38,D472)=0)</f>
        <v>0</v>
      </c>
      <c r="L472" s="210" t="b">
        <f>IF($L$1,FALSE,IF($L$3,FALSE,IF(E472="",FALSE,COUNTIF(入力シート!$AH$37:$AK$62,E472)=0)))</f>
        <v>0</v>
      </c>
      <c r="M472" s="211" t="str">
        <f t="shared" si="15"/>
        <v/>
      </c>
      <c r="N472" s="211"/>
      <c r="O472" s="209" t="str">
        <f>IF(B472="","",VLOOKUP('従業員情報(給与以外)'!$B472,入力シート!$S$37:$Z$62,5,0))</f>
        <v/>
      </c>
      <c r="P472" s="156" t="str">
        <f>IF(ISNUMBER(C472)=FALSE,"",IF(C472&gt;入力シート!$J$24,"",_xlfn.DAYS(入力シート!$J$24,'従業員情報(給与以外)'!$C472)/365))</f>
        <v/>
      </c>
      <c r="Q472" s="210" t="str">
        <f>IF(P472="","",VLOOKUP(_xlfn.DAYS(入力シート!$J$24,'従業員情報(給与以外)'!$C472)/365,入力リスト!$K$18:$L$26,2,2))</f>
        <v/>
      </c>
      <c r="R472" s="209" t="str">
        <f>IF(D472="","",VLOOKUP('従業員情報(給与以外)'!$D472,入力シート!$AW$37:$BB$38,4,0))</f>
        <v/>
      </c>
      <c r="S472" s="209" t="str">
        <f>IF(A472="","",IF(E472="","非役職",VLOOKUP('従業員情報(給与以外)'!$E472,入力シート!$AH$37:$AO$62,5,0)))</f>
        <v/>
      </c>
      <c r="T472" s="102" t="str">
        <f>IF(OR(入力シート!$C$5&lt;&gt;入力リスト!$C$3,COUNTIF(入力シート!$J$16:$S$23,入力リスト!$H$9)=0),"",IF($A472="","",IF(ISERROR(AVERAGEIF(従業員の給与情報!$B:$B,$A472,従業員の給与情報!$C:$C)),0,IF(ISERROR(AVERAGEIF(従業員の給与情報!$B:$B,$A472,従業員の給与情報!$C:$C)),0,AVERAGEIF(従業員の給与情報!$B:$B,$A472,従業員の給与情報!$C:$C)))))</f>
        <v/>
      </c>
      <c r="U472" s="102" t="str">
        <f>IF(OR(入力シート!$C$5&lt;&gt;入力リスト!$C$3,COUNTIF(入力シート!$J$16:$S$23,入力リスト!$H$9)=0),"",IF(A472="","",IF(ISERROR(AVERAGEIF(従業員の給与情報!$B:$B,$A472,従業員の給与情報!$D:$D)),0,IF(ISERROR(AVERAGEIF(従業員の給与情報!$B:$B,$A472,従業員の給与情報!$D:$D)),0,AVERAGEIF(従業員の給与情報!$B:$B,$A472,従業員の給与情報!$D:$D)))))</f>
        <v/>
      </c>
      <c r="V472" s="102" t="str">
        <f>IF(OR(入力シート!$C$5&lt;&gt;入力リスト!$C$3,COUNTIF(入力シート!$J$16:$S$23,入力リスト!$H$9)=0),"",IF(A472="","",IF(ISERROR(AVERAGEIF(従業員の給与情報!$B:$B,$A472,従業員の給与情報!$E:$E)),0,IF(ISERROR(AVERAGEIF(従業員の給与情報!$B:$B,$A472,従業員の給与情報!$E:$E)),0,AVERAGEIF(従業員の給与情報!$B:$B,$A472,従業員の給与情報!$E:$E)))))</f>
        <v/>
      </c>
      <c r="W472" s="103" t="str">
        <f>IF(OR(入力シート!$C$5&lt;&gt;入力リスト!$C$3,COUNTIF(入力シート!$J$16:$S$23,入力リスト!$H$9)=0),"",IF(A472="","",IF(ISERROR(AVERAGEIF(従業員の給与情報!$B:$B,$A472,従業員の給与情報!$F:$F)),0,IF(ISERROR(AVERAGEIF(従業員の給与情報!$B:$B,$A472,従業員の給与情報!$F:$F)),0,AVERAGEIF(従業員の給与情報!$B:$B,$A472,従業員の給与情報!$F:$F)))))</f>
        <v/>
      </c>
    </row>
    <row r="473" spans="1:23" s="10" customFormat="1">
      <c r="A473" s="253"/>
      <c r="B473" s="246"/>
      <c r="C473" s="247"/>
      <c r="D473" s="246"/>
      <c r="E473" s="246"/>
      <c r="F473" s="257" t="str">
        <f>IF($G$1,"",IF(COUNTIF(A473:E473,"")=5,"",IF(G473,入力リスト!$K$28,IF(OR(A473="",B473="",IF(COUNTIF($C$3,"*不要*"),"",C473=""),D473=""),IF(A473="","従業員番号","")&amp;IF(B473="","「雇用形態」","")&amp;IF(OR(入力シート!$J$18=入力リスト!$H$9,入力シート!$J$22=入力リスト!$H$9),IF(C473="","「入社年月日」",""),"")&amp;IF(D473="","「性別」","")&amp;IF(IF(A473="","従業員番号","")&amp;IF(B473="","「雇用形態」","")&amp;IF(OR(入力シート!$J$18=入力リスト!$H$9,入力シート!$J$22=入力リスト!$H$9),IF(C473="","「入社年月日」",""),"")&amp;IF(D473="","「性別」","")="","",入力リスト!$K$29),IF(J473,入力リスト!$K$30,"")&amp;IF(I473,入力リスト!$K$31,"")&amp;IF(H473,"「雇用形態」","")&amp;IF(K473,"「性別」","")&amp;IF(L473,"「役職」","")&amp;IF(OR(H473,K473,L473),入力リスト!$K$32,"")))))</f>
        <v/>
      </c>
      <c r="G473" s="209" t="b">
        <f>COUNTIF($A$4:A472,$A473)&gt;0</f>
        <v>0</v>
      </c>
      <c r="H473" s="210" t="b">
        <f>IF($H$1,FALSE,COUNTIF(入力シート!$S$37:$V$62,B473)=0)</f>
        <v>0</v>
      </c>
      <c r="I473" s="210" t="b">
        <f t="shared" si="16"/>
        <v>0</v>
      </c>
      <c r="J473" s="210" t="b">
        <f>IF($J$1,FALSE,IF(I473=TRUE,FALSE,IF(I473,FALSE,C473&gt;入力シート!$J$24)))</f>
        <v>0</v>
      </c>
      <c r="K473" s="210" t="b">
        <f>IF($K$1,FALSE,COUNTIF(入力シート!$AW$37:$BB$38,D473)=0)</f>
        <v>0</v>
      </c>
      <c r="L473" s="210" t="b">
        <f>IF($L$1,FALSE,IF($L$3,FALSE,IF(E473="",FALSE,COUNTIF(入力シート!$AH$37:$AK$62,E473)=0)))</f>
        <v>0</v>
      </c>
      <c r="M473" s="211" t="str">
        <f t="shared" si="15"/>
        <v/>
      </c>
      <c r="N473" s="211"/>
      <c r="O473" s="209" t="str">
        <f>IF(B473="","",VLOOKUP('従業員情報(給与以外)'!$B473,入力シート!$S$37:$Z$62,5,0))</f>
        <v/>
      </c>
      <c r="P473" s="156" t="str">
        <f>IF(ISNUMBER(C473)=FALSE,"",IF(C473&gt;入力シート!$J$24,"",_xlfn.DAYS(入力シート!$J$24,'従業員情報(給与以外)'!$C473)/365))</f>
        <v/>
      </c>
      <c r="Q473" s="210" t="str">
        <f>IF(P473="","",VLOOKUP(_xlfn.DAYS(入力シート!$J$24,'従業員情報(給与以外)'!$C473)/365,入力リスト!$K$18:$L$26,2,2))</f>
        <v/>
      </c>
      <c r="R473" s="209" t="str">
        <f>IF(D473="","",VLOOKUP('従業員情報(給与以外)'!$D473,入力シート!$AW$37:$BB$38,4,0))</f>
        <v/>
      </c>
      <c r="S473" s="209" t="str">
        <f>IF(A473="","",IF(E473="","非役職",VLOOKUP('従業員情報(給与以外)'!$E473,入力シート!$AH$37:$AO$62,5,0)))</f>
        <v/>
      </c>
      <c r="T473" s="102" t="str">
        <f>IF(OR(入力シート!$C$5&lt;&gt;入力リスト!$C$3,COUNTIF(入力シート!$J$16:$S$23,入力リスト!$H$9)=0),"",IF($A473="","",IF(ISERROR(AVERAGEIF(従業員の給与情報!$B:$B,$A473,従業員の給与情報!$C:$C)),0,IF(ISERROR(AVERAGEIF(従業員の給与情報!$B:$B,$A473,従業員の給与情報!$C:$C)),0,AVERAGEIF(従業員の給与情報!$B:$B,$A473,従業員の給与情報!$C:$C)))))</f>
        <v/>
      </c>
      <c r="U473" s="102" t="str">
        <f>IF(OR(入力シート!$C$5&lt;&gt;入力リスト!$C$3,COUNTIF(入力シート!$J$16:$S$23,入力リスト!$H$9)=0),"",IF(A473="","",IF(ISERROR(AVERAGEIF(従業員の給与情報!$B:$B,$A473,従業員の給与情報!$D:$D)),0,IF(ISERROR(AVERAGEIF(従業員の給与情報!$B:$B,$A473,従業員の給与情報!$D:$D)),0,AVERAGEIF(従業員の給与情報!$B:$B,$A473,従業員の給与情報!$D:$D)))))</f>
        <v/>
      </c>
      <c r="V473" s="102" t="str">
        <f>IF(OR(入力シート!$C$5&lt;&gt;入力リスト!$C$3,COUNTIF(入力シート!$J$16:$S$23,入力リスト!$H$9)=0),"",IF(A473="","",IF(ISERROR(AVERAGEIF(従業員の給与情報!$B:$B,$A473,従業員の給与情報!$E:$E)),0,IF(ISERROR(AVERAGEIF(従業員の給与情報!$B:$B,$A473,従業員の給与情報!$E:$E)),0,AVERAGEIF(従業員の給与情報!$B:$B,$A473,従業員の給与情報!$E:$E)))))</f>
        <v/>
      </c>
      <c r="W473" s="103" t="str">
        <f>IF(OR(入力シート!$C$5&lt;&gt;入力リスト!$C$3,COUNTIF(入力シート!$J$16:$S$23,入力リスト!$H$9)=0),"",IF(A473="","",IF(ISERROR(AVERAGEIF(従業員の給与情報!$B:$B,$A473,従業員の給与情報!$F:$F)),0,IF(ISERROR(AVERAGEIF(従業員の給与情報!$B:$B,$A473,従業員の給与情報!$F:$F)),0,AVERAGEIF(従業員の給与情報!$B:$B,$A473,従業員の給与情報!$F:$F)))))</f>
        <v/>
      </c>
    </row>
    <row r="474" spans="1:23" s="10" customFormat="1">
      <c r="A474" s="253"/>
      <c r="B474" s="246"/>
      <c r="C474" s="247"/>
      <c r="D474" s="246"/>
      <c r="E474" s="246"/>
      <c r="F474" s="257" t="str">
        <f>IF($G$1,"",IF(COUNTIF(A474:E474,"")=5,"",IF(G474,入力リスト!$K$28,IF(OR(A474="",B474="",IF(COUNTIF($C$3,"*不要*"),"",C474=""),D474=""),IF(A474="","従業員番号","")&amp;IF(B474="","「雇用形態」","")&amp;IF(OR(入力シート!$J$18=入力リスト!$H$9,入力シート!$J$22=入力リスト!$H$9),IF(C474="","「入社年月日」",""),"")&amp;IF(D474="","「性別」","")&amp;IF(IF(A474="","従業員番号","")&amp;IF(B474="","「雇用形態」","")&amp;IF(OR(入力シート!$J$18=入力リスト!$H$9,入力シート!$J$22=入力リスト!$H$9),IF(C474="","「入社年月日」",""),"")&amp;IF(D474="","「性別」","")="","",入力リスト!$K$29),IF(J474,入力リスト!$K$30,"")&amp;IF(I474,入力リスト!$K$31,"")&amp;IF(H474,"「雇用形態」","")&amp;IF(K474,"「性別」","")&amp;IF(L474,"「役職」","")&amp;IF(OR(H474,K474,L474),入力リスト!$K$32,"")))))</f>
        <v/>
      </c>
      <c r="G474" s="209" t="b">
        <f>COUNTIF($A$4:A473,$A474)&gt;0</f>
        <v>0</v>
      </c>
      <c r="H474" s="210" t="b">
        <f>IF($H$1,FALSE,COUNTIF(入力シート!$S$37:$V$62,B474)=0)</f>
        <v>0</v>
      </c>
      <c r="I474" s="210" t="b">
        <f t="shared" si="16"/>
        <v>0</v>
      </c>
      <c r="J474" s="210" t="b">
        <f>IF($J$1,FALSE,IF(I474=TRUE,FALSE,IF(I474,FALSE,C474&gt;入力シート!$J$24)))</f>
        <v>0</v>
      </c>
      <c r="K474" s="210" t="b">
        <f>IF($K$1,FALSE,COUNTIF(入力シート!$AW$37:$BB$38,D474)=0)</f>
        <v>0</v>
      </c>
      <c r="L474" s="210" t="b">
        <f>IF($L$1,FALSE,IF($L$3,FALSE,IF(E474="",FALSE,COUNTIF(入力シート!$AH$37:$AK$62,E474)=0)))</f>
        <v>0</v>
      </c>
      <c r="M474" s="211" t="str">
        <f t="shared" si="15"/>
        <v/>
      </c>
      <c r="N474" s="211"/>
      <c r="O474" s="209" t="str">
        <f>IF(B474="","",VLOOKUP('従業員情報(給与以外)'!$B474,入力シート!$S$37:$Z$62,5,0))</f>
        <v/>
      </c>
      <c r="P474" s="156" t="str">
        <f>IF(ISNUMBER(C474)=FALSE,"",IF(C474&gt;入力シート!$J$24,"",_xlfn.DAYS(入力シート!$J$24,'従業員情報(給与以外)'!$C474)/365))</f>
        <v/>
      </c>
      <c r="Q474" s="210" t="str">
        <f>IF(P474="","",VLOOKUP(_xlfn.DAYS(入力シート!$J$24,'従業員情報(給与以外)'!$C474)/365,入力リスト!$K$18:$L$26,2,2))</f>
        <v/>
      </c>
      <c r="R474" s="209" t="str">
        <f>IF(D474="","",VLOOKUP('従業員情報(給与以外)'!$D474,入力シート!$AW$37:$BB$38,4,0))</f>
        <v/>
      </c>
      <c r="S474" s="209" t="str">
        <f>IF(A474="","",IF(E474="","非役職",VLOOKUP('従業員情報(給与以外)'!$E474,入力シート!$AH$37:$AO$62,5,0)))</f>
        <v/>
      </c>
      <c r="T474" s="102" t="str">
        <f>IF(OR(入力シート!$C$5&lt;&gt;入力リスト!$C$3,COUNTIF(入力シート!$J$16:$S$23,入力リスト!$H$9)=0),"",IF($A474="","",IF(ISERROR(AVERAGEIF(従業員の給与情報!$B:$B,$A474,従業員の給与情報!$C:$C)),0,IF(ISERROR(AVERAGEIF(従業員の給与情報!$B:$B,$A474,従業員の給与情報!$C:$C)),0,AVERAGEIF(従業員の給与情報!$B:$B,$A474,従業員の給与情報!$C:$C)))))</f>
        <v/>
      </c>
      <c r="U474" s="102" t="str">
        <f>IF(OR(入力シート!$C$5&lt;&gt;入力リスト!$C$3,COUNTIF(入力シート!$J$16:$S$23,入力リスト!$H$9)=0),"",IF(A474="","",IF(ISERROR(AVERAGEIF(従業員の給与情報!$B:$B,$A474,従業員の給与情報!$D:$D)),0,IF(ISERROR(AVERAGEIF(従業員の給与情報!$B:$B,$A474,従業員の給与情報!$D:$D)),0,AVERAGEIF(従業員の給与情報!$B:$B,$A474,従業員の給与情報!$D:$D)))))</f>
        <v/>
      </c>
      <c r="V474" s="102" t="str">
        <f>IF(OR(入力シート!$C$5&lt;&gt;入力リスト!$C$3,COUNTIF(入力シート!$J$16:$S$23,入力リスト!$H$9)=0),"",IF(A474="","",IF(ISERROR(AVERAGEIF(従業員の給与情報!$B:$B,$A474,従業員の給与情報!$E:$E)),0,IF(ISERROR(AVERAGEIF(従業員の給与情報!$B:$B,$A474,従業員の給与情報!$E:$E)),0,AVERAGEIF(従業員の給与情報!$B:$B,$A474,従業員の給与情報!$E:$E)))))</f>
        <v/>
      </c>
      <c r="W474" s="103" t="str">
        <f>IF(OR(入力シート!$C$5&lt;&gt;入力リスト!$C$3,COUNTIF(入力シート!$J$16:$S$23,入力リスト!$H$9)=0),"",IF(A474="","",IF(ISERROR(AVERAGEIF(従業員の給与情報!$B:$B,$A474,従業員の給与情報!$F:$F)),0,IF(ISERROR(AVERAGEIF(従業員の給与情報!$B:$B,$A474,従業員の給与情報!$F:$F)),0,AVERAGEIF(従業員の給与情報!$B:$B,$A474,従業員の給与情報!$F:$F)))))</f>
        <v/>
      </c>
    </row>
    <row r="475" spans="1:23" s="10" customFormat="1">
      <c r="A475" s="253"/>
      <c r="B475" s="246"/>
      <c r="C475" s="247"/>
      <c r="D475" s="246"/>
      <c r="E475" s="246"/>
      <c r="F475" s="257" t="str">
        <f>IF($G$1,"",IF(COUNTIF(A475:E475,"")=5,"",IF(G475,入力リスト!$K$28,IF(OR(A475="",B475="",IF(COUNTIF($C$3,"*不要*"),"",C475=""),D475=""),IF(A475="","従業員番号","")&amp;IF(B475="","「雇用形態」","")&amp;IF(OR(入力シート!$J$18=入力リスト!$H$9,入力シート!$J$22=入力リスト!$H$9),IF(C475="","「入社年月日」",""),"")&amp;IF(D475="","「性別」","")&amp;IF(IF(A475="","従業員番号","")&amp;IF(B475="","「雇用形態」","")&amp;IF(OR(入力シート!$J$18=入力リスト!$H$9,入力シート!$J$22=入力リスト!$H$9),IF(C475="","「入社年月日」",""),"")&amp;IF(D475="","「性別」","")="","",入力リスト!$K$29),IF(J475,入力リスト!$K$30,"")&amp;IF(I475,入力リスト!$K$31,"")&amp;IF(H475,"「雇用形態」","")&amp;IF(K475,"「性別」","")&amp;IF(L475,"「役職」","")&amp;IF(OR(H475,K475,L475),入力リスト!$K$32,"")))))</f>
        <v/>
      </c>
      <c r="G475" s="209" t="b">
        <f>COUNTIF($A$4:A474,$A475)&gt;0</f>
        <v>0</v>
      </c>
      <c r="H475" s="210" t="b">
        <f>IF($H$1,FALSE,COUNTIF(入力シート!$S$37:$V$62,B475)=0)</f>
        <v>0</v>
      </c>
      <c r="I475" s="210" t="b">
        <f t="shared" si="16"/>
        <v>0</v>
      </c>
      <c r="J475" s="210" t="b">
        <f>IF($J$1,FALSE,IF(I475=TRUE,FALSE,IF(I475,FALSE,C475&gt;入力シート!$J$24)))</f>
        <v>0</v>
      </c>
      <c r="K475" s="210" t="b">
        <f>IF($K$1,FALSE,COUNTIF(入力シート!$AW$37:$BB$38,D475)=0)</f>
        <v>0</v>
      </c>
      <c r="L475" s="210" t="b">
        <f>IF($L$1,FALSE,IF($L$3,FALSE,IF(E475="",FALSE,COUNTIF(入力シート!$AH$37:$AK$62,E475)=0)))</f>
        <v>0</v>
      </c>
      <c r="M475" s="211" t="str">
        <f t="shared" si="15"/>
        <v/>
      </c>
      <c r="N475" s="211"/>
      <c r="O475" s="209" t="str">
        <f>IF(B475="","",VLOOKUP('従業員情報(給与以外)'!$B475,入力シート!$S$37:$Z$62,5,0))</f>
        <v/>
      </c>
      <c r="P475" s="156" t="str">
        <f>IF(ISNUMBER(C475)=FALSE,"",IF(C475&gt;入力シート!$J$24,"",_xlfn.DAYS(入力シート!$J$24,'従業員情報(給与以外)'!$C475)/365))</f>
        <v/>
      </c>
      <c r="Q475" s="210" t="str">
        <f>IF(P475="","",VLOOKUP(_xlfn.DAYS(入力シート!$J$24,'従業員情報(給与以外)'!$C475)/365,入力リスト!$K$18:$L$26,2,2))</f>
        <v/>
      </c>
      <c r="R475" s="209" t="str">
        <f>IF(D475="","",VLOOKUP('従業員情報(給与以外)'!$D475,入力シート!$AW$37:$BB$38,4,0))</f>
        <v/>
      </c>
      <c r="S475" s="209" t="str">
        <f>IF(A475="","",IF(E475="","非役職",VLOOKUP('従業員情報(給与以外)'!$E475,入力シート!$AH$37:$AO$62,5,0)))</f>
        <v/>
      </c>
      <c r="T475" s="102" t="str">
        <f>IF(OR(入力シート!$C$5&lt;&gt;入力リスト!$C$3,COUNTIF(入力シート!$J$16:$S$23,入力リスト!$H$9)=0),"",IF($A475="","",IF(ISERROR(AVERAGEIF(従業員の給与情報!$B:$B,$A475,従業員の給与情報!$C:$C)),0,IF(ISERROR(AVERAGEIF(従業員の給与情報!$B:$B,$A475,従業員の給与情報!$C:$C)),0,AVERAGEIF(従業員の給与情報!$B:$B,$A475,従業員の給与情報!$C:$C)))))</f>
        <v/>
      </c>
      <c r="U475" s="102" t="str">
        <f>IF(OR(入力シート!$C$5&lt;&gt;入力リスト!$C$3,COUNTIF(入力シート!$J$16:$S$23,入力リスト!$H$9)=0),"",IF(A475="","",IF(ISERROR(AVERAGEIF(従業員の給与情報!$B:$B,$A475,従業員の給与情報!$D:$D)),0,IF(ISERROR(AVERAGEIF(従業員の給与情報!$B:$B,$A475,従業員の給与情報!$D:$D)),0,AVERAGEIF(従業員の給与情報!$B:$B,$A475,従業員の給与情報!$D:$D)))))</f>
        <v/>
      </c>
      <c r="V475" s="102" t="str">
        <f>IF(OR(入力シート!$C$5&lt;&gt;入力リスト!$C$3,COUNTIF(入力シート!$J$16:$S$23,入力リスト!$H$9)=0),"",IF(A475="","",IF(ISERROR(AVERAGEIF(従業員の給与情報!$B:$B,$A475,従業員の給与情報!$E:$E)),0,IF(ISERROR(AVERAGEIF(従業員の給与情報!$B:$B,$A475,従業員の給与情報!$E:$E)),0,AVERAGEIF(従業員の給与情報!$B:$B,$A475,従業員の給与情報!$E:$E)))))</f>
        <v/>
      </c>
      <c r="W475" s="103" t="str">
        <f>IF(OR(入力シート!$C$5&lt;&gt;入力リスト!$C$3,COUNTIF(入力シート!$J$16:$S$23,入力リスト!$H$9)=0),"",IF(A475="","",IF(ISERROR(AVERAGEIF(従業員の給与情報!$B:$B,$A475,従業員の給与情報!$F:$F)),0,IF(ISERROR(AVERAGEIF(従業員の給与情報!$B:$B,$A475,従業員の給与情報!$F:$F)),0,AVERAGEIF(従業員の給与情報!$B:$B,$A475,従業員の給与情報!$F:$F)))))</f>
        <v/>
      </c>
    </row>
    <row r="476" spans="1:23" s="10" customFormat="1">
      <c r="A476" s="253"/>
      <c r="B476" s="246"/>
      <c r="C476" s="247"/>
      <c r="D476" s="246"/>
      <c r="E476" s="246"/>
      <c r="F476" s="257" t="str">
        <f>IF($G$1,"",IF(COUNTIF(A476:E476,"")=5,"",IF(G476,入力リスト!$K$28,IF(OR(A476="",B476="",IF(COUNTIF($C$3,"*不要*"),"",C476=""),D476=""),IF(A476="","従業員番号","")&amp;IF(B476="","「雇用形態」","")&amp;IF(OR(入力シート!$J$18=入力リスト!$H$9,入力シート!$J$22=入力リスト!$H$9),IF(C476="","「入社年月日」",""),"")&amp;IF(D476="","「性別」","")&amp;IF(IF(A476="","従業員番号","")&amp;IF(B476="","「雇用形態」","")&amp;IF(OR(入力シート!$J$18=入力リスト!$H$9,入力シート!$J$22=入力リスト!$H$9),IF(C476="","「入社年月日」",""),"")&amp;IF(D476="","「性別」","")="","",入力リスト!$K$29),IF(J476,入力リスト!$K$30,"")&amp;IF(I476,入力リスト!$K$31,"")&amp;IF(H476,"「雇用形態」","")&amp;IF(K476,"「性別」","")&amp;IF(L476,"「役職」","")&amp;IF(OR(H476,K476,L476),入力リスト!$K$32,"")))))</f>
        <v/>
      </c>
      <c r="G476" s="209" t="b">
        <f>COUNTIF($A$4:A475,$A476)&gt;0</f>
        <v>0</v>
      </c>
      <c r="H476" s="210" t="b">
        <f>IF($H$1,FALSE,COUNTIF(入力シート!$S$37:$V$62,B476)=0)</f>
        <v>0</v>
      </c>
      <c r="I476" s="210" t="b">
        <f t="shared" si="16"/>
        <v>0</v>
      </c>
      <c r="J476" s="210" t="b">
        <f>IF($J$1,FALSE,IF(I476=TRUE,FALSE,IF(I476,FALSE,C476&gt;入力シート!$J$24)))</f>
        <v>0</v>
      </c>
      <c r="K476" s="210" t="b">
        <f>IF($K$1,FALSE,COUNTIF(入力シート!$AW$37:$BB$38,D476)=0)</f>
        <v>0</v>
      </c>
      <c r="L476" s="210" t="b">
        <f>IF($L$1,FALSE,IF($L$3,FALSE,IF(E476="",FALSE,COUNTIF(入力シート!$AH$37:$AK$62,E476)=0)))</f>
        <v>0</v>
      </c>
      <c r="M476" s="211" t="str">
        <f t="shared" si="15"/>
        <v/>
      </c>
      <c r="N476" s="211"/>
      <c r="O476" s="209" t="str">
        <f>IF(B476="","",VLOOKUP('従業員情報(給与以外)'!$B476,入力シート!$S$37:$Z$62,5,0))</f>
        <v/>
      </c>
      <c r="P476" s="156" t="str">
        <f>IF(ISNUMBER(C476)=FALSE,"",IF(C476&gt;入力シート!$J$24,"",_xlfn.DAYS(入力シート!$J$24,'従業員情報(給与以外)'!$C476)/365))</f>
        <v/>
      </c>
      <c r="Q476" s="210" t="str">
        <f>IF(P476="","",VLOOKUP(_xlfn.DAYS(入力シート!$J$24,'従業員情報(給与以外)'!$C476)/365,入力リスト!$K$18:$L$26,2,2))</f>
        <v/>
      </c>
      <c r="R476" s="209" t="str">
        <f>IF(D476="","",VLOOKUP('従業員情報(給与以外)'!$D476,入力シート!$AW$37:$BB$38,4,0))</f>
        <v/>
      </c>
      <c r="S476" s="209" t="str">
        <f>IF(A476="","",IF(E476="","非役職",VLOOKUP('従業員情報(給与以外)'!$E476,入力シート!$AH$37:$AO$62,5,0)))</f>
        <v/>
      </c>
      <c r="T476" s="102" t="str">
        <f>IF(OR(入力シート!$C$5&lt;&gt;入力リスト!$C$3,COUNTIF(入力シート!$J$16:$S$23,入力リスト!$H$9)=0),"",IF($A476="","",IF(ISERROR(AVERAGEIF(従業員の給与情報!$B:$B,$A476,従業員の給与情報!$C:$C)),0,IF(ISERROR(AVERAGEIF(従業員の給与情報!$B:$B,$A476,従業員の給与情報!$C:$C)),0,AVERAGEIF(従業員の給与情報!$B:$B,$A476,従業員の給与情報!$C:$C)))))</f>
        <v/>
      </c>
      <c r="U476" s="102" t="str">
        <f>IF(OR(入力シート!$C$5&lt;&gt;入力リスト!$C$3,COUNTIF(入力シート!$J$16:$S$23,入力リスト!$H$9)=0),"",IF(A476="","",IF(ISERROR(AVERAGEIF(従業員の給与情報!$B:$B,$A476,従業員の給与情報!$D:$D)),0,IF(ISERROR(AVERAGEIF(従業員の給与情報!$B:$B,$A476,従業員の給与情報!$D:$D)),0,AVERAGEIF(従業員の給与情報!$B:$B,$A476,従業員の給与情報!$D:$D)))))</f>
        <v/>
      </c>
      <c r="V476" s="102" t="str">
        <f>IF(OR(入力シート!$C$5&lt;&gt;入力リスト!$C$3,COUNTIF(入力シート!$J$16:$S$23,入力リスト!$H$9)=0),"",IF(A476="","",IF(ISERROR(AVERAGEIF(従業員の給与情報!$B:$B,$A476,従業員の給与情報!$E:$E)),0,IF(ISERROR(AVERAGEIF(従業員の給与情報!$B:$B,$A476,従業員の給与情報!$E:$E)),0,AVERAGEIF(従業員の給与情報!$B:$B,$A476,従業員の給与情報!$E:$E)))))</f>
        <v/>
      </c>
      <c r="W476" s="103" t="str">
        <f>IF(OR(入力シート!$C$5&lt;&gt;入力リスト!$C$3,COUNTIF(入力シート!$J$16:$S$23,入力リスト!$H$9)=0),"",IF(A476="","",IF(ISERROR(AVERAGEIF(従業員の給与情報!$B:$B,$A476,従業員の給与情報!$F:$F)),0,IF(ISERROR(AVERAGEIF(従業員の給与情報!$B:$B,$A476,従業員の給与情報!$F:$F)),0,AVERAGEIF(従業員の給与情報!$B:$B,$A476,従業員の給与情報!$F:$F)))))</f>
        <v/>
      </c>
    </row>
    <row r="477" spans="1:23" s="10" customFormat="1">
      <c r="A477" s="253"/>
      <c r="B477" s="246"/>
      <c r="C477" s="247"/>
      <c r="D477" s="246"/>
      <c r="E477" s="246"/>
      <c r="F477" s="257" t="str">
        <f>IF($G$1,"",IF(COUNTIF(A477:E477,"")=5,"",IF(G477,入力リスト!$K$28,IF(OR(A477="",B477="",IF(COUNTIF($C$3,"*不要*"),"",C477=""),D477=""),IF(A477="","従業員番号","")&amp;IF(B477="","「雇用形態」","")&amp;IF(OR(入力シート!$J$18=入力リスト!$H$9,入力シート!$J$22=入力リスト!$H$9),IF(C477="","「入社年月日」",""),"")&amp;IF(D477="","「性別」","")&amp;IF(IF(A477="","従業員番号","")&amp;IF(B477="","「雇用形態」","")&amp;IF(OR(入力シート!$J$18=入力リスト!$H$9,入力シート!$J$22=入力リスト!$H$9),IF(C477="","「入社年月日」",""),"")&amp;IF(D477="","「性別」","")="","",入力リスト!$K$29),IF(J477,入力リスト!$K$30,"")&amp;IF(I477,入力リスト!$K$31,"")&amp;IF(H477,"「雇用形態」","")&amp;IF(K477,"「性別」","")&amp;IF(L477,"「役職」","")&amp;IF(OR(H477,K477,L477),入力リスト!$K$32,"")))))</f>
        <v/>
      </c>
      <c r="G477" s="209" t="b">
        <f>COUNTIF($A$4:A476,$A477)&gt;0</f>
        <v>0</v>
      </c>
      <c r="H477" s="210" t="b">
        <f>IF($H$1,FALSE,COUNTIF(入力シート!$S$37:$V$62,B477)=0)</f>
        <v>0</v>
      </c>
      <c r="I477" s="210" t="b">
        <f t="shared" si="16"/>
        <v>0</v>
      </c>
      <c r="J477" s="210" t="b">
        <f>IF($J$1,FALSE,IF(I477=TRUE,FALSE,IF(I477,FALSE,C477&gt;入力シート!$J$24)))</f>
        <v>0</v>
      </c>
      <c r="K477" s="210" t="b">
        <f>IF($K$1,FALSE,COUNTIF(入力シート!$AW$37:$BB$38,D477)=0)</f>
        <v>0</v>
      </c>
      <c r="L477" s="210" t="b">
        <f>IF($L$1,FALSE,IF($L$3,FALSE,IF(E477="",FALSE,COUNTIF(入力シート!$AH$37:$AK$62,E477)=0)))</f>
        <v>0</v>
      </c>
      <c r="M477" s="211" t="str">
        <f t="shared" si="15"/>
        <v/>
      </c>
      <c r="N477" s="211"/>
      <c r="O477" s="209" t="str">
        <f>IF(B477="","",VLOOKUP('従業員情報(給与以外)'!$B477,入力シート!$S$37:$Z$62,5,0))</f>
        <v/>
      </c>
      <c r="P477" s="156" t="str">
        <f>IF(ISNUMBER(C477)=FALSE,"",IF(C477&gt;入力シート!$J$24,"",_xlfn.DAYS(入力シート!$J$24,'従業員情報(給与以外)'!$C477)/365))</f>
        <v/>
      </c>
      <c r="Q477" s="210" t="str">
        <f>IF(P477="","",VLOOKUP(_xlfn.DAYS(入力シート!$J$24,'従業員情報(給与以外)'!$C477)/365,入力リスト!$K$18:$L$26,2,2))</f>
        <v/>
      </c>
      <c r="R477" s="209" t="str">
        <f>IF(D477="","",VLOOKUP('従業員情報(給与以外)'!$D477,入力シート!$AW$37:$BB$38,4,0))</f>
        <v/>
      </c>
      <c r="S477" s="209" t="str">
        <f>IF(A477="","",IF(E477="","非役職",VLOOKUP('従業員情報(給与以外)'!$E477,入力シート!$AH$37:$AO$62,5,0)))</f>
        <v/>
      </c>
      <c r="T477" s="102" t="str">
        <f>IF(OR(入力シート!$C$5&lt;&gt;入力リスト!$C$3,COUNTIF(入力シート!$J$16:$S$23,入力リスト!$H$9)=0),"",IF($A477="","",IF(ISERROR(AVERAGEIF(従業員の給与情報!$B:$B,$A477,従業員の給与情報!$C:$C)),0,IF(ISERROR(AVERAGEIF(従業員の給与情報!$B:$B,$A477,従業員の給与情報!$C:$C)),0,AVERAGEIF(従業員の給与情報!$B:$B,$A477,従業員の給与情報!$C:$C)))))</f>
        <v/>
      </c>
      <c r="U477" s="102" t="str">
        <f>IF(OR(入力シート!$C$5&lt;&gt;入力リスト!$C$3,COUNTIF(入力シート!$J$16:$S$23,入力リスト!$H$9)=0),"",IF(A477="","",IF(ISERROR(AVERAGEIF(従業員の給与情報!$B:$B,$A477,従業員の給与情報!$D:$D)),0,IF(ISERROR(AVERAGEIF(従業員の給与情報!$B:$B,$A477,従業員の給与情報!$D:$D)),0,AVERAGEIF(従業員の給与情報!$B:$B,$A477,従業員の給与情報!$D:$D)))))</f>
        <v/>
      </c>
      <c r="V477" s="102" t="str">
        <f>IF(OR(入力シート!$C$5&lt;&gt;入力リスト!$C$3,COUNTIF(入力シート!$J$16:$S$23,入力リスト!$H$9)=0),"",IF(A477="","",IF(ISERROR(AVERAGEIF(従業員の給与情報!$B:$B,$A477,従業員の給与情報!$E:$E)),0,IF(ISERROR(AVERAGEIF(従業員の給与情報!$B:$B,$A477,従業員の給与情報!$E:$E)),0,AVERAGEIF(従業員の給与情報!$B:$B,$A477,従業員の給与情報!$E:$E)))))</f>
        <v/>
      </c>
      <c r="W477" s="103" t="str">
        <f>IF(OR(入力シート!$C$5&lt;&gt;入力リスト!$C$3,COUNTIF(入力シート!$J$16:$S$23,入力リスト!$H$9)=0),"",IF(A477="","",IF(ISERROR(AVERAGEIF(従業員の給与情報!$B:$B,$A477,従業員の給与情報!$F:$F)),0,IF(ISERROR(AVERAGEIF(従業員の給与情報!$B:$B,$A477,従業員の給与情報!$F:$F)),0,AVERAGEIF(従業員の給与情報!$B:$B,$A477,従業員の給与情報!$F:$F)))))</f>
        <v/>
      </c>
    </row>
    <row r="478" spans="1:23" s="10" customFormat="1">
      <c r="A478" s="253"/>
      <c r="B478" s="246"/>
      <c r="C478" s="247"/>
      <c r="D478" s="246"/>
      <c r="E478" s="246"/>
      <c r="F478" s="257" t="str">
        <f>IF($G$1,"",IF(COUNTIF(A478:E478,"")=5,"",IF(G478,入力リスト!$K$28,IF(OR(A478="",B478="",IF(COUNTIF($C$3,"*不要*"),"",C478=""),D478=""),IF(A478="","従業員番号","")&amp;IF(B478="","「雇用形態」","")&amp;IF(OR(入力シート!$J$18=入力リスト!$H$9,入力シート!$J$22=入力リスト!$H$9),IF(C478="","「入社年月日」",""),"")&amp;IF(D478="","「性別」","")&amp;IF(IF(A478="","従業員番号","")&amp;IF(B478="","「雇用形態」","")&amp;IF(OR(入力シート!$J$18=入力リスト!$H$9,入力シート!$J$22=入力リスト!$H$9),IF(C478="","「入社年月日」",""),"")&amp;IF(D478="","「性別」","")="","",入力リスト!$K$29),IF(J478,入力リスト!$K$30,"")&amp;IF(I478,入力リスト!$K$31,"")&amp;IF(H478,"「雇用形態」","")&amp;IF(K478,"「性別」","")&amp;IF(L478,"「役職」","")&amp;IF(OR(H478,K478,L478),入力リスト!$K$32,"")))))</f>
        <v/>
      </c>
      <c r="G478" s="209" t="b">
        <f>COUNTIF($A$4:A477,$A478)&gt;0</f>
        <v>0</v>
      </c>
      <c r="H478" s="210" t="b">
        <f>IF($H$1,FALSE,COUNTIF(入力シート!$S$37:$V$62,B478)=0)</f>
        <v>0</v>
      </c>
      <c r="I478" s="210" t="b">
        <f t="shared" si="16"/>
        <v>0</v>
      </c>
      <c r="J478" s="210" t="b">
        <f>IF($J$1,FALSE,IF(I478=TRUE,FALSE,IF(I478,FALSE,C478&gt;入力シート!$J$24)))</f>
        <v>0</v>
      </c>
      <c r="K478" s="210" t="b">
        <f>IF($K$1,FALSE,COUNTIF(入力シート!$AW$37:$BB$38,D478)=0)</f>
        <v>0</v>
      </c>
      <c r="L478" s="210" t="b">
        <f>IF($L$1,FALSE,IF($L$3,FALSE,IF(E478="",FALSE,COUNTIF(入力シート!$AH$37:$AK$62,E478)=0)))</f>
        <v>0</v>
      </c>
      <c r="M478" s="211" t="str">
        <f t="shared" si="15"/>
        <v/>
      </c>
      <c r="N478" s="211"/>
      <c r="O478" s="209" t="str">
        <f>IF(B478="","",VLOOKUP('従業員情報(給与以外)'!$B478,入力シート!$S$37:$Z$62,5,0))</f>
        <v/>
      </c>
      <c r="P478" s="156" t="str">
        <f>IF(ISNUMBER(C478)=FALSE,"",IF(C478&gt;入力シート!$J$24,"",_xlfn.DAYS(入力シート!$J$24,'従業員情報(給与以外)'!$C478)/365))</f>
        <v/>
      </c>
      <c r="Q478" s="210" t="str">
        <f>IF(P478="","",VLOOKUP(_xlfn.DAYS(入力シート!$J$24,'従業員情報(給与以外)'!$C478)/365,入力リスト!$K$18:$L$26,2,2))</f>
        <v/>
      </c>
      <c r="R478" s="209" t="str">
        <f>IF(D478="","",VLOOKUP('従業員情報(給与以外)'!$D478,入力シート!$AW$37:$BB$38,4,0))</f>
        <v/>
      </c>
      <c r="S478" s="209" t="str">
        <f>IF(A478="","",IF(E478="","非役職",VLOOKUP('従業員情報(給与以外)'!$E478,入力シート!$AH$37:$AO$62,5,0)))</f>
        <v/>
      </c>
      <c r="T478" s="102" t="str">
        <f>IF(OR(入力シート!$C$5&lt;&gt;入力リスト!$C$3,COUNTIF(入力シート!$J$16:$S$23,入力リスト!$H$9)=0),"",IF($A478="","",IF(ISERROR(AVERAGEIF(従業員の給与情報!$B:$B,$A478,従業員の給与情報!$C:$C)),0,IF(ISERROR(AVERAGEIF(従業員の給与情報!$B:$B,$A478,従業員の給与情報!$C:$C)),0,AVERAGEIF(従業員の給与情報!$B:$B,$A478,従業員の給与情報!$C:$C)))))</f>
        <v/>
      </c>
      <c r="U478" s="102" t="str">
        <f>IF(OR(入力シート!$C$5&lt;&gt;入力リスト!$C$3,COUNTIF(入力シート!$J$16:$S$23,入力リスト!$H$9)=0),"",IF(A478="","",IF(ISERROR(AVERAGEIF(従業員の給与情報!$B:$B,$A478,従業員の給与情報!$D:$D)),0,IF(ISERROR(AVERAGEIF(従業員の給与情報!$B:$B,$A478,従業員の給与情報!$D:$D)),0,AVERAGEIF(従業員の給与情報!$B:$B,$A478,従業員の給与情報!$D:$D)))))</f>
        <v/>
      </c>
      <c r="V478" s="102" t="str">
        <f>IF(OR(入力シート!$C$5&lt;&gt;入力リスト!$C$3,COUNTIF(入力シート!$J$16:$S$23,入力リスト!$H$9)=0),"",IF(A478="","",IF(ISERROR(AVERAGEIF(従業員の給与情報!$B:$B,$A478,従業員の給与情報!$E:$E)),0,IF(ISERROR(AVERAGEIF(従業員の給与情報!$B:$B,$A478,従業員の給与情報!$E:$E)),0,AVERAGEIF(従業員の給与情報!$B:$B,$A478,従業員の給与情報!$E:$E)))))</f>
        <v/>
      </c>
      <c r="W478" s="103" t="str">
        <f>IF(OR(入力シート!$C$5&lt;&gt;入力リスト!$C$3,COUNTIF(入力シート!$J$16:$S$23,入力リスト!$H$9)=0),"",IF(A478="","",IF(ISERROR(AVERAGEIF(従業員の給与情報!$B:$B,$A478,従業員の給与情報!$F:$F)),0,IF(ISERROR(AVERAGEIF(従業員の給与情報!$B:$B,$A478,従業員の給与情報!$F:$F)),0,AVERAGEIF(従業員の給与情報!$B:$B,$A478,従業員の給与情報!$F:$F)))))</f>
        <v/>
      </c>
    </row>
    <row r="479" spans="1:23" s="10" customFormat="1">
      <c r="A479" s="253"/>
      <c r="B479" s="246"/>
      <c r="C479" s="247"/>
      <c r="D479" s="246"/>
      <c r="E479" s="246"/>
      <c r="F479" s="257" t="str">
        <f>IF($G$1,"",IF(COUNTIF(A479:E479,"")=5,"",IF(G479,入力リスト!$K$28,IF(OR(A479="",B479="",IF(COUNTIF($C$3,"*不要*"),"",C479=""),D479=""),IF(A479="","従業員番号","")&amp;IF(B479="","「雇用形態」","")&amp;IF(OR(入力シート!$J$18=入力リスト!$H$9,入力シート!$J$22=入力リスト!$H$9),IF(C479="","「入社年月日」",""),"")&amp;IF(D479="","「性別」","")&amp;IF(IF(A479="","従業員番号","")&amp;IF(B479="","「雇用形態」","")&amp;IF(OR(入力シート!$J$18=入力リスト!$H$9,入力シート!$J$22=入力リスト!$H$9),IF(C479="","「入社年月日」",""),"")&amp;IF(D479="","「性別」","")="","",入力リスト!$K$29),IF(J479,入力リスト!$K$30,"")&amp;IF(I479,入力リスト!$K$31,"")&amp;IF(H479,"「雇用形態」","")&amp;IF(K479,"「性別」","")&amp;IF(L479,"「役職」","")&amp;IF(OR(H479,K479,L479),入力リスト!$K$32,"")))))</f>
        <v/>
      </c>
      <c r="G479" s="209" t="b">
        <f>COUNTIF($A$4:A478,$A479)&gt;0</f>
        <v>0</v>
      </c>
      <c r="H479" s="210" t="b">
        <f>IF($H$1,FALSE,COUNTIF(入力シート!$S$37:$V$62,B479)=0)</f>
        <v>0</v>
      </c>
      <c r="I479" s="210" t="b">
        <f t="shared" si="16"/>
        <v>0</v>
      </c>
      <c r="J479" s="210" t="b">
        <f>IF($J$1,FALSE,IF(I479=TRUE,FALSE,IF(I479,FALSE,C479&gt;入力シート!$J$24)))</f>
        <v>0</v>
      </c>
      <c r="K479" s="210" t="b">
        <f>IF($K$1,FALSE,COUNTIF(入力シート!$AW$37:$BB$38,D479)=0)</f>
        <v>0</v>
      </c>
      <c r="L479" s="210" t="b">
        <f>IF($L$1,FALSE,IF($L$3,FALSE,IF(E479="",FALSE,COUNTIF(入力シート!$AH$37:$AK$62,E479)=0)))</f>
        <v>0</v>
      </c>
      <c r="M479" s="211" t="str">
        <f t="shared" si="15"/>
        <v/>
      </c>
      <c r="N479" s="211"/>
      <c r="O479" s="209" t="str">
        <f>IF(B479="","",VLOOKUP('従業員情報(給与以外)'!$B479,入力シート!$S$37:$Z$62,5,0))</f>
        <v/>
      </c>
      <c r="P479" s="156" t="str">
        <f>IF(ISNUMBER(C479)=FALSE,"",IF(C479&gt;入力シート!$J$24,"",_xlfn.DAYS(入力シート!$J$24,'従業員情報(給与以外)'!$C479)/365))</f>
        <v/>
      </c>
      <c r="Q479" s="210" t="str">
        <f>IF(P479="","",VLOOKUP(_xlfn.DAYS(入力シート!$J$24,'従業員情報(給与以外)'!$C479)/365,入力リスト!$K$18:$L$26,2,2))</f>
        <v/>
      </c>
      <c r="R479" s="209" t="str">
        <f>IF(D479="","",VLOOKUP('従業員情報(給与以外)'!$D479,入力シート!$AW$37:$BB$38,4,0))</f>
        <v/>
      </c>
      <c r="S479" s="209" t="str">
        <f>IF(A479="","",IF(E479="","非役職",VLOOKUP('従業員情報(給与以外)'!$E479,入力シート!$AH$37:$AO$62,5,0)))</f>
        <v/>
      </c>
      <c r="T479" s="102" t="str">
        <f>IF(OR(入力シート!$C$5&lt;&gt;入力リスト!$C$3,COUNTIF(入力シート!$J$16:$S$23,入力リスト!$H$9)=0),"",IF($A479="","",IF(ISERROR(AVERAGEIF(従業員の給与情報!$B:$B,$A479,従業員の給与情報!$C:$C)),0,IF(ISERROR(AVERAGEIF(従業員の給与情報!$B:$B,$A479,従業員の給与情報!$C:$C)),0,AVERAGEIF(従業員の給与情報!$B:$B,$A479,従業員の給与情報!$C:$C)))))</f>
        <v/>
      </c>
      <c r="U479" s="102" t="str">
        <f>IF(OR(入力シート!$C$5&lt;&gt;入力リスト!$C$3,COUNTIF(入力シート!$J$16:$S$23,入力リスト!$H$9)=0),"",IF(A479="","",IF(ISERROR(AVERAGEIF(従業員の給与情報!$B:$B,$A479,従業員の給与情報!$D:$D)),0,IF(ISERROR(AVERAGEIF(従業員の給与情報!$B:$B,$A479,従業員の給与情報!$D:$D)),0,AVERAGEIF(従業員の給与情報!$B:$B,$A479,従業員の給与情報!$D:$D)))))</f>
        <v/>
      </c>
      <c r="V479" s="102" t="str">
        <f>IF(OR(入力シート!$C$5&lt;&gt;入力リスト!$C$3,COUNTIF(入力シート!$J$16:$S$23,入力リスト!$H$9)=0),"",IF(A479="","",IF(ISERROR(AVERAGEIF(従業員の給与情報!$B:$B,$A479,従業員の給与情報!$E:$E)),0,IF(ISERROR(AVERAGEIF(従業員の給与情報!$B:$B,$A479,従業員の給与情報!$E:$E)),0,AVERAGEIF(従業員の給与情報!$B:$B,$A479,従業員の給与情報!$E:$E)))))</f>
        <v/>
      </c>
      <c r="W479" s="103" t="str">
        <f>IF(OR(入力シート!$C$5&lt;&gt;入力リスト!$C$3,COUNTIF(入力シート!$J$16:$S$23,入力リスト!$H$9)=0),"",IF(A479="","",IF(ISERROR(AVERAGEIF(従業員の給与情報!$B:$B,$A479,従業員の給与情報!$F:$F)),0,IF(ISERROR(AVERAGEIF(従業員の給与情報!$B:$B,$A479,従業員の給与情報!$F:$F)),0,AVERAGEIF(従業員の給与情報!$B:$B,$A479,従業員の給与情報!$F:$F)))))</f>
        <v/>
      </c>
    </row>
    <row r="480" spans="1:23" s="10" customFormat="1">
      <c r="A480" s="253"/>
      <c r="B480" s="246"/>
      <c r="C480" s="247"/>
      <c r="D480" s="246"/>
      <c r="E480" s="246"/>
      <c r="F480" s="257" t="str">
        <f>IF($G$1,"",IF(COUNTIF(A480:E480,"")=5,"",IF(G480,入力リスト!$K$28,IF(OR(A480="",B480="",IF(COUNTIF($C$3,"*不要*"),"",C480=""),D480=""),IF(A480="","従業員番号","")&amp;IF(B480="","「雇用形態」","")&amp;IF(OR(入力シート!$J$18=入力リスト!$H$9,入力シート!$J$22=入力リスト!$H$9),IF(C480="","「入社年月日」",""),"")&amp;IF(D480="","「性別」","")&amp;IF(IF(A480="","従業員番号","")&amp;IF(B480="","「雇用形態」","")&amp;IF(OR(入力シート!$J$18=入力リスト!$H$9,入力シート!$J$22=入力リスト!$H$9),IF(C480="","「入社年月日」",""),"")&amp;IF(D480="","「性別」","")="","",入力リスト!$K$29),IF(J480,入力リスト!$K$30,"")&amp;IF(I480,入力リスト!$K$31,"")&amp;IF(H480,"「雇用形態」","")&amp;IF(K480,"「性別」","")&amp;IF(L480,"「役職」","")&amp;IF(OR(H480,K480,L480),入力リスト!$K$32,"")))))</f>
        <v/>
      </c>
      <c r="G480" s="209" t="b">
        <f>COUNTIF($A$4:A479,$A480)&gt;0</f>
        <v>0</v>
      </c>
      <c r="H480" s="210" t="b">
        <f>IF($H$1,FALSE,COUNTIF(入力シート!$S$37:$V$62,B480)=0)</f>
        <v>0</v>
      </c>
      <c r="I480" s="210" t="b">
        <f t="shared" si="16"/>
        <v>0</v>
      </c>
      <c r="J480" s="210" t="b">
        <f>IF($J$1,FALSE,IF(I480=TRUE,FALSE,IF(I480,FALSE,C480&gt;入力シート!$J$24)))</f>
        <v>0</v>
      </c>
      <c r="K480" s="210" t="b">
        <f>IF($K$1,FALSE,COUNTIF(入力シート!$AW$37:$BB$38,D480)=0)</f>
        <v>0</v>
      </c>
      <c r="L480" s="210" t="b">
        <f>IF($L$1,FALSE,IF($L$3,FALSE,IF(E480="",FALSE,COUNTIF(入力シート!$AH$37:$AK$62,E480)=0)))</f>
        <v>0</v>
      </c>
      <c r="M480" s="211" t="str">
        <f t="shared" si="15"/>
        <v/>
      </c>
      <c r="N480" s="211"/>
      <c r="O480" s="209" t="str">
        <f>IF(B480="","",VLOOKUP('従業員情報(給与以外)'!$B480,入力シート!$S$37:$Z$62,5,0))</f>
        <v/>
      </c>
      <c r="P480" s="156" t="str">
        <f>IF(ISNUMBER(C480)=FALSE,"",IF(C480&gt;入力シート!$J$24,"",_xlfn.DAYS(入力シート!$J$24,'従業員情報(給与以外)'!$C480)/365))</f>
        <v/>
      </c>
      <c r="Q480" s="210" t="str">
        <f>IF(P480="","",VLOOKUP(_xlfn.DAYS(入力シート!$J$24,'従業員情報(給与以外)'!$C480)/365,入力リスト!$K$18:$L$26,2,2))</f>
        <v/>
      </c>
      <c r="R480" s="209" t="str">
        <f>IF(D480="","",VLOOKUP('従業員情報(給与以外)'!$D480,入力シート!$AW$37:$BB$38,4,0))</f>
        <v/>
      </c>
      <c r="S480" s="209" t="str">
        <f>IF(A480="","",IF(E480="","非役職",VLOOKUP('従業員情報(給与以外)'!$E480,入力シート!$AH$37:$AO$62,5,0)))</f>
        <v/>
      </c>
      <c r="T480" s="102" t="str">
        <f>IF(OR(入力シート!$C$5&lt;&gt;入力リスト!$C$3,COUNTIF(入力シート!$J$16:$S$23,入力リスト!$H$9)=0),"",IF($A480="","",IF(ISERROR(AVERAGEIF(従業員の給与情報!$B:$B,$A480,従業員の給与情報!$C:$C)),0,IF(ISERROR(AVERAGEIF(従業員の給与情報!$B:$B,$A480,従業員の給与情報!$C:$C)),0,AVERAGEIF(従業員の給与情報!$B:$B,$A480,従業員の給与情報!$C:$C)))))</f>
        <v/>
      </c>
      <c r="U480" s="102" t="str">
        <f>IF(OR(入力シート!$C$5&lt;&gt;入力リスト!$C$3,COUNTIF(入力シート!$J$16:$S$23,入力リスト!$H$9)=0),"",IF(A480="","",IF(ISERROR(AVERAGEIF(従業員の給与情報!$B:$B,$A480,従業員の給与情報!$D:$D)),0,IF(ISERROR(AVERAGEIF(従業員の給与情報!$B:$B,$A480,従業員の給与情報!$D:$D)),0,AVERAGEIF(従業員の給与情報!$B:$B,$A480,従業員の給与情報!$D:$D)))))</f>
        <v/>
      </c>
      <c r="V480" s="102" t="str">
        <f>IF(OR(入力シート!$C$5&lt;&gt;入力リスト!$C$3,COUNTIF(入力シート!$J$16:$S$23,入力リスト!$H$9)=0),"",IF(A480="","",IF(ISERROR(AVERAGEIF(従業員の給与情報!$B:$B,$A480,従業員の給与情報!$E:$E)),0,IF(ISERROR(AVERAGEIF(従業員の給与情報!$B:$B,$A480,従業員の給与情報!$E:$E)),0,AVERAGEIF(従業員の給与情報!$B:$B,$A480,従業員の給与情報!$E:$E)))))</f>
        <v/>
      </c>
      <c r="W480" s="103" t="str">
        <f>IF(OR(入力シート!$C$5&lt;&gt;入力リスト!$C$3,COUNTIF(入力シート!$J$16:$S$23,入力リスト!$H$9)=0),"",IF(A480="","",IF(ISERROR(AVERAGEIF(従業員の給与情報!$B:$B,$A480,従業員の給与情報!$F:$F)),0,IF(ISERROR(AVERAGEIF(従業員の給与情報!$B:$B,$A480,従業員の給与情報!$F:$F)),0,AVERAGEIF(従業員の給与情報!$B:$B,$A480,従業員の給与情報!$F:$F)))))</f>
        <v/>
      </c>
    </row>
    <row r="481" spans="1:23" s="10" customFormat="1">
      <c r="A481" s="253"/>
      <c r="B481" s="246"/>
      <c r="C481" s="247"/>
      <c r="D481" s="246"/>
      <c r="E481" s="246"/>
      <c r="F481" s="257" t="str">
        <f>IF($G$1,"",IF(COUNTIF(A481:E481,"")=5,"",IF(G481,入力リスト!$K$28,IF(OR(A481="",B481="",IF(COUNTIF($C$3,"*不要*"),"",C481=""),D481=""),IF(A481="","従業員番号","")&amp;IF(B481="","「雇用形態」","")&amp;IF(OR(入力シート!$J$18=入力リスト!$H$9,入力シート!$J$22=入力リスト!$H$9),IF(C481="","「入社年月日」",""),"")&amp;IF(D481="","「性別」","")&amp;IF(IF(A481="","従業員番号","")&amp;IF(B481="","「雇用形態」","")&amp;IF(OR(入力シート!$J$18=入力リスト!$H$9,入力シート!$J$22=入力リスト!$H$9),IF(C481="","「入社年月日」",""),"")&amp;IF(D481="","「性別」","")="","",入力リスト!$K$29),IF(J481,入力リスト!$K$30,"")&amp;IF(I481,入力リスト!$K$31,"")&amp;IF(H481,"「雇用形態」","")&amp;IF(K481,"「性別」","")&amp;IF(L481,"「役職」","")&amp;IF(OR(H481,K481,L481),入力リスト!$K$32,"")))))</f>
        <v/>
      </c>
      <c r="G481" s="209" t="b">
        <f>COUNTIF($A$4:A480,$A481)&gt;0</f>
        <v>0</v>
      </c>
      <c r="H481" s="210" t="b">
        <f>IF($H$1,FALSE,COUNTIF(入力シート!$S$37:$V$62,B481)=0)</f>
        <v>0</v>
      </c>
      <c r="I481" s="210" t="b">
        <f t="shared" si="16"/>
        <v>0</v>
      </c>
      <c r="J481" s="210" t="b">
        <f>IF($J$1,FALSE,IF(I481=TRUE,FALSE,IF(I481,FALSE,C481&gt;入力シート!$J$24)))</f>
        <v>0</v>
      </c>
      <c r="K481" s="210" t="b">
        <f>IF($K$1,FALSE,COUNTIF(入力シート!$AW$37:$BB$38,D481)=0)</f>
        <v>0</v>
      </c>
      <c r="L481" s="210" t="b">
        <f>IF($L$1,FALSE,IF($L$3,FALSE,IF(E481="",FALSE,COUNTIF(入力シート!$AH$37:$AK$62,E481)=0)))</f>
        <v>0</v>
      </c>
      <c r="M481" s="211" t="str">
        <f t="shared" si="15"/>
        <v/>
      </c>
      <c r="N481" s="211"/>
      <c r="O481" s="209" t="str">
        <f>IF(B481="","",VLOOKUP('従業員情報(給与以外)'!$B481,入力シート!$S$37:$Z$62,5,0))</f>
        <v/>
      </c>
      <c r="P481" s="156" t="str">
        <f>IF(ISNUMBER(C481)=FALSE,"",IF(C481&gt;入力シート!$J$24,"",_xlfn.DAYS(入力シート!$J$24,'従業員情報(給与以外)'!$C481)/365))</f>
        <v/>
      </c>
      <c r="Q481" s="210" t="str">
        <f>IF(P481="","",VLOOKUP(_xlfn.DAYS(入力シート!$J$24,'従業員情報(給与以外)'!$C481)/365,入力リスト!$K$18:$L$26,2,2))</f>
        <v/>
      </c>
      <c r="R481" s="209" t="str">
        <f>IF(D481="","",VLOOKUP('従業員情報(給与以外)'!$D481,入力シート!$AW$37:$BB$38,4,0))</f>
        <v/>
      </c>
      <c r="S481" s="209" t="str">
        <f>IF(A481="","",IF(E481="","非役職",VLOOKUP('従業員情報(給与以外)'!$E481,入力シート!$AH$37:$AO$62,5,0)))</f>
        <v/>
      </c>
      <c r="T481" s="102" t="str">
        <f>IF(OR(入力シート!$C$5&lt;&gt;入力リスト!$C$3,COUNTIF(入力シート!$J$16:$S$23,入力リスト!$H$9)=0),"",IF($A481="","",IF(ISERROR(AVERAGEIF(従業員の給与情報!$B:$B,$A481,従業員の給与情報!$C:$C)),0,IF(ISERROR(AVERAGEIF(従業員の給与情報!$B:$B,$A481,従業員の給与情報!$C:$C)),0,AVERAGEIF(従業員の給与情報!$B:$B,$A481,従業員の給与情報!$C:$C)))))</f>
        <v/>
      </c>
      <c r="U481" s="102" t="str">
        <f>IF(OR(入力シート!$C$5&lt;&gt;入力リスト!$C$3,COUNTIF(入力シート!$J$16:$S$23,入力リスト!$H$9)=0),"",IF(A481="","",IF(ISERROR(AVERAGEIF(従業員の給与情報!$B:$B,$A481,従業員の給与情報!$D:$D)),0,IF(ISERROR(AVERAGEIF(従業員の給与情報!$B:$B,$A481,従業員の給与情報!$D:$D)),0,AVERAGEIF(従業員の給与情報!$B:$B,$A481,従業員の給与情報!$D:$D)))))</f>
        <v/>
      </c>
      <c r="V481" s="102" t="str">
        <f>IF(OR(入力シート!$C$5&lt;&gt;入力リスト!$C$3,COUNTIF(入力シート!$J$16:$S$23,入力リスト!$H$9)=0),"",IF(A481="","",IF(ISERROR(AVERAGEIF(従業員の給与情報!$B:$B,$A481,従業員の給与情報!$E:$E)),0,IF(ISERROR(AVERAGEIF(従業員の給与情報!$B:$B,$A481,従業員の給与情報!$E:$E)),0,AVERAGEIF(従業員の給与情報!$B:$B,$A481,従業員の給与情報!$E:$E)))))</f>
        <v/>
      </c>
      <c r="W481" s="103" t="str">
        <f>IF(OR(入力シート!$C$5&lt;&gt;入力リスト!$C$3,COUNTIF(入力シート!$J$16:$S$23,入力リスト!$H$9)=0),"",IF(A481="","",IF(ISERROR(AVERAGEIF(従業員の給与情報!$B:$B,$A481,従業員の給与情報!$F:$F)),0,IF(ISERROR(AVERAGEIF(従業員の給与情報!$B:$B,$A481,従業員の給与情報!$F:$F)),0,AVERAGEIF(従業員の給与情報!$B:$B,$A481,従業員の給与情報!$F:$F)))))</f>
        <v/>
      </c>
    </row>
    <row r="482" spans="1:23" s="10" customFormat="1">
      <c r="A482" s="253"/>
      <c r="B482" s="246"/>
      <c r="C482" s="247"/>
      <c r="D482" s="246"/>
      <c r="E482" s="246"/>
      <c r="F482" s="257" t="str">
        <f>IF($G$1,"",IF(COUNTIF(A482:E482,"")=5,"",IF(G482,入力リスト!$K$28,IF(OR(A482="",B482="",IF(COUNTIF($C$3,"*不要*"),"",C482=""),D482=""),IF(A482="","従業員番号","")&amp;IF(B482="","「雇用形態」","")&amp;IF(OR(入力シート!$J$18=入力リスト!$H$9,入力シート!$J$22=入力リスト!$H$9),IF(C482="","「入社年月日」",""),"")&amp;IF(D482="","「性別」","")&amp;IF(IF(A482="","従業員番号","")&amp;IF(B482="","「雇用形態」","")&amp;IF(OR(入力シート!$J$18=入力リスト!$H$9,入力シート!$J$22=入力リスト!$H$9),IF(C482="","「入社年月日」",""),"")&amp;IF(D482="","「性別」","")="","",入力リスト!$K$29),IF(J482,入力リスト!$K$30,"")&amp;IF(I482,入力リスト!$K$31,"")&amp;IF(H482,"「雇用形態」","")&amp;IF(K482,"「性別」","")&amp;IF(L482,"「役職」","")&amp;IF(OR(H482,K482,L482),入力リスト!$K$32,"")))))</f>
        <v/>
      </c>
      <c r="G482" s="209" t="b">
        <f>COUNTIF($A$4:A481,$A482)&gt;0</f>
        <v>0</v>
      </c>
      <c r="H482" s="210" t="b">
        <f>IF($H$1,FALSE,COUNTIF(入力シート!$S$37:$V$62,B482)=0)</f>
        <v>0</v>
      </c>
      <c r="I482" s="210" t="b">
        <f t="shared" si="16"/>
        <v>0</v>
      </c>
      <c r="J482" s="210" t="b">
        <f>IF($J$1,FALSE,IF(I482=TRUE,FALSE,IF(I482,FALSE,C482&gt;入力シート!$J$24)))</f>
        <v>0</v>
      </c>
      <c r="K482" s="210" t="b">
        <f>IF($K$1,FALSE,COUNTIF(入力シート!$AW$37:$BB$38,D482)=0)</f>
        <v>0</v>
      </c>
      <c r="L482" s="210" t="b">
        <f>IF($L$1,FALSE,IF($L$3,FALSE,IF(E482="",FALSE,COUNTIF(入力シート!$AH$37:$AK$62,E482)=0)))</f>
        <v>0</v>
      </c>
      <c r="M482" s="211" t="str">
        <f t="shared" si="15"/>
        <v/>
      </c>
      <c r="N482" s="211"/>
      <c r="O482" s="209" t="str">
        <f>IF(B482="","",VLOOKUP('従業員情報(給与以外)'!$B482,入力シート!$S$37:$Z$62,5,0))</f>
        <v/>
      </c>
      <c r="P482" s="156" t="str">
        <f>IF(ISNUMBER(C482)=FALSE,"",IF(C482&gt;入力シート!$J$24,"",_xlfn.DAYS(入力シート!$J$24,'従業員情報(給与以外)'!$C482)/365))</f>
        <v/>
      </c>
      <c r="Q482" s="210" t="str">
        <f>IF(P482="","",VLOOKUP(_xlfn.DAYS(入力シート!$J$24,'従業員情報(給与以外)'!$C482)/365,入力リスト!$K$18:$L$26,2,2))</f>
        <v/>
      </c>
      <c r="R482" s="209" t="str">
        <f>IF(D482="","",VLOOKUP('従業員情報(給与以外)'!$D482,入力シート!$AW$37:$BB$38,4,0))</f>
        <v/>
      </c>
      <c r="S482" s="209" t="str">
        <f>IF(A482="","",IF(E482="","非役職",VLOOKUP('従業員情報(給与以外)'!$E482,入力シート!$AH$37:$AO$62,5,0)))</f>
        <v/>
      </c>
      <c r="T482" s="102" t="str">
        <f>IF(OR(入力シート!$C$5&lt;&gt;入力リスト!$C$3,COUNTIF(入力シート!$J$16:$S$23,入力リスト!$H$9)=0),"",IF($A482="","",IF(ISERROR(AVERAGEIF(従業員の給与情報!$B:$B,$A482,従業員の給与情報!$C:$C)),0,IF(ISERROR(AVERAGEIF(従業員の給与情報!$B:$B,$A482,従業員の給与情報!$C:$C)),0,AVERAGEIF(従業員の給与情報!$B:$B,$A482,従業員の給与情報!$C:$C)))))</f>
        <v/>
      </c>
      <c r="U482" s="102" t="str">
        <f>IF(OR(入力シート!$C$5&lt;&gt;入力リスト!$C$3,COUNTIF(入力シート!$J$16:$S$23,入力リスト!$H$9)=0),"",IF(A482="","",IF(ISERROR(AVERAGEIF(従業員の給与情報!$B:$B,$A482,従業員の給与情報!$D:$D)),0,IF(ISERROR(AVERAGEIF(従業員の給与情報!$B:$B,$A482,従業員の給与情報!$D:$D)),0,AVERAGEIF(従業員の給与情報!$B:$B,$A482,従業員の給与情報!$D:$D)))))</f>
        <v/>
      </c>
      <c r="V482" s="102" t="str">
        <f>IF(OR(入力シート!$C$5&lt;&gt;入力リスト!$C$3,COUNTIF(入力シート!$J$16:$S$23,入力リスト!$H$9)=0),"",IF(A482="","",IF(ISERROR(AVERAGEIF(従業員の給与情報!$B:$B,$A482,従業員の給与情報!$E:$E)),0,IF(ISERROR(AVERAGEIF(従業員の給与情報!$B:$B,$A482,従業員の給与情報!$E:$E)),0,AVERAGEIF(従業員の給与情報!$B:$B,$A482,従業員の給与情報!$E:$E)))))</f>
        <v/>
      </c>
      <c r="W482" s="103" t="str">
        <f>IF(OR(入力シート!$C$5&lt;&gt;入力リスト!$C$3,COUNTIF(入力シート!$J$16:$S$23,入力リスト!$H$9)=0),"",IF(A482="","",IF(ISERROR(AVERAGEIF(従業員の給与情報!$B:$B,$A482,従業員の給与情報!$F:$F)),0,IF(ISERROR(AVERAGEIF(従業員の給与情報!$B:$B,$A482,従業員の給与情報!$F:$F)),0,AVERAGEIF(従業員の給与情報!$B:$B,$A482,従業員の給与情報!$F:$F)))))</f>
        <v/>
      </c>
    </row>
    <row r="483" spans="1:23" s="10" customFormat="1">
      <c r="A483" s="253"/>
      <c r="B483" s="246"/>
      <c r="C483" s="247"/>
      <c r="D483" s="246"/>
      <c r="E483" s="246"/>
      <c r="F483" s="257" t="str">
        <f>IF($G$1,"",IF(COUNTIF(A483:E483,"")=5,"",IF(G483,入力リスト!$K$28,IF(OR(A483="",B483="",IF(COUNTIF($C$3,"*不要*"),"",C483=""),D483=""),IF(A483="","従業員番号","")&amp;IF(B483="","「雇用形態」","")&amp;IF(OR(入力シート!$J$18=入力リスト!$H$9,入力シート!$J$22=入力リスト!$H$9),IF(C483="","「入社年月日」",""),"")&amp;IF(D483="","「性別」","")&amp;IF(IF(A483="","従業員番号","")&amp;IF(B483="","「雇用形態」","")&amp;IF(OR(入力シート!$J$18=入力リスト!$H$9,入力シート!$J$22=入力リスト!$H$9),IF(C483="","「入社年月日」",""),"")&amp;IF(D483="","「性別」","")="","",入力リスト!$K$29),IF(J483,入力リスト!$K$30,"")&amp;IF(I483,入力リスト!$K$31,"")&amp;IF(H483,"「雇用形態」","")&amp;IF(K483,"「性別」","")&amp;IF(L483,"「役職」","")&amp;IF(OR(H483,K483,L483),入力リスト!$K$32,"")))))</f>
        <v/>
      </c>
      <c r="G483" s="209" t="b">
        <f>COUNTIF($A$4:A482,$A483)&gt;0</f>
        <v>0</v>
      </c>
      <c r="H483" s="210" t="b">
        <f>IF($H$1,FALSE,COUNTIF(入力シート!$S$37:$V$62,B483)=0)</f>
        <v>0</v>
      </c>
      <c r="I483" s="210" t="b">
        <f t="shared" si="16"/>
        <v>0</v>
      </c>
      <c r="J483" s="210" t="b">
        <f>IF($J$1,FALSE,IF(I483=TRUE,FALSE,IF(I483,FALSE,C483&gt;入力シート!$J$24)))</f>
        <v>0</v>
      </c>
      <c r="K483" s="210" t="b">
        <f>IF($K$1,FALSE,COUNTIF(入力シート!$AW$37:$BB$38,D483)=0)</f>
        <v>0</v>
      </c>
      <c r="L483" s="210" t="b">
        <f>IF($L$1,FALSE,IF($L$3,FALSE,IF(E483="",FALSE,COUNTIF(入力シート!$AH$37:$AK$62,E483)=0)))</f>
        <v>0</v>
      </c>
      <c r="M483" s="211" t="str">
        <f t="shared" si="15"/>
        <v/>
      </c>
      <c r="N483" s="211"/>
      <c r="O483" s="209" t="str">
        <f>IF(B483="","",VLOOKUP('従業員情報(給与以外)'!$B483,入力シート!$S$37:$Z$62,5,0))</f>
        <v/>
      </c>
      <c r="P483" s="156" t="str">
        <f>IF(ISNUMBER(C483)=FALSE,"",IF(C483&gt;入力シート!$J$24,"",_xlfn.DAYS(入力シート!$J$24,'従業員情報(給与以外)'!$C483)/365))</f>
        <v/>
      </c>
      <c r="Q483" s="210" t="str">
        <f>IF(P483="","",VLOOKUP(_xlfn.DAYS(入力シート!$J$24,'従業員情報(給与以外)'!$C483)/365,入力リスト!$K$18:$L$26,2,2))</f>
        <v/>
      </c>
      <c r="R483" s="209" t="str">
        <f>IF(D483="","",VLOOKUP('従業員情報(給与以外)'!$D483,入力シート!$AW$37:$BB$38,4,0))</f>
        <v/>
      </c>
      <c r="S483" s="209" t="str">
        <f>IF(A483="","",IF(E483="","非役職",VLOOKUP('従業員情報(給与以外)'!$E483,入力シート!$AH$37:$AO$62,5,0)))</f>
        <v/>
      </c>
      <c r="T483" s="102" t="str">
        <f>IF(OR(入力シート!$C$5&lt;&gt;入力リスト!$C$3,COUNTIF(入力シート!$J$16:$S$23,入力リスト!$H$9)=0),"",IF($A483="","",IF(ISERROR(AVERAGEIF(従業員の給与情報!$B:$B,$A483,従業員の給与情報!$C:$C)),0,IF(ISERROR(AVERAGEIF(従業員の給与情報!$B:$B,$A483,従業員の給与情報!$C:$C)),0,AVERAGEIF(従業員の給与情報!$B:$B,$A483,従業員の給与情報!$C:$C)))))</f>
        <v/>
      </c>
      <c r="U483" s="102" t="str">
        <f>IF(OR(入力シート!$C$5&lt;&gt;入力リスト!$C$3,COUNTIF(入力シート!$J$16:$S$23,入力リスト!$H$9)=0),"",IF(A483="","",IF(ISERROR(AVERAGEIF(従業員の給与情報!$B:$B,$A483,従業員の給与情報!$D:$D)),0,IF(ISERROR(AVERAGEIF(従業員の給与情報!$B:$B,$A483,従業員の給与情報!$D:$D)),0,AVERAGEIF(従業員の給与情報!$B:$B,$A483,従業員の給与情報!$D:$D)))))</f>
        <v/>
      </c>
      <c r="V483" s="102" t="str">
        <f>IF(OR(入力シート!$C$5&lt;&gt;入力リスト!$C$3,COUNTIF(入力シート!$J$16:$S$23,入力リスト!$H$9)=0),"",IF(A483="","",IF(ISERROR(AVERAGEIF(従業員の給与情報!$B:$B,$A483,従業員の給与情報!$E:$E)),0,IF(ISERROR(AVERAGEIF(従業員の給与情報!$B:$B,$A483,従業員の給与情報!$E:$E)),0,AVERAGEIF(従業員の給与情報!$B:$B,$A483,従業員の給与情報!$E:$E)))))</f>
        <v/>
      </c>
      <c r="W483" s="103" t="str">
        <f>IF(OR(入力シート!$C$5&lt;&gt;入力リスト!$C$3,COUNTIF(入力シート!$J$16:$S$23,入力リスト!$H$9)=0),"",IF(A483="","",IF(ISERROR(AVERAGEIF(従業員の給与情報!$B:$B,$A483,従業員の給与情報!$F:$F)),0,IF(ISERROR(AVERAGEIF(従業員の給与情報!$B:$B,$A483,従業員の給与情報!$F:$F)),0,AVERAGEIF(従業員の給与情報!$B:$B,$A483,従業員の給与情報!$F:$F)))))</f>
        <v/>
      </c>
    </row>
    <row r="484" spans="1:23" s="10" customFormat="1">
      <c r="A484" s="253"/>
      <c r="B484" s="246"/>
      <c r="C484" s="247"/>
      <c r="D484" s="246"/>
      <c r="E484" s="246"/>
      <c r="F484" s="257" t="str">
        <f>IF($G$1,"",IF(COUNTIF(A484:E484,"")=5,"",IF(G484,入力リスト!$K$28,IF(OR(A484="",B484="",IF(COUNTIF($C$3,"*不要*"),"",C484=""),D484=""),IF(A484="","従業員番号","")&amp;IF(B484="","「雇用形態」","")&amp;IF(OR(入力シート!$J$18=入力リスト!$H$9,入力シート!$J$22=入力リスト!$H$9),IF(C484="","「入社年月日」",""),"")&amp;IF(D484="","「性別」","")&amp;IF(IF(A484="","従業員番号","")&amp;IF(B484="","「雇用形態」","")&amp;IF(OR(入力シート!$J$18=入力リスト!$H$9,入力シート!$J$22=入力リスト!$H$9),IF(C484="","「入社年月日」",""),"")&amp;IF(D484="","「性別」","")="","",入力リスト!$K$29),IF(J484,入力リスト!$K$30,"")&amp;IF(I484,入力リスト!$K$31,"")&amp;IF(H484,"「雇用形態」","")&amp;IF(K484,"「性別」","")&amp;IF(L484,"「役職」","")&amp;IF(OR(H484,K484,L484),入力リスト!$K$32,"")))))</f>
        <v/>
      </c>
      <c r="G484" s="209" t="b">
        <f>COUNTIF($A$4:A483,$A484)&gt;0</f>
        <v>0</v>
      </c>
      <c r="H484" s="210" t="b">
        <f>IF($H$1,FALSE,COUNTIF(入力シート!$S$37:$V$62,B484)=0)</f>
        <v>0</v>
      </c>
      <c r="I484" s="210" t="b">
        <f t="shared" si="16"/>
        <v>0</v>
      </c>
      <c r="J484" s="210" t="b">
        <f>IF($J$1,FALSE,IF(I484=TRUE,FALSE,IF(I484,FALSE,C484&gt;入力シート!$J$24)))</f>
        <v>0</v>
      </c>
      <c r="K484" s="210" t="b">
        <f>IF($K$1,FALSE,COUNTIF(入力シート!$AW$37:$BB$38,D484)=0)</f>
        <v>0</v>
      </c>
      <c r="L484" s="210" t="b">
        <f>IF($L$1,FALSE,IF($L$3,FALSE,IF(E484="",FALSE,COUNTIF(入力シート!$AH$37:$AK$62,E484)=0)))</f>
        <v>0</v>
      </c>
      <c r="M484" s="211" t="str">
        <f t="shared" si="15"/>
        <v/>
      </c>
      <c r="N484" s="211"/>
      <c r="O484" s="209" t="str">
        <f>IF(B484="","",VLOOKUP('従業員情報(給与以外)'!$B484,入力シート!$S$37:$Z$62,5,0))</f>
        <v/>
      </c>
      <c r="P484" s="156" t="str">
        <f>IF(ISNUMBER(C484)=FALSE,"",IF(C484&gt;入力シート!$J$24,"",_xlfn.DAYS(入力シート!$J$24,'従業員情報(給与以外)'!$C484)/365))</f>
        <v/>
      </c>
      <c r="Q484" s="210" t="str">
        <f>IF(P484="","",VLOOKUP(_xlfn.DAYS(入力シート!$J$24,'従業員情報(給与以外)'!$C484)/365,入力リスト!$K$18:$L$26,2,2))</f>
        <v/>
      </c>
      <c r="R484" s="209" t="str">
        <f>IF(D484="","",VLOOKUP('従業員情報(給与以外)'!$D484,入力シート!$AW$37:$BB$38,4,0))</f>
        <v/>
      </c>
      <c r="S484" s="209" t="str">
        <f>IF(A484="","",IF(E484="","非役職",VLOOKUP('従業員情報(給与以外)'!$E484,入力シート!$AH$37:$AO$62,5,0)))</f>
        <v/>
      </c>
      <c r="T484" s="102" t="str">
        <f>IF(OR(入力シート!$C$5&lt;&gt;入力リスト!$C$3,COUNTIF(入力シート!$J$16:$S$23,入力リスト!$H$9)=0),"",IF($A484="","",IF(ISERROR(AVERAGEIF(従業員の給与情報!$B:$B,$A484,従業員の給与情報!$C:$C)),0,IF(ISERROR(AVERAGEIF(従業員の給与情報!$B:$B,$A484,従業員の給与情報!$C:$C)),0,AVERAGEIF(従業員の給与情報!$B:$B,$A484,従業員の給与情報!$C:$C)))))</f>
        <v/>
      </c>
      <c r="U484" s="102" t="str">
        <f>IF(OR(入力シート!$C$5&lt;&gt;入力リスト!$C$3,COUNTIF(入力シート!$J$16:$S$23,入力リスト!$H$9)=0),"",IF(A484="","",IF(ISERROR(AVERAGEIF(従業員の給与情報!$B:$B,$A484,従業員の給与情報!$D:$D)),0,IF(ISERROR(AVERAGEIF(従業員の給与情報!$B:$B,$A484,従業員の給与情報!$D:$D)),0,AVERAGEIF(従業員の給与情報!$B:$B,$A484,従業員の給与情報!$D:$D)))))</f>
        <v/>
      </c>
      <c r="V484" s="102" t="str">
        <f>IF(OR(入力シート!$C$5&lt;&gt;入力リスト!$C$3,COUNTIF(入力シート!$J$16:$S$23,入力リスト!$H$9)=0),"",IF(A484="","",IF(ISERROR(AVERAGEIF(従業員の給与情報!$B:$B,$A484,従業員の給与情報!$E:$E)),0,IF(ISERROR(AVERAGEIF(従業員の給与情報!$B:$B,$A484,従業員の給与情報!$E:$E)),0,AVERAGEIF(従業員の給与情報!$B:$B,$A484,従業員の給与情報!$E:$E)))))</f>
        <v/>
      </c>
      <c r="W484" s="103" t="str">
        <f>IF(OR(入力シート!$C$5&lt;&gt;入力リスト!$C$3,COUNTIF(入力シート!$J$16:$S$23,入力リスト!$H$9)=0),"",IF(A484="","",IF(ISERROR(AVERAGEIF(従業員の給与情報!$B:$B,$A484,従業員の給与情報!$F:$F)),0,IF(ISERROR(AVERAGEIF(従業員の給与情報!$B:$B,$A484,従業員の給与情報!$F:$F)),0,AVERAGEIF(従業員の給与情報!$B:$B,$A484,従業員の給与情報!$F:$F)))))</f>
        <v/>
      </c>
    </row>
    <row r="485" spans="1:23" s="10" customFormat="1">
      <c r="A485" s="253"/>
      <c r="B485" s="246"/>
      <c r="C485" s="247"/>
      <c r="D485" s="246"/>
      <c r="E485" s="246"/>
      <c r="F485" s="257" t="str">
        <f>IF($G$1,"",IF(COUNTIF(A485:E485,"")=5,"",IF(G485,入力リスト!$K$28,IF(OR(A485="",B485="",IF(COUNTIF($C$3,"*不要*"),"",C485=""),D485=""),IF(A485="","従業員番号","")&amp;IF(B485="","「雇用形態」","")&amp;IF(OR(入力シート!$J$18=入力リスト!$H$9,入力シート!$J$22=入力リスト!$H$9),IF(C485="","「入社年月日」",""),"")&amp;IF(D485="","「性別」","")&amp;IF(IF(A485="","従業員番号","")&amp;IF(B485="","「雇用形態」","")&amp;IF(OR(入力シート!$J$18=入力リスト!$H$9,入力シート!$J$22=入力リスト!$H$9),IF(C485="","「入社年月日」",""),"")&amp;IF(D485="","「性別」","")="","",入力リスト!$K$29),IF(J485,入力リスト!$K$30,"")&amp;IF(I485,入力リスト!$K$31,"")&amp;IF(H485,"「雇用形態」","")&amp;IF(K485,"「性別」","")&amp;IF(L485,"「役職」","")&amp;IF(OR(H485,K485,L485),入力リスト!$K$32,"")))))</f>
        <v/>
      </c>
      <c r="G485" s="209" t="b">
        <f>COUNTIF($A$4:A484,$A485)&gt;0</f>
        <v>0</v>
      </c>
      <c r="H485" s="210" t="b">
        <f>IF($H$1,FALSE,COUNTIF(入力シート!$S$37:$V$62,B485)=0)</f>
        <v>0</v>
      </c>
      <c r="I485" s="210" t="b">
        <f t="shared" si="16"/>
        <v>0</v>
      </c>
      <c r="J485" s="210" t="b">
        <f>IF($J$1,FALSE,IF(I485=TRUE,FALSE,IF(I485,FALSE,C485&gt;入力シート!$J$24)))</f>
        <v>0</v>
      </c>
      <c r="K485" s="210" t="b">
        <f>IF($K$1,FALSE,COUNTIF(入力シート!$AW$37:$BB$38,D485)=0)</f>
        <v>0</v>
      </c>
      <c r="L485" s="210" t="b">
        <f>IF($L$1,FALSE,IF($L$3,FALSE,IF(E485="",FALSE,COUNTIF(入力シート!$AH$37:$AK$62,E485)=0)))</f>
        <v>0</v>
      </c>
      <c r="M485" s="211" t="str">
        <f t="shared" si="15"/>
        <v/>
      </c>
      <c r="N485" s="211"/>
      <c r="O485" s="209" t="str">
        <f>IF(B485="","",VLOOKUP('従業員情報(給与以外)'!$B485,入力シート!$S$37:$Z$62,5,0))</f>
        <v/>
      </c>
      <c r="P485" s="156" t="str">
        <f>IF(ISNUMBER(C485)=FALSE,"",IF(C485&gt;入力シート!$J$24,"",_xlfn.DAYS(入力シート!$J$24,'従業員情報(給与以外)'!$C485)/365))</f>
        <v/>
      </c>
      <c r="Q485" s="210" t="str">
        <f>IF(P485="","",VLOOKUP(_xlfn.DAYS(入力シート!$J$24,'従業員情報(給与以外)'!$C485)/365,入力リスト!$K$18:$L$26,2,2))</f>
        <v/>
      </c>
      <c r="R485" s="209" t="str">
        <f>IF(D485="","",VLOOKUP('従業員情報(給与以外)'!$D485,入力シート!$AW$37:$BB$38,4,0))</f>
        <v/>
      </c>
      <c r="S485" s="209" t="str">
        <f>IF(A485="","",IF(E485="","非役職",VLOOKUP('従業員情報(給与以外)'!$E485,入力シート!$AH$37:$AO$62,5,0)))</f>
        <v/>
      </c>
      <c r="T485" s="102" t="str">
        <f>IF(OR(入力シート!$C$5&lt;&gt;入力リスト!$C$3,COUNTIF(入力シート!$J$16:$S$23,入力リスト!$H$9)=0),"",IF($A485="","",IF(ISERROR(AVERAGEIF(従業員の給与情報!$B:$B,$A485,従業員の給与情報!$C:$C)),0,IF(ISERROR(AVERAGEIF(従業員の給与情報!$B:$B,$A485,従業員の給与情報!$C:$C)),0,AVERAGEIF(従業員の給与情報!$B:$B,$A485,従業員の給与情報!$C:$C)))))</f>
        <v/>
      </c>
      <c r="U485" s="102" t="str">
        <f>IF(OR(入力シート!$C$5&lt;&gt;入力リスト!$C$3,COUNTIF(入力シート!$J$16:$S$23,入力リスト!$H$9)=0),"",IF(A485="","",IF(ISERROR(AVERAGEIF(従業員の給与情報!$B:$B,$A485,従業員の給与情報!$D:$D)),0,IF(ISERROR(AVERAGEIF(従業員の給与情報!$B:$B,$A485,従業員の給与情報!$D:$D)),0,AVERAGEIF(従業員の給与情報!$B:$B,$A485,従業員の給与情報!$D:$D)))))</f>
        <v/>
      </c>
      <c r="V485" s="102" t="str">
        <f>IF(OR(入力シート!$C$5&lt;&gt;入力リスト!$C$3,COUNTIF(入力シート!$J$16:$S$23,入力リスト!$H$9)=0),"",IF(A485="","",IF(ISERROR(AVERAGEIF(従業員の給与情報!$B:$B,$A485,従業員の給与情報!$E:$E)),0,IF(ISERROR(AVERAGEIF(従業員の給与情報!$B:$B,$A485,従業員の給与情報!$E:$E)),0,AVERAGEIF(従業員の給与情報!$B:$B,$A485,従業員の給与情報!$E:$E)))))</f>
        <v/>
      </c>
      <c r="W485" s="103" t="str">
        <f>IF(OR(入力シート!$C$5&lt;&gt;入力リスト!$C$3,COUNTIF(入力シート!$J$16:$S$23,入力リスト!$H$9)=0),"",IF(A485="","",IF(ISERROR(AVERAGEIF(従業員の給与情報!$B:$B,$A485,従業員の給与情報!$F:$F)),0,IF(ISERROR(AVERAGEIF(従業員の給与情報!$B:$B,$A485,従業員の給与情報!$F:$F)),0,AVERAGEIF(従業員の給与情報!$B:$B,$A485,従業員の給与情報!$F:$F)))))</f>
        <v/>
      </c>
    </row>
    <row r="486" spans="1:23" s="10" customFormat="1">
      <c r="A486" s="253"/>
      <c r="B486" s="246"/>
      <c r="C486" s="247"/>
      <c r="D486" s="246"/>
      <c r="E486" s="246"/>
      <c r="F486" s="257" t="str">
        <f>IF($G$1,"",IF(COUNTIF(A486:E486,"")=5,"",IF(G486,入力リスト!$K$28,IF(OR(A486="",B486="",IF(COUNTIF($C$3,"*不要*"),"",C486=""),D486=""),IF(A486="","従業員番号","")&amp;IF(B486="","「雇用形態」","")&amp;IF(OR(入力シート!$J$18=入力リスト!$H$9,入力シート!$J$22=入力リスト!$H$9),IF(C486="","「入社年月日」",""),"")&amp;IF(D486="","「性別」","")&amp;IF(IF(A486="","従業員番号","")&amp;IF(B486="","「雇用形態」","")&amp;IF(OR(入力シート!$J$18=入力リスト!$H$9,入力シート!$J$22=入力リスト!$H$9),IF(C486="","「入社年月日」",""),"")&amp;IF(D486="","「性別」","")="","",入力リスト!$K$29),IF(J486,入力リスト!$K$30,"")&amp;IF(I486,入力リスト!$K$31,"")&amp;IF(H486,"「雇用形態」","")&amp;IF(K486,"「性別」","")&amp;IF(L486,"「役職」","")&amp;IF(OR(H486,K486,L486),入力リスト!$K$32,"")))))</f>
        <v/>
      </c>
      <c r="G486" s="209" t="b">
        <f>COUNTIF($A$4:A485,$A486)&gt;0</f>
        <v>0</v>
      </c>
      <c r="H486" s="210" t="b">
        <f>IF($H$1,FALSE,COUNTIF(入力シート!$S$37:$V$62,B486)=0)</f>
        <v>0</v>
      </c>
      <c r="I486" s="210" t="b">
        <f t="shared" si="16"/>
        <v>0</v>
      </c>
      <c r="J486" s="210" t="b">
        <f>IF($J$1,FALSE,IF(I486=TRUE,FALSE,IF(I486,FALSE,C486&gt;入力シート!$J$24)))</f>
        <v>0</v>
      </c>
      <c r="K486" s="210" t="b">
        <f>IF($K$1,FALSE,COUNTIF(入力シート!$AW$37:$BB$38,D486)=0)</f>
        <v>0</v>
      </c>
      <c r="L486" s="210" t="b">
        <f>IF($L$1,FALSE,IF($L$3,FALSE,IF(E486="",FALSE,COUNTIF(入力シート!$AH$37:$AK$62,E486)=0)))</f>
        <v>0</v>
      </c>
      <c r="M486" s="211" t="str">
        <f t="shared" si="15"/>
        <v/>
      </c>
      <c r="N486" s="211"/>
      <c r="O486" s="209" t="str">
        <f>IF(B486="","",VLOOKUP('従業員情報(給与以外)'!$B486,入力シート!$S$37:$Z$62,5,0))</f>
        <v/>
      </c>
      <c r="P486" s="156" t="str">
        <f>IF(ISNUMBER(C486)=FALSE,"",IF(C486&gt;入力シート!$J$24,"",_xlfn.DAYS(入力シート!$J$24,'従業員情報(給与以外)'!$C486)/365))</f>
        <v/>
      </c>
      <c r="Q486" s="210" t="str">
        <f>IF(P486="","",VLOOKUP(_xlfn.DAYS(入力シート!$J$24,'従業員情報(給与以外)'!$C486)/365,入力リスト!$K$18:$L$26,2,2))</f>
        <v/>
      </c>
      <c r="R486" s="209" t="str">
        <f>IF(D486="","",VLOOKUP('従業員情報(給与以外)'!$D486,入力シート!$AW$37:$BB$38,4,0))</f>
        <v/>
      </c>
      <c r="S486" s="209" t="str">
        <f>IF(A486="","",IF(E486="","非役職",VLOOKUP('従業員情報(給与以外)'!$E486,入力シート!$AH$37:$AO$62,5,0)))</f>
        <v/>
      </c>
      <c r="T486" s="102" t="str">
        <f>IF(OR(入力シート!$C$5&lt;&gt;入力リスト!$C$3,COUNTIF(入力シート!$J$16:$S$23,入力リスト!$H$9)=0),"",IF($A486="","",IF(ISERROR(AVERAGEIF(従業員の給与情報!$B:$B,$A486,従業員の給与情報!$C:$C)),0,IF(ISERROR(AVERAGEIF(従業員の給与情報!$B:$B,$A486,従業員の給与情報!$C:$C)),0,AVERAGEIF(従業員の給与情報!$B:$B,$A486,従業員の給与情報!$C:$C)))))</f>
        <v/>
      </c>
      <c r="U486" s="102" t="str">
        <f>IF(OR(入力シート!$C$5&lt;&gt;入力リスト!$C$3,COUNTIF(入力シート!$J$16:$S$23,入力リスト!$H$9)=0),"",IF(A486="","",IF(ISERROR(AVERAGEIF(従業員の給与情報!$B:$B,$A486,従業員の給与情報!$D:$D)),0,IF(ISERROR(AVERAGEIF(従業員の給与情報!$B:$B,$A486,従業員の給与情報!$D:$D)),0,AVERAGEIF(従業員の給与情報!$B:$B,$A486,従業員の給与情報!$D:$D)))))</f>
        <v/>
      </c>
      <c r="V486" s="102" t="str">
        <f>IF(OR(入力シート!$C$5&lt;&gt;入力リスト!$C$3,COUNTIF(入力シート!$J$16:$S$23,入力リスト!$H$9)=0),"",IF(A486="","",IF(ISERROR(AVERAGEIF(従業員の給与情報!$B:$B,$A486,従業員の給与情報!$E:$E)),0,IF(ISERROR(AVERAGEIF(従業員の給与情報!$B:$B,$A486,従業員の給与情報!$E:$E)),0,AVERAGEIF(従業員の給与情報!$B:$B,$A486,従業員の給与情報!$E:$E)))))</f>
        <v/>
      </c>
      <c r="W486" s="103" t="str">
        <f>IF(OR(入力シート!$C$5&lt;&gt;入力リスト!$C$3,COUNTIF(入力シート!$J$16:$S$23,入力リスト!$H$9)=0),"",IF(A486="","",IF(ISERROR(AVERAGEIF(従業員の給与情報!$B:$B,$A486,従業員の給与情報!$F:$F)),0,IF(ISERROR(AVERAGEIF(従業員の給与情報!$B:$B,$A486,従業員の給与情報!$F:$F)),0,AVERAGEIF(従業員の給与情報!$B:$B,$A486,従業員の給与情報!$F:$F)))))</f>
        <v/>
      </c>
    </row>
    <row r="487" spans="1:23" s="10" customFormat="1">
      <c r="A487" s="253"/>
      <c r="B487" s="246"/>
      <c r="C487" s="247"/>
      <c r="D487" s="246"/>
      <c r="E487" s="246"/>
      <c r="F487" s="257" t="str">
        <f>IF($G$1,"",IF(COUNTIF(A487:E487,"")=5,"",IF(G487,入力リスト!$K$28,IF(OR(A487="",B487="",IF(COUNTIF($C$3,"*不要*"),"",C487=""),D487=""),IF(A487="","従業員番号","")&amp;IF(B487="","「雇用形態」","")&amp;IF(OR(入力シート!$J$18=入力リスト!$H$9,入力シート!$J$22=入力リスト!$H$9),IF(C487="","「入社年月日」",""),"")&amp;IF(D487="","「性別」","")&amp;IF(IF(A487="","従業員番号","")&amp;IF(B487="","「雇用形態」","")&amp;IF(OR(入力シート!$J$18=入力リスト!$H$9,入力シート!$J$22=入力リスト!$H$9),IF(C487="","「入社年月日」",""),"")&amp;IF(D487="","「性別」","")="","",入力リスト!$K$29),IF(J487,入力リスト!$K$30,"")&amp;IF(I487,入力リスト!$K$31,"")&amp;IF(H487,"「雇用形態」","")&amp;IF(K487,"「性別」","")&amp;IF(L487,"「役職」","")&amp;IF(OR(H487,K487,L487),入力リスト!$K$32,"")))))</f>
        <v/>
      </c>
      <c r="G487" s="209" t="b">
        <f>COUNTIF($A$4:A486,$A487)&gt;0</f>
        <v>0</v>
      </c>
      <c r="H487" s="210" t="b">
        <f>IF($H$1,FALSE,COUNTIF(入力シート!$S$37:$V$62,B487)=0)</f>
        <v>0</v>
      </c>
      <c r="I487" s="210" t="b">
        <f t="shared" si="16"/>
        <v>0</v>
      </c>
      <c r="J487" s="210" t="b">
        <f>IF($J$1,FALSE,IF(I487=TRUE,FALSE,IF(I487,FALSE,C487&gt;入力シート!$J$24)))</f>
        <v>0</v>
      </c>
      <c r="K487" s="210" t="b">
        <f>IF($K$1,FALSE,COUNTIF(入力シート!$AW$37:$BB$38,D487)=0)</f>
        <v>0</v>
      </c>
      <c r="L487" s="210" t="b">
        <f>IF($L$1,FALSE,IF($L$3,FALSE,IF(E487="",FALSE,COUNTIF(入力シート!$AH$37:$AK$62,E487)=0)))</f>
        <v>0</v>
      </c>
      <c r="M487" s="211" t="str">
        <f t="shared" si="15"/>
        <v/>
      </c>
      <c r="N487" s="211"/>
      <c r="O487" s="209" t="str">
        <f>IF(B487="","",VLOOKUP('従業員情報(給与以外)'!$B487,入力シート!$S$37:$Z$62,5,0))</f>
        <v/>
      </c>
      <c r="P487" s="156" t="str">
        <f>IF(ISNUMBER(C487)=FALSE,"",IF(C487&gt;入力シート!$J$24,"",_xlfn.DAYS(入力シート!$J$24,'従業員情報(給与以外)'!$C487)/365))</f>
        <v/>
      </c>
      <c r="Q487" s="210" t="str">
        <f>IF(P487="","",VLOOKUP(_xlfn.DAYS(入力シート!$J$24,'従業員情報(給与以外)'!$C487)/365,入力リスト!$K$18:$L$26,2,2))</f>
        <v/>
      </c>
      <c r="R487" s="209" t="str">
        <f>IF(D487="","",VLOOKUP('従業員情報(給与以外)'!$D487,入力シート!$AW$37:$BB$38,4,0))</f>
        <v/>
      </c>
      <c r="S487" s="209" t="str">
        <f>IF(A487="","",IF(E487="","非役職",VLOOKUP('従業員情報(給与以外)'!$E487,入力シート!$AH$37:$AO$62,5,0)))</f>
        <v/>
      </c>
      <c r="T487" s="102" t="str">
        <f>IF(OR(入力シート!$C$5&lt;&gt;入力リスト!$C$3,COUNTIF(入力シート!$J$16:$S$23,入力リスト!$H$9)=0),"",IF($A487="","",IF(ISERROR(AVERAGEIF(従業員の給与情報!$B:$B,$A487,従業員の給与情報!$C:$C)),0,IF(ISERROR(AVERAGEIF(従業員の給与情報!$B:$B,$A487,従業員の給与情報!$C:$C)),0,AVERAGEIF(従業員の給与情報!$B:$B,$A487,従業員の給与情報!$C:$C)))))</f>
        <v/>
      </c>
      <c r="U487" s="102" t="str">
        <f>IF(OR(入力シート!$C$5&lt;&gt;入力リスト!$C$3,COUNTIF(入力シート!$J$16:$S$23,入力リスト!$H$9)=0),"",IF(A487="","",IF(ISERROR(AVERAGEIF(従業員の給与情報!$B:$B,$A487,従業員の給与情報!$D:$D)),0,IF(ISERROR(AVERAGEIF(従業員の給与情報!$B:$B,$A487,従業員の給与情報!$D:$D)),0,AVERAGEIF(従業員の給与情報!$B:$B,$A487,従業員の給与情報!$D:$D)))))</f>
        <v/>
      </c>
      <c r="V487" s="102" t="str">
        <f>IF(OR(入力シート!$C$5&lt;&gt;入力リスト!$C$3,COUNTIF(入力シート!$J$16:$S$23,入力リスト!$H$9)=0),"",IF(A487="","",IF(ISERROR(AVERAGEIF(従業員の給与情報!$B:$B,$A487,従業員の給与情報!$E:$E)),0,IF(ISERROR(AVERAGEIF(従業員の給与情報!$B:$B,$A487,従業員の給与情報!$E:$E)),0,AVERAGEIF(従業員の給与情報!$B:$B,$A487,従業員の給与情報!$E:$E)))))</f>
        <v/>
      </c>
      <c r="W487" s="103" t="str">
        <f>IF(OR(入力シート!$C$5&lt;&gt;入力リスト!$C$3,COUNTIF(入力シート!$J$16:$S$23,入力リスト!$H$9)=0),"",IF(A487="","",IF(ISERROR(AVERAGEIF(従業員の給与情報!$B:$B,$A487,従業員の給与情報!$F:$F)),0,IF(ISERROR(AVERAGEIF(従業員の給与情報!$B:$B,$A487,従業員の給与情報!$F:$F)),0,AVERAGEIF(従業員の給与情報!$B:$B,$A487,従業員の給与情報!$F:$F)))))</f>
        <v/>
      </c>
    </row>
    <row r="488" spans="1:23" s="10" customFormat="1">
      <c r="A488" s="253"/>
      <c r="B488" s="246"/>
      <c r="C488" s="247"/>
      <c r="D488" s="246"/>
      <c r="E488" s="246"/>
      <c r="F488" s="257" t="str">
        <f>IF($G$1,"",IF(COUNTIF(A488:E488,"")=5,"",IF(G488,入力リスト!$K$28,IF(OR(A488="",B488="",IF(COUNTIF($C$3,"*不要*"),"",C488=""),D488=""),IF(A488="","従業員番号","")&amp;IF(B488="","「雇用形態」","")&amp;IF(OR(入力シート!$J$18=入力リスト!$H$9,入力シート!$J$22=入力リスト!$H$9),IF(C488="","「入社年月日」",""),"")&amp;IF(D488="","「性別」","")&amp;IF(IF(A488="","従業員番号","")&amp;IF(B488="","「雇用形態」","")&amp;IF(OR(入力シート!$J$18=入力リスト!$H$9,入力シート!$J$22=入力リスト!$H$9),IF(C488="","「入社年月日」",""),"")&amp;IF(D488="","「性別」","")="","",入力リスト!$K$29),IF(J488,入力リスト!$K$30,"")&amp;IF(I488,入力リスト!$K$31,"")&amp;IF(H488,"「雇用形態」","")&amp;IF(K488,"「性別」","")&amp;IF(L488,"「役職」","")&amp;IF(OR(H488,K488,L488),入力リスト!$K$32,"")))))</f>
        <v/>
      </c>
      <c r="G488" s="209" t="b">
        <f>COUNTIF($A$4:A487,$A488)&gt;0</f>
        <v>0</v>
      </c>
      <c r="H488" s="210" t="b">
        <f>IF($H$1,FALSE,COUNTIF(入力シート!$S$37:$V$62,B488)=0)</f>
        <v>0</v>
      </c>
      <c r="I488" s="210" t="b">
        <f t="shared" si="16"/>
        <v>0</v>
      </c>
      <c r="J488" s="210" t="b">
        <f>IF($J$1,FALSE,IF(I488=TRUE,FALSE,IF(I488,FALSE,C488&gt;入力シート!$J$24)))</f>
        <v>0</v>
      </c>
      <c r="K488" s="210" t="b">
        <f>IF($K$1,FALSE,COUNTIF(入力シート!$AW$37:$BB$38,D488)=0)</f>
        <v>0</v>
      </c>
      <c r="L488" s="210" t="b">
        <f>IF($L$1,FALSE,IF($L$3,FALSE,IF(E488="",FALSE,COUNTIF(入力シート!$AH$37:$AK$62,E488)=0)))</f>
        <v>0</v>
      </c>
      <c r="M488" s="211" t="str">
        <f t="shared" si="15"/>
        <v/>
      </c>
      <c r="N488" s="211"/>
      <c r="O488" s="209" t="str">
        <f>IF(B488="","",VLOOKUP('従業員情報(給与以外)'!$B488,入力シート!$S$37:$Z$62,5,0))</f>
        <v/>
      </c>
      <c r="P488" s="156" t="str">
        <f>IF(ISNUMBER(C488)=FALSE,"",IF(C488&gt;入力シート!$J$24,"",_xlfn.DAYS(入力シート!$J$24,'従業員情報(給与以外)'!$C488)/365))</f>
        <v/>
      </c>
      <c r="Q488" s="210" t="str">
        <f>IF(P488="","",VLOOKUP(_xlfn.DAYS(入力シート!$J$24,'従業員情報(給与以外)'!$C488)/365,入力リスト!$K$18:$L$26,2,2))</f>
        <v/>
      </c>
      <c r="R488" s="209" t="str">
        <f>IF(D488="","",VLOOKUP('従業員情報(給与以外)'!$D488,入力シート!$AW$37:$BB$38,4,0))</f>
        <v/>
      </c>
      <c r="S488" s="209" t="str">
        <f>IF(A488="","",IF(E488="","非役職",VLOOKUP('従業員情報(給与以外)'!$E488,入力シート!$AH$37:$AO$62,5,0)))</f>
        <v/>
      </c>
      <c r="T488" s="102" t="str">
        <f>IF(OR(入力シート!$C$5&lt;&gt;入力リスト!$C$3,COUNTIF(入力シート!$J$16:$S$23,入力リスト!$H$9)=0),"",IF($A488="","",IF(ISERROR(AVERAGEIF(従業員の給与情報!$B:$B,$A488,従業員の給与情報!$C:$C)),0,IF(ISERROR(AVERAGEIF(従業員の給与情報!$B:$B,$A488,従業員の給与情報!$C:$C)),0,AVERAGEIF(従業員の給与情報!$B:$B,$A488,従業員の給与情報!$C:$C)))))</f>
        <v/>
      </c>
      <c r="U488" s="102" t="str">
        <f>IF(OR(入力シート!$C$5&lt;&gt;入力リスト!$C$3,COUNTIF(入力シート!$J$16:$S$23,入力リスト!$H$9)=0),"",IF(A488="","",IF(ISERROR(AVERAGEIF(従業員の給与情報!$B:$B,$A488,従業員の給与情報!$D:$D)),0,IF(ISERROR(AVERAGEIF(従業員の給与情報!$B:$B,$A488,従業員の給与情報!$D:$D)),0,AVERAGEIF(従業員の給与情報!$B:$B,$A488,従業員の給与情報!$D:$D)))))</f>
        <v/>
      </c>
      <c r="V488" s="102" t="str">
        <f>IF(OR(入力シート!$C$5&lt;&gt;入力リスト!$C$3,COUNTIF(入力シート!$J$16:$S$23,入力リスト!$H$9)=0),"",IF(A488="","",IF(ISERROR(AVERAGEIF(従業員の給与情報!$B:$B,$A488,従業員の給与情報!$E:$E)),0,IF(ISERROR(AVERAGEIF(従業員の給与情報!$B:$B,$A488,従業員の給与情報!$E:$E)),0,AVERAGEIF(従業員の給与情報!$B:$B,$A488,従業員の給与情報!$E:$E)))))</f>
        <v/>
      </c>
      <c r="W488" s="103" t="str">
        <f>IF(OR(入力シート!$C$5&lt;&gt;入力リスト!$C$3,COUNTIF(入力シート!$J$16:$S$23,入力リスト!$H$9)=0),"",IF(A488="","",IF(ISERROR(AVERAGEIF(従業員の給与情報!$B:$B,$A488,従業員の給与情報!$F:$F)),0,IF(ISERROR(AVERAGEIF(従業員の給与情報!$B:$B,$A488,従業員の給与情報!$F:$F)),0,AVERAGEIF(従業員の給与情報!$B:$B,$A488,従業員の給与情報!$F:$F)))))</f>
        <v/>
      </c>
    </row>
    <row r="489" spans="1:23" s="10" customFormat="1">
      <c r="A489" s="253"/>
      <c r="B489" s="246"/>
      <c r="C489" s="247"/>
      <c r="D489" s="246"/>
      <c r="E489" s="246"/>
      <c r="F489" s="257" t="str">
        <f>IF($G$1,"",IF(COUNTIF(A489:E489,"")=5,"",IF(G489,入力リスト!$K$28,IF(OR(A489="",B489="",IF(COUNTIF($C$3,"*不要*"),"",C489=""),D489=""),IF(A489="","従業員番号","")&amp;IF(B489="","「雇用形態」","")&amp;IF(OR(入力シート!$J$18=入力リスト!$H$9,入力シート!$J$22=入力リスト!$H$9),IF(C489="","「入社年月日」",""),"")&amp;IF(D489="","「性別」","")&amp;IF(IF(A489="","従業員番号","")&amp;IF(B489="","「雇用形態」","")&amp;IF(OR(入力シート!$J$18=入力リスト!$H$9,入力シート!$J$22=入力リスト!$H$9),IF(C489="","「入社年月日」",""),"")&amp;IF(D489="","「性別」","")="","",入力リスト!$K$29),IF(J489,入力リスト!$K$30,"")&amp;IF(I489,入力リスト!$K$31,"")&amp;IF(H489,"「雇用形態」","")&amp;IF(K489,"「性別」","")&amp;IF(L489,"「役職」","")&amp;IF(OR(H489,K489,L489),入力リスト!$K$32,"")))))</f>
        <v/>
      </c>
      <c r="G489" s="209" t="b">
        <f>COUNTIF($A$4:A488,$A489)&gt;0</f>
        <v>0</v>
      </c>
      <c r="H489" s="210" t="b">
        <f>IF($H$1,FALSE,COUNTIF(入力シート!$S$37:$V$62,B489)=0)</f>
        <v>0</v>
      </c>
      <c r="I489" s="210" t="b">
        <f t="shared" si="16"/>
        <v>0</v>
      </c>
      <c r="J489" s="210" t="b">
        <f>IF($J$1,FALSE,IF(I489=TRUE,FALSE,IF(I489,FALSE,C489&gt;入力シート!$J$24)))</f>
        <v>0</v>
      </c>
      <c r="K489" s="210" t="b">
        <f>IF($K$1,FALSE,COUNTIF(入力シート!$AW$37:$BB$38,D489)=0)</f>
        <v>0</v>
      </c>
      <c r="L489" s="210" t="b">
        <f>IF($L$1,FALSE,IF($L$3,FALSE,IF(E489="",FALSE,COUNTIF(入力シート!$AH$37:$AK$62,E489)=0)))</f>
        <v>0</v>
      </c>
      <c r="M489" s="211" t="str">
        <f t="shared" si="15"/>
        <v/>
      </c>
      <c r="N489" s="211"/>
      <c r="O489" s="209" t="str">
        <f>IF(B489="","",VLOOKUP('従業員情報(給与以外)'!$B489,入力シート!$S$37:$Z$62,5,0))</f>
        <v/>
      </c>
      <c r="P489" s="156" t="str">
        <f>IF(ISNUMBER(C489)=FALSE,"",IF(C489&gt;入力シート!$J$24,"",_xlfn.DAYS(入力シート!$J$24,'従業員情報(給与以外)'!$C489)/365))</f>
        <v/>
      </c>
      <c r="Q489" s="210" t="str">
        <f>IF(P489="","",VLOOKUP(_xlfn.DAYS(入力シート!$J$24,'従業員情報(給与以外)'!$C489)/365,入力リスト!$K$18:$L$26,2,2))</f>
        <v/>
      </c>
      <c r="R489" s="209" t="str">
        <f>IF(D489="","",VLOOKUP('従業員情報(給与以外)'!$D489,入力シート!$AW$37:$BB$38,4,0))</f>
        <v/>
      </c>
      <c r="S489" s="209" t="str">
        <f>IF(A489="","",IF(E489="","非役職",VLOOKUP('従業員情報(給与以外)'!$E489,入力シート!$AH$37:$AO$62,5,0)))</f>
        <v/>
      </c>
      <c r="T489" s="102" t="str">
        <f>IF(OR(入力シート!$C$5&lt;&gt;入力リスト!$C$3,COUNTIF(入力シート!$J$16:$S$23,入力リスト!$H$9)=0),"",IF($A489="","",IF(ISERROR(AVERAGEIF(従業員の給与情報!$B:$B,$A489,従業員の給与情報!$C:$C)),0,IF(ISERROR(AVERAGEIF(従業員の給与情報!$B:$B,$A489,従業員の給与情報!$C:$C)),0,AVERAGEIF(従業員の給与情報!$B:$B,$A489,従業員の給与情報!$C:$C)))))</f>
        <v/>
      </c>
      <c r="U489" s="102" t="str">
        <f>IF(OR(入力シート!$C$5&lt;&gt;入力リスト!$C$3,COUNTIF(入力シート!$J$16:$S$23,入力リスト!$H$9)=0),"",IF(A489="","",IF(ISERROR(AVERAGEIF(従業員の給与情報!$B:$B,$A489,従業員の給与情報!$D:$D)),0,IF(ISERROR(AVERAGEIF(従業員の給与情報!$B:$B,$A489,従業員の給与情報!$D:$D)),0,AVERAGEIF(従業員の給与情報!$B:$B,$A489,従業員の給与情報!$D:$D)))))</f>
        <v/>
      </c>
      <c r="V489" s="102" t="str">
        <f>IF(OR(入力シート!$C$5&lt;&gt;入力リスト!$C$3,COUNTIF(入力シート!$J$16:$S$23,入力リスト!$H$9)=0),"",IF(A489="","",IF(ISERROR(AVERAGEIF(従業員の給与情報!$B:$B,$A489,従業員の給与情報!$E:$E)),0,IF(ISERROR(AVERAGEIF(従業員の給与情報!$B:$B,$A489,従業員の給与情報!$E:$E)),0,AVERAGEIF(従業員の給与情報!$B:$B,$A489,従業員の給与情報!$E:$E)))))</f>
        <v/>
      </c>
      <c r="W489" s="103" t="str">
        <f>IF(OR(入力シート!$C$5&lt;&gt;入力リスト!$C$3,COUNTIF(入力シート!$J$16:$S$23,入力リスト!$H$9)=0),"",IF(A489="","",IF(ISERROR(AVERAGEIF(従業員の給与情報!$B:$B,$A489,従業員の給与情報!$F:$F)),0,IF(ISERROR(AVERAGEIF(従業員の給与情報!$B:$B,$A489,従業員の給与情報!$F:$F)),0,AVERAGEIF(従業員の給与情報!$B:$B,$A489,従業員の給与情報!$F:$F)))))</f>
        <v/>
      </c>
    </row>
    <row r="490" spans="1:23" s="10" customFormat="1">
      <c r="A490" s="253"/>
      <c r="B490" s="246"/>
      <c r="C490" s="247"/>
      <c r="D490" s="246"/>
      <c r="E490" s="246"/>
      <c r="F490" s="257" t="str">
        <f>IF($G$1,"",IF(COUNTIF(A490:E490,"")=5,"",IF(G490,入力リスト!$K$28,IF(OR(A490="",B490="",IF(COUNTIF($C$3,"*不要*"),"",C490=""),D490=""),IF(A490="","従業員番号","")&amp;IF(B490="","「雇用形態」","")&amp;IF(OR(入力シート!$J$18=入力リスト!$H$9,入力シート!$J$22=入力リスト!$H$9),IF(C490="","「入社年月日」",""),"")&amp;IF(D490="","「性別」","")&amp;IF(IF(A490="","従業員番号","")&amp;IF(B490="","「雇用形態」","")&amp;IF(OR(入力シート!$J$18=入力リスト!$H$9,入力シート!$J$22=入力リスト!$H$9),IF(C490="","「入社年月日」",""),"")&amp;IF(D490="","「性別」","")="","",入力リスト!$K$29),IF(J490,入力リスト!$K$30,"")&amp;IF(I490,入力リスト!$K$31,"")&amp;IF(H490,"「雇用形態」","")&amp;IF(K490,"「性別」","")&amp;IF(L490,"「役職」","")&amp;IF(OR(H490,K490,L490),入力リスト!$K$32,"")))))</f>
        <v/>
      </c>
      <c r="G490" s="209" t="b">
        <f>COUNTIF($A$4:A489,$A490)&gt;0</f>
        <v>0</v>
      </c>
      <c r="H490" s="210" t="b">
        <f>IF($H$1,FALSE,COUNTIF(入力シート!$S$37:$V$62,B490)=0)</f>
        <v>0</v>
      </c>
      <c r="I490" s="210" t="b">
        <f t="shared" si="16"/>
        <v>0</v>
      </c>
      <c r="J490" s="210" t="b">
        <f>IF($J$1,FALSE,IF(I490=TRUE,FALSE,IF(I490,FALSE,C490&gt;入力シート!$J$24)))</f>
        <v>0</v>
      </c>
      <c r="K490" s="210" t="b">
        <f>IF($K$1,FALSE,COUNTIF(入力シート!$AW$37:$BB$38,D490)=0)</f>
        <v>0</v>
      </c>
      <c r="L490" s="210" t="b">
        <f>IF($L$1,FALSE,IF($L$3,FALSE,IF(E490="",FALSE,COUNTIF(入力シート!$AH$37:$AK$62,E490)=0)))</f>
        <v>0</v>
      </c>
      <c r="M490" s="211" t="str">
        <f t="shared" si="15"/>
        <v/>
      </c>
      <c r="N490" s="211"/>
      <c r="O490" s="209" t="str">
        <f>IF(B490="","",VLOOKUP('従業員情報(給与以外)'!$B490,入力シート!$S$37:$Z$62,5,0))</f>
        <v/>
      </c>
      <c r="P490" s="156" t="str">
        <f>IF(ISNUMBER(C490)=FALSE,"",IF(C490&gt;入力シート!$J$24,"",_xlfn.DAYS(入力シート!$J$24,'従業員情報(給与以外)'!$C490)/365))</f>
        <v/>
      </c>
      <c r="Q490" s="210" t="str">
        <f>IF(P490="","",VLOOKUP(_xlfn.DAYS(入力シート!$J$24,'従業員情報(給与以外)'!$C490)/365,入力リスト!$K$18:$L$26,2,2))</f>
        <v/>
      </c>
      <c r="R490" s="209" t="str">
        <f>IF(D490="","",VLOOKUP('従業員情報(給与以外)'!$D490,入力シート!$AW$37:$BB$38,4,0))</f>
        <v/>
      </c>
      <c r="S490" s="209" t="str">
        <f>IF(A490="","",IF(E490="","非役職",VLOOKUP('従業員情報(給与以外)'!$E490,入力シート!$AH$37:$AO$62,5,0)))</f>
        <v/>
      </c>
      <c r="T490" s="102" t="str">
        <f>IF(OR(入力シート!$C$5&lt;&gt;入力リスト!$C$3,COUNTIF(入力シート!$J$16:$S$23,入力リスト!$H$9)=0),"",IF($A490="","",IF(ISERROR(AVERAGEIF(従業員の給与情報!$B:$B,$A490,従業員の給与情報!$C:$C)),0,IF(ISERROR(AVERAGEIF(従業員の給与情報!$B:$B,$A490,従業員の給与情報!$C:$C)),0,AVERAGEIF(従業員の給与情報!$B:$B,$A490,従業員の給与情報!$C:$C)))))</f>
        <v/>
      </c>
      <c r="U490" s="102" t="str">
        <f>IF(OR(入力シート!$C$5&lt;&gt;入力リスト!$C$3,COUNTIF(入力シート!$J$16:$S$23,入力リスト!$H$9)=0),"",IF(A490="","",IF(ISERROR(AVERAGEIF(従業員の給与情報!$B:$B,$A490,従業員の給与情報!$D:$D)),0,IF(ISERROR(AVERAGEIF(従業員の給与情報!$B:$B,$A490,従業員の給与情報!$D:$D)),0,AVERAGEIF(従業員の給与情報!$B:$B,$A490,従業員の給与情報!$D:$D)))))</f>
        <v/>
      </c>
      <c r="V490" s="102" t="str">
        <f>IF(OR(入力シート!$C$5&lt;&gt;入力リスト!$C$3,COUNTIF(入力シート!$J$16:$S$23,入力リスト!$H$9)=0),"",IF(A490="","",IF(ISERROR(AVERAGEIF(従業員の給与情報!$B:$B,$A490,従業員の給与情報!$E:$E)),0,IF(ISERROR(AVERAGEIF(従業員の給与情報!$B:$B,$A490,従業員の給与情報!$E:$E)),0,AVERAGEIF(従業員の給与情報!$B:$B,$A490,従業員の給与情報!$E:$E)))))</f>
        <v/>
      </c>
      <c r="W490" s="103" t="str">
        <f>IF(OR(入力シート!$C$5&lt;&gt;入力リスト!$C$3,COUNTIF(入力シート!$J$16:$S$23,入力リスト!$H$9)=0),"",IF(A490="","",IF(ISERROR(AVERAGEIF(従業員の給与情報!$B:$B,$A490,従業員の給与情報!$F:$F)),0,IF(ISERROR(AVERAGEIF(従業員の給与情報!$B:$B,$A490,従業員の給与情報!$F:$F)),0,AVERAGEIF(従業員の給与情報!$B:$B,$A490,従業員の給与情報!$F:$F)))))</f>
        <v/>
      </c>
    </row>
    <row r="491" spans="1:23" s="10" customFormat="1">
      <c r="A491" s="253"/>
      <c r="B491" s="246"/>
      <c r="C491" s="247"/>
      <c r="D491" s="246"/>
      <c r="E491" s="246"/>
      <c r="F491" s="257" t="str">
        <f>IF($G$1,"",IF(COUNTIF(A491:E491,"")=5,"",IF(G491,入力リスト!$K$28,IF(OR(A491="",B491="",IF(COUNTIF($C$3,"*不要*"),"",C491=""),D491=""),IF(A491="","従業員番号","")&amp;IF(B491="","「雇用形態」","")&amp;IF(OR(入力シート!$J$18=入力リスト!$H$9,入力シート!$J$22=入力リスト!$H$9),IF(C491="","「入社年月日」",""),"")&amp;IF(D491="","「性別」","")&amp;IF(IF(A491="","従業員番号","")&amp;IF(B491="","「雇用形態」","")&amp;IF(OR(入力シート!$J$18=入力リスト!$H$9,入力シート!$J$22=入力リスト!$H$9),IF(C491="","「入社年月日」",""),"")&amp;IF(D491="","「性別」","")="","",入力リスト!$K$29),IF(J491,入力リスト!$K$30,"")&amp;IF(I491,入力リスト!$K$31,"")&amp;IF(H491,"「雇用形態」","")&amp;IF(K491,"「性別」","")&amp;IF(L491,"「役職」","")&amp;IF(OR(H491,K491,L491),入力リスト!$K$32,"")))))</f>
        <v/>
      </c>
      <c r="G491" s="209" t="b">
        <f>COUNTIF($A$4:A490,$A491)&gt;0</f>
        <v>0</v>
      </c>
      <c r="H491" s="210" t="b">
        <f>IF($H$1,FALSE,COUNTIF(入力シート!$S$37:$V$62,B491)=0)</f>
        <v>0</v>
      </c>
      <c r="I491" s="210" t="b">
        <f t="shared" si="16"/>
        <v>0</v>
      </c>
      <c r="J491" s="210" t="b">
        <f>IF($J$1,FALSE,IF(I491=TRUE,FALSE,IF(I491,FALSE,C491&gt;入力シート!$J$24)))</f>
        <v>0</v>
      </c>
      <c r="K491" s="210" t="b">
        <f>IF($K$1,FALSE,COUNTIF(入力シート!$AW$37:$BB$38,D491)=0)</f>
        <v>0</v>
      </c>
      <c r="L491" s="210" t="b">
        <f>IF($L$1,FALSE,IF($L$3,FALSE,IF(E491="",FALSE,COUNTIF(入力シート!$AH$37:$AK$62,E491)=0)))</f>
        <v>0</v>
      </c>
      <c r="M491" s="211" t="str">
        <f t="shared" si="15"/>
        <v/>
      </c>
      <c r="N491" s="211"/>
      <c r="O491" s="209" t="str">
        <f>IF(B491="","",VLOOKUP('従業員情報(給与以外)'!$B491,入力シート!$S$37:$Z$62,5,0))</f>
        <v/>
      </c>
      <c r="P491" s="156" t="str">
        <f>IF(ISNUMBER(C491)=FALSE,"",IF(C491&gt;入力シート!$J$24,"",_xlfn.DAYS(入力シート!$J$24,'従業員情報(給与以外)'!$C491)/365))</f>
        <v/>
      </c>
      <c r="Q491" s="210" t="str">
        <f>IF(P491="","",VLOOKUP(_xlfn.DAYS(入力シート!$J$24,'従業員情報(給与以外)'!$C491)/365,入力リスト!$K$18:$L$26,2,2))</f>
        <v/>
      </c>
      <c r="R491" s="209" t="str">
        <f>IF(D491="","",VLOOKUP('従業員情報(給与以外)'!$D491,入力シート!$AW$37:$BB$38,4,0))</f>
        <v/>
      </c>
      <c r="S491" s="209" t="str">
        <f>IF(A491="","",IF(E491="","非役職",VLOOKUP('従業員情報(給与以外)'!$E491,入力シート!$AH$37:$AO$62,5,0)))</f>
        <v/>
      </c>
      <c r="T491" s="102" t="str">
        <f>IF(OR(入力シート!$C$5&lt;&gt;入力リスト!$C$3,COUNTIF(入力シート!$J$16:$S$23,入力リスト!$H$9)=0),"",IF($A491="","",IF(ISERROR(AVERAGEIF(従業員の給与情報!$B:$B,$A491,従業員の給与情報!$C:$C)),0,IF(ISERROR(AVERAGEIF(従業員の給与情報!$B:$B,$A491,従業員の給与情報!$C:$C)),0,AVERAGEIF(従業員の給与情報!$B:$B,$A491,従業員の給与情報!$C:$C)))))</f>
        <v/>
      </c>
      <c r="U491" s="102" t="str">
        <f>IF(OR(入力シート!$C$5&lt;&gt;入力リスト!$C$3,COUNTIF(入力シート!$J$16:$S$23,入力リスト!$H$9)=0),"",IF(A491="","",IF(ISERROR(AVERAGEIF(従業員の給与情報!$B:$B,$A491,従業員の給与情報!$D:$D)),0,IF(ISERROR(AVERAGEIF(従業員の給与情報!$B:$B,$A491,従業員の給与情報!$D:$D)),0,AVERAGEIF(従業員の給与情報!$B:$B,$A491,従業員の給与情報!$D:$D)))))</f>
        <v/>
      </c>
      <c r="V491" s="102" t="str">
        <f>IF(OR(入力シート!$C$5&lt;&gt;入力リスト!$C$3,COUNTIF(入力シート!$J$16:$S$23,入力リスト!$H$9)=0),"",IF(A491="","",IF(ISERROR(AVERAGEIF(従業員の給与情報!$B:$B,$A491,従業員の給与情報!$E:$E)),0,IF(ISERROR(AVERAGEIF(従業員の給与情報!$B:$B,$A491,従業員の給与情報!$E:$E)),0,AVERAGEIF(従業員の給与情報!$B:$B,$A491,従業員の給与情報!$E:$E)))))</f>
        <v/>
      </c>
      <c r="W491" s="103" t="str">
        <f>IF(OR(入力シート!$C$5&lt;&gt;入力リスト!$C$3,COUNTIF(入力シート!$J$16:$S$23,入力リスト!$H$9)=0),"",IF(A491="","",IF(ISERROR(AVERAGEIF(従業員の給与情報!$B:$B,$A491,従業員の給与情報!$F:$F)),0,IF(ISERROR(AVERAGEIF(従業員の給与情報!$B:$B,$A491,従業員の給与情報!$F:$F)),0,AVERAGEIF(従業員の給与情報!$B:$B,$A491,従業員の給与情報!$F:$F)))))</f>
        <v/>
      </c>
    </row>
    <row r="492" spans="1:23" s="10" customFormat="1">
      <c r="A492" s="253"/>
      <c r="B492" s="246"/>
      <c r="C492" s="247"/>
      <c r="D492" s="246"/>
      <c r="E492" s="246"/>
      <c r="F492" s="257" t="str">
        <f>IF($G$1,"",IF(COUNTIF(A492:E492,"")=5,"",IF(G492,入力リスト!$K$28,IF(OR(A492="",B492="",IF(COUNTIF($C$3,"*不要*"),"",C492=""),D492=""),IF(A492="","従業員番号","")&amp;IF(B492="","「雇用形態」","")&amp;IF(OR(入力シート!$J$18=入力リスト!$H$9,入力シート!$J$22=入力リスト!$H$9),IF(C492="","「入社年月日」",""),"")&amp;IF(D492="","「性別」","")&amp;IF(IF(A492="","従業員番号","")&amp;IF(B492="","「雇用形態」","")&amp;IF(OR(入力シート!$J$18=入力リスト!$H$9,入力シート!$J$22=入力リスト!$H$9),IF(C492="","「入社年月日」",""),"")&amp;IF(D492="","「性別」","")="","",入力リスト!$K$29),IF(J492,入力リスト!$K$30,"")&amp;IF(I492,入力リスト!$K$31,"")&amp;IF(H492,"「雇用形態」","")&amp;IF(K492,"「性別」","")&amp;IF(L492,"「役職」","")&amp;IF(OR(H492,K492,L492),入力リスト!$K$32,"")))))</f>
        <v/>
      </c>
      <c r="G492" s="209" t="b">
        <f>COUNTIF($A$4:A491,$A492)&gt;0</f>
        <v>0</v>
      </c>
      <c r="H492" s="210" t="b">
        <f>IF($H$1,FALSE,COUNTIF(入力シート!$S$37:$V$62,B492)=0)</f>
        <v>0</v>
      </c>
      <c r="I492" s="210" t="b">
        <f t="shared" si="16"/>
        <v>0</v>
      </c>
      <c r="J492" s="210" t="b">
        <f>IF($J$1,FALSE,IF(I492=TRUE,FALSE,IF(I492,FALSE,C492&gt;入力シート!$J$24)))</f>
        <v>0</v>
      </c>
      <c r="K492" s="210" t="b">
        <f>IF($K$1,FALSE,COUNTIF(入力シート!$AW$37:$BB$38,D492)=0)</f>
        <v>0</v>
      </c>
      <c r="L492" s="210" t="b">
        <f>IF($L$1,FALSE,IF($L$3,FALSE,IF(E492="",FALSE,COUNTIF(入力シート!$AH$37:$AK$62,E492)=0)))</f>
        <v>0</v>
      </c>
      <c r="M492" s="211" t="str">
        <f t="shared" si="15"/>
        <v/>
      </c>
      <c r="N492" s="211"/>
      <c r="O492" s="209" t="str">
        <f>IF(B492="","",VLOOKUP('従業員情報(給与以外)'!$B492,入力シート!$S$37:$Z$62,5,0))</f>
        <v/>
      </c>
      <c r="P492" s="156" t="str">
        <f>IF(ISNUMBER(C492)=FALSE,"",IF(C492&gt;入力シート!$J$24,"",_xlfn.DAYS(入力シート!$J$24,'従業員情報(給与以外)'!$C492)/365))</f>
        <v/>
      </c>
      <c r="Q492" s="210" t="str">
        <f>IF(P492="","",VLOOKUP(_xlfn.DAYS(入力シート!$J$24,'従業員情報(給与以外)'!$C492)/365,入力リスト!$K$18:$L$26,2,2))</f>
        <v/>
      </c>
      <c r="R492" s="209" t="str">
        <f>IF(D492="","",VLOOKUP('従業員情報(給与以外)'!$D492,入力シート!$AW$37:$BB$38,4,0))</f>
        <v/>
      </c>
      <c r="S492" s="209" t="str">
        <f>IF(A492="","",IF(E492="","非役職",VLOOKUP('従業員情報(給与以外)'!$E492,入力シート!$AH$37:$AO$62,5,0)))</f>
        <v/>
      </c>
      <c r="T492" s="102" t="str">
        <f>IF(OR(入力シート!$C$5&lt;&gt;入力リスト!$C$3,COUNTIF(入力シート!$J$16:$S$23,入力リスト!$H$9)=0),"",IF($A492="","",IF(ISERROR(AVERAGEIF(従業員の給与情報!$B:$B,$A492,従業員の給与情報!$C:$C)),0,IF(ISERROR(AVERAGEIF(従業員の給与情報!$B:$B,$A492,従業員の給与情報!$C:$C)),0,AVERAGEIF(従業員の給与情報!$B:$B,$A492,従業員の給与情報!$C:$C)))))</f>
        <v/>
      </c>
      <c r="U492" s="102" t="str">
        <f>IF(OR(入力シート!$C$5&lt;&gt;入力リスト!$C$3,COUNTIF(入力シート!$J$16:$S$23,入力リスト!$H$9)=0),"",IF(A492="","",IF(ISERROR(AVERAGEIF(従業員の給与情報!$B:$B,$A492,従業員の給与情報!$D:$D)),0,IF(ISERROR(AVERAGEIF(従業員の給与情報!$B:$B,$A492,従業員の給与情報!$D:$D)),0,AVERAGEIF(従業員の給与情報!$B:$B,$A492,従業員の給与情報!$D:$D)))))</f>
        <v/>
      </c>
      <c r="V492" s="102" t="str">
        <f>IF(OR(入力シート!$C$5&lt;&gt;入力リスト!$C$3,COUNTIF(入力シート!$J$16:$S$23,入力リスト!$H$9)=0),"",IF(A492="","",IF(ISERROR(AVERAGEIF(従業員の給与情報!$B:$B,$A492,従業員の給与情報!$E:$E)),0,IF(ISERROR(AVERAGEIF(従業員の給与情報!$B:$B,$A492,従業員の給与情報!$E:$E)),0,AVERAGEIF(従業員の給与情報!$B:$B,$A492,従業員の給与情報!$E:$E)))))</f>
        <v/>
      </c>
      <c r="W492" s="103" t="str">
        <f>IF(OR(入力シート!$C$5&lt;&gt;入力リスト!$C$3,COUNTIF(入力シート!$J$16:$S$23,入力リスト!$H$9)=0),"",IF(A492="","",IF(ISERROR(AVERAGEIF(従業員の給与情報!$B:$B,$A492,従業員の給与情報!$F:$F)),0,IF(ISERROR(AVERAGEIF(従業員の給与情報!$B:$B,$A492,従業員の給与情報!$F:$F)),0,AVERAGEIF(従業員の給与情報!$B:$B,$A492,従業員の給与情報!$F:$F)))))</f>
        <v/>
      </c>
    </row>
    <row r="493" spans="1:23" s="10" customFormat="1">
      <c r="A493" s="253"/>
      <c r="B493" s="246"/>
      <c r="C493" s="247"/>
      <c r="D493" s="246"/>
      <c r="E493" s="246"/>
      <c r="F493" s="257" t="str">
        <f>IF($G$1,"",IF(COUNTIF(A493:E493,"")=5,"",IF(G493,入力リスト!$K$28,IF(OR(A493="",B493="",IF(COUNTIF($C$3,"*不要*"),"",C493=""),D493=""),IF(A493="","従業員番号","")&amp;IF(B493="","「雇用形態」","")&amp;IF(OR(入力シート!$J$18=入力リスト!$H$9,入力シート!$J$22=入力リスト!$H$9),IF(C493="","「入社年月日」",""),"")&amp;IF(D493="","「性別」","")&amp;IF(IF(A493="","従業員番号","")&amp;IF(B493="","「雇用形態」","")&amp;IF(OR(入力シート!$J$18=入力リスト!$H$9,入力シート!$J$22=入力リスト!$H$9),IF(C493="","「入社年月日」",""),"")&amp;IF(D493="","「性別」","")="","",入力リスト!$K$29),IF(J493,入力リスト!$K$30,"")&amp;IF(I493,入力リスト!$K$31,"")&amp;IF(H493,"「雇用形態」","")&amp;IF(K493,"「性別」","")&amp;IF(L493,"「役職」","")&amp;IF(OR(H493,K493,L493),入力リスト!$K$32,"")))))</f>
        <v/>
      </c>
      <c r="G493" s="209" t="b">
        <f>COUNTIF($A$4:A492,$A493)&gt;0</f>
        <v>0</v>
      </c>
      <c r="H493" s="210" t="b">
        <f>IF($H$1,FALSE,COUNTIF(入力シート!$S$37:$V$62,B493)=0)</f>
        <v>0</v>
      </c>
      <c r="I493" s="210" t="b">
        <f t="shared" si="16"/>
        <v>0</v>
      </c>
      <c r="J493" s="210" t="b">
        <f>IF($J$1,FALSE,IF(I493=TRUE,FALSE,IF(I493,FALSE,C493&gt;入力シート!$J$24)))</f>
        <v>0</v>
      </c>
      <c r="K493" s="210" t="b">
        <f>IF($K$1,FALSE,COUNTIF(入力シート!$AW$37:$BB$38,D493)=0)</f>
        <v>0</v>
      </c>
      <c r="L493" s="210" t="b">
        <f>IF($L$1,FALSE,IF($L$3,FALSE,IF(E493="",FALSE,COUNTIF(入力シート!$AH$37:$AK$62,E493)=0)))</f>
        <v>0</v>
      </c>
      <c r="M493" s="211" t="str">
        <f t="shared" si="15"/>
        <v/>
      </c>
      <c r="N493" s="211"/>
      <c r="O493" s="209" t="str">
        <f>IF(B493="","",VLOOKUP('従業員情報(給与以外)'!$B493,入力シート!$S$37:$Z$62,5,0))</f>
        <v/>
      </c>
      <c r="P493" s="156" t="str">
        <f>IF(ISNUMBER(C493)=FALSE,"",IF(C493&gt;入力シート!$J$24,"",_xlfn.DAYS(入力シート!$J$24,'従業員情報(給与以外)'!$C493)/365))</f>
        <v/>
      </c>
      <c r="Q493" s="210" t="str">
        <f>IF(P493="","",VLOOKUP(_xlfn.DAYS(入力シート!$J$24,'従業員情報(給与以外)'!$C493)/365,入力リスト!$K$18:$L$26,2,2))</f>
        <v/>
      </c>
      <c r="R493" s="209" t="str">
        <f>IF(D493="","",VLOOKUP('従業員情報(給与以外)'!$D493,入力シート!$AW$37:$BB$38,4,0))</f>
        <v/>
      </c>
      <c r="S493" s="209" t="str">
        <f>IF(A493="","",IF(E493="","非役職",VLOOKUP('従業員情報(給与以外)'!$E493,入力シート!$AH$37:$AO$62,5,0)))</f>
        <v/>
      </c>
      <c r="T493" s="102" t="str">
        <f>IF(OR(入力シート!$C$5&lt;&gt;入力リスト!$C$3,COUNTIF(入力シート!$J$16:$S$23,入力リスト!$H$9)=0),"",IF($A493="","",IF(ISERROR(AVERAGEIF(従業員の給与情報!$B:$B,$A493,従業員の給与情報!$C:$C)),0,IF(ISERROR(AVERAGEIF(従業員の給与情報!$B:$B,$A493,従業員の給与情報!$C:$C)),0,AVERAGEIF(従業員の給与情報!$B:$B,$A493,従業員の給与情報!$C:$C)))))</f>
        <v/>
      </c>
      <c r="U493" s="102" t="str">
        <f>IF(OR(入力シート!$C$5&lt;&gt;入力リスト!$C$3,COUNTIF(入力シート!$J$16:$S$23,入力リスト!$H$9)=0),"",IF(A493="","",IF(ISERROR(AVERAGEIF(従業員の給与情報!$B:$B,$A493,従業員の給与情報!$D:$D)),0,IF(ISERROR(AVERAGEIF(従業員の給与情報!$B:$B,$A493,従業員の給与情報!$D:$D)),0,AVERAGEIF(従業員の給与情報!$B:$B,$A493,従業員の給与情報!$D:$D)))))</f>
        <v/>
      </c>
      <c r="V493" s="102" t="str">
        <f>IF(OR(入力シート!$C$5&lt;&gt;入力リスト!$C$3,COUNTIF(入力シート!$J$16:$S$23,入力リスト!$H$9)=0),"",IF(A493="","",IF(ISERROR(AVERAGEIF(従業員の給与情報!$B:$B,$A493,従業員の給与情報!$E:$E)),0,IF(ISERROR(AVERAGEIF(従業員の給与情報!$B:$B,$A493,従業員の給与情報!$E:$E)),0,AVERAGEIF(従業員の給与情報!$B:$B,$A493,従業員の給与情報!$E:$E)))))</f>
        <v/>
      </c>
      <c r="W493" s="103" t="str">
        <f>IF(OR(入力シート!$C$5&lt;&gt;入力リスト!$C$3,COUNTIF(入力シート!$J$16:$S$23,入力リスト!$H$9)=0),"",IF(A493="","",IF(ISERROR(AVERAGEIF(従業員の給与情報!$B:$B,$A493,従業員の給与情報!$F:$F)),0,IF(ISERROR(AVERAGEIF(従業員の給与情報!$B:$B,$A493,従業員の給与情報!$F:$F)),0,AVERAGEIF(従業員の給与情報!$B:$B,$A493,従業員の給与情報!$F:$F)))))</f>
        <v/>
      </c>
    </row>
    <row r="494" spans="1:23" s="10" customFormat="1">
      <c r="A494" s="253"/>
      <c r="B494" s="246"/>
      <c r="C494" s="247"/>
      <c r="D494" s="246"/>
      <c r="E494" s="246"/>
      <c r="F494" s="257" t="str">
        <f>IF($G$1,"",IF(COUNTIF(A494:E494,"")=5,"",IF(G494,入力リスト!$K$28,IF(OR(A494="",B494="",IF(COUNTIF($C$3,"*不要*"),"",C494=""),D494=""),IF(A494="","従業員番号","")&amp;IF(B494="","「雇用形態」","")&amp;IF(OR(入力シート!$J$18=入力リスト!$H$9,入力シート!$J$22=入力リスト!$H$9),IF(C494="","「入社年月日」",""),"")&amp;IF(D494="","「性別」","")&amp;IF(IF(A494="","従業員番号","")&amp;IF(B494="","「雇用形態」","")&amp;IF(OR(入力シート!$J$18=入力リスト!$H$9,入力シート!$J$22=入力リスト!$H$9),IF(C494="","「入社年月日」",""),"")&amp;IF(D494="","「性別」","")="","",入力リスト!$K$29),IF(J494,入力リスト!$K$30,"")&amp;IF(I494,入力リスト!$K$31,"")&amp;IF(H494,"「雇用形態」","")&amp;IF(K494,"「性別」","")&amp;IF(L494,"「役職」","")&amp;IF(OR(H494,K494,L494),入力リスト!$K$32,"")))))</f>
        <v/>
      </c>
      <c r="G494" s="209" t="b">
        <f>COUNTIF($A$4:A493,$A494)&gt;0</f>
        <v>0</v>
      </c>
      <c r="H494" s="210" t="b">
        <f>IF($H$1,FALSE,COUNTIF(入力シート!$S$37:$V$62,B494)=0)</f>
        <v>0</v>
      </c>
      <c r="I494" s="210" t="b">
        <f t="shared" si="16"/>
        <v>0</v>
      </c>
      <c r="J494" s="210" t="b">
        <f>IF($J$1,FALSE,IF(I494=TRUE,FALSE,IF(I494,FALSE,C494&gt;入力シート!$J$24)))</f>
        <v>0</v>
      </c>
      <c r="K494" s="210" t="b">
        <f>IF($K$1,FALSE,COUNTIF(入力シート!$AW$37:$BB$38,D494)=0)</f>
        <v>0</v>
      </c>
      <c r="L494" s="210" t="b">
        <f>IF($L$1,FALSE,IF($L$3,FALSE,IF(E494="",FALSE,COUNTIF(入力シート!$AH$37:$AK$62,E494)=0)))</f>
        <v>0</v>
      </c>
      <c r="M494" s="211" t="str">
        <f t="shared" si="15"/>
        <v/>
      </c>
      <c r="N494" s="211"/>
      <c r="O494" s="209" t="str">
        <f>IF(B494="","",VLOOKUP('従業員情報(給与以外)'!$B494,入力シート!$S$37:$Z$62,5,0))</f>
        <v/>
      </c>
      <c r="P494" s="156" t="str">
        <f>IF(ISNUMBER(C494)=FALSE,"",IF(C494&gt;入力シート!$J$24,"",_xlfn.DAYS(入力シート!$J$24,'従業員情報(給与以外)'!$C494)/365))</f>
        <v/>
      </c>
      <c r="Q494" s="210" t="str">
        <f>IF(P494="","",VLOOKUP(_xlfn.DAYS(入力シート!$J$24,'従業員情報(給与以外)'!$C494)/365,入力リスト!$K$18:$L$26,2,2))</f>
        <v/>
      </c>
      <c r="R494" s="209" t="str">
        <f>IF(D494="","",VLOOKUP('従業員情報(給与以外)'!$D494,入力シート!$AW$37:$BB$38,4,0))</f>
        <v/>
      </c>
      <c r="S494" s="209" t="str">
        <f>IF(A494="","",IF(E494="","非役職",VLOOKUP('従業員情報(給与以外)'!$E494,入力シート!$AH$37:$AO$62,5,0)))</f>
        <v/>
      </c>
      <c r="T494" s="102" t="str">
        <f>IF(OR(入力シート!$C$5&lt;&gt;入力リスト!$C$3,COUNTIF(入力シート!$J$16:$S$23,入力リスト!$H$9)=0),"",IF($A494="","",IF(ISERROR(AVERAGEIF(従業員の給与情報!$B:$B,$A494,従業員の給与情報!$C:$C)),0,IF(ISERROR(AVERAGEIF(従業員の給与情報!$B:$B,$A494,従業員の給与情報!$C:$C)),0,AVERAGEIF(従業員の給与情報!$B:$B,$A494,従業員の給与情報!$C:$C)))))</f>
        <v/>
      </c>
      <c r="U494" s="102" t="str">
        <f>IF(OR(入力シート!$C$5&lt;&gt;入力リスト!$C$3,COUNTIF(入力シート!$J$16:$S$23,入力リスト!$H$9)=0),"",IF(A494="","",IF(ISERROR(AVERAGEIF(従業員の給与情報!$B:$B,$A494,従業員の給与情報!$D:$D)),0,IF(ISERROR(AVERAGEIF(従業員の給与情報!$B:$B,$A494,従業員の給与情報!$D:$D)),0,AVERAGEIF(従業員の給与情報!$B:$B,$A494,従業員の給与情報!$D:$D)))))</f>
        <v/>
      </c>
      <c r="V494" s="102" t="str">
        <f>IF(OR(入力シート!$C$5&lt;&gt;入力リスト!$C$3,COUNTIF(入力シート!$J$16:$S$23,入力リスト!$H$9)=0),"",IF(A494="","",IF(ISERROR(AVERAGEIF(従業員の給与情報!$B:$B,$A494,従業員の給与情報!$E:$E)),0,IF(ISERROR(AVERAGEIF(従業員の給与情報!$B:$B,$A494,従業員の給与情報!$E:$E)),0,AVERAGEIF(従業員の給与情報!$B:$B,$A494,従業員の給与情報!$E:$E)))))</f>
        <v/>
      </c>
      <c r="W494" s="103" t="str">
        <f>IF(OR(入力シート!$C$5&lt;&gt;入力リスト!$C$3,COUNTIF(入力シート!$J$16:$S$23,入力リスト!$H$9)=0),"",IF(A494="","",IF(ISERROR(AVERAGEIF(従業員の給与情報!$B:$B,$A494,従業員の給与情報!$F:$F)),0,IF(ISERROR(AVERAGEIF(従業員の給与情報!$B:$B,$A494,従業員の給与情報!$F:$F)),0,AVERAGEIF(従業員の給与情報!$B:$B,$A494,従業員の給与情報!$F:$F)))))</f>
        <v/>
      </c>
    </row>
    <row r="495" spans="1:23" s="10" customFormat="1">
      <c r="A495" s="253"/>
      <c r="B495" s="246"/>
      <c r="C495" s="247"/>
      <c r="D495" s="246"/>
      <c r="E495" s="246"/>
      <c r="F495" s="257" t="str">
        <f>IF($G$1,"",IF(COUNTIF(A495:E495,"")=5,"",IF(G495,入力リスト!$K$28,IF(OR(A495="",B495="",IF(COUNTIF($C$3,"*不要*"),"",C495=""),D495=""),IF(A495="","従業員番号","")&amp;IF(B495="","「雇用形態」","")&amp;IF(OR(入力シート!$J$18=入力リスト!$H$9,入力シート!$J$22=入力リスト!$H$9),IF(C495="","「入社年月日」",""),"")&amp;IF(D495="","「性別」","")&amp;IF(IF(A495="","従業員番号","")&amp;IF(B495="","「雇用形態」","")&amp;IF(OR(入力シート!$J$18=入力リスト!$H$9,入力シート!$J$22=入力リスト!$H$9),IF(C495="","「入社年月日」",""),"")&amp;IF(D495="","「性別」","")="","",入力リスト!$K$29),IF(J495,入力リスト!$K$30,"")&amp;IF(I495,入力リスト!$K$31,"")&amp;IF(H495,"「雇用形態」","")&amp;IF(K495,"「性別」","")&amp;IF(L495,"「役職」","")&amp;IF(OR(H495,K495,L495),入力リスト!$K$32,"")))))</f>
        <v/>
      </c>
      <c r="G495" s="209" t="b">
        <f>COUNTIF($A$4:A494,$A495)&gt;0</f>
        <v>0</v>
      </c>
      <c r="H495" s="210" t="b">
        <f>IF($H$1,FALSE,COUNTIF(入力シート!$S$37:$V$62,B495)=0)</f>
        <v>0</v>
      </c>
      <c r="I495" s="210" t="b">
        <f t="shared" si="16"/>
        <v>0</v>
      </c>
      <c r="J495" s="210" t="b">
        <f>IF($J$1,FALSE,IF(I495=TRUE,FALSE,IF(I495,FALSE,C495&gt;入力シート!$J$24)))</f>
        <v>0</v>
      </c>
      <c r="K495" s="210" t="b">
        <f>IF($K$1,FALSE,COUNTIF(入力シート!$AW$37:$BB$38,D495)=0)</f>
        <v>0</v>
      </c>
      <c r="L495" s="210" t="b">
        <f>IF($L$1,FALSE,IF($L$3,FALSE,IF(E495="",FALSE,COUNTIF(入力シート!$AH$37:$AK$62,E495)=0)))</f>
        <v>0</v>
      </c>
      <c r="M495" s="211" t="str">
        <f t="shared" si="15"/>
        <v/>
      </c>
      <c r="N495" s="211"/>
      <c r="O495" s="209" t="str">
        <f>IF(B495="","",VLOOKUP('従業員情報(給与以外)'!$B495,入力シート!$S$37:$Z$62,5,0))</f>
        <v/>
      </c>
      <c r="P495" s="156" t="str">
        <f>IF(ISNUMBER(C495)=FALSE,"",IF(C495&gt;入力シート!$J$24,"",_xlfn.DAYS(入力シート!$J$24,'従業員情報(給与以外)'!$C495)/365))</f>
        <v/>
      </c>
      <c r="Q495" s="210" t="str">
        <f>IF(P495="","",VLOOKUP(_xlfn.DAYS(入力シート!$J$24,'従業員情報(給与以外)'!$C495)/365,入力リスト!$K$18:$L$26,2,2))</f>
        <v/>
      </c>
      <c r="R495" s="209" t="str">
        <f>IF(D495="","",VLOOKUP('従業員情報(給与以外)'!$D495,入力シート!$AW$37:$BB$38,4,0))</f>
        <v/>
      </c>
      <c r="S495" s="209" t="str">
        <f>IF(A495="","",IF(E495="","非役職",VLOOKUP('従業員情報(給与以外)'!$E495,入力シート!$AH$37:$AO$62,5,0)))</f>
        <v/>
      </c>
      <c r="T495" s="102" t="str">
        <f>IF(OR(入力シート!$C$5&lt;&gt;入力リスト!$C$3,COUNTIF(入力シート!$J$16:$S$23,入力リスト!$H$9)=0),"",IF($A495="","",IF(ISERROR(AVERAGEIF(従業員の給与情報!$B:$B,$A495,従業員の給与情報!$C:$C)),0,IF(ISERROR(AVERAGEIF(従業員の給与情報!$B:$B,$A495,従業員の給与情報!$C:$C)),0,AVERAGEIF(従業員の給与情報!$B:$B,$A495,従業員の給与情報!$C:$C)))))</f>
        <v/>
      </c>
      <c r="U495" s="102" t="str">
        <f>IF(OR(入力シート!$C$5&lt;&gt;入力リスト!$C$3,COUNTIF(入力シート!$J$16:$S$23,入力リスト!$H$9)=0),"",IF(A495="","",IF(ISERROR(AVERAGEIF(従業員の給与情報!$B:$B,$A495,従業員の給与情報!$D:$D)),0,IF(ISERROR(AVERAGEIF(従業員の給与情報!$B:$B,$A495,従業員の給与情報!$D:$D)),0,AVERAGEIF(従業員の給与情報!$B:$B,$A495,従業員の給与情報!$D:$D)))))</f>
        <v/>
      </c>
      <c r="V495" s="102" t="str">
        <f>IF(OR(入力シート!$C$5&lt;&gt;入力リスト!$C$3,COUNTIF(入力シート!$J$16:$S$23,入力リスト!$H$9)=0),"",IF(A495="","",IF(ISERROR(AVERAGEIF(従業員の給与情報!$B:$B,$A495,従業員の給与情報!$E:$E)),0,IF(ISERROR(AVERAGEIF(従業員の給与情報!$B:$B,$A495,従業員の給与情報!$E:$E)),0,AVERAGEIF(従業員の給与情報!$B:$B,$A495,従業員の給与情報!$E:$E)))))</f>
        <v/>
      </c>
      <c r="W495" s="103" t="str">
        <f>IF(OR(入力シート!$C$5&lt;&gt;入力リスト!$C$3,COUNTIF(入力シート!$J$16:$S$23,入力リスト!$H$9)=0),"",IF(A495="","",IF(ISERROR(AVERAGEIF(従業員の給与情報!$B:$B,$A495,従業員の給与情報!$F:$F)),0,IF(ISERROR(AVERAGEIF(従業員の給与情報!$B:$B,$A495,従業員の給与情報!$F:$F)),0,AVERAGEIF(従業員の給与情報!$B:$B,$A495,従業員の給与情報!$F:$F)))))</f>
        <v/>
      </c>
    </row>
    <row r="496" spans="1:23" s="10" customFormat="1">
      <c r="A496" s="253"/>
      <c r="B496" s="246"/>
      <c r="C496" s="247"/>
      <c r="D496" s="246"/>
      <c r="E496" s="246"/>
      <c r="F496" s="257" t="str">
        <f>IF($G$1,"",IF(COUNTIF(A496:E496,"")=5,"",IF(G496,入力リスト!$K$28,IF(OR(A496="",B496="",IF(COUNTIF($C$3,"*不要*"),"",C496=""),D496=""),IF(A496="","従業員番号","")&amp;IF(B496="","「雇用形態」","")&amp;IF(OR(入力シート!$J$18=入力リスト!$H$9,入力シート!$J$22=入力リスト!$H$9),IF(C496="","「入社年月日」",""),"")&amp;IF(D496="","「性別」","")&amp;IF(IF(A496="","従業員番号","")&amp;IF(B496="","「雇用形態」","")&amp;IF(OR(入力シート!$J$18=入力リスト!$H$9,入力シート!$J$22=入力リスト!$H$9),IF(C496="","「入社年月日」",""),"")&amp;IF(D496="","「性別」","")="","",入力リスト!$K$29),IF(J496,入力リスト!$K$30,"")&amp;IF(I496,入力リスト!$K$31,"")&amp;IF(H496,"「雇用形態」","")&amp;IF(K496,"「性別」","")&amp;IF(L496,"「役職」","")&amp;IF(OR(H496,K496,L496),入力リスト!$K$32,"")))))</f>
        <v/>
      </c>
      <c r="G496" s="209" t="b">
        <f>COUNTIF($A$4:A495,$A496)&gt;0</f>
        <v>0</v>
      </c>
      <c r="H496" s="210" t="b">
        <f>IF($H$1,FALSE,COUNTIF(入力シート!$S$37:$V$62,B496)=0)</f>
        <v>0</v>
      </c>
      <c r="I496" s="210" t="b">
        <f t="shared" si="16"/>
        <v>0</v>
      </c>
      <c r="J496" s="210" t="b">
        <f>IF($J$1,FALSE,IF(I496=TRUE,FALSE,IF(I496,FALSE,C496&gt;入力シート!$J$24)))</f>
        <v>0</v>
      </c>
      <c r="K496" s="210" t="b">
        <f>IF($K$1,FALSE,COUNTIF(入力シート!$AW$37:$BB$38,D496)=0)</f>
        <v>0</v>
      </c>
      <c r="L496" s="210" t="b">
        <f>IF($L$1,FALSE,IF($L$3,FALSE,IF(E496="",FALSE,COUNTIF(入力シート!$AH$37:$AK$62,E496)=0)))</f>
        <v>0</v>
      </c>
      <c r="M496" s="211" t="str">
        <f t="shared" si="15"/>
        <v/>
      </c>
      <c r="N496" s="211"/>
      <c r="O496" s="209" t="str">
        <f>IF(B496="","",VLOOKUP('従業員情報(給与以外)'!$B496,入力シート!$S$37:$Z$62,5,0))</f>
        <v/>
      </c>
      <c r="P496" s="156" t="str">
        <f>IF(ISNUMBER(C496)=FALSE,"",IF(C496&gt;入力シート!$J$24,"",_xlfn.DAYS(入力シート!$J$24,'従業員情報(給与以外)'!$C496)/365))</f>
        <v/>
      </c>
      <c r="Q496" s="210" t="str">
        <f>IF(P496="","",VLOOKUP(_xlfn.DAYS(入力シート!$J$24,'従業員情報(給与以外)'!$C496)/365,入力リスト!$K$18:$L$26,2,2))</f>
        <v/>
      </c>
      <c r="R496" s="209" t="str">
        <f>IF(D496="","",VLOOKUP('従業員情報(給与以外)'!$D496,入力シート!$AW$37:$BB$38,4,0))</f>
        <v/>
      </c>
      <c r="S496" s="209" t="str">
        <f>IF(A496="","",IF(E496="","非役職",VLOOKUP('従業員情報(給与以外)'!$E496,入力シート!$AH$37:$AO$62,5,0)))</f>
        <v/>
      </c>
      <c r="T496" s="102" t="str">
        <f>IF(OR(入力シート!$C$5&lt;&gt;入力リスト!$C$3,COUNTIF(入力シート!$J$16:$S$23,入力リスト!$H$9)=0),"",IF($A496="","",IF(ISERROR(AVERAGEIF(従業員の給与情報!$B:$B,$A496,従業員の給与情報!$C:$C)),0,IF(ISERROR(AVERAGEIF(従業員の給与情報!$B:$B,$A496,従業員の給与情報!$C:$C)),0,AVERAGEIF(従業員の給与情報!$B:$B,$A496,従業員の給与情報!$C:$C)))))</f>
        <v/>
      </c>
      <c r="U496" s="102" t="str">
        <f>IF(OR(入力シート!$C$5&lt;&gt;入力リスト!$C$3,COUNTIF(入力シート!$J$16:$S$23,入力リスト!$H$9)=0),"",IF(A496="","",IF(ISERROR(AVERAGEIF(従業員の給与情報!$B:$B,$A496,従業員の給与情報!$D:$D)),0,IF(ISERROR(AVERAGEIF(従業員の給与情報!$B:$B,$A496,従業員の給与情報!$D:$D)),0,AVERAGEIF(従業員の給与情報!$B:$B,$A496,従業員の給与情報!$D:$D)))))</f>
        <v/>
      </c>
      <c r="V496" s="102" t="str">
        <f>IF(OR(入力シート!$C$5&lt;&gt;入力リスト!$C$3,COUNTIF(入力シート!$J$16:$S$23,入力リスト!$H$9)=0),"",IF(A496="","",IF(ISERROR(AVERAGEIF(従業員の給与情報!$B:$B,$A496,従業員の給与情報!$E:$E)),0,IF(ISERROR(AVERAGEIF(従業員の給与情報!$B:$B,$A496,従業員の給与情報!$E:$E)),0,AVERAGEIF(従業員の給与情報!$B:$B,$A496,従業員の給与情報!$E:$E)))))</f>
        <v/>
      </c>
      <c r="W496" s="103" t="str">
        <f>IF(OR(入力シート!$C$5&lt;&gt;入力リスト!$C$3,COUNTIF(入力シート!$J$16:$S$23,入力リスト!$H$9)=0),"",IF(A496="","",IF(ISERROR(AVERAGEIF(従業員の給与情報!$B:$B,$A496,従業員の給与情報!$F:$F)),0,IF(ISERROR(AVERAGEIF(従業員の給与情報!$B:$B,$A496,従業員の給与情報!$F:$F)),0,AVERAGEIF(従業員の給与情報!$B:$B,$A496,従業員の給与情報!$F:$F)))))</f>
        <v/>
      </c>
    </row>
    <row r="497" spans="1:24">
      <c r="A497" s="253"/>
      <c r="B497" s="246"/>
      <c r="C497" s="247"/>
      <c r="D497" s="246"/>
      <c r="E497" s="246"/>
      <c r="F497" s="257" t="str">
        <f>IF($G$1,"",IF(COUNTIF(A497:E497,"")=5,"",IF(G497,入力リスト!$K$28,IF(OR(A497="",B497="",IF(COUNTIF($C$3,"*不要*"),"",C497=""),D497=""),IF(A497="","従業員番号","")&amp;IF(B497="","「雇用形態」","")&amp;IF(OR(入力シート!$J$18=入力リスト!$H$9,入力シート!$J$22=入力リスト!$H$9),IF(C497="","「入社年月日」",""),"")&amp;IF(D497="","「性別」","")&amp;IF(IF(A497="","従業員番号","")&amp;IF(B497="","「雇用形態」","")&amp;IF(OR(入力シート!$J$18=入力リスト!$H$9,入力シート!$J$22=入力リスト!$H$9),IF(C497="","「入社年月日」",""),"")&amp;IF(D497="","「性別」","")="","",入力リスト!$K$29),IF(J497,入力リスト!$K$30,"")&amp;IF(I497,入力リスト!$K$31,"")&amp;IF(H497,"「雇用形態」","")&amp;IF(K497,"「性別」","")&amp;IF(L497,"「役職」","")&amp;IF(OR(H497,K497,L497),入力リスト!$K$32,"")))))</f>
        <v/>
      </c>
      <c r="G497" s="209" t="b">
        <f>COUNTIF($A$4:A496,$A497)&gt;0</f>
        <v>0</v>
      </c>
      <c r="H497" s="210" t="b">
        <f>IF($H$1,FALSE,COUNTIF(入力シート!$S$37:$V$62,B497)=0)</f>
        <v>0</v>
      </c>
      <c r="I497" s="210" t="b">
        <f t="shared" si="16"/>
        <v>0</v>
      </c>
      <c r="J497" s="210" t="b">
        <f>IF($J$1,FALSE,IF(I497=TRUE,FALSE,IF(I497,FALSE,C497&gt;入力シート!$J$24)))</f>
        <v>0</v>
      </c>
      <c r="K497" s="210" t="b">
        <f>IF($K$1,FALSE,COUNTIF(入力シート!$AW$37:$BB$38,D497)=0)</f>
        <v>0</v>
      </c>
      <c r="L497" s="210" t="b">
        <f>IF($L$1,FALSE,IF($L$3,FALSE,IF(E497="",FALSE,COUNTIF(入力シート!$AH$37:$AK$62,E497)=0)))</f>
        <v>0</v>
      </c>
      <c r="M497" s="211" t="str">
        <f t="shared" si="15"/>
        <v/>
      </c>
      <c r="N497" s="211"/>
      <c r="O497" s="209" t="str">
        <f>IF(B497="","",VLOOKUP('従業員情報(給与以外)'!$B497,入力シート!$S$37:$Z$62,5,0))</f>
        <v/>
      </c>
      <c r="P497" s="156" t="str">
        <f>IF(ISNUMBER(C497)=FALSE,"",IF(C497&gt;入力シート!$J$24,"",_xlfn.DAYS(入力シート!$J$24,'従業員情報(給与以外)'!$C497)/365))</f>
        <v/>
      </c>
      <c r="Q497" s="210" t="str">
        <f>IF(P497="","",VLOOKUP(_xlfn.DAYS(入力シート!$J$24,'従業員情報(給与以外)'!$C497)/365,入力リスト!$K$18:$L$26,2,2))</f>
        <v/>
      </c>
      <c r="R497" s="209" t="str">
        <f>IF(D497="","",VLOOKUP('従業員情報(給与以外)'!$D497,入力シート!$AW$37:$BB$38,4,0))</f>
        <v/>
      </c>
      <c r="S497" s="209" t="str">
        <f>IF(A497="","",IF(E497="","非役職",VLOOKUP('従業員情報(給与以外)'!$E497,入力シート!$AH$37:$AO$62,5,0)))</f>
        <v/>
      </c>
      <c r="T497" s="102" t="str">
        <f>IF(OR(入力シート!$C$5&lt;&gt;入力リスト!$C$3,COUNTIF(入力シート!$J$16:$S$23,入力リスト!$H$9)=0),"",IF($A497="","",IF(ISERROR(AVERAGEIF(従業員の給与情報!$B:$B,$A497,従業員の給与情報!$C:$C)),0,IF(ISERROR(AVERAGEIF(従業員の給与情報!$B:$B,$A497,従業員の給与情報!$C:$C)),0,AVERAGEIF(従業員の給与情報!$B:$B,$A497,従業員の給与情報!$C:$C)))))</f>
        <v/>
      </c>
      <c r="U497" s="102" t="str">
        <f>IF(OR(入力シート!$C$5&lt;&gt;入力リスト!$C$3,COUNTIF(入力シート!$J$16:$S$23,入力リスト!$H$9)=0),"",IF(A497="","",IF(ISERROR(AVERAGEIF(従業員の給与情報!$B:$B,$A497,従業員の給与情報!$D:$D)),0,IF(ISERROR(AVERAGEIF(従業員の給与情報!$B:$B,$A497,従業員の給与情報!$D:$D)),0,AVERAGEIF(従業員の給与情報!$B:$B,$A497,従業員の給与情報!$D:$D)))))</f>
        <v/>
      </c>
      <c r="V497" s="102" t="str">
        <f>IF(OR(入力シート!$C$5&lt;&gt;入力リスト!$C$3,COUNTIF(入力シート!$J$16:$S$23,入力リスト!$H$9)=0),"",IF(A497="","",IF(ISERROR(AVERAGEIF(従業員の給与情報!$B:$B,$A497,従業員の給与情報!$E:$E)),0,IF(ISERROR(AVERAGEIF(従業員の給与情報!$B:$B,$A497,従業員の給与情報!$E:$E)),0,AVERAGEIF(従業員の給与情報!$B:$B,$A497,従業員の給与情報!$E:$E)))))</f>
        <v/>
      </c>
      <c r="W497" s="103" t="str">
        <f>IF(OR(入力シート!$C$5&lt;&gt;入力リスト!$C$3,COUNTIF(入力シート!$J$16:$S$23,入力リスト!$H$9)=0),"",IF(A497="","",IF(ISERROR(AVERAGEIF(従業員の給与情報!$B:$B,$A497,従業員の給与情報!$F:$F)),0,IF(ISERROR(AVERAGEIF(従業員の給与情報!$B:$B,$A497,従業員の給与情報!$F:$F)),0,AVERAGEIF(従業員の給与情報!$B:$B,$A497,従業員の給与情報!$F:$F)))))</f>
        <v/>
      </c>
      <c r="X497" s="10"/>
    </row>
    <row r="498" spans="1:24">
      <c r="A498" s="253"/>
      <c r="B498" s="246"/>
      <c r="C498" s="247"/>
      <c r="D498" s="246"/>
      <c r="E498" s="246"/>
      <c r="F498" s="257" t="str">
        <f>IF($G$1,"",IF(COUNTIF(A498:E498,"")=5,"",IF(G498,入力リスト!$K$28,IF(OR(A498="",B498="",IF(COUNTIF($C$3,"*不要*"),"",C498=""),D498=""),IF(A498="","従業員番号","")&amp;IF(B498="","「雇用形態」","")&amp;IF(OR(入力シート!$J$18=入力リスト!$H$9,入力シート!$J$22=入力リスト!$H$9),IF(C498="","「入社年月日」",""),"")&amp;IF(D498="","「性別」","")&amp;IF(IF(A498="","従業員番号","")&amp;IF(B498="","「雇用形態」","")&amp;IF(OR(入力シート!$J$18=入力リスト!$H$9,入力シート!$J$22=入力リスト!$H$9),IF(C498="","「入社年月日」",""),"")&amp;IF(D498="","「性別」","")="","",入力リスト!$K$29),IF(J498,入力リスト!$K$30,"")&amp;IF(I498,入力リスト!$K$31,"")&amp;IF(H498,"「雇用形態」","")&amp;IF(K498,"「性別」","")&amp;IF(L498,"「役職」","")&amp;IF(OR(H498,K498,L498),入力リスト!$K$32,"")))))</f>
        <v/>
      </c>
      <c r="G498" s="209" t="b">
        <f>COUNTIF($A$4:A497,$A498)&gt;0</f>
        <v>0</v>
      </c>
      <c r="H498" s="210" t="b">
        <f>IF($H$1,FALSE,COUNTIF(入力シート!$S$37:$V$62,B498)=0)</f>
        <v>0</v>
      </c>
      <c r="I498" s="210" t="b">
        <f t="shared" si="16"/>
        <v>0</v>
      </c>
      <c r="J498" s="210" t="b">
        <f>IF($J$1,FALSE,IF(I498=TRUE,FALSE,IF(I498,FALSE,C498&gt;入力シート!$J$24)))</f>
        <v>0</v>
      </c>
      <c r="K498" s="210" t="b">
        <f>IF($K$1,FALSE,COUNTIF(入力シート!$AW$37:$BB$38,D498)=0)</f>
        <v>0</v>
      </c>
      <c r="L498" s="210" t="b">
        <f>IF($L$1,FALSE,IF($L$3,FALSE,IF(E498="",FALSE,COUNTIF(入力シート!$AH$37:$AK$62,E498)=0)))</f>
        <v>0</v>
      </c>
      <c r="M498" s="211" t="str">
        <f t="shared" si="15"/>
        <v/>
      </c>
      <c r="N498" s="211"/>
      <c r="O498" s="209" t="str">
        <f>IF(B498="","",VLOOKUP('従業員情報(給与以外)'!$B498,入力シート!$S$37:$Z$62,5,0))</f>
        <v/>
      </c>
      <c r="P498" s="156" t="str">
        <f>IF(ISNUMBER(C498)=FALSE,"",IF(C498&gt;入力シート!$J$24,"",_xlfn.DAYS(入力シート!$J$24,'従業員情報(給与以外)'!$C498)/365))</f>
        <v/>
      </c>
      <c r="Q498" s="210" t="str">
        <f>IF(P498="","",VLOOKUP(_xlfn.DAYS(入力シート!$J$24,'従業員情報(給与以外)'!$C498)/365,入力リスト!$K$18:$L$26,2,2))</f>
        <v/>
      </c>
      <c r="R498" s="209" t="str">
        <f>IF(D498="","",VLOOKUP('従業員情報(給与以外)'!$D498,入力シート!$AW$37:$BB$38,4,0))</f>
        <v/>
      </c>
      <c r="S498" s="209" t="str">
        <f>IF(A498="","",IF(E498="","非役職",VLOOKUP('従業員情報(給与以外)'!$E498,入力シート!$AH$37:$AO$62,5,0)))</f>
        <v/>
      </c>
      <c r="T498" s="102" t="str">
        <f>IF(OR(入力シート!$C$5&lt;&gt;入力リスト!$C$3,COUNTIF(入力シート!$J$16:$S$23,入力リスト!$H$9)=0),"",IF($A498="","",IF(ISERROR(AVERAGEIF(従業員の給与情報!$B:$B,$A498,従業員の給与情報!$C:$C)),0,IF(ISERROR(AVERAGEIF(従業員の給与情報!$B:$B,$A498,従業員の給与情報!$C:$C)),0,AVERAGEIF(従業員の給与情報!$B:$B,$A498,従業員の給与情報!$C:$C)))))</f>
        <v/>
      </c>
      <c r="U498" s="102" t="str">
        <f>IF(OR(入力シート!$C$5&lt;&gt;入力リスト!$C$3,COUNTIF(入力シート!$J$16:$S$23,入力リスト!$H$9)=0),"",IF(A498="","",IF(ISERROR(AVERAGEIF(従業員の給与情報!$B:$B,$A498,従業員の給与情報!$D:$D)),0,IF(ISERROR(AVERAGEIF(従業員の給与情報!$B:$B,$A498,従業員の給与情報!$D:$D)),0,AVERAGEIF(従業員の給与情報!$B:$B,$A498,従業員の給与情報!$D:$D)))))</f>
        <v/>
      </c>
      <c r="V498" s="102" t="str">
        <f>IF(OR(入力シート!$C$5&lt;&gt;入力リスト!$C$3,COUNTIF(入力シート!$J$16:$S$23,入力リスト!$H$9)=0),"",IF(A498="","",IF(ISERROR(AVERAGEIF(従業員の給与情報!$B:$B,$A498,従業員の給与情報!$E:$E)),0,IF(ISERROR(AVERAGEIF(従業員の給与情報!$B:$B,$A498,従業員の給与情報!$E:$E)),0,AVERAGEIF(従業員の給与情報!$B:$B,$A498,従業員の給与情報!$E:$E)))))</f>
        <v/>
      </c>
      <c r="W498" s="103" t="str">
        <f>IF(OR(入力シート!$C$5&lt;&gt;入力リスト!$C$3,COUNTIF(入力シート!$J$16:$S$23,入力リスト!$H$9)=0),"",IF(A498="","",IF(ISERROR(AVERAGEIF(従業員の給与情報!$B:$B,$A498,従業員の給与情報!$F:$F)),0,IF(ISERROR(AVERAGEIF(従業員の給与情報!$B:$B,$A498,従業員の給与情報!$F:$F)),0,AVERAGEIF(従業員の給与情報!$B:$B,$A498,従業員の給与情報!$F:$F)))))</f>
        <v/>
      </c>
      <c r="X498" s="10"/>
    </row>
    <row r="499" spans="1:24">
      <c r="A499" s="253"/>
      <c r="B499" s="246"/>
      <c r="C499" s="247"/>
      <c r="D499" s="246"/>
      <c r="E499" s="246"/>
      <c r="F499" s="257" t="str">
        <f>IF($G$1,"",IF(COUNTIF(A499:E499,"")=5,"",IF(G499,入力リスト!$K$28,IF(OR(A499="",B499="",IF(COUNTIF($C$3,"*不要*"),"",C499=""),D499=""),IF(A499="","従業員番号","")&amp;IF(B499="","「雇用形態」","")&amp;IF(OR(入力シート!$J$18=入力リスト!$H$9,入力シート!$J$22=入力リスト!$H$9),IF(C499="","「入社年月日」",""),"")&amp;IF(D499="","「性別」","")&amp;IF(IF(A499="","従業員番号","")&amp;IF(B499="","「雇用形態」","")&amp;IF(OR(入力シート!$J$18=入力リスト!$H$9,入力シート!$J$22=入力リスト!$H$9),IF(C499="","「入社年月日」",""),"")&amp;IF(D499="","「性別」","")="","",入力リスト!$K$29),IF(J499,入力リスト!$K$30,"")&amp;IF(I499,入力リスト!$K$31,"")&amp;IF(H499,"「雇用形態」","")&amp;IF(K499,"「性別」","")&amp;IF(L499,"「役職」","")&amp;IF(OR(H499,K499,L499),入力リスト!$K$32,"")))))</f>
        <v/>
      </c>
      <c r="G499" s="209" t="b">
        <f>COUNTIF($A$4:A498,$A499)&gt;0</f>
        <v>0</v>
      </c>
      <c r="H499" s="210" t="b">
        <f>IF($H$1,FALSE,COUNTIF(入力シート!$S$37:$V$62,B499)=0)</f>
        <v>0</v>
      </c>
      <c r="I499" s="210" t="b">
        <f t="shared" si="16"/>
        <v>0</v>
      </c>
      <c r="J499" s="210" t="b">
        <f>IF($J$1,FALSE,IF(I499=TRUE,FALSE,IF(I499,FALSE,C499&gt;入力シート!$J$24)))</f>
        <v>0</v>
      </c>
      <c r="K499" s="210" t="b">
        <f>IF($K$1,FALSE,COUNTIF(入力シート!$AW$37:$BB$38,D499)=0)</f>
        <v>0</v>
      </c>
      <c r="L499" s="210" t="b">
        <f>IF($L$1,FALSE,IF($L$3,FALSE,IF(E499="",FALSE,COUNTIF(入力シート!$AH$37:$AK$62,E499)=0)))</f>
        <v>0</v>
      </c>
      <c r="M499" s="211" t="str">
        <f t="shared" si="15"/>
        <v/>
      </c>
      <c r="N499" s="211"/>
      <c r="O499" s="209" t="str">
        <f>IF(B499="","",VLOOKUP('従業員情報(給与以外)'!$B499,入力シート!$S$37:$Z$62,5,0))</f>
        <v/>
      </c>
      <c r="P499" s="156" t="str">
        <f>IF(ISNUMBER(C499)=FALSE,"",IF(C499&gt;入力シート!$J$24,"",_xlfn.DAYS(入力シート!$J$24,'従業員情報(給与以外)'!$C499)/365))</f>
        <v/>
      </c>
      <c r="Q499" s="210" t="str">
        <f>IF(P499="","",VLOOKUP(_xlfn.DAYS(入力シート!$J$24,'従業員情報(給与以外)'!$C499)/365,入力リスト!$K$18:$L$26,2,2))</f>
        <v/>
      </c>
      <c r="R499" s="209" t="str">
        <f>IF(D499="","",VLOOKUP('従業員情報(給与以外)'!$D499,入力シート!$AW$37:$BB$38,4,0))</f>
        <v/>
      </c>
      <c r="S499" s="209" t="str">
        <f>IF(A499="","",IF(E499="","非役職",VLOOKUP('従業員情報(給与以外)'!$E499,入力シート!$AH$37:$AO$62,5,0)))</f>
        <v/>
      </c>
      <c r="T499" s="102" t="str">
        <f>IF(OR(入力シート!$C$5&lt;&gt;入力リスト!$C$3,COUNTIF(入力シート!$J$16:$S$23,入力リスト!$H$9)=0),"",IF($A499="","",IF(ISERROR(AVERAGEIF(従業員の給与情報!$B:$B,$A499,従業員の給与情報!$C:$C)),0,IF(ISERROR(AVERAGEIF(従業員の給与情報!$B:$B,$A499,従業員の給与情報!$C:$C)),0,AVERAGEIF(従業員の給与情報!$B:$B,$A499,従業員の給与情報!$C:$C)))))</f>
        <v/>
      </c>
      <c r="U499" s="102" t="str">
        <f>IF(OR(入力シート!$C$5&lt;&gt;入力リスト!$C$3,COUNTIF(入力シート!$J$16:$S$23,入力リスト!$H$9)=0),"",IF(A499="","",IF(ISERROR(AVERAGEIF(従業員の給与情報!$B:$B,$A499,従業員の給与情報!$D:$D)),0,IF(ISERROR(AVERAGEIF(従業員の給与情報!$B:$B,$A499,従業員の給与情報!$D:$D)),0,AVERAGEIF(従業員の給与情報!$B:$B,$A499,従業員の給与情報!$D:$D)))))</f>
        <v/>
      </c>
      <c r="V499" s="102" t="str">
        <f>IF(OR(入力シート!$C$5&lt;&gt;入力リスト!$C$3,COUNTIF(入力シート!$J$16:$S$23,入力リスト!$H$9)=0),"",IF(A499="","",IF(ISERROR(AVERAGEIF(従業員の給与情報!$B:$B,$A499,従業員の給与情報!$E:$E)),0,IF(ISERROR(AVERAGEIF(従業員の給与情報!$B:$B,$A499,従業員の給与情報!$E:$E)),0,AVERAGEIF(従業員の給与情報!$B:$B,$A499,従業員の給与情報!$E:$E)))))</f>
        <v/>
      </c>
      <c r="W499" s="103" t="str">
        <f>IF(OR(入力シート!$C$5&lt;&gt;入力リスト!$C$3,COUNTIF(入力シート!$J$16:$S$23,入力リスト!$H$9)=0),"",IF(A499="","",IF(ISERROR(AVERAGEIF(従業員の給与情報!$B:$B,$A499,従業員の給与情報!$F:$F)),0,IF(ISERROR(AVERAGEIF(従業員の給与情報!$B:$B,$A499,従業員の給与情報!$F:$F)),0,AVERAGEIF(従業員の給与情報!$B:$B,$A499,従業員の給与情報!$F:$F)))))</f>
        <v/>
      </c>
      <c r="X499" s="10"/>
    </row>
    <row r="500" spans="1:24">
      <c r="A500" s="253"/>
      <c r="B500" s="246"/>
      <c r="C500" s="247"/>
      <c r="D500" s="246"/>
      <c r="E500" s="246"/>
      <c r="F500" s="257" t="str">
        <f>IF($G$1,"",IF(COUNTIF(A500:E500,"")=5,"",IF(G500,入力リスト!$K$28,IF(OR(A500="",B500="",IF(COUNTIF($C$3,"*不要*"),"",C500=""),D500=""),IF(A500="","従業員番号","")&amp;IF(B500="","「雇用形態」","")&amp;IF(OR(入力シート!$J$18=入力リスト!$H$9,入力シート!$J$22=入力リスト!$H$9),IF(C500="","「入社年月日」",""),"")&amp;IF(D500="","「性別」","")&amp;IF(IF(A500="","従業員番号","")&amp;IF(B500="","「雇用形態」","")&amp;IF(OR(入力シート!$J$18=入力リスト!$H$9,入力シート!$J$22=入力リスト!$H$9),IF(C500="","「入社年月日」",""),"")&amp;IF(D500="","「性別」","")="","",入力リスト!$K$29),IF(J500,入力リスト!$K$30,"")&amp;IF(I500,入力リスト!$K$31,"")&amp;IF(H500,"「雇用形態」","")&amp;IF(K500,"「性別」","")&amp;IF(L500,"「役職」","")&amp;IF(OR(H500,K500,L500),入力リスト!$K$32,"")))))</f>
        <v/>
      </c>
      <c r="G500" s="209" t="b">
        <f>COUNTIF($A$4:A499,$A500)&gt;0</f>
        <v>0</v>
      </c>
      <c r="H500" s="210" t="b">
        <f>IF($H$1,FALSE,COUNTIF(入力シート!$S$37:$V$62,B500)=0)</f>
        <v>0</v>
      </c>
      <c r="I500" s="210" t="b">
        <f t="shared" si="16"/>
        <v>0</v>
      </c>
      <c r="J500" s="210" t="b">
        <f>IF($J$1,FALSE,IF(I500=TRUE,FALSE,IF(I500,FALSE,C500&gt;入力シート!$J$24)))</f>
        <v>0</v>
      </c>
      <c r="K500" s="210" t="b">
        <f>IF($K$1,FALSE,COUNTIF(入力シート!$AW$37:$BB$38,D500)=0)</f>
        <v>0</v>
      </c>
      <c r="L500" s="210" t="b">
        <f>IF($L$1,FALSE,IF($L$3,FALSE,IF(E500="",FALSE,COUNTIF(入力シート!$AH$37:$AK$62,E500)=0)))</f>
        <v>0</v>
      </c>
      <c r="M500" s="211" t="str">
        <f t="shared" si="15"/>
        <v/>
      </c>
      <c r="N500" s="211"/>
      <c r="O500" s="209" t="str">
        <f>IF(B500="","",VLOOKUP('従業員情報(給与以外)'!$B500,入力シート!$S$37:$Z$62,5,0))</f>
        <v/>
      </c>
      <c r="P500" s="156" t="str">
        <f>IF(ISNUMBER(C500)=FALSE,"",IF(C500&gt;入力シート!$J$24,"",_xlfn.DAYS(入力シート!$J$24,'従業員情報(給与以外)'!$C500)/365))</f>
        <v/>
      </c>
      <c r="Q500" s="210" t="str">
        <f>IF(P500="","",VLOOKUP(_xlfn.DAYS(入力シート!$J$24,'従業員情報(給与以外)'!$C500)/365,入力リスト!$K$18:$L$26,2,2))</f>
        <v/>
      </c>
      <c r="R500" s="209" t="str">
        <f>IF(D500="","",VLOOKUP('従業員情報(給与以外)'!$D500,入力シート!$AW$37:$BB$38,4,0))</f>
        <v/>
      </c>
      <c r="S500" s="209" t="str">
        <f>IF(A500="","",IF(E500="","非役職",VLOOKUP('従業員情報(給与以外)'!$E500,入力シート!$AH$37:$AO$62,5,0)))</f>
        <v/>
      </c>
      <c r="T500" s="102" t="str">
        <f>IF(OR(入力シート!$C$5&lt;&gt;入力リスト!$C$3,COUNTIF(入力シート!$J$16:$S$23,入力リスト!$H$9)=0),"",IF($A500="","",IF(ISERROR(AVERAGEIF(従業員の給与情報!$B:$B,$A500,従業員の給与情報!$C:$C)),0,IF(ISERROR(AVERAGEIF(従業員の給与情報!$B:$B,$A500,従業員の給与情報!$C:$C)),0,AVERAGEIF(従業員の給与情報!$B:$B,$A500,従業員の給与情報!$C:$C)))))</f>
        <v/>
      </c>
      <c r="U500" s="102" t="str">
        <f>IF(OR(入力シート!$C$5&lt;&gt;入力リスト!$C$3,COUNTIF(入力シート!$J$16:$S$23,入力リスト!$H$9)=0),"",IF(A500="","",IF(ISERROR(AVERAGEIF(従業員の給与情報!$B:$B,$A500,従業員の給与情報!$D:$D)),0,IF(ISERROR(AVERAGEIF(従業員の給与情報!$B:$B,$A500,従業員の給与情報!$D:$D)),0,AVERAGEIF(従業員の給与情報!$B:$B,$A500,従業員の給与情報!$D:$D)))))</f>
        <v/>
      </c>
      <c r="V500" s="102" t="str">
        <f>IF(OR(入力シート!$C$5&lt;&gt;入力リスト!$C$3,COUNTIF(入力シート!$J$16:$S$23,入力リスト!$H$9)=0),"",IF(A500="","",IF(ISERROR(AVERAGEIF(従業員の給与情報!$B:$B,$A500,従業員の給与情報!$E:$E)),0,IF(ISERROR(AVERAGEIF(従業員の給与情報!$B:$B,$A500,従業員の給与情報!$E:$E)),0,AVERAGEIF(従業員の給与情報!$B:$B,$A500,従業員の給与情報!$E:$E)))))</f>
        <v/>
      </c>
      <c r="W500" s="103" t="str">
        <f>IF(OR(入力シート!$C$5&lt;&gt;入力リスト!$C$3,COUNTIF(入力シート!$J$16:$S$23,入力リスト!$H$9)=0),"",IF(A500="","",IF(ISERROR(AVERAGEIF(従業員の給与情報!$B:$B,$A500,従業員の給与情報!$F:$F)),0,IF(ISERROR(AVERAGEIF(従業員の給与情報!$B:$B,$A500,従業員の給与情報!$F:$F)),0,AVERAGEIF(従業員の給与情報!$B:$B,$A500,従業員の給与情報!$F:$F)))))</f>
        <v/>
      </c>
      <c r="X500" s="10"/>
    </row>
    <row r="501" spans="1:24" ht="16.95" customHeight="1">
      <c r="A501" s="253"/>
      <c r="B501" s="246"/>
      <c r="C501" s="247"/>
      <c r="D501" s="246"/>
      <c r="E501" s="246"/>
      <c r="F501" s="257" t="str">
        <f>IF($G$1,"",IF(COUNTIF(A501:E501,"")=5,"",IF(G501,入力リスト!$K$28,IF(OR(A501="",B501="",IF(COUNTIF($C$3,"*不要*"),"",C501=""),D501=""),IF(A501="","従業員番号","")&amp;IF(B501="","「雇用形態」","")&amp;IF(OR(入力シート!$J$18=入力リスト!$H$9,入力シート!$J$22=入力リスト!$H$9),IF(C501="","「入社年月日」",""),"")&amp;IF(D501="","「性別」","")&amp;IF(IF(A501="","従業員番号","")&amp;IF(B501="","「雇用形態」","")&amp;IF(OR(入力シート!$J$18=入力リスト!$H$9,入力シート!$J$22=入力リスト!$H$9),IF(C501="","「入社年月日」",""),"")&amp;IF(D501="","「性別」","")="","",入力リスト!$K$29),IF(J501,入力リスト!$K$30,"")&amp;IF(I501,入力リスト!$K$31,"")&amp;IF(H501,"「雇用形態」","")&amp;IF(K501,"「性別」","")&amp;IF(L501,"「役職」","")&amp;IF(OR(H501,K501,L501),入力リスト!$K$32,"")))))</f>
        <v/>
      </c>
      <c r="G501" s="209" t="b">
        <f>COUNTIF($A$4:A500,$A501)&gt;0</f>
        <v>0</v>
      </c>
      <c r="H501" s="210" t="b">
        <f>IF($H$1,FALSE,COUNTIF(入力シート!$S$37:$V$62,B501)=0)</f>
        <v>0</v>
      </c>
      <c r="I501" s="210" t="b">
        <f t="shared" si="16"/>
        <v>0</v>
      </c>
      <c r="J501" s="210" t="b">
        <f>IF($J$1,FALSE,IF(I501=TRUE,FALSE,IF(I501,FALSE,C501&gt;入力シート!$J$24)))</f>
        <v>0</v>
      </c>
      <c r="K501" s="210" t="b">
        <f>IF($K$1,FALSE,COUNTIF(入力シート!$AW$37:$BB$38,D501)=0)</f>
        <v>0</v>
      </c>
      <c r="L501" s="210" t="b">
        <f>IF($L$1,FALSE,IF($L$3,FALSE,IF(E501="",FALSE,COUNTIF(入力シート!$AH$37:$AK$62,E501)=0)))</f>
        <v>0</v>
      </c>
      <c r="M501" s="211" t="str">
        <f t="shared" si="15"/>
        <v/>
      </c>
      <c r="N501" s="211"/>
      <c r="O501" s="209" t="str">
        <f>IF(B501="","",VLOOKUP('従業員情報(給与以外)'!$B501,入力シート!$S$37:$Z$62,5,0))</f>
        <v/>
      </c>
      <c r="P501" s="156" t="str">
        <f>IF(ISNUMBER(C501)=FALSE,"",IF(C501&gt;入力シート!$J$24,"",_xlfn.DAYS(入力シート!$J$24,'従業員情報(給与以外)'!$C501)/365))</f>
        <v/>
      </c>
      <c r="Q501" s="210" t="str">
        <f>IF(P501="","",VLOOKUP(_xlfn.DAYS(入力シート!$J$24,'従業員情報(給与以外)'!$C501)/365,入力リスト!$K$18:$L$26,2,2))</f>
        <v/>
      </c>
      <c r="R501" s="209" t="str">
        <f>IF(D501="","",VLOOKUP('従業員情報(給与以外)'!$D501,入力シート!$AW$37:$BB$38,4,0))</f>
        <v/>
      </c>
      <c r="S501" s="209" t="str">
        <f>IF(A501="","",IF(E501="","非役職",VLOOKUP('従業員情報(給与以外)'!$E501,入力シート!$AH$37:$AO$62,5,0)))</f>
        <v/>
      </c>
      <c r="T501" s="102" t="str">
        <f>IF(OR(入力シート!$C$5&lt;&gt;入力リスト!$C$3,COUNTIF(入力シート!$J$16:$S$23,入力リスト!$H$9)=0),"",IF($A501="","",IF(ISERROR(AVERAGEIF(従業員の給与情報!$B:$B,$A501,従業員の給与情報!$C:$C)),0,IF(ISERROR(AVERAGEIF(従業員の給与情報!$B:$B,$A501,従業員の給与情報!$C:$C)),0,AVERAGEIF(従業員の給与情報!$B:$B,$A501,従業員の給与情報!$C:$C)))))</f>
        <v/>
      </c>
      <c r="U501" s="102" t="str">
        <f>IF(OR(入力シート!$C$5&lt;&gt;入力リスト!$C$3,COUNTIF(入力シート!$J$16:$S$23,入力リスト!$H$9)=0),"",IF(A501="","",IF(ISERROR(AVERAGEIF(従業員の給与情報!$B:$B,$A501,従業員の給与情報!$D:$D)),0,IF(ISERROR(AVERAGEIF(従業員の給与情報!$B:$B,$A501,従業員の給与情報!$D:$D)),0,AVERAGEIF(従業員の給与情報!$B:$B,$A501,従業員の給与情報!$D:$D)))))</f>
        <v/>
      </c>
      <c r="V501" s="102" t="str">
        <f>IF(OR(入力シート!$C$5&lt;&gt;入力リスト!$C$3,COUNTIF(入力シート!$J$16:$S$23,入力リスト!$H$9)=0),"",IF(A501="","",IF(ISERROR(AVERAGEIF(従業員の給与情報!$B:$B,$A501,従業員の給与情報!$E:$E)),0,IF(ISERROR(AVERAGEIF(従業員の給与情報!$B:$B,$A501,従業員の給与情報!$E:$E)),0,AVERAGEIF(従業員の給与情報!$B:$B,$A501,従業員の給与情報!$E:$E)))))</f>
        <v/>
      </c>
      <c r="W501" s="103" t="str">
        <f>IF(OR(入力シート!$C$5&lt;&gt;入力リスト!$C$3,COUNTIF(入力シート!$J$16:$S$23,入力リスト!$H$9)=0),"",IF(A501="","",IF(ISERROR(AVERAGEIF(従業員の給与情報!$B:$B,$A501,従業員の給与情報!$F:$F)),0,IF(ISERROR(AVERAGEIF(従業員の給与情報!$B:$B,$A501,従業員の給与情報!$F:$F)),0,AVERAGEIF(従業員の給与情報!$B:$B,$A501,従業員の給与情報!$F:$F)))))</f>
        <v/>
      </c>
      <c r="X501" s="10"/>
    </row>
    <row r="502" spans="1:24" ht="16.95" customHeight="1">
      <c r="A502" s="253"/>
      <c r="B502" s="246"/>
      <c r="C502" s="247"/>
      <c r="D502" s="246"/>
      <c r="E502" s="246"/>
      <c r="F502" s="582" t="str">
        <f>IF($G$1,"",IF(COUNTIF(A502:E502,"")=5,"",IF(G502,入力リスト!$K$28,IF(OR(A502="",B502="",IF(COUNTIF($C$3,"*不要*"),"",C502=""),D502=""),IF(A502="","従業員番号","")&amp;IF(B502="","「雇用形態」","")&amp;IF(OR(入力シート!$J$18=入力リスト!$H$9,入力シート!$J$22=入力リスト!$H$9),IF(C502="","「入社年月日」",""),"")&amp;IF(D502="","「性別」","")&amp;IF(IF(A502="","従業員番号","")&amp;IF(B502="","「雇用形態」","")&amp;IF(OR(入力シート!$J$18=入力リスト!$H$9,入力シート!$J$22=入力リスト!$H$9),IF(C502="","「入社年月日」",""),"")&amp;IF(D502="","「性別」","")="","",入力リスト!$K$29),IF(J502,入力リスト!$K$30,"")&amp;IF(I502,入力リスト!$K$31,"")&amp;IF(H502,"「雇用形態」","")&amp;IF(K502,"「性別」","")&amp;IF(L502,"「役職」","")&amp;IF(OR(H502,K502,L502),入力リスト!$K$32,"")))))</f>
        <v/>
      </c>
      <c r="G502" s="576" t="b">
        <f>COUNTIF($A$4:A501,$A502)&gt;0</f>
        <v>0</v>
      </c>
      <c r="H502" s="578" t="b">
        <f>IF($H$1,FALSE,COUNTIF(入力シート!$S$37:$V$62,B502)=0)</f>
        <v>0</v>
      </c>
      <c r="I502" s="578" t="b">
        <f t="shared" si="16"/>
        <v>0</v>
      </c>
      <c r="J502" s="578" t="b">
        <f>IF($J$1,FALSE,IF(I502=TRUE,FALSE,IF(I502,FALSE,C502&gt;入力シート!$J$24)))</f>
        <v>0</v>
      </c>
      <c r="K502" s="578" t="b">
        <f>IF($K$1,FALSE,COUNTIF(入力シート!$AW$37:$BB$38,D502)=0)</f>
        <v>0</v>
      </c>
      <c r="L502" s="578" t="b">
        <f>IF($L$1,FALSE,IF($L$3,FALSE,IF(E502="",FALSE,COUNTIF(入力シート!$AH$37:$AK$62,E502)=0)))</f>
        <v>0</v>
      </c>
      <c r="M502" s="575" t="str">
        <f>IF(COUNTIF(F502,"*入社年月日に数値以外*"),"※1900/0/0以前は数値として認識されません。","")</f>
        <v/>
      </c>
      <c r="N502" s="575" t="str">
        <f>IF(G502,"この従業員番号は、すでに他のセルで入力されています。",IF(入力シート!$C$5=入力リスト!$C$4,"",IF(AND(A502="",B502="",C502="",D502="",E502=""),"",IF(OR(A502="",B502="",C502="",D502=""),IF(A502="","従業員番号","")&amp;IF(AND(A502="",OR(B502="",C502="",D502="")),",","")&amp;IF(B502="","雇用形態","")&amp;IF(AND(B502="",OR(C502="",D502="")),",","")&amp;IF(OR(入力シート!$J$18=入力リスト!$H$9,入力シート!$J$22=入力リスト!$H$9),IF(C502="","入社年月日",""),"")&amp;IF(AND(C502="",D502=""),",","")&amp;IF(D502="","性別","")&amp;IF(IF(A502="","従業員番号","")&amp;IF(B502="","雇用形態","")&amp;IF(OR(入力シート!$J$18=入力リスト!$H$9,入力シート!$J$22=入力リスト!$H$9),IF(C502="","入社年月日",""),"")&amp;IF(D502="","性別","")="","","が空白です。"),IF(J502,"入社年月日に「基準日」の翌日以降の日付が入力されています。","")&amp;IF(I502,"入社年月日に数値以外（又は1900/1/1以前の日付）が入力されています。","")&amp;IF(H502,"雇用形態"&amp;IF(OR(K502,L502),",",""),"")&amp;IF(K502,"性別"&amp;IF(L502,",",""),"")&amp;IF(L502,"役職","")&amp;IF(OR(H502,K502,L502),"に、［入力シート］(4)「貴社」欄と異なる文言が入力されています。","")))))</f>
        <v/>
      </c>
      <c r="O502" s="576" t="str">
        <f>IF(B502="","",VLOOKUP('従業員情報(給与以外)'!$B502,入力シート!$S$37:$Z$62,5,0))</f>
        <v/>
      </c>
      <c r="P502" s="577" t="str">
        <f>IF(ISNUMBER(C502)=FALSE,"",IF(C502&gt;入力シート!$J$24,"",_xlfn.DAYS(入力シート!$J$24,'従業員情報(給与以外)'!$C502)/365))</f>
        <v/>
      </c>
      <c r="Q502" s="578" t="str">
        <f>IF(P502="","",VLOOKUP(_xlfn.DAYS(入力シート!$J$24,'従業員情報(給与以外)'!$C502)/365,入力リスト!$K$18:$L$26,2,2))</f>
        <v/>
      </c>
      <c r="R502" s="576" t="str">
        <f>IF(D502="","",VLOOKUP('従業員情報(給与以外)'!$D502,入力シート!$AW$37:$BB$38,4,0))</f>
        <v/>
      </c>
      <c r="S502" s="576" t="str">
        <f>IF(A502="","",IF(E502="","非役職",VLOOKUP('従業員情報(給与以外)'!$E502,入力シート!$AH$37:$AO$62,5,0)))</f>
        <v/>
      </c>
      <c r="T502" s="579" t="str">
        <f>IF(OR(入力シート!$C$5&lt;&gt;入力リスト!$C$3,COUNTIF(入力シート!$J$16:$S$23,入力リスト!$H$9)=0),"",IF($A502="","",IF(ISERROR(AVERAGEIF(従業員の給与情報!$B:$B,$A502,従業員の給与情報!$C:$C)),0,IF(ISERROR(AVERAGEIF(従業員の給与情報!$B:$B,$A502,従業員の給与情報!$C:$C)),0,AVERAGEIF(従業員の給与情報!$B:$B,$A502,従業員の給与情報!$C:$C)))))</f>
        <v/>
      </c>
      <c r="U502" s="579" t="str">
        <f>IF(OR(入力シート!$C$5&lt;&gt;入力リスト!$C$3,COUNTIF(入力シート!$J$16:$S$23,入力リスト!$H$9)=0),"",IF(A502="","",IF(ISERROR(AVERAGEIF(従業員の給与情報!$B:$B,$A502,従業員の給与情報!$D:$D)),0,IF(ISERROR(AVERAGEIF(従業員の給与情報!$B:$B,$A502,従業員の給与情報!$D:$D)),0,AVERAGEIF(従業員の給与情報!$B:$B,$A502,従業員の給与情報!$D:$D)))))</f>
        <v/>
      </c>
      <c r="V502" s="579" t="str">
        <f>IF(OR(入力シート!$C$5&lt;&gt;入力リスト!$C$3,COUNTIF(入力シート!$J$16:$S$23,入力リスト!$H$9)=0),"",IF(A502="","",IF(ISERROR(AVERAGEIF(従業員の給与情報!$B:$B,$A502,従業員の給与情報!$E:$E)),0,IF(ISERROR(AVERAGEIF(従業員の給与情報!$B:$B,$A502,従業員の給与情報!$E:$E)),0,AVERAGEIF(従業員の給与情報!$B:$B,$A502,従業員の給与情報!$E:$E)))))</f>
        <v/>
      </c>
      <c r="W502" s="580" t="str">
        <f>IF(OR(入力シート!$C$5&lt;&gt;入力リスト!$C$3,COUNTIF(入力シート!$J$16:$S$23,入力リスト!$H$9)=0),"",IF(A502="","",IF(ISERROR(AVERAGEIF(従業員の給与情報!$B:$B,$A502,従業員の給与情報!$F:$F)),0,IF(ISERROR(AVERAGEIF(従業員の給与情報!$B:$B,$A502,従業員の給与情報!$F:$F)),0,AVERAGEIF(従業員の給与情報!$B:$B,$A502,従業員の給与情報!$F:$F)))))</f>
        <v/>
      </c>
      <c r="X502" s="583" t="s">
        <v>5230</v>
      </c>
    </row>
    <row r="503" spans="1:24">
      <c r="F503" s="582" t="str">
        <f>IF($G$1,"",IF(COUNTIF(A503:E503,"")=5,"",IF(G503,入力リスト!$K$28,IF(OR(A503="",B503="",IF(COUNTIF($C$3,"*不要*"),"",C503=""),D503=""),IF(A503="","従業員番号","")&amp;IF(B503="","「雇用形態」","")&amp;IF(OR(入力シート!$J$18=入力リスト!$H$9,入力シート!$J$22=入力リスト!$H$9),IF(C503="","「入社年月日」",""),"")&amp;IF(D503="","「性別」","")&amp;IF(IF(A503="","従業員番号","")&amp;IF(B503="","「雇用形態」","")&amp;IF(OR(入力シート!$J$18=入力リスト!$H$9,入力シート!$J$22=入力リスト!$H$9),IF(C503="","「入社年月日」",""),"")&amp;IF(D503="","「性別」","")="","",入力リスト!$K$29),IF(J503,入力リスト!$K$30,"")&amp;IF(I503,入力リスト!$K$31,"")&amp;IF(H503,"「雇用形態」","")&amp;IF(K503,"「性別」","")&amp;IF(L503,"「役職」","")&amp;IF(OR(H503,K503,L503),入力リスト!$K$32,"")))))</f>
        <v/>
      </c>
      <c r="G503" s="576" t="b">
        <f>COUNTIF($A$4:A502,$A503)&gt;0</f>
        <v>0</v>
      </c>
      <c r="H503" s="578" t="b">
        <f>IF($H$1,FALSE,COUNTIF(入力シート!$S$37:$V$62,B503)=0)</f>
        <v>0</v>
      </c>
      <c r="I503" s="578" t="b">
        <f t="shared" ref="I503:I566" si="17">IF($I$1,IF(ISNUMBER(C503),FALSE,TRUE),FALSE)</f>
        <v>0</v>
      </c>
      <c r="J503" s="578" t="b">
        <f>IF($J$1,FALSE,IF(I503=TRUE,FALSE,IF(I503,FALSE,C503&gt;入力シート!$J$24)))</f>
        <v>0</v>
      </c>
      <c r="K503" s="578" t="b">
        <f>IF($K$1,FALSE,COUNTIF(入力シート!$AW$37:$BB$38,D503)=0)</f>
        <v>0</v>
      </c>
      <c r="L503" s="578" t="b">
        <f>IF($L$1,FALSE,IF($L$3,FALSE,IF(E503="",FALSE,COUNTIF(入力シート!$AH$37:$AK$62,E503)=0)))</f>
        <v>0</v>
      </c>
      <c r="M503" s="575" t="str">
        <f t="shared" ref="M503:M566" si="18">IF(COUNTIF(F503,"*入社年月日に数値以外*"),"※1900/0/0以前は数値として認識されません。","")</f>
        <v/>
      </c>
      <c r="N503" s="575" t="str">
        <f>IF(G503,"この従業員番号は、すでに他のセルで入力されています。",IF(入力シート!$C$5=入力リスト!$C$4,"",IF(AND(A503="",B503="",C503="",D503="",E503=""),"",IF(OR(A503="",B503="",C503="",D503=""),IF(A503="","従業員番号","")&amp;IF(AND(A503="",OR(B503="",C503="",D503="")),",","")&amp;IF(B503="","雇用形態","")&amp;IF(AND(B503="",OR(C503="",D503="")),",","")&amp;IF(OR(入力シート!$J$18=入力リスト!$H$9,入力シート!$J$22=入力リスト!$H$9),IF(C503="","入社年月日",""),"")&amp;IF(AND(C503="",D503=""),",","")&amp;IF(D503="","性別","")&amp;IF(IF(A503="","従業員番号","")&amp;IF(B503="","雇用形態","")&amp;IF(OR(入力シート!$J$18=入力リスト!$H$9,入力シート!$J$22=入力リスト!$H$9),IF(C503="","入社年月日",""),"")&amp;IF(D503="","性別","")="","","が空白です。"),IF(J503,"入社年月日に「基準日」の翌日以降の日付が入力されています。","")&amp;IF(I503,"入社年月日に数値以外（又は1900/1/1以前の日付）が入力されています。","")&amp;IF(H503,"雇用形態"&amp;IF(OR(K503,L503),",",""),"")&amp;IF(K503,"性別"&amp;IF(L503,",",""),"")&amp;IF(L503,"役職","")&amp;IF(OR(H503,K503,L503),"に、［入力シート］(4)「貴社」欄と異なる文言が入力されています。","")))))</f>
        <v/>
      </c>
      <c r="O503" s="576" t="str">
        <f>IF(B503="","",VLOOKUP('従業員情報(給与以外)'!$B503,入力シート!$S$37:$Z$62,5,0))</f>
        <v/>
      </c>
      <c r="P503" s="577" t="str">
        <f>IF(ISNUMBER(C503)=FALSE,"",IF(C503&gt;入力シート!$J$24,"",_xlfn.DAYS(入力シート!$J$24,'従業員情報(給与以外)'!$C503)/365))</f>
        <v/>
      </c>
      <c r="Q503" s="578" t="str">
        <f>IF(P503="","",VLOOKUP(_xlfn.DAYS(入力シート!$J$24,'従業員情報(給与以外)'!$C503)/365,入力リスト!$K$18:$L$26,2,2))</f>
        <v/>
      </c>
      <c r="R503" s="576" t="str">
        <f>IF(D503="","",VLOOKUP('従業員情報(給与以外)'!$D503,入力シート!$AW$37:$BB$38,4,0))</f>
        <v/>
      </c>
      <c r="S503" s="576" t="str">
        <f>IF(A503="","",IF(E503="","非役職",VLOOKUP('従業員情報(給与以外)'!$E503,入力シート!$AH$37:$AO$62,5,0)))</f>
        <v/>
      </c>
      <c r="T503" s="579" t="str">
        <f>IF(OR(入力シート!$C$5&lt;&gt;入力リスト!$C$3,COUNTIF(入力シート!$J$16:$S$23,入力リスト!$H$9)=0),"",IF($A503="","",IF(ISERROR(AVERAGEIF(従業員の給与情報!$B:$B,$A503,従業員の給与情報!$C:$C)),0,IF(ISERROR(AVERAGEIF(従業員の給与情報!$B:$B,$A503,従業員の給与情報!$C:$C)),0,AVERAGEIF(従業員の給与情報!$B:$B,$A503,従業員の給与情報!$C:$C)))))</f>
        <v/>
      </c>
      <c r="U503" s="579" t="str">
        <f>IF(OR(入力シート!$C$5&lt;&gt;入力リスト!$C$3,COUNTIF(入力シート!$J$16:$S$23,入力リスト!$H$9)=0),"",IF(A503="","",IF(ISERROR(AVERAGEIF(従業員の給与情報!$B:$B,$A503,従業員の給与情報!$D:$D)),0,IF(ISERROR(AVERAGEIF(従業員の給与情報!$B:$B,$A503,従業員の給与情報!$D:$D)),0,AVERAGEIF(従業員の給与情報!$B:$B,$A503,従業員の給与情報!$D:$D)))))</f>
        <v/>
      </c>
      <c r="V503" s="579" t="str">
        <f>IF(OR(入力シート!$C$5&lt;&gt;入力リスト!$C$3,COUNTIF(入力シート!$J$16:$S$23,入力リスト!$H$9)=0),"",IF(A503="","",IF(ISERROR(AVERAGEIF(従業員の給与情報!$B:$B,$A503,従業員の給与情報!$E:$E)),0,IF(ISERROR(AVERAGEIF(従業員の給与情報!$B:$B,$A503,従業員の給与情報!$E:$E)),0,AVERAGEIF(従業員の給与情報!$B:$B,$A503,従業員の給与情報!$E:$E)))))</f>
        <v/>
      </c>
      <c r="W503" s="580" t="str">
        <f>IF(OR(入力シート!$C$5&lt;&gt;入力リスト!$C$3,COUNTIF(入力シート!$J$16:$S$23,入力リスト!$H$9)=0),"",IF(A503="","",IF(ISERROR(AVERAGEIF(従業員の給与情報!$B:$B,$A503,従業員の給与情報!$F:$F)),0,IF(ISERROR(AVERAGEIF(従業員の給与情報!$B:$B,$A503,従業員の給与情報!$F:$F)),0,AVERAGEIF(従業員の給与情報!$B:$B,$A503,従業員の給与情報!$F:$F)))))</f>
        <v/>
      </c>
      <c r="X503" s="581" t="s">
        <v>5242</v>
      </c>
    </row>
    <row r="504" spans="1:24">
      <c r="F504" s="582" t="str">
        <f>IF($G$1,"",IF(COUNTIF(A504:E504,"")=5,"",IF(G504,入力リスト!$K$28,IF(OR(A504="",B504="",IF(COUNTIF($C$3,"*不要*"),"",C504=""),D504=""),IF(A504="","従業員番号","")&amp;IF(B504="","「雇用形態」","")&amp;IF(OR(入力シート!$J$18=入力リスト!$H$9,入力シート!$J$22=入力リスト!$H$9),IF(C504="","「入社年月日」",""),"")&amp;IF(D504="","「性別」","")&amp;IF(IF(A504="","従業員番号","")&amp;IF(B504="","「雇用形態」","")&amp;IF(OR(入力シート!$J$18=入力リスト!$H$9,入力シート!$J$22=入力リスト!$H$9),IF(C504="","「入社年月日」",""),"")&amp;IF(D504="","「性別」","")="","",入力リスト!$K$29),IF(J504,入力リスト!$K$30,"")&amp;IF(I504,入力リスト!$K$31,"")&amp;IF(H504,"「雇用形態」","")&amp;IF(K504,"「性別」","")&amp;IF(L504,"「役職」","")&amp;IF(OR(H504,K504,L504),入力リスト!$K$32,"")))))</f>
        <v/>
      </c>
      <c r="G504" s="576" t="b">
        <f>COUNTIF($A$4:A503,$A504)&gt;0</f>
        <v>0</v>
      </c>
      <c r="H504" s="578" t="b">
        <f>IF($H$1,FALSE,COUNTIF(入力シート!$S$37:$V$62,B504)=0)</f>
        <v>0</v>
      </c>
      <c r="I504" s="578" t="b">
        <f t="shared" si="17"/>
        <v>0</v>
      </c>
      <c r="J504" s="578" t="b">
        <f>IF($J$1,FALSE,IF(I504=TRUE,FALSE,IF(I504,FALSE,C504&gt;入力シート!$J$24)))</f>
        <v>0</v>
      </c>
      <c r="K504" s="578" t="b">
        <f>IF($K$1,FALSE,COUNTIF(入力シート!$AW$37:$BB$38,D504)=0)</f>
        <v>0</v>
      </c>
      <c r="L504" s="578" t="b">
        <f>IF($L$1,FALSE,IF($L$3,FALSE,IF(E504="",FALSE,COUNTIF(入力シート!$AH$37:$AK$62,E504)=0)))</f>
        <v>0</v>
      </c>
      <c r="M504" s="575" t="str">
        <f t="shared" si="18"/>
        <v/>
      </c>
      <c r="N504" s="575" t="str">
        <f>IF(G504,"この従業員番号は、すでに他のセルで入力されています。",IF(入力シート!$C$5=入力リスト!$C$4,"",IF(AND(A504="",B504="",C504="",D504="",E504=""),"",IF(OR(A504="",B504="",C504="",D504=""),IF(A504="","従業員番号","")&amp;IF(AND(A504="",OR(B504="",C504="",D504="")),",","")&amp;IF(B504="","雇用形態","")&amp;IF(AND(B504="",OR(C504="",D504="")),",","")&amp;IF(OR(入力シート!$J$18=入力リスト!$H$9,入力シート!$J$22=入力リスト!$H$9),IF(C504="","入社年月日",""),"")&amp;IF(AND(C504="",D504=""),",","")&amp;IF(D504="","性別","")&amp;IF(IF(A504="","従業員番号","")&amp;IF(B504="","雇用形態","")&amp;IF(OR(入力シート!$J$18=入力リスト!$H$9,入力シート!$J$22=入力リスト!$H$9),IF(C504="","入社年月日",""),"")&amp;IF(D504="","性別","")="","","が空白です。"),IF(J504,"入社年月日に「基準日」の翌日以降の日付が入力されています。","")&amp;IF(I504,"入社年月日に数値以外（又は1900/1/1以前の日付）が入力されています。","")&amp;IF(H504,"雇用形態"&amp;IF(OR(K504,L504),",",""),"")&amp;IF(K504,"性別"&amp;IF(L504,",",""),"")&amp;IF(L504,"役職","")&amp;IF(OR(H504,K504,L504),"に、［入力シート］(4)「貴社」欄と異なる文言が入力されています。","")))))</f>
        <v/>
      </c>
      <c r="O504" s="576" t="str">
        <f>IF(B504="","",VLOOKUP('従業員情報(給与以外)'!$B504,入力シート!$S$37:$Z$62,5,0))</f>
        <v/>
      </c>
      <c r="P504" s="577" t="str">
        <f>IF(ISNUMBER(C504)=FALSE,"",IF(C504&gt;入力シート!$J$24,"",_xlfn.DAYS(入力シート!$J$24,'従業員情報(給与以外)'!$C504)/365))</f>
        <v/>
      </c>
      <c r="Q504" s="578" t="str">
        <f>IF(P504="","",VLOOKUP(_xlfn.DAYS(入力シート!$J$24,'従業員情報(給与以外)'!$C504)/365,入力リスト!$K$18:$L$26,2,2))</f>
        <v/>
      </c>
      <c r="R504" s="576" t="str">
        <f>IF(D504="","",VLOOKUP('従業員情報(給与以外)'!$D504,入力シート!$AW$37:$BB$38,4,0))</f>
        <v/>
      </c>
      <c r="S504" s="576" t="str">
        <f>IF(A504="","",IF(E504="","非役職",VLOOKUP('従業員情報(給与以外)'!$E504,入力シート!$AH$37:$AO$62,5,0)))</f>
        <v/>
      </c>
      <c r="T504" s="579" t="str">
        <f>IF(OR(入力シート!$C$5&lt;&gt;入力リスト!$C$3,COUNTIF(入力シート!$J$16:$S$23,入力リスト!$H$9)=0),"",IF($A504="","",IF(ISERROR(AVERAGEIF(従業員の給与情報!$B:$B,$A504,従業員の給与情報!$C:$C)),0,IF(ISERROR(AVERAGEIF(従業員の給与情報!$B:$B,$A504,従業員の給与情報!$C:$C)),0,AVERAGEIF(従業員の給与情報!$B:$B,$A504,従業員の給与情報!$C:$C)))))</f>
        <v/>
      </c>
      <c r="U504" s="579" t="str">
        <f>IF(OR(入力シート!$C$5&lt;&gt;入力リスト!$C$3,COUNTIF(入力シート!$J$16:$S$23,入力リスト!$H$9)=0),"",IF(A504="","",IF(ISERROR(AVERAGEIF(従業員の給与情報!$B:$B,$A504,従業員の給与情報!$D:$D)),0,IF(ISERROR(AVERAGEIF(従業員の給与情報!$B:$B,$A504,従業員の給与情報!$D:$D)),0,AVERAGEIF(従業員の給与情報!$B:$B,$A504,従業員の給与情報!$D:$D)))))</f>
        <v/>
      </c>
      <c r="V504" s="579" t="str">
        <f>IF(OR(入力シート!$C$5&lt;&gt;入力リスト!$C$3,COUNTIF(入力シート!$J$16:$S$23,入力リスト!$H$9)=0),"",IF(A504="","",IF(ISERROR(AVERAGEIF(従業員の給与情報!$B:$B,$A504,従業員の給与情報!$E:$E)),0,IF(ISERROR(AVERAGEIF(従業員の給与情報!$B:$B,$A504,従業員の給与情報!$E:$E)),0,AVERAGEIF(従業員の給与情報!$B:$B,$A504,従業員の給与情報!$E:$E)))))</f>
        <v/>
      </c>
      <c r="W504" s="580" t="str">
        <f>IF(OR(入力シート!$C$5&lt;&gt;入力リスト!$C$3,COUNTIF(入力シート!$J$16:$S$23,入力リスト!$H$9)=0),"",IF(A504="","",IF(ISERROR(AVERAGEIF(従業員の給与情報!$B:$B,$A504,従業員の給与情報!$F:$F)),0,IF(ISERROR(AVERAGEIF(従業員の給与情報!$B:$B,$A504,従業員の給与情報!$F:$F)),0,AVERAGEIF(従業員の給与情報!$B:$B,$A504,従業員の給与情報!$F:$F)))))</f>
        <v/>
      </c>
      <c r="X504" s="581" t="s">
        <v>5243</v>
      </c>
    </row>
    <row r="505" spans="1:24">
      <c r="F505" s="582" t="str">
        <f>IF($G$1,"",IF(COUNTIF(A505:E505,"")=5,"",IF(G505,入力リスト!$K$28,IF(OR(A505="",B505="",IF(COUNTIF($C$3,"*不要*"),"",C505=""),D505=""),IF(A505="","従業員番号","")&amp;IF(B505="","「雇用形態」","")&amp;IF(OR(入力シート!$J$18=入力リスト!$H$9,入力シート!$J$22=入力リスト!$H$9),IF(C505="","「入社年月日」",""),"")&amp;IF(D505="","「性別」","")&amp;IF(IF(A505="","従業員番号","")&amp;IF(B505="","「雇用形態」","")&amp;IF(OR(入力シート!$J$18=入力リスト!$H$9,入力シート!$J$22=入力リスト!$H$9),IF(C505="","「入社年月日」",""),"")&amp;IF(D505="","「性別」","")="","",入力リスト!$K$29),IF(J505,入力リスト!$K$30,"")&amp;IF(I505,入力リスト!$K$31,"")&amp;IF(H505,"「雇用形態」","")&amp;IF(K505,"「性別」","")&amp;IF(L505,"「役職」","")&amp;IF(OR(H505,K505,L505),入力リスト!$K$32,"")))))</f>
        <v/>
      </c>
      <c r="G505" s="576" t="b">
        <f>COUNTIF($A$4:A504,$A505)&gt;0</f>
        <v>0</v>
      </c>
      <c r="H505" s="578" t="b">
        <f>IF($H$1,FALSE,COUNTIF(入力シート!$S$37:$V$62,B505)=0)</f>
        <v>0</v>
      </c>
      <c r="I505" s="578" t="b">
        <f t="shared" si="17"/>
        <v>0</v>
      </c>
      <c r="J505" s="578" t="b">
        <f>IF($J$1,FALSE,IF(I505=TRUE,FALSE,IF(I505,FALSE,C505&gt;入力シート!$J$24)))</f>
        <v>0</v>
      </c>
      <c r="K505" s="578" t="b">
        <f>IF($K$1,FALSE,COUNTIF(入力シート!$AW$37:$BB$38,D505)=0)</f>
        <v>0</v>
      </c>
      <c r="L505" s="578" t="b">
        <f>IF($L$1,FALSE,IF($L$3,FALSE,IF(E505="",FALSE,COUNTIF(入力シート!$AH$37:$AK$62,E505)=0)))</f>
        <v>0</v>
      </c>
      <c r="M505" s="575" t="str">
        <f t="shared" si="18"/>
        <v/>
      </c>
      <c r="N505" s="575" t="str">
        <f>IF(G505,"この従業員番号は、すでに他のセルで入力されています。",IF(入力シート!$C$5=入力リスト!$C$4,"",IF(AND(A505="",B505="",C505="",D505="",E505=""),"",IF(OR(A505="",B505="",C505="",D505=""),IF(A505="","従業員番号","")&amp;IF(AND(A505="",OR(B505="",C505="",D505="")),",","")&amp;IF(B505="","雇用形態","")&amp;IF(AND(B505="",OR(C505="",D505="")),",","")&amp;IF(OR(入力シート!$J$18=入力リスト!$H$9,入力シート!$J$22=入力リスト!$H$9),IF(C505="","入社年月日",""),"")&amp;IF(AND(C505="",D505=""),",","")&amp;IF(D505="","性別","")&amp;IF(IF(A505="","従業員番号","")&amp;IF(B505="","雇用形態","")&amp;IF(OR(入力シート!$J$18=入力リスト!$H$9,入力シート!$J$22=入力リスト!$H$9),IF(C505="","入社年月日",""),"")&amp;IF(D505="","性別","")="","","が空白です。"),IF(J505,"入社年月日に「基準日」の翌日以降の日付が入力されています。","")&amp;IF(I505,"入社年月日に数値以外（又は1900/1/1以前の日付）が入力されています。","")&amp;IF(H505,"雇用形態"&amp;IF(OR(K505,L505),",",""),"")&amp;IF(K505,"性別"&amp;IF(L505,",",""),"")&amp;IF(L505,"役職","")&amp;IF(OR(H505,K505,L505),"に、［入力シート］(4)「貴社」欄と異なる文言が入力されています。","")))))</f>
        <v/>
      </c>
      <c r="O505" s="576" t="str">
        <f>IF(B505="","",VLOOKUP('従業員情報(給与以外)'!$B505,入力シート!$S$37:$Z$62,5,0))</f>
        <v/>
      </c>
      <c r="P505" s="577" t="str">
        <f>IF(ISNUMBER(C505)=FALSE,"",IF(C505&gt;入力シート!$J$24,"",_xlfn.DAYS(入力シート!$J$24,'従業員情報(給与以外)'!$C505)/365))</f>
        <v/>
      </c>
      <c r="Q505" s="578" t="str">
        <f>IF(P505="","",VLOOKUP(_xlfn.DAYS(入力シート!$J$24,'従業員情報(給与以外)'!$C505)/365,入力リスト!$K$18:$L$26,2,2))</f>
        <v/>
      </c>
      <c r="R505" s="576" t="str">
        <f>IF(D505="","",VLOOKUP('従業員情報(給与以外)'!$D505,入力シート!$AW$37:$BB$38,4,0))</f>
        <v/>
      </c>
      <c r="S505" s="576" t="str">
        <f>IF(A505="","",IF(E505="","非役職",VLOOKUP('従業員情報(給与以外)'!$E505,入力シート!$AH$37:$AO$62,5,0)))</f>
        <v/>
      </c>
      <c r="T505" s="579" t="str">
        <f>IF(OR(入力シート!$C$5&lt;&gt;入力リスト!$C$3,COUNTIF(入力シート!$J$16:$S$23,入力リスト!$H$9)=0),"",IF($A505="","",IF(ISERROR(AVERAGEIF(従業員の給与情報!$B:$B,$A505,従業員の給与情報!$C:$C)),0,IF(ISERROR(AVERAGEIF(従業員の給与情報!$B:$B,$A505,従業員の給与情報!$C:$C)),0,AVERAGEIF(従業員の給与情報!$B:$B,$A505,従業員の給与情報!$C:$C)))))</f>
        <v/>
      </c>
      <c r="U505" s="579" t="str">
        <f>IF(OR(入力シート!$C$5&lt;&gt;入力リスト!$C$3,COUNTIF(入力シート!$J$16:$S$23,入力リスト!$H$9)=0),"",IF(A505="","",IF(ISERROR(AVERAGEIF(従業員の給与情報!$B:$B,$A505,従業員の給与情報!$D:$D)),0,IF(ISERROR(AVERAGEIF(従業員の給与情報!$B:$B,$A505,従業員の給与情報!$D:$D)),0,AVERAGEIF(従業員の給与情報!$B:$B,$A505,従業員の給与情報!$D:$D)))))</f>
        <v/>
      </c>
      <c r="V505" s="579" t="str">
        <f>IF(OR(入力シート!$C$5&lt;&gt;入力リスト!$C$3,COUNTIF(入力シート!$J$16:$S$23,入力リスト!$H$9)=0),"",IF(A505="","",IF(ISERROR(AVERAGEIF(従業員の給与情報!$B:$B,$A505,従業員の給与情報!$E:$E)),0,IF(ISERROR(AVERAGEIF(従業員の給与情報!$B:$B,$A505,従業員の給与情報!$E:$E)),0,AVERAGEIF(従業員の給与情報!$B:$B,$A505,従業員の給与情報!$E:$E)))))</f>
        <v/>
      </c>
      <c r="W505" s="580" t="str">
        <f>IF(OR(入力シート!$C$5&lt;&gt;入力リスト!$C$3,COUNTIF(入力シート!$J$16:$S$23,入力リスト!$H$9)=0),"",IF(A505="","",IF(ISERROR(AVERAGEIF(従業員の給与情報!$B:$B,$A505,従業員の給与情報!$F:$F)),0,IF(ISERROR(AVERAGEIF(従業員の給与情報!$B:$B,$A505,従業員の給与情報!$F:$F)),0,AVERAGEIF(従業員の給与情報!$B:$B,$A505,従業員の給与情報!$F:$F)))))</f>
        <v/>
      </c>
      <c r="X505" s="581" t="s">
        <v>5244</v>
      </c>
    </row>
    <row r="506" spans="1:24">
      <c r="F506" s="582" t="str">
        <f>IF($G$1,"",IF(COUNTIF(A506:E506,"")=5,"",IF(G506,入力リスト!$K$28,IF(OR(A506="",B506="",IF(COUNTIF($C$3,"*不要*"),"",C506=""),D506=""),IF(A506="","従業員番号","")&amp;IF(B506="","「雇用形態」","")&amp;IF(OR(入力シート!$J$18=入力リスト!$H$9,入力シート!$J$22=入力リスト!$H$9),IF(C506="","「入社年月日」",""),"")&amp;IF(D506="","「性別」","")&amp;IF(IF(A506="","従業員番号","")&amp;IF(B506="","「雇用形態」","")&amp;IF(OR(入力シート!$J$18=入力リスト!$H$9,入力シート!$J$22=入力リスト!$H$9),IF(C506="","「入社年月日」",""),"")&amp;IF(D506="","「性別」","")="","",入力リスト!$K$29),IF(J506,入力リスト!$K$30,"")&amp;IF(I506,入力リスト!$K$31,"")&amp;IF(H506,"「雇用形態」","")&amp;IF(K506,"「性別」","")&amp;IF(L506,"「役職」","")&amp;IF(OR(H506,K506,L506),入力リスト!$K$32,"")))))</f>
        <v/>
      </c>
      <c r="G506" s="576" t="b">
        <f>COUNTIF($A$4:A505,$A506)&gt;0</f>
        <v>0</v>
      </c>
      <c r="H506" s="578" t="b">
        <f>IF($H$1,FALSE,COUNTIF(入力シート!$S$37:$V$62,B506)=0)</f>
        <v>0</v>
      </c>
      <c r="I506" s="578" t="b">
        <f t="shared" si="17"/>
        <v>0</v>
      </c>
      <c r="J506" s="578" t="b">
        <f>IF($J$1,FALSE,IF(I506=TRUE,FALSE,IF(I506,FALSE,C506&gt;入力シート!$J$24)))</f>
        <v>0</v>
      </c>
      <c r="K506" s="578" t="b">
        <f>IF($K$1,FALSE,COUNTIF(入力シート!$AW$37:$BB$38,D506)=0)</f>
        <v>0</v>
      </c>
      <c r="L506" s="578" t="b">
        <f>IF($L$1,FALSE,IF($L$3,FALSE,IF(E506="",FALSE,COUNTIF(入力シート!$AH$37:$AK$62,E506)=0)))</f>
        <v>0</v>
      </c>
      <c r="M506" s="575" t="str">
        <f t="shared" si="18"/>
        <v/>
      </c>
      <c r="N506" s="575" t="str">
        <f>IF(G506,"この従業員番号は、すでに他のセルで入力されています。",IF(入力シート!$C$5=入力リスト!$C$4,"",IF(AND(A506="",B506="",C506="",D506="",E506=""),"",IF(OR(A506="",B506="",C506="",D506=""),IF(A506="","従業員番号","")&amp;IF(AND(A506="",OR(B506="",C506="",D506="")),",","")&amp;IF(B506="","雇用形態","")&amp;IF(AND(B506="",OR(C506="",D506="")),",","")&amp;IF(OR(入力シート!$J$18=入力リスト!$H$9,入力シート!$J$22=入力リスト!$H$9),IF(C506="","入社年月日",""),"")&amp;IF(AND(C506="",D506=""),",","")&amp;IF(D506="","性別","")&amp;IF(IF(A506="","従業員番号","")&amp;IF(B506="","雇用形態","")&amp;IF(OR(入力シート!$J$18=入力リスト!$H$9,入力シート!$J$22=入力リスト!$H$9),IF(C506="","入社年月日",""),"")&amp;IF(D506="","性別","")="","","が空白です。"),IF(J506,"入社年月日に「基準日」の翌日以降の日付が入力されています。","")&amp;IF(I506,"入社年月日に数値以外（又は1900/1/1以前の日付）が入力されています。","")&amp;IF(H506,"雇用形態"&amp;IF(OR(K506,L506),",",""),"")&amp;IF(K506,"性別"&amp;IF(L506,",",""),"")&amp;IF(L506,"役職","")&amp;IF(OR(H506,K506,L506),"に、［入力シート］(4)「貴社」欄と異なる文言が入力されています。","")))))</f>
        <v/>
      </c>
      <c r="O506" s="576" t="str">
        <f>IF(B506="","",VLOOKUP('従業員情報(給与以外)'!$B506,入力シート!$S$37:$Z$62,5,0))</f>
        <v/>
      </c>
      <c r="P506" s="577" t="str">
        <f>IF(ISNUMBER(C506)=FALSE,"",IF(C506&gt;入力シート!$J$24,"",_xlfn.DAYS(入力シート!$J$24,'従業員情報(給与以外)'!$C506)/365))</f>
        <v/>
      </c>
      <c r="Q506" s="578" t="str">
        <f>IF(P506="","",VLOOKUP(_xlfn.DAYS(入力シート!$J$24,'従業員情報(給与以外)'!$C506)/365,入力リスト!$K$18:$L$26,2,2))</f>
        <v/>
      </c>
      <c r="R506" s="576" t="str">
        <f>IF(D506="","",VLOOKUP('従業員情報(給与以外)'!$D506,入力シート!$AW$37:$BB$38,4,0))</f>
        <v/>
      </c>
      <c r="S506" s="576" t="str">
        <f>IF(A506="","",IF(E506="","非役職",VLOOKUP('従業員情報(給与以外)'!$E506,入力シート!$AH$37:$AO$62,5,0)))</f>
        <v/>
      </c>
      <c r="T506" s="579" t="str">
        <f>IF(OR(入力シート!$C$5&lt;&gt;入力リスト!$C$3,COUNTIF(入力シート!$J$16:$S$23,入力リスト!$H$9)=0),"",IF($A506="","",IF(ISERROR(AVERAGEIF(従業員の給与情報!$B:$B,$A506,従業員の給与情報!$C:$C)),0,IF(ISERROR(AVERAGEIF(従業員の給与情報!$B:$B,$A506,従業員の給与情報!$C:$C)),0,AVERAGEIF(従業員の給与情報!$B:$B,$A506,従業員の給与情報!$C:$C)))))</f>
        <v/>
      </c>
      <c r="U506" s="579" t="str">
        <f>IF(OR(入力シート!$C$5&lt;&gt;入力リスト!$C$3,COUNTIF(入力シート!$J$16:$S$23,入力リスト!$H$9)=0),"",IF(A506="","",IF(ISERROR(AVERAGEIF(従業員の給与情報!$B:$B,$A506,従業員の給与情報!$D:$D)),0,IF(ISERROR(AVERAGEIF(従業員の給与情報!$B:$B,$A506,従業員の給与情報!$D:$D)),0,AVERAGEIF(従業員の給与情報!$B:$B,$A506,従業員の給与情報!$D:$D)))))</f>
        <v/>
      </c>
      <c r="V506" s="579" t="str">
        <f>IF(OR(入力シート!$C$5&lt;&gt;入力リスト!$C$3,COUNTIF(入力シート!$J$16:$S$23,入力リスト!$H$9)=0),"",IF(A506="","",IF(ISERROR(AVERAGEIF(従業員の給与情報!$B:$B,$A506,従業員の給与情報!$E:$E)),0,IF(ISERROR(AVERAGEIF(従業員の給与情報!$B:$B,$A506,従業員の給与情報!$E:$E)),0,AVERAGEIF(従業員の給与情報!$B:$B,$A506,従業員の給与情報!$E:$E)))))</f>
        <v/>
      </c>
      <c r="W506" s="580" t="str">
        <f>IF(OR(入力シート!$C$5&lt;&gt;入力リスト!$C$3,COUNTIF(入力シート!$J$16:$S$23,入力リスト!$H$9)=0),"",IF(A506="","",IF(ISERROR(AVERAGEIF(従業員の給与情報!$B:$B,$A506,従業員の給与情報!$F:$F)),0,IF(ISERROR(AVERAGEIF(従業員の給与情報!$B:$B,$A506,従業員の給与情報!$F:$F)),0,AVERAGEIF(従業員の給与情報!$B:$B,$A506,従業員の給与情報!$F:$F)))))</f>
        <v/>
      </c>
      <c r="X506" s="581" t="s">
        <v>5245</v>
      </c>
    </row>
    <row r="507" spans="1:24">
      <c r="F507" s="582" t="str">
        <f>IF($G$1,"",IF(COUNTIF(A507:E507,"")=5,"",IF(G507,入力リスト!$K$28,IF(OR(A507="",B507="",IF(COUNTIF($C$3,"*不要*"),"",C507=""),D507=""),IF(A507="","従業員番号","")&amp;IF(B507="","「雇用形態」","")&amp;IF(OR(入力シート!$J$18=入力リスト!$H$9,入力シート!$J$22=入力リスト!$H$9),IF(C507="","「入社年月日」",""),"")&amp;IF(D507="","「性別」","")&amp;IF(IF(A507="","従業員番号","")&amp;IF(B507="","「雇用形態」","")&amp;IF(OR(入力シート!$J$18=入力リスト!$H$9,入力シート!$J$22=入力リスト!$H$9),IF(C507="","「入社年月日」",""),"")&amp;IF(D507="","「性別」","")="","",入力リスト!$K$29),IF(J507,入力リスト!$K$30,"")&amp;IF(I507,入力リスト!$K$31,"")&amp;IF(H507,"「雇用形態」","")&amp;IF(K507,"「性別」","")&amp;IF(L507,"「役職」","")&amp;IF(OR(H507,K507,L507),入力リスト!$K$32,"")))))</f>
        <v/>
      </c>
      <c r="G507" s="576" t="b">
        <f>COUNTIF($A$4:A506,$A507)&gt;0</f>
        <v>0</v>
      </c>
      <c r="H507" s="578" t="b">
        <f>IF($H$1,FALSE,COUNTIF(入力シート!$S$37:$V$62,B507)=0)</f>
        <v>0</v>
      </c>
      <c r="I507" s="578" t="b">
        <f t="shared" si="17"/>
        <v>0</v>
      </c>
      <c r="J507" s="578" t="b">
        <f>IF($J$1,FALSE,IF(I507=TRUE,FALSE,IF(I507,FALSE,C507&gt;入力シート!$J$24)))</f>
        <v>0</v>
      </c>
      <c r="K507" s="578" t="b">
        <f>IF($K$1,FALSE,COUNTIF(入力シート!$AW$37:$BB$38,D507)=0)</f>
        <v>0</v>
      </c>
      <c r="L507" s="578" t="b">
        <f>IF($L$1,FALSE,IF($L$3,FALSE,IF(E507="",FALSE,COUNTIF(入力シート!$AH$37:$AK$62,E507)=0)))</f>
        <v>0</v>
      </c>
      <c r="M507" s="575" t="str">
        <f t="shared" si="18"/>
        <v/>
      </c>
      <c r="N507" s="575" t="str">
        <f>IF(G507,"この従業員番号は、すでに他のセルで入力されています。",IF(入力シート!$C$5=入力リスト!$C$4,"",IF(AND(A507="",B507="",C507="",D507="",E507=""),"",IF(OR(A507="",B507="",C507="",D507=""),IF(A507="","従業員番号","")&amp;IF(AND(A507="",OR(B507="",C507="",D507="")),",","")&amp;IF(B507="","雇用形態","")&amp;IF(AND(B507="",OR(C507="",D507="")),",","")&amp;IF(OR(入力シート!$J$18=入力リスト!$H$9,入力シート!$J$22=入力リスト!$H$9),IF(C507="","入社年月日",""),"")&amp;IF(AND(C507="",D507=""),",","")&amp;IF(D507="","性別","")&amp;IF(IF(A507="","従業員番号","")&amp;IF(B507="","雇用形態","")&amp;IF(OR(入力シート!$J$18=入力リスト!$H$9,入力シート!$J$22=入力リスト!$H$9),IF(C507="","入社年月日",""),"")&amp;IF(D507="","性別","")="","","が空白です。"),IF(J507,"入社年月日に「基準日」の翌日以降の日付が入力されています。","")&amp;IF(I507,"入社年月日に数値以外（又は1900/1/1以前の日付）が入力されています。","")&amp;IF(H507,"雇用形態"&amp;IF(OR(K507,L507),",",""),"")&amp;IF(K507,"性別"&amp;IF(L507,",",""),"")&amp;IF(L507,"役職","")&amp;IF(OR(H507,K507,L507),"に、［入力シート］(4)「貴社」欄と異なる文言が入力されています。","")))))</f>
        <v/>
      </c>
      <c r="O507" s="576" t="str">
        <f>IF(B507="","",VLOOKUP('従業員情報(給与以外)'!$B507,入力シート!$S$37:$Z$62,5,0))</f>
        <v/>
      </c>
      <c r="P507" s="577" t="str">
        <f>IF(ISNUMBER(C507)=FALSE,"",IF(C507&gt;入力シート!$J$24,"",_xlfn.DAYS(入力シート!$J$24,'従業員情報(給与以外)'!$C507)/365))</f>
        <v/>
      </c>
      <c r="Q507" s="578" t="str">
        <f>IF(P507="","",VLOOKUP(_xlfn.DAYS(入力シート!$J$24,'従業員情報(給与以外)'!$C507)/365,入力リスト!$K$18:$L$26,2,2))</f>
        <v/>
      </c>
      <c r="R507" s="576" t="str">
        <f>IF(D507="","",VLOOKUP('従業員情報(給与以外)'!$D507,入力シート!$AW$37:$BB$38,4,0))</f>
        <v/>
      </c>
      <c r="S507" s="576" t="str">
        <f>IF(A507="","",IF(E507="","非役職",VLOOKUP('従業員情報(給与以外)'!$E507,入力シート!$AH$37:$AO$62,5,0)))</f>
        <v/>
      </c>
      <c r="T507" s="579" t="str">
        <f>IF(OR(入力シート!$C$5&lt;&gt;入力リスト!$C$3,COUNTIF(入力シート!$J$16:$S$23,入力リスト!$H$9)=0),"",IF($A507="","",IF(ISERROR(AVERAGEIF(従業員の給与情報!$B:$B,$A507,従業員の給与情報!$C:$C)),0,IF(ISERROR(AVERAGEIF(従業員の給与情報!$B:$B,$A507,従業員の給与情報!$C:$C)),0,AVERAGEIF(従業員の給与情報!$B:$B,$A507,従業員の給与情報!$C:$C)))))</f>
        <v/>
      </c>
      <c r="U507" s="579" t="str">
        <f>IF(OR(入力シート!$C$5&lt;&gt;入力リスト!$C$3,COUNTIF(入力シート!$J$16:$S$23,入力リスト!$H$9)=0),"",IF(A507="","",IF(ISERROR(AVERAGEIF(従業員の給与情報!$B:$B,$A507,従業員の給与情報!$D:$D)),0,IF(ISERROR(AVERAGEIF(従業員の給与情報!$B:$B,$A507,従業員の給与情報!$D:$D)),0,AVERAGEIF(従業員の給与情報!$B:$B,$A507,従業員の給与情報!$D:$D)))))</f>
        <v/>
      </c>
      <c r="V507" s="579" t="str">
        <f>IF(OR(入力シート!$C$5&lt;&gt;入力リスト!$C$3,COUNTIF(入力シート!$J$16:$S$23,入力リスト!$H$9)=0),"",IF(A507="","",IF(ISERROR(AVERAGEIF(従業員の給与情報!$B:$B,$A507,従業員の給与情報!$E:$E)),0,IF(ISERROR(AVERAGEIF(従業員の給与情報!$B:$B,$A507,従業員の給与情報!$E:$E)),0,AVERAGEIF(従業員の給与情報!$B:$B,$A507,従業員の給与情報!$E:$E)))))</f>
        <v/>
      </c>
      <c r="W507" s="580" t="str">
        <f>IF(OR(入力シート!$C$5&lt;&gt;入力リスト!$C$3,COUNTIF(入力シート!$J$16:$S$23,入力リスト!$H$9)=0),"",IF(A507="","",IF(ISERROR(AVERAGEIF(従業員の給与情報!$B:$B,$A507,従業員の給与情報!$F:$F)),0,IF(ISERROR(AVERAGEIF(従業員の給与情報!$B:$B,$A507,従業員の給与情報!$F:$F)),0,AVERAGEIF(従業員の給与情報!$B:$B,$A507,従業員の給与情報!$F:$F)))))</f>
        <v/>
      </c>
      <c r="X507" s="581" t="s">
        <v>5246</v>
      </c>
    </row>
    <row r="508" spans="1:24">
      <c r="F508" s="297" t="str">
        <f>IF($G$1,"",IF(COUNTIF(A508:E508,"")=5,"",IF(G508,入力リスト!$K$28,IF(OR(A508="",B508="",IF(COUNTIF($C$3,"*不要*"),"",C508=""),D508=""),IF(A508="","従業員番号","")&amp;IF(B508="","「雇用形態」","")&amp;IF(OR(入力シート!$J$18=入力リスト!$H$9,入力シート!$J$22=入力リスト!$H$9),IF(C508="","「入社年月日」",""),"")&amp;IF(D508="","「性別」","")&amp;IF(IF(A508="","従業員番号","")&amp;IF(B508="","「雇用形態」","")&amp;IF(OR(入力シート!$J$18=入力リスト!$H$9,入力シート!$J$22=入力リスト!$H$9),IF(C508="","「入社年月日」",""),"")&amp;IF(D508="","「性別」","")="","",入力リスト!$K$29),IF(J508,入力リスト!$K$30,"")&amp;IF(I508,入力リスト!$K$31,"")&amp;IF(H508,"「雇用形態」","")&amp;IF(K508,"「性別」","")&amp;IF(L508,"「役職」","")&amp;IF(OR(H508,K508,L508),入力リスト!$K$32,"")))))</f>
        <v/>
      </c>
      <c r="G508" s="298" t="b">
        <f>COUNTIF($A$4:A507,$A508)&gt;0</f>
        <v>0</v>
      </c>
      <c r="H508" s="298" t="b">
        <f>IF($H$1,FALSE,COUNTIF(入力シート!$S$37:$V$62,B508)=0)</f>
        <v>0</v>
      </c>
      <c r="I508" s="298" t="b">
        <f t="shared" si="17"/>
        <v>0</v>
      </c>
      <c r="J508" s="298" t="b">
        <f>IF($J$1,FALSE,IF(I508=TRUE,FALSE,IF(I508,FALSE,C508&gt;入力シート!$J$24)))</f>
        <v>0</v>
      </c>
      <c r="K508" s="298" t="b">
        <f>IF($K$1,FALSE,COUNTIF(入力シート!$AW$37:$BB$38,D508)=0)</f>
        <v>0</v>
      </c>
      <c r="L508" s="298" t="b">
        <f>IF($L$1,FALSE,IF($L$3,FALSE,IF(E508="",FALSE,COUNTIF(入力シート!$AH$37:$AK$62,E508)=0)))</f>
        <v>0</v>
      </c>
      <c r="M508" s="298" t="str">
        <f t="shared" si="18"/>
        <v/>
      </c>
      <c r="N508" s="298" t="str">
        <f>IF(G508,"この従業員番号は、すでに他のセルで入力されています。",IF(入力シート!$C$5=入力リスト!$C$4,"",IF(AND(A508="",B508="",C508="",D508="",E508=""),"",IF(OR(A508="",B508="",C508="",D508=""),IF(A508="","従業員番号","")&amp;IF(AND(A508="",OR(B508="",C508="",D508="")),",","")&amp;IF(B508="","雇用形態","")&amp;IF(AND(B508="",OR(C508="",D508="")),",","")&amp;IF(OR(入力シート!$J$18=入力リスト!$H$9,入力シート!$J$22=入力リスト!$H$9),IF(C508="","入社年月日",""),"")&amp;IF(AND(C508="",D508=""),",","")&amp;IF(D508="","性別","")&amp;IF(IF(A508="","従業員番号","")&amp;IF(B508="","雇用形態","")&amp;IF(OR(入力シート!$J$18=入力リスト!$H$9,入力シート!$J$22=入力リスト!$H$9),IF(C508="","入社年月日",""),"")&amp;IF(D508="","性別","")="","","が空白です。"),IF(J508,"入社年月日に「基準日」の翌日以降の日付が入力されています。","")&amp;IF(I508,"入社年月日に数値以外（又は1900/1/1以前の日付）が入力されています。","")&amp;IF(H508,"雇用形態"&amp;IF(OR(K508,L508),",",""),"")&amp;IF(K508,"性別"&amp;IF(L508,",",""),"")&amp;IF(L508,"役職","")&amp;IF(OR(H508,K508,L508),"に、［入力シート］(4)「貴社」欄と異なる文言が入力されています。","")))))</f>
        <v/>
      </c>
      <c r="O508" s="298" t="str">
        <f>IF(B508="","",VLOOKUP('従業員情報(給与以外)'!$B508,入力シート!$S$37:$Z$62,5,0))</f>
        <v/>
      </c>
      <c r="P508" s="298" t="str">
        <f>IF(ISNUMBER(C508)=FALSE,"",IF(C508&gt;入力シート!$J$24,"",_xlfn.DAYS(入力シート!$J$24,'従業員情報(給与以外)'!$C508)/365))</f>
        <v/>
      </c>
      <c r="Q508" s="298" t="str">
        <f>IF(P508="","",VLOOKUP(_xlfn.DAYS(入力シート!$J$24,'従業員情報(給与以外)'!$C508)/365,入力リスト!$K$18:$L$26,2,2))</f>
        <v/>
      </c>
      <c r="R508" s="298" t="str">
        <f>IF(D508="","",VLOOKUP('従業員情報(給与以外)'!$D508,入力シート!$AW$37:$BB$38,4,0))</f>
        <v/>
      </c>
      <c r="S508" s="298" t="str">
        <f>IF(A508="","",IF(E508="","非役職",VLOOKUP('従業員情報(給与以外)'!$E508,入力シート!$AH$37:$AO$62,5,0)))</f>
        <v/>
      </c>
      <c r="T508" s="299" t="str">
        <f>IF(OR(入力シート!$C$5&lt;&gt;入力リスト!$C$3,COUNTIF(入力シート!$J$16:$S$23,入力リスト!$H$9)=0),"",IF($A508="","",IF(ISERROR(AVERAGEIF(従業員の給与情報!$B:$B,$A508,従業員の給与情報!$C:$C)),0,IF(ISERROR(AVERAGEIF(従業員の給与情報!$B:$B,$A508,従業員の給与情報!$C:$C)),0,AVERAGEIF(従業員の給与情報!$B:$B,$A508,従業員の給与情報!$C:$C)))))</f>
        <v/>
      </c>
      <c r="U508" s="299" t="str">
        <f>IF(OR(入力シート!$C$5&lt;&gt;入力リスト!$C$3,COUNTIF(入力シート!$J$16:$S$23,入力リスト!$H$9)=0),"",IF(A508="","",IF(ISERROR(AVERAGEIF(従業員の給与情報!$B:$B,$A508,従業員の給与情報!$D:$D)),0,IF(ISERROR(AVERAGEIF(従業員の給与情報!$B:$B,$A508,従業員の給与情報!$D:$D)),0,AVERAGEIF(従業員の給与情報!$B:$B,$A508,従業員の給与情報!$D:$D)))))</f>
        <v/>
      </c>
      <c r="V508" s="299" t="str">
        <f>IF(OR(入力シート!$C$5&lt;&gt;入力リスト!$C$3,COUNTIF(入力シート!$J$16:$S$23,入力リスト!$H$9)=0),"",IF(A508="","",IF(ISERROR(AVERAGEIF(従業員の給与情報!$B:$B,$A508,従業員の給与情報!$E:$E)),0,IF(ISERROR(AVERAGEIF(従業員の給与情報!$B:$B,$A508,従業員の給与情報!$E:$E)),0,AVERAGEIF(従業員の給与情報!$B:$B,$A508,従業員の給与情報!$E:$E)))))</f>
        <v/>
      </c>
      <c r="W508" s="299" t="str">
        <f>IF(OR(入力シート!$C$5&lt;&gt;入力リスト!$C$3,COUNTIF(入力シート!$J$16:$S$23,入力リスト!$H$9)=0),"",IF(A508="","",IF(ISERROR(AVERAGEIF(従業員の給与情報!$B:$B,$A508,従業員の給与情報!$F:$F)),0,IF(ISERROR(AVERAGEIF(従業員の給与情報!$B:$B,$A508,従業員の給与情報!$F:$F)),0,AVERAGEIF(従業員の給与情報!$B:$B,$A508,従業員の給与情報!$F:$F)))))</f>
        <v/>
      </c>
      <c r="X508" s="581" t="s">
        <v>5247</v>
      </c>
    </row>
    <row r="509" spans="1:24">
      <c r="F509" s="297" t="str">
        <f>IF($G$1,"",IF(COUNTIF(A509:E509,"")=5,"",IF(G509,入力リスト!$K$28,IF(OR(A509="",B509="",IF(COUNTIF($C$3,"*不要*"),"",C509=""),D509=""),IF(A509="","従業員番号","")&amp;IF(B509="","「雇用形態」","")&amp;IF(OR(入力シート!$J$18=入力リスト!$H$9,入力シート!$J$22=入力リスト!$H$9),IF(C509="","「入社年月日」",""),"")&amp;IF(D509="","「性別」","")&amp;IF(IF(A509="","従業員番号","")&amp;IF(B509="","「雇用形態」","")&amp;IF(OR(入力シート!$J$18=入力リスト!$H$9,入力シート!$J$22=入力リスト!$H$9),IF(C509="","「入社年月日」",""),"")&amp;IF(D509="","「性別」","")="","",入力リスト!$K$29),IF(J509,入力リスト!$K$30,"")&amp;IF(I509,入力リスト!$K$31,"")&amp;IF(H509,"「雇用形態」","")&amp;IF(K509,"「性別」","")&amp;IF(L509,"「役職」","")&amp;IF(OR(H509,K509,L509),入力リスト!$K$32,"")))))</f>
        <v/>
      </c>
      <c r="G509" s="298" t="b">
        <f>COUNTIF($A$4:A508,$A509)&gt;0</f>
        <v>0</v>
      </c>
      <c r="H509" s="298" t="b">
        <f>IF($H$1,FALSE,COUNTIF(入力シート!$S$37:$V$62,B509)=0)</f>
        <v>0</v>
      </c>
      <c r="I509" s="298" t="b">
        <f t="shared" si="17"/>
        <v>0</v>
      </c>
      <c r="J509" s="298" t="b">
        <f>IF($J$1,FALSE,IF(I509=TRUE,FALSE,IF(I509,FALSE,C509&gt;入力シート!$J$24)))</f>
        <v>0</v>
      </c>
      <c r="K509" s="298" t="b">
        <f>IF($K$1,FALSE,COUNTIF(入力シート!$AW$37:$BB$38,D509)=0)</f>
        <v>0</v>
      </c>
      <c r="L509" s="298" t="b">
        <f>IF($L$1,FALSE,IF($L$3,FALSE,IF(E509="",FALSE,COUNTIF(入力シート!$AH$37:$AK$62,E509)=0)))</f>
        <v>0</v>
      </c>
      <c r="M509" s="298" t="str">
        <f t="shared" si="18"/>
        <v/>
      </c>
      <c r="N509" s="298" t="str">
        <f>IF(G509,"この従業員番号は、すでに他のセルで入力されています。",IF(入力シート!$C$5=入力リスト!$C$4,"",IF(AND(A509="",B509="",C509="",D509="",E509=""),"",IF(OR(A509="",B509="",C509="",D509=""),IF(A509="","従業員番号","")&amp;IF(AND(A509="",OR(B509="",C509="",D509="")),",","")&amp;IF(B509="","雇用形態","")&amp;IF(AND(B509="",OR(C509="",D509="")),",","")&amp;IF(OR(入力シート!$J$18=入力リスト!$H$9,入力シート!$J$22=入力リスト!$H$9),IF(C509="","入社年月日",""),"")&amp;IF(AND(C509="",D509=""),",","")&amp;IF(D509="","性別","")&amp;IF(IF(A509="","従業員番号","")&amp;IF(B509="","雇用形態","")&amp;IF(OR(入力シート!$J$18=入力リスト!$H$9,入力シート!$J$22=入力リスト!$H$9),IF(C509="","入社年月日",""),"")&amp;IF(D509="","性別","")="","","が空白です。"),IF(J509,"入社年月日に「基準日」の翌日以降の日付が入力されています。","")&amp;IF(I509,"入社年月日に数値以外（又は1900/1/1以前の日付）が入力されています。","")&amp;IF(H509,"雇用形態"&amp;IF(OR(K509,L509),",",""),"")&amp;IF(K509,"性別"&amp;IF(L509,",",""),"")&amp;IF(L509,"役職","")&amp;IF(OR(H509,K509,L509),"に、［入力シート］(4)「貴社」欄と異なる文言が入力されています。","")))))</f>
        <v/>
      </c>
      <c r="O509" s="298" t="str">
        <f>IF(B509="","",VLOOKUP('従業員情報(給与以外)'!$B509,入力シート!$S$37:$Z$62,5,0))</f>
        <v/>
      </c>
      <c r="P509" s="298" t="str">
        <f>IF(ISNUMBER(C509)=FALSE,"",IF(C509&gt;入力シート!$J$24,"",_xlfn.DAYS(入力シート!$J$24,'従業員情報(給与以外)'!$C509)/365))</f>
        <v/>
      </c>
      <c r="Q509" s="298" t="str">
        <f>IF(P509="","",VLOOKUP(_xlfn.DAYS(入力シート!$J$24,'従業員情報(給与以外)'!$C509)/365,入力リスト!$K$18:$L$26,2,2))</f>
        <v/>
      </c>
      <c r="R509" s="298" t="str">
        <f>IF(D509="","",VLOOKUP('従業員情報(給与以外)'!$D509,入力シート!$AW$37:$BB$38,4,0))</f>
        <v/>
      </c>
      <c r="S509" s="298" t="str">
        <f>IF(A509="","",IF(E509="","非役職",VLOOKUP('従業員情報(給与以外)'!$E509,入力シート!$AH$37:$AO$62,5,0)))</f>
        <v/>
      </c>
      <c r="T509" s="299" t="str">
        <f>IF(OR(入力シート!$C$5&lt;&gt;入力リスト!$C$3,COUNTIF(入力シート!$J$16:$S$23,入力リスト!$H$9)=0),"",IF($A509="","",IF(ISERROR(AVERAGEIF(従業員の給与情報!$B:$B,$A509,従業員の給与情報!$C:$C)),0,IF(ISERROR(AVERAGEIF(従業員の給与情報!$B:$B,$A509,従業員の給与情報!$C:$C)),0,AVERAGEIF(従業員の給与情報!$B:$B,$A509,従業員の給与情報!$C:$C)))))</f>
        <v/>
      </c>
      <c r="U509" s="299" t="str">
        <f>IF(OR(入力シート!$C$5&lt;&gt;入力リスト!$C$3,COUNTIF(入力シート!$J$16:$S$23,入力リスト!$H$9)=0),"",IF(A509="","",IF(ISERROR(AVERAGEIF(従業員の給与情報!$B:$B,$A509,従業員の給与情報!$D:$D)),0,IF(ISERROR(AVERAGEIF(従業員の給与情報!$B:$B,$A509,従業員の給与情報!$D:$D)),0,AVERAGEIF(従業員の給与情報!$B:$B,$A509,従業員の給与情報!$D:$D)))))</f>
        <v/>
      </c>
      <c r="V509" s="299" t="str">
        <f>IF(OR(入力シート!$C$5&lt;&gt;入力リスト!$C$3,COUNTIF(入力シート!$J$16:$S$23,入力リスト!$H$9)=0),"",IF(A509="","",IF(ISERROR(AVERAGEIF(従業員の給与情報!$B:$B,$A509,従業員の給与情報!$E:$E)),0,IF(ISERROR(AVERAGEIF(従業員の給与情報!$B:$B,$A509,従業員の給与情報!$E:$E)),0,AVERAGEIF(従業員の給与情報!$B:$B,$A509,従業員の給与情報!$E:$E)))))</f>
        <v/>
      </c>
      <c r="W509" s="299" t="str">
        <f>IF(OR(入力シート!$C$5&lt;&gt;入力リスト!$C$3,COUNTIF(入力シート!$J$16:$S$23,入力リスト!$H$9)=0),"",IF(A509="","",IF(ISERROR(AVERAGEIF(従業員の給与情報!$B:$B,$A509,従業員の給与情報!$F:$F)),0,IF(ISERROR(AVERAGEIF(従業員の給与情報!$B:$B,$A509,従業員の給与情報!$F:$F)),0,AVERAGEIF(従業員の給与情報!$B:$B,$A509,従業員の給与情報!$F:$F)))))</f>
        <v/>
      </c>
      <c r="X509" s="581" t="s">
        <v>5248</v>
      </c>
    </row>
    <row r="510" spans="1:24">
      <c r="F510" s="297" t="str">
        <f>IF($G$1,"",IF(COUNTIF(A510:E510,"")=5,"",IF(G510,入力リスト!$K$28,IF(OR(A510="",B510="",IF(COUNTIF($C$3,"*不要*"),"",C510=""),D510=""),IF(A510="","従業員番号","")&amp;IF(B510="","「雇用形態」","")&amp;IF(OR(入力シート!$J$18=入力リスト!$H$9,入力シート!$J$22=入力リスト!$H$9),IF(C510="","「入社年月日」",""),"")&amp;IF(D510="","「性別」","")&amp;IF(IF(A510="","従業員番号","")&amp;IF(B510="","「雇用形態」","")&amp;IF(OR(入力シート!$J$18=入力リスト!$H$9,入力シート!$J$22=入力リスト!$H$9),IF(C510="","「入社年月日」",""),"")&amp;IF(D510="","「性別」","")="","",入力リスト!$K$29),IF(J510,入力リスト!$K$30,"")&amp;IF(I510,入力リスト!$K$31,"")&amp;IF(H510,"「雇用形態」","")&amp;IF(K510,"「性別」","")&amp;IF(L510,"「役職」","")&amp;IF(OR(H510,K510,L510),入力リスト!$K$32,"")))))</f>
        <v/>
      </c>
      <c r="G510" s="298" t="b">
        <f>COUNTIF($A$4:A509,$A510)&gt;0</f>
        <v>0</v>
      </c>
      <c r="H510" s="298" t="b">
        <f>IF($H$1,FALSE,COUNTIF(入力シート!$S$37:$V$62,B510)=0)</f>
        <v>0</v>
      </c>
      <c r="I510" s="298" t="b">
        <f t="shared" si="17"/>
        <v>0</v>
      </c>
      <c r="J510" s="298" t="b">
        <f>IF($J$1,FALSE,IF(I510=TRUE,FALSE,IF(I510,FALSE,C510&gt;入力シート!$J$24)))</f>
        <v>0</v>
      </c>
      <c r="K510" s="298" t="b">
        <f>IF($K$1,FALSE,COUNTIF(入力シート!$AW$37:$BB$38,D510)=0)</f>
        <v>0</v>
      </c>
      <c r="L510" s="298" t="b">
        <f>IF($L$1,FALSE,IF($L$3,FALSE,IF(E510="",FALSE,COUNTIF(入力シート!$AH$37:$AK$62,E510)=0)))</f>
        <v>0</v>
      </c>
      <c r="M510" s="298" t="str">
        <f t="shared" si="18"/>
        <v/>
      </c>
      <c r="N510" s="298" t="str">
        <f>IF(G510,"この従業員番号は、すでに他のセルで入力されています。",IF(入力シート!$C$5=入力リスト!$C$4,"",IF(AND(A510="",B510="",C510="",D510="",E510=""),"",IF(OR(A510="",B510="",C510="",D510=""),IF(A510="","従業員番号","")&amp;IF(AND(A510="",OR(B510="",C510="",D510="")),",","")&amp;IF(B510="","雇用形態","")&amp;IF(AND(B510="",OR(C510="",D510="")),",","")&amp;IF(OR(入力シート!$J$18=入力リスト!$H$9,入力シート!$J$22=入力リスト!$H$9),IF(C510="","入社年月日",""),"")&amp;IF(AND(C510="",D510=""),",","")&amp;IF(D510="","性別","")&amp;IF(IF(A510="","従業員番号","")&amp;IF(B510="","雇用形態","")&amp;IF(OR(入力シート!$J$18=入力リスト!$H$9,入力シート!$J$22=入力リスト!$H$9),IF(C510="","入社年月日",""),"")&amp;IF(D510="","性別","")="","","が空白です。"),IF(J510,"入社年月日に「基準日」の翌日以降の日付が入力されています。","")&amp;IF(I510,"入社年月日に数値以外（又は1900/1/1以前の日付）が入力されています。","")&amp;IF(H510,"雇用形態"&amp;IF(OR(K510,L510),",",""),"")&amp;IF(K510,"性別"&amp;IF(L510,",",""),"")&amp;IF(L510,"役職","")&amp;IF(OR(H510,K510,L510),"に、［入力シート］(4)「貴社」欄と異なる文言が入力されています。","")))))</f>
        <v/>
      </c>
      <c r="O510" s="298" t="str">
        <f>IF(B510="","",VLOOKUP('従業員情報(給与以外)'!$B510,入力シート!$S$37:$Z$62,5,0))</f>
        <v/>
      </c>
      <c r="P510" s="298" t="str">
        <f>IF(ISNUMBER(C510)=FALSE,"",IF(C510&gt;入力シート!$J$24,"",_xlfn.DAYS(入力シート!$J$24,'従業員情報(給与以外)'!$C510)/365))</f>
        <v/>
      </c>
      <c r="Q510" s="298" t="str">
        <f>IF(P510="","",VLOOKUP(_xlfn.DAYS(入力シート!$J$24,'従業員情報(給与以外)'!$C510)/365,入力リスト!$K$18:$L$26,2,2))</f>
        <v/>
      </c>
      <c r="R510" s="298" t="str">
        <f>IF(D510="","",VLOOKUP('従業員情報(給与以外)'!$D510,入力シート!$AW$37:$BB$38,4,0))</f>
        <v/>
      </c>
      <c r="S510" s="298" t="str">
        <f>IF(A510="","",IF(E510="","非役職",VLOOKUP('従業員情報(給与以外)'!$E510,入力シート!$AH$37:$AO$62,5,0)))</f>
        <v/>
      </c>
      <c r="T510" s="299" t="str">
        <f>IF(OR(入力シート!$C$5&lt;&gt;入力リスト!$C$3,COUNTIF(入力シート!$J$16:$S$23,入力リスト!$H$9)=0),"",IF($A510="","",IF(ISERROR(AVERAGEIF(従業員の給与情報!$B:$B,$A510,従業員の給与情報!$C:$C)),0,IF(ISERROR(AVERAGEIF(従業員の給与情報!$B:$B,$A510,従業員の給与情報!$C:$C)),0,AVERAGEIF(従業員の給与情報!$B:$B,$A510,従業員の給与情報!$C:$C)))))</f>
        <v/>
      </c>
      <c r="U510" s="299" t="str">
        <f>IF(OR(入力シート!$C$5&lt;&gt;入力リスト!$C$3,COUNTIF(入力シート!$J$16:$S$23,入力リスト!$H$9)=0),"",IF(A510="","",IF(ISERROR(AVERAGEIF(従業員の給与情報!$B:$B,$A510,従業員の給与情報!$D:$D)),0,IF(ISERROR(AVERAGEIF(従業員の給与情報!$B:$B,$A510,従業員の給与情報!$D:$D)),0,AVERAGEIF(従業員の給与情報!$B:$B,$A510,従業員の給与情報!$D:$D)))))</f>
        <v/>
      </c>
      <c r="V510" s="299" t="str">
        <f>IF(OR(入力シート!$C$5&lt;&gt;入力リスト!$C$3,COUNTIF(入力シート!$J$16:$S$23,入力リスト!$H$9)=0),"",IF(A510="","",IF(ISERROR(AVERAGEIF(従業員の給与情報!$B:$B,$A510,従業員の給与情報!$E:$E)),0,IF(ISERROR(AVERAGEIF(従業員の給与情報!$B:$B,$A510,従業員の給与情報!$E:$E)),0,AVERAGEIF(従業員の給与情報!$B:$B,$A510,従業員の給与情報!$E:$E)))))</f>
        <v/>
      </c>
      <c r="W510" s="299" t="str">
        <f>IF(OR(入力シート!$C$5&lt;&gt;入力リスト!$C$3,COUNTIF(入力シート!$J$16:$S$23,入力リスト!$H$9)=0),"",IF(A510="","",IF(ISERROR(AVERAGEIF(従業員の給与情報!$B:$B,$A510,従業員の給与情報!$F:$F)),0,IF(ISERROR(AVERAGEIF(従業員の給与情報!$B:$B,$A510,従業員の給与情報!$F:$F)),0,AVERAGEIF(従業員の給与情報!$B:$B,$A510,従業員の給与情報!$F:$F)))))</f>
        <v/>
      </c>
      <c r="X510" s="581" t="s">
        <v>5249</v>
      </c>
    </row>
    <row r="511" spans="1:24">
      <c r="F511" s="297" t="str">
        <f>IF($G$1,"",IF(COUNTIF(A511:E511,"")=5,"",IF(G511,入力リスト!$K$28,IF(OR(A511="",B511="",IF(COUNTIF($C$3,"*不要*"),"",C511=""),D511=""),IF(A511="","従業員番号","")&amp;IF(B511="","「雇用形態」","")&amp;IF(OR(入力シート!$J$18=入力リスト!$H$9,入力シート!$J$22=入力リスト!$H$9),IF(C511="","「入社年月日」",""),"")&amp;IF(D511="","「性別」","")&amp;IF(IF(A511="","従業員番号","")&amp;IF(B511="","「雇用形態」","")&amp;IF(OR(入力シート!$J$18=入力リスト!$H$9,入力シート!$J$22=入力リスト!$H$9),IF(C511="","「入社年月日」",""),"")&amp;IF(D511="","「性別」","")="","",入力リスト!$K$29),IF(J511,入力リスト!$K$30,"")&amp;IF(I511,入力リスト!$K$31,"")&amp;IF(H511,"「雇用形態」","")&amp;IF(K511,"「性別」","")&amp;IF(L511,"「役職」","")&amp;IF(OR(H511,K511,L511),入力リスト!$K$32,"")))))</f>
        <v/>
      </c>
      <c r="G511" s="298" t="b">
        <f>COUNTIF($A$4:A510,$A511)&gt;0</f>
        <v>0</v>
      </c>
      <c r="H511" s="298" t="b">
        <f>IF($H$1,FALSE,COUNTIF(入力シート!$S$37:$V$62,B511)=0)</f>
        <v>0</v>
      </c>
      <c r="I511" s="298" t="b">
        <f t="shared" si="17"/>
        <v>0</v>
      </c>
      <c r="J511" s="298" t="b">
        <f>IF($J$1,FALSE,IF(I511=TRUE,FALSE,IF(I511,FALSE,C511&gt;入力シート!$J$24)))</f>
        <v>0</v>
      </c>
      <c r="K511" s="298" t="b">
        <f>IF($K$1,FALSE,COUNTIF(入力シート!$AW$37:$BB$38,D511)=0)</f>
        <v>0</v>
      </c>
      <c r="L511" s="298" t="b">
        <f>IF($L$1,FALSE,IF($L$3,FALSE,IF(E511="",FALSE,COUNTIF(入力シート!$AH$37:$AK$62,E511)=0)))</f>
        <v>0</v>
      </c>
      <c r="M511" s="298" t="str">
        <f t="shared" si="18"/>
        <v/>
      </c>
      <c r="N511" s="298" t="str">
        <f>IF(G511,"この従業員番号は、すでに他のセルで入力されています。",IF(入力シート!$C$5=入力リスト!$C$4,"",IF(AND(A511="",B511="",C511="",D511="",E511=""),"",IF(OR(A511="",B511="",C511="",D511=""),IF(A511="","従業員番号","")&amp;IF(AND(A511="",OR(B511="",C511="",D511="")),",","")&amp;IF(B511="","雇用形態","")&amp;IF(AND(B511="",OR(C511="",D511="")),",","")&amp;IF(OR(入力シート!$J$18=入力リスト!$H$9,入力シート!$J$22=入力リスト!$H$9),IF(C511="","入社年月日",""),"")&amp;IF(AND(C511="",D511=""),",","")&amp;IF(D511="","性別","")&amp;IF(IF(A511="","従業員番号","")&amp;IF(B511="","雇用形態","")&amp;IF(OR(入力シート!$J$18=入力リスト!$H$9,入力シート!$J$22=入力リスト!$H$9),IF(C511="","入社年月日",""),"")&amp;IF(D511="","性別","")="","","が空白です。"),IF(J511,"入社年月日に「基準日」の翌日以降の日付が入力されています。","")&amp;IF(I511,"入社年月日に数値以外（又は1900/1/1以前の日付）が入力されています。","")&amp;IF(H511,"雇用形態"&amp;IF(OR(K511,L511),",",""),"")&amp;IF(K511,"性別"&amp;IF(L511,",",""),"")&amp;IF(L511,"役職","")&amp;IF(OR(H511,K511,L511),"に、［入力シート］(4)「貴社」欄と異なる文言が入力されています。","")))))</f>
        <v/>
      </c>
      <c r="O511" s="298" t="str">
        <f>IF(B511="","",VLOOKUP('従業員情報(給与以外)'!$B511,入力シート!$S$37:$Z$62,5,0))</f>
        <v/>
      </c>
      <c r="P511" s="298" t="str">
        <f>IF(ISNUMBER(C511)=FALSE,"",IF(C511&gt;入力シート!$J$24,"",_xlfn.DAYS(入力シート!$J$24,'従業員情報(給与以外)'!$C511)/365))</f>
        <v/>
      </c>
      <c r="Q511" s="298" t="str">
        <f>IF(P511="","",VLOOKUP(_xlfn.DAYS(入力シート!$J$24,'従業員情報(給与以外)'!$C511)/365,入力リスト!$K$18:$L$26,2,2))</f>
        <v/>
      </c>
      <c r="R511" s="298" t="str">
        <f>IF(D511="","",VLOOKUP('従業員情報(給与以外)'!$D511,入力シート!$AW$37:$BB$38,4,0))</f>
        <v/>
      </c>
      <c r="S511" s="298" t="str">
        <f>IF(A511="","",IF(E511="","非役職",VLOOKUP('従業員情報(給与以外)'!$E511,入力シート!$AH$37:$AO$62,5,0)))</f>
        <v/>
      </c>
      <c r="T511" s="299" t="str">
        <f>IF(OR(入力シート!$C$5&lt;&gt;入力リスト!$C$3,COUNTIF(入力シート!$J$16:$S$23,入力リスト!$H$9)=0),"",IF($A511="","",IF(ISERROR(AVERAGEIF(従業員の給与情報!$B:$B,$A511,従業員の給与情報!$C:$C)),0,IF(ISERROR(AVERAGEIF(従業員の給与情報!$B:$B,$A511,従業員の給与情報!$C:$C)),0,AVERAGEIF(従業員の給与情報!$B:$B,$A511,従業員の給与情報!$C:$C)))))</f>
        <v/>
      </c>
      <c r="U511" s="299" t="str">
        <f>IF(OR(入力シート!$C$5&lt;&gt;入力リスト!$C$3,COUNTIF(入力シート!$J$16:$S$23,入力リスト!$H$9)=0),"",IF(A511="","",IF(ISERROR(AVERAGEIF(従業員の給与情報!$B:$B,$A511,従業員の給与情報!$D:$D)),0,IF(ISERROR(AVERAGEIF(従業員の給与情報!$B:$B,$A511,従業員の給与情報!$D:$D)),0,AVERAGEIF(従業員の給与情報!$B:$B,$A511,従業員の給与情報!$D:$D)))))</f>
        <v/>
      </c>
      <c r="V511" s="299" t="str">
        <f>IF(OR(入力シート!$C$5&lt;&gt;入力リスト!$C$3,COUNTIF(入力シート!$J$16:$S$23,入力リスト!$H$9)=0),"",IF(A511="","",IF(ISERROR(AVERAGEIF(従業員の給与情報!$B:$B,$A511,従業員の給与情報!$E:$E)),0,IF(ISERROR(AVERAGEIF(従業員の給与情報!$B:$B,$A511,従業員の給与情報!$E:$E)),0,AVERAGEIF(従業員の給与情報!$B:$B,$A511,従業員の給与情報!$E:$E)))))</f>
        <v/>
      </c>
      <c r="W511" s="299" t="str">
        <f>IF(OR(入力シート!$C$5&lt;&gt;入力リスト!$C$3,COUNTIF(入力シート!$J$16:$S$23,入力リスト!$H$9)=0),"",IF(A511="","",IF(ISERROR(AVERAGEIF(従業員の給与情報!$B:$B,$A511,従業員の給与情報!$F:$F)),0,IF(ISERROR(AVERAGEIF(従業員の給与情報!$B:$B,$A511,従業員の給与情報!$F:$F)),0,AVERAGEIF(従業員の給与情報!$B:$B,$A511,従業員の給与情報!$F:$F)))))</f>
        <v/>
      </c>
      <c r="X511" s="581" t="s">
        <v>5250</v>
      </c>
    </row>
    <row r="512" spans="1:24">
      <c r="F512" s="297" t="str">
        <f>IF($G$1,"",IF(COUNTIF(A512:E512,"")=5,"",IF(G512,入力リスト!$K$28,IF(OR(A512="",B512="",IF(COUNTIF($C$3,"*不要*"),"",C512=""),D512=""),IF(A512="","従業員番号","")&amp;IF(B512="","「雇用形態」","")&amp;IF(OR(入力シート!$J$18=入力リスト!$H$9,入力シート!$J$22=入力リスト!$H$9),IF(C512="","「入社年月日」",""),"")&amp;IF(D512="","「性別」","")&amp;IF(IF(A512="","従業員番号","")&amp;IF(B512="","「雇用形態」","")&amp;IF(OR(入力シート!$J$18=入力リスト!$H$9,入力シート!$J$22=入力リスト!$H$9),IF(C512="","「入社年月日」",""),"")&amp;IF(D512="","「性別」","")="","",入力リスト!$K$29),IF(J512,入力リスト!$K$30,"")&amp;IF(I512,入力リスト!$K$31,"")&amp;IF(H512,"「雇用形態」","")&amp;IF(K512,"「性別」","")&amp;IF(L512,"「役職」","")&amp;IF(OR(H512,K512,L512),入力リスト!$K$32,"")))))</f>
        <v/>
      </c>
      <c r="G512" s="298" t="b">
        <f>COUNTIF($A$4:A511,$A512)&gt;0</f>
        <v>0</v>
      </c>
      <c r="H512" s="298" t="b">
        <f>IF($H$1,FALSE,COUNTIF(入力シート!$S$37:$V$62,B512)=0)</f>
        <v>0</v>
      </c>
      <c r="I512" s="298" t="b">
        <f t="shared" si="17"/>
        <v>0</v>
      </c>
      <c r="J512" s="298" t="b">
        <f>IF($J$1,FALSE,IF(I512=TRUE,FALSE,IF(I512,FALSE,C512&gt;入力シート!$J$24)))</f>
        <v>0</v>
      </c>
      <c r="K512" s="298" t="b">
        <f>IF($K$1,FALSE,COUNTIF(入力シート!$AW$37:$BB$38,D512)=0)</f>
        <v>0</v>
      </c>
      <c r="L512" s="298" t="b">
        <f>IF($L$1,FALSE,IF($L$3,FALSE,IF(E512="",FALSE,COUNTIF(入力シート!$AH$37:$AK$62,E512)=0)))</f>
        <v>0</v>
      </c>
      <c r="M512" s="298" t="str">
        <f t="shared" si="18"/>
        <v/>
      </c>
      <c r="N512" s="298" t="str">
        <f>IF(G512,"この従業員番号は、すでに他のセルで入力されています。",IF(入力シート!$C$5=入力リスト!$C$4,"",IF(AND(A512="",B512="",C512="",D512="",E512=""),"",IF(OR(A512="",B512="",C512="",D512=""),IF(A512="","従業員番号","")&amp;IF(AND(A512="",OR(B512="",C512="",D512="")),",","")&amp;IF(B512="","雇用形態","")&amp;IF(AND(B512="",OR(C512="",D512="")),",","")&amp;IF(OR(入力シート!$J$18=入力リスト!$H$9,入力シート!$J$22=入力リスト!$H$9),IF(C512="","入社年月日",""),"")&amp;IF(AND(C512="",D512=""),",","")&amp;IF(D512="","性別","")&amp;IF(IF(A512="","従業員番号","")&amp;IF(B512="","雇用形態","")&amp;IF(OR(入力シート!$J$18=入力リスト!$H$9,入力シート!$J$22=入力リスト!$H$9),IF(C512="","入社年月日",""),"")&amp;IF(D512="","性別","")="","","が空白です。"),IF(J512,"入社年月日に「基準日」の翌日以降の日付が入力されています。","")&amp;IF(I512,"入社年月日に数値以外（又は1900/1/1以前の日付）が入力されています。","")&amp;IF(H512,"雇用形態"&amp;IF(OR(K512,L512),",",""),"")&amp;IF(K512,"性別"&amp;IF(L512,",",""),"")&amp;IF(L512,"役職","")&amp;IF(OR(H512,K512,L512),"に、［入力シート］(4)「貴社」欄と異なる文言が入力されています。","")))))</f>
        <v/>
      </c>
      <c r="O512" s="298" t="str">
        <f>IF(B512="","",VLOOKUP('従業員情報(給与以外)'!$B512,入力シート!$S$37:$Z$62,5,0))</f>
        <v/>
      </c>
      <c r="P512" s="298" t="str">
        <f>IF(ISNUMBER(C512)=FALSE,"",IF(C512&gt;入力シート!$J$24,"",_xlfn.DAYS(入力シート!$J$24,'従業員情報(給与以外)'!$C512)/365))</f>
        <v/>
      </c>
      <c r="Q512" s="298" t="str">
        <f>IF(P512="","",VLOOKUP(_xlfn.DAYS(入力シート!$J$24,'従業員情報(給与以外)'!$C512)/365,入力リスト!$K$18:$L$26,2,2))</f>
        <v/>
      </c>
      <c r="R512" s="298" t="str">
        <f>IF(D512="","",VLOOKUP('従業員情報(給与以外)'!$D512,入力シート!$AW$37:$BB$38,4,0))</f>
        <v/>
      </c>
      <c r="S512" s="298" t="str">
        <f>IF(A512="","",IF(E512="","非役職",VLOOKUP('従業員情報(給与以外)'!$E512,入力シート!$AH$37:$AO$62,5,0)))</f>
        <v/>
      </c>
      <c r="T512" s="299" t="str">
        <f>IF(OR(入力シート!$C$5&lt;&gt;入力リスト!$C$3,COUNTIF(入力シート!$J$16:$S$23,入力リスト!$H$9)=0),"",IF($A512="","",IF(ISERROR(AVERAGEIF(従業員の給与情報!$B:$B,$A512,従業員の給与情報!$C:$C)),0,IF(ISERROR(AVERAGEIF(従業員の給与情報!$B:$B,$A512,従業員の給与情報!$C:$C)),0,AVERAGEIF(従業員の給与情報!$B:$B,$A512,従業員の給与情報!$C:$C)))))</f>
        <v/>
      </c>
      <c r="U512" s="299" t="str">
        <f>IF(OR(入力シート!$C$5&lt;&gt;入力リスト!$C$3,COUNTIF(入力シート!$J$16:$S$23,入力リスト!$H$9)=0),"",IF(A512="","",IF(ISERROR(AVERAGEIF(従業員の給与情報!$B:$B,$A512,従業員の給与情報!$D:$D)),0,IF(ISERROR(AVERAGEIF(従業員の給与情報!$B:$B,$A512,従業員の給与情報!$D:$D)),0,AVERAGEIF(従業員の給与情報!$B:$B,$A512,従業員の給与情報!$D:$D)))))</f>
        <v/>
      </c>
      <c r="V512" s="299" t="str">
        <f>IF(OR(入力シート!$C$5&lt;&gt;入力リスト!$C$3,COUNTIF(入力シート!$J$16:$S$23,入力リスト!$H$9)=0),"",IF(A512="","",IF(ISERROR(AVERAGEIF(従業員の給与情報!$B:$B,$A512,従業員の給与情報!$E:$E)),0,IF(ISERROR(AVERAGEIF(従業員の給与情報!$B:$B,$A512,従業員の給与情報!$E:$E)),0,AVERAGEIF(従業員の給与情報!$B:$B,$A512,従業員の給与情報!$E:$E)))))</f>
        <v/>
      </c>
      <c r="W512" s="299" t="str">
        <f>IF(OR(入力シート!$C$5&lt;&gt;入力リスト!$C$3,COUNTIF(入力シート!$J$16:$S$23,入力リスト!$H$9)=0),"",IF(A512="","",IF(ISERROR(AVERAGEIF(従業員の給与情報!$B:$B,$A512,従業員の給与情報!$F:$F)),0,IF(ISERROR(AVERAGEIF(従業員の給与情報!$B:$B,$A512,従業員の給与情報!$F:$F)),0,AVERAGEIF(従業員の給与情報!$B:$B,$A512,従業員の給与情報!$F:$F)))))</f>
        <v/>
      </c>
      <c r="X512" s="581" t="s">
        <v>5251</v>
      </c>
    </row>
    <row r="513" spans="6:24">
      <c r="F513" s="297" t="str">
        <f>IF($G$1,"",IF(COUNTIF(A513:E513,"")=5,"",IF(G513,入力リスト!$K$28,IF(OR(A513="",B513="",IF(COUNTIF($C$3,"*不要*"),"",C513=""),D513=""),IF(A513="","従業員番号","")&amp;IF(B513="","「雇用形態」","")&amp;IF(OR(入力シート!$J$18=入力リスト!$H$9,入力シート!$J$22=入力リスト!$H$9),IF(C513="","「入社年月日」",""),"")&amp;IF(D513="","「性別」","")&amp;IF(IF(A513="","従業員番号","")&amp;IF(B513="","「雇用形態」","")&amp;IF(OR(入力シート!$J$18=入力リスト!$H$9,入力シート!$J$22=入力リスト!$H$9),IF(C513="","「入社年月日」",""),"")&amp;IF(D513="","「性別」","")="","",入力リスト!$K$29),IF(J513,入力リスト!$K$30,"")&amp;IF(I513,入力リスト!$K$31,"")&amp;IF(H513,"「雇用形態」","")&amp;IF(K513,"「性別」","")&amp;IF(L513,"「役職」","")&amp;IF(OR(H513,K513,L513),入力リスト!$K$32,"")))))</f>
        <v/>
      </c>
      <c r="G513" s="298" t="b">
        <f>COUNTIF($A$4:A512,$A513)&gt;0</f>
        <v>0</v>
      </c>
      <c r="H513" s="298" t="b">
        <f>IF($H$1,FALSE,COUNTIF(入力シート!$S$37:$V$62,B513)=0)</f>
        <v>0</v>
      </c>
      <c r="I513" s="298" t="b">
        <f t="shared" si="17"/>
        <v>0</v>
      </c>
      <c r="J513" s="298" t="b">
        <f>IF($J$1,FALSE,IF(I513=TRUE,FALSE,IF(I513,FALSE,C513&gt;入力シート!$J$24)))</f>
        <v>0</v>
      </c>
      <c r="K513" s="298" t="b">
        <f>IF($K$1,FALSE,COUNTIF(入力シート!$AW$37:$BB$38,D513)=0)</f>
        <v>0</v>
      </c>
      <c r="L513" s="298" t="b">
        <f>IF($L$1,FALSE,IF($L$3,FALSE,IF(E513="",FALSE,COUNTIF(入力シート!$AH$37:$AK$62,E513)=0)))</f>
        <v>0</v>
      </c>
      <c r="M513" s="298" t="str">
        <f t="shared" si="18"/>
        <v/>
      </c>
      <c r="N513" s="298" t="str">
        <f>IF(G513,"この従業員番号は、すでに他のセルで入力されています。",IF(入力シート!$C$5=入力リスト!$C$4,"",IF(AND(A513="",B513="",C513="",D513="",E513=""),"",IF(OR(A513="",B513="",C513="",D513=""),IF(A513="","従業員番号","")&amp;IF(AND(A513="",OR(B513="",C513="",D513="")),",","")&amp;IF(B513="","雇用形態","")&amp;IF(AND(B513="",OR(C513="",D513="")),",","")&amp;IF(OR(入力シート!$J$18=入力リスト!$H$9,入力シート!$J$22=入力リスト!$H$9),IF(C513="","入社年月日",""),"")&amp;IF(AND(C513="",D513=""),",","")&amp;IF(D513="","性別","")&amp;IF(IF(A513="","従業員番号","")&amp;IF(B513="","雇用形態","")&amp;IF(OR(入力シート!$J$18=入力リスト!$H$9,入力シート!$J$22=入力リスト!$H$9),IF(C513="","入社年月日",""),"")&amp;IF(D513="","性別","")="","","が空白です。"),IF(J513,"入社年月日に「基準日」の翌日以降の日付が入力されています。","")&amp;IF(I513,"入社年月日に数値以外（又は1900/1/1以前の日付）が入力されています。","")&amp;IF(H513,"雇用形態"&amp;IF(OR(K513,L513),",",""),"")&amp;IF(K513,"性別"&amp;IF(L513,",",""),"")&amp;IF(L513,"役職","")&amp;IF(OR(H513,K513,L513),"に、［入力シート］(4)「貴社」欄と異なる文言が入力されています。","")))))</f>
        <v/>
      </c>
      <c r="O513" s="298" t="str">
        <f>IF(B513="","",VLOOKUP('従業員情報(給与以外)'!$B513,入力シート!$S$37:$Z$62,5,0))</f>
        <v/>
      </c>
      <c r="P513" s="298" t="str">
        <f>IF(ISNUMBER(C513)=FALSE,"",IF(C513&gt;入力シート!$J$24,"",_xlfn.DAYS(入力シート!$J$24,'従業員情報(給与以外)'!$C513)/365))</f>
        <v/>
      </c>
      <c r="Q513" s="298" t="str">
        <f>IF(P513="","",VLOOKUP(_xlfn.DAYS(入力シート!$J$24,'従業員情報(給与以外)'!$C513)/365,入力リスト!$K$18:$L$26,2,2))</f>
        <v/>
      </c>
      <c r="R513" s="298" t="str">
        <f>IF(D513="","",VLOOKUP('従業員情報(給与以外)'!$D513,入力シート!$AW$37:$BB$38,4,0))</f>
        <v/>
      </c>
      <c r="S513" s="298" t="str">
        <f>IF(A513="","",IF(E513="","非役職",VLOOKUP('従業員情報(給与以外)'!$E513,入力シート!$AH$37:$AO$62,5,0)))</f>
        <v/>
      </c>
      <c r="T513" s="299" t="str">
        <f>IF(OR(入力シート!$C$5&lt;&gt;入力リスト!$C$3,COUNTIF(入力シート!$J$16:$S$23,入力リスト!$H$9)=0),"",IF($A513="","",IF(ISERROR(AVERAGEIF(従業員の給与情報!$B:$B,$A513,従業員の給与情報!$C:$C)),0,IF(ISERROR(AVERAGEIF(従業員の給与情報!$B:$B,$A513,従業員の給与情報!$C:$C)),0,AVERAGEIF(従業員の給与情報!$B:$B,$A513,従業員の給与情報!$C:$C)))))</f>
        <v/>
      </c>
      <c r="U513" s="299" t="str">
        <f>IF(OR(入力シート!$C$5&lt;&gt;入力リスト!$C$3,COUNTIF(入力シート!$J$16:$S$23,入力リスト!$H$9)=0),"",IF(A513="","",IF(ISERROR(AVERAGEIF(従業員の給与情報!$B:$B,$A513,従業員の給与情報!$D:$D)),0,IF(ISERROR(AVERAGEIF(従業員の給与情報!$B:$B,$A513,従業員の給与情報!$D:$D)),0,AVERAGEIF(従業員の給与情報!$B:$B,$A513,従業員の給与情報!$D:$D)))))</f>
        <v/>
      </c>
      <c r="V513" s="299" t="str">
        <f>IF(OR(入力シート!$C$5&lt;&gt;入力リスト!$C$3,COUNTIF(入力シート!$J$16:$S$23,入力リスト!$H$9)=0),"",IF(A513="","",IF(ISERROR(AVERAGEIF(従業員の給与情報!$B:$B,$A513,従業員の給与情報!$E:$E)),0,IF(ISERROR(AVERAGEIF(従業員の給与情報!$B:$B,$A513,従業員の給与情報!$E:$E)),0,AVERAGEIF(従業員の給与情報!$B:$B,$A513,従業員の給与情報!$E:$E)))))</f>
        <v/>
      </c>
      <c r="W513" s="299" t="str">
        <f>IF(OR(入力シート!$C$5&lt;&gt;入力リスト!$C$3,COUNTIF(入力シート!$J$16:$S$23,入力リスト!$H$9)=0),"",IF(A513="","",IF(ISERROR(AVERAGEIF(従業員の給与情報!$B:$B,$A513,従業員の給与情報!$F:$F)),0,IF(ISERROR(AVERAGEIF(従業員の給与情報!$B:$B,$A513,従業員の給与情報!$F:$F)),0,AVERAGEIF(従業員の給与情報!$B:$B,$A513,従業員の給与情報!$F:$F)))))</f>
        <v/>
      </c>
      <c r="X513" s="581" t="s">
        <v>5252</v>
      </c>
    </row>
    <row r="514" spans="6:24">
      <c r="F514" s="297" t="str">
        <f>IF($G$1,"",IF(COUNTIF(A514:E514,"")=5,"",IF(G514,入力リスト!$K$28,IF(OR(A514="",B514="",IF(COUNTIF($C$3,"*不要*"),"",C514=""),D514=""),IF(A514="","従業員番号","")&amp;IF(B514="","「雇用形態」","")&amp;IF(OR(入力シート!$J$18=入力リスト!$H$9,入力シート!$J$22=入力リスト!$H$9),IF(C514="","「入社年月日」",""),"")&amp;IF(D514="","「性別」","")&amp;IF(IF(A514="","従業員番号","")&amp;IF(B514="","「雇用形態」","")&amp;IF(OR(入力シート!$J$18=入力リスト!$H$9,入力シート!$J$22=入力リスト!$H$9),IF(C514="","「入社年月日」",""),"")&amp;IF(D514="","「性別」","")="","",入力リスト!$K$29),IF(J514,入力リスト!$K$30,"")&amp;IF(I514,入力リスト!$K$31,"")&amp;IF(H514,"「雇用形態」","")&amp;IF(K514,"「性別」","")&amp;IF(L514,"「役職」","")&amp;IF(OR(H514,K514,L514),入力リスト!$K$32,"")))))</f>
        <v/>
      </c>
      <c r="G514" s="298" t="b">
        <f>COUNTIF($A$4:A513,$A514)&gt;0</f>
        <v>0</v>
      </c>
      <c r="H514" s="298" t="b">
        <f>IF($H$1,FALSE,COUNTIF(入力シート!$S$37:$V$62,B514)=0)</f>
        <v>0</v>
      </c>
      <c r="I514" s="298" t="b">
        <f t="shared" si="17"/>
        <v>0</v>
      </c>
      <c r="J514" s="298" t="b">
        <f>IF($J$1,FALSE,IF(I514=TRUE,FALSE,IF(I514,FALSE,C514&gt;入力シート!$J$24)))</f>
        <v>0</v>
      </c>
      <c r="K514" s="298" t="b">
        <f>IF($K$1,FALSE,COUNTIF(入力シート!$AW$37:$BB$38,D514)=0)</f>
        <v>0</v>
      </c>
      <c r="L514" s="298" t="b">
        <f>IF($L$1,FALSE,IF($L$3,FALSE,IF(E514="",FALSE,COUNTIF(入力シート!$AH$37:$AK$62,E514)=0)))</f>
        <v>0</v>
      </c>
      <c r="M514" s="298" t="str">
        <f t="shared" si="18"/>
        <v/>
      </c>
      <c r="N514" s="298" t="str">
        <f>IF(G514,"この従業員番号は、すでに他のセルで入力されています。",IF(入力シート!$C$5=入力リスト!$C$4,"",IF(AND(A514="",B514="",C514="",D514="",E514=""),"",IF(OR(A514="",B514="",C514="",D514=""),IF(A514="","従業員番号","")&amp;IF(AND(A514="",OR(B514="",C514="",D514="")),",","")&amp;IF(B514="","雇用形態","")&amp;IF(AND(B514="",OR(C514="",D514="")),",","")&amp;IF(OR(入力シート!$J$18=入力リスト!$H$9,入力シート!$J$22=入力リスト!$H$9),IF(C514="","入社年月日",""),"")&amp;IF(AND(C514="",D514=""),",","")&amp;IF(D514="","性別","")&amp;IF(IF(A514="","従業員番号","")&amp;IF(B514="","雇用形態","")&amp;IF(OR(入力シート!$J$18=入力リスト!$H$9,入力シート!$J$22=入力リスト!$H$9),IF(C514="","入社年月日",""),"")&amp;IF(D514="","性別","")="","","が空白です。"),IF(J514,"入社年月日に「基準日」の翌日以降の日付が入力されています。","")&amp;IF(I514,"入社年月日に数値以外（又は1900/1/1以前の日付）が入力されています。","")&amp;IF(H514,"雇用形態"&amp;IF(OR(K514,L514),",",""),"")&amp;IF(K514,"性別"&amp;IF(L514,",",""),"")&amp;IF(L514,"役職","")&amp;IF(OR(H514,K514,L514),"に、［入力シート］(4)「貴社」欄と異なる文言が入力されています。","")))))</f>
        <v/>
      </c>
      <c r="O514" s="298" t="str">
        <f>IF(B514="","",VLOOKUP('従業員情報(給与以外)'!$B514,入力シート!$S$37:$Z$62,5,0))</f>
        <v/>
      </c>
      <c r="P514" s="298" t="str">
        <f>IF(ISNUMBER(C514)=FALSE,"",IF(C514&gt;入力シート!$J$24,"",_xlfn.DAYS(入力シート!$J$24,'従業員情報(給与以外)'!$C514)/365))</f>
        <v/>
      </c>
      <c r="Q514" s="298" t="str">
        <f>IF(P514="","",VLOOKUP(_xlfn.DAYS(入力シート!$J$24,'従業員情報(給与以外)'!$C514)/365,入力リスト!$K$18:$L$26,2,2))</f>
        <v/>
      </c>
      <c r="R514" s="298" t="str">
        <f>IF(D514="","",VLOOKUP('従業員情報(給与以外)'!$D514,入力シート!$AW$37:$BB$38,4,0))</f>
        <v/>
      </c>
      <c r="S514" s="298" t="str">
        <f>IF(A514="","",IF(E514="","非役職",VLOOKUP('従業員情報(給与以外)'!$E514,入力シート!$AH$37:$AO$62,5,0)))</f>
        <v/>
      </c>
      <c r="T514" s="299" t="str">
        <f>IF(OR(入力シート!$C$5&lt;&gt;入力リスト!$C$3,COUNTIF(入力シート!$J$16:$S$23,入力リスト!$H$9)=0),"",IF($A514="","",IF(ISERROR(AVERAGEIF(従業員の給与情報!$B:$B,$A514,従業員の給与情報!$C:$C)),0,IF(ISERROR(AVERAGEIF(従業員の給与情報!$B:$B,$A514,従業員の給与情報!$C:$C)),0,AVERAGEIF(従業員の給与情報!$B:$B,$A514,従業員の給与情報!$C:$C)))))</f>
        <v/>
      </c>
      <c r="U514" s="299" t="str">
        <f>IF(OR(入力シート!$C$5&lt;&gt;入力リスト!$C$3,COUNTIF(入力シート!$J$16:$S$23,入力リスト!$H$9)=0),"",IF(A514="","",IF(ISERROR(AVERAGEIF(従業員の給与情報!$B:$B,$A514,従業員の給与情報!$D:$D)),0,IF(ISERROR(AVERAGEIF(従業員の給与情報!$B:$B,$A514,従業員の給与情報!$D:$D)),0,AVERAGEIF(従業員の給与情報!$B:$B,$A514,従業員の給与情報!$D:$D)))))</f>
        <v/>
      </c>
      <c r="V514" s="299" t="str">
        <f>IF(OR(入力シート!$C$5&lt;&gt;入力リスト!$C$3,COUNTIF(入力シート!$J$16:$S$23,入力リスト!$H$9)=0),"",IF(A514="","",IF(ISERROR(AVERAGEIF(従業員の給与情報!$B:$B,$A514,従業員の給与情報!$E:$E)),0,IF(ISERROR(AVERAGEIF(従業員の給与情報!$B:$B,$A514,従業員の給与情報!$E:$E)),0,AVERAGEIF(従業員の給与情報!$B:$B,$A514,従業員の給与情報!$E:$E)))))</f>
        <v/>
      </c>
      <c r="W514" s="299" t="str">
        <f>IF(OR(入力シート!$C$5&lt;&gt;入力リスト!$C$3,COUNTIF(入力シート!$J$16:$S$23,入力リスト!$H$9)=0),"",IF(A514="","",IF(ISERROR(AVERAGEIF(従業員の給与情報!$B:$B,$A514,従業員の給与情報!$F:$F)),0,IF(ISERROR(AVERAGEIF(従業員の給与情報!$B:$B,$A514,従業員の給与情報!$F:$F)),0,AVERAGEIF(従業員の給与情報!$B:$B,$A514,従業員の給与情報!$F:$F)))))</f>
        <v/>
      </c>
      <c r="X514" s="581" t="s">
        <v>5253</v>
      </c>
    </row>
    <row r="515" spans="6:24">
      <c r="F515" s="297" t="str">
        <f>IF($G$1,"",IF(COUNTIF(A515:E515,"")=5,"",IF(G515,入力リスト!$K$28,IF(OR(A515="",B515="",IF(COUNTIF($C$3,"*不要*"),"",C515=""),D515=""),IF(A515="","従業員番号","")&amp;IF(B515="","「雇用形態」","")&amp;IF(OR(入力シート!$J$18=入力リスト!$H$9,入力シート!$J$22=入力リスト!$H$9),IF(C515="","「入社年月日」",""),"")&amp;IF(D515="","「性別」","")&amp;IF(IF(A515="","従業員番号","")&amp;IF(B515="","「雇用形態」","")&amp;IF(OR(入力シート!$J$18=入力リスト!$H$9,入力シート!$J$22=入力リスト!$H$9),IF(C515="","「入社年月日」",""),"")&amp;IF(D515="","「性別」","")="","",入力リスト!$K$29),IF(J515,入力リスト!$K$30,"")&amp;IF(I515,入力リスト!$K$31,"")&amp;IF(H515,"「雇用形態」","")&amp;IF(K515,"「性別」","")&amp;IF(L515,"「役職」","")&amp;IF(OR(H515,K515,L515),入力リスト!$K$32,"")))))</f>
        <v/>
      </c>
      <c r="G515" s="298" t="b">
        <f>COUNTIF($A$4:A514,$A515)&gt;0</f>
        <v>0</v>
      </c>
      <c r="H515" s="298" t="b">
        <f>IF($H$1,FALSE,COUNTIF(入力シート!$S$37:$V$62,B515)=0)</f>
        <v>0</v>
      </c>
      <c r="I515" s="298" t="b">
        <f t="shared" si="17"/>
        <v>0</v>
      </c>
      <c r="J515" s="298" t="b">
        <f>IF($J$1,FALSE,IF(I515=TRUE,FALSE,IF(I515,FALSE,C515&gt;入力シート!$J$24)))</f>
        <v>0</v>
      </c>
      <c r="K515" s="298" t="b">
        <f>IF($K$1,FALSE,COUNTIF(入力シート!$AW$37:$BB$38,D515)=0)</f>
        <v>0</v>
      </c>
      <c r="L515" s="298" t="b">
        <f>IF($L$1,FALSE,IF($L$3,FALSE,IF(E515="",FALSE,COUNTIF(入力シート!$AH$37:$AK$62,E515)=0)))</f>
        <v>0</v>
      </c>
      <c r="M515" s="298" t="str">
        <f t="shared" si="18"/>
        <v/>
      </c>
      <c r="N515" s="298" t="str">
        <f>IF(G515,"この従業員番号は、すでに他のセルで入力されています。",IF(入力シート!$C$5=入力リスト!$C$4,"",IF(AND(A515="",B515="",C515="",D515="",E515=""),"",IF(OR(A515="",B515="",C515="",D515=""),IF(A515="","従業員番号","")&amp;IF(AND(A515="",OR(B515="",C515="",D515="")),",","")&amp;IF(B515="","雇用形態","")&amp;IF(AND(B515="",OR(C515="",D515="")),",","")&amp;IF(OR(入力シート!$J$18=入力リスト!$H$9,入力シート!$J$22=入力リスト!$H$9),IF(C515="","入社年月日",""),"")&amp;IF(AND(C515="",D515=""),",","")&amp;IF(D515="","性別","")&amp;IF(IF(A515="","従業員番号","")&amp;IF(B515="","雇用形態","")&amp;IF(OR(入力シート!$J$18=入力リスト!$H$9,入力シート!$J$22=入力リスト!$H$9),IF(C515="","入社年月日",""),"")&amp;IF(D515="","性別","")="","","が空白です。"),IF(J515,"入社年月日に「基準日」の翌日以降の日付が入力されています。","")&amp;IF(I515,"入社年月日に数値以外（又は1900/1/1以前の日付）が入力されています。","")&amp;IF(H515,"雇用形態"&amp;IF(OR(K515,L515),",",""),"")&amp;IF(K515,"性別"&amp;IF(L515,",",""),"")&amp;IF(L515,"役職","")&amp;IF(OR(H515,K515,L515),"に、［入力シート］(4)「貴社」欄と異なる文言が入力されています。","")))))</f>
        <v/>
      </c>
      <c r="O515" s="298" t="str">
        <f>IF(B515="","",VLOOKUP('従業員情報(給与以外)'!$B515,入力シート!$S$37:$Z$62,5,0))</f>
        <v/>
      </c>
      <c r="P515" s="298" t="str">
        <f>IF(ISNUMBER(C515)=FALSE,"",IF(C515&gt;入力シート!$J$24,"",_xlfn.DAYS(入力シート!$J$24,'従業員情報(給与以外)'!$C515)/365))</f>
        <v/>
      </c>
      <c r="Q515" s="298" t="str">
        <f>IF(P515="","",VLOOKUP(_xlfn.DAYS(入力シート!$J$24,'従業員情報(給与以外)'!$C515)/365,入力リスト!$K$18:$L$26,2,2))</f>
        <v/>
      </c>
      <c r="R515" s="298" t="str">
        <f>IF(D515="","",VLOOKUP('従業員情報(給与以外)'!$D515,入力シート!$AW$37:$BB$38,4,0))</f>
        <v/>
      </c>
      <c r="S515" s="298" t="str">
        <f>IF(A515="","",IF(E515="","非役職",VLOOKUP('従業員情報(給与以外)'!$E515,入力シート!$AH$37:$AO$62,5,0)))</f>
        <v/>
      </c>
      <c r="T515" s="299" t="str">
        <f>IF(OR(入力シート!$C$5&lt;&gt;入力リスト!$C$3,COUNTIF(入力シート!$J$16:$S$23,入力リスト!$H$9)=0),"",IF($A515="","",IF(ISERROR(AVERAGEIF(従業員の給与情報!$B:$B,$A515,従業員の給与情報!$C:$C)),0,IF(ISERROR(AVERAGEIF(従業員の給与情報!$B:$B,$A515,従業員の給与情報!$C:$C)),0,AVERAGEIF(従業員の給与情報!$B:$B,$A515,従業員の給与情報!$C:$C)))))</f>
        <v/>
      </c>
      <c r="U515" s="299" t="str">
        <f>IF(OR(入力シート!$C$5&lt;&gt;入力リスト!$C$3,COUNTIF(入力シート!$J$16:$S$23,入力リスト!$H$9)=0),"",IF(A515="","",IF(ISERROR(AVERAGEIF(従業員の給与情報!$B:$B,$A515,従業員の給与情報!$D:$D)),0,IF(ISERROR(AVERAGEIF(従業員の給与情報!$B:$B,$A515,従業員の給与情報!$D:$D)),0,AVERAGEIF(従業員の給与情報!$B:$B,$A515,従業員の給与情報!$D:$D)))))</f>
        <v/>
      </c>
      <c r="V515" s="299" t="str">
        <f>IF(OR(入力シート!$C$5&lt;&gt;入力リスト!$C$3,COUNTIF(入力シート!$J$16:$S$23,入力リスト!$H$9)=0),"",IF(A515="","",IF(ISERROR(AVERAGEIF(従業員の給与情報!$B:$B,$A515,従業員の給与情報!$E:$E)),0,IF(ISERROR(AVERAGEIF(従業員の給与情報!$B:$B,$A515,従業員の給与情報!$E:$E)),0,AVERAGEIF(従業員の給与情報!$B:$B,$A515,従業員の給与情報!$E:$E)))))</f>
        <v/>
      </c>
      <c r="W515" s="299" t="str">
        <f>IF(OR(入力シート!$C$5&lt;&gt;入力リスト!$C$3,COUNTIF(入力シート!$J$16:$S$23,入力リスト!$H$9)=0),"",IF(A515="","",IF(ISERROR(AVERAGEIF(従業員の給与情報!$B:$B,$A515,従業員の給与情報!$F:$F)),0,IF(ISERROR(AVERAGEIF(従業員の給与情報!$B:$B,$A515,従業員の給与情報!$F:$F)),0,AVERAGEIF(従業員の給与情報!$B:$B,$A515,従業員の給与情報!$F:$F)))))</f>
        <v/>
      </c>
      <c r="X515" s="581" t="s">
        <v>5254</v>
      </c>
    </row>
    <row r="516" spans="6:24">
      <c r="F516" s="297" t="str">
        <f>IF($G$1,"",IF(COUNTIF(A516:E516,"")=5,"",IF(G516,入力リスト!$K$28,IF(OR(A516="",B516="",IF(COUNTIF($C$3,"*不要*"),"",C516=""),D516=""),IF(A516="","従業員番号","")&amp;IF(B516="","「雇用形態」","")&amp;IF(OR(入力シート!$J$18=入力リスト!$H$9,入力シート!$J$22=入力リスト!$H$9),IF(C516="","「入社年月日」",""),"")&amp;IF(D516="","「性別」","")&amp;IF(IF(A516="","従業員番号","")&amp;IF(B516="","「雇用形態」","")&amp;IF(OR(入力シート!$J$18=入力リスト!$H$9,入力シート!$J$22=入力リスト!$H$9),IF(C516="","「入社年月日」",""),"")&amp;IF(D516="","「性別」","")="","",入力リスト!$K$29),IF(J516,入力リスト!$K$30,"")&amp;IF(I516,入力リスト!$K$31,"")&amp;IF(H516,"「雇用形態」","")&amp;IF(K516,"「性別」","")&amp;IF(L516,"「役職」","")&amp;IF(OR(H516,K516,L516),入力リスト!$K$32,"")))))</f>
        <v/>
      </c>
      <c r="G516" s="298" t="b">
        <f>COUNTIF($A$4:A515,$A516)&gt;0</f>
        <v>0</v>
      </c>
      <c r="H516" s="298" t="b">
        <f>IF($H$1,FALSE,COUNTIF(入力シート!$S$37:$V$62,B516)=0)</f>
        <v>0</v>
      </c>
      <c r="I516" s="298" t="b">
        <f t="shared" si="17"/>
        <v>0</v>
      </c>
      <c r="J516" s="298" t="b">
        <f>IF($J$1,FALSE,IF(I516=TRUE,FALSE,IF(I516,FALSE,C516&gt;入力シート!$J$24)))</f>
        <v>0</v>
      </c>
      <c r="K516" s="298" t="b">
        <f>IF($K$1,FALSE,COUNTIF(入力シート!$AW$37:$BB$38,D516)=0)</f>
        <v>0</v>
      </c>
      <c r="L516" s="298" t="b">
        <f>IF($L$1,FALSE,IF($L$3,FALSE,IF(E516="",FALSE,COUNTIF(入力シート!$AH$37:$AK$62,E516)=0)))</f>
        <v>0</v>
      </c>
      <c r="M516" s="298" t="str">
        <f t="shared" si="18"/>
        <v/>
      </c>
      <c r="N516" s="298" t="str">
        <f>IF(G516,"この従業員番号は、すでに他のセルで入力されています。",IF(入力シート!$C$5=入力リスト!$C$4,"",IF(AND(A516="",B516="",C516="",D516="",E516=""),"",IF(OR(A516="",B516="",C516="",D516=""),IF(A516="","従業員番号","")&amp;IF(AND(A516="",OR(B516="",C516="",D516="")),",","")&amp;IF(B516="","雇用形態","")&amp;IF(AND(B516="",OR(C516="",D516="")),",","")&amp;IF(OR(入力シート!$J$18=入力リスト!$H$9,入力シート!$J$22=入力リスト!$H$9),IF(C516="","入社年月日",""),"")&amp;IF(AND(C516="",D516=""),",","")&amp;IF(D516="","性別","")&amp;IF(IF(A516="","従業員番号","")&amp;IF(B516="","雇用形態","")&amp;IF(OR(入力シート!$J$18=入力リスト!$H$9,入力シート!$J$22=入力リスト!$H$9),IF(C516="","入社年月日",""),"")&amp;IF(D516="","性別","")="","","が空白です。"),IF(J516,"入社年月日に「基準日」の翌日以降の日付が入力されています。","")&amp;IF(I516,"入社年月日に数値以外（又は1900/1/1以前の日付）が入力されています。","")&amp;IF(H516,"雇用形態"&amp;IF(OR(K516,L516),",",""),"")&amp;IF(K516,"性別"&amp;IF(L516,",",""),"")&amp;IF(L516,"役職","")&amp;IF(OR(H516,K516,L516),"に、［入力シート］(4)「貴社」欄と異なる文言が入力されています。","")))))</f>
        <v/>
      </c>
      <c r="O516" s="298" t="str">
        <f>IF(B516="","",VLOOKUP('従業員情報(給与以外)'!$B516,入力シート!$S$37:$Z$62,5,0))</f>
        <v/>
      </c>
      <c r="P516" s="298" t="str">
        <f>IF(ISNUMBER(C516)=FALSE,"",IF(C516&gt;入力シート!$J$24,"",_xlfn.DAYS(入力シート!$J$24,'従業員情報(給与以外)'!$C516)/365))</f>
        <v/>
      </c>
      <c r="Q516" s="298" t="str">
        <f>IF(P516="","",VLOOKUP(_xlfn.DAYS(入力シート!$J$24,'従業員情報(給与以外)'!$C516)/365,入力リスト!$K$18:$L$26,2,2))</f>
        <v/>
      </c>
      <c r="R516" s="298" t="str">
        <f>IF(D516="","",VLOOKUP('従業員情報(給与以外)'!$D516,入力シート!$AW$37:$BB$38,4,0))</f>
        <v/>
      </c>
      <c r="S516" s="298" t="str">
        <f>IF(A516="","",IF(E516="","非役職",VLOOKUP('従業員情報(給与以外)'!$E516,入力シート!$AH$37:$AO$62,5,0)))</f>
        <v/>
      </c>
      <c r="T516" s="299" t="str">
        <f>IF(OR(入力シート!$C$5&lt;&gt;入力リスト!$C$3,COUNTIF(入力シート!$J$16:$S$23,入力リスト!$H$9)=0),"",IF($A516="","",IF(ISERROR(AVERAGEIF(従業員の給与情報!$B:$B,$A516,従業員の給与情報!$C:$C)),0,IF(ISERROR(AVERAGEIF(従業員の給与情報!$B:$B,$A516,従業員の給与情報!$C:$C)),0,AVERAGEIF(従業員の給与情報!$B:$B,$A516,従業員の給与情報!$C:$C)))))</f>
        <v/>
      </c>
      <c r="U516" s="299" t="str">
        <f>IF(OR(入力シート!$C$5&lt;&gt;入力リスト!$C$3,COUNTIF(入力シート!$J$16:$S$23,入力リスト!$H$9)=0),"",IF(A516="","",IF(ISERROR(AVERAGEIF(従業員の給与情報!$B:$B,$A516,従業員の給与情報!$D:$D)),0,IF(ISERROR(AVERAGEIF(従業員の給与情報!$B:$B,$A516,従業員の給与情報!$D:$D)),0,AVERAGEIF(従業員の給与情報!$B:$B,$A516,従業員の給与情報!$D:$D)))))</f>
        <v/>
      </c>
      <c r="V516" s="299" t="str">
        <f>IF(OR(入力シート!$C$5&lt;&gt;入力リスト!$C$3,COUNTIF(入力シート!$J$16:$S$23,入力リスト!$H$9)=0),"",IF(A516="","",IF(ISERROR(AVERAGEIF(従業員の給与情報!$B:$B,$A516,従業員の給与情報!$E:$E)),0,IF(ISERROR(AVERAGEIF(従業員の給与情報!$B:$B,$A516,従業員の給与情報!$E:$E)),0,AVERAGEIF(従業員の給与情報!$B:$B,$A516,従業員の給与情報!$E:$E)))))</f>
        <v/>
      </c>
      <c r="W516" s="299" t="str">
        <f>IF(OR(入力シート!$C$5&lt;&gt;入力リスト!$C$3,COUNTIF(入力シート!$J$16:$S$23,入力リスト!$H$9)=0),"",IF(A516="","",IF(ISERROR(AVERAGEIF(従業員の給与情報!$B:$B,$A516,従業員の給与情報!$F:$F)),0,IF(ISERROR(AVERAGEIF(従業員の給与情報!$B:$B,$A516,従業員の給与情報!$F:$F)),0,AVERAGEIF(従業員の給与情報!$B:$B,$A516,従業員の給与情報!$F:$F)))))</f>
        <v/>
      </c>
      <c r="X516" s="581" t="s">
        <v>5255</v>
      </c>
    </row>
    <row r="517" spans="6:24">
      <c r="F517" s="297" t="str">
        <f>IF($G$1,"",IF(COUNTIF(A517:E517,"")=5,"",IF(G517,入力リスト!$K$28,IF(OR(A517="",B517="",IF(COUNTIF($C$3,"*不要*"),"",C517=""),D517=""),IF(A517="","従業員番号","")&amp;IF(B517="","「雇用形態」","")&amp;IF(OR(入力シート!$J$18=入力リスト!$H$9,入力シート!$J$22=入力リスト!$H$9),IF(C517="","「入社年月日」",""),"")&amp;IF(D517="","「性別」","")&amp;IF(IF(A517="","従業員番号","")&amp;IF(B517="","「雇用形態」","")&amp;IF(OR(入力シート!$J$18=入力リスト!$H$9,入力シート!$J$22=入力リスト!$H$9),IF(C517="","「入社年月日」",""),"")&amp;IF(D517="","「性別」","")="","",入力リスト!$K$29),IF(J517,入力リスト!$K$30,"")&amp;IF(I517,入力リスト!$K$31,"")&amp;IF(H517,"「雇用形態」","")&amp;IF(K517,"「性別」","")&amp;IF(L517,"「役職」","")&amp;IF(OR(H517,K517,L517),入力リスト!$K$32,"")))))</f>
        <v/>
      </c>
      <c r="G517" s="298" t="b">
        <f>COUNTIF($A$4:A516,$A517)&gt;0</f>
        <v>0</v>
      </c>
      <c r="H517" s="298" t="b">
        <f>IF($H$1,FALSE,COUNTIF(入力シート!$S$37:$V$62,B517)=0)</f>
        <v>0</v>
      </c>
      <c r="I517" s="298" t="b">
        <f t="shared" si="17"/>
        <v>0</v>
      </c>
      <c r="J517" s="298" t="b">
        <f>IF($J$1,FALSE,IF(I517=TRUE,FALSE,IF(I517,FALSE,C517&gt;入力シート!$J$24)))</f>
        <v>0</v>
      </c>
      <c r="K517" s="298" t="b">
        <f>IF($K$1,FALSE,COUNTIF(入力シート!$AW$37:$BB$38,D517)=0)</f>
        <v>0</v>
      </c>
      <c r="L517" s="298" t="b">
        <f>IF($L$1,FALSE,IF($L$3,FALSE,IF(E517="",FALSE,COUNTIF(入力シート!$AH$37:$AK$62,E517)=0)))</f>
        <v>0</v>
      </c>
      <c r="M517" s="298" t="str">
        <f t="shared" si="18"/>
        <v/>
      </c>
      <c r="N517" s="298" t="str">
        <f>IF(G517,"この従業員番号は、すでに他のセルで入力されています。",IF(入力シート!$C$5=入力リスト!$C$4,"",IF(AND(A517="",B517="",C517="",D517="",E517=""),"",IF(OR(A517="",B517="",C517="",D517=""),IF(A517="","従業員番号","")&amp;IF(AND(A517="",OR(B517="",C517="",D517="")),",","")&amp;IF(B517="","雇用形態","")&amp;IF(AND(B517="",OR(C517="",D517="")),",","")&amp;IF(OR(入力シート!$J$18=入力リスト!$H$9,入力シート!$J$22=入力リスト!$H$9),IF(C517="","入社年月日",""),"")&amp;IF(AND(C517="",D517=""),",","")&amp;IF(D517="","性別","")&amp;IF(IF(A517="","従業員番号","")&amp;IF(B517="","雇用形態","")&amp;IF(OR(入力シート!$J$18=入力リスト!$H$9,入力シート!$J$22=入力リスト!$H$9),IF(C517="","入社年月日",""),"")&amp;IF(D517="","性別","")="","","が空白です。"),IF(J517,"入社年月日に「基準日」の翌日以降の日付が入力されています。","")&amp;IF(I517,"入社年月日に数値以外（又は1900/1/1以前の日付）が入力されています。","")&amp;IF(H517,"雇用形態"&amp;IF(OR(K517,L517),",",""),"")&amp;IF(K517,"性別"&amp;IF(L517,",",""),"")&amp;IF(L517,"役職","")&amp;IF(OR(H517,K517,L517),"に、［入力シート］(4)「貴社」欄と異なる文言が入力されています。","")))))</f>
        <v/>
      </c>
      <c r="O517" s="298" t="str">
        <f>IF(B517="","",VLOOKUP('従業員情報(給与以外)'!$B517,入力シート!$S$37:$Z$62,5,0))</f>
        <v/>
      </c>
      <c r="P517" s="298" t="str">
        <f>IF(ISNUMBER(C517)=FALSE,"",IF(C517&gt;入力シート!$J$24,"",_xlfn.DAYS(入力シート!$J$24,'従業員情報(給与以外)'!$C517)/365))</f>
        <v/>
      </c>
      <c r="Q517" s="298" t="str">
        <f>IF(P517="","",VLOOKUP(_xlfn.DAYS(入力シート!$J$24,'従業員情報(給与以外)'!$C517)/365,入力リスト!$K$18:$L$26,2,2))</f>
        <v/>
      </c>
      <c r="R517" s="298" t="str">
        <f>IF(D517="","",VLOOKUP('従業員情報(給与以外)'!$D517,入力シート!$AW$37:$BB$38,4,0))</f>
        <v/>
      </c>
      <c r="S517" s="298" t="str">
        <f>IF(A517="","",IF(E517="","非役職",VLOOKUP('従業員情報(給与以外)'!$E517,入力シート!$AH$37:$AO$62,5,0)))</f>
        <v/>
      </c>
      <c r="T517" s="299" t="str">
        <f>IF(OR(入力シート!$C$5&lt;&gt;入力リスト!$C$3,COUNTIF(入力シート!$J$16:$S$23,入力リスト!$H$9)=0),"",IF($A517="","",IF(ISERROR(AVERAGEIF(従業員の給与情報!$B:$B,$A517,従業員の給与情報!$C:$C)),0,IF(ISERROR(AVERAGEIF(従業員の給与情報!$B:$B,$A517,従業員の給与情報!$C:$C)),0,AVERAGEIF(従業員の給与情報!$B:$B,$A517,従業員の給与情報!$C:$C)))))</f>
        <v/>
      </c>
      <c r="U517" s="299" t="str">
        <f>IF(OR(入力シート!$C$5&lt;&gt;入力リスト!$C$3,COUNTIF(入力シート!$J$16:$S$23,入力リスト!$H$9)=0),"",IF(A517="","",IF(ISERROR(AVERAGEIF(従業員の給与情報!$B:$B,$A517,従業員の給与情報!$D:$D)),0,IF(ISERROR(AVERAGEIF(従業員の給与情報!$B:$B,$A517,従業員の給与情報!$D:$D)),0,AVERAGEIF(従業員の給与情報!$B:$B,$A517,従業員の給与情報!$D:$D)))))</f>
        <v/>
      </c>
      <c r="V517" s="299" t="str">
        <f>IF(OR(入力シート!$C$5&lt;&gt;入力リスト!$C$3,COUNTIF(入力シート!$J$16:$S$23,入力リスト!$H$9)=0),"",IF(A517="","",IF(ISERROR(AVERAGEIF(従業員の給与情報!$B:$B,$A517,従業員の給与情報!$E:$E)),0,IF(ISERROR(AVERAGEIF(従業員の給与情報!$B:$B,$A517,従業員の給与情報!$E:$E)),0,AVERAGEIF(従業員の給与情報!$B:$B,$A517,従業員の給与情報!$E:$E)))))</f>
        <v/>
      </c>
      <c r="W517" s="299" t="str">
        <f>IF(OR(入力シート!$C$5&lt;&gt;入力リスト!$C$3,COUNTIF(入力シート!$J$16:$S$23,入力リスト!$H$9)=0),"",IF(A517="","",IF(ISERROR(AVERAGEIF(従業員の給与情報!$B:$B,$A517,従業員の給与情報!$F:$F)),0,IF(ISERROR(AVERAGEIF(従業員の給与情報!$B:$B,$A517,従業員の給与情報!$F:$F)),0,AVERAGEIF(従業員の給与情報!$B:$B,$A517,従業員の給与情報!$F:$F)))))</f>
        <v/>
      </c>
      <c r="X517" s="581" t="s">
        <v>5256</v>
      </c>
    </row>
    <row r="518" spans="6:24">
      <c r="F518" s="297" t="str">
        <f>IF($G$1,"",IF(COUNTIF(A518:E518,"")=5,"",IF(G518,入力リスト!$K$28,IF(OR(A518="",B518="",IF(COUNTIF($C$3,"*不要*"),"",C518=""),D518=""),IF(A518="","従業員番号","")&amp;IF(B518="","「雇用形態」","")&amp;IF(OR(入力シート!$J$18=入力リスト!$H$9,入力シート!$J$22=入力リスト!$H$9),IF(C518="","「入社年月日」",""),"")&amp;IF(D518="","「性別」","")&amp;IF(IF(A518="","従業員番号","")&amp;IF(B518="","「雇用形態」","")&amp;IF(OR(入力シート!$J$18=入力リスト!$H$9,入力シート!$J$22=入力リスト!$H$9),IF(C518="","「入社年月日」",""),"")&amp;IF(D518="","「性別」","")="","",入力リスト!$K$29),IF(J518,入力リスト!$K$30,"")&amp;IF(I518,入力リスト!$K$31,"")&amp;IF(H518,"「雇用形態」","")&amp;IF(K518,"「性別」","")&amp;IF(L518,"「役職」","")&amp;IF(OR(H518,K518,L518),入力リスト!$K$32,"")))))</f>
        <v/>
      </c>
      <c r="G518" s="298" t="b">
        <f>COUNTIF($A$4:A517,$A518)&gt;0</f>
        <v>0</v>
      </c>
      <c r="H518" s="298" t="b">
        <f>IF($H$1,FALSE,COUNTIF(入力シート!$S$37:$V$62,B518)=0)</f>
        <v>0</v>
      </c>
      <c r="I518" s="298" t="b">
        <f t="shared" si="17"/>
        <v>0</v>
      </c>
      <c r="J518" s="298" t="b">
        <f>IF($J$1,FALSE,IF(I518=TRUE,FALSE,IF(I518,FALSE,C518&gt;入力シート!$J$24)))</f>
        <v>0</v>
      </c>
      <c r="K518" s="298" t="b">
        <f>IF($K$1,FALSE,COUNTIF(入力シート!$AW$37:$BB$38,D518)=0)</f>
        <v>0</v>
      </c>
      <c r="L518" s="298" t="b">
        <f>IF($L$1,FALSE,IF($L$3,FALSE,IF(E518="",FALSE,COUNTIF(入力シート!$AH$37:$AK$62,E518)=0)))</f>
        <v>0</v>
      </c>
      <c r="M518" s="298" t="str">
        <f t="shared" si="18"/>
        <v/>
      </c>
      <c r="N518" s="298" t="str">
        <f>IF(G518,"この従業員番号は、すでに他のセルで入力されています。",IF(入力シート!$C$5=入力リスト!$C$4,"",IF(AND(A518="",B518="",C518="",D518="",E518=""),"",IF(OR(A518="",B518="",C518="",D518=""),IF(A518="","従業員番号","")&amp;IF(AND(A518="",OR(B518="",C518="",D518="")),",","")&amp;IF(B518="","雇用形態","")&amp;IF(AND(B518="",OR(C518="",D518="")),",","")&amp;IF(OR(入力シート!$J$18=入力リスト!$H$9,入力シート!$J$22=入力リスト!$H$9),IF(C518="","入社年月日",""),"")&amp;IF(AND(C518="",D518=""),",","")&amp;IF(D518="","性別","")&amp;IF(IF(A518="","従業員番号","")&amp;IF(B518="","雇用形態","")&amp;IF(OR(入力シート!$J$18=入力リスト!$H$9,入力シート!$J$22=入力リスト!$H$9),IF(C518="","入社年月日",""),"")&amp;IF(D518="","性別","")="","","が空白です。"),IF(J518,"入社年月日に「基準日」の翌日以降の日付が入力されています。","")&amp;IF(I518,"入社年月日に数値以外（又は1900/1/1以前の日付）が入力されています。","")&amp;IF(H518,"雇用形態"&amp;IF(OR(K518,L518),",",""),"")&amp;IF(K518,"性別"&amp;IF(L518,",",""),"")&amp;IF(L518,"役職","")&amp;IF(OR(H518,K518,L518),"に、［入力シート］(4)「貴社」欄と異なる文言が入力されています。","")))))</f>
        <v/>
      </c>
      <c r="O518" s="298" t="str">
        <f>IF(B518="","",VLOOKUP('従業員情報(給与以外)'!$B518,入力シート!$S$37:$Z$62,5,0))</f>
        <v/>
      </c>
      <c r="P518" s="298" t="str">
        <f>IF(ISNUMBER(C518)=FALSE,"",IF(C518&gt;入力シート!$J$24,"",_xlfn.DAYS(入力シート!$J$24,'従業員情報(給与以外)'!$C518)/365))</f>
        <v/>
      </c>
      <c r="Q518" s="298" t="str">
        <f>IF(P518="","",VLOOKUP(_xlfn.DAYS(入力シート!$J$24,'従業員情報(給与以外)'!$C518)/365,入力リスト!$K$18:$L$26,2,2))</f>
        <v/>
      </c>
      <c r="R518" s="298" t="str">
        <f>IF(D518="","",VLOOKUP('従業員情報(給与以外)'!$D518,入力シート!$AW$37:$BB$38,4,0))</f>
        <v/>
      </c>
      <c r="S518" s="298" t="str">
        <f>IF(A518="","",IF(E518="","非役職",VLOOKUP('従業員情報(給与以外)'!$E518,入力シート!$AH$37:$AO$62,5,0)))</f>
        <v/>
      </c>
      <c r="T518" s="299" t="str">
        <f>IF(OR(入力シート!$C$5&lt;&gt;入力リスト!$C$3,COUNTIF(入力シート!$J$16:$S$23,入力リスト!$H$9)=0),"",IF($A518="","",IF(ISERROR(AVERAGEIF(従業員の給与情報!$B:$B,$A518,従業員の給与情報!$C:$C)),0,IF(ISERROR(AVERAGEIF(従業員の給与情報!$B:$B,$A518,従業員の給与情報!$C:$C)),0,AVERAGEIF(従業員の給与情報!$B:$B,$A518,従業員の給与情報!$C:$C)))))</f>
        <v/>
      </c>
      <c r="U518" s="299" t="str">
        <f>IF(OR(入力シート!$C$5&lt;&gt;入力リスト!$C$3,COUNTIF(入力シート!$J$16:$S$23,入力リスト!$H$9)=0),"",IF(A518="","",IF(ISERROR(AVERAGEIF(従業員の給与情報!$B:$B,$A518,従業員の給与情報!$D:$D)),0,IF(ISERROR(AVERAGEIF(従業員の給与情報!$B:$B,$A518,従業員の給与情報!$D:$D)),0,AVERAGEIF(従業員の給与情報!$B:$B,$A518,従業員の給与情報!$D:$D)))))</f>
        <v/>
      </c>
      <c r="V518" s="299" t="str">
        <f>IF(OR(入力シート!$C$5&lt;&gt;入力リスト!$C$3,COUNTIF(入力シート!$J$16:$S$23,入力リスト!$H$9)=0),"",IF(A518="","",IF(ISERROR(AVERAGEIF(従業員の給与情報!$B:$B,$A518,従業員の給与情報!$E:$E)),0,IF(ISERROR(AVERAGEIF(従業員の給与情報!$B:$B,$A518,従業員の給与情報!$E:$E)),0,AVERAGEIF(従業員の給与情報!$B:$B,$A518,従業員の給与情報!$E:$E)))))</f>
        <v/>
      </c>
      <c r="W518" s="299" t="str">
        <f>IF(OR(入力シート!$C$5&lt;&gt;入力リスト!$C$3,COUNTIF(入力シート!$J$16:$S$23,入力リスト!$H$9)=0),"",IF(A518="","",IF(ISERROR(AVERAGEIF(従業員の給与情報!$B:$B,$A518,従業員の給与情報!$F:$F)),0,IF(ISERROR(AVERAGEIF(従業員の給与情報!$B:$B,$A518,従業員の給与情報!$F:$F)),0,AVERAGEIF(従業員の給与情報!$B:$B,$A518,従業員の給与情報!$F:$F)))))</f>
        <v/>
      </c>
      <c r="X518" s="581" t="s">
        <v>5257</v>
      </c>
    </row>
    <row r="519" spans="6:24">
      <c r="F519" s="297" t="str">
        <f>IF($G$1,"",IF(COUNTIF(A519:E519,"")=5,"",IF(G519,入力リスト!$K$28,IF(OR(A519="",B519="",IF(COUNTIF($C$3,"*不要*"),"",C519=""),D519=""),IF(A519="","従業員番号","")&amp;IF(B519="","「雇用形態」","")&amp;IF(OR(入力シート!$J$18=入力リスト!$H$9,入力シート!$J$22=入力リスト!$H$9),IF(C519="","「入社年月日」",""),"")&amp;IF(D519="","「性別」","")&amp;IF(IF(A519="","従業員番号","")&amp;IF(B519="","「雇用形態」","")&amp;IF(OR(入力シート!$J$18=入力リスト!$H$9,入力シート!$J$22=入力リスト!$H$9),IF(C519="","「入社年月日」",""),"")&amp;IF(D519="","「性別」","")="","",入力リスト!$K$29),IF(J519,入力リスト!$K$30,"")&amp;IF(I519,入力リスト!$K$31,"")&amp;IF(H519,"「雇用形態」","")&amp;IF(K519,"「性別」","")&amp;IF(L519,"「役職」","")&amp;IF(OR(H519,K519,L519),入力リスト!$K$32,"")))))</f>
        <v/>
      </c>
      <c r="G519" s="298" t="b">
        <f>COUNTIF($A$4:A518,$A519)&gt;0</f>
        <v>0</v>
      </c>
      <c r="H519" s="298" t="b">
        <f>IF($H$1,FALSE,COUNTIF(入力シート!$S$37:$V$62,B519)=0)</f>
        <v>0</v>
      </c>
      <c r="I519" s="298" t="b">
        <f t="shared" si="17"/>
        <v>0</v>
      </c>
      <c r="J519" s="298" t="b">
        <f>IF($J$1,FALSE,IF(I519=TRUE,FALSE,IF(I519,FALSE,C519&gt;入力シート!$J$24)))</f>
        <v>0</v>
      </c>
      <c r="K519" s="298" t="b">
        <f>IF($K$1,FALSE,COUNTIF(入力シート!$AW$37:$BB$38,D519)=0)</f>
        <v>0</v>
      </c>
      <c r="L519" s="298" t="b">
        <f>IF($L$1,FALSE,IF($L$3,FALSE,IF(E519="",FALSE,COUNTIF(入力シート!$AH$37:$AK$62,E519)=0)))</f>
        <v>0</v>
      </c>
      <c r="M519" s="298" t="str">
        <f t="shared" si="18"/>
        <v/>
      </c>
      <c r="N519" s="298" t="str">
        <f>IF(G519,"この従業員番号は、すでに他のセルで入力されています。",IF(入力シート!$C$5=入力リスト!$C$4,"",IF(AND(A519="",B519="",C519="",D519="",E519=""),"",IF(OR(A519="",B519="",C519="",D519=""),IF(A519="","従業員番号","")&amp;IF(AND(A519="",OR(B519="",C519="",D519="")),",","")&amp;IF(B519="","雇用形態","")&amp;IF(AND(B519="",OR(C519="",D519="")),",","")&amp;IF(OR(入力シート!$J$18=入力リスト!$H$9,入力シート!$J$22=入力リスト!$H$9),IF(C519="","入社年月日",""),"")&amp;IF(AND(C519="",D519=""),",","")&amp;IF(D519="","性別","")&amp;IF(IF(A519="","従業員番号","")&amp;IF(B519="","雇用形態","")&amp;IF(OR(入力シート!$J$18=入力リスト!$H$9,入力シート!$J$22=入力リスト!$H$9),IF(C519="","入社年月日",""),"")&amp;IF(D519="","性別","")="","","が空白です。"),IF(J519,"入社年月日に「基準日」の翌日以降の日付が入力されています。","")&amp;IF(I519,"入社年月日に数値以外（又は1900/1/1以前の日付）が入力されています。","")&amp;IF(H519,"雇用形態"&amp;IF(OR(K519,L519),",",""),"")&amp;IF(K519,"性別"&amp;IF(L519,",",""),"")&amp;IF(L519,"役職","")&amp;IF(OR(H519,K519,L519),"に、［入力シート］(4)「貴社」欄と異なる文言が入力されています。","")))))</f>
        <v/>
      </c>
      <c r="O519" s="298" t="str">
        <f>IF(B519="","",VLOOKUP('従業員情報(給与以外)'!$B519,入力シート!$S$37:$Z$62,5,0))</f>
        <v/>
      </c>
      <c r="P519" s="298" t="str">
        <f>IF(ISNUMBER(C519)=FALSE,"",IF(C519&gt;入力シート!$J$24,"",_xlfn.DAYS(入力シート!$J$24,'従業員情報(給与以外)'!$C519)/365))</f>
        <v/>
      </c>
      <c r="Q519" s="298" t="str">
        <f>IF(P519="","",VLOOKUP(_xlfn.DAYS(入力シート!$J$24,'従業員情報(給与以外)'!$C519)/365,入力リスト!$K$18:$L$26,2,2))</f>
        <v/>
      </c>
      <c r="R519" s="298" t="str">
        <f>IF(D519="","",VLOOKUP('従業員情報(給与以外)'!$D519,入力シート!$AW$37:$BB$38,4,0))</f>
        <v/>
      </c>
      <c r="S519" s="298" t="str">
        <f>IF(A519="","",IF(E519="","非役職",VLOOKUP('従業員情報(給与以外)'!$E519,入力シート!$AH$37:$AO$62,5,0)))</f>
        <v/>
      </c>
      <c r="T519" s="299" t="str">
        <f>IF(OR(入力シート!$C$5&lt;&gt;入力リスト!$C$3,COUNTIF(入力シート!$J$16:$S$23,入力リスト!$H$9)=0),"",IF($A519="","",IF(ISERROR(AVERAGEIF(従業員の給与情報!$B:$B,$A519,従業員の給与情報!$C:$C)),0,IF(ISERROR(AVERAGEIF(従業員の給与情報!$B:$B,$A519,従業員の給与情報!$C:$C)),0,AVERAGEIF(従業員の給与情報!$B:$B,$A519,従業員の給与情報!$C:$C)))))</f>
        <v/>
      </c>
      <c r="U519" s="299" t="str">
        <f>IF(OR(入力シート!$C$5&lt;&gt;入力リスト!$C$3,COUNTIF(入力シート!$J$16:$S$23,入力リスト!$H$9)=0),"",IF(A519="","",IF(ISERROR(AVERAGEIF(従業員の給与情報!$B:$B,$A519,従業員の給与情報!$D:$D)),0,IF(ISERROR(AVERAGEIF(従業員の給与情報!$B:$B,$A519,従業員の給与情報!$D:$D)),0,AVERAGEIF(従業員の給与情報!$B:$B,$A519,従業員の給与情報!$D:$D)))))</f>
        <v/>
      </c>
      <c r="V519" s="299" t="str">
        <f>IF(OR(入力シート!$C$5&lt;&gt;入力リスト!$C$3,COUNTIF(入力シート!$J$16:$S$23,入力リスト!$H$9)=0),"",IF(A519="","",IF(ISERROR(AVERAGEIF(従業員の給与情報!$B:$B,$A519,従業員の給与情報!$E:$E)),0,IF(ISERROR(AVERAGEIF(従業員の給与情報!$B:$B,$A519,従業員の給与情報!$E:$E)),0,AVERAGEIF(従業員の給与情報!$B:$B,$A519,従業員の給与情報!$E:$E)))))</f>
        <v/>
      </c>
      <c r="W519" s="299" t="str">
        <f>IF(OR(入力シート!$C$5&lt;&gt;入力リスト!$C$3,COUNTIF(入力シート!$J$16:$S$23,入力リスト!$H$9)=0),"",IF(A519="","",IF(ISERROR(AVERAGEIF(従業員の給与情報!$B:$B,$A519,従業員の給与情報!$F:$F)),0,IF(ISERROR(AVERAGEIF(従業員の給与情報!$B:$B,$A519,従業員の給与情報!$F:$F)),0,AVERAGEIF(従業員の給与情報!$B:$B,$A519,従業員の給与情報!$F:$F)))))</f>
        <v/>
      </c>
      <c r="X519" s="581" t="s">
        <v>5258</v>
      </c>
    </row>
    <row r="520" spans="6:24">
      <c r="F520" s="297" t="str">
        <f>IF($G$1,"",IF(COUNTIF(A520:E520,"")=5,"",IF(G520,入力リスト!$K$28,IF(OR(A520="",B520="",IF(COUNTIF($C$3,"*不要*"),"",C520=""),D520=""),IF(A520="","従業員番号","")&amp;IF(B520="","「雇用形態」","")&amp;IF(OR(入力シート!$J$18=入力リスト!$H$9,入力シート!$J$22=入力リスト!$H$9),IF(C520="","「入社年月日」",""),"")&amp;IF(D520="","「性別」","")&amp;IF(IF(A520="","従業員番号","")&amp;IF(B520="","「雇用形態」","")&amp;IF(OR(入力シート!$J$18=入力リスト!$H$9,入力シート!$J$22=入力リスト!$H$9),IF(C520="","「入社年月日」",""),"")&amp;IF(D520="","「性別」","")="","",入力リスト!$K$29),IF(J520,入力リスト!$K$30,"")&amp;IF(I520,入力リスト!$K$31,"")&amp;IF(H520,"「雇用形態」","")&amp;IF(K520,"「性別」","")&amp;IF(L520,"「役職」","")&amp;IF(OR(H520,K520,L520),入力リスト!$K$32,"")))))</f>
        <v/>
      </c>
      <c r="G520" s="298" t="b">
        <f>COUNTIF($A$4:A519,$A520)&gt;0</f>
        <v>0</v>
      </c>
      <c r="H520" s="298" t="b">
        <f>IF($H$1,FALSE,COUNTIF(入力シート!$S$37:$V$62,B520)=0)</f>
        <v>0</v>
      </c>
      <c r="I520" s="298" t="b">
        <f t="shared" si="17"/>
        <v>0</v>
      </c>
      <c r="J520" s="298" t="b">
        <f>IF($J$1,FALSE,IF(I520=TRUE,FALSE,IF(I520,FALSE,C520&gt;入力シート!$J$24)))</f>
        <v>0</v>
      </c>
      <c r="K520" s="298" t="b">
        <f>IF($K$1,FALSE,COUNTIF(入力シート!$AW$37:$BB$38,D520)=0)</f>
        <v>0</v>
      </c>
      <c r="L520" s="298" t="b">
        <f>IF($L$1,FALSE,IF($L$3,FALSE,IF(E520="",FALSE,COUNTIF(入力シート!$AH$37:$AK$62,E520)=0)))</f>
        <v>0</v>
      </c>
      <c r="M520" s="298" t="str">
        <f t="shared" si="18"/>
        <v/>
      </c>
      <c r="N520" s="298" t="str">
        <f>IF(G520,"この従業員番号は、すでに他のセルで入力されています。",IF(入力シート!$C$5=入力リスト!$C$4,"",IF(AND(A520="",B520="",C520="",D520="",E520=""),"",IF(OR(A520="",B520="",C520="",D520=""),IF(A520="","従業員番号","")&amp;IF(AND(A520="",OR(B520="",C520="",D520="")),",","")&amp;IF(B520="","雇用形態","")&amp;IF(AND(B520="",OR(C520="",D520="")),",","")&amp;IF(OR(入力シート!$J$18=入力リスト!$H$9,入力シート!$J$22=入力リスト!$H$9),IF(C520="","入社年月日",""),"")&amp;IF(AND(C520="",D520=""),",","")&amp;IF(D520="","性別","")&amp;IF(IF(A520="","従業員番号","")&amp;IF(B520="","雇用形態","")&amp;IF(OR(入力シート!$J$18=入力リスト!$H$9,入力シート!$J$22=入力リスト!$H$9),IF(C520="","入社年月日",""),"")&amp;IF(D520="","性別","")="","","が空白です。"),IF(J520,"入社年月日に「基準日」の翌日以降の日付が入力されています。","")&amp;IF(I520,"入社年月日に数値以外（又は1900/1/1以前の日付）が入力されています。","")&amp;IF(H520,"雇用形態"&amp;IF(OR(K520,L520),",",""),"")&amp;IF(K520,"性別"&amp;IF(L520,",",""),"")&amp;IF(L520,"役職","")&amp;IF(OR(H520,K520,L520),"に、［入力シート］(4)「貴社」欄と異なる文言が入力されています。","")))))</f>
        <v/>
      </c>
      <c r="O520" s="298" t="str">
        <f>IF(B520="","",VLOOKUP('従業員情報(給与以外)'!$B520,入力シート!$S$37:$Z$62,5,0))</f>
        <v/>
      </c>
      <c r="P520" s="298" t="str">
        <f>IF(ISNUMBER(C520)=FALSE,"",IF(C520&gt;入力シート!$J$24,"",_xlfn.DAYS(入力シート!$J$24,'従業員情報(給与以外)'!$C520)/365))</f>
        <v/>
      </c>
      <c r="Q520" s="298" t="str">
        <f>IF(P520="","",VLOOKUP(_xlfn.DAYS(入力シート!$J$24,'従業員情報(給与以外)'!$C520)/365,入力リスト!$K$18:$L$26,2,2))</f>
        <v/>
      </c>
      <c r="R520" s="298" t="str">
        <f>IF(D520="","",VLOOKUP('従業員情報(給与以外)'!$D520,入力シート!$AW$37:$BB$38,4,0))</f>
        <v/>
      </c>
      <c r="S520" s="298" t="str">
        <f>IF(A520="","",IF(E520="","非役職",VLOOKUP('従業員情報(給与以外)'!$E520,入力シート!$AH$37:$AO$62,5,0)))</f>
        <v/>
      </c>
      <c r="T520" s="299" t="str">
        <f>IF(OR(入力シート!$C$5&lt;&gt;入力リスト!$C$3,COUNTIF(入力シート!$J$16:$S$23,入力リスト!$H$9)=0),"",IF($A520="","",IF(ISERROR(AVERAGEIF(従業員の給与情報!$B:$B,$A520,従業員の給与情報!$C:$C)),0,IF(ISERROR(AVERAGEIF(従業員の給与情報!$B:$B,$A520,従業員の給与情報!$C:$C)),0,AVERAGEIF(従業員の給与情報!$B:$B,$A520,従業員の給与情報!$C:$C)))))</f>
        <v/>
      </c>
      <c r="U520" s="299" t="str">
        <f>IF(OR(入力シート!$C$5&lt;&gt;入力リスト!$C$3,COUNTIF(入力シート!$J$16:$S$23,入力リスト!$H$9)=0),"",IF(A520="","",IF(ISERROR(AVERAGEIF(従業員の給与情報!$B:$B,$A520,従業員の給与情報!$D:$D)),0,IF(ISERROR(AVERAGEIF(従業員の給与情報!$B:$B,$A520,従業員の給与情報!$D:$D)),0,AVERAGEIF(従業員の給与情報!$B:$B,$A520,従業員の給与情報!$D:$D)))))</f>
        <v/>
      </c>
      <c r="V520" s="299" t="str">
        <f>IF(OR(入力シート!$C$5&lt;&gt;入力リスト!$C$3,COUNTIF(入力シート!$J$16:$S$23,入力リスト!$H$9)=0),"",IF(A520="","",IF(ISERROR(AVERAGEIF(従業員の給与情報!$B:$B,$A520,従業員の給与情報!$E:$E)),0,IF(ISERROR(AVERAGEIF(従業員の給与情報!$B:$B,$A520,従業員の給与情報!$E:$E)),0,AVERAGEIF(従業員の給与情報!$B:$B,$A520,従業員の給与情報!$E:$E)))))</f>
        <v/>
      </c>
      <c r="W520" s="299" t="str">
        <f>IF(OR(入力シート!$C$5&lt;&gt;入力リスト!$C$3,COUNTIF(入力シート!$J$16:$S$23,入力リスト!$H$9)=0),"",IF(A520="","",IF(ISERROR(AVERAGEIF(従業員の給与情報!$B:$B,$A520,従業員の給与情報!$F:$F)),0,IF(ISERROR(AVERAGEIF(従業員の給与情報!$B:$B,$A520,従業員の給与情報!$F:$F)),0,AVERAGEIF(従業員の給与情報!$B:$B,$A520,従業員の給与情報!$F:$F)))))</f>
        <v/>
      </c>
      <c r="X520" s="581" t="s">
        <v>5259</v>
      </c>
    </row>
    <row r="521" spans="6:24">
      <c r="F521" s="297" t="str">
        <f>IF($G$1,"",IF(COUNTIF(A521:E521,"")=5,"",IF(G521,入力リスト!$K$28,IF(OR(A521="",B521="",IF(COUNTIF($C$3,"*不要*"),"",C521=""),D521=""),IF(A521="","従業員番号","")&amp;IF(B521="","「雇用形態」","")&amp;IF(OR(入力シート!$J$18=入力リスト!$H$9,入力シート!$J$22=入力リスト!$H$9),IF(C521="","「入社年月日」",""),"")&amp;IF(D521="","「性別」","")&amp;IF(IF(A521="","従業員番号","")&amp;IF(B521="","「雇用形態」","")&amp;IF(OR(入力シート!$J$18=入力リスト!$H$9,入力シート!$J$22=入力リスト!$H$9),IF(C521="","「入社年月日」",""),"")&amp;IF(D521="","「性別」","")="","",入力リスト!$K$29),IF(J521,入力リスト!$K$30,"")&amp;IF(I521,入力リスト!$K$31,"")&amp;IF(H521,"「雇用形態」","")&amp;IF(K521,"「性別」","")&amp;IF(L521,"「役職」","")&amp;IF(OR(H521,K521,L521),入力リスト!$K$32,"")))))</f>
        <v/>
      </c>
      <c r="G521" s="298" t="b">
        <f>COUNTIF($A$4:A520,$A521)&gt;0</f>
        <v>0</v>
      </c>
      <c r="H521" s="298" t="b">
        <f>IF($H$1,FALSE,COUNTIF(入力シート!$S$37:$V$62,B521)=0)</f>
        <v>0</v>
      </c>
      <c r="I521" s="298" t="b">
        <f t="shared" si="17"/>
        <v>0</v>
      </c>
      <c r="J521" s="298" t="b">
        <f>IF($J$1,FALSE,IF(I521=TRUE,FALSE,IF(I521,FALSE,C521&gt;入力シート!$J$24)))</f>
        <v>0</v>
      </c>
      <c r="K521" s="298" t="b">
        <f>IF($K$1,FALSE,COUNTIF(入力シート!$AW$37:$BB$38,D521)=0)</f>
        <v>0</v>
      </c>
      <c r="L521" s="298" t="b">
        <f>IF($L$1,FALSE,IF($L$3,FALSE,IF(E521="",FALSE,COUNTIF(入力シート!$AH$37:$AK$62,E521)=0)))</f>
        <v>0</v>
      </c>
      <c r="M521" s="298" t="str">
        <f t="shared" si="18"/>
        <v/>
      </c>
      <c r="N521" s="298" t="str">
        <f>IF(G521,"この従業員番号は、すでに他のセルで入力されています。",IF(入力シート!$C$5=入力リスト!$C$4,"",IF(AND(A521="",B521="",C521="",D521="",E521=""),"",IF(OR(A521="",B521="",C521="",D521=""),IF(A521="","従業員番号","")&amp;IF(AND(A521="",OR(B521="",C521="",D521="")),",","")&amp;IF(B521="","雇用形態","")&amp;IF(AND(B521="",OR(C521="",D521="")),",","")&amp;IF(OR(入力シート!$J$18=入力リスト!$H$9,入力シート!$J$22=入力リスト!$H$9),IF(C521="","入社年月日",""),"")&amp;IF(AND(C521="",D521=""),",","")&amp;IF(D521="","性別","")&amp;IF(IF(A521="","従業員番号","")&amp;IF(B521="","雇用形態","")&amp;IF(OR(入力シート!$J$18=入力リスト!$H$9,入力シート!$J$22=入力リスト!$H$9),IF(C521="","入社年月日",""),"")&amp;IF(D521="","性別","")="","","が空白です。"),IF(J521,"入社年月日に「基準日」の翌日以降の日付が入力されています。","")&amp;IF(I521,"入社年月日に数値以外（又は1900/1/1以前の日付）が入力されています。","")&amp;IF(H521,"雇用形態"&amp;IF(OR(K521,L521),",",""),"")&amp;IF(K521,"性別"&amp;IF(L521,",",""),"")&amp;IF(L521,"役職","")&amp;IF(OR(H521,K521,L521),"に、［入力シート］(4)「貴社」欄と異なる文言が入力されています。","")))))</f>
        <v/>
      </c>
      <c r="O521" s="298" t="str">
        <f>IF(B521="","",VLOOKUP('従業員情報(給与以外)'!$B521,入力シート!$S$37:$Z$62,5,0))</f>
        <v/>
      </c>
      <c r="P521" s="298" t="str">
        <f>IF(ISNUMBER(C521)=FALSE,"",IF(C521&gt;入力シート!$J$24,"",_xlfn.DAYS(入力シート!$J$24,'従業員情報(給与以外)'!$C521)/365))</f>
        <v/>
      </c>
      <c r="Q521" s="298" t="str">
        <f>IF(P521="","",VLOOKUP(_xlfn.DAYS(入力シート!$J$24,'従業員情報(給与以外)'!$C521)/365,入力リスト!$K$18:$L$26,2,2))</f>
        <v/>
      </c>
      <c r="R521" s="298" t="str">
        <f>IF(D521="","",VLOOKUP('従業員情報(給与以外)'!$D521,入力シート!$AW$37:$BB$38,4,0))</f>
        <v/>
      </c>
      <c r="S521" s="298" t="str">
        <f>IF(A521="","",IF(E521="","非役職",VLOOKUP('従業員情報(給与以外)'!$E521,入力シート!$AH$37:$AO$62,5,0)))</f>
        <v/>
      </c>
      <c r="T521" s="299" t="str">
        <f>IF(OR(入力シート!$C$5&lt;&gt;入力リスト!$C$3,COUNTIF(入力シート!$J$16:$S$23,入力リスト!$H$9)=0),"",IF($A521="","",IF(ISERROR(AVERAGEIF(従業員の給与情報!$B:$B,$A521,従業員の給与情報!$C:$C)),0,IF(ISERROR(AVERAGEIF(従業員の給与情報!$B:$B,$A521,従業員の給与情報!$C:$C)),0,AVERAGEIF(従業員の給与情報!$B:$B,$A521,従業員の給与情報!$C:$C)))))</f>
        <v/>
      </c>
      <c r="U521" s="299" t="str">
        <f>IF(OR(入力シート!$C$5&lt;&gt;入力リスト!$C$3,COUNTIF(入力シート!$J$16:$S$23,入力リスト!$H$9)=0),"",IF(A521="","",IF(ISERROR(AVERAGEIF(従業員の給与情報!$B:$B,$A521,従業員の給与情報!$D:$D)),0,IF(ISERROR(AVERAGEIF(従業員の給与情報!$B:$B,$A521,従業員の給与情報!$D:$D)),0,AVERAGEIF(従業員の給与情報!$B:$B,$A521,従業員の給与情報!$D:$D)))))</f>
        <v/>
      </c>
      <c r="V521" s="299" t="str">
        <f>IF(OR(入力シート!$C$5&lt;&gt;入力リスト!$C$3,COUNTIF(入力シート!$J$16:$S$23,入力リスト!$H$9)=0),"",IF(A521="","",IF(ISERROR(AVERAGEIF(従業員の給与情報!$B:$B,$A521,従業員の給与情報!$E:$E)),0,IF(ISERROR(AVERAGEIF(従業員の給与情報!$B:$B,$A521,従業員の給与情報!$E:$E)),0,AVERAGEIF(従業員の給与情報!$B:$B,$A521,従業員の給与情報!$E:$E)))))</f>
        <v/>
      </c>
      <c r="W521" s="299" t="str">
        <f>IF(OR(入力シート!$C$5&lt;&gt;入力リスト!$C$3,COUNTIF(入力シート!$J$16:$S$23,入力リスト!$H$9)=0),"",IF(A521="","",IF(ISERROR(AVERAGEIF(従業員の給与情報!$B:$B,$A521,従業員の給与情報!$F:$F)),0,IF(ISERROR(AVERAGEIF(従業員の給与情報!$B:$B,$A521,従業員の給与情報!$F:$F)),0,AVERAGEIF(従業員の給与情報!$B:$B,$A521,従業員の給与情報!$F:$F)))))</f>
        <v/>
      </c>
      <c r="X521" s="581" t="s">
        <v>5260</v>
      </c>
    </row>
    <row r="522" spans="6:24">
      <c r="F522" s="297" t="str">
        <f>IF($G$1,"",IF(COUNTIF(A522:E522,"")=5,"",IF(G522,入力リスト!$K$28,IF(OR(A522="",B522="",IF(COUNTIF($C$3,"*不要*"),"",C522=""),D522=""),IF(A522="","従業員番号","")&amp;IF(B522="","「雇用形態」","")&amp;IF(OR(入力シート!$J$18=入力リスト!$H$9,入力シート!$J$22=入力リスト!$H$9),IF(C522="","「入社年月日」",""),"")&amp;IF(D522="","「性別」","")&amp;IF(IF(A522="","従業員番号","")&amp;IF(B522="","「雇用形態」","")&amp;IF(OR(入力シート!$J$18=入力リスト!$H$9,入力シート!$J$22=入力リスト!$H$9),IF(C522="","「入社年月日」",""),"")&amp;IF(D522="","「性別」","")="","",入力リスト!$K$29),IF(J522,入力リスト!$K$30,"")&amp;IF(I522,入力リスト!$K$31,"")&amp;IF(H522,"「雇用形態」","")&amp;IF(K522,"「性別」","")&amp;IF(L522,"「役職」","")&amp;IF(OR(H522,K522,L522),入力リスト!$K$32,"")))))</f>
        <v/>
      </c>
      <c r="G522" s="298" t="b">
        <f>COUNTIF($A$4:A521,$A522)&gt;0</f>
        <v>0</v>
      </c>
      <c r="H522" s="298" t="b">
        <f>IF($H$1,FALSE,COUNTIF(入力シート!$S$37:$V$62,B522)=0)</f>
        <v>0</v>
      </c>
      <c r="I522" s="298" t="b">
        <f t="shared" si="17"/>
        <v>0</v>
      </c>
      <c r="J522" s="298" t="b">
        <f>IF($J$1,FALSE,IF(I522=TRUE,FALSE,IF(I522,FALSE,C522&gt;入力シート!$J$24)))</f>
        <v>0</v>
      </c>
      <c r="K522" s="298" t="b">
        <f>IF($K$1,FALSE,COUNTIF(入力シート!$AW$37:$BB$38,D522)=0)</f>
        <v>0</v>
      </c>
      <c r="L522" s="298" t="b">
        <f>IF($L$1,FALSE,IF($L$3,FALSE,IF(E522="",FALSE,COUNTIF(入力シート!$AH$37:$AK$62,E522)=0)))</f>
        <v>0</v>
      </c>
      <c r="M522" s="298" t="str">
        <f t="shared" si="18"/>
        <v/>
      </c>
      <c r="N522" s="298" t="str">
        <f>IF(G522,"この従業員番号は、すでに他のセルで入力されています。",IF(入力シート!$C$5=入力リスト!$C$4,"",IF(AND(A522="",B522="",C522="",D522="",E522=""),"",IF(OR(A522="",B522="",C522="",D522=""),IF(A522="","従業員番号","")&amp;IF(AND(A522="",OR(B522="",C522="",D522="")),",","")&amp;IF(B522="","雇用形態","")&amp;IF(AND(B522="",OR(C522="",D522="")),",","")&amp;IF(OR(入力シート!$J$18=入力リスト!$H$9,入力シート!$J$22=入力リスト!$H$9),IF(C522="","入社年月日",""),"")&amp;IF(AND(C522="",D522=""),",","")&amp;IF(D522="","性別","")&amp;IF(IF(A522="","従業員番号","")&amp;IF(B522="","雇用形態","")&amp;IF(OR(入力シート!$J$18=入力リスト!$H$9,入力シート!$J$22=入力リスト!$H$9),IF(C522="","入社年月日",""),"")&amp;IF(D522="","性別","")="","","が空白です。"),IF(J522,"入社年月日に「基準日」の翌日以降の日付が入力されています。","")&amp;IF(I522,"入社年月日に数値以外（又は1900/1/1以前の日付）が入力されています。","")&amp;IF(H522,"雇用形態"&amp;IF(OR(K522,L522),",",""),"")&amp;IF(K522,"性別"&amp;IF(L522,",",""),"")&amp;IF(L522,"役職","")&amp;IF(OR(H522,K522,L522),"に、［入力シート］(4)「貴社」欄と異なる文言が入力されています。","")))))</f>
        <v/>
      </c>
      <c r="O522" s="298" t="str">
        <f>IF(B522="","",VLOOKUP('従業員情報(給与以外)'!$B522,入力シート!$S$37:$Z$62,5,0))</f>
        <v/>
      </c>
      <c r="P522" s="298" t="str">
        <f>IF(ISNUMBER(C522)=FALSE,"",IF(C522&gt;入力シート!$J$24,"",_xlfn.DAYS(入力シート!$J$24,'従業員情報(給与以外)'!$C522)/365))</f>
        <v/>
      </c>
      <c r="Q522" s="298" t="str">
        <f>IF(P522="","",VLOOKUP(_xlfn.DAYS(入力シート!$J$24,'従業員情報(給与以外)'!$C522)/365,入力リスト!$K$18:$L$26,2,2))</f>
        <v/>
      </c>
      <c r="R522" s="298" t="str">
        <f>IF(D522="","",VLOOKUP('従業員情報(給与以外)'!$D522,入力シート!$AW$37:$BB$38,4,0))</f>
        <v/>
      </c>
      <c r="S522" s="298" t="str">
        <f>IF(A522="","",IF(E522="","非役職",VLOOKUP('従業員情報(給与以外)'!$E522,入力シート!$AH$37:$AO$62,5,0)))</f>
        <v/>
      </c>
      <c r="T522" s="299" t="str">
        <f>IF(OR(入力シート!$C$5&lt;&gt;入力リスト!$C$3,COUNTIF(入力シート!$J$16:$S$23,入力リスト!$H$9)=0),"",IF($A522="","",IF(ISERROR(AVERAGEIF(従業員の給与情報!$B:$B,$A522,従業員の給与情報!$C:$C)),0,IF(ISERROR(AVERAGEIF(従業員の給与情報!$B:$B,$A522,従業員の給与情報!$C:$C)),0,AVERAGEIF(従業員の給与情報!$B:$B,$A522,従業員の給与情報!$C:$C)))))</f>
        <v/>
      </c>
      <c r="U522" s="299" t="str">
        <f>IF(OR(入力シート!$C$5&lt;&gt;入力リスト!$C$3,COUNTIF(入力シート!$J$16:$S$23,入力リスト!$H$9)=0),"",IF(A522="","",IF(ISERROR(AVERAGEIF(従業員の給与情報!$B:$B,$A522,従業員の給与情報!$D:$D)),0,IF(ISERROR(AVERAGEIF(従業員の給与情報!$B:$B,$A522,従業員の給与情報!$D:$D)),0,AVERAGEIF(従業員の給与情報!$B:$B,$A522,従業員の給与情報!$D:$D)))))</f>
        <v/>
      </c>
      <c r="V522" s="299" t="str">
        <f>IF(OR(入力シート!$C$5&lt;&gt;入力リスト!$C$3,COUNTIF(入力シート!$J$16:$S$23,入力リスト!$H$9)=0),"",IF(A522="","",IF(ISERROR(AVERAGEIF(従業員の給与情報!$B:$B,$A522,従業員の給与情報!$E:$E)),0,IF(ISERROR(AVERAGEIF(従業員の給与情報!$B:$B,$A522,従業員の給与情報!$E:$E)),0,AVERAGEIF(従業員の給与情報!$B:$B,$A522,従業員の給与情報!$E:$E)))))</f>
        <v/>
      </c>
      <c r="W522" s="299" t="str">
        <f>IF(OR(入力シート!$C$5&lt;&gt;入力リスト!$C$3,COUNTIF(入力シート!$J$16:$S$23,入力リスト!$H$9)=0),"",IF(A522="","",IF(ISERROR(AVERAGEIF(従業員の給与情報!$B:$B,$A522,従業員の給与情報!$F:$F)),0,IF(ISERROR(AVERAGEIF(従業員の給与情報!$B:$B,$A522,従業員の給与情報!$F:$F)),0,AVERAGEIF(従業員の給与情報!$B:$B,$A522,従業員の給与情報!$F:$F)))))</f>
        <v/>
      </c>
      <c r="X522" s="581" t="s">
        <v>5261</v>
      </c>
    </row>
    <row r="523" spans="6:24">
      <c r="F523" s="297" t="str">
        <f>IF($G$1,"",IF(COUNTIF(A523:E523,"")=5,"",IF(G523,入力リスト!$K$28,IF(OR(A523="",B523="",IF(COUNTIF($C$3,"*不要*"),"",C523=""),D523=""),IF(A523="","従業員番号","")&amp;IF(B523="","「雇用形態」","")&amp;IF(OR(入力シート!$J$18=入力リスト!$H$9,入力シート!$J$22=入力リスト!$H$9),IF(C523="","「入社年月日」",""),"")&amp;IF(D523="","「性別」","")&amp;IF(IF(A523="","従業員番号","")&amp;IF(B523="","「雇用形態」","")&amp;IF(OR(入力シート!$J$18=入力リスト!$H$9,入力シート!$J$22=入力リスト!$H$9),IF(C523="","「入社年月日」",""),"")&amp;IF(D523="","「性別」","")="","",入力リスト!$K$29),IF(J523,入力リスト!$K$30,"")&amp;IF(I523,入力リスト!$K$31,"")&amp;IF(H523,"「雇用形態」","")&amp;IF(K523,"「性別」","")&amp;IF(L523,"「役職」","")&amp;IF(OR(H523,K523,L523),入力リスト!$K$32,"")))))</f>
        <v/>
      </c>
      <c r="G523" s="298" t="b">
        <f>COUNTIF($A$4:A522,$A523)&gt;0</f>
        <v>0</v>
      </c>
      <c r="H523" s="298" t="b">
        <f>IF($H$1,FALSE,COUNTIF(入力シート!$S$37:$V$62,B523)=0)</f>
        <v>0</v>
      </c>
      <c r="I523" s="298" t="b">
        <f t="shared" si="17"/>
        <v>0</v>
      </c>
      <c r="J523" s="298" t="b">
        <f>IF($J$1,FALSE,IF(I523=TRUE,FALSE,IF(I523,FALSE,C523&gt;入力シート!$J$24)))</f>
        <v>0</v>
      </c>
      <c r="K523" s="298" t="b">
        <f>IF($K$1,FALSE,COUNTIF(入力シート!$AW$37:$BB$38,D523)=0)</f>
        <v>0</v>
      </c>
      <c r="L523" s="298" t="b">
        <f>IF($L$1,FALSE,IF($L$3,FALSE,IF(E523="",FALSE,COUNTIF(入力シート!$AH$37:$AK$62,E523)=0)))</f>
        <v>0</v>
      </c>
      <c r="M523" s="298" t="str">
        <f t="shared" si="18"/>
        <v/>
      </c>
      <c r="N523" s="298" t="str">
        <f>IF(G523,"この従業員番号は、すでに他のセルで入力されています。",IF(入力シート!$C$5=入力リスト!$C$4,"",IF(AND(A523="",B523="",C523="",D523="",E523=""),"",IF(OR(A523="",B523="",C523="",D523=""),IF(A523="","従業員番号","")&amp;IF(AND(A523="",OR(B523="",C523="",D523="")),",","")&amp;IF(B523="","雇用形態","")&amp;IF(AND(B523="",OR(C523="",D523="")),",","")&amp;IF(OR(入力シート!$J$18=入力リスト!$H$9,入力シート!$J$22=入力リスト!$H$9),IF(C523="","入社年月日",""),"")&amp;IF(AND(C523="",D523=""),",","")&amp;IF(D523="","性別","")&amp;IF(IF(A523="","従業員番号","")&amp;IF(B523="","雇用形態","")&amp;IF(OR(入力シート!$J$18=入力リスト!$H$9,入力シート!$J$22=入力リスト!$H$9),IF(C523="","入社年月日",""),"")&amp;IF(D523="","性別","")="","","が空白です。"),IF(J523,"入社年月日に「基準日」の翌日以降の日付が入力されています。","")&amp;IF(I523,"入社年月日に数値以外（又は1900/1/1以前の日付）が入力されています。","")&amp;IF(H523,"雇用形態"&amp;IF(OR(K523,L523),",",""),"")&amp;IF(K523,"性別"&amp;IF(L523,",",""),"")&amp;IF(L523,"役職","")&amp;IF(OR(H523,K523,L523),"に、［入力シート］(4)「貴社」欄と異なる文言が入力されています。","")))))</f>
        <v/>
      </c>
      <c r="O523" s="298" t="str">
        <f>IF(B523="","",VLOOKUP('従業員情報(給与以外)'!$B523,入力シート!$S$37:$Z$62,5,0))</f>
        <v/>
      </c>
      <c r="P523" s="298" t="str">
        <f>IF(ISNUMBER(C523)=FALSE,"",IF(C523&gt;入力シート!$J$24,"",_xlfn.DAYS(入力シート!$J$24,'従業員情報(給与以外)'!$C523)/365))</f>
        <v/>
      </c>
      <c r="Q523" s="298" t="str">
        <f>IF(P523="","",VLOOKUP(_xlfn.DAYS(入力シート!$J$24,'従業員情報(給与以外)'!$C523)/365,入力リスト!$K$18:$L$26,2,2))</f>
        <v/>
      </c>
      <c r="R523" s="298" t="str">
        <f>IF(D523="","",VLOOKUP('従業員情報(給与以外)'!$D523,入力シート!$AW$37:$BB$38,4,0))</f>
        <v/>
      </c>
      <c r="S523" s="298" t="str">
        <f>IF(A523="","",IF(E523="","非役職",VLOOKUP('従業員情報(給与以外)'!$E523,入力シート!$AH$37:$AO$62,5,0)))</f>
        <v/>
      </c>
      <c r="T523" s="299" t="str">
        <f>IF(OR(入力シート!$C$5&lt;&gt;入力リスト!$C$3,COUNTIF(入力シート!$J$16:$S$23,入力リスト!$H$9)=0),"",IF($A523="","",IF(ISERROR(AVERAGEIF(従業員の給与情報!$B:$B,$A523,従業員の給与情報!$C:$C)),0,IF(ISERROR(AVERAGEIF(従業員の給与情報!$B:$B,$A523,従業員の給与情報!$C:$C)),0,AVERAGEIF(従業員の給与情報!$B:$B,$A523,従業員の給与情報!$C:$C)))))</f>
        <v/>
      </c>
      <c r="U523" s="299" t="str">
        <f>IF(OR(入力シート!$C$5&lt;&gt;入力リスト!$C$3,COUNTIF(入力シート!$J$16:$S$23,入力リスト!$H$9)=0),"",IF(A523="","",IF(ISERROR(AVERAGEIF(従業員の給与情報!$B:$B,$A523,従業員の給与情報!$D:$D)),0,IF(ISERROR(AVERAGEIF(従業員の給与情報!$B:$B,$A523,従業員の給与情報!$D:$D)),0,AVERAGEIF(従業員の給与情報!$B:$B,$A523,従業員の給与情報!$D:$D)))))</f>
        <v/>
      </c>
      <c r="V523" s="299" t="str">
        <f>IF(OR(入力シート!$C$5&lt;&gt;入力リスト!$C$3,COUNTIF(入力シート!$J$16:$S$23,入力リスト!$H$9)=0),"",IF(A523="","",IF(ISERROR(AVERAGEIF(従業員の給与情報!$B:$B,$A523,従業員の給与情報!$E:$E)),0,IF(ISERROR(AVERAGEIF(従業員の給与情報!$B:$B,$A523,従業員の給与情報!$E:$E)),0,AVERAGEIF(従業員の給与情報!$B:$B,$A523,従業員の給与情報!$E:$E)))))</f>
        <v/>
      </c>
      <c r="W523" s="299" t="str">
        <f>IF(OR(入力シート!$C$5&lt;&gt;入力リスト!$C$3,COUNTIF(入力シート!$J$16:$S$23,入力リスト!$H$9)=0),"",IF(A523="","",IF(ISERROR(AVERAGEIF(従業員の給与情報!$B:$B,$A523,従業員の給与情報!$F:$F)),0,IF(ISERROR(AVERAGEIF(従業員の給与情報!$B:$B,$A523,従業員の給与情報!$F:$F)),0,AVERAGEIF(従業員の給与情報!$B:$B,$A523,従業員の給与情報!$F:$F)))))</f>
        <v/>
      </c>
      <c r="X523" s="581" t="s">
        <v>5262</v>
      </c>
    </row>
    <row r="524" spans="6:24">
      <c r="F524" s="297" t="str">
        <f>IF($G$1,"",IF(COUNTIF(A524:E524,"")=5,"",IF(G524,入力リスト!$K$28,IF(OR(A524="",B524="",IF(COUNTIF($C$3,"*不要*"),"",C524=""),D524=""),IF(A524="","従業員番号","")&amp;IF(B524="","「雇用形態」","")&amp;IF(OR(入力シート!$J$18=入力リスト!$H$9,入力シート!$J$22=入力リスト!$H$9),IF(C524="","「入社年月日」",""),"")&amp;IF(D524="","「性別」","")&amp;IF(IF(A524="","従業員番号","")&amp;IF(B524="","「雇用形態」","")&amp;IF(OR(入力シート!$J$18=入力リスト!$H$9,入力シート!$J$22=入力リスト!$H$9),IF(C524="","「入社年月日」",""),"")&amp;IF(D524="","「性別」","")="","",入力リスト!$K$29),IF(J524,入力リスト!$K$30,"")&amp;IF(I524,入力リスト!$K$31,"")&amp;IF(H524,"「雇用形態」","")&amp;IF(K524,"「性別」","")&amp;IF(L524,"「役職」","")&amp;IF(OR(H524,K524,L524),入力リスト!$K$32,"")))))</f>
        <v/>
      </c>
      <c r="G524" s="298" t="b">
        <f>COUNTIF($A$4:A523,$A524)&gt;0</f>
        <v>0</v>
      </c>
      <c r="H524" s="298" t="b">
        <f>IF($H$1,FALSE,COUNTIF(入力シート!$S$37:$V$62,B524)=0)</f>
        <v>0</v>
      </c>
      <c r="I524" s="298" t="b">
        <f t="shared" si="17"/>
        <v>0</v>
      </c>
      <c r="J524" s="298" t="b">
        <f>IF($J$1,FALSE,IF(I524=TRUE,FALSE,IF(I524,FALSE,C524&gt;入力シート!$J$24)))</f>
        <v>0</v>
      </c>
      <c r="K524" s="298" t="b">
        <f>IF($K$1,FALSE,COUNTIF(入力シート!$AW$37:$BB$38,D524)=0)</f>
        <v>0</v>
      </c>
      <c r="L524" s="298" t="b">
        <f>IF($L$1,FALSE,IF($L$3,FALSE,IF(E524="",FALSE,COUNTIF(入力シート!$AH$37:$AK$62,E524)=0)))</f>
        <v>0</v>
      </c>
      <c r="M524" s="298" t="str">
        <f t="shared" si="18"/>
        <v/>
      </c>
      <c r="N524" s="298" t="str">
        <f>IF(G524,"この従業員番号は、すでに他のセルで入力されています。",IF(入力シート!$C$5=入力リスト!$C$4,"",IF(AND(A524="",B524="",C524="",D524="",E524=""),"",IF(OR(A524="",B524="",C524="",D524=""),IF(A524="","従業員番号","")&amp;IF(AND(A524="",OR(B524="",C524="",D524="")),",","")&amp;IF(B524="","雇用形態","")&amp;IF(AND(B524="",OR(C524="",D524="")),",","")&amp;IF(OR(入力シート!$J$18=入力リスト!$H$9,入力シート!$J$22=入力リスト!$H$9),IF(C524="","入社年月日",""),"")&amp;IF(AND(C524="",D524=""),",","")&amp;IF(D524="","性別","")&amp;IF(IF(A524="","従業員番号","")&amp;IF(B524="","雇用形態","")&amp;IF(OR(入力シート!$J$18=入力リスト!$H$9,入力シート!$J$22=入力リスト!$H$9),IF(C524="","入社年月日",""),"")&amp;IF(D524="","性別","")="","","が空白です。"),IF(J524,"入社年月日に「基準日」の翌日以降の日付が入力されています。","")&amp;IF(I524,"入社年月日に数値以外（又は1900/1/1以前の日付）が入力されています。","")&amp;IF(H524,"雇用形態"&amp;IF(OR(K524,L524),",",""),"")&amp;IF(K524,"性別"&amp;IF(L524,",",""),"")&amp;IF(L524,"役職","")&amp;IF(OR(H524,K524,L524),"に、［入力シート］(4)「貴社」欄と異なる文言が入力されています。","")))))</f>
        <v/>
      </c>
      <c r="O524" s="298" t="str">
        <f>IF(B524="","",VLOOKUP('従業員情報(給与以外)'!$B524,入力シート!$S$37:$Z$62,5,0))</f>
        <v/>
      </c>
      <c r="P524" s="298" t="str">
        <f>IF(ISNUMBER(C524)=FALSE,"",IF(C524&gt;入力シート!$J$24,"",_xlfn.DAYS(入力シート!$J$24,'従業員情報(給与以外)'!$C524)/365))</f>
        <v/>
      </c>
      <c r="Q524" s="298" t="str">
        <f>IF(P524="","",VLOOKUP(_xlfn.DAYS(入力シート!$J$24,'従業員情報(給与以外)'!$C524)/365,入力リスト!$K$18:$L$26,2,2))</f>
        <v/>
      </c>
      <c r="R524" s="298" t="str">
        <f>IF(D524="","",VLOOKUP('従業員情報(給与以外)'!$D524,入力シート!$AW$37:$BB$38,4,0))</f>
        <v/>
      </c>
      <c r="S524" s="298" t="str">
        <f>IF(A524="","",IF(E524="","非役職",VLOOKUP('従業員情報(給与以外)'!$E524,入力シート!$AH$37:$AO$62,5,0)))</f>
        <v/>
      </c>
      <c r="T524" s="299" t="str">
        <f>IF(OR(入力シート!$C$5&lt;&gt;入力リスト!$C$3,COUNTIF(入力シート!$J$16:$S$23,入力リスト!$H$9)=0),"",IF($A524="","",IF(ISERROR(AVERAGEIF(従業員の給与情報!$B:$B,$A524,従業員の給与情報!$C:$C)),0,IF(ISERROR(AVERAGEIF(従業員の給与情報!$B:$B,$A524,従業員の給与情報!$C:$C)),0,AVERAGEIF(従業員の給与情報!$B:$B,$A524,従業員の給与情報!$C:$C)))))</f>
        <v/>
      </c>
      <c r="U524" s="299" t="str">
        <f>IF(OR(入力シート!$C$5&lt;&gt;入力リスト!$C$3,COUNTIF(入力シート!$J$16:$S$23,入力リスト!$H$9)=0),"",IF(A524="","",IF(ISERROR(AVERAGEIF(従業員の給与情報!$B:$B,$A524,従業員の給与情報!$D:$D)),0,IF(ISERROR(AVERAGEIF(従業員の給与情報!$B:$B,$A524,従業員の給与情報!$D:$D)),0,AVERAGEIF(従業員の給与情報!$B:$B,$A524,従業員の給与情報!$D:$D)))))</f>
        <v/>
      </c>
      <c r="V524" s="299" t="str">
        <f>IF(OR(入力シート!$C$5&lt;&gt;入力リスト!$C$3,COUNTIF(入力シート!$J$16:$S$23,入力リスト!$H$9)=0),"",IF(A524="","",IF(ISERROR(AVERAGEIF(従業員の給与情報!$B:$B,$A524,従業員の給与情報!$E:$E)),0,IF(ISERROR(AVERAGEIF(従業員の給与情報!$B:$B,$A524,従業員の給与情報!$E:$E)),0,AVERAGEIF(従業員の給与情報!$B:$B,$A524,従業員の給与情報!$E:$E)))))</f>
        <v/>
      </c>
      <c r="W524" s="299" t="str">
        <f>IF(OR(入力シート!$C$5&lt;&gt;入力リスト!$C$3,COUNTIF(入力シート!$J$16:$S$23,入力リスト!$H$9)=0),"",IF(A524="","",IF(ISERROR(AVERAGEIF(従業員の給与情報!$B:$B,$A524,従業員の給与情報!$F:$F)),0,IF(ISERROR(AVERAGEIF(従業員の給与情報!$B:$B,$A524,従業員の給与情報!$F:$F)),0,AVERAGEIF(従業員の給与情報!$B:$B,$A524,従業員の給与情報!$F:$F)))))</f>
        <v/>
      </c>
      <c r="X524" s="581" t="s">
        <v>5263</v>
      </c>
    </row>
    <row r="525" spans="6:24">
      <c r="F525" s="297" t="str">
        <f>IF($G$1,"",IF(COUNTIF(A525:E525,"")=5,"",IF(G525,入力リスト!$K$28,IF(OR(A525="",B525="",IF(COUNTIF($C$3,"*不要*"),"",C525=""),D525=""),IF(A525="","従業員番号","")&amp;IF(B525="","「雇用形態」","")&amp;IF(OR(入力シート!$J$18=入力リスト!$H$9,入力シート!$J$22=入力リスト!$H$9),IF(C525="","「入社年月日」",""),"")&amp;IF(D525="","「性別」","")&amp;IF(IF(A525="","従業員番号","")&amp;IF(B525="","「雇用形態」","")&amp;IF(OR(入力シート!$J$18=入力リスト!$H$9,入力シート!$J$22=入力リスト!$H$9),IF(C525="","「入社年月日」",""),"")&amp;IF(D525="","「性別」","")="","",入力リスト!$K$29),IF(J525,入力リスト!$K$30,"")&amp;IF(I525,入力リスト!$K$31,"")&amp;IF(H525,"「雇用形態」","")&amp;IF(K525,"「性別」","")&amp;IF(L525,"「役職」","")&amp;IF(OR(H525,K525,L525),入力リスト!$K$32,"")))))</f>
        <v/>
      </c>
      <c r="G525" s="298" t="b">
        <f>COUNTIF($A$4:A524,$A525)&gt;0</f>
        <v>0</v>
      </c>
      <c r="H525" s="298" t="b">
        <f>IF($H$1,FALSE,COUNTIF(入力シート!$S$37:$V$62,B525)=0)</f>
        <v>0</v>
      </c>
      <c r="I525" s="298" t="b">
        <f t="shared" si="17"/>
        <v>0</v>
      </c>
      <c r="J525" s="298" t="b">
        <f>IF($J$1,FALSE,IF(I525=TRUE,FALSE,IF(I525,FALSE,C525&gt;入力シート!$J$24)))</f>
        <v>0</v>
      </c>
      <c r="K525" s="298" t="b">
        <f>IF($K$1,FALSE,COUNTIF(入力シート!$AW$37:$BB$38,D525)=0)</f>
        <v>0</v>
      </c>
      <c r="L525" s="298" t="b">
        <f>IF($L$1,FALSE,IF($L$3,FALSE,IF(E525="",FALSE,COUNTIF(入力シート!$AH$37:$AK$62,E525)=0)))</f>
        <v>0</v>
      </c>
      <c r="M525" s="298" t="str">
        <f t="shared" si="18"/>
        <v/>
      </c>
      <c r="N525" s="298" t="str">
        <f>IF(G525,"この従業員番号は、すでに他のセルで入力されています。",IF(入力シート!$C$5=入力リスト!$C$4,"",IF(AND(A525="",B525="",C525="",D525="",E525=""),"",IF(OR(A525="",B525="",C525="",D525=""),IF(A525="","従業員番号","")&amp;IF(AND(A525="",OR(B525="",C525="",D525="")),",","")&amp;IF(B525="","雇用形態","")&amp;IF(AND(B525="",OR(C525="",D525="")),",","")&amp;IF(OR(入力シート!$J$18=入力リスト!$H$9,入力シート!$J$22=入力リスト!$H$9),IF(C525="","入社年月日",""),"")&amp;IF(AND(C525="",D525=""),",","")&amp;IF(D525="","性別","")&amp;IF(IF(A525="","従業員番号","")&amp;IF(B525="","雇用形態","")&amp;IF(OR(入力シート!$J$18=入力リスト!$H$9,入力シート!$J$22=入力リスト!$H$9),IF(C525="","入社年月日",""),"")&amp;IF(D525="","性別","")="","","が空白です。"),IF(J525,"入社年月日に「基準日」の翌日以降の日付が入力されています。","")&amp;IF(I525,"入社年月日に数値以外（又は1900/1/1以前の日付）が入力されています。","")&amp;IF(H525,"雇用形態"&amp;IF(OR(K525,L525),",",""),"")&amp;IF(K525,"性別"&amp;IF(L525,",",""),"")&amp;IF(L525,"役職","")&amp;IF(OR(H525,K525,L525),"に、［入力シート］(4)「貴社」欄と異なる文言が入力されています。","")))))</f>
        <v/>
      </c>
      <c r="O525" s="298" t="str">
        <f>IF(B525="","",VLOOKUP('従業員情報(給与以外)'!$B525,入力シート!$S$37:$Z$62,5,0))</f>
        <v/>
      </c>
      <c r="P525" s="298" t="str">
        <f>IF(ISNUMBER(C525)=FALSE,"",IF(C525&gt;入力シート!$J$24,"",_xlfn.DAYS(入力シート!$J$24,'従業員情報(給与以外)'!$C525)/365))</f>
        <v/>
      </c>
      <c r="Q525" s="298" t="str">
        <f>IF(P525="","",VLOOKUP(_xlfn.DAYS(入力シート!$J$24,'従業員情報(給与以外)'!$C525)/365,入力リスト!$K$18:$L$26,2,2))</f>
        <v/>
      </c>
      <c r="R525" s="298" t="str">
        <f>IF(D525="","",VLOOKUP('従業員情報(給与以外)'!$D525,入力シート!$AW$37:$BB$38,4,0))</f>
        <v/>
      </c>
      <c r="S525" s="298" t="str">
        <f>IF(A525="","",IF(E525="","非役職",VLOOKUP('従業員情報(給与以外)'!$E525,入力シート!$AH$37:$AO$62,5,0)))</f>
        <v/>
      </c>
      <c r="T525" s="299" t="str">
        <f>IF(OR(入力シート!$C$5&lt;&gt;入力リスト!$C$3,COUNTIF(入力シート!$J$16:$S$23,入力リスト!$H$9)=0),"",IF($A525="","",IF(ISERROR(AVERAGEIF(従業員の給与情報!$B:$B,$A525,従業員の給与情報!$C:$C)),0,IF(ISERROR(AVERAGEIF(従業員の給与情報!$B:$B,$A525,従業員の給与情報!$C:$C)),0,AVERAGEIF(従業員の給与情報!$B:$B,$A525,従業員の給与情報!$C:$C)))))</f>
        <v/>
      </c>
      <c r="U525" s="299" t="str">
        <f>IF(OR(入力シート!$C$5&lt;&gt;入力リスト!$C$3,COUNTIF(入力シート!$J$16:$S$23,入力リスト!$H$9)=0),"",IF(A525="","",IF(ISERROR(AVERAGEIF(従業員の給与情報!$B:$B,$A525,従業員の給与情報!$D:$D)),0,IF(ISERROR(AVERAGEIF(従業員の給与情報!$B:$B,$A525,従業員の給与情報!$D:$D)),0,AVERAGEIF(従業員の給与情報!$B:$B,$A525,従業員の給与情報!$D:$D)))))</f>
        <v/>
      </c>
      <c r="V525" s="299" t="str">
        <f>IF(OR(入力シート!$C$5&lt;&gt;入力リスト!$C$3,COUNTIF(入力シート!$J$16:$S$23,入力リスト!$H$9)=0),"",IF(A525="","",IF(ISERROR(AVERAGEIF(従業員の給与情報!$B:$B,$A525,従業員の給与情報!$E:$E)),0,IF(ISERROR(AVERAGEIF(従業員の給与情報!$B:$B,$A525,従業員の給与情報!$E:$E)),0,AVERAGEIF(従業員の給与情報!$B:$B,$A525,従業員の給与情報!$E:$E)))))</f>
        <v/>
      </c>
      <c r="W525" s="299" t="str">
        <f>IF(OR(入力シート!$C$5&lt;&gt;入力リスト!$C$3,COUNTIF(入力シート!$J$16:$S$23,入力リスト!$H$9)=0),"",IF(A525="","",IF(ISERROR(AVERAGEIF(従業員の給与情報!$B:$B,$A525,従業員の給与情報!$F:$F)),0,IF(ISERROR(AVERAGEIF(従業員の給与情報!$B:$B,$A525,従業員の給与情報!$F:$F)),0,AVERAGEIF(従業員の給与情報!$B:$B,$A525,従業員の給与情報!$F:$F)))))</f>
        <v/>
      </c>
      <c r="X525" s="581" t="s">
        <v>5264</v>
      </c>
    </row>
    <row r="526" spans="6:24">
      <c r="F526" s="297" t="str">
        <f>IF($G$1,"",IF(COUNTIF(A526:E526,"")=5,"",IF(G526,入力リスト!$K$28,IF(OR(A526="",B526="",IF(COUNTIF($C$3,"*不要*"),"",C526=""),D526=""),IF(A526="","従業員番号","")&amp;IF(B526="","「雇用形態」","")&amp;IF(OR(入力シート!$J$18=入力リスト!$H$9,入力シート!$J$22=入力リスト!$H$9),IF(C526="","「入社年月日」",""),"")&amp;IF(D526="","「性別」","")&amp;IF(IF(A526="","従業員番号","")&amp;IF(B526="","「雇用形態」","")&amp;IF(OR(入力シート!$J$18=入力リスト!$H$9,入力シート!$J$22=入力リスト!$H$9),IF(C526="","「入社年月日」",""),"")&amp;IF(D526="","「性別」","")="","",入力リスト!$K$29),IF(J526,入力リスト!$K$30,"")&amp;IF(I526,入力リスト!$K$31,"")&amp;IF(H526,"「雇用形態」","")&amp;IF(K526,"「性別」","")&amp;IF(L526,"「役職」","")&amp;IF(OR(H526,K526,L526),入力リスト!$K$32,"")))))</f>
        <v/>
      </c>
      <c r="G526" s="298" t="b">
        <f>COUNTIF($A$4:A525,$A526)&gt;0</f>
        <v>0</v>
      </c>
      <c r="H526" s="298" t="b">
        <f>IF($H$1,FALSE,COUNTIF(入力シート!$S$37:$V$62,B526)=0)</f>
        <v>0</v>
      </c>
      <c r="I526" s="298" t="b">
        <f t="shared" si="17"/>
        <v>0</v>
      </c>
      <c r="J526" s="298" t="b">
        <f>IF($J$1,FALSE,IF(I526=TRUE,FALSE,IF(I526,FALSE,C526&gt;入力シート!$J$24)))</f>
        <v>0</v>
      </c>
      <c r="K526" s="298" t="b">
        <f>IF($K$1,FALSE,COUNTIF(入力シート!$AW$37:$BB$38,D526)=0)</f>
        <v>0</v>
      </c>
      <c r="L526" s="298" t="b">
        <f>IF($L$1,FALSE,IF($L$3,FALSE,IF(E526="",FALSE,COUNTIF(入力シート!$AH$37:$AK$62,E526)=0)))</f>
        <v>0</v>
      </c>
      <c r="M526" s="298" t="str">
        <f t="shared" si="18"/>
        <v/>
      </c>
      <c r="N526" s="298" t="str">
        <f>IF(G526,"この従業員番号は、すでに他のセルで入力されています。",IF(入力シート!$C$5=入力リスト!$C$4,"",IF(AND(A526="",B526="",C526="",D526="",E526=""),"",IF(OR(A526="",B526="",C526="",D526=""),IF(A526="","従業員番号","")&amp;IF(AND(A526="",OR(B526="",C526="",D526="")),",","")&amp;IF(B526="","雇用形態","")&amp;IF(AND(B526="",OR(C526="",D526="")),",","")&amp;IF(OR(入力シート!$J$18=入力リスト!$H$9,入力シート!$J$22=入力リスト!$H$9),IF(C526="","入社年月日",""),"")&amp;IF(AND(C526="",D526=""),",","")&amp;IF(D526="","性別","")&amp;IF(IF(A526="","従業員番号","")&amp;IF(B526="","雇用形態","")&amp;IF(OR(入力シート!$J$18=入力リスト!$H$9,入力シート!$J$22=入力リスト!$H$9),IF(C526="","入社年月日",""),"")&amp;IF(D526="","性別","")="","","が空白です。"),IF(J526,"入社年月日に「基準日」の翌日以降の日付が入力されています。","")&amp;IF(I526,"入社年月日に数値以外（又は1900/1/1以前の日付）が入力されています。","")&amp;IF(H526,"雇用形態"&amp;IF(OR(K526,L526),",",""),"")&amp;IF(K526,"性別"&amp;IF(L526,",",""),"")&amp;IF(L526,"役職","")&amp;IF(OR(H526,K526,L526),"に、［入力シート］(4)「貴社」欄と異なる文言が入力されています。","")))))</f>
        <v/>
      </c>
      <c r="O526" s="298" t="str">
        <f>IF(B526="","",VLOOKUP('従業員情報(給与以外)'!$B526,入力シート!$S$37:$Z$62,5,0))</f>
        <v/>
      </c>
      <c r="P526" s="298" t="str">
        <f>IF(ISNUMBER(C526)=FALSE,"",IF(C526&gt;入力シート!$J$24,"",_xlfn.DAYS(入力シート!$J$24,'従業員情報(給与以外)'!$C526)/365))</f>
        <v/>
      </c>
      <c r="Q526" s="298" t="str">
        <f>IF(P526="","",VLOOKUP(_xlfn.DAYS(入力シート!$J$24,'従業員情報(給与以外)'!$C526)/365,入力リスト!$K$18:$L$26,2,2))</f>
        <v/>
      </c>
      <c r="R526" s="298" t="str">
        <f>IF(D526="","",VLOOKUP('従業員情報(給与以外)'!$D526,入力シート!$AW$37:$BB$38,4,0))</f>
        <v/>
      </c>
      <c r="S526" s="298" t="str">
        <f>IF(A526="","",IF(E526="","非役職",VLOOKUP('従業員情報(給与以外)'!$E526,入力シート!$AH$37:$AO$62,5,0)))</f>
        <v/>
      </c>
      <c r="T526" s="299" t="str">
        <f>IF(OR(入力シート!$C$5&lt;&gt;入力リスト!$C$3,COUNTIF(入力シート!$J$16:$S$23,入力リスト!$H$9)=0),"",IF($A526="","",IF(ISERROR(AVERAGEIF(従業員の給与情報!$B:$B,$A526,従業員の給与情報!$C:$C)),0,IF(ISERROR(AVERAGEIF(従業員の給与情報!$B:$B,$A526,従業員の給与情報!$C:$C)),0,AVERAGEIF(従業員の給与情報!$B:$B,$A526,従業員の給与情報!$C:$C)))))</f>
        <v/>
      </c>
      <c r="U526" s="299" t="str">
        <f>IF(OR(入力シート!$C$5&lt;&gt;入力リスト!$C$3,COUNTIF(入力シート!$J$16:$S$23,入力リスト!$H$9)=0),"",IF(A526="","",IF(ISERROR(AVERAGEIF(従業員の給与情報!$B:$B,$A526,従業員の給与情報!$D:$D)),0,IF(ISERROR(AVERAGEIF(従業員の給与情報!$B:$B,$A526,従業員の給与情報!$D:$D)),0,AVERAGEIF(従業員の給与情報!$B:$B,$A526,従業員の給与情報!$D:$D)))))</f>
        <v/>
      </c>
      <c r="V526" s="299" t="str">
        <f>IF(OR(入力シート!$C$5&lt;&gt;入力リスト!$C$3,COUNTIF(入力シート!$J$16:$S$23,入力リスト!$H$9)=0),"",IF(A526="","",IF(ISERROR(AVERAGEIF(従業員の給与情報!$B:$B,$A526,従業員の給与情報!$E:$E)),0,IF(ISERROR(AVERAGEIF(従業員の給与情報!$B:$B,$A526,従業員の給与情報!$E:$E)),0,AVERAGEIF(従業員の給与情報!$B:$B,$A526,従業員の給与情報!$E:$E)))))</f>
        <v/>
      </c>
      <c r="W526" s="299" t="str">
        <f>IF(OR(入力シート!$C$5&lt;&gt;入力リスト!$C$3,COUNTIF(入力シート!$J$16:$S$23,入力リスト!$H$9)=0),"",IF(A526="","",IF(ISERROR(AVERAGEIF(従業員の給与情報!$B:$B,$A526,従業員の給与情報!$F:$F)),0,IF(ISERROR(AVERAGEIF(従業員の給与情報!$B:$B,$A526,従業員の給与情報!$F:$F)),0,AVERAGEIF(従業員の給与情報!$B:$B,$A526,従業員の給与情報!$F:$F)))))</f>
        <v/>
      </c>
      <c r="X526" s="581" t="s">
        <v>5265</v>
      </c>
    </row>
    <row r="527" spans="6:24">
      <c r="F527" s="297" t="str">
        <f>IF($G$1,"",IF(COUNTIF(A527:E527,"")=5,"",IF(G527,入力リスト!$K$28,IF(OR(A527="",B527="",IF(COUNTIF($C$3,"*不要*"),"",C527=""),D527=""),IF(A527="","従業員番号","")&amp;IF(B527="","「雇用形態」","")&amp;IF(OR(入力シート!$J$18=入力リスト!$H$9,入力シート!$J$22=入力リスト!$H$9),IF(C527="","「入社年月日」",""),"")&amp;IF(D527="","「性別」","")&amp;IF(IF(A527="","従業員番号","")&amp;IF(B527="","「雇用形態」","")&amp;IF(OR(入力シート!$J$18=入力リスト!$H$9,入力シート!$J$22=入力リスト!$H$9),IF(C527="","「入社年月日」",""),"")&amp;IF(D527="","「性別」","")="","",入力リスト!$K$29),IF(J527,入力リスト!$K$30,"")&amp;IF(I527,入力リスト!$K$31,"")&amp;IF(H527,"「雇用形態」","")&amp;IF(K527,"「性別」","")&amp;IF(L527,"「役職」","")&amp;IF(OR(H527,K527,L527),入力リスト!$K$32,"")))))</f>
        <v/>
      </c>
      <c r="G527" s="298" t="b">
        <f>COUNTIF($A$4:A526,$A527)&gt;0</f>
        <v>0</v>
      </c>
      <c r="H527" s="298" t="b">
        <f>IF($H$1,FALSE,COUNTIF(入力シート!$S$37:$V$62,B527)=0)</f>
        <v>0</v>
      </c>
      <c r="I527" s="298" t="b">
        <f t="shared" si="17"/>
        <v>0</v>
      </c>
      <c r="J527" s="298" t="b">
        <f>IF($J$1,FALSE,IF(I527=TRUE,FALSE,IF(I527,FALSE,C527&gt;入力シート!$J$24)))</f>
        <v>0</v>
      </c>
      <c r="K527" s="298" t="b">
        <f>IF($K$1,FALSE,COUNTIF(入力シート!$AW$37:$BB$38,D527)=0)</f>
        <v>0</v>
      </c>
      <c r="L527" s="298" t="b">
        <f>IF($L$1,FALSE,IF($L$3,FALSE,IF(E527="",FALSE,COUNTIF(入力シート!$AH$37:$AK$62,E527)=0)))</f>
        <v>0</v>
      </c>
      <c r="M527" s="298" t="str">
        <f t="shared" si="18"/>
        <v/>
      </c>
      <c r="N527" s="298" t="str">
        <f>IF(G527,"この従業員番号は、すでに他のセルで入力されています。",IF(入力シート!$C$5=入力リスト!$C$4,"",IF(AND(A527="",B527="",C527="",D527="",E527=""),"",IF(OR(A527="",B527="",C527="",D527=""),IF(A527="","従業員番号","")&amp;IF(AND(A527="",OR(B527="",C527="",D527="")),",","")&amp;IF(B527="","雇用形態","")&amp;IF(AND(B527="",OR(C527="",D527="")),",","")&amp;IF(OR(入力シート!$J$18=入力リスト!$H$9,入力シート!$J$22=入力リスト!$H$9),IF(C527="","入社年月日",""),"")&amp;IF(AND(C527="",D527=""),",","")&amp;IF(D527="","性別","")&amp;IF(IF(A527="","従業員番号","")&amp;IF(B527="","雇用形態","")&amp;IF(OR(入力シート!$J$18=入力リスト!$H$9,入力シート!$J$22=入力リスト!$H$9),IF(C527="","入社年月日",""),"")&amp;IF(D527="","性別","")="","","が空白です。"),IF(J527,"入社年月日に「基準日」の翌日以降の日付が入力されています。","")&amp;IF(I527,"入社年月日に数値以外（又は1900/1/1以前の日付）が入力されています。","")&amp;IF(H527,"雇用形態"&amp;IF(OR(K527,L527),",",""),"")&amp;IF(K527,"性別"&amp;IF(L527,",",""),"")&amp;IF(L527,"役職","")&amp;IF(OR(H527,K527,L527),"に、［入力シート］(4)「貴社」欄と異なる文言が入力されています。","")))))</f>
        <v/>
      </c>
      <c r="O527" s="298" t="str">
        <f>IF(B527="","",VLOOKUP('従業員情報(給与以外)'!$B527,入力シート!$S$37:$Z$62,5,0))</f>
        <v/>
      </c>
      <c r="P527" s="298" t="str">
        <f>IF(ISNUMBER(C527)=FALSE,"",IF(C527&gt;入力シート!$J$24,"",_xlfn.DAYS(入力シート!$J$24,'従業員情報(給与以外)'!$C527)/365))</f>
        <v/>
      </c>
      <c r="Q527" s="298" t="str">
        <f>IF(P527="","",VLOOKUP(_xlfn.DAYS(入力シート!$J$24,'従業員情報(給与以外)'!$C527)/365,入力リスト!$K$18:$L$26,2,2))</f>
        <v/>
      </c>
      <c r="R527" s="298" t="str">
        <f>IF(D527="","",VLOOKUP('従業員情報(給与以外)'!$D527,入力シート!$AW$37:$BB$38,4,0))</f>
        <v/>
      </c>
      <c r="S527" s="298" t="str">
        <f>IF(A527="","",IF(E527="","非役職",VLOOKUP('従業員情報(給与以外)'!$E527,入力シート!$AH$37:$AO$62,5,0)))</f>
        <v/>
      </c>
      <c r="T527" s="299" t="str">
        <f>IF(OR(入力シート!$C$5&lt;&gt;入力リスト!$C$3,COUNTIF(入力シート!$J$16:$S$23,入力リスト!$H$9)=0),"",IF($A527="","",IF(ISERROR(AVERAGEIF(従業員の給与情報!$B:$B,$A527,従業員の給与情報!$C:$C)),0,IF(ISERROR(AVERAGEIF(従業員の給与情報!$B:$B,$A527,従業員の給与情報!$C:$C)),0,AVERAGEIF(従業員の給与情報!$B:$B,$A527,従業員の給与情報!$C:$C)))))</f>
        <v/>
      </c>
      <c r="U527" s="299" t="str">
        <f>IF(OR(入力シート!$C$5&lt;&gt;入力リスト!$C$3,COUNTIF(入力シート!$J$16:$S$23,入力リスト!$H$9)=0),"",IF(A527="","",IF(ISERROR(AVERAGEIF(従業員の給与情報!$B:$B,$A527,従業員の給与情報!$D:$D)),0,IF(ISERROR(AVERAGEIF(従業員の給与情報!$B:$B,$A527,従業員の給与情報!$D:$D)),0,AVERAGEIF(従業員の給与情報!$B:$B,$A527,従業員の給与情報!$D:$D)))))</f>
        <v/>
      </c>
      <c r="V527" s="299" t="str">
        <f>IF(OR(入力シート!$C$5&lt;&gt;入力リスト!$C$3,COUNTIF(入力シート!$J$16:$S$23,入力リスト!$H$9)=0),"",IF(A527="","",IF(ISERROR(AVERAGEIF(従業員の給与情報!$B:$B,$A527,従業員の給与情報!$E:$E)),0,IF(ISERROR(AVERAGEIF(従業員の給与情報!$B:$B,$A527,従業員の給与情報!$E:$E)),0,AVERAGEIF(従業員の給与情報!$B:$B,$A527,従業員の給与情報!$E:$E)))))</f>
        <v/>
      </c>
      <c r="W527" s="299" t="str">
        <f>IF(OR(入力シート!$C$5&lt;&gt;入力リスト!$C$3,COUNTIF(入力シート!$J$16:$S$23,入力リスト!$H$9)=0),"",IF(A527="","",IF(ISERROR(AVERAGEIF(従業員の給与情報!$B:$B,$A527,従業員の給与情報!$F:$F)),0,IF(ISERROR(AVERAGEIF(従業員の給与情報!$B:$B,$A527,従業員の給与情報!$F:$F)),0,AVERAGEIF(従業員の給与情報!$B:$B,$A527,従業員の給与情報!$F:$F)))))</f>
        <v/>
      </c>
      <c r="X527" s="581" t="s">
        <v>5266</v>
      </c>
    </row>
    <row r="528" spans="6:24">
      <c r="F528" s="297" t="str">
        <f>IF($G$1,"",IF(COUNTIF(A528:E528,"")=5,"",IF(G528,入力リスト!$K$28,IF(OR(A528="",B528="",IF(COUNTIF($C$3,"*不要*"),"",C528=""),D528=""),IF(A528="","従業員番号","")&amp;IF(B528="","「雇用形態」","")&amp;IF(OR(入力シート!$J$18=入力リスト!$H$9,入力シート!$J$22=入力リスト!$H$9),IF(C528="","「入社年月日」",""),"")&amp;IF(D528="","「性別」","")&amp;IF(IF(A528="","従業員番号","")&amp;IF(B528="","「雇用形態」","")&amp;IF(OR(入力シート!$J$18=入力リスト!$H$9,入力シート!$J$22=入力リスト!$H$9),IF(C528="","「入社年月日」",""),"")&amp;IF(D528="","「性別」","")="","",入力リスト!$K$29),IF(J528,入力リスト!$K$30,"")&amp;IF(I528,入力リスト!$K$31,"")&amp;IF(H528,"「雇用形態」","")&amp;IF(K528,"「性別」","")&amp;IF(L528,"「役職」","")&amp;IF(OR(H528,K528,L528),入力リスト!$K$32,"")))))</f>
        <v/>
      </c>
      <c r="G528" s="298" t="b">
        <f>COUNTIF($A$4:A527,$A528)&gt;0</f>
        <v>0</v>
      </c>
      <c r="H528" s="298" t="b">
        <f>IF($H$1,FALSE,COUNTIF(入力シート!$S$37:$V$62,B528)=0)</f>
        <v>0</v>
      </c>
      <c r="I528" s="298" t="b">
        <f t="shared" si="17"/>
        <v>0</v>
      </c>
      <c r="J528" s="298" t="b">
        <f>IF($J$1,FALSE,IF(I528=TRUE,FALSE,IF(I528,FALSE,C528&gt;入力シート!$J$24)))</f>
        <v>0</v>
      </c>
      <c r="K528" s="298" t="b">
        <f>IF($K$1,FALSE,COUNTIF(入力シート!$AW$37:$BB$38,D528)=0)</f>
        <v>0</v>
      </c>
      <c r="L528" s="298" t="b">
        <f>IF($L$1,FALSE,IF($L$3,FALSE,IF(E528="",FALSE,COUNTIF(入力シート!$AH$37:$AK$62,E528)=0)))</f>
        <v>0</v>
      </c>
      <c r="M528" s="298" t="str">
        <f t="shared" si="18"/>
        <v/>
      </c>
      <c r="N528" s="298" t="str">
        <f>IF(G528,"この従業員番号は、すでに他のセルで入力されています。",IF(入力シート!$C$5=入力リスト!$C$4,"",IF(AND(A528="",B528="",C528="",D528="",E528=""),"",IF(OR(A528="",B528="",C528="",D528=""),IF(A528="","従業員番号","")&amp;IF(AND(A528="",OR(B528="",C528="",D528="")),",","")&amp;IF(B528="","雇用形態","")&amp;IF(AND(B528="",OR(C528="",D528="")),",","")&amp;IF(OR(入力シート!$J$18=入力リスト!$H$9,入力シート!$J$22=入力リスト!$H$9),IF(C528="","入社年月日",""),"")&amp;IF(AND(C528="",D528=""),",","")&amp;IF(D528="","性別","")&amp;IF(IF(A528="","従業員番号","")&amp;IF(B528="","雇用形態","")&amp;IF(OR(入力シート!$J$18=入力リスト!$H$9,入力シート!$J$22=入力リスト!$H$9),IF(C528="","入社年月日",""),"")&amp;IF(D528="","性別","")="","","が空白です。"),IF(J528,"入社年月日に「基準日」の翌日以降の日付が入力されています。","")&amp;IF(I528,"入社年月日に数値以外（又は1900/1/1以前の日付）が入力されています。","")&amp;IF(H528,"雇用形態"&amp;IF(OR(K528,L528),",",""),"")&amp;IF(K528,"性別"&amp;IF(L528,",",""),"")&amp;IF(L528,"役職","")&amp;IF(OR(H528,K528,L528),"に、［入力シート］(4)「貴社」欄と異なる文言が入力されています。","")))))</f>
        <v/>
      </c>
      <c r="O528" s="298" t="str">
        <f>IF(B528="","",VLOOKUP('従業員情報(給与以外)'!$B528,入力シート!$S$37:$Z$62,5,0))</f>
        <v/>
      </c>
      <c r="P528" s="298" t="str">
        <f>IF(ISNUMBER(C528)=FALSE,"",IF(C528&gt;入力シート!$J$24,"",_xlfn.DAYS(入力シート!$J$24,'従業員情報(給与以外)'!$C528)/365))</f>
        <v/>
      </c>
      <c r="Q528" s="298" t="str">
        <f>IF(P528="","",VLOOKUP(_xlfn.DAYS(入力シート!$J$24,'従業員情報(給与以外)'!$C528)/365,入力リスト!$K$18:$L$26,2,2))</f>
        <v/>
      </c>
      <c r="R528" s="298" t="str">
        <f>IF(D528="","",VLOOKUP('従業員情報(給与以外)'!$D528,入力シート!$AW$37:$BB$38,4,0))</f>
        <v/>
      </c>
      <c r="S528" s="298" t="str">
        <f>IF(A528="","",IF(E528="","非役職",VLOOKUP('従業員情報(給与以外)'!$E528,入力シート!$AH$37:$AO$62,5,0)))</f>
        <v/>
      </c>
      <c r="T528" s="299" t="str">
        <f>IF(OR(入力シート!$C$5&lt;&gt;入力リスト!$C$3,COUNTIF(入力シート!$J$16:$S$23,入力リスト!$H$9)=0),"",IF($A528="","",IF(ISERROR(AVERAGEIF(従業員の給与情報!$B:$B,$A528,従業員の給与情報!$C:$C)),0,IF(ISERROR(AVERAGEIF(従業員の給与情報!$B:$B,$A528,従業員の給与情報!$C:$C)),0,AVERAGEIF(従業員の給与情報!$B:$B,$A528,従業員の給与情報!$C:$C)))))</f>
        <v/>
      </c>
      <c r="U528" s="299" t="str">
        <f>IF(OR(入力シート!$C$5&lt;&gt;入力リスト!$C$3,COUNTIF(入力シート!$J$16:$S$23,入力リスト!$H$9)=0),"",IF(A528="","",IF(ISERROR(AVERAGEIF(従業員の給与情報!$B:$B,$A528,従業員の給与情報!$D:$D)),0,IF(ISERROR(AVERAGEIF(従業員の給与情報!$B:$B,$A528,従業員の給与情報!$D:$D)),0,AVERAGEIF(従業員の給与情報!$B:$B,$A528,従業員の給与情報!$D:$D)))))</f>
        <v/>
      </c>
      <c r="V528" s="299" t="str">
        <f>IF(OR(入力シート!$C$5&lt;&gt;入力リスト!$C$3,COUNTIF(入力シート!$J$16:$S$23,入力リスト!$H$9)=0),"",IF(A528="","",IF(ISERROR(AVERAGEIF(従業員の給与情報!$B:$B,$A528,従業員の給与情報!$E:$E)),0,IF(ISERROR(AVERAGEIF(従業員の給与情報!$B:$B,$A528,従業員の給与情報!$E:$E)),0,AVERAGEIF(従業員の給与情報!$B:$B,$A528,従業員の給与情報!$E:$E)))))</f>
        <v/>
      </c>
      <c r="W528" s="299" t="str">
        <f>IF(OR(入力シート!$C$5&lt;&gt;入力リスト!$C$3,COUNTIF(入力シート!$J$16:$S$23,入力リスト!$H$9)=0),"",IF(A528="","",IF(ISERROR(AVERAGEIF(従業員の給与情報!$B:$B,$A528,従業員の給与情報!$F:$F)),0,IF(ISERROR(AVERAGEIF(従業員の給与情報!$B:$B,$A528,従業員の給与情報!$F:$F)),0,AVERAGEIF(従業員の給与情報!$B:$B,$A528,従業員の給与情報!$F:$F)))))</f>
        <v/>
      </c>
      <c r="X528" s="581" t="s">
        <v>5267</v>
      </c>
    </row>
    <row r="529" spans="6:24">
      <c r="F529" s="297" t="str">
        <f>IF($G$1,"",IF(COUNTIF(A529:E529,"")=5,"",IF(G529,入力リスト!$K$28,IF(OR(A529="",B529="",IF(COUNTIF($C$3,"*不要*"),"",C529=""),D529=""),IF(A529="","従業員番号","")&amp;IF(B529="","「雇用形態」","")&amp;IF(OR(入力シート!$J$18=入力リスト!$H$9,入力シート!$J$22=入力リスト!$H$9),IF(C529="","「入社年月日」",""),"")&amp;IF(D529="","「性別」","")&amp;IF(IF(A529="","従業員番号","")&amp;IF(B529="","「雇用形態」","")&amp;IF(OR(入力シート!$J$18=入力リスト!$H$9,入力シート!$J$22=入力リスト!$H$9),IF(C529="","「入社年月日」",""),"")&amp;IF(D529="","「性別」","")="","",入力リスト!$K$29),IF(J529,入力リスト!$K$30,"")&amp;IF(I529,入力リスト!$K$31,"")&amp;IF(H529,"「雇用形態」","")&amp;IF(K529,"「性別」","")&amp;IF(L529,"「役職」","")&amp;IF(OR(H529,K529,L529),入力リスト!$K$32,"")))))</f>
        <v/>
      </c>
      <c r="G529" s="298" t="b">
        <f>COUNTIF($A$4:A528,$A529)&gt;0</f>
        <v>0</v>
      </c>
      <c r="H529" s="298" t="b">
        <f>IF($H$1,FALSE,COUNTIF(入力シート!$S$37:$V$62,B529)=0)</f>
        <v>0</v>
      </c>
      <c r="I529" s="298" t="b">
        <f t="shared" si="17"/>
        <v>0</v>
      </c>
      <c r="J529" s="298" t="b">
        <f>IF($J$1,FALSE,IF(I529=TRUE,FALSE,IF(I529,FALSE,C529&gt;入力シート!$J$24)))</f>
        <v>0</v>
      </c>
      <c r="K529" s="298" t="b">
        <f>IF($K$1,FALSE,COUNTIF(入力シート!$AW$37:$BB$38,D529)=0)</f>
        <v>0</v>
      </c>
      <c r="L529" s="298" t="b">
        <f>IF($L$1,FALSE,IF($L$3,FALSE,IF(E529="",FALSE,COUNTIF(入力シート!$AH$37:$AK$62,E529)=0)))</f>
        <v>0</v>
      </c>
      <c r="M529" s="298" t="str">
        <f t="shared" si="18"/>
        <v/>
      </c>
      <c r="N529" s="298" t="str">
        <f>IF(G529,"この従業員番号は、すでに他のセルで入力されています。",IF(入力シート!$C$5=入力リスト!$C$4,"",IF(AND(A529="",B529="",C529="",D529="",E529=""),"",IF(OR(A529="",B529="",C529="",D529=""),IF(A529="","従業員番号","")&amp;IF(AND(A529="",OR(B529="",C529="",D529="")),",","")&amp;IF(B529="","雇用形態","")&amp;IF(AND(B529="",OR(C529="",D529="")),",","")&amp;IF(OR(入力シート!$J$18=入力リスト!$H$9,入力シート!$J$22=入力リスト!$H$9),IF(C529="","入社年月日",""),"")&amp;IF(AND(C529="",D529=""),",","")&amp;IF(D529="","性別","")&amp;IF(IF(A529="","従業員番号","")&amp;IF(B529="","雇用形態","")&amp;IF(OR(入力シート!$J$18=入力リスト!$H$9,入力シート!$J$22=入力リスト!$H$9),IF(C529="","入社年月日",""),"")&amp;IF(D529="","性別","")="","","が空白です。"),IF(J529,"入社年月日に「基準日」の翌日以降の日付が入力されています。","")&amp;IF(I529,"入社年月日に数値以外（又は1900/1/1以前の日付）が入力されています。","")&amp;IF(H529,"雇用形態"&amp;IF(OR(K529,L529),",",""),"")&amp;IF(K529,"性別"&amp;IF(L529,",",""),"")&amp;IF(L529,"役職","")&amp;IF(OR(H529,K529,L529),"に、［入力シート］(4)「貴社」欄と異なる文言が入力されています。","")))))</f>
        <v/>
      </c>
      <c r="O529" s="298" t="str">
        <f>IF(B529="","",VLOOKUP('従業員情報(給与以外)'!$B529,入力シート!$S$37:$Z$62,5,0))</f>
        <v/>
      </c>
      <c r="P529" s="298" t="str">
        <f>IF(ISNUMBER(C529)=FALSE,"",IF(C529&gt;入力シート!$J$24,"",_xlfn.DAYS(入力シート!$J$24,'従業員情報(給与以外)'!$C529)/365))</f>
        <v/>
      </c>
      <c r="Q529" s="298" t="str">
        <f>IF(P529="","",VLOOKUP(_xlfn.DAYS(入力シート!$J$24,'従業員情報(給与以外)'!$C529)/365,入力リスト!$K$18:$L$26,2,2))</f>
        <v/>
      </c>
      <c r="R529" s="298" t="str">
        <f>IF(D529="","",VLOOKUP('従業員情報(給与以外)'!$D529,入力シート!$AW$37:$BB$38,4,0))</f>
        <v/>
      </c>
      <c r="S529" s="298" t="str">
        <f>IF(A529="","",IF(E529="","非役職",VLOOKUP('従業員情報(給与以外)'!$E529,入力シート!$AH$37:$AO$62,5,0)))</f>
        <v/>
      </c>
      <c r="T529" s="299" t="str">
        <f>IF(OR(入力シート!$C$5&lt;&gt;入力リスト!$C$3,COUNTIF(入力シート!$J$16:$S$23,入力リスト!$H$9)=0),"",IF($A529="","",IF(ISERROR(AVERAGEIF(従業員の給与情報!$B:$B,$A529,従業員の給与情報!$C:$C)),0,IF(ISERROR(AVERAGEIF(従業員の給与情報!$B:$B,$A529,従業員の給与情報!$C:$C)),0,AVERAGEIF(従業員の給与情報!$B:$B,$A529,従業員の給与情報!$C:$C)))))</f>
        <v/>
      </c>
      <c r="U529" s="299" t="str">
        <f>IF(OR(入力シート!$C$5&lt;&gt;入力リスト!$C$3,COUNTIF(入力シート!$J$16:$S$23,入力リスト!$H$9)=0),"",IF(A529="","",IF(ISERROR(AVERAGEIF(従業員の給与情報!$B:$B,$A529,従業員の給与情報!$D:$D)),0,IF(ISERROR(AVERAGEIF(従業員の給与情報!$B:$B,$A529,従業員の給与情報!$D:$D)),0,AVERAGEIF(従業員の給与情報!$B:$B,$A529,従業員の給与情報!$D:$D)))))</f>
        <v/>
      </c>
      <c r="V529" s="299" t="str">
        <f>IF(OR(入力シート!$C$5&lt;&gt;入力リスト!$C$3,COUNTIF(入力シート!$J$16:$S$23,入力リスト!$H$9)=0),"",IF(A529="","",IF(ISERROR(AVERAGEIF(従業員の給与情報!$B:$B,$A529,従業員の給与情報!$E:$E)),0,IF(ISERROR(AVERAGEIF(従業員の給与情報!$B:$B,$A529,従業員の給与情報!$E:$E)),0,AVERAGEIF(従業員の給与情報!$B:$B,$A529,従業員の給与情報!$E:$E)))))</f>
        <v/>
      </c>
      <c r="W529" s="299" t="str">
        <f>IF(OR(入力シート!$C$5&lt;&gt;入力リスト!$C$3,COUNTIF(入力シート!$J$16:$S$23,入力リスト!$H$9)=0),"",IF(A529="","",IF(ISERROR(AVERAGEIF(従業員の給与情報!$B:$B,$A529,従業員の給与情報!$F:$F)),0,IF(ISERROR(AVERAGEIF(従業員の給与情報!$B:$B,$A529,従業員の給与情報!$F:$F)),0,AVERAGEIF(従業員の給与情報!$B:$B,$A529,従業員の給与情報!$F:$F)))))</f>
        <v/>
      </c>
      <c r="X529" s="581" t="s">
        <v>5268</v>
      </c>
    </row>
    <row r="530" spans="6:24">
      <c r="F530" s="297" t="str">
        <f>IF($G$1,"",IF(COUNTIF(A530:E530,"")=5,"",IF(G530,入力リスト!$K$28,IF(OR(A530="",B530="",IF(COUNTIF($C$3,"*不要*"),"",C530=""),D530=""),IF(A530="","従業員番号","")&amp;IF(B530="","「雇用形態」","")&amp;IF(OR(入力シート!$J$18=入力リスト!$H$9,入力シート!$J$22=入力リスト!$H$9),IF(C530="","「入社年月日」",""),"")&amp;IF(D530="","「性別」","")&amp;IF(IF(A530="","従業員番号","")&amp;IF(B530="","「雇用形態」","")&amp;IF(OR(入力シート!$J$18=入力リスト!$H$9,入力シート!$J$22=入力リスト!$H$9),IF(C530="","「入社年月日」",""),"")&amp;IF(D530="","「性別」","")="","",入力リスト!$K$29),IF(J530,入力リスト!$K$30,"")&amp;IF(I530,入力リスト!$K$31,"")&amp;IF(H530,"「雇用形態」","")&amp;IF(K530,"「性別」","")&amp;IF(L530,"「役職」","")&amp;IF(OR(H530,K530,L530),入力リスト!$K$32,"")))))</f>
        <v/>
      </c>
      <c r="G530" s="298" t="b">
        <f>COUNTIF($A$4:A529,$A530)&gt;0</f>
        <v>0</v>
      </c>
      <c r="H530" s="298" t="b">
        <f>IF($H$1,FALSE,COUNTIF(入力シート!$S$37:$V$62,B530)=0)</f>
        <v>0</v>
      </c>
      <c r="I530" s="298" t="b">
        <f t="shared" si="17"/>
        <v>0</v>
      </c>
      <c r="J530" s="298" t="b">
        <f>IF($J$1,FALSE,IF(I530=TRUE,FALSE,IF(I530,FALSE,C530&gt;入力シート!$J$24)))</f>
        <v>0</v>
      </c>
      <c r="K530" s="298" t="b">
        <f>IF($K$1,FALSE,COUNTIF(入力シート!$AW$37:$BB$38,D530)=0)</f>
        <v>0</v>
      </c>
      <c r="L530" s="298" t="b">
        <f>IF($L$1,FALSE,IF($L$3,FALSE,IF(E530="",FALSE,COUNTIF(入力シート!$AH$37:$AK$62,E530)=0)))</f>
        <v>0</v>
      </c>
      <c r="M530" s="298" t="str">
        <f t="shared" si="18"/>
        <v/>
      </c>
      <c r="N530" s="298" t="str">
        <f>IF(G530,"この従業員番号は、すでに他のセルで入力されています。",IF(入力シート!$C$5=入力リスト!$C$4,"",IF(AND(A530="",B530="",C530="",D530="",E530=""),"",IF(OR(A530="",B530="",C530="",D530=""),IF(A530="","従業員番号","")&amp;IF(AND(A530="",OR(B530="",C530="",D530="")),",","")&amp;IF(B530="","雇用形態","")&amp;IF(AND(B530="",OR(C530="",D530="")),",","")&amp;IF(OR(入力シート!$J$18=入力リスト!$H$9,入力シート!$J$22=入力リスト!$H$9),IF(C530="","入社年月日",""),"")&amp;IF(AND(C530="",D530=""),",","")&amp;IF(D530="","性別","")&amp;IF(IF(A530="","従業員番号","")&amp;IF(B530="","雇用形態","")&amp;IF(OR(入力シート!$J$18=入力リスト!$H$9,入力シート!$J$22=入力リスト!$H$9),IF(C530="","入社年月日",""),"")&amp;IF(D530="","性別","")="","","が空白です。"),IF(J530,"入社年月日に「基準日」の翌日以降の日付が入力されています。","")&amp;IF(I530,"入社年月日に数値以外（又は1900/1/1以前の日付）が入力されています。","")&amp;IF(H530,"雇用形態"&amp;IF(OR(K530,L530),",",""),"")&amp;IF(K530,"性別"&amp;IF(L530,",",""),"")&amp;IF(L530,"役職","")&amp;IF(OR(H530,K530,L530),"に、［入力シート］(4)「貴社」欄と異なる文言が入力されています。","")))))</f>
        <v/>
      </c>
      <c r="O530" s="298" t="str">
        <f>IF(B530="","",VLOOKUP('従業員情報(給与以外)'!$B530,入力シート!$S$37:$Z$62,5,0))</f>
        <v/>
      </c>
      <c r="P530" s="298" t="str">
        <f>IF(ISNUMBER(C530)=FALSE,"",IF(C530&gt;入力シート!$J$24,"",_xlfn.DAYS(入力シート!$J$24,'従業員情報(給与以外)'!$C530)/365))</f>
        <v/>
      </c>
      <c r="Q530" s="298" t="str">
        <f>IF(P530="","",VLOOKUP(_xlfn.DAYS(入力シート!$J$24,'従業員情報(給与以外)'!$C530)/365,入力リスト!$K$18:$L$26,2,2))</f>
        <v/>
      </c>
      <c r="R530" s="298" t="str">
        <f>IF(D530="","",VLOOKUP('従業員情報(給与以外)'!$D530,入力シート!$AW$37:$BB$38,4,0))</f>
        <v/>
      </c>
      <c r="S530" s="298" t="str">
        <f>IF(A530="","",IF(E530="","非役職",VLOOKUP('従業員情報(給与以外)'!$E530,入力シート!$AH$37:$AO$62,5,0)))</f>
        <v/>
      </c>
      <c r="T530" s="299" t="str">
        <f>IF(OR(入力シート!$C$5&lt;&gt;入力リスト!$C$3,COUNTIF(入力シート!$J$16:$S$23,入力リスト!$H$9)=0),"",IF($A530="","",IF(ISERROR(AVERAGEIF(従業員の給与情報!$B:$B,$A530,従業員の給与情報!$C:$C)),0,IF(ISERROR(AVERAGEIF(従業員の給与情報!$B:$B,$A530,従業員の給与情報!$C:$C)),0,AVERAGEIF(従業員の給与情報!$B:$B,$A530,従業員の給与情報!$C:$C)))))</f>
        <v/>
      </c>
      <c r="U530" s="299" t="str">
        <f>IF(OR(入力シート!$C$5&lt;&gt;入力リスト!$C$3,COUNTIF(入力シート!$J$16:$S$23,入力リスト!$H$9)=0),"",IF(A530="","",IF(ISERROR(AVERAGEIF(従業員の給与情報!$B:$B,$A530,従業員の給与情報!$D:$D)),0,IF(ISERROR(AVERAGEIF(従業員の給与情報!$B:$B,$A530,従業員の給与情報!$D:$D)),0,AVERAGEIF(従業員の給与情報!$B:$B,$A530,従業員の給与情報!$D:$D)))))</f>
        <v/>
      </c>
      <c r="V530" s="299" t="str">
        <f>IF(OR(入力シート!$C$5&lt;&gt;入力リスト!$C$3,COUNTIF(入力シート!$J$16:$S$23,入力リスト!$H$9)=0),"",IF(A530="","",IF(ISERROR(AVERAGEIF(従業員の給与情報!$B:$B,$A530,従業員の給与情報!$E:$E)),0,IF(ISERROR(AVERAGEIF(従業員の給与情報!$B:$B,$A530,従業員の給与情報!$E:$E)),0,AVERAGEIF(従業員の給与情報!$B:$B,$A530,従業員の給与情報!$E:$E)))))</f>
        <v/>
      </c>
      <c r="W530" s="299" t="str">
        <f>IF(OR(入力シート!$C$5&lt;&gt;入力リスト!$C$3,COUNTIF(入力シート!$J$16:$S$23,入力リスト!$H$9)=0),"",IF(A530="","",IF(ISERROR(AVERAGEIF(従業員の給与情報!$B:$B,$A530,従業員の給与情報!$F:$F)),0,IF(ISERROR(AVERAGEIF(従業員の給与情報!$B:$B,$A530,従業員の給与情報!$F:$F)),0,AVERAGEIF(従業員の給与情報!$B:$B,$A530,従業員の給与情報!$F:$F)))))</f>
        <v/>
      </c>
      <c r="X530" s="581" t="s">
        <v>5269</v>
      </c>
    </row>
    <row r="531" spans="6:24">
      <c r="F531" s="297" t="str">
        <f>IF($G$1,"",IF(COUNTIF(A531:E531,"")=5,"",IF(G531,入力リスト!$K$28,IF(OR(A531="",B531="",IF(COUNTIF($C$3,"*不要*"),"",C531=""),D531=""),IF(A531="","従業員番号","")&amp;IF(B531="","「雇用形態」","")&amp;IF(OR(入力シート!$J$18=入力リスト!$H$9,入力シート!$J$22=入力リスト!$H$9),IF(C531="","「入社年月日」",""),"")&amp;IF(D531="","「性別」","")&amp;IF(IF(A531="","従業員番号","")&amp;IF(B531="","「雇用形態」","")&amp;IF(OR(入力シート!$J$18=入力リスト!$H$9,入力シート!$J$22=入力リスト!$H$9),IF(C531="","「入社年月日」",""),"")&amp;IF(D531="","「性別」","")="","",入力リスト!$K$29),IF(J531,入力リスト!$K$30,"")&amp;IF(I531,入力リスト!$K$31,"")&amp;IF(H531,"「雇用形態」","")&amp;IF(K531,"「性別」","")&amp;IF(L531,"「役職」","")&amp;IF(OR(H531,K531,L531),入力リスト!$K$32,"")))))</f>
        <v/>
      </c>
      <c r="G531" s="298" t="b">
        <f>COUNTIF($A$4:A530,$A531)&gt;0</f>
        <v>0</v>
      </c>
      <c r="H531" s="298" t="b">
        <f>IF($H$1,FALSE,COUNTIF(入力シート!$S$37:$V$62,B531)=0)</f>
        <v>0</v>
      </c>
      <c r="I531" s="298" t="b">
        <f t="shared" si="17"/>
        <v>0</v>
      </c>
      <c r="J531" s="298" t="b">
        <f>IF($J$1,FALSE,IF(I531=TRUE,FALSE,IF(I531,FALSE,C531&gt;入力シート!$J$24)))</f>
        <v>0</v>
      </c>
      <c r="K531" s="298" t="b">
        <f>IF($K$1,FALSE,COUNTIF(入力シート!$AW$37:$BB$38,D531)=0)</f>
        <v>0</v>
      </c>
      <c r="L531" s="298" t="b">
        <f>IF($L$1,FALSE,IF($L$3,FALSE,IF(E531="",FALSE,COUNTIF(入力シート!$AH$37:$AK$62,E531)=0)))</f>
        <v>0</v>
      </c>
      <c r="M531" s="298" t="str">
        <f t="shared" si="18"/>
        <v/>
      </c>
      <c r="N531" s="298" t="str">
        <f>IF(G531,"この従業員番号は、すでに他のセルで入力されています。",IF(入力シート!$C$5=入力リスト!$C$4,"",IF(AND(A531="",B531="",C531="",D531="",E531=""),"",IF(OR(A531="",B531="",C531="",D531=""),IF(A531="","従業員番号","")&amp;IF(AND(A531="",OR(B531="",C531="",D531="")),",","")&amp;IF(B531="","雇用形態","")&amp;IF(AND(B531="",OR(C531="",D531="")),",","")&amp;IF(OR(入力シート!$J$18=入力リスト!$H$9,入力シート!$J$22=入力リスト!$H$9),IF(C531="","入社年月日",""),"")&amp;IF(AND(C531="",D531=""),",","")&amp;IF(D531="","性別","")&amp;IF(IF(A531="","従業員番号","")&amp;IF(B531="","雇用形態","")&amp;IF(OR(入力シート!$J$18=入力リスト!$H$9,入力シート!$J$22=入力リスト!$H$9),IF(C531="","入社年月日",""),"")&amp;IF(D531="","性別","")="","","が空白です。"),IF(J531,"入社年月日に「基準日」の翌日以降の日付が入力されています。","")&amp;IF(I531,"入社年月日に数値以外（又は1900/1/1以前の日付）が入力されています。","")&amp;IF(H531,"雇用形態"&amp;IF(OR(K531,L531),",",""),"")&amp;IF(K531,"性別"&amp;IF(L531,",",""),"")&amp;IF(L531,"役職","")&amp;IF(OR(H531,K531,L531),"に、［入力シート］(4)「貴社」欄と異なる文言が入力されています。","")))))</f>
        <v/>
      </c>
      <c r="O531" s="298" t="str">
        <f>IF(B531="","",VLOOKUP('従業員情報(給与以外)'!$B531,入力シート!$S$37:$Z$62,5,0))</f>
        <v/>
      </c>
      <c r="P531" s="298" t="str">
        <f>IF(ISNUMBER(C531)=FALSE,"",IF(C531&gt;入力シート!$J$24,"",_xlfn.DAYS(入力シート!$J$24,'従業員情報(給与以外)'!$C531)/365))</f>
        <v/>
      </c>
      <c r="Q531" s="298" t="str">
        <f>IF(P531="","",VLOOKUP(_xlfn.DAYS(入力シート!$J$24,'従業員情報(給与以外)'!$C531)/365,入力リスト!$K$18:$L$26,2,2))</f>
        <v/>
      </c>
      <c r="R531" s="298" t="str">
        <f>IF(D531="","",VLOOKUP('従業員情報(給与以外)'!$D531,入力シート!$AW$37:$BB$38,4,0))</f>
        <v/>
      </c>
      <c r="S531" s="298" t="str">
        <f>IF(A531="","",IF(E531="","非役職",VLOOKUP('従業員情報(給与以外)'!$E531,入力シート!$AH$37:$AO$62,5,0)))</f>
        <v/>
      </c>
      <c r="T531" s="299" t="str">
        <f>IF(OR(入力シート!$C$5&lt;&gt;入力リスト!$C$3,COUNTIF(入力シート!$J$16:$S$23,入力リスト!$H$9)=0),"",IF($A531="","",IF(ISERROR(AVERAGEIF(従業員の給与情報!$B:$B,$A531,従業員の給与情報!$C:$C)),0,IF(ISERROR(AVERAGEIF(従業員の給与情報!$B:$B,$A531,従業員の給与情報!$C:$C)),0,AVERAGEIF(従業員の給与情報!$B:$B,$A531,従業員の給与情報!$C:$C)))))</f>
        <v/>
      </c>
      <c r="U531" s="299" t="str">
        <f>IF(OR(入力シート!$C$5&lt;&gt;入力リスト!$C$3,COUNTIF(入力シート!$J$16:$S$23,入力リスト!$H$9)=0),"",IF(A531="","",IF(ISERROR(AVERAGEIF(従業員の給与情報!$B:$B,$A531,従業員の給与情報!$D:$D)),0,IF(ISERROR(AVERAGEIF(従業員の給与情報!$B:$B,$A531,従業員の給与情報!$D:$D)),0,AVERAGEIF(従業員の給与情報!$B:$B,$A531,従業員の給与情報!$D:$D)))))</f>
        <v/>
      </c>
      <c r="V531" s="299" t="str">
        <f>IF(OR(入力シート!$C$5&lt;&gt;入力リスト!$C$3,COUNTIF(入力シート!$J$16:$S$23,入力リスト!$H$9)=0),"",IF(A531="","",IF(ISERROR(AVERAGEIF(従業員の給与情報!$B:$B,$A531,従業員の給与情報!$E:$E)),0,IF(ISERROR(AVERAGEIF(従業員の給与情報!$B:$B,$A531,従業員の給与情報!$E:$E)),0,AVERAGEIF(従業員の給与情報!$B:$B,$A531,従業員の給与情報!$E:$E)))))</f>
        <v/>
      </c>
      <c r="W531" s="299" t="str">
        <f>IF(OR(入力シート!$C$5&lt;&gt;入力リスト!$C$3,COUNTIF(入力シート!$J$16:$S$23,入力リスト!$H$9)=0),"",IF(A531="","",IF(ISERROR(AVERAGEIF(従業員の給与情報!$B:$B,$A531,従業員の給与情報!$F:$F)),0,IF(ISERROR(AVERAGEIF(従業員の給与情報!$B:$B,$A531,従業員の給与情報!$F:$F)),0,AVERAGEIF(従業員の給与情報!$B:$B,$A531,従業員の給与情報!$F:$F)))))</f>
        <v/>
      </c>
      <c r="X531" s="581" t="s">
        <v>5270</v>
      </c>
    </row>
    <row r="532" spans="6:24">
      <c r="F532" s="297" t="str">
        <f>IF($G$1,"",IF(COUNTIF(A532:E532,"")=5,"",IF(G532,入力リスト!$K$28,IF(OR(A532="",B532="",IF(COUNTIF($C$3,"*不要*"),"",C532=""),D532=""),IF(A532="","従業員番号","")&amp;IF(B532="","「雇用形態」","")&amp;IF(OR(入力シート!$J$18=入力リスト!$H$9,入力シート!$J$22=入力リスト!$H$9),IF(C532="","「入社年月日」",""),"")&amp;IF(D532="","「性別」","")&amp;IF(IF(A532="","従業員番号","")&amp;IF(B532="","「雇用形態」","")&amp;IF(OR(入力シート!$J$18=入力リスト!$H$9,入力シート!$J$22=入力リスト!$H$9),IF(C532="","「入社年月日」",""),"")&amp;IF(D532="","「性別」","")="","",入力リスト!$K$29),IF(J532,入力リスト!$K$30,"")&amp;IF(I532,入力リスト!$K$31,"")&amp;IF(H532,"「雇用形態」","")&amp;IF(K532,"「性別」","")&amp;IF(L532,"「役職」","")&amp;IF(OR(H532,K532,L532),入力リスト!$K$32,"")))))</f>
        <v/>
      </c>
      <c r="G532" s="298" t="b">
        <f>COUNTIF($A$4:A531,$A532)&gt;0</f>
        <v>0</v>
      </c>
      <c r="H532" s="298" t="b">
        <f>IF($H$1,FALSE,COUNTIF(入力シート!$S$37:$V$62,B532)=0)</f>
        <v>0</v>
      </c>
      <c r="I532" s="298" t="b">
        <f t="shared" si="17"/>
        <v>0</v>
      </c>
      <c r="J532" s="298" t="b">
        <f>IF($J$1,FALSE,IF(I532=TRUE,FALSE,IF(I532,FALSE,C532&gt;入力シート!$J$24)))</f>
        <v>0</v>
      </c>
      <c r="K532" s="298" t="b">
        <f>IF($K$1,FALSE,COUNTIF(入力シート!$AW$37:$BB$38,D532)=0)</f>
        <v>0</v>
      </c>
      <c r="L532" s="298" t="b">
        <f>IF($L$1,FALSE,IF($L$3,FALSE,IF(E532="",FALSE,COUNTIF(入力シート!$AH$37:$AK$62,E532)=0)))</f>
        <v>0</v>
      </c>
      <c r="M532" s="298" t="str">
        <f t="shared" si="18"/>
        <v/>
      </c>
      <c r="N532" s="298" t="str">
        <f>IF(G532,"この従業員番号は、すでに他のセルで入力されています。",IF(入力シート!$C$5=入力リスト!$C$4,"",IF(AND(A532="",B532="",C532="",D532="",E532=""),"",IF(OR(A532="",B532="",C532="",D532=""),IF(A532="","従業員番号","")&amp;IF(AND(A532="",OR(B532="",C532="",D532="")),",","")&amp;IF(B532="","雇用形態","")&amp;IF(AND(B532="",OR(C532="",D532="")),",","")&amp;IF(OR(入力シート!$J$18=入力リスト!$H$9,入力シート!$J$22=入力リスト!$H$9),IF(C532="","入社年月日",""),"")&amp;IF(AND(C532="",D532=""),",","")&amp;IF(D532="","性別","")&amp;IF(IF(A532="","従業員番号","")&amp;IF(B532="","雇用形態","")&amp;IF(OR(入力シート!$J$18=入力リスト!$H$9,入力シート!$J$22=入力リスト!$H$9),IF(C532="","入社年月日",""),"")&amp;IF(D532="","性別","")="","","が空白です。"),IF(J532,"入社年月日に「基準日」の翌日以降の日付が入力されています。","")&amp;IF(I532,"入社年月日に数値以外（又は1900/1/1以前の日付）が入力されています。","")&amp;IF(H532,"雇用形態"&amp;IF(OR(K532,L532),",",""),"")&amp;IF(K532,"性別"&amp;IF(L532,",",""),"")&amp;IF(L532,"役職","")&amp;IF(OR(H532,K532,L532),"に、［入力シート］(4)「貴社」欄と異なる文言が入力されています。","")))))</f>
        <v/>
      </c>
      <c r="O532" s="298" t="str">
        <f>IF(B532="","",VLOOKUP('従業員情報(給与以外)'!$B532,入力シート!$S$37:$Z$62,5,0))</f>
        <v/>
      </c>
      <c r="P532" s="298" t="str">
        <f>IF(ISNUMBER(C532)=FALSE,"",IF(C532&gt;入力シート!$J$24,"",_xlfn.DAYS(入力シート!$J$24,'従業員情報(給与以外)'!$C532)/365))</f>
        <v/>
      </c>
      <c r="Q532" s="298" t="str">
        <f>IF(P532="","",VLOOKUP(_xlfn.DAYS(入力シート!$J$24,'従業員情報(給与以外)'!$C532)/365,入力リスト!$K$18:$L$26,2,2))</f>
        <v/>
      </c>
      <c r="R532" s="298" t="str">
        <f>IF(D532="","",VLOOKUP('従業員情報(給与以外)'!$D532,入力シート!$AW$37:$BB$38,4,0))</f>
        <v/>
      </c>
      <c r="S532" s="298" t="str">
        <f>IF(A532="","",IF(E532="","非役職",VLOOKUP('従業員情報(給与以外)'!$E532,入力シート!$AH$37:$AO$62,5,0)))</f>
        <v/>
      </c>
      <c r="T532" s="299" t="str">
        <f>IF(OR(入力シート!$C$5&lt;&gt;入力リスト!$C$3,COUNTIF(入力シート!$J$16:$S$23,入力リスト!$H$9)=0),"",IF($A532="","",IF(ISERROR(AVERAGEIF(従業員の給与情報!$B:$B,$A532,従業員の給与情報!$C:$C)),0,IF(ISERROR(AVERAGEIF(従業員の給与情報!$B:$B,$A532,従業員の給与情報!$C:$C)),0,AVERAGEIF(従業員の給与情報!$B:$B,$A532,従業員の給与情報!$C:$C)))))</f>
        <v/>
      </c>
      <c r="U532" s="299" t="str">
        <f>IF(OR(入力シート!$C$5&lt;&gt;入力リスト!$C$3,COUNTIF(入力シート!$J$16:$S$23,入力リスト!$H$9)=0),"",IF(A532="","",IF(ISERROR(AVERAGEIF(従業員の給与情報!$B:$B,$A532,従業員の給与情報!$D:$D)),0,IF(ISERROR(AVERAGEIF(従業員の給与情報!$B:$B,$A532,従業員の給与情報!$D:$D)),0,AVERAGEIF(従業員の給与情報!$B:$B,$A532,従業員の給与情報!$D:$D)))))</f>
        <v/>
      </c>
      <c r="V532" s="299" t="str">
        <f>IF(OR(入力シート!$C$5&lt;&gt;入力リスト!$C$3,COUNTIF(入力シート!$J$16:$S$23,入力リスト!$H$9)=0),"",IF(A532="","",IF(ISERROR(AVERAGEIF(従業員の給与情報!$B:$B,$A532,従業員の給与情報!$E:$E)),0,IF(ISERROR(AVERAGEIF(従業員の給与情報!$B:$B,$A532,従業員の給与情報!$E:$E)),0,AVERAGEIF(従業員の給与情報!$B:$B,$A532,従業員の給与情報!$E:$E)))))</f>
        <v/>
      </c>
      <c r="W532" s="299" t="str">
        <f>IF(OR(入力シート!$C$5&lt;&gt;入力リスト!$C$3,COUNTIF(入力シート!$J$16:$S$23,入力リスト!$H$9)=0),"",IF(A532="","",IF(ISERROR(AVERAGEIF(従業員の給与情報!$B:$B,$A532,従業員の給与情報!$F:$F)),0,IF(ISERROR(AVERAGEIF(従業員の給与情報!$B:$B,$A532,従業員の給与情報!$F:$F)),0,AVERAGEIF(従業員の給与情報!$B:$B,$A532,従業員の給与情報!$F:$F)))))</f>
        <v/>
      </c>
      <c r="X532" s="581" t="s">
        <v>5271</v>
      </c>
    </row>
    <row r="533" spans="6:24">
      <c r="F533" s="297" t="str">
        <f>IF($G$1,"",IF(COUNTIF(A533:E533,"")=5,"",IF(G533,入力リスト!$K$28,IF(OR(A533="",B533="",IF(COUNTIF($C$3,"*不要*"),"",C533=""),D533=""),IF(A533="","従業員番号","")&amp;IF(B533="","「雇用形態」","")&amp;IF(OR(入力シート!$J$18=入力リスト!$H$9,入力シート!$J$22=入力リスト!$H$9),IF(C533="","「入社年月日」",""),"")&amp;IF(D533="","「性別」","")&amp;IF(IF(A533="","従業員番号","")&amp;IF(B533="","「雇用形態」","")&amp;IF(OR(入力シート!$J$18=入力リスト!$H$9,入力シート!$J$22=入力リスト!$H$9),IF(C533="","「入社年月日」",""),"")&amp;IF(D533="","「性別」","")="","",入力リスト!$K$29),IF(J533,入力リスト!$K$30,"")&amp;IF(I533,入力リスト!$K$31,"")&amp;IF(H533,"「雇用形態」","")&amp;IF(K533,"「性別」","")&amp;IF(L533,"「役職」","")&amp;IF(OR(H533,K533,L533),入力リスト!$K$32,"")))))</f>
        <v/>
      </c>
      <c r="G533" s="298" t="b">
        <f>COUNTIF($A$4:A532,$A533)&gt;0</f>
        <v>0</v>
      </c>
      <c r="H533" s="298" t="b">
        <f>IF($H$1,FALSE,COUNTIF(入力シート!$S$37:$V$62,B533)=0)</f>
        <v>0</v>
      </c>
      <c r="I533" s="298" t="b">
        <f t="shared" si="17"/>
        <v>0</v>
      </c>
      <c r="J533" s="298" t="b">
        <f>IF($J$1,FALSE,IF(I533=TRUE,FALSE,IF(I533,FALSE,C533&gt;入力シート!$J$24)))</f>
        <v>0</v>
      </c>
      <c r="K533" s="298" t="b">
        <f>IF($K$1,FALSE,COUNTIF(入力シート!$AW$37:$BB$38,D533)=0)</f>
        <v>0</v>
      </c>
      <c r="L533" s="298" t="b">
        <f>IF($L$1,FALSE,IF($L$3,FALSE,IF(E533="",FALSE,COUNTIF(入力シート!$AH$37:$AK$62,E533)=0)))</f>
        <v>0</v>
      </c>
      <c r="M533" s="298" t="str">
        <f t="shared" si="18"/>
        <v/>
      </c>
      <c r="N533" s="298" t="str">
        <f>IF(G533,"この従業員番号は、すでに他のセルで入力されています。",IF(入力シート!$C$5=入力リスト!$C$4,"",IF(AND(A533="",B533="",C533="",D533="",E533=""),"",IF(OR(A533="",B533="",C533="",D533=""),IF(A533="","従業員番号","")&amp;IF(AND(A533="",OR(B533="",C533="",D533="")),",","")&amp;IF(B533="","雇用形態","")&amp;IF(AND(B533="",OR(C533="",D533="")),",","")&amp;IF(OR(入力シート!$J$18=入力リスト!$H$9,入力シート!$J$22=入力リスト!$H$9),IF(C533="","入社年月日",""),"")&amp;IF(AND(C533="",D533=""),",","")&amp;IF(D533="","性別","")&amp;IF(IF(A533="","従業員番号","")&amp;IF(B533="","雇用形態","")&amp;IF(OR(入力シート!$J$18=入力リスト!$H$9,入力シート!$J$22=入力リスト!$H$9),IF(C533="","入社年月日",""),"")&amp;IF(D533="","性別","")="","","が空白です。"),IF(J533,"入社年月日に「基準日」の翌日以降の日付が入力されています。","")&amp;IF(I533,"入社年月日に数値以外（又は1900/1/1以前の日付）が入力されています。","")&amp;IF(H533,"雇用形態"&amp;IF(OR(K533,L533),",",""),"")&amp;IF(K533,"性別"&amp;IF(L533,",",""),"")&amp;IF(L533,"役職","")&amp;IF(OR(H533,K533,L533),"に、［入力シート］(4)「貴社」欄と異なる文言が入力されています。","")))))</f>
        <v/>
      </c>
      <c r="O533" s="298" t="str">
        <f>IF(B533="","",VLOOKUP('従業員情報(給与以外)'!$B533,入力シート!$S$37:$Z$62,5,0))</f>
        <v/>
      </c>
      <c r="P533" s="298" t="str">
        <f>IF(ISNUMBER(C533)=FALSE,"",IF(C533&gt;入力シート!$J$24,"",_xlfn.DAYS(入力シート!$J$24,'従業員情報(給与以外)'!$C533)/365))</f>
        <v/>
      </c>
      <c r="Q533" s="298" t="str">
        <f>IF(P533="","",VLOOKUP(_xlfn.DAYS(入力シート!$J$24,'従業員情報(給与以外)'!$C533)/365,入力リスト!$K$18:$L$26,2,2))</f>
        <v/>
      </c>
      <c r="R533" s="298" t="str">
        <f>IF(D533="","",VLOOKUP('従業員情報(給与以外)'!$D533,入力シート!$AW$37:$BB$38,4,0))</f>
        <v/>
      </c>
      <c r="S533" s="298" t="str">
        <f>IF(A533="","",IF(E533="","非役職",VLOOKUP('従業員情報(給与以外)'!$E533,入力シート!$AH$37:$AO$62,5,0)))</f>
        <v/>
      </c>
      <c r="T533" s="299" t="str">
        <f>IF(OR(入力シート!$C$5&lt;&gt;入力リスト!$C$3,COUNTIF(入力シート!$J$16:$S$23,入力リスト!$H$9)=0),"",IF($A533="","",IF(ISERROR(AVERAGEIF(従業員の給与情報!$B:$B,$A533,従業員の給与情報!$C:$C)),0,IF(ISERROR(AVERAGEIF(従業員の給与情報!$B:$B,$A533,従業員の給与情報!$C:$C)),0,AVERAGEIF(従業員の給与情報!$B:$B,$A533,従業員の給与情報!$C:$C)))))</f>
        <v/>
      </c>
      <c r="U533" s="299" t="str">
        <f>IF(OR(入力シート!$C$5&lt;&gt;入力リスト!$C$3,COUNTIF(入力シート!$J$16:$S$23,入力リスト!$H$9)=0),"",IF(A533="","",IF(ISERROR(AVERAGEIF(従業員の給与情報!$B:$B,$A533,従業員の給与情報!$D:$D)),0,IF(ISERROR(AVERAGEIF(従業員の給与情報!$B:$B,$A533,従業員の給与情報!$D:$D)),0,AVERAGEIF(従業員の給与情報!$B:$B,$A533,従業員の給与情報!$D:$D)))))</f>
        <v/>
      </c>
      <c r="V533" s="299" t="str">
        <f>IF(OR(入力シート!$C$5&lt;&gt;入力リスト!$C$3,COUNTIF(入力シート!$J$16:$S$23,入力リスト!$H$9)=0),"",IF(A533="","",IF(ISERROR(AVERAGEIF(従業員の給与情報!$B:$B,$A533,従業員の給与情報!$E:$E)),0,IF(ISERROR(AVERAGEIF(従業員の給与情報!$B:$B,$A533,従業員の給与情報!$E:$E)),0,AVERAGEIF(従業員の給与情報!$B:$B,$A533,従業員の給与情報!$E:$E)))))</f>
        <v/>
      </c>
      <c r="W533" s="299" t="str">
        <f>IF(OR(入力シート!$C$5&lt;&gt;入力リスト!$C$3,COUNTIF(入力シート!$J$16:$S$23,入力リスト!$H$9)=0),"",IF(A533="","",IF(ISERROR(AVERAGEIF(従業員の給与情報!$B:$B,$A533,従業員の給与情報!$F:$F)),0,IF(ISERROR(AVERAGEIF(従業員の給与情報!$B:$B,$A533,従業員の給与情報!$F:$F)),0,AVERAGEIF(従業員の給与情報!$B:$B,$A533,従業員の給与情報!$F:$F)))))</f>
        <v/>
      </c>
      <c r="X533" s="581" t="s">
        <v>5272</v>
      </c>
    </row>
    <row r="534" spans="6:24">
      <c r="F534" s="297" t="str">
        <f>IF($G$1,"",IF(COUNTIF(A534:E534,"")=5,"",IF(G534,入力リスト!$K$28,IF(OR(A534="",B534="",IF(COUNTIF($C$3,"*不要*"),"",C534=""),D534=""),IF(A534="","従業員番号","")&amp;IF(B534="","「雇用形態」","")&amp;IF(OR(入力シート!$J$18=入力リスト!$H$9,入力シート!$J$22=入力リスト!$H$9),IF(C534="","「入社年月日」",""),"")&amp;IF(D534="","「性別」","")&amp;IF(IF(A534="","従業員番号","")&amp;IF(B534="","「雇用形態」","")&amp;IF(OR(入力シート!$J$18=入力リスト!$H$9,入力シート!$J$22=入力リスト!$H$9),IF(C534="","「入社年月日」",""),"")&amp;IF(D534="","「性別」","")="","",入力リスト!$K$29),IF(J534,入力リスト!$K$30,"")&amp;IF(I534,入力リスト!$K$31,"")&amp;IF(H534,"「雇用形態」","")&amp;IF(K534,"「性別」","")&amp;IF(L534,"「役職」","")&amp;IF(OR(H534,K534,L534),入力リスト!$K$32,"")))))</f>
        <v/>
      </c>
      <c r="G534" s="298" t="b">
        <f>COUNTIF($A$4:A533,$A534)&gt;0</f>
        <v>0</v>
      </c>
      <c r="H534" s="298" t="b">
        <f>IF($H$1,FALSE,COUNTIF(入力シート!$S$37:$V$62,B534)=0)</f>
        <v>0</v>
      </c>
      <c r="I534" s="298" t="b">
        <f t="shared" si="17"/>
        <v>0</v>
      </c>
      <c r="J534" s="298" t="b">
        <f>IF($J$1,FALSE,IF(I534=TRUE,FALSE,IF(I534,FALSE,C534&gt;入力シート!$J$24)))</f>
        <v>0</v>
      </c>
      <c r="K534" s="298" t="b">
        <f>IF($K$1,FALSE,COUNTIF(入力シート!$AW$37:$BB$38,D534)=0)</f>
        <v>0</v>
      </c>
      <c r="L534" s="298" t="b">
        <f>IF($L$1,FALSE,IF($L$3,FALSE,IF(E534="",FALSE,COUNTIF(入力シート!$AH$37:$AK$62,E534)=0)))</f>
        <v>0</v>
      </c>
      <c r="M534" s="298" t="str">
        <f t="shared" si="18"/>
        <v/>
      </c>
      <c r="N534" s="298" t="str">
        <f>IF(G534,"この従業員番号は、すでに他のセルで入力されています。",IF(入力シート!$C$5=入力リスト!$C$4,"",IF(AND(A534="",B534="",C534="",D534="",E534=""),"",IF(OR(A534="",B534="",C534="",D534=""),IF(A534="","従業員番号","")&amp;IF(AND(A534="",OR(B534="",C534="",D534="")),",","")&amp;IF(B534="","雇用形態","")&amp;IF(AND(B534="",OR(C534="",D534="")),",","")&amp;IF(OR(入力シート!$J$18=入力リスト!$H$9,入力シート!$J$22=入力リスト!$H$9),IF(C534="","入社年月日",""),"")&amp;IF(AND(C534="",D534=""),",","")&amp;IF(D534="","性別","")&amp;IF(IF(A534="","従業員番号","")&amp;IF(B534="","雇用形態","")&amp;IF(OR(入力シート!$J$18=入力リスト!$H$9,入力シート!$J$22=入力リスト!$H$9),IF(C534="","入社年月日",""),"")&amp;IF(D534="","性別","")="","","が空白です。"),IF(J534,"入社年月日に「基準日」の翌日以降の日付が入力されています。","")&amp;IF(I534,"入社年月日に数値以外（又は1900/1/1以前の日付）が入力されています。","")&amp;IF(H534,"雇用形態"&amp;IF(OR(K534,L534),",",""),"")&amp;IF(K534,"性別"&amp;IF(L534,",",""),"")&amp;IF(L534,"役職","")&amp;IF(OR(H534,K534,L534),"に、［入力シート］(4)「貴社」欄と異なる文言が入力されています。","")))))</f>
        <v/>
      </c>
      <c r="O534" s="298" t="str">
        <f>IF(B534="","",VLOOKUP('従業員情報(給与以外)'!$B534,入力シート!$S$37:$Z$62,5,0))</f>
        <v/>
      </c>
      <c r="P534" s="298" t="str">
        <f>IF(ISNUMBER(C534)=FALSE,"",IF(C534&gt;入力シート!$J$24,"",_xlfn.DAYS(入力シート!$J$24,'従業員情報(給与以外)'!$C534)/365))</f>
        <v/>
      </c>
      <c r="Q534" s="298" t="str">
        <f>IF(P534="","",VLOOKUP(_xlfn.DAYS(入力シート!$J$24,'従業員情報(給与以外)'!$C534)/365,入力リスト!$K$18:$L$26,2,2))</f>
        <v/>
      </c>
      <c r="R534" s="298" t="str">
        <f>IF(D534="","",VLOOKUP('従業員情報(給与以外)'!$D534,入力シート!$AW$37:$BB$38,4,0))</f>
        <v/>
      </c>
      <c r="S534" s="298" t="str">
        <f>IF(A534="","",IF(E534="","非役職",VLOOKUP('従業員情報(給与以外)'!$E534,入力シート!$AH$37:$AO$62,5,0)))</f>
        <v/>
      </c>
      <c r="T534" s="299" t="str">
        <f>IF(OR(入力シート!$C$5&lt;&gt;入力リスト!$C$3,COUNTIF(入力シート!$J$16:$S$23,入力リスト!$H$9)=0),"",IF($A534="","",IF(ISERROR(AVERAGEIF(従業員の給与情報!$B:$B,$A534,従業員の給与情報!$C:$C)),0,IF(ISERROR(AVERAGEIF(従業員の給与情報!$B:$B,$A534,従業員の給与情報!$C:$C)),0,AVERAGEIF(従業員の給与情報!$B:$B,$A534,従業員の給与情報!$C:$C)))))</f>
        <v/>
      </c>
      <c r="U534" s="299" t="str">
        <f>IF(OR(入力シート!$C$5&lt;&gt;入力リスト!$C$3,COUNTIF(入力シート!$J$16:$S$23,入力リスト!$H$9)=0),"",IF(A534="","",IF(ISERROR(AVERAGEIF(従業員の給与情報!$B:$B,$A534,従業員の給与情報!$D:$D)),0,IF(ISERROR(AVERAGEIF(従業員の給与情報!$B:$B,$A534,従業員の給与情報!$D:$D)),0,AVERAGEIF(従業員の給与情報!$B:$B,$A534,従業員の給与情報!$D:$D)))))</f>
        <v/>
      </c>
      <c r="V534" s="299" t="str">
        <f>IF(OR(入力シート!$C$5&lt;&gt;入力リスト!$C$3,COUNTIF(入力シート!$J$16:$S$23,入力リスト!$H$9)=0),"",IF(A534="","",IF(ISERROR(AVERAGEIF(従業員の給与情報!$B:$B,$A534,従業員の給与情報!$E:$E)),0,IF(ISERROR(AVERAGEIF(従業員の給与情報!$B:$B,$A534,従業員の給与情報!$E:$E)),0,AVERAGEIF(従業員の給与情報!$B:$B,$A534,従業員の給与情報!$E:$E)))))</f>
        <v/>
      </c>
      <c r="W534" s="299" t="str">
        <f>IF(OR(入力シート!$C$5&lt;&gt;入力リスト!$C$3,COUNTIF(入力シート!$J$16:$S$23,入力リスト!$H$9)=0),"",IF(A534="","",IF(ISERROR(AVERAGEIF(従業員の給与情報!$B:$B,$A534,従業員の給与情報!$F:$F)),0,IF(ISERROR(AVERAGEIF(従業員の給与情報!$B:$B,$A534,従業員の給与情報!$F:$F)),0,AVERAGEIF(従業員の給与情報!$B:$B,$A534,従業員の給与情報!$F:$F)))))</f>
        <v/>
      </c>
      <c r="X534" s="581" t="s">
        <v>5273</v>
      </c>
    </row>
    <row r="535" spans="6:24">
      <c r="F535" s="297" t="str">
        <f>IF($G$1,"",IF(COUNTIF(A535:E535,"")=5,"",IF(G535,入力リスト!$K$28,IF(OR(A535="",B535="",IF(COUNTIF($C$3,"*不要*"),"",C535=""),D535=""),IF(A535="","従業員番号","")&amp;IF(B535="","「雇用形態」","")&amp;IF(OR(入力シート!$J$18=入力リスト!$H$9,入力シート!$J$22=入力リスト!$H$9),IF(C535="","「入社年月日」",""),"")&amp;IF(D535="","「性別」","")&amp;IF(IF(A535="","従業員番号","")&amp;IF(B535="","「雇用形態」","")&amp;IF(OR(入力シート!$J$18=入力リスト!$H$9,入力シート!$J$22=入力リスト!$H$9),IF(C535="","「入社年月日」",""),"")&amp;IF(D535="","「性別」","")="","",入力リスト!$K$29),IF(J535,入力リスト!$K$30,"")&amp;IF(I535,入力リスト!$K$31,"")&amp;IF(H535,"「雇用形態」","")&amp;IF(K535,"「性別」","")&amp;IF(L535,"「役職」","")&amp;IF(OR(H535,K535,L535),入力リスト!$K$32,"")))))</f>
        <v/>
      </c>
      <c r="G535" s="298" t="b">
        <f>COUNTIF($A$4:A534,$A535)&gt;0</f>
        <v>0</v>
      </c>
      <c r="H535" s="298" t="b">
        <f>IF($H$1,FALSE,COUNTIF(入力シート!$S$37:$V$62,B535)=0)</f>
        <v>0</v>
      </c>
      <c r="I535" s="298" t="b">
        <f t="shared" si="17"/>
        <v>0</v>
      </c>
      <c r="J535" s="298" t="b">
        <f>IF($J$1,FALSE,IF(I535=TRUE,FALSE,IF(I535,FALSE,C535&gt;入力シート!$J$24)))</f>
        <v>0</v>
      </c>
      <c r="K535" s="298" t="b">
        <f>IF($K$1,FALSE,COUNTIF(入力シート!$AW$37:$BB$38,D535)=0)</f>
        <v>0</v>
      </c>
      <c r="L535" s="298" t="b">
        <f>IF($L$1,FALSE,IF($L$3,FALSE,IF(E535="",FALSE,COUNTIF(入力シート!$AH$37:$AK$62,E535)=0)))</f>
        <v>0</v>
      </c>
      <c r="M535" s="298" t="str">
        <f t="shared" si="18"/>
        <v/>
      </c>
      <c r="N535" s="298" t="str">
        <f>IF(G535,"この従業員番号は、すでに他のセルで入力されています。",IF(入力シート!$C$5=入力リスト!$C$4,"",IF(AND(A535="",B535="",C535="",D535="",E535=""),"",IF(OR(A535="",B535="",C535="",D535=""),IF(A535="","従業員番号","")&amp;IF(AND(A535="",OR(B535="",C535="",D535="")),",","")&amp;IF(B535="","雇用形態","")&amp;IF(AND(B535="",OR(C535="",D535="")),",","")&amp;IF(OR(入力シート!$J$18=入力リスト!$H$9,入力シート!$J$22=入力リスト!$H$9),IF(C535="","入社年月日",""),"")&amp;IF(AND(C535="",D535=""),",","")&amp;IF(D535="","性別","")&amp;IF(IF(A535="","従業員番号","")&amp;IF(B535="","雇用形態","")&amp;IF(OR(入力シート!$J$18=入力リスト!$H$9,入力シート!$J$22=入力リスト!$H$9),IF(C535="","入社年月日",""),"")&amp;IF(D535="","性別","")="","","が空白です。"),IF(J535,"入社年月日に「基準日」の翌日以降の日付が入力されています。","")&amp;IF(I535,"入社年月日に数値以外（又は1900/1/1以前の日付）が入力されています。","")&amp;IF(H535,"雇用形態"&amp;IF(OR(K535,L535),",",""),"")&amp;IF(K535,"性別"&amp;IF(L535,",",""),"")&amp;IF(L535,"役職","")&amp;IF(OR(H535,K535,L535),"に、［入力シート］(4)「貴社」欄と異なる文言が入力されています。","")))))</f>
        <v/>
      </c>
      <c r="O535" s="298" t="str">
        <f>IF(B535="","",VLOOKUP('従業員情報(給与以外)'!$B535,入力シート!$S$37:$Z$62,5,0))</f>
        <v/>
      </c>
      <c r="P535" s="298" t="str">
        <f>IF(ISNUMBER(C535)=FALSE,"",IF(C535&gt;入力シート!$J$24,"",_xlfn.DAYS(入力シート!$J$24,'従業員情報(給与以外)'!$C535)/365))</f>
        <v/>
      </c>
      <c r="Q535" s="298" t="str">
        <f>IF(P535="","",VLOOKUP(_xlfn.DAYS(入力シート!$J$24,'従業員情報(給与以外)'!$C535)/365,入力リスト!$K$18:$L$26,2,2))</f>
        <v/>
      </c>
      <c r="R535" s="298" t="str">
        <f>IF(D535="","",VLOOKUP('従業員情報(給与以外)'!$D535,入力シート!$AW$37:$BB$38,4,0))</f>
        <v/>
      </c>
      <c r="S535" s="298" t="str">
        <f>IF(A535="","",IF(E535="","非役職",VLOOKUP('従業員情報(給与以外)'!$E535,入力シート!$AH$37:$AO$62,5,0)))</f>
        <v/>
      </c>
      <c r="T535" s="299" t="str">
        <f>IF(OR(入力シート!$C$5&lt;&gt;入力リスト!$C$3,COUNTIF(入力シート!$J$16:$S$23,入力リスト!$H$9)=0),"",IF($A535="","",IF(ISERROR(AVERAGEIF(従業員の給与情報!$B:$B,$A535,従業員の給与情報!$C:$C)),0,IF(ISERROR(AVERAGEIF(従業員の給与情報!$B:$B,$A535,従業員の給与情報!$C:$C)),0,AVERAGEIF(従業員の給与情報!$B:$B,$A535,従業員の給与情報!$C:$C)))))</f>
        <v/>
      </c>
      <c r="U535" s="299" t="str">
        <f>IF(OR(入力シート!$C$5&lt;&gt;入力リスト!$C$3,COUNTIF(入力シート!$J$16:$S$23,入力リスト!$H$9)=0),"",IF(A535="","",IF(ISERROR(AVERAGEIF(従業員の給与情報!$B:$B,$A535,従業員の給与情報!$D:$D)),0,IF(ISERROR(AVERAGEIF(従業員の給与情報!$B:$B,$A535,従業員の給与情報!$D:$D)),0,AVERAGEIF(従業員の給与情報!$B:$B,$A535,従業員の給与情報!$D:$D)))))</f>
        <v/>
      </c>
      <c r="V535" s="299" t="str">
        <f>IF(OR(入力シート!$C$5&lt;&gt;入力リスト!$C$3,COUNTIF(入力シート!$J$16:$S$23,入力リスト!$H$9)=0),"",IF(A535="","",IF(ISERROR(AVERAGEIF(従業員の給与情報!$B:$B,$A535,従業員の給与情報!$E:$E)),0,IF(ISERROR(AVERAGEIF(従業員の給与情報!$B:$B,$A535,従業員の給与情報!$E:$E)),0,AVERAGEIF(従業員の給与情報!$B:$B,$A535,従業員の給与情報!$E:$E)))))</f>
        <v/>
      </c>
      <c r="W535" s="299" t="str">
        <f>IF(OR(入力シート!$C$5&lt;&gt;入力リスト!$C$3,COUNTIF(入力シート!$J$16:$S$23,入力リスト!$H$9)=0),"",IF(A535="","",IF(ISERROR(AVERAGEIF(従業員の給与情報!$B:$B,$A535,従業員の給与情報!$F:$F)),0,IF(ISERROR(AVERAGEIF(従業員の給与情報!$B:$B,$A535,従業員の給与情報!$F:$F)),0,AVERAGEIF(従業員の給与情報!$B:$B,$A535,従業員の給与情報!$F:$F)))))</f>
        <v/>
      </c>
      <c r="X535" s="581" t="s">
        <v>5274</v>
      </c>
    </row>
    <row r="536" spans="6:24">
      <c r="F536" s="297" t="str">
        <f>IF($G$1,"",IF(COUNTIF(A536:E536,"")=5,"",IF(G536,入力リスト!$K$28,IF(OR(A536="",B536="",IF(COUNTIF($C$3,"*不要*"),"",C536=""),D536=""),IF(A536="","従業員番号","")&amp;IF(B536="","「雇用形態」","")&amp;IF(OR(入力シート!$J$18=入力リスト!$H$9,入力シート!$J$22=入力リスト!$H$9),IF(C536="","「入社年月日」",""),"")&amp;IF(D536="","「性別」","")&amp;IF(IF(A536="","従業員番号","")&amp;IF(B536="","「雇用形態」","")&amp;IF(OR(入力シート!$J$18=入力リスト!$H$9,入力シート!$J$22=入力リスト!$H$9),IF(C536="","「入社年月日」",""),"")&amp;IF(D536="","「性別」","")="","",入力リスト!$K$29),IF(J536,入力リスト!$K$30,"")&amp;IF(I536,入力リスト!$K$31,"")&amp;IF(H536,"「雇用形態」","")&amp;IF(K536,"「性別」","")&amp;IF(L536,"「役職」","")&amp;IF(OR(H536,K536,L536),入力リスト!$K$32,"")))))</f>
        <v/>
      </c>
      <c r="G536" s="298" t="b">
        <f>COUNTIF($A$4:A535,$A536)&gt;0</f>
        <v>0</v>
      </c>
      <c r="H536" s="298" t="b">
        <f>IF($H$1,FALSE,COUNTIF(入力シート!$S$37:$V$62,B536)=0)</f>
        <v>0</v>
      </c>
      <c r="I536" s="298" t="b">
        <f t="shared" si="17"/>
        <v>0</v>
      </c>
      <c r="J536" s="298" t="b">
        <f>IF($J$1,FALSE,IF(I536=TRUE,FALSE,IF(I536,FALSE,C536&gt;入力シート!$J$24)))</f>
        <v>0</v>
      </c>
      <c r="K536" s="298" t="b">
        <f>IF($K$1,FALSE,COUNTIF(入力シート!$AW$37:$BB$38,D536)=0)</f>
        <v>0</v>
      </c>
      <c r="L536" s="298" t="b">
        <f>IF($L$1,FALSE,IF($L$3,FALSE,IF(E536="",FALSE,COUNTIF(入力シート!$AH$37:$AK$62,E536)=0)))</f>
        <v>0</v>
      </c>
      <c r="M536" s="298" t="str">
        <f t="shared" si="18"/>
        <v/>
      </c>
      <c r="N536" s="298" t="str">
        <f>IF(G536,"この従業員番号は、すでに他のセルで入力されています。",IF(入力シート!$C$5=入力リスト!$C$4,"",IF(AND(A536="",B536="",C536="",D536="",E536=""),"",IF(OR(A536="",B536="",C536="",D536=""),IF(A536="","従業員番号","")&amp;IF(AND(A536="",OR(B536="",C536="",D536="")),",","")&amp;IF(B536="","雇用形態","")&amp;IF(AND(B536="",OR(C536="",D536="")),",","")&amp;IF(OR(入力シート!$J$18=入力リスト!$H$9,入力シート!$J$22=入力リスト!$H$9),IF(C536="","入社年月日",""),"")&amp;IF(AND(C536="",D536=""),",","")&amp;IF(D536="","性別","")&amp;IF(IF(A536="","従業員番号","")&amp;IF(B536="","雇用形態","")&amp;IF(OR(入力シート!$J$18=入力リスト!$H$9,入力シート!$J$22=入力リスト!$H$9),IF(C536="","入社年月日",""),"")&amp;IF(D536="","性別","")="","","が空白です。"),IF(J536,"入社年月日に「基準日」の翌日以降の日付が入力されています。","")&amp;IF(I536,"入社年月日に数値以外（又は1900/1/1以前の日付）が入力されています。","")&amp;IF(H536,"雇用形態"&amp;IF(OR(K536,L536),",",""),"")&amp;IF(K536,"性別"&amp;IF(L536,",",""),"")&amp;IF(L536,"役職","")&amp;IF(OR(H536,K536,L536),"に、［入力シート］(4)「貴社」欄と異なる文言が入力されています。","")))))</f>
        <v/>
      </c>
      <c r="O536" s="298" t="str">
        <f>IF(B536="","",VLOOKUP('従業員情報(給与以外)'!$B536,入力シート!$S$37:$Z$62,5,0))</f>
        <v/>
      </c>
      <c r="P536" s="298" t="str">
        <f>IF(ISNUMBER(C536)=FALSE,"",IF(C536&gt;入力シート!$J$24,"",_xlfn.DAYS(入力シート!$J$24,'従業員情報(給与以外)'!$C536)/365))</f>
        <v/>
      </c>
      <c r="Q536" s="298" t="str">
        <f>IF(P536="","",VLOOKUP(_xlfn.DAYS(入力シート!$J$24,'従業員情報(給与以外)'!$C536)/365,入力リスト!$K$18:$L$26,2,2))</f>
        <v/>
      </c>
      <c r="R536" s="298" t="str">
        <f>IF(D536="","",VLOOKUP('従業員情報(給与以外)'!$D536,入力シート!$AW$37:$BB$38,4,0))</f>
        <v/>
      </c>
      <c r="S536" s="298" t="str">
        <f>IF(A536="","",IF(E536="","非役職",VLOOKUP('従業員情報(給与以外)'!$E536,入力シート!$AH$37:$AO$62,5,0)))</f>
        <v/>
      </c>
      <c r="T536" s="299" t="str">
        <f>IF(OR(入力シート!$C$5&lt;&gt;入力リスト!$C$3,COUNTIF(入力シート!$J$16:$S$23,入力リスト!$H$9)=0),"",IF($A536="","",IF(ISERROR(AVERAGEIF(従業員の給与情報!$B:$B,$A536,従業員の給与情報!$C:$C)),0,IF(ISERROR(AVERAGEIF(従業員の給与情報!$B:$B,$A536,従業員の給与情報!$C:$C)),0,AVERAGEIF(従業員の給与情報!$B:$B,$A536,従業員の給与情報!$C:$C)))))</f>
        <v/>
      </c>
      <c r="U536" s="299" t="str">
        <f>IF(OR(入力シート!$C$5&lt;&gt;入力リスト!$C$3,COUNTIF(入力シート!$J$16:$S$23,入力リスト!$H$9)=0),"",IF(A536="","",IF(ISERROR(AVERAGEIF(従業員の給与情報!$B:$B,$A536,従業員の給与情報!$D:$D)),0,IF(ISERROR(AVERAGEIF(従業員の給与情報!$B:$B,$A536,従業員の給与情報!$D:$D)),0,AVERAGEIF(従業員の給与情報!$B:$B,$A536,従業員の給与情報!$D:$D)))))</f>
        <v/>
      </c>
      <c r="V536" s="299" t="str">
        <f>IF(OR(入力シート!$C$5&lt;&gt;入力リスト!$C$3,COUNTIF(入力シート!$J$16:$S$23,入力リスト!$H$9)=0),"",IF(A536="","",IF(ISERROR(AVERAGEIF(従業員の給与情報!$B:$B,$A536,従業員の給与情報!$E:$E)),0,IF(ISERROR(AVERAGEIF(従業員の給与情報!$B:$B,$A536,従業員の給与情報!$E:$E)),0,AVERAGEIF(従業員の給与情報!$B:$B,$A536,従業員の給与情報!$E:$E)))))</f>
        <v/>
      </c>
      <c r="W536" s="299" t="str">
        <f>IF(OR(入力シート!$C$5&lt;&gt;入力リスト!$C$3,COUNTIF(入力シート!$J$16:$S$23,入力リスト!$H$9)=0),"",IF(A536="","",IF(ISERROR(AVERAGEIF(従業員の給与情報!$B:$B,$A536,従業員の給与情報!$F:$F)),0,IF(ISERROR(AVERAGEIF(従業員の給与情報!$B:$B,$A536,従業員の給与情報!$F:$F)),0,AVERAGEIF(従業員の給与情報!$B:$B,$A536,従業員の給与情報!$F:$F)))))</f>
        <v/>
      </c>
      <c r="X536" s="581" t="s">
        <v>5275</v>
      </c>
    </row>
    <row r="537" spans="6:24">
      <c r="F537" s="297" t="str">
        <f>IF($G$1,"",IF(COUNTIF(A537:E537,"")=5,"",IF(G537,入力リスト!$K$28,IF(OR(A537="",B537="",IF(COUNTIF($C$3,"*不要*"),"",C537=""),D537=""),IF(A537="","従業員番号","")&amp;IF(B537="","「雇用形態」","")&amp;IF(OR(入力シート!$J$18=入力リスト!$H$9,入力シート!$J$22=入力リスト!$H$9),IF(C537="","「入社年月日」",""),"")&amp;IF(D537="","「性別」","")&amp;IF(IF(A537="","従業員番号","")&amp;IF(B537="","「雇用形態」","")&amp;IF(OR(入力シート!$J$18=入力リスト!$H$9,入力シート!$J$22=入力リスト!$H$9),IF(C537="","「入社年月日」",""),"")&amp;IF(D537="","「性別」","")="","",入力リスト!$K$29),IF(J537,入力リスト!$K$30,"")&amp;IF(I537,入力リスト!$K$31,"")&amp;IF(H537,"「雇用形態」","")&amp;IF(K537,"「性別」","")&amp;IF(L537,"「役職」","")&amp;IF(OR(H537,K537,L537),入力リスト!$K$32,"")))))</f>
        <v/>
      </c>
      <c r="G537" s="298" t="b">
        <f>COUNTIF($A$4:A536,$A537)&gt;0</f>
        <v>0</v>
      </c>
      <c r="H537" s="298" t="b">
        <f>IF($H$1,FALSE,COUNTIF(入力シート!$S$37:$V$62,B537)=0)</f>
        <v>0</v>
      </c>
      <c r="I537" s="298" t="b">
        <f t="shared" si="17"/>
        <v>0</v>
      </c>
      <c r="J537" s="298" t="b">
        <f>IF($J$1,FALSE,IF(I537=TRUE,FALSE,IF(I537,FALSE,C537&gt;入力シート!$J$24)))</f>
        <v>0</v>
      </c>
      <c r="K537" s="298" t="b">
        <f>IF($K$1,FALSE,COUNTIF(入力シート!$AW$37:$BB$38,D537)=0)</f>
        <v>0</v>
      </c>
      <c r="L537" s="298" t="b">
        <f>IF($L$1,FALSE,IF($L$3,FALSE,IF(E537="",FALSE,COUNTIF(入力シート!$AH$37:$AK$62,E537)=0)))</f>
        <v>0</v>
      </c>
      <c r="M537" s="298" t="str">
        <f t="shared" si="18"/>
        <v/>
      </c>
      <c r="N537" s="298" t="str">
        <f>IF(G537,"この従業員番号は、すでに他のセルで入力されています。",IF(入力シート!$C$5=入力リスト!$C$4,"",IF(AND(A537="",B537="",C537="",D537="",E537=""),"",IF(OR(A537="",B537="",C537="",D537=""),IF(A537="","従業員番号","")&amp;IF(AND(A537="",OR(B537="",C537="",D537="")),",","")&amp;IF(B537="","雇用形態","")&amp;IF(AND(B537="",OR(C537="",D537="")),",","")&amp;IF(OR(入力シート!$J$18=入力リスト!$H$9,入力シート!$J$22=入力リスト!$H$9),IF(C537="","入社年月日",""),"")&amp;IF(AND(C537="",D537=""),",","")&amp;IF(D537="","性別","")&amp;IF(IF(A537="","従業員番号","")&amp;IF(B537="","雇用形態","")&amp;IF(OR(入力シート!$J$18=入力リスト!$H$9,入力シート!$J$22=入力リスト!$H$9),IF(C537="","入社年月日",""),"")&amp;IF(D537="","性別","")="","","が空白です。"),IF(J537,"入社年月日に「基準日」の翌日以降の日付が入力されています。","")&amp;IF(I537,"入社年月日に数値以外（又は1900/1/1以前の日付）が入力されています。","")&amp;IF(H537,"雇用形態"&amp;IF(OR(K537,L537),",",""),"")&amp;IF(K537,"性別"&amp;IF(L537,",",""),"")&amp;IF(L537,"役職","")&amp;IF(OR(H537,K537,L537),"に、［入力シート］(4)「貴社」欄と異なる文言が入力されています。","")))))</f>
        <v/>
      </c>
      <c r="O537" s="298" t="str">
        <f>IF(B537="","",VLOOKUP('従業員情報(給与以外)'!$B537,入力シート!$S$37:$Z$62,5,0))</f>
        <v/>
      </c>
      <c r="P537" s="298" t="str">
        <f>IF(ISNUMBER(C537)=FALSE,"",IF(C537&gt;入力シート!$J$24,"",_xlfn.DAYS(入力シート!$J$24,'従業員情報(給与以外)'!$C537)/365))</f>
        <v/>
      </c>
      <c r="Q537" s="298" t="str">
        <f>IF(P537="","",VLOOKUP(_xlfn.DAYS(入力シート!$J$24,'従業員情報(給与以外)'!$C537)/365,入力リスト!$K$18:$L$26,2,2))</f>
        <v/>
      </c>
      <c r="R537" s="298" t="str">
        <f>IF(D537="","",VLOOKUP('従業員情報(給与以外)'!$D537,入力シート!$AW$37:$BB$38,4,0))</f>
        <v/>
      </c>
      <c r="S537" s="298" t="str">
        <f>IF(A537="","",IF(E537="","非役職",VLOOKUP('従業員情報(給与以外)'!$E537,入力シート!$AH$37:$AO$62,5,0)))</f>
        <v/>
      </c>
      <c r="T537" s="299" t="str">
        <f>IF(OR(入力シート!$C$5&lt;&gt;入力リスト!$C$3,COUNTIF(入力シート!$J$16:$S$23,入力リスト!$H$9)=0),"",IF($A537="","",IF(ISERROR(AVERAGEIF(従業員の給与情報!$B:$B,$A537,従業員の給与情報!$C:$C)),0,IF(ISERROR(AVERAGEIF(従業員の給与情報!$B:$B,$A537,従業員の給与情報!$C:$C)),0,AVERAGEIF(従業員の給与情報!$B:$B,$A537,従業員の給与情報!$C:$C)))))</f>
        <v/>
      </c>
      <c r="U537" s="299" t="str">
        <f>IF(OR(入力シート!$C$5&lt;&gt;入力リスト!$C$3,COUNTIF(入力シート!$J$16:$S$23,入力リスト!$H$9)=0),"",IF(A537="","",IF(ISERROR(AVERAGEIF(従業員の給与情報!$B:$B,$A537,従業員の給与情報!$D:$D)),0,IF(ISERROR(AVERAGEIF(従業員の給与情報!$B:$B,$A537,従業員の給与情報!$D:$D)),0,AVERAGEIF(従業員の給与情報!$B:$B,$A537,従業員の給与情報!$D:$D)))))</f>
        <v/>
      </c>
      <c r="V537" s="299" t="str">
        <f>IF(OR(入力シート!$C$5&lt;&gt;入力リスト!$C$3,COUNTIF(入力シート!$J$16:$S$23,入力リスト!$H$9)=0),"",IF(A537="","",IF(ISERROR(AVERAGEIF(従業員の給与情報!$B:$B,$A537,従業員の給与情報!$E:$E)),0,IF(ISERROR(AVERAGEIF(従業員の給与情報!$B:$B,$A537,従業員の給与情報!$E:$E)),0,AVERAGEIF(従業員の給与情報!$B:$B,$A537,従業員の給与情報!$E:$E)))))</f>
        <v/>
      </c>
      <c r="W537" s="299" t="str">
        <f>IF(OR(入力シート!$C$5&lt;&gt;入力リスト!$C$3,COUNTIF(入力シート!$J$16:$S$23,入力リスト!$H$9)=0),"",IF(A537="","",IF(ISERROR(AVERAGEIF(従業員の給与情報!$B:$B,$A537,従業員の給与情報!$F:$F)),0,IF(ISERROR(AVERAGEIF(従業員の給与情報!$B:$B,$A537,従業員の給与情報!$F:$F)),0,AVERAGEIF(従業員の給与情報!$B:$B,$A537,従業員の給与情報!$F:$F)))))</f>
        <v/>
      </c>
      <c r="X537" s="581" t="s">
        <v>5276</v>
      </c>
    </row>
    <row r="538" spans="6:24">
      <c r="F538" s="297" t="str">
        <f>IF($G$1,"",IF(COUNTIF(A538:E538,"")=5,"",IF(G538,入力リスト!$K$28,IF(OR(A538="",B538="",IF(COUNTIF($C$3,"*不要*"),"",C538=""),D538=""),IF(A538="","従業員番号","")&amp;IF(B538="","「雇用形態」","")&amp;IF(OR(入力シート!$J$18=入力リスト!$H$9,入力シート!$J$22=入力リスト!$H$9),IF(C538="","「入社年月日」",""),"")&amp;IF(D538="","「性別」","")&amp;IF(IF(A538="","従業員番号","")&amp;IF(B538="","「雇用形態」","")&amp;IF(OR(入力シート!$J$18=入力リスト!$H$9,入力シート!$J$22=入力リスト!$H$9),IF(C538="","「入社年月日」",""),"")&amp;IF(D538="","「性別」","")="","",入力リスト!$K$29),IF(J538,入力リスト!$K$30,"")&amp;IF(I538,入力リスト!$K$31,"")&amp;IF(H538,"「雇用形態」","")&amp;IF(K538,"「性別」","")&amp;IF(L538,"「役職」","")&amp;IF(OR(H538,K538,L538),入力リスト!$K$32,"")))))</f>
        <v/>
      </c>
      <c r="G538" s="298" t="b">
        <f>COUNTIF($A$4:A537,$A538)&gt;0</f>
        <v>0</v>
      </c>
      <c r="H538" s="298" t="b">
        <f>IF($H$1,FALSE,COUNTIF(入力シート!$S$37:$V$62,B538)=0)</f>
        <v>0</v>
      </c>
      <c r="I538" s="298" t="b">
        <f t="shared" si="17"/>
        <v>0</v>
      </c>
      <c r="J538" s="298" t="b">
        <f>IF($J$1,FALSE,IF(I538=TRUE,FALSE,IF(I538,FALSE,C538&gt;入力シート!$J$24)))</f>
        <v>0</v>
      </c>
      <c r="K538" s="298" t="b">
        <f>IF($K$1,FALSE,COUNTIF(入力シート!$AW$37:$BB$38,D538)=0)</f>
        <v>0</v>
      </c>
      <c r="L538" s="298" t="b">
        <f>IF($L$1,FALSE,IF($L$3,FALSE,IF(E538="",FALSE,COUNTIF(入力シート!$AH$37:$AK$62,E538)=0)))</f>
        <v>0</v>
      </c>
      <c r="M538" s="298" t="str">
        <f t="shared" si="18"/>
        <v/>
      </c>
      <c r="N538" s="298" t="str">
        <f>IF(G538,"この従業員番号は、すでに他のセルで入力されています。",IF(入力シート!$C$5=入力リスト!$C$4,"",IF(AND(A538="",B538="",C538="",D538="",E538=""),"",IF(OR(A538="",B538="",C538="",D538=""),IF(A538="","従業員番号","")&amp;IF(AND(A538="",OR(B538="",C538="",D538="")),",","")&amp;IF(B538="","雇用形態","")&amp;IF(AND(B538="",OR(C538="",D538="")),",","")&amp;IF(OR(入力シート!$J$18=入力リスト!$H$9,入力シート!$J$22=入力リスト!$H$9),IF(C538="","入社年月日",""),"")&amp;IF(AND(C538="",D538=""),",","")&amp;IF(D538="","性別","")&amp;IF(IF(A538="","従業員番号","")&amp;IF(B538="","雇用形態","")&amp;IF(OR(入力シート!$J$18=入力リスト!$H$9,入力シート!$J$22=入力リスト!$H$9),IF(C538="","入社年月日",""),"")&amp;IF(D538="","性別","")="","","が空白です。"),IF(J538,"入社年月日に「基準日」の翌日以降の日付が入力されています。","")&amp;IF(I538,"入社年月日に数値以外（又は1900/1/1以前の日付）が入力されています。","")&amp;IF(H538,"雇用形態"&amp;IF(OR(K538,L538),",",""),"")&amp;IF(K538,"性別"&amp;IF(L538,",",""),"")&amp;IF(L538,"役職","")&amp;IF(OR(H538,K538,L538),"に、［入力シート］(4)「貴社」欄と異なる文言が入力されています。","")))))</f>
        <v/>
      </c>
      <c r="O538" s="298" t="str">
        <f>IF(B538="","",VLOOKUP('従業員情報(給与以外)'!$B538,入力シート!$S$37:$Z$62,5,0))</f>
        <v/>
      </c>
      <c r="P538" s="298" t="str">
        <f>IF(ISNUMBER(C538)=FALSE,"",IF(C538&gt;入力シート!$J$24,"",_xlfn.DAYS(入力シート!$J$24,'従業員情報(給与以外)'!$C538)/365))</f>
        <v/>
      </c>
      <c r="Q538" s="298" t="str">
        <f>IF(P538="","",VLOOKUP(_xlfn.DAYS(入力シート!$J$24,'従業員情報(給与以外)'!$C538)/365,入力リスト!$K$18:$L$26,2,2))</f>
        <v/>
      </c>
      <c r="R538" s="298" t="str">
        <f>IF(D538="","",VLOOKUP('従業員情報(給与以外)'!$D538,入力シート!$AW$37:$BB$38,4,0))</f>
        <v/>
      </c>
      <c r="S538" s="298" t="str">
        <f>IF(A538="","",IF(E538="","非役職",VLOOKUP('従業員情報(給与以外)'!$E538,入力シート!$AH$37:$AO$62,5,0)))</f>
        <v/>
      </c>
      <c r="T538" s="299" t="str">
        <f>IF(OR(入力シート!$C$5&lt;&gt;入力リスト!$C$3,COUNTIF(入力シート!$J$16:$S$23,入力リスト!$H$9)=0),"",IF($A538="","",IF(ISERROR(AVERAGEIF(従業員の給与情報!$B:$B,$A538,従業員の給与情報!$C:$C)),0,IF(ISERROR(AVERAGEIF(従業員の給与情報!$B:$B,$A538,従業員の給与情報!$C:$C)),0,AVERAGEIF(従業員の給与情報!$B:$B,$A538,従業員の給与情報!$C:$C)))))</f>
        <v/>
      </c>
      <c r="U538" s="299" t="str">
        <f>IF(OR(入力シート!$C$5&lt;&gt;入力リスト!$C$3,COUNTIF(入力シート!$J$16:$S$23,入力リスト!$H$9)=0),"",IF(A538="","",IF(ISERROR(AVERAGEIF(従業員の給与情報!$B:$B,$A538,従業員の給与情報!$D:$D)),0,IF(ISERROR(AVERAGEIF(従業員の給与情報!$B:$B,$A538,従業員の給与情報!$D:$D)),0,AVERAGEIF(従業員の給与情報!$B:$B,$A538,従業員の給与情報!$D:$D)))))</f>
        <v/>
      </c>
      <c r="V538" s="299" t="str">
        <f>IF(OR(入力シート!$C$5&lt;&gt;入力リスト!$C$3,COUNTIF(入力シート!$J$16:$S$23,入力リスト!$H$9)=0),"",IF(A538="","",IF(ISERROR(AVERAGEIF(従業員の給与情報!$B:$B,$A538,従業員の給与情報!$E:$E)),0,IF(ISERROR(AVERAGEIF(従業員の給与情報!$B:$B,$A538,従業員の給与情報!$E:$E)),0,AVERAGEIF(従業員の給与情報!$B:$B,$A538,従業員の給与情報!$E:$E)))))</f>
        <v/>
      </c>
      <c r="W538" s="299" t="str">
        <f>IF(OR(入力シート!$C$5&lt;&gt;入力リスト!$C$3,COUNTIF(入力シート!$J$16:$S$23,入力リスト!$H$9)=0),"",IF(A538="","",IF(ISERROR(AVERAGEIF(従業員の給与情報!$B:$B,$A538,従業員の給与情報!$F:$F)),0,IF(ISERROR(AVERAGEIF(従業員の給与情報!$B:$B,$A538,従業員の給与情報!$F:$F)),0,AVERAGEIF(従業員の給与情報!$B:$B,$A538,従業員の給与情報!$F:$F)))))</f>
        <v/>
      </c>
      <c r="X538" s="581" t="s">
        <v>5277</v>
      </c>
    </row>
    <row r="539" spans="6:24">
      <c r="F539" s="297" t="str">
        <f>IF($G$1,"",IF(COUNTIF(A539:E539,"")=5,"",IF(G539,入力リスト!$K$28,IF(OR(A539="",B539="",IF(COUNTIF($C$3,"*不要*"),"",C539=""),D539=""),IF(A539="","従業員番号","")&amp;IF(B539="","「雇用形態」","")&amp;IF(OR(入力シート!$J$18=入力リスト!$H$9,入力シート!$J$22=入力リスト!$H$9),IF(C539="","「入社年月日」",""),"")&amp;IF(D539="","「性別」","")&amp;IF(IF(A539="","従業員番号","")&amp;IF(B539="","「雇用形態」","")&amp;IF(OR(入力シート!$J$18=入力リスト!$H$9,入力シート!$J$22=入力リスト!$H$9),IF(C539="","「入社年月日」",""),"")&amp;IF(D539="","「性別」","")="","",入力リスト!$K$29),IF(J539,入力リスト!$K$30,"")&amp;IF(I539,入力リスト!$K$31,"")&amp;IF(H539,"「雇用形態」","")&amp;IF(K539,"「性別」","")&amp;IF(L539,"「役職」","")&amp;IF(OR(H539,K539,L539),入力リスト!$K$32,"")))))</f>
        <v/>
      </c>
      <c r="G539" s="298" t="b">
        <f>COUNTIF($A$4:A538,$A539)&gt;0</f>
        <v>0</v>
      </c>
      <c r="H539" s="298" t="b">
        <f>IF($H$1,FALSE,COUNTIF(入力シート!$S$37:$V$62,B539)=0)</f>
        <v>0</v>
      </c>
      <c r="I539" s="298" t="b">
        <f t="shared" si="17"/>
        <v>0</v>
      </c>
      <c r="J539" s="298" t="b">
        <f>IF($J$1,FALSE,IF(I539=TRUE,FALSE,IF(I539,FALSE,C539&gt;入力シート!$J$24)))</f>
        <v>0</v>
      </c>
      <c r="K539" s="298" t="b">
        <f>IF($K$1,FALSE,COUNTIF(入力シート!$AW$37:$BB$38,D539)=0)</f>
        <v>0</v>
      </c>
      <c r="L539" s="298" t="b">
        <f>IF($L$1,FALSE,IF($L$3,FALSE,IF(E539="",FALSE,COUNTIF(入力シート!$AH$37:$AK$62,E539)=0)))</f>
        <v>0</v>
      </c>
      <c r="M539" s="298" t="str">
        <f t="shared" si="18"/>
        <v/>
      </c>
      <c r="N539" s="298" t="str">
        <f>IF(G539,"この従業員番号は、すでに他のセルで入力されています。",IF(入力シート!$C$5=入力リスト!$C$4,"",IF(AND(A539="",B539="",C539="",D539="",E539=""),"",IF(OR(A539="",B539="",C539="",D539=""),IF(A539="","従業員番号","")&amp;IF(AND(A539="",OR(B539="",C539="",D539="")),",","")&amp;IF(B539="","雇用形態","")&amp;IF(AND(B539="",OR(C539="",D539="")),",","")&amp;IF(OR(入力シート!$J$18=入力リスト!$H$9,入力シート!$J$22=入力リスト!$H$9),IF(C539="","入社年月日",""),"")&amp;IF(AND(C539="",D539=""),",","")&amp;IF(D539="","性別","")&amp;IF(IF(A539="","従業員番号","")&amp;IF(B539="","雇用形態","")&amp;IF(OR(入力シート!$J$18=入力リスト!$H$9,入力シート!$J$22=入力リスト!$H$9),IF(C539="","入社年月日",""),"")&amp;IF(D539="","性別","")="","","が空白です。"),IF(J539,"入社年月日に「基準日」の翌日以降の日付が入力されています。","")&amp;IF(I539,"入社年月日に数値以外（又は1900/1/1以前の日付）が入力されています。","")&amp;IF(H539,"雇用形態"&amp;IF(OR(K539,L539),",",""),"")&amp;IF(K539,"性別"&amp;IF(L539,",",""),"")&amp;IF(L539,"役職","")&amp;IF(OR(H539,K539,L539),"に、［入力シート］(4)「貴社」欄と異なる文言が入力されています。","")))))</f>
        <v/>
      </c>
      <c r="O539" s="298" t="str">
        <f>IF(B539="","",VLOOKUP('従業員情報(給与以外)'!$B539,入力シート!$S$37:$Z$62,5,0))</f>
        <v/>
      </c>
      <c r="P539" s="298" t="str">
        <f>IF(ISNUMBER(C539)=FALSE,"",IF(C539&gt;入力シート!$J$24,"",_xlfn.DAYS(入力シート!$J$24,'従業員情報(給与以外)'!$C539)/365))</f>
        <v/>
      </c>
      <c r="Q539" s="298" t="str">
        <f>IF(P539="","",VLOOKUP(_xlfn.DAYS(入力シート!$J$24,'従業員情報(給与以外)'!$C539)/365,入力リスト!$K$18:$L$26,2,2))</f>
        <v/>
      </c>
      <c r="R539" s="298" t="str">
        <f>IF(D539="","",VLOOKUP('従業員情報(給与以外)'!$D539,入力シート!$AW$37:$BB$38,4,0))</f>
        <v/>
      </c>
      <c r="S539" s="298" t="str">
        <f>IF(A539="","",IF(E539="","非役職",VLOOKUP('従業員情報(給与以外)'!$E539,入力シート!$AH$37:$AO$62,5,0)))</f>
        <v/>
      </c>
      <c r="T539" s="299" t="str">
        <f>IF(OR(入力シート!$C$5&lt;&gt;入力リスト!$C$3,COUNTIF(入力シート!$J$16:$S$23,入力リスト!$H$9)=0),"",IF($A539="","",IF(ISERROR(AVERAGEIF(従業員の給与情報!$B:$B,$A539,従業員の給与情報!$C:$C)),0,IF(ISERROR(AVERAGEIF(従業員の給与情報!$B:$B,$A539,従業員の給与情報!$C:$C)),0,AVERAGEIF(従業員の給与情報!$B:$B,$A539,従業員の給与情報!$C:$C)))))</f>
        <v/>
      </c>
      <c r="U539" s="299" t="str">
        <f>IF(OR(入力シート!$C$5&lt;&gt;入力リスト!$C$3,COUNTIF(入力シート!$J$16:$S$23,入力リスト!$H$9)=0),"",IF(A539="","",IF(ISERROR(AVERAGEIF(従業員の給与情報!$B:$B,$A539,従業員の給与情報!$D:$D)),0,IF(ISERROR(AVERAGEIF(従業員の給与情報!$B:$B,$A539,従業員の給与情報!$D:$D)),0,AVERAGEIF(従業員の給与情報!$B:$B,$A539,従業員の給与情報!$D:$D)))))</f>
        <v/>
      </c>
      <c r="V539" s="299" t="str">
        <f>IF(OR(入力シート!$C$5&lt;&gt;入力リスト!$C$3,COUNTIF(入力シート!$J$16:$S$23,入力リスト!$H$9)=0),"",IF(A539="","",IF(ISERROR(AVERAGEIF(従業員の給与情報!$B:$B,$A539,従業員の給与情報!$E:$E)),0,IF(ISERROR(AVERAGEIF(従業員の給与情報!$B:$B,$A539,従業員の給与情報!$E:$E)),0,AVERAGEIF(従業員の給与情報!$B:$B,$A539,従業員の給与情報!$E:$E)))))</f>
        <v/>
      </c>
      <c r="W539" s="299" t="str">
        <f>IF(OR(入力シート!$C$5&lt;&gt;入力リスト!$C$3,COUNTIF(入力シート!$J$16:$S$23,入力リスト!$H$9)=0),"",IF(A539="","",IF(ISERROR(AVERAGEIF(従業員の給与情報!$B:$B,$A539,従業員の給与情報!$F:$F)),0,IF(ISERROR(AVERAGEIF(従業員の給与情報!$B:$B,$A539,従業員の給与情報!$F:$F)),0,AVERAGEIF(従業員の給与情報!$B:$B,$A539,従業員の給与情報!$F:$F)))))</f>
        <v/>
      </c>
      <c r="X539" s="581" t="s">
        <v>5278</v>
      </c>
    </row>
    <row r="540" spans="6:24">
      <c r="F540" s="297" t="str">
        <f>IF($G$1,"",IF(COUNTIF(A540:E540,"")=5,"",IF(G540,入力リスト!$K$28,IF(OR(A540="",B540="",IF(COUNTIF($C$3,"*不要*"),"",C540=""),D540=""),IF(A540="","従業員番号","")&amp;IF(B540="","「雇用形態」","")&amp;IF(OR(入力シート!$J$18=入力リスト!$H$9,入力シート!$J$22=入力リスト!$H$9),IF(C540="","「入社年月日」",""),"")&amp;IF(D540="","「性別」","")&amp;IF(IF(A540="","従業員番号","")&amp;IF(B540="","「雇用形態」","")&amp;IF(OR(入力シート!$J$18=入力リスト!$H$9,入力シート!$J$22=入力リスト!$H$9),IF(C540="","「入社年月日」",""),"")&amp;IF(D540="","「性別」","")="","",入力リスト!$K$29),IF(J540,入力リスト!$K$30,"")&amp;IF(I540,入力リスト!$K$31,"")&amp;IF(H540,"「雇用形態」","")&amp;IF(K540,"「性別」","")&amp;IF(L540,"「役職」","")&amp;IF(OR(H540,K540,L540),入力リスト!$K$32,"")))))</f>
        <v/>
      </c>
      <c r="G540" s="298" t="b">
        <f>COUNTIF($A$4:A539,$A540)&gt;0</f>
        <v>0</v>
      </c>
      <c r="H540" s="298" t="b">
        <f>IF($H$1,FALSE,COUNTIF(入力シート!$S$37:$V$62,B540)=0)</f>
        <v>0</v>
      </c>
      <c r="I540" s="298" t="b">
        <f t="shared" si="17"/>
        <v>0</v>
      </c>
      <c r="J540" s="298" t="b">
        <f>IF($J$1,FALSE,IF(I540=TRUE,FALSE,IF(I540,FALSE,C540&gt;入力シート!$J$24)))</f>
        <v>0</v>
      </c>
      <c r="K540" s="298" t="b">
        <f>IF($K$1,FALSE,COUNTIF(入力シート!$AW$37:$BB$38,D540)=0)</f>
        <v>0</v>
      </c>
      <c r="L540" s="298" t="b">
        <f>IF($L$1,FALSE,IF($L$3,FALSE,IF(E540="",FALSE,COUNTIF(入力シート!$AH$37:$AK$62,E540)=0)))</f>
        <v>0</v>
      </c>
      <c r="M540" s="298" t="str">
        <f t="shared" si="18"/>
        <v/>
      </c>
      <c r="N540" s="298" t="str">
        <f>IF(G540,"この従業員番号は、すでに他のセルで入力されています。",IF(入力シート!$C$5=入力リスト!$C$4,"",IF(AND(A540="",B540="",C540="",D540="",E540=""),"",IF(OR(A540="",B540="",C540="",D540=""),IF(A540="","従業員番号","")&amp;IF(AND(A540="",OR(B540="",C540="",D540="")),",","")&amp;IF(B540="","雇用形態","")&amp;IF(AND(B540="",OR(C540="",D540="")),",","")&amp;IF(OR(入力シート!$J$18=入力リスト!$H$9,入力シート!$J$22=入力リスト!$H$9),IF(C540="","入社年月日",""),"")&amp;IF(AND(C540="",D540=""),",","")&amp;IF(D540="","性別","")&amp;IF(IF(A540="","従業員番号","")&amp;IF(B540="","雇用形態","")&amp;IF(OR(入力シート!$J$18=入力リスト!$H$9,入力シート!$J$22=入力リスト!$H$9),IF(C540="","入社年月日",""),"")&amp;IF(D540="","性別","")="","","が空白です。"),IF(J540,"入社年月日に「基準日」の翌日以降の日付が入力されています。","")&amp;IF(I540,"入社年月日に数値以外（又は1900/1/1以前の日付）が入力されています。","")&amp;IF(H540,"雇用形態"&amp;IF(OR(K540,L540),",",""),"")&amp;IF(K540,"性別"&amp;IF(L540,",",""),"")&amp;IF(L540,"役職","")&amp;IF(OR(H540,K540,L540),"に、［入力シート］(4)「貴社」欄と異なる文言が入力されています。","")))))</f>
        <v/>
      </c>
      <c r="O540" s="298" t="str">
        <f>IF(B540="","",VLOOKUP('従業員情報(給与以外)'!$B540,入力シート!$S$37:$Z$62,5,0))</f>
        <v/>
      </c>
      <c r="P540" s="298" t="str">
        <f>IF(ISNUMBER(C540)=FALSE,"",IF(C540&gt;入力シート!$J$24,"",_xlfn.DAYS(入力シート!$J$24,'従業員情報(給与以外)'!$C540)/365))</f>
        <v/>
      </c>
      <c r="Q540" s="298" t="str">
        <f>IF(P540="","",VLOOKUP(_xlfn.DAYS(入力シート!$J$24,'従業員情報(給与以外)'!$C540)/365,入力リスト!$K$18:$L$26,2,2))</f>
        <v/>
      </c>
      <c r="R540" s="298" t="str">
        <f>IF(D540="","",VLOOKUP('従業員情報(給与以外)'!$D540,入力シート!$AW$37:$BB$38,4,0))</f>
        <v/>
      </c>
      <c r="S540" s="298" t="str">
        <f>IF(A540="","",IF(E540="","非役職",VLOOKUP('従業員情報(給与以外)'!$E540,入力シート!$AH$37:$AO$62,5,0)))</f>
        <v/>
      </c>
      <c r="T540" s="299" t="str">
        <f>IF(OR(入力シート!$C$5&lt;&gt;入力リスト!$C$3,COUNTIF(入力シート!$J$16:$S$23,入力リスト!$H$9)=0),"",IF($A540="","",IF(ISERROR(AVERAGEIF(従業員の給与情報!$B:$B,$A540,従業員の給与情報!$C:$C)),0,IF(ISERROR(AVERAGEIF(従業員の給与情報!$B:$B,$A540,従業員の給与情報!$C:$C)),0,AVERAGEIF(従業員の給与情報!$B:$B,$A540,従業員の給与情報!$C:$C)))))</f>
        <v/>
      </c>
      <c r="U540" s="299" t="str">
        <f>IF(OR(入力シート!$C$5&lt;&gt;入力リスト!$C$3,COUNTIF(入力シート!$J$16:$S$23,入力リスト!$H$9)=0),"",IF(A540="","",IF(ISERROR(AVERAGEIF(従業員の給与情報!$B:$B,$A540,従業員の給与情報!$D:$D)),0,IF(ISERROR(AVERAGEIF(従業員の給与情報!$B:$B,$A540,従業員の給与情報!$D:$D)),0,AVERAGEIF(従業員の給与情報!$B:$B,$A540,従業員の給与情報!$D:$D)))))</f>
        <v/>
      </c>
      <c r="V540" s="299" t="str">
        <f>IF(OR(入力シート!$C$5&lt;&gt;入力リスト!$C$3,COUNTIF(入力シート!$J$16:$S$23,入力リスト!$H$9)=0),"",IF(A540="","",IF(ISERROR(AVERAGEIF(従業員の給与情報!$B:$B,$A540,従業員の給与情報!$E:$E)),0,IF(ISERROR(AVERAGEIF(従業員の給与情報!$B:$B,$A540,従業員の給与情報!$E:$E)),0,AVERAGEIF(従業員の給与情報!$B:$B,$A540,従業員の給与情報!$E:$E)))))</f>
        <v/>
      </c>
      <c r="W540" s="299" t="str">
        <f>IF(OR(入力シート!$C$5&lt;&gt;入力リスト!$C$3,COUNTIF(入力シート!$J$16:$S$23,入力リスト!$H$9)=0),"",IF(A540="","",IF(ISERROR(AVERAGEIF(従業員の給与情報!$B:$B,$A540,従業員の給与情報!$F:$F)),0,IF(ISERROR(AVERAGEIF(従業員の給与情報!$B:$B,$A540,従業員の給与情報!$F:$F)),0,AVERAGEIF(従業員の給与情報!$B:$B,$A540,従業員の給与情報!$F:$F)))))</f>
        <v/>
      </c>
      <c r="X540" s="581" t="s">
        <v>5279</v>
      </c>
    </row>
    <row r="541" spans="6:24">
      <c r="F541" s="297" t="str">
        <f>IF($G$1,"",IF(COUNTIF(A541:E541,"")=5,"",IF(G541,入力リスト!$K$28,IF(OR(A541="",B541="",IF(COUNTIF($C$3,"*不要*"),"",C541=""),D541=""),IF(A541="","従業員番号","")&amp;IF(B541="","「雇用形態」","")&amp;IF(OR(入力シート!$J$18=入力リスト!$H$9,入力シート!$J$22=入力リスト!$H$9),IF(C541="","「入社年月日」",""),"")&amp;IF(D541="","「性別」","")&amp;IF(IF(A541="","従業員番号","")&amp;IF(B541="","「雇用形態」","")&amp;IF(OR(入力シート!$J$18=入力リスト!$H$9,入力シート!$J$22=入力リスト!$H$9),IF(C541="","「入社年月日」",""),"")&amp;IF(D541="","「性別」","")="","",入力リスト!$K$29),IF(J541,入力リスト!$K$30,"")&amp;IF(I541,入力リスト!$K$31,"")&amp;IF(H541,"「雇用形態」","")&amp;IF(K541,"「性別」","")&amp;IF(L541,"「役職」","")&amp;IF(OR(H541,K541,L541),入力リスト!$K$32,"")))))</f>
        <v/>
      </c>
      <c r="G541" s="298" t="b">
        <f>COUNTIF($A$4:A540,$A541)&gt;0</f>
        <v>0</v>
      </c>
      <c r="H541" s="298" t="b">
        <f>IF($H$1,FALSE,COUNTIF(入力シート!$S$37:$V$62,B541)=0)</f>
        <v>0</v>
      </c>
      <c r="I541" s="298" t="b">
        <f t="shared" si="17"/>
        <v>0</v>
      </c>
      <c r="J541" s="298" t="b">
        <f>IF($J$1,FALSE,IF(I541=TRUE,FALSE,IF(I541,FALSE,C541&gt;入力シート!$J$24)))</f>
        <v>0</v>
      </c>
      <c r="K541" s="298" t="b">
        <f>IF($K$1,FALSE,COUNTIF(入力シート!$AW$37:$BB$38,D541)=0)</f>
        <v>0</v>
      </c>
      <c r="L541" s="298" t="b">
        <f>IF($L$1,FALSE,IF($L$3,FALSE,IF(E541="",FALSE,COUNTIF(入力シート!$AH$37:$AK$62,E541)=0)))</f>
        <v>0</v>
      </c>
      <c r="M541" s="298" t="str">
        <f t="shared" si="18"/>
        <v/>
      </c>
      <c r="N541" s="298" t="str">
        <f>IF(G541,"この従業員番号は、すでに他のセルで入力されています。",IF(入力シート!$C$5=入力リスト!$C$4,"",IF(AND(A541="",B541="",C541="",D541="",E541=""),"",IF(OR(A541="",B541="",C541="",D541=""),IF(A541="","従業員番号","")&amp;IF(AND(A541="",OR(B541="",C541="",D541="")),",","")&amp;IF(B541="","雇用形態","")&amp;IF(AND(B541="",OR(C541="",D541="")),",","")&amp;IF(OR(入力シート!$J$18=入力リスト!$H$9,入力シート!$J$22=入力リスト!$H$9),IF(C541="","入社年月日",""),"")&amp;IF(AND(C541="",D541=""),",","")&amp;IF(D541="","性別","")&amp;IF(IF(A541="","従業員番号","")&amp;IF(B541="","雇用形態","")&amp;IF(OR(入力シート!$J$18=入力リスト!$H$9,入力シート!$J$22=入力リスト!$H$9),IF(C541="","入社年月日",""),"")&amp;IF(D541="","性別","")="","","が空白です。"),IF(J541,"入社年月日に「基準日」の翌日以降の日付が入力されています。","")&amp;IF(I541,"入社年月日に数値以外（又は1900/1/1以前の日付）が入力されています。","")&amp;IF(H541,"雇用形態"&amp;IF(OR(K541,L541),",",""),"")&amp;IF(K541,"性別"&amp;IF(L541,",",""),"")&amp;IF(L541,"役職","")&amp;IF(OR(H541,K541,L541),"に、［入力シート］(4)「貴社」欄と異なる文言が入力されています。","")))))</f>
        <v/>
      </c>
      <c r="O541" s="298" t="str">
        <f>IF(B541="","",VLOOKUP('従業員情報(給与以外)'!$B541,入力シート!$S$37:$Z$62,5,0))</f>
        <v/>
      </c>
      <c r="P541" s="298" t="str">
        <f>IF(ISNUMBER(C541)=FALSE,"",IF(C541&gt;入力シート!$J$24,"",_xlfn.DAYS(入力シート!$J$24,'従業員情報(給与以外)'!$C541)/365))</f>
        <v/>
      </c>
      <c r="Q541" s="298" t="str">
        <f>IF(P541="","",VLOOKUP(_xlfn.DAYS(入力シート!$J$24,'従業員情報(給与以外)'!$C541)/365,入力リスト!$K$18:$L$26,2,2))</f>
        <v/>
      </c>
      <c r="R541" s="298" t="str">
        <f>IF(D541="","",VLOOKUP('従業員情報(給与以外)'!$D541,入力シート!$AW$37:$BB$38,4,0))</f>
        <v/>
      </c>
      <c r="S541" s="298" t="str">
        <f>IF(A541="","",IF(E541="","非役職",VLOOKUP('従業員情報(給与以外)'!$E541,入力シート!$AH$37:$AO$62,5,0)))</f>
        <v/>
      </c>
      <c r="T541" s="299" t="str">
        <f>IF(OR(入力シート!$C$5&lt;&gt;入力リスト!$C$3,COUNTIF(入力シート!$J$16:$S$23,入力リスト!$H$9)=0),"",IF($A541="","",IF(ISERROR(AVERAGEIF(従業員の給与情報!$B:$B,$A541,従業員の給与情報!$C:$C)),0,IF(ISERROR(AVERAGEIF(従業員の給与情報!$B:$B,$A541,従業員の給与情報!$C:$C)),0,AVERAGEIF(従業員の給与情報!$B:$B,$A541,従業員の給与情報!$C:$C)))))</f>
        <v/>
      </c>
      <c r="U541" s="299" t="str">
        <f>IF(OR(入力シート!$C$5&lt;&gt;入力リスト!$C$3,COUNTIF(入力シート!$J$16:$S$23,入力リスト!$H$9)=0),"",IF(A541="","",IF(ISERROR(AVERAGEIF(従業員の給与情報!$B:$B,$A541,従業員の給与情報!$D:$D)),0,IF(ISERROR(AVERAGEIF(従業員の給与情報!$B:$B,$A541,従業員の給与情報!$D:$D)),0,AVERAGEIF(従業員の給与情報!$B:$B,$A541,従業員の給与情報!$D:$D)))))</f>
        <v/>
      </c>
      <c r="V541" s="299" t="str">
        <f>IF(OR(入力シート!$C$5&lt;&gt;入力リスト!$C$3,COUNTIF(入力シート!$J$16:$S$23,入力リスト!$H$9)=0),"",IF(A541="","",IF(ISERROR(AVERAGEIF(従業員の給与情報!$B:$B,$A541,従業員の給与情報!$E:$E)),0,IF(ISERROR(AVERAGEIF(従業員の給与情報!$B:$B,$A541,従業員の給与情報!$E:$E)),0,AVERAGEIF(従業員の給与情報!$B:$B,$A541,従業員の給与情報!$E:$E)))))</f>
        <v/>
      </c>
      <c r="W541" s="299" t="str">
        <f>IF(OR(入力シート!$C$5&lt;&gt;入力リスト!$C$3,COUNTIF(入力シート!$J$16:$S$23,入力リスト!$H$9)=0),"",IF(A541="","",IF(ISERROR(AVERAGEIF(従業員の給与情報!$B:$B,$A541,従業員の給与情報!$F:$F)),0,IF(ISERROR(AVERAGEIF(従業員の給与情報!$B:$B,$A541,従業員の給与情報!$F:$F)),0,AVERAGEIF(従業員の給与情報!$B:$B,$A541,従業員の給与情報!$F:$F)))))</f>
        <v/>
      </c>
      <c r="X541" s="581" t="s">
        <v>5280</v>
      </c>
    </row>
    <row r="542" spans="6:24">
      <c r="F542" s="297" t="str">
        <f>IF($G$1,"",IF(COUNTIF(A542:E542,"")=5,"",IF(G542,入力リスト!$K$28,IF(OR(A542="",B542="",IF(COUNTIF($C$3,"*不要*"),"",C542=""),D542=""),IF(A542="","従業員番号","")&amp;IF(B542="","「雇用形態」","")&amp;IF(OR(入力シート!$J$18=入力リスト!$H$9,入力シート!$J$22=入力リスト!$H$9),IF(C542="","「入社年月日」",""),"")&amp;IF(D542="","「性別」","")&amp;IF(IF(A542="","従業員番号","")&amp;IF(B542="","「雇用形態」","")&amp;IF(OR(入力シート!$J$18=入力リスト!$H$9,入力シート!$J$22=入力リスト!$H$9),IF(C542="","「入社年月日」",""),"")&amp;IF(D542="","「性別」","")="","",入力リスト!$K$29),IF(J542,入力リスト!$K$30,"")&amp;IF(I542,入力リスト!$K$31,"")&amp;IF(H542,"「雇用形態」","")&amp;IF(K542,"「性別」","")&amp;IF(L542,"「役職」","")&amp;IF(OR(H542,K542,L542),入力リスト!$K$32,"")))))</f>
        <v/>
      </c>
      <c r="G542" s="298" t="b">
        <f>COUNTIF($A$4:A541,$A542)&gt;0</f>
        <v>0</v>
      </c>
      <c r="H542" s="298" t="b">
        <f>IF($H$1,FALSE,COUNTIF(入力シート!$S$37:$V$62,B542)=0)</f>
        <v>0</v>
      </c>
      <c r="I542" s="298" t="b">
        <f t="shared" si="17"/>
        <v>0</v>
      </c>
      <c r="J542" s="298" t="b">
        <f>IF($J$1,FALSE,IF(I542=TRUE,FALSE,IF(I542,FALSE,C542&gt;入力シート!$J$24)))</f>
        <v>0</v>
      </c>
      <c r="K542" s="298" t="b">
        <f>IF($K$1,FALSE,COUNTIF(入力シート!$AW$37:$BB$38,D542)=0)</f>
        <v>0</v>
      </c>
      <c r="L542" s="298" t="b">
        <f>IF($L$1,FALSE,IF($L$3,FALSE,IF(E542="",FALSE,COUNTIF(入力シート!$AH$37:$AK$62,E542)=0)))</f>
        <v>0</v>
      </c>
      <c r="M542" s="298" t="str">
        <f t="shared" si="18"/>
        <v/>
      </c>
      <c r="N542" s="298" t="str">
        <f>IF(G542,"この従業員番号は、すでに他のセルで入力されています。",IF(入力シート!$C$5=入力リスト!$C$4,"",IF(AND(A542="",B542="",C542="",D542="",E542=""),"",IF(OR(A542="",B542="",C542="",D542=""),IF(A542="","従業員番号","")&amp;IF(AND(A542="",OR(B542="",C542="",D542="")),",","")&amp;IF(B542="","雇用形態","")&amp;IF(AND(B542="",OR(C542="",D542="")),",","")&amp;IF(OR(入力シート!$J$18=入力リスト!$H$9,入力シート!$J$22=入力リスト!$H$9),IF(C542="","入社年月日",""),"")&amp;IF(AND(C542="",D542=""),",","")&amp;IF(D542="","性別","")&amp;IF(IF(A542="","従業員番号","")&amp;IF(B542="","雇用形態","")&amp;IF(OR(入力シート!$J$18=入力リスト!$H$9,入力シート!$J$22=入力リスト!$H$9),IF(C542="","入社年月日",""),"")&amp;IF(D542="","性別","")="","","が空白です。"),IF(J542,"入社年月日に「基準日」の翌日以降の日付が入力されています。","")&amp;IF(I542,"入社年月日に数値以外（又は1900/1/1以前の日付）が入力されています。","")&amp;IF(H542,"雇用形態"&amp;IF(OR(K542,L542),",",""),"")&amp;IF(K542,"性別"&amp;IF(L542,",",""),"")&amp;IF(L542,"役職","")&amp;IF(OR(H542,K542,L542),"に、［入力シート］(4)「貴社」欄と異なる文言が入力されています。","")))))</f>
        <v/>
      </c>
      <c r="O542" s="298" t="str">
        <f>IF(B542="","",VLOOKUP('従業員情報(給与以外)'!$B542,入力シート!$S$37:$Z$62,5,0))</f>
        <v/>
      </c>
      <c r="P542" s="298" t="str">
        <f>IF(ISNUMBER(C542)=FALSE,"",IF(C542&gt;入力シート!$J$24,"",_xlfn.DAYS(入力シート!$J$24,'従業員情報(給与以外)'!$C542)/365))</f>
        <v/>
      </c>
      <c r="Q542" s="298" t="str">
        <f>IF(P542="","",VLOOKUP(_xlfn.DAYS(入力シート!$J$24,'従業員情報(給与以外)'!$C542)/365,入力リスト!$K$18:$L$26,2,2))</f>
        <v/>
      </c>
      <c r="R542" s="298" t="str">
        <f>IF(D542="","",VLOOKUP('従業員情報(給与以外)'!$D542,入力シート!$AW$37:$BB$38,4,0))</f>
        <v/>
      </c>
      <c r="S542" s="298" t="str">
        <f>IF(A542="","",IF(E542="","非役職",VLOOKUP('従業員情報(給与以外)'!$E542,入力シート!$AH$37:$AO$62,5,0)))</f>
        <v/>
      </c>
      <c r="T542" s="299" t="str">
        <f>IF(OR(入力シート!$C$5&lt;&gt;入力リスト!$C$3,COUNTIF(入力シート!$J$16:$S$23,入力リスト!$H$9)=0),"",IF($A542="","",IF(ISERROR(AVERAGEIF(従業員の給与情報!$B:$B,$A542,従業員の給与情報!$C:$C)),0,IF(ISERROR(AVERAGEIF(従業員の給与情報!$B:$B,$A542,従業員の給与情報!$C:$C)),0,AVERAGEIF(従業員の給与情報!$B:$B,$A542,従業員の給与情報!$C:$C)))))</f>
        <v/>
      </c>
      <c r="U542" s="299" t="str">
        <f>IF(OR(入力シート!$C$5&lt;&gt;入力リスト!$C$3,COUNTIF(入力シート!$J$16:$S$23,入力リスト!$H$9)=0),"",IF(A542="","",IF(ISERROR(AVERAGEIF(従業員の給与情報!$B:$B,$A542,従業員の給与情報!$D:$D)),0,IF(ISERROR(AVERAGEIF(従業員の給与情報!$B:$B,$A542,従業員の給与情報!$D:$D)),0,AVERAGEIF(従業員の給与情報!$B:$B,$A542,従業員の給与情報!$D:$D)))))</f>
        <v/>
      </c>
      <c r="V542" s="299" t="str">
        <f>IF(OR(入力シート!$C$5&lt;&gt;入力リスト!$C$3,COUNTIF(入力シート!$J$16:$S$23,入力リスト!$H$9)=0),"",IF(A542="","",IF(ISERROR(AVERAGEIF(従業員の給与情報!$B:$B,$A542,従業員の給与情報!$E:$E)),0,IF(ISERROR(AVERAGEIF(従業員の給与情報!$B:$B,$A542,従業員の給与情報!$E:$E)),0,AVERAGEIF(従業員の給与情報!$B:$B,$A542,従業員の給与情報!$E:$E)))))</f>
        <v/>
      </c>
      <c r="W542" s="299" t="str">
        <f>IF(OR(入力シート!$C$5&lt;&gt;入力リスト!$C$3,COUNTIF(入力シート!$J$16:$S$23,入力リスト!$H$9)=0),"",IF(A542="","",IF(ISERROR(AVERAGEIF(従業員の給与情報!$B:$B,$A542,従業員の給与情報!$F:$F)),0,IF(ISERROR(AVERAGEIF(従業員の給与情報!$B:$B,$A542,従業員の給与情報!$F:$F)),0,AVERAGEIF(従業員の給与情報!$B:$B,$A542,従業員の給与情報!$F:$F)))))</f>
        <v/>
      </c>
      <c r="X542" s="581" t="s">
        <v>5281</v>
      </c>
    </row>
    <row r="543" spans="6:24">
      <c r="F543" s="297" t="str">
        <f>IF($G$1,"",IF(COUNTIF(A543:E543,"")=5,"",IF(G543,入力リスト!$K$28,IF(OR(A543="",B543="",IF(COUNTIF($C$3,"*不要*"),"",C543=""),D543=""),IF(A543="","従業員番号","")&amp;IF(B543="","「雇用形態」","")&amp;IF(OR(入力シート!$J$18=入力リスト!$H$9,入力シート!$J$22=入力リスト!$H$9),IF(C543="","「入社年月日」",""),"")&amp;IF(D543="","「性別」","")&amp;IF(IF(A543="","従業員番号","")&amp;IF(B543="","「雇用形態」","")&amp;IF(OR(入力シート!$J$18=入力リスト!$H$9,入力シート!$J$22=入力リスト!$H$9),IF(C543="","「入社年月日」",""),"")&amp;IF(D543="","「性別」","")="","",入力リスト!$K$29),IF(J543,入力リスト!$K$30,"")&amp;IF(I543,入力リスト!$K$31,"")&amp;IF(H543,"「雇用形態」","")&amp;IF(K543,"「性別」","")&amp;IF(L543,"「役職」","")&amp;IF(OR(H543,K543,L543),入力リスト!$K$32,"")))))</f>
        <v/>
      </c>
      <c r="G543" s="298" t="b">
        <f>COUNTIF($A$4:A542,$A543)&gt;0</f>
        <v>0</v>
      </c>
      <c r="H543" s="298" t="b">
        <f>IF($H$1,FALSE,COUNTIF(入力シート!$S$37:$V$62,B543)=0)</f>
        <v>0</v>
      </c>
      <c r="I543" s="298" t="b">
        <f t="shared" si="17"/>
        <v>0</v>
      </c>
      <c r="J543" s="298" t="b">
        <f>IF($J$1,FALSE,IF(I543=TRUE,FALSE,IF(I543,FALSE,C543&gt;入力シート!$J$24)))</f>
        <v>0</v>
      </c>
      <c r="K543" s="298" t="b">
        <f>IF($K$1,FALSE,COUNTIF(入力シート!$AW$37:$BB$38,D543)=0)</f>
        <v>0</v>
      </c>
      <c r="L543" s="298" t="b">
        <f>IF($L$1,FALSE,IF($L$3,FALSE,IF(E543="",FALSE,COUNTIF(入力シート!$AH$37:$AK$62,E543)=0)))</f>
        <v>0</v>
      </c>
      <c r="M543" s="298" t="str">
        <f t="shared" si="18"/>
        <v/>
      </c>
      <c r="N543" s="298" t="str">
        <f>IF(G543,"この従業員番号は、すでに他のセルで入力されています。",IF(入力シート!$C$5=入力リスト!$C$4,"",IF(AND(A543="",B543="",C543="",D543="",E543=""),"",IF(OR(A543="",B543="",C543="",D543=""),IF(A543="","従業員番号","")&amp;IF(AND(A543="",OR(B543="",C543="",D543="")),",","")&amp;IF(B543="","雇用形態","")&amp;IF(AND(B543="",OR(C543="",D543="")),",","")&amp;IF(OR(入力シート!$J$18=入力リスト!$H$9,入力シート!$J$22=入力リスト!$H$9),IF(C543="","入社年月日",""),"")&amp;IF(AND(C543="",D543=""),",","")&amp;IF(D543="","性別","")&amp;IF(IF(A543="","従業員番号","")&amp;IF(B543="","雇用形態","")&amp;IF(OR(入力シート!$J$18=入力リスト!$H$9,入力シート!$J$22=入力リスト!$H$9),IF(C543="","入社年月日",""),"")&amp;IF(D543="","性別","")="","","が空白です。"),IF(J543,"入社年月日に「基準日」の翌日以降の日付が入力されています。","")&amp;IF(I543,"入社年月日に数値以外（又は1900/1/1以前の日付）が入力されています。","")&amp;IF(H543,"雇用形態"&amp;IF(OR(K543,L543),",",""),"")&amp;IF(K543,"性別"&amp;IF(L543,",",""),"")&amp;IF(L543,"役職","")&amp;IF(OR(H543,K543,L543),"に、［入力シート］(4)「貴社」欄と異なる文言が入力されています。","")))))</f>
        <v/>
      </c>
      <c r="O543" s="298" t="str">
        <f>IF(B543="","",VLOOKUP('従業員情報(給与以外)'!$B543,入力シート!$S$37:$Z$62,5,0))</f>
        <v/>
      </c>
      <c r="P543" s="298" t="str">
        <f>IF(ISNUMBER(C543)=FALSE,"",IF(C543&gt;入力シート!$J$24,"",_xlfn.DAYS(入力シート!$J$24,'従業員情報(給与以外)'!$C543)/365))</f>
        <v/>
      </c>
      <c r="Q543" s="298" t="str">
        <f>IF(P543="","",VLOOKUP(_xlfn.DAYS(入力シート!$J$24,'従業員情報(給与以外)'!$C543)/365,入力リスト!$K$18:$L$26,2,2))</f>
        <v/>
      </c>
      <c r="R543" s="298" t="str">
        <f>IF(D543="","",VLOOKUP('従業員情報(給与以外)'!$D543,入力シート!$AW$37:$BB$38,4,0))</f>
        <v/>
      </c>
      <c r="S543" s="298" t="str">
        <f>IF(A543="","",IF(E543="","非役職",VLOOKUP('従業員情報(給与以外)'!$E543,入力シート!$AH$37:$AO$62,5,0)))</f>
        <v/>
      </c>
      <c r="T543" s="299" t="str">
        <f>IF(OR(入力シート!$C$5&lt;&gt;入力リスト!$C$3,COUNTIF(入力シート!$J$16:$S$23,入力リスト!$H$9)=0),"",IF($A543="","",IF(ISERROR(AVERAGEIF(従業員の給与情報!$B:$B,$A543,従業員の給与情報!$C:$C)),0,IF(ISERROR(AVERAGEIF(従業員の給与情報!$B:$B,$A543,従業員の給与情報!$C:$C)),0,AVERAGEIF(従業員の給与情報!$B:$B,$A543,従業員の給与情報!$C:$C)))))</f>
        <v/>
      </c>
      <c r="U543" s="299" t="str">
        <f>IF(OR(入力シート!$C$5&lt;&gt;入力リスト!$C$3,COUNTIF(入力シート!$J$16:$S$23,入力リスト!$H$9)=0),"",IF(A543="","",IF(ISERROR(AVERAGEIF(従業員の給与情報!$B:$B,$A543,従業員の給与情報!$D:$D)),0,IF(ISERROR(AVERAGEIF(従業員の給与情報!$B:$B,$A543,従業員の給与情報!$D:$D)),0,AVERAGEIF(従業員の給与情報!$B:$B,$A543,従業員の給与情報!$D:$D)))))</f>
        <v/>
      </c>
      <c r="V543" s="299" t="str">
        <f>IF(OR(入力シート!$C$5&lt;&gt;入力リスト!$C$3,COUNTIF(入力シート!$J$16:$S$23,入力リスト!$H$9)=0),"",IF(A543="","",IF(ISERROR(AVERAGEIF(従業員の給与情報!$B:$B,$A543,従業員の給与情報!$E:$E)),0,IF(ISERROR(AVERAGEIF(従業員の給与情報!$B:$B,$A543,従業員の給与情報!$E:$E)),0,AVERAGEIF(従業員の給与情報!$B:$B,$A543,従業員の給与情報!$E:$E)))))</f>
        <v/>
      </c>
      <c r="W543" s="299" t="str">
        <f>IF(OR(入力シート!$C$5&lt;&gt;入力リスト!$C$3,COUNTIF(入力シート!$J$16:$S$23,入力リスト!$H$9)=0),"",IF(A543="","",IF(ISERROR(AVERAGEIF(従業員の給与情報!$B:$B,$A543,従業員の給与情報!$F:$F)),0,IF(ISERROR(AVERAGEIF(従業員の給与情報!$B:$B,$A543,従業員の給与情報!$F:$F)),0,AVERAGEIF(従業員の給与情報!$B:$B,$A543,従業員の給与情報!$F:$F)))))</f>
        <v/>
      </c>
      <c r="X543" s="581" t="s">
        <v>5282</v>
      </c>
    </row>
    <row r="544" spans="6:24">
      <c r="F544" s="297" t="str">
        <f>IF($G$1,"",IF(COUNTIF(A544:E544,"")=5,"",IF(G544,入力リスト!$K$28,IF(OR(A544="",B544="",IF(COUNTIF($C$3,"*不要*"),"",C544=""),D544=""),IF(A544="","従業員番号","")&amp;IF(B544="","「雇用形態」","")&amp;IF(OR(入力シート!$J$18=入力リスト!$H$9,入力シート!$J$22=入力リスト!$H$9),IF(C544="","「入社年月日」",""),"")&amp;IF(D544="","「性別」","")&amp;IF(IF(A544="","従業員番号","")&amp;IF(B544="","「雇用形態」","")&amp;IF(OR(入力シート!$J$18=入力リスト!$H$9,入力シート!$J$22=入力リスト!$H$9),IF(C544="","「入社年月日」",""),"")&amp;IF(D544="","「性別」","")="","",入力リスト!$K$29),IF(J544,入力リスト!$K$30,"")&amp;IF(I544,入力リスト!$K$31,"")&amp;IF(H544,"「雇用形態」","")&amp;IF(K544,"「性別」","")&amp;IF(L544,"「役職」","")&amp;IF(OR(H544,K544,L544),入力リスト!$K$32,"")))))</f>
        <v/>
      </c>
      <c r="G544" s="298" t="b">
        <f>COUNTIF($A$4:A543,$A544)&gt;0</f>
        <v>0</v>
      </c>
      <c r="H544" s="298" t="b">
        <f>IF($H$1,FALSE,COUNTIF(入力シート!$S$37:$V$62,B544)=0)</f>
        <v>0</v>
      </c>
      <c r="I544" s="298" t="b">
        <f t="shared" si="17"/>
        <v>0</v>
      </c>
      <c r="J544" s="298" t="b">
        <f>IF($J$1,FALSE,IF(I544=TRUE,FALSE,IF(I544,FALSE,C544&gt;入力シート!$J$24)))</f>
        <v>0</v>
      </c>
      <c r="K544" s="298" t="b">
        <f>IF($K$1,FALSE,COUNTIF(入力シート!$AW$37:$BB$38,D544)=0)</f>
        <v>0</v>
      </c>
      <c r="L544" s="298" t="b">
        <f>IF($L$1,FALSE,IF($L$3,FALSE,IF(E544="",FALSE,COUNTIF(入力シート!$AH$37:$AK$62,E544)=0)))</f>
        <v>0</v>
      </c>
      <c r="M544" s="298" t="str">
        <f t="shared" si="18"/>
        <v/>
      </c>
      <c r="N544" s="298" t="str">
        <f>IF(G544,"この従業員番号は、すでに他のセルで入力されています。",IF(入力シート!$C$5=入力リスト!$C$4,"",IF(AND(A544="",B544="",C544="",D544="",E544=""),"",IF(OR(A544="",B544="",C544="",D544=""),IF(A544="","従業員番号","")&amp;IF(AND(A544="",OR(B544="",C544="",D544="")),",","")&amp;IF(B544="","雇用形態","")&amp;IF(AND(B544="",OR(C544="",D544="")),",","")&amp;IF(OR(入力シート!$J$18=入力リスト!$H$9,入力シート!$J$22=入力リスト!$H$9),IF(C544="","入社年月日",""),"")&amp;IF(AND(C544="",D544=""),",","")&amp;IF(D544="","性別","")&amp;IF(IF(A544="","従業員番号","")&amp;IF(B544="","雇用形態","")&amp;IF(OR(入力シート!$J$18=入力リスト!$H$9,入力シート!$J$22=入力リスト!$H$9),IF(C544="","入社年月日",""),"")&amp;IF(D544="","性別","")="","","が空白です。"),IF(J544,"入社年月日に「基準日」の翌日以降の日付が入力されています。","")&amp;IF(I544,"入社年月日に数値以外（又は1900/1/1以前の日付）が入力されています。","")&amp;IF(H544,"雇用形態"&amp;IF(OR(K544,L544),",",""),"")&amp;IF(K544,"性別"&amp;IF(L544,",",""),"")&amp;IF(L544,"役職","")&amp;IF(OR(H544,K544,L544),"に、［入力シート］(4)「貴社」欄と異なる文言が入力されています。","")))))</f>
        <v/>
      </c>
      <c r="O544" s="298" t="str">
        <f>IF(B544="","",VLOOKUP('従業員情報(給与以外)'!$B544,入力シート!$S$37:$Z$62,5,0))</f>
        <v/>
      </c>
      <c r="P544" s="298" t="str">
        <f>IF(ISNUMBER(C544)=FALSE,"",IF(C544&gt;入力シート!$J$24,"",_xlfn.DAYS(入力シート!$J$24,'従業員情報(給与以外)'!$C544)/365))</f>
        <v/>
      </c>
      <c r="Q544" s="298" t="str">
        <f>IF(P544="","",VLOOKUP(_xlfn.DAYS(入力シート!$J$24,'従業員情報(給与以外)'!$C544)/365,入力リスト!$K$18:$L$26,2,2))</f>
        <v/>
      </c>
      <c r="R544" s="298" t="str">
        <f>IF(D544="","",VLOOKUP('従業員情報(給与以外)'!$D544,入力シート!$AW$37:$BB$38,4,0))</f>
        <v/>
      </c>
      <c r="S544" s="298" t="str">
        <f>IF(A544="","",IF(E544="","非役職",VLOOKUP('従業員情報(給与以外)'!$E544,入力シート!$AH$37:$AO$62,5,0)))</f>
        <v/>
      </c>
      <c r="T544" s="299" t="str">
        <f>IF(OR(入力シート!$C$5&lt;&gt;入力リスト!$C$3,COUNTIF(入力シート!$J$16:$S$23,入力リスト!$H$9)=0),"",IF($A544="","",IF(ISERROR(AVERAGEIF(従業員の給与情報!$B:$B,$A544,従業員の給与情報!$C:$C)),0,IF(ISERROR(AVERAGEIF(従業員の給与情報!$B:$B,$A544,従業員の給与情報!$C:$C)),0,AVERAGEIF(従業員の給与情報!$B:$B,$A544,従業員の給与情報!$C:$C)))))</f>
        <v/>
      </c>
      <c r="U544" s="299" t="str">
        <f>IF(OR(入力シート!$C$5&lt;&gt;入力リスト!$C$3,COUNTIF(入力シート!$J$16:$S$23,入力リスト!$H$9)=0),"",IF(A544="","",IF(ISERROR(AVERAGEIF(従業員の給与情報!$B:$B,$A544,従業員の給与情報!$D:$D)),0,IF(ISERROR(AVERAGEIF(従業員の給与情報!$B:$B,$A544,従業員の給与情報!$D:$D)),0,AVERAGEIF(従業員の給与情報!$B:$B,$A544,従業員の給与情報!$D:$D)))))</f>
        <v/>
      </c>
      <c r="V544" s="299" t="str">
        <f>IF(OR(入力シート!$C$5&lt;&gt;入力リスト!$C$3,COUNTIF(入力シート!$J$16:$S$23,入力リスト!$H$9)=0),"",IF(A544="","",IF(ISERROR(AVERAGEIF(従業員の給与情報!$B:$B,$A544,従業員の給与情報!$E:$E)),0,IF(ISERROR(AVERAGEIF(従業員の給与情報!$B:$B,$A544,従業員の給与情報!$E:$E)),0,AVERAGEIF(従業員の給与情報!$B:$B,$A544,従業員の給与情報!$E:$E)))))</f>
        <v/>
      </c>
      <c r="W544" s="299" t="str">
        <f>IF(OR(入力シート!$C$5&lt;&gt;入力リスト!$C$3,COUNTIF(入力シート!$J$16:$S$23,入力リスト!$H$9)=0),"",IF(A544="","",IF(ISERROR(AVERAGEIF(従業員の給与情報!$B:$B,$A544,従業員の給与情報!$F:$F)),0,IF(ISERROR(AVERAGEIF(従業員の給与情報!$B:$B,$A544,従業員の給与情報!$F:$F)),0,AVERAGEIF(従業員の給与情報!$B:$B,$A544,従業員の給与情報!$F:$F)))))</f>
        <v/>
      </c>
      <c r="X544" s="581" t="s">
        <v>5283</v>
      </c>
    </row>
    <row r="545" spans="6:24">
      <c r="F545" s="297" t="str">
        <f>IF($G$1,"",IF(COUNTIF(A545:E545,"")=5,"",IF(G545,入力リスト!$K$28,IF(OR(A545="",B545="",IF(COUNTIF($C$3,"*不要*"),"",C545=""),D545=""),IF(A545="","従業員番号","")&amp;IF(B545="","「雇用形態」","")&amp;IF(OR(入力シート!$J$18=入力リスト!$H$9,入力シート!$J$22=入力リスト!$H$9),IF(C545="","「入社年月日」",""),"")&amp;IF(D545="","「性別」","")&amp;IF(IF(A545="","従業員番号","")&amp;IF(B545="","「雇用形態」","")&amp;IF(OR(入力シート!$J$18=入力リスト!$H$9,入力シート!$J$22=入力リスト!$H$9),IF(C545="","「入社年月日」",""),"")&amp;IF(D545="","「性別」","")="","",入力リスト!$K$29),IF(J545,入力リスト!$K$30,"")&amp;IF(I545,入力リスト!$K$31,"")&amp;IF(H545,"「雇用形態」","")&amp;IF(K545,"「性別」","")&amp;IF(L545,"「役職」","")&amp;IF(OR(H545,K545,L545),入力リスト!$K$32,"")))))</f>
        <v/>
      </c>
      <c r="G545" s="298" t="b">
        <f>COUNTIF($A$4:A544,$A545)&gt;0</f>
        <v>0</v>
      </c>
      <c r="H545" s="298" t="b">
        <f>IF($H$1,FALSE,COUNTIF(入力シート!$S$37:$V$62,B545)=0)</f>
        <v>0</v>
      </c>
      <c r="I545" s="298" t="b">
        <f t="shared" si="17"/>
        <v>0</v>
      </c>
      <c r="J545" s="298" t="b">
        <f>IF($J$1,FALSE,IF(I545=TRUE,FALSE,IF(I545,FALSE,C545&gt;入力シート!$J$24)))</f>
        <v>0</v>
      </c>
      <c r="K545" s="298" t="b">
        <f>IF($K$1,FALSE,COUNTIF(入力シート!$AW$37:$BB$38,D545)=0)</f>
        <v>0</v>
      </c>
      <c r="L545" s="298" t="b">
        <f>IF($L$1,FALSE,IF($L$3,FALSE,IF(E545="",FALSE,COUNTIF(入力シート!$AH$37:$AK$62,E545)=0)))</f>
        <v>0</v>
      </c>
      <c r="M545" s="298" t="str">
        <f t="shared" si="18"/>
        <v/>
      </c>
      <c r="N545" s="298" t="str">
        <f>IF(G545,"この従業員番号は、すでに他のセルで入力されています。",IF(入力シート!$C$5=入力リスト!$C$4,"",IF(AND(A545="",B545="",C545="",D545="",E545=""),"",IF(OR(A545="",B545="",C545="",D545=""),IF(A545="","従業員番号","")&amp;IF(AND(A545="",OR(B545="",C545="",D545="")),",","")&amp;IF(B545="","雇用形態","")&amp;IF(AND(B545="",OR(C545="",D545="")),",","")&amp;IF(OR(入力シート!$J$18=入力リスト!$H$9,入力シート!$J$22=入力リスト!$H$9),IF(C545="","入社年月日",""),"")&amp;IF(AND(C545="",D545=""),",","")&amp;IF(D545="","性別","")&amp;IF(IF(A545="","従業員番号","")&amp;IF(B545="","雇用形態","")&amp;IF(OR(入力シート!$J$18=入力リスト!$H$9,入力シート!$J$22=入力リスト!$H$9),IF(C545="","入社年月日",""),"")&amp;IF(D545="","性別","")="","","が空白です。"),IF(J545,"入社年月日に「基準日」の翌日以降の日付が入力されています。","")&amp;IF(I545,"入社年月日に数値以外（又は1900/1/1以前の日付）が入力されています。","")&amp;IF(H545,"雇用形態"&amp;IF(OR(K545,L545),",",""),"")&amp;IF(K545,"性別"&amp;IF(L545,",",""),"")&amp;IF(L545,"役職","")&amp;IF(OR(H545,K545,L545),"に、［入力シート］(4)「貴社」欄と異なる文言が入力されています。","")))))</f>
        <v/>
      </c>
      <c r="O545" s="298" t="str">
        <f>IF(B545="","",VLOOKUP('従業員情報(給与以外)'!$B545,入力シート!$S$37:$Z$62,5,0))</f>
        <v/>
      </c>
      <c r="P545" s="298" t="str">
        <f>IF(ISNUMBER(C545)=FALSE,"",IF(C545&gt;入力シート!$J$24,"",_xlfn.DAYS(入力シート!$J$24,'従業員情報(給与以外)'!$C545)/365))</f>
        <v/>
      </c>
      <c r="Q545" s="298" t="str">
        <f>IF(P545="","",VLOOKUP(_xlfn.DAYS(入力シート!$J$24,'従業員情報(給与以外)'!$C545)/365,入力リスト!$K$18:$L$26,2,2))</f>
        <v/>
      </c>
      <c r="R545" s="298" t="str">
        <f>IF(D545="","",VLOOKUP('従業員情報(給与以外)'!$D545,入力シート!$AW$37:$BB$38,4,0))</f>
        <v/>
      </c>
      <c r="S545" s="298" t="str">
        <f>IF(A545="","",IF(E545="","非役職",VLOOKUP('従業員情報(給与以外)'!$E545,入力シート!$AH$37:$AO$62,5,0)))</f>
        <v/>
      </c>
      <c r="T545" s="299" t="str">
        <f>IF(OR(入力シート!$C$5&lt;&gt;入力リスト!$C$3,COUNTIF(入力シート!$J$16:$S$23,入力リスト!$H$9)=0),"",IF($A545="","",IF(ISERROR(AVERAGEIF(従業員の給与情報!$B:$B,$A545,従業員の給与情報!$C:$C)),0,IF(ISERROR(AVERAGEIF(従業員の給与情報!$B:$B,$A545,従業員の給与情報!$C:$C)),0,AVERAGEIF(従業員の給与情報!$B:$B,$A545,従業員の給与情報!$C:$C)))))</f>
        <v/>
      </c>
      <c r="U545" s="299" t="str">
        <f>IF(OR(入力シート!$C$5&lt;&gt;入力リスト!$C$3,COUNTIF(入力シート!$J$16:$S$23,入力リスト!$H$9)=0),"",IF(A545="","",IF(ISERROR(AVERAGEIF(従業員の給与情報!$B:$B,$A545,従業員の給与情報!$D:$D)),0,IF(ISERROR(AVERAGEIF(従業員の給与情報!$B:$B,$A545,従業員の給与情報!$D:$D)),0,AVERAGEIF(従業員の給与情報!$B:$B,$A545,従業員の給与情報!$D:$D)))))</f>
        <v/>
      </c>
      <c r="V545" s="299" t="str">
        <f>IF(OR(入力シート!$C$5&lt;&gt;入力リスト!$C$3,COUNTIF(入力シート!$J$16:$S$23,入力リスト!$H$9)=0),"",IF(A545="","",IF(ISERROR(AVERAGEIF(従業員の給与情報!$B:$B,$A545,従業員の給与情報!$E:$E)),0,IF(ISERROR(AVERAGEIF(従業員の給与情報!$B:$B,$A545,従業員の給与情報!$E:$E)),0,AVERAGEIF(従業員の給与情報!$B:$B,$A545,従業員の給与情報!$E:$E)))))</f>
        <v/>
      </c>
      <c r="W545" s="299" t="str">
        <f>IF(OR(入力シート!$C$5&lt;&gt;入力リスト!$C$3,COUNTIF(入力シート!$J$16:$S$23,入力リスト!$H$9)=0),"",IF(A545="","",IF(ISERROR(AVERAGEIF(従業員の給与情報!$B:$B,$A545,従業員の給与情報!$F:$F)),0,IF(ISERROR(AVERAGEIF(従業員の給与情報!$B:$B,$A545,従業員の給与情報!$F:$F)),0,AVERAGEIF(従業員の給与情報!$B:$B,$A545,従業員の給与情報!$F:$F)))))</f>
        <v/>
      </c>
      <c r="X545" s="581" t="s">
        <v>5284</v>
      </c>
    </row>
    <row r="546" spans="6:24">
      <c r="F546" s="297" t="str">
        <f>IF($G$1,"",IF(COUNTIF(A546:E546,"")=5,"",IF(G546,入力リスト!$K$28,IF(OR(A546="",B546="",IF(COUNTIF($C$3,"*不要*"),"",C546=""),D546=""),IF(A546="","従業員番号","")&amp;IF(B546="","「雇用形態」","")&amp;IF(OR(入力シート!$J$18=入力リスト!$H$9,入力シート!$J$22=入力リスト!$H$9),IF(C546="","「入社年月日」",""),"")&amp;IF(D546="","「性別」","")&amp;IF(IF(A546="","従業員番号","")&amp;IF(B546="","「雇用形態」","")&amp;IF(OR(入力シート!$J$18=入力リスト!$H$9,入力シート!$J$22=入力リスト!$H$9),IF(C546="","「入社年月日」",""),"")&amp;IF(D546="","「性別」","")="","",入力リスト!$K$29),IF(J546,入力リスト!$K$30,"")&amp;IF(I546,入力リスト!$K$31,"")&amp;IF(H546,"「雇用形態」","")&amp;IF(K546,"「性別」","")&amp;IF(L546,"「役職」","")&amp;IF(OR(H546,K546,L546),入力リスト!$K$32,"")))))</f>
        <v/>
      </c>
      <c r="G546" s="298" t="b">
        <f>COUNTIF($A$4:A545,$A546)&gt;0</f>
        <v>0</v>
      </c>
      <c r="H546" s="298" t="b">
        <f>IF($H$1,FALSE,COUNTIF(入力シート!$S$37:$V$62,B546)=0)</f>
        <v>0</v>
      </c>
      <c r="I546" s="298" t="b">
        <f t="shared" si="17"/>
        <v>0</v>
      </c>
      <c r="J546" s="298" t="b">
        <f>IF($J$1,FALSE,IF(I546=TRUE,FALSE,IF(I546,FALSE,C546&gt;入力シート!$J$24)))</f>
        <v>0</v>
      </c>
      <c r="K546" s="298" t="b">
        <f>IF($K$1,FALSE,COUNTIF(入力シート!$AW$37:$BB$38,D546)=0)</f>
        <v>0</v>
      </c>
      <c r="L546" s="298" t="b">
        <f>IF($L$1,FALSE,IF($L$3,FALSE,IF(E546="",FALSE,COUNTIF(入力シート!$AH$37:$AK$62,E546)=0)))</f>
        <v>0</v>
      </c>
      <c r="M546" s="298" t="str">
        <f t="shared" si="18"/>
        <v/>
      </c>
      <c r="N546" s="298" t="str">
        <f>IF(G546,"この従業員番号は、すでに他のセルで入力されています。",IF(入力シート!$C$5=入力リスト!$C$4,"",IF(AND(A546="",B546="",C546="",D546="",E546=""),"",IF(OR(A546="",B546="",C546="",D546=""),IF(A546="","従業員番号","")&amp;IF(AND(A546="",OR(B546="",C546="",D546="")),",","")&amp;IF(B546="","雇用形態","")&amp;IF(AND(B546="",OR(C546="",D546="")),",","")&amp;IF(OR(入力シート!$J$18=入力リスト!$H$9,入力シート!$J$22=入力リスト!$H$9),IF(C546="","入社年月日",""),"")&amp;IF(AND(C546="",D546=""),",","")&amp;IF(D546="","性別","")&amp;IF(IF(A546="","従業員番号","")&amp;IF(B546="","雇用形態","")&amp;IF(OR(入力シート!$J$18=入力リスト!$H$9,入力シート!$J$22=入力リスト!$H$9),IF(C546="","入社年月日",""),"")&amp;IF(D546="","性別","")="","","が空白です。"),IF(J546,"入社年月日に「基準日」の翌日以降の日付が入力されています。","")&amp;IF(I546,"入社年月日に数値以外（又は1900/1/1以前の日付）が入力されています。","")&amp;IF(H546,"雇用形態"&amp;IF(OR(K546,L546),",",""),"")&amp;IF(K546,"性別"&amp;IF(L546,",",""),"")&amp;IF(L546,"役職","")&amp;IF(OR(H546,K546,L546),"に、［入力シート］(4)「貴社」欄と異なる文言が入力されています。","")))))</f>
        <v/>
      </c>
      <c r="O546" s="298" t="str">
        <f>IF(B546="","",VLOOKUP('従業員情報(給与以外)'!$B546,入力シート!$S$37:$Z$62,5,0))</f>
        <v/>
      </c>
      <c r="P546" s="298" t="str">
        <f>IF(ISNUMBER(C546)=FALSE,"",IF(C546&gt;入力シート!$J$24,"",_xlfn.DAYS(入力シート!$J$24,'従業員情報(給与以外)'!$C546)/365))</f>
        <v/>
      </c>
      <c r="Q546" s="298" t="str">
        <f>IF(P546="","",VLOOKUP(_xlfn.DAYS(入力シート!$J$24,'従業員情報(給与以外)'!$C546)/365,入力リスト!$K$18:$L$26,2,2))</f>
        <v/>
      </c>
      <c r="R546" s="298" t="str">
        <f>IF(D546="","",VLOOKUP('従業員情報(給与以外)'!$D546,入力シート!$AW$37:$BB$38,4,0))</f>
        <v/>
      </c>
      <c r="S546" s="298" t="str">
        <f>IF(A546="","",IF(E546="","非役職",VLOOKUP('従業員情報(給与以外)'!$E546,入力シート!$AH$37:$AO$62,5,0)))</f>
        <v/>
      </c>
      <c r="T546" s="299" t="str">
        <f>IF(OR(入力シート!$C$5&lt;&gt;入力リスト!$C$3,COUNTIF(入力シート!$J$16:$S$23,入力リスト!$H$9)=0),"",IF($A546="","",IF(ISERROR(AVERAGEIF(従業員の給与情報!$B:$B,$A546,従業員の給与情報!$C:$C)),0,IF(ISERROR(AVERAGEIF(従業員の給与情報!$B:$B,$A546,従業員の給与情報!$C:$C)),0,AVERAGEIF(従業員の給与情報!$B:$B,$A546,従業員の給与情報!$C:$C)))))</f>
        <v/>
      </c>
      <c r="U546" s="299" t="str">
        <f>IF(OR(入力シート!$C$5&lt;&gt;入力リスト!$C$3,COUNTIF(入力シート!$J$16:$S$23,入力リスト!$H$9)=0),"",IF(A546="","",IF(ISERROR(AVERAGEIF(従業員の給与情報!$B:$B,$A546,従業員の給与情報!$D:$D)),0,IF(ISERROR(AVERAGEIF(従業員の給与情報!$B:$B,$A546,従業員の給与情報!$D:$D)),0,AVERAGEIF(従業員の給与情報!$B:$B,$A546,従業員の給与情報!$D:$D)))))</f>
        <v/>
      </c>
      <c r="V546" s="299" t="str">
        <f>IF(OR(入力シート!$C$5&lt;&gt;入力リスト!$C$3,COUNTIF(入力シート!$J$16:$S$23,入力リスト!$H$9)=0),"",IF(A546="","",IF(ISERROR(AVERAGEIF(従業員の給与情報!$B:$B,$A546,従業員の給与情報!$E:$E)),0,IF(ISERROR(AVERAGEIF(従業員の給与情報!$B:$B,$A546,従業員の給与情報!$E:$E)),0,AVERAGEIF(従業員の給与情報!$B:$B,$A546,従業員の給与情報!$E:$E)))))</f>
        <v/>
      </c>
      <c r="W546" s="299" t="str">
        <f>IF(OR(入力シート!$C$5&lt;&gt;入力リスト!$C$3,COUNTIF(入力シート!$J$16:$S$23,入力リスト!$H$9)=0),"",IF(A546="","",IF(ISERROR(AVERAGEIF(従業員の給与情報!$B:$B,$A546,従業員の給与情報!$F:$F)),0,IF(ISERROR(AVERAGEIF(従業員の給与情報!$B:$B,$A546,従業員の給与情報!$F:$F)),0,AVERAGEIF(従業員の給与情報!$B:$B,$A546,従業員の給与情報!$F:$F)))))</f>
        <v/>
      </c>
      <c r="X546" s="581" t="s">
        <v>5285</v>
      </c>
    </row>
    <row r="547" spans="6:24">
      <c r="F547" s="297" t="str">
        <f>IF($G$1,"",IF(COUNTIF(A547:E547,"")=5,"",IF(G547,入力リスト!$K$28,IF(OR(A547="",B547="",IF(COUNTIF($C$3,"*不要*"),"",C547=""),D547=""),IF(A547="","従業員番号","")&amp;IF(B547="","「雇用形態」","")&amp;IF(OR(入力シート!$J$18=入力リスト!$H$9,入力シート!$J$22=入力リスト!$H$9),IF(C547="","「入社年月日」",""),"")&amp;IF(D547="","「性別」","")&amp;IF(IF(A547="","従業員番号","")&amp;IF(B547="","「雇用形態」","")&amp;IF(OR(入力シート!$J$18=入力リスト!$H$9,入力シート!$J$22=入力リスト!$H$9),IF(C547="","「入社年月日」",""),"")&amp;IF(D547="","「性別」","")="","",入力リスト!$K$29),IF(J547,入力リスト!$K$30,"")&amp;IF(I547,入力リスト!$K$31,"")&amp;IF(H547,"「雇用形態」","")&amp;IF(K547,"「性別」","")&amp;IF(L547,"「役職」","")&amp;IF(OR(H547,K547,L547),入力リスト!$K$32,"")))))</f>
        <v/>
      </c>
      <c r="G547" s="298" t="b">
        <f>COUNTIF($A$4:A546,$A547)&gt;0</f>
        <v>0</v>
      </c>
      <c r="H547" s="298" t="b">
        <f>IF($H$1,FALSE,COUNTIF(入力シート!$S$37:$V$62,B547)=0)</f>
        <v>0</v>
      </c>
      <c r="I547" s="298" t="b">
        <f t="shared" si="17"/>
        <v>0</v>
      </c>
      <c r="J547" s="298" t="b">
        <f>IF($J$1,FALSE,IF(I547=TRUE,FALSE,IF(I547,FALSE,C547&gt;入力シート!$J$24)))</f>
        <v>0</v>
      </c>
      <c r="K547" s="298" t="b">
        <f>IF($K$1,FALSE,COUNTIF(入力シート!$AW$37:$BB$38,D547)=0)</f>
        <v>0</v>
      </c>
      <c r="L547" s="298" t="b">
        <f>IF($L$1,FALSE,IF($L$3,FALSE,IF(E547="",FALSE,COUNTIF(入力シート!$AH$37:$AK$62,E547)=0)))</f>
        <v>0</v>
      </c>
      <c r="M547" s="298" t="str">
        <f t="shared" si="18"/>
        <v/>
      </c>
      <c r="N547" s="298" t="str">
        <f>IF(G547,"この従業員番号は、すでに他のセルで入力されています。",IF(入力シート!$C$5=入力リスト!$C$4,"",IF(AND(A547="",B547="",C547="",D547="",E547=""),"",IF(OR(A547="",B547="",C547="",D547=""),IF(A547="","従業員番号","")&amp;IF(AND(A547="",OR(B547="",C547="",D547="")),",","")&amp;IF(B547="","雇用形態","")&amp;IF(AND(B547="",OR(C547="",D547="")),",","")&amp;IF(OR(入力シート!$J$18=入力リスト!$H$9,入力シート!$J$22=入力リスト!$H$9),IF(C547="","入社年月日",""),"")&amp;IF(AND(C547="",D547=""),",","")&amp;IF(D547="","性別","")&amp;IF(IF(A547="","従業員番号","")&amp;IF(B547="","雇用形態","")&amp;IF(OR(入力シート!$J$18=入力リスト!$H$9,入力シート!$J$22=入力リスト!$H$9),IF(C547="","入社年月日",""),"")&amp;IF(D547="","性別","")="","","が空白です。"),IF(J547,"入社年月日に「基準日」の翌日以降の日付が入力されています。","")&amp;IF(I547,"入社年月日に数値以外（又は1900/1/1以前の日付）が入力されています。","")&amp;IF(H547,"雇用形態"&amp;IF(OR(K547,L547),",",""),"")&amp;IF(K547,"性別"&amp;IF(L547,",",""),"")&amp;IF(L547,"役職","")&amp;IF(OR(H547,K547,L547),"に、［入力シート］(4)「貴社」欄と異なる文言が入力されています。","")))))</f>
        <v/>
      </c>
      <c r="O547" s="298" t="str">
        <f>IF(B547="","",VLOOKUP('従業員情報(給与以外)'!$B547,入力シート!$S$37:$Z$62,5,0))</f>
        <v/>
      </c>
      <c r="P547" s="298" t="str">
        <f>IF(ISNUMBER(C547)=FALSE,"",IF(C547&gt;入力シート!$J$24,"",_xlfn.DAYS(入力シート!$J$24,'従業員情報(給与以外)'!$C547)/365))</f>
        <v/>
      </c>
      <c r="Q547" s="298" t="str">
        <f>IF(P547="","",VLOOKUP(_xlfn.DAYS(入力シート!$J$24,'従業員情報(給与以外)'!$C547)/365,入力リスト!$K$18:$L$26,2,2))</f>
        <v/>
      </c>
      <c r="R547" s="298" t="str">
        <f>IF(D547="","",VLOOKUP('従業員情報(給与以外)'!$D547,入力シート!$AW$37:$BB$38,4,0))</f>
        <v/>
      </c>
      <c r="S547" s="298" t="str">
        <f>IF(A547="","",IF(E547="","非役職",VLOOKUP('従業員情報(給与以外)'!$E547,入力シート!$AH$37:$AO$62,5,0)))</f>
        <v/>
      </c>
      <c r="T547" s="299" t="str">
        <f>IF(OR(入力シート!$C$5&lt;&gt;入力リスト!$C$3,COUNTIF(入力シート!$J$16:$S$23,入力リスト!$H$9)=0),"",IF($A547="","",IF(ISERROR(AVERAGEIF(従業員の給与情報!$B:$B,$A547,従業員の給与情報!$C:$C)),0,IF(ISERROR(AVERAGEIF(従業員の給与情報!$B:$B,$A547,従業員の給与情報!$C:$C)),0,AVERAGEIF(従業員の給与情報!$B:$B,$A547,従業員の給与情報!$C:$C)))))</f>
        <v/>
      </c>
      <c r="U547" s="299" t="str">
        <f>IF(OR(入力シート!$C$5&lt;&gt;入力リスト!$C$3,COUNTIF(入力シート!$J$16:$S$23,入力リスト!$H$9)=0),"",IF(A547="","",IF(ISERROR(AVERAGEIF(従業員の給与情報!$B:$B,$A547,従業員の給与情報!$D:$D)),0,IF(ISERROR(AVERAGEIF(従業員の給与情報!$B:$B,$A547,従業員の給与情報!$D:$D)),0,AVERAGEIF(従業員の給与情報!$B:$B,$A547,従業員の給与情報!$D:$D)))))</f>
        <v/>
      </c>
      <c r="V547" s="299" t="str">
        <f>IF(OR(入力シート!$C$5&lt;&gt;入力リスト!$C$3,COUNTIF(入力シート!$J$16:$S$23,入力リスト!$H$9)=0),"",IF(A547="","",IF(ISERROR(AVERAGEIF(従業員の給与情報!$B:$B,$A547,従業員の給与情報!$E:$E)),0,IF(ISERROR(AVERAGEIF(従業員の給与情報!$B:$B,$A547,従業員の給与情報!$E:$E)),0,AVERAGEIF(従業員の給与情報!$B:$B,$A547,従業員の給与情報!$E:$E)))))</f>
        <v/>
      </c>
      <c r="W547" s="299" t="str">
        <f>IF(OR(入力シート!$C$5&lt;&gt;入力リスト!$C$3,COUNTIF(入力シート!$J$16:$S$23,入力リスト!$H$9)=0),"",IF(A547="","",IF(ISERROR(AVERAGEIF(従業員の給与情報!$B:$B,$A547,従業員の給与情報!$F:$F)),0,IF(ISERROR(AVERAGEIF(従業員の給与情報!$B:$B,$A547,従業員の給与情報!$F:$F)),0,AVERAGEIF(従業員の給与情報!$B:$B,$A547,従業員の給与情報!$F:$F)))))</f>
        <v/>
      </c>
      <c r="X547" s="581" t="s">
        <v>5286</v>
      </c>
    </row>
    <row r="548" spans="6:24">
      <c r="F548" s="297" t="str">
        <f>IF($G$1,"",IF(COUNTIF(A548:E548,"")=5,"",IF(G548,入力リスト!$K$28,IF(OR(A548="",B548="",IF(COUNTIF($C$3,"*不要*"),"",C548=""),D548=""),IF(A548="","従業員番号","")&amp;IF(B548="","「雇用形態」","")&amp;IF(OR(入力シート!$J$18=入力リスト!$H$9,入力シート!$J$22=入力リスト!$H$9),IF(C548="","「入社年月日」",""),"")&amp;IF(D548="","「性別」","")&amp;IF(IF(A548="","従業員番号","")&amp;IF(B548="","「雇用形態」","")&amp;IF(OR(入力シート!$J$18=入力リスト!$H$9,入力シート!$J$22=入力リスト!$H$9),IF(C548="","「入社年月日」",""),"")&amp;IF(D548="","「性別」","")="","",入力リスト!$K$29),IF(J548,入力リスト!$K$30,"")&amp;IF(I548,入力リスト!$K$31,"")&amp;IF(H548,"「雇用形態」","")&amp;IF(K548,"「性別」","")&amp;IF(L548,"「役職」","")&amp;IF(OR(H548,K548,L548),入力リスト!$K$32,"")))))</f>
        <v/>
      </c>
      <c r="G548" s="298" t="b">
        <f>COUNTIF($A$4:A547,$A548)&gt;0</f>
        <v>0</v>
      </c>
      <c r="H548" s="298" t="b">
        <f>IF($H$1,FALSE,COUNTIF(入力シート!$S$37:$V$62,B548)=0)</f>
        <v>0</v>
      </c>
      <c r="I548" s="298" t="b">
        <f t="shared" si="17"/>
        <v>0</v>
      </c>
      <c r="J548" s="298" t="b">
        <f>IF($J$1,FALSE,IF(I548=TRUE,FALSE,IF(I548,FALSE,C548&gt;入力シート!$J$24)))</f>
        <v>0</v>
      </c>
      <c r="K548" s="298" t="b">
        <f>IF($K$1,FALSE,COUNTIF(入力シート!$AW$37:$BB$38,D548)=0)</f>
        <v>0</v>
      </c>
      <c r="L548" s="298" t="b">
        <f>IF($L$1,FALSE,IF($L$3,FALSE,IF(E548="",FALSE,COUNTIF(入力シート!$AH$37:$AK$62,E548)=0)))</f>
        <v>0</v>
      </c>
      <c r="M548" s="298" t="str">
        <f t="shared" si="18"/>
        <v/>
      </c>
      <c r="N548" s="298" t="str">
        <f>IF(G548,"この従業員番号は、すでに他のセルで入力されています。",IF(入力シート!$C$5=入力リスト!$C$4,"",IF(AND(A548="",B548="",C548="",D548="",E548=""),"",IF(OR(A548="",B548="",C548="",D548=""),IF(A548="","従業員番号","")&amp;IF(AND(A548="",OR(B548="",C548="",D548="")),",","")&amp;IF(B548="","雇用形態","")&amp;IF(AND(B548="",OR(C548="",D548="")),",","")&amp;IF(OR(入力シート!$J$18=入力リスト!$H$9,入力シート!$J$22=入力リスト!$H$9),IF(C548="","入社年月日",""),"")&amp;IF(AND(C548="",D548=""),",","")&amp;IF(D548="","性別","")&amp;IF(IF(A548="","従業員番号","")&amp;IF(B548="","雇用形態","")&amp;IF(OR(入力シート!$J$18=入力リスト!$H$9,入力シート!$J$22=入力リスト!$H$9),IF(C548="","入社年月日",""),"")&amp;IF(D548="","性別","")="","","が空白です。"),IF(J548,"入社年月日に「基準日」の翌日以降の日付が入力されています。","")&amp;IF(I548,"入社年月日に数値以外（又は1900/1/1以前の日付）が入力されています。","")&amp;IF(H548,"雇用形態"&amp;IF(OR(K548,L548),",",""),"")&amp;IF(K548,"性別"&amp;IF(L548,",",""),"")&amp;IF(L548,"役職","")&amp;IF(OR(H548,K548,L548),"に、［入力シート］(4)「貴社」欄と異なる文言が入力されています。","")))))</f>
        <v/>
      </c>
      <c r="O548" s="298" t="str">
        <f>IF(B548="","",VLOOKUP('従業員情報(給与以外)'!$B548,入力シート!$S$37:$Z$62,5,0))</f>
        <v/>
      </c>
      <c r="P548" s="298" t="str">
        <f>IF(ISNUMBER(C548)=FALSE,"",IF(C548&gt;入力シート!$J$24,"",_xlfn.DAYS(入力シート!$J$24,'従業員情報(給与以外)'!$C548)/365))</f>
        <v/>
      </c>
      <c r="Q548" s="298" t="str">
        <f>IF(P548="","",VLOOKUP(_xlfn.DAYS(入力シート!$J$24,'従業員情報(給与以外)'!$C548)/365,入力リスト!$K$18:$L$26,2,2))</f>
        <v/>
      </c>
      <c r="R548" s="298" t="str">
        <f>IF(D548="","",VLOOKUP('従業員情報(給与以外)'!$D548,入力シート!$AW$37:$BB$38,4,0))</f>
        <v/>
      </c>
      <c r="S548" s="298" t="str">
        <f>IF(A548="","",IF(E548="","非役職",VLOOKUP('従業員情報(給与以外)'!$E548,入力シート!$AH$37:$AO$62,5,0)))</f>
        <v/>
      </c>
      <c r="T548" s="299" t="str">
        <f>IF(OR(入力シート!$C$5&lt;&gt;入力リスト!$C$3,COUNTIF(入力シート!$J$16:$S$23,入力リスト!$H$9)=0),"",IF($A548="","",IF(ISERROR(AVERAGEIF(従業員の給与情報!$B:$B,$A548,従業員の給与情報!$C:$C)),0,IF(ISERROR(AVERAGEIF(従業員の給与情報!$B:$B,$A548,従業員の給与情報!$C:$C)),0,AVERAGEIF(従業員の給与情報!$B:$B,$A548,従業員の給与情報!$C:$C)))))</f>
        <v/>
      </c>
      <c r="U548" s="299" t="str">
        <f>IF(OR(入力シート!$C$5&lt;&gt;入力リスト!$C$3,COUNTIF(入力シート!$J$16:$S$23,入力リスト!$H$9)=0),"",IF(A548="","",IF(ISERROR(AVERAGEIF(従業員の給与情報!$B:$B,$A548,従業員の給与情報!$D:$D)),0,IF(ISERROR(AVERAGEIF(従業員の給与情報!$B:$B,$A548,従業員の給与情報!$D:$D)),0,AVERAGEIF(従業員の給与情報!$B:$B,$A548,従業員の給与情報!$D:$D)))))</f>
        <v/>
      </c>
      <c r="V548" s="299" t="str">
        <f>IF(OR(入力シート!$C$5&lt;&gt;入力リスト!$C$3,COUNTIF(入力シート!$J$16:$S$23,入力リスト!$H$9)=0),"",IF(A548="","",IF(ISERROR(AVERAGEIF(従業員の給与情報!$B:$B,$A548,従業員の給与情報!$E:$E)),0,IF(ISERROR(AVERAGEIF(従業員の給与情報!$B:$B,$A548,従業員の給与情報!$E:$E)),0,AVERAGEIF(従業員の給与情報!$B:$B,$A548,従業員の給与情報!$E:$E)))))</f>
        <v/>
      </c>
      <c r="W548" s="299" t="str">
        <f>IF(OR(入力シート!$C$5&lt;&gt;入力リスト!$C$3,COUNTIF(入力シート!$J$16:$S$23,入力リスト!$H$9)=0),"",IF(A548="","",IF(ISERROR(AVERAGEIF(従業員の給与情報!$B:$B,$A548,従業員の給与情報!$F:$F)),0,IF(ISERROR(AVERAGEIF(従業員の給与情報!$B:$B,$A548,従業員の給与情報!$F:$F)),0,AVERAGEIF(従業員の給与情報!$B:$B,$A548,従業員の給与情報!$F:$F)))))</f>
        <v/>
      </c>
      <c r="X548" s="581" t="s">
        <v>5287</v>
      </c>
    </row>
    <row r="549" spans="6:24">
      <c r="F549" s="297" t="str">
        <f>IF($G$1,"",IF(COUNTIF(A549:E549,"")=5,"",IF(G549,入力リスト!$K$28,IF(OR(A549="",B549="",IF(COUNTIF($C$3,"*不要*"),"",C549=""),D549=""),IF(A549="","従業員番号","")&amp;IF(B549="","「雇用形態」","")&amp;IF(OR(入力シート!$J$18=入力リスト!$H$9,入力シート!$J$22=入力リスト!$H$9),IF(C549="","「入社年月日」",""),"")&amp;IF(D549="","「性別」","")&amp;IF(IF(A549="","従業員番号","")&amp;IF(B549="","「雇用形態」","")&amp;IF(OR(入力シート!$J$18=入力リスト!$H$9,入力シート!$J$22=入力リスト!$H$9),IF(C549="","「入社年月日」",""),"")&amp;IF(D549="","「性別」","")="","",入力リスト!$K$29),IF(J549,入力リスト!$K$30,"")&amp;IF(I549,入力リスト!$K$31,"")&amp;IF(H549,"「雇用形態」","")&amp;IF(K549,"「性別」","")&amp;IF(L549,"「役職」","")&amp;IF(OR(H549,K549,L549),入力リスト!$K$32,"")))))</f>
        <v/>
      </c>
      <c r="G549" s="298" t="b">
        <f>COUNTIF($A$4:A548,$A549)&gt;0</f>
        <v>0</v>
      </c>
      <c r="H549" s="298" t="b">
        <f>IF($H$1,FALSE,COUNTIF(入力シート!$S$37:$V$62,B549)=0)</f>
        <v>0</v>
      </c>
      <c r="I549" s="298" t="b">
        <f t="shared" si="17"/>
        <v>0</v>
      </c>
      <c r="J549" s="298" t="b">
        <f>IF($J$1,FALSE,IF(I549=TRUE,FALSE,IF(I549,FALSE,C549&gt;入力シート!$J$24)))</f>
        <v>0</v>
      </c>
      <c r="K549" s="298" t="b">
        <f>IF($K$1,FALSE,COUNTIF(入力シート!$AW$37:$BB$38,D549)=0)</f>
        <v>0</v>
      </c>
      <c r="L549" s="298" t="b">
        <f>IF($L$1,FALSE,IF($L$3,FALSE,IF(E549="",FALSE,COUNTIF(入力シート!$AH$37:$AK$62,E549)=0)))</f>
        <v>0</v>
      </c>
      <c r="M549" s="298" t="str">
        <f t="shared" si="18"/>
        <v/>
      </c>
      <c r="N549" s="298" t="str">
        <f>IF(G549,"この従業員番号は、すでに他のセルで入力されています。",IF(入力シート!$C$5=入力リスト!$C$4,"",IF(AND(A549="",B549="",C549="",D549="",E549=""),"",IF(OR(A549="",B549="",C549="",D549=""),IF(A549="","従業員番号","")&amp;IF(AND(A549="",OR(B549="",C549="",D549="")),",","")&amp;IF(B549="","雇用形態","")&amp;IF(AND(B549="",OR(C549="",D549="")),",","")&amp;IF(OR(入力シート!$J$18=入力リスト!$H$9,入力シート!$J$22=入力リスト!$H$9),IF(C549="","入社年月日",""),"")&amp;IF(AND(C549="",D549=""),",","")&amp;IF(D549="","性別","")&amp;IF(IF(A549="","従業員番号","")&amp;IF(B549="","雇用形態","")&amp;IF(OR(入力シート!$J$18=入力リスト!$H$9,入力シート!$J$22=入力リスト!$H$9),IF(C549="","入社年月日",""),"")&amp;IF(D549="","性別","")="","","が空白です。"),IF(J549,"入社年月日に「基準日」の翌日以降の日付が入力されています。","")&amp;IF(I549,"入社年月日に数値以外（又は1900/1/1以前の日付）が入力されています。","")&amp;IF(H549,"雇用形態"&amp;IF(OR(K549,L549),",",""),"")&amp;IF(K549,"性別"&amp;IF(L549,",",""),"")&amp;IF(L549,"役職","")&amp;IF(OR(H549,K549,L549),"に、［入力シート］(4)「貴社」欄と異なる文言が入力されています。","")))))</f>
        <v/>
      </c>
      <c r="O549" s="298" t="str">
        <f>IF(B549="","",VLOOKUP('従業員情報(給与以外)'!$B549,入力シート!$S$37:$Z$62,5,0))</f>
        <v/>
      </c>
      <c r="P549" s="298" t="str">
        <f>IF(ISNUMBER(C549)=FALSE,"",IF(C549&gt;入力シート!$J$24,"",_xlfn.DAYS(入力シート!$J$24,'従業員情報(給与以外)'!$C549)/365))</f>
        <v/>
      </c>
      <c r="Q549" s="298" t="str">
        <f>IF(P549="","",VLOOKUP(_xlfn.DAYS(入力シート!$J$24,'従業員情報(給与以外)'!$C549)/365,入力リスト!$K$18:$L$26,2,2))</f>
        <v/>
      </c>
      <c r="R549" s="298" t="str">
        <f>IF(D549="","",VLOOKUP('従業員情報(給与以外)'!$D549,入力シート!$AW$37:$BB$38,4,0))</f>
        <v/>
      </c>
      <c r="S549" s="298" t="str">
        <f>IF(A549="","",IF(E549="","非役職",VLOOKUP('従業員情報(給与以外)'!$E549,入力シート!$AH$37:$AO$62,5,0)))</f>
        <v/>
      </c>
      <c r="T549" s="299" t="str">
        <f>IF(OR(入力シート!$C$5&lt;&gt;入力リスト!$C$3,COUNTIF(入力シート!$J$16:$S$23,入力リスト!$H$9)=0),"",IF($A549="","",IF(ISERROR(AVERAGEIF(従業員の給与情報!$B:$B,$A549,従業員の給与情報!$C:$C)),0,IF(ISERROR(AVERAGEIF(従業員の給与情報!$B:$B,$A549,従業員の給与情報!$C:$C)),0,AVERAGEIF(従業員の給与情報!$B:$B,$A549,従業員の給与情報!$C:$C)))))</f>
        <v/>
      </c>
      <c r="U549" s="299" t="str">
        <f>IF(OR(入力シート!$C$5&lt;&gt;入力リスト!$C$3,COUNTIF(入力シート!$J$16:$S$23,入力リスト!$H$9)=0),"",IF(A549="","",IF(ISERROR(AVERAGEIF(従業員の給与情報!$B:$B,$A549,従業員の給与情報!$D:$D)),0,IF(ISERROR(AVERAGEIF(従業員の給与情報!$B:$B,$A549,従業員の給与情報!$D:$D)),0,AVERAGEIF(従業員の給与情報!$B:$B,$A549,従業員の給与情報!$D:$D)))))</f>
        <v/>
      </c>
      <c r="V549" s="299" t="str">
        <f>IF(OR(入力シート!$C$5&lt;&gt;入力リスト!$C$3,COUNTIF(入力シート!$J$16:$S$23,入力リスト!$H$9)=0),"",IF(A549="","",IF(ISERROR(AVERAGEIF(従業員の給与情報!$B:$B,$A549,従業員の給与情報!$E:$E)),0,IF(ISERROR(AVERAGEIF(従業員の給与情報!$B:$B,$A549,従業員の給与情報!$E:$E)),0,AVERAGEIF(従業員の給与情報!$B:$B,$A549,従業員の給与情報!$E:$E)))))</f>
        <v/>
      </c>
      <c r="W549" s="299" t="str">
        <f>IF(OR(入力シート!$C$5&lt;&gt;入力リスト!$C$3,COUNTIF(入力シート!$J$16:$S$23,入力リスト!$H$9)=0),"",IF(A549="","",IF(ISERROR(AVERAGEIF(従業員の給与情報!$B:$B,$A549,従業員の給与情報!$F:$F)),0,IF(ISERROR(AVERAGEIF(従業員の給与情報!$B:$B,$A549,従業員の給与情報!$F:$F)),0,AVERAGEIF(従業員の給与情報!$B:$B,$A549,従業員の給与情報!$F:$F)))))</f>
        <v/>
      </c>
      <c r="X549" s="581" t="s">
        <v>5288</v>
      </c>
    </row>
    <row r="550" spans="6:24">
      <c r="F550" s="297" t="str">
        <f>IF($G$1,"",IF(COUNTIF(A550:E550,"")=5,"",IF(G550,入力リスト!$K$28,IF(OR(A550="",B550="",IF(COUNTIF($C$3,"*不要*"),"",C550=""),D550=""),IF(A550="","従業員番号","")&amp;IF(B550="","「雇用形態」","")&amp;IF(OR(入力シート!$J$18=入力リスト!$H$9,入力シート!$J$22=入力リスト!$H$9),IF(C550="","「入社年月日」",""),"")&amp;IF(D550="","「性別」","")&amp;IF(IF(A550="","従業員番号","")&amp;IF(B550="","「雇用形態」","")&amp;IF(OR(入力シート!$J$18=入力リスト!$H$9,入力シート!$J$22=入力リスト!$H$9),IF(C550="","「入社年月日」",""),"")&amp;IF(D550="","「性別」","")="","",入力リスト!$K$29),IF(J550,入力リスト!$K$30,"")&amp;IF(I550,入力リスト!$K$31,"")&amp;IF(H550,"「雇用形態」","")&amp;IF(K550,"「性別」","")&amp;IF(L550,"「役職」","")&amp;IF(OR(H550,K550,L550),入力リスト!$K$32,"")))))</f>
        <v/>
      </c>
      <c r="G550" s="298" t="b">
        <f>COUNTIF($A$4:A549,$A550)&gt;0</f>
        <v>0</v>
      </c>
      <c r="H550" s="298" t="b">
        <f>IF($H$1,FALSE,COUNTIF(入力シート!$S$37:$V$62,B550)=0)</f>
        <v>0</v>
      </c>
      <c r="I550" s="298" t="b">
        <f t="shared" si="17"/>
        <v>0</v>
      </c>
      <c r="J550" s="298" t="b">
        <f>IF($J$1,FALSE,IF(I550=TRUE,FALSE,IF(I550,FALSE,C550&gt;入力シート!$J$24)))</f>
        <v>0</v>
      </c>
      <c r="K550" s="298" t="b">
        <f>IF($K$1,FALSE,COUNTIF(入力シート!$AW$37:$BB$38,D550)=0)</f>
        <v>0</v>
      </c>
      <c r="L550" s="298" t="b">
        <f>IF($L$1,FALSE,IF($L$3,FALSE,IF(E550="",FALSE,COUNTIF(入力シート!$AH$37:$AK$62,E550)=0)))</f>
        <v>0</v>
      </c>
      <c r="M550" s="298" t="str">
        <f t="shared" si="18"/>
        <v/>
      </c>
      <c r="N550" s="298" t="str">
        <f>IF(G550,"この従業員番号は、すでに他のセルで入力されています。",IF(入力シート!$C$5=入力リスト!$C$4,"",IF(AND(A550="",B550="",C550="",D550="",E550=""),"",IF(OR(A550="",B550="",C550="",D550=""),IF(A550="","従業員番号","")&amp;IF(AND(A550="",OR(B550="",C550="",D550="")),",","")&amp;IF(B550="","雇用形態","")&amp;IF(AND(B550="",OR(C550="",D550="")),",","")&amp;IF(OR(入力シート!$J$18=入力リスト!$H$9,入力シート!$J$22=入力リスト!$H$9),IF(C550="","入社年月日",""),"")&amp;IF(AND(C550="",D550=""),",","")&amp;IF(D550="","性別","")&amp;IF(IF(A550="","従業員番号","")&amp;IF(B550="","雇用形態","")&amp;IF(OR(入力シート!$J$18=入力リスト!$H$9,入力シート!$J$22=入力リスト!$H$9),IF(C550="","入社年月日",""),"")&amp;IF(D550="","性別","")="","","が空白です。"),IF(J550,"入社年月日に「基準日」の翌日以降の日付が入力されています。","")&amp;IF(I550,"入社年月日に数値以外（又は1900/1/1以前の日付）が入力されています。","")&amp;IF(H550,"雇用形態"&amp;IF(OR(K550,L550),",",""),"")&amp;IF(K550,"性別"&amp;IF(L550,",",""),"")&amp;IF(L550,"役職","")&amp;IF(OR(H550,K550,L550),"に、［入力シート］(4)「貴社」欄と異なる文言が入力されています。","")))))</f>
        <v/>
      </c>
      <c r="O550" s="298" t="str">
        <f>IF(B550="","",VLOOKUP('従業員情報(給与以外)'!$B550,入力シート!$S$37:$Z$62,5,0))</f>
        <v/>
      </c>
      <c r="P550" s="298" t="str">
        <f>IF(ISNUMBER(C550)=FALSE,"",IF(C550&gt;入力シート!$J$24,"",_xlfn.DAYS(入力シート!$J$24,'従業員情報(給与以外)'!$C550)/365))</f>
        <v/>
      </c>
      <c r="Q550" s="298" t="str">
        <f>IF(P550="","",VLOOKUP(_xlfn.DAYS(入力シート!$J$24,'従業員情報(給与以外)'!$C550)/365,入力リスト!$K$18:$L$26,2,2))</f>
        <v/>
      </c>
      <c r="R550" s="298" t="str">
        <f>IF(D550="","",VLOOKUP('従業員情報(給与以外)'!$D550,入力シート!$AW$37:$BB$38,4,0))</f>
        <v/>
      </c>
      <c r="S550" s="298" t="str">
        <f>IF(A550="","",IF(E550="","非役職",VLOOKUP('従業員情報(給与以外)'!$E550,入力シート!$AH$37:$AO$62,5,0)))</f>
        <v/>
      </c>
      <c r="T550" s="299" t="str">
        <f>IF(OR(入力シート!$C$5&lt;&gt;入力リスト!$C$3,COUNTIF(入力シート!$J$16:$S$23,入力リスト!$H$9)=0),"",IF($A550="","",IF(ISERROR(AVERAGEIF(従業員の給与情報!$B:$B,$A550,従業員の給与情報!$C:$C)),0,IF(ISERROR(AVERAGEIF(従業員の給与情報!$B:$B,$A550,従業員の給与情報!$C:$C)),0,AVERAGEIF(従業員の給与情報!$B:$B,$A550,従業員の給与情報!$C:$C)))))</f>
        <v/>
      </c>
      <c r="U550" s="299" t="str">
        <f>IF(OR(入力シート!$C$5&lt;&gt;入力リスト!$C$3,COUNTIF(入力シート!$J$16:$S$23,入力リスト!$H$9)=0),"",IF(A550="","",IF(ISERROR(AVERAGEIF(従業員の給与情報!$B:$B,$A550,従業員の給与情報!$D:$D)),0,IF(ISERROR(AVERAGEIF(従業員の給与情報!$B:$B,$A550,従業員の給与情報!$D:$D)),0,AVERAGEIF(従業員の給与情報!$B:$B,$A550,従業員の給与情報!$D:$D)))))</f>
        <v/>
      </c>
      <c r="V550" s="299" t="str">
        <f>IF(OR(入力シート!$C$5&lt;&gt;入力リスト!$C$3,COUNTIF(入力シート!$J$16:$S$23,入力リスト!$H$9)=0),"",IF(A550="","",IF(ISERROR(AVERAGEIF(従業員の給与情報!$B:$B,$A550,従業員の給与情報!$E:$E)),0,IF(ISERROR(AVERAGEIF(従業員の給与情報!$B:$B,$A550,従業員の給与情報!$E:$E)),0,AVERAGEIF(従業員の給与情報!$B:$B,$A550,従業員の給与情報!$E:$E)))))</f>
        <v/>
      </c>
      <c r="W550" s="299" t="str">
        <f>IF(OR(入力シート!$C$5&lt;&gt;入力リスト!$C$3,COUNTIF(入力シート!$J$16:$S$23,入力リスト!$H$9)=0),"",IF(A550="","",IF(ISERROR(AVERAGEIF(従業員の給与情報!$B:$B,$A550,従業員の給与情報!$F:$F)),0,IF(ISERROR(AVERAGEIF(従業員の給与情報!$B:$B,$A550,従業員の給与情報!$F:$F)),0,AVERAGEIF(従業員の給与情報!$B:$B,$A550,従業員の給与情報!$F:$F)))))</f>
        <v/>
      </c>
      <c r="X550" s="581" t="s">
        <v>5289</v>
      </c>
    </row>
    <row r="551" spans="6:24">
      <c r="F551" s="297" t="str">
        <f>IF($G$1,"",IF(COUNTIF(A551:E551,"")=5,"",IF(G551,入力リスト!$K$28,IF(OR(A551="",B551="",IF(COUNTIF($C$3,"*不要*"),"",C551=""),D551=""),IF(A551="","従業員番号","")&amp;IF(B551="","「雇用形態」","")&amp;IF(OR(入力シート!$J$18=入力リスト!$H$9,入力シート!$J$22=入力リスト!$H$9),IF(C551="","「入社年月日」",""),"")&amp;IF(D551="","「性別」","")&amp;IF(IF(A551="","従業員番号","")&amp;IF(B551="","「雇用形態」","")&amp;IF(OR(入力シート!$J$18=入力リスト!$H$9,入力シート!$J$22=入力リスト!$H$9),IF(C551="","「入社年月日」",""),"")&amp;IF(D551="","「性別」","")="","",入力リスト!$K$29),IF(J551,入力リスト!$K$30,"")&amp;IF(I551,入力リスト!$K$31,"")&amp;IF(H551,"「雇用形態」","")&amp;IF(K551,"「性別」","")&amp;IF(L551,"「役職」","")&amp;IF(OR(H551,K551,L551),入力リスト!$K$32,"")))))</f>
        <v/>
      </c>
      <c r="G551" s="298" t="b">
        <f>COUNTIF($A$4:A550,$A551)&gt;0</f>
        <v>0</v>
      </c>
      <c r="H551" s="298" t="b">
        <f>IF($H$1,FALSE,COUNTIF(入力シート!$S$37:$V$62,B551)=0)</f>
        <v>0</v>
      </c>
      <c r="I551" s="298" t="b">
        <f t="shared" si="17"/>
        <v>0</v>
      </c>
      <c r="J551" s="298" t="b">
        <f>IF($J$1,FALSE,IF(I551=TRUE,FALSE,IF(I551,FALSE,C551&gt;入力シート!$J$24)))</f>
        <v>0</v>
      </c>
      <c r="K551" s="298" t="b">
        <f>IF($K$1,FALSE,COUNTIF(入力シート!$AW$37:$BB$38,D551)=0)</f>
        <v>0</v>
      </c>
      <c r="L551" s="298" t="b">
        <f>IF($L$1,FALSE,IF($L$3,FALSE,IF(E551="",FALSE,COUNTIF(入力シート!$AH$37:$AK$62,E551)=0)))</f>
        <v>0</v>
      </c>
      <c r="M551" s="298" t="str">
        <f t="shared" si="18"/>
        <v/>
      </c>
      <c r="N551" s="298" t="str">
        <f>IF(G551,"この従業員番号は、すでに他のセルで入力されています。",IF(入力シート!$C$5=入力リスト!$C$4,"",IF(AND(A551="",B551="",C551="",D551="",E551=""),"",IF(OR(A551="",B551="",C551="",D551=""),IF(A551="","従業員番号","")&amp;IF(AND(A551="",OR(B551="",C551="",D551="")),",","")&amp;IF(B551="","雇用形態","")&amp;IF(AND(B551="",OR(C551="",D551="")),",","")&amp;IF(OR(入力シート!$J$18=入力リスト!$H$9,入力シート!$J$22=入力リスト!$H$9),IF(C551="","入社年月日",""),"")&amp;IF(AND(C551="",D551=""),",","")&amp;IF(D551="","性別","")&amp;IF(IF(A551="","従業員番号","")&amp;IF(B551="","雇用形態","")&amp;IF(OR(入力シート!$J$18=入力リスト!$H$9,入力シート!$J$22=入力リスト!$H$9),IF(C551="","入社年月日",""),"")&amp;IF(D551="","性別","")="","","が空白です。"),IF(J551,"入社年月日に「基準日」の翌日以降の日付が入力されています。","")&amp;IF(I551,"入社年月日に数値以外（又は1900/1/1以前の日付）が入力されています。","")&amp;IF(H551,"雇用形態"&amp;IF(OR(K551,L551),",",""),"")&amp;IF(K551,"性別"&amp;IF(L551,",",""),"")&amp;IF(L551,"役職","")&amp;IF(OR(H551,K551,L551),"に、［入力シート］(4)「貴社」欄と異なる文言が入力されています。","")))))</f>
        <v/>
      </c>
      <c r="O551" s="298" t="str">
        <f>IF(B551="","",VLOOKUP('従業員情報(給与以外)'!$B551,入力シート!$S$37:$Z$62,5,0))</f>
        <v/>
      </c>
      <c r="P551" s="298" t="str">
        <f>IF(ISNUMBER(C551)=FALSE,"",IF(C551&gt;入力シート!$J$24,"",_xlfn.DAYS(入力シート!$J$24,'従業員情報(給与以外)'!$C551)/365))</f>
        <v/>
      </c>
      <c r="Q551" s="298" t="str">
        <f>IF(P551="","",VLOOKUP(_xlfn.DAYS(入力シート!$J$24,'従業員情報(給与以外)'!$C551)/365,入力リスト!$K$18:$L$26,2,2))</f>
        <v/>
      </c>
      <c r="R551" s="298" t="str">
        <f>IF(D551="","",VLOOKUP('従業員情報(給与以外)'!$D551,入力シート!$AW$37:$BB$38,4,0))</f>
        <v/>
      </c>
      <c r="S551" s="298" t="str">
        <f>IF(A551="","",IF(E551="","非役職",VLOOKUP('従業員情報(給与以外)'!$E551,入力シート!$AH$37:$AO$62,5,0)))</f>
        <v/>
      </c>
      <c r="T551" s="299" t="str">
        <f>IF(OR(入力シート!$C$5&lt;&gt;入力リスト!$C$3,COUNTIF(入力シート!$J$16:$S$23,入力リスト!$H$9)=0),"",IF($A551="","",IF(ISERROR(AVERAGEIF(従業員の給与情報!$B:$B,$A551,従業員の給与情報!$C:$C)),0,IF(ISERROR(AVERAGEIF(従業員の給与情報!$B:$B,$A551,従業員の給与情報!$C:$C)),0,AVERAGEIF(従業員の給与情報!$B:$B,$A551,従業員の給与情報!$C:$C)))))</f>
        <v/>
      </c>
      <c r="U551" s="299" t="str">
        <f>IF(OR(入力シート!$C$5&lt;&gt;入力リスト!$C$3,COUNTIF(入力シート!$J$16:$S$23,入力リスト!$H$9)=0),"",IF(A551="","",IF(ISERROR(AVERAGEIF(従業員の給与情報!$B:$B,$A551,従業員の給与情報!$D:$D)),0,IF(ISERROR(AVERAGEIF(従業員の給与情報!$B:$B,$A551,従業員の給与情報!$D:$D)),0,AVERAGEIF(従業員の給与情報!$B:$B,$A551,従業員の給与情報!$D:$D)))))</f>
        <v/>
      </c>
      <c r="V551" s="299" t="str">
        <f>IF(OR(入力シート!$C$5&lt;&gt;入力リスト!$C$3,COUNTIF(入力シート!$J$16:$S$23,入力リスト!$H$9)=0),"",IF(A551="","",IF(ISERROR(AVERAGEIF(従業員の給与情報!$B:$B,$A551,従業員の給与情報!$E:$E)),0,IF(ISERROR(AVERAGEIF(従業員の給与情報!$B:$B,$A551,従業員の給与情報!$E:$E)),0,AVERAGEIF(従業員の給与情報!$B:$B,$A551,従業員の給与情報!$E:$E)))))</f>
        <v/>
      </c>
      <c r="W551" s="299" t="str">
        <f>IF(OR(入力シート!$C$5&lt;&gt;入力リスト!$C$3,COUNTIF(入力シート!$J$16:$S$23,入力リスト!$H$9)=0),"",IF(A551="","",IF(ISERROR(AVERAGEIF(従業員の給与情報!$B:$B,$A551,従業員の給与情報!$F:$F)),0,IF(ISERROR(AVERAGEIF(従業員の給与情報!$B:$B,$A551,従業員の給与情報!$F:$F)),0,AVERAGEIF(従業員の給与情報!$B:$B,$A551,従業員の給与情報!$F:$F)))))</f>
        <v/>
      </c>
      <c r="X551" s="581" t="s">
        <v>5290</v>
      </c>
    </row>
    <row r="552" spans="6:24">
      <c r="F552" s="297" t="str">
        <f>IF($G$1,"",IF(COUNTIF(A552:E552,"")=5,"",IF(G552,入力リスト!$K$28,IF(OR(A552="",B552="",IF(COUNTIF($C$3,"*不要*"),"",C552=""),D552=""),IF(A552="","従業員番号","")&amp;IF(B552="","「雇用形態」","")&amp;IF(OR(入力シート!$J$18=入力リスト!$H$9,入力シート!$J$22=入力リスト!$H$9),IF(C552="","「入社年月日」",""),"")&amp;IF(D552="","「性別」","")&amp;IF(IF(A552="","従業員番号","")&amp;IF(B552="","「雇用形態」","")&amp;IF(OR(入力シート!$J$18=入力リスト!$H$9,入力シート!$J$22=入力リスト!$H$9),IF(C552="","「入社年月日」",""),"")&amp;IF(D552="","「性別」","")="","",入力リスト!$K$29),IF(J552,入力リスト!$K$30,"")&amp;IF(I552,入力リスト!$K$31,"")&amp;IF(H552,"「雇用形態」","")&amp;IF(K552,"「性別」","")&amp;IF(L552,"「役職」","")&amp;IF(OR(H552,K552,L552),入力リスト!$K$32,"")))))</f>
        <v/>
      </c>
      <c r="G552" s="298" t="b">
        <f>COUNTIF($A$4:A551,$A552)&gt;0</f>
        <v>0</v>
      </c>
      <c r="H552" s="298" t="b">
        <f>IF($H$1,FALSE,COUNTIF(入力シート!$S$37:$V$62,B552)=0)</f>
        <v>0</v>
      </c>
      <c r="I552" s="298" t="b">
        <f t="shared" si="17"/>
        <v>0</v>
      </c>
      <c r="J552" s="298" t="b">
        <f>IF($J$1,FALSE,IF(I552=TRUE,FALSE,IF(I552,FALSE,C552&gt;入力シート!$J$24)))</f>
        <v>0</v>
      </c>
      <c r="K552" s="298" t="b">
        <f>IF($K$1,FALSE,COUNTIF(入力シート!$AW$37:$BB$38,D552)=0)</f>
        <v>0</v>
      </c>
      <c r="L552" s="298" t="b">
        <f>IF($L$1,FALSE,IF($L$3,FALSE,IF(E552="",FALSE,COUNTIF(入力シート!$AH$37:$AK$62,E552)=0)))</f>
        <v>0</v>
      </c>
      <c r="M552" s="298" t="str">
        <f t="shared" si="18"/>
        <v/>
      </c>
      <c r="N552" s="298" t="str">
        <f>IF(G552,"この従業員番号は、すでに他のセルで入力されています。",IF(入力シート!$C$5=入力リスト!$C$4,"",IF(AND(A552="",B552="",C552="",D552="",E552=""),"",IF(OR(A552="",B552="",C552="",D552=""),IF(A552="","従業員番号","")&amp;IF(AND(A552="",OR(B552="",C552="",D552="")),",","")&amp;IF(B552="","雇用形態","")&amp;IF(AND(B552="",OR(C552="",D552="")),",","")&amp;IF(OR(入力シート!$J$18=入力リスト!$H$9,入力シート!$J$22=入力リスト!$H$9),IF(C552="","入社年月日",""),"")&amp;IF(AND(C552="",D552=""),",","")&amp;IF(D552="","性別","")&amp;IF(IF(A552="","従業員番号","")&amp;IF(B552="","雇用形態","")&amp;IF(OR(入力シート!$J$18=入力リスト!$H$9,入力シート!$J$22=入力リスト!$H$9),IF(C552="","入社年月日",""),"")&amp;IF(D552="","性別","")="","","が空白です。"),IF(J552,"入社年月日に「基準日」の翌日以降の日付が入力されています。","")&amp;IF(I552,"入社年月日に数値以外（又は1900/1/1以前の日付）が入力されています。","")&amp;IF(H552,"雇用形態"&amp;IF(OR(K552,L552),",",""),"")&amp;IF(K552,"性別"&amp;IF(L552,",",""),"")&amp;IF(L552,"役職","")&amp;IF(OR(H552,K552,L552),"に、［入力シート］(4)「貴社」欄と異なる文言が入力されています。","")))))</f>
        <v/>
      </c>
      <c r="O552" s="298" t="str">
        <f>IF(B552="","",VLOOKUP('従業員情報(給与以外)'!$B552,入力シート!$S$37:$Z$62,5,0))</f>
        <v/>
      </c>
      <c r="P552" s="298" t="str">
        <f>IF(ISNUMBER(C552)=FALSE,"",IF(C552&gt;入力シート!$J$24,"",_xlfn.DAYS(入力シート!$J$24,'従業員情報(給与以外)'!$C552)/365))</f>
        <v/>
      </c>
      <c r="Q552" s="298" t="str">
        <f>IF(P552="","",VLOOKUP(_xlfn.DAYS(入力シート!$J$24,'従業員情報(給与以外)'!$C552)/365,入力リスト!$K$18:$L$26,2,2))</f>
        <v/>
      </c>
      <c r="R552" s="298" t="str">
        <f>IF(D552="","",VLOOKUP('従業員情報(給与以外)'!$D552,入力シート!$AW$37:$BB$38,4,0))</f>
        <v/>
      </c>
      <c r="S552" s="298" t="str">
        <f>IF(A552="","",IF(E552="","非役職",VLOOKUP('従業員情報(給与以外)'!$E552,入力シート!$AH$37:$AO$62,5,0)))</f>
        <v/>
      </c>
      <c r="T552" s="299" t="str">
        <f>IF(OR(入力シート!$C$5&lt;&gt;入力リスト!$C$3,COUNTIF(入力シート!$J$16:$S$23,入力リスト!$H$9)=0),"",IF($A552="","",IF(ISERROR(AVERAGEIF(従業員の給与情報!$B:$B,$A552,従業員の給与情報!$C:$C)),0,IF(ISERROR(AVERAGEIF(従業員の給与情報!$B:$B,$A552,従業員の給与情報!$C:$C)),0,AVERAGEIF(従業員の給与情報!$B:$B,$A552,従業員の給与情報!$C:$C)))))</f>
        <v/>
      </c>
      <c r="U552" s="299" t="str">
        <f>IF(OR(入力シート!$C$5&lt;&gt;入力リスト!$C$3,COUNTIF(入力シート!$J$16:$S$23,入力リスト!$H$9)=0),"",IF(A552="","",IF(ISERROR(AVERAGEIF(従業員の給与情報!$B:$B,$A552,従業員の給与情報!$D:$D)),0,IF(ISERROR(AVERAGEIF(従業員の給与情報!$B:$B,$A552,従業員の給与情報!$D:$D)),0,AVERAGEIF(従業員の給与情報!$B:$B,$A552,従業員の給与情報!$D:$D)))))</f>
        <v/>
      </c>
      <c r="V552" s="299" t="str">
        <f>IF(OR(入力シート!$C$5&lt;&gt;入力リスト!$C$3,COUNTIF(入力シート!$J$16:$S$23,入力リスト!$H$9)=0),"",IF(A552="","",IF(ISERROR(AVERAGEIF(従業員の給与情報!$B:$B,$A552,従業員の給与情報!$E:$E)),0,IF(ISERROR(AVERAGEIF(従業員の給与情報!$B:$B,$A552,従業員の給与情報!$E:$E)),0,AVERAGEIF(従業員の給与情報!$B:$B,$A552,従業員の給与情報!$E:$E)))))</f>
        <v/>
      </c>
      <c r="W552" s="299" t="str">
        <f>IF(OR(入力シート!$C$5&lt;&gt;入力リスト!$C$3,COUNTIF(入力シート!$J$16:$S$23,入力リスト!$H$9)=0),"",IF(A552="","",IF(ISERROR(AVERAGEIF(従業員の給与情報!$B:$B,$A552,従業員の給与情報!$F:$F)),0,IF(ISERROR(AVERAGEIF(従業員の給与情報!$B:$B,$A552,従業員の給与情報!$F:$F)),0,AVERAGEIF(従業員の給与情報!$B:$B,$A552,従業員の給与情報!$F:$F)))))</f>
        <v/>
      </c>
      <c r="X552" s="581" t="s">
        <v>5291</v>
      </c>
    </row>
    <row r="553" spans="6:24">
      <c r="F553" s="297" t="str">
        <f>IF($G$1,"",IF(COUNTIF(A553:E553,"")=5,"",IF(G553,入力リスト!$K$28,IF(OR(A553="",B553="",IF(COUNTIF($C$3,"*不要*"),"",C553=""),D553=""),IF(A553="","従業員番号","")&amp;IF(B553="","「雇用形態」","")&amp;IF(OR(入力シート!$J$18=入力リスト!$H$9,入力シート!$J$22=入力リスト!$H$9),IF(C553="","「入社年月日」",""),"")&amp;IF(D553="","「性別」","")&amp;IF(IF(A553="","従業員番号","")&amp;IF(B553="","「雇用形態」","")&amp;IF(OR(入力シート!$J$18=入力リスト!$H$9,入力シート!$J$22=入力リスト!$H$9),IF(C553="","「入社年月日」",""),"")&amp;IF(D553="","「性別」","")="","",入力リスト!$K$29),IF(J553,入力リスト!$K$30,"")&amp;IF(I553,入力リスト!$K$31,"")&amp;IF(H553,"「雇用形態」","")&amp;IF(K553,"「性別」","")&amp;IF(L553,"「役職」","")&amp;IF(OR(H553,K553,L553),入力リスト!$K$32,"")))))</f>
        <v/>
      </c>
      <c r="G553" s="298" t="b">
        <f>COUNTIF($A$4:A552,$A553)&gt;0</f>
        <v>0</v>
      </c>
      <c r="H553" s="298" t="b">
        <f>IF($H$1,FALSE,COUNTIF(入力シート!$S$37:$V$62,B553)=0)</f>
        <v>0</v>
      </c>
      <c r="I553" s="298" t="b">
        <f t="shared" si="17"/>
        <v>0</v>
      </c>
      <c r="J553" s="298" t="b">
        <f>IF($J$1,FALSE,IF(I553=TRUE,FALSE,IF(I553,FALSE,C553&gt;入力シート!$J$24)))</f>
        <v>0</v>
      </c>
      <c r="K553" s="298" t="b">
        <f>IF($K$1,FALSE,COUNTIF(入力シート!$AW$37:$BB$38,D553)=0)</f>
        <v>0</v>
      </c>
      <c r="L553" s="298" t="b">
        <f>IF($L$1,FALSE,IF($L$3,FALSE,IF(E553="",FALSE,COUNTIF(入力シート!$AH$37:$AK$62,E553)=0)))</f>
        <v>0</v>
      </c>
      <c r="M553" s="298" t="str">
        <f t="shared" si="18"/>
        <v/>
      </c>
      <c r="N553" s="298" t="str">
        <f>IF(G553,"この従業員番号は、すでに他のセルで入力されています。",IF(入力シート!$C$5=入力リスト!$C$4,"",IF(AND(A553="",B553="",C553="",D553="",E553=""),"",IF(OR(A553="",B553="",C553="",D553=""),IF(A553="","従業員番号","")&amp;IF(AND(A553="",OR(B553="",C553="",D553="")),",","")&amp;IF(B553="","雇用形態","")&amp;IF(AND(B553="",OR(C553="",D553="")),",","")&amp;IF(OR(入力シート!$J$18=入力リスト!$H$9,入力シート!$J$22=入力リスト!$H$9),IF(C553="","入社年月日",""),"")&amp;IF(AND(C553="",D553=""),",","")&amp;IF(D553="","性別","")&amp;IF(IF(A553="","従業員番号","")&amp;IF(B553="","雇用形態","")&amp;IF(OR(入力シート!$J$18=入力リスト!$H$9,入力シート!$J$22=入力リスト!$H$9),IF(C553="","入社年月日",""),"")&amp;IF(D553="","性別","")="","","が空白です。"),IF(J553,"入社年月日に「基準日」の翌日以降の日付が入力されています。","")&amp;IF(I553,"入社年月日に数値以外（又は1900/1/1以前の日付）が入力されています。","")&amp;IF(H553,"雇用形態"&amp;IF(OR(K553,L553),",",""),"")&amp;IF(K553,"性別"&amp;IF(L553,",",""),"")&amp;IF(L553,"役職","")&amp;IF(OR(H553,K553,L553),"に、［入力シート］(4)「貴社」欄と異なる文言が入力されています。","")))))</f>
        <v/>
      </c>
      <c r="O553" s="298" t="str">
        <f>IF(B553="","",VLOOKUP('従業員情報(給与以外)'!$B553,入力シート!$S$37:$Z$62,5,0))</f>
        <v/>
      </c>
      <c r="P553" s="298" t="str">
        <f>IF(ISNUMBER(C553)=FALSE,"",IF(C553&gt;入力シート!$J$24,"",_xlfn.DAYS(入力シート!$J$24,'従業員情報(給与以外)'!$C553)/365))</f>
        <v/>
      </c>
      <c r="Q553" s="298" t="str">
        <f>IF(P553="","",VLOOKUP(_xlfn.DAYS(入力シート!$J$24,'従業員情報(給与以外)'!$C553)/365,入力リスト!$K$18:$L$26,2,2))</f>
        <v/>
      </c>
      <c r="R553" s="298" t="str">
        <f>IF(D553="","",VLOOKUP('従業員情報(給与以外)'!$D553,入力シート!$AW$37:$BB$38,4,0))</f>
        <v/>
      </c>
      <c r="S553" s="298" t="str">
        <f>IF(A553="","",IF(E553="","非役職",VLOOKUP('従業員情報(給与以外)'!$E553,入力シート!$AH$37:$AO$62,5,0)))</f>
        <v/>
      </c>
      <c r="T553" s="299" t="str">
        <f>IF(OR(入力シート!$C$5&lt;&gt;入力リスト!$C$3,COUNTIF(入力シート!$J$16:$S$23,入力リスト!$H$9)=0),"",IF($A553="","",IF(ISERROR(AVERAGEIF(従業員の給与情報!$B:$B,$A553,従業員の給与情報!$C:$C)),0,IF(ISERROR(AVERAGEIF(従業員の給与情報!$B:$B,$A553,従業員の給与情報!$C:$C)),0,AVERAGEIF(従業員の給与情報!$B:$B,$A553,従業員の給与情報!$C:$C)))))</f>
        <v/>
      </c>
      <c r="U553" s="299" t="str">
        <f>IF(OR(入力シート!$C$5&lt;&gt;入力リスト!$C$3,COUNTIF(入力シート!$J$16:$S$23,入力リスト!$H$9)=0),"",IF(A553="","",IF(ISERROR(AVERAGEIF(従業員の給与情報!$B:$B,$A553,従業員の給与情報!$D:$D)),0,IF(ISERROR(AVERAGEIF(従業員の給与情報!$B:$B,$A553,従業員の給与情報!$D:$D)),0,AVERAGEIF(従業員の給与情報!$B:$B,$A553,従業員の給与情報!$D:$D)))))</f>
        <v/>
      </c>
      <c r="V553" s="299" t="str">
        <f>IF(OR(入力シート!$C$5&lt;&gt;入力リスト!$C$3,COUNTIF(入力シート!$J$16:$S$23,入力リスト!$H$9)=0),"",IF(A553="","",IF(ISERROR(AVERAGEIF(従業員の給与情報!$B:$B,$A553,従業員の給与情報!$E:$E)),0,IF(ISERROR(AVERAGEIF(従業員の給与情報!$B:$B,$A553,従業員の給与情報!$E:$E)),0,AVERAGEIF(従業員の給与情報!$B:$B,$A553,従業員の給与情報!$E:$E)))))</f>
        <v/>
      </c>
      <c r="W553" s="299" t="str">
        <f>IF(OR(入力シート!$C$5&lt;&gt;入力リスト!$C$3,COUNTIF(入力シート!$J$16:$S$23,入力リスト!$H$9)=0),"",IF(A553="","",IF(ISERROR(AVERAGEIF(従業員の給与情報!$B:$B,$A553,従業員の給与情報!$F:$F)),0,IF(ISERROR(AVERAGEIF(従業員の給与情報!$B:$B,$A553,従業員の給与情報!$F:$F)),0,AVERAGEIF(従業員の給与情報!$B:$B,$A553,従業員の給与情報!$F:$F)))))</f>
        <v/>
      </c>
      <c r="X553" s="581" t="s">
        <v>5292</v>
      </c>
    </row>
    <row r="554" spans="6:24">
      <c r="F554" s="297" t="str">
        <f>IF($G$1,"",IF(COUNTIF(A554:E554,"")=5,"",IF(G554,入力リスト!$K$28,IF(OR(A554="",B554="",IF(COUNTIF($C$3,"*不要*"),"",C554=""),D554=""),IF(A554="","従業員番号","")&amp;IF(B554="","「雇用形態」","")&amp;IF(OR(入力シート!$J$18=入力リスト!$H$9,入力シート!$J$22=入力リスト!$H$9),IF(C554="","「入社年月日」",""),"")&amp;IF(D554="","「性別」","")&amp;IF(IF(A554="","従業員番号","")&amp;IF(B554="","「雇用形態」","")&amp;IF(OR(入力シート!$J$18=入力リスト!$H$9,入力シート!$J$22=入力リスト!$H$9),IF(C554="","「入社年月日」",""),"")&amp;IF(D554="","「性別」","")="","",入力リスト!$K$29),IF(J554,入力リスト!$K$30,"")&amp;IF(I554,入力リスト!$K$31,"")&amp;IF(H554,"「雇用形態」","")&amp;IF(K554,"「性別」","")&amp;IF(L554,"「役職」","")&amp;IF(OR(H554,K554,L554),入力リスト!$K$32,"")))))</f>
        <v/>
      </c>
      <c r="G554" s="298" t="b">
        <f>COUNTIF($A$4:A553,$A554)&gt;0</f>
        <v>0</v>
      </c>
      <c r="H554" s="298" t="b">
        <f>IF($H$1,FALSE,COUNTIF(入力シート!$S$37:$V$62,B554)=0)</f>
        <v>0</v>
      </c>
      <c r="I554" s="298" t="b">
        <f t="shared" si="17"/>
        <v>0</v>
      </c>
      <c r="J554" s="298" t="b">
        <f>IF($J$1,FALSE,IF(I554=TRUE,FALSE,IF(I554,FALSE,C554&gt;入力シート!$J$24)))</f>
        <v>0</v>
      </c>
      <c r="K554" s="298" t="b">
        <f>IF($K$1,FALSE,COUNTIF(入力シート!$AW$37:$BB$38,D554)=0)</f>
        <v>0</v>
      </c>
      <c r="L554" s="298" t="b">
        <f>IF($L$1,FALSE,IF($L$3,FALSE,IF(E554="",FALSE,COUNTIF(入力シート!$AH$37:$AK$62,E554)=0)))</f>
        <v>0</v>
      </c>
      <c r="M554" s="298" t="str">
        <f t="shared" si="18"/>
        <v/>
      </c>
      <c r="N554" s="298" t="str">
        <f>IF(G554,"この従業員番号は、すでに他のセルで入力されています。",IF(入力シート!$C$5=入力リスト!$C$4,"",IF(AND(A554="",B554="",C554="",D554="",E554=""),"",IF(OR(A554="",B554="",C554="",D554=""),IF(A554="","従業員番号","")&amp;IF(AND(A554="",OR(B554="",C554="",D554="")),",","")&amp;IF(B554="","雇用形態","")&amp;IF(AND(B554="",OR(C554="",D554="")),",","")&amp;IF(OR(入力シート!$J$18=入力リスト!$H$9,入力シート!$J$22=入力リスト!$H$9),IF(C554="","入社年月日",""),"")&amp;IF(AND(C554="",D554=""),",","")&amp;IF(D554="","性別","")&amp;IF(IF(A554="","従業員番号","")&amp;IF(B554="","雇用形態","")&amp;IF(OR(入力シート!$J$18=入力リスト!$H$9,入力シート!$J$22=入力リスト!$H$9),IF(C554="","入社年月日",""),"")&amp;IF(D554="","性別","")="","","が空白です。"),IF(J554,"入社年月日に「基準日」の翌日以降の日付が入力されています。","")&amp;IF(I554,"入社年月日に数値以外（又は1900/1/1以前の日付）が入力されています。","")&amp;IF(H554,"雇用形態"&amp;IF(OR(K554,L554),",",""),"")&amp;IF(K554,"性別"&amp;IF(L554,",",""),"")&amp;IF(L554,"役職","")&amp;IF(OR(H554,K554,L554),"に、［入力シート］(4)「貴社」欄と異なる文言が入力されています。","")))))</f>
        <v/>
      </c>
      <c r="O554" s="298" t="str">
        <f>IF(B554="","",VLOOKUP('従業員情報(給与以外)'!$B554,入力シート!$S$37:$Z$62,5,0))</f>
        <v/>
      </c>
      <c r="P554" s="298" t="str">
        <f>IF(ISNUMBER(C554)=FALSE,"",IF(C554&gt;入力シート!$J$24,"",_xlfn.DAYS(入力シート!$J$24,'従業員情報(給与以外)'!$C554)/365))</f>
        <v/>
      </c>
      <c r="Q554" s="298" t="str">
        <f>IF(P554="","",VLOOKUP(_xlfn.DAYS(入力シート!$J$24,'従業員情報(給与以外)'!$C554)/365,入力リスト!$K$18:$L$26,2,2))</f>
        <v/>
      </c>
      <c r="R554" s="298" t="str">
        <f>IF(D554="","",VLOOKUP('従業員情報(給与以外)'!$D554,入力シート!$AW$37:$BB$38,4,0))</f>
        <v/>
      </c>
      <c r="S554" s="298" t="str">
        <f>IF(A554="","",IF(E554="","非役職",VLOOKUP('従業員情報(給与以外)'!$E554,入力シート!$AH$37:$AO$62,5,0)))</f>
        <v/>
      </c>
      <c r="T554" s="299" t="str">
        <f>IF(OR(入力シート!$C$5&lt;&gt;入力リスト!$C$3,COUNTIF(入力シート!$J$16:$S$23,入力リスト!$H$9)=0),"",IF($A554="","",IF(ISERROR(AVERAGEIF(従業員の給与情報!$B:$B,$A554,従業員の給与情報!$C:$C)),0,IF(ISERROR(AVERAGEIF(従業員の給与情報!$B:$B,$A554,従業員の給与情報!$C:$C)),0,AVERAGEIF(従業員の給与情報!$B:$B,$A554,従業員の給与情報!$C:$C)))))</f>
        <v/>
      </c>
      <c r="U554" s="299" t="str">
        <f>IF(OR(入力シート!$C$5&lt;&gt;入力リスト!$C$3,COUNTIF(入力シート!$J$16:$S$23,入力リスト!$H$9)=0),"",IF(A554="","",IF(ISERROR(AVERAGEIF(従業員の給与情報!$B:$B,$A554,従業員の給与情報!$D:$D)),0,IF(ISERROR(AVERAGEIF(従業員の給与情報!$B:$B,$A554,従業員の給与情報!$D:$D)),0,AVERAGEIF(従業員の給与情報!$B:$B,$A554,従業員の給与情報!$D:$D)))))</f>
        <v/>
      </c>
      <c r="V554" s="299" t="str">
        <f>IF(OR(入力シート!$C$5&lt;&gt;入力リスト!$C$3,COUNTIF(入力シート!$J$16:$S$23,入力リスト!$H$9)=0),"",IF(A554="","",IF(ISERROR(AVERAGEIF(従業員の給与情報!$B:$B,$A554,従業員の給与情報!$E:$E)),0,IF(ISERROR(AVERAGEIF(従業員の給与情報!$B:$B,$A554,従業員の給与情報!$E:$E)),0,AVERAGEIF(従業員の給与情報!$B:$B,$A554,従業員の給与情報!$E:$E)))))</f>
        <v/>
      </c>
      <c r="W554" s="299" t="str">
        <f>IF(OR(入力シート!$C$5&lt;&gt;入力リスト!$C$3,COUNTIF(入力シート!$J$16:$S$23,入力リスト!$H$9)=0),"",IF(A554="","",IF(ISERROR(AVERAGEIF(従業員の給与情報!$B:$B,$A554,従業員の給与情報!$F:$F)),0,IF(ISERROR(AVERAGEIF(従業員の給与情報!$B:$B,$A554,従業員の給与情報!$F:$F)),0,AVERAGEIF(従業員の給与情報!$B:$B,$A554,従業員の給与情報!$F:$F)))))</f>
        <v/>
      </c>
      <c r="X554" s="581" t="s">
        <v>5293</v>
      </c>
    </row>
    <row r="555" spans="6:24">
      <c r="F555" s="297" t="str">
        <f>IF($G$1,"",IF(COUNTIF(A555:E555,"")=5,"",IF(G555,入力リスト!$K$28,IF(OR(A555="",B555="",IF(COUNTIF($C$3,"*不要*"),"",C555=""),D555=""),IF(A555="","従業員番号","")&amp;IF(B555="","「雇用形態」","")&amp;IF(OR(入力シート!$J$18=入力リスト!$H$9,入力シート!$J$22=入力リスト!$H$9),IF(C555="","「入社年月日」",""),"")&amp;IF(D555="","「性別」","")&amp;IF(IF(A555="","従業員番号","")&amp;IF(B555="","「雇用形態」","")&amp;IF(OR(入力シート!$J$18=入力リスト!$H$9,入力シート!$J$22=入力リスト!$H$9),IF(C555="","「入社年月日」",""),"")&amp;IF(D555="","「性別」","")="","",入力リスト!$K$29),IF(J555,入力リスト!$K$30,"")&amp;IF(I555,入力リスト!$K$31,"")&amp;IF(H555,"「雇用形態」","")&amp;IF(K555,"「性別」","")&amp;IF(L555,"「役職」","")&amp;IF(OR(H555,K555,L555),入力リスト!$K$32,"")))))</f>
        <v/>
      </c>
      <c r="G555" s="298" t="b">
        <f>COUNTIF($A$4:A554,$A555)&gt;0</f>
        <v>0</v>
      </c>
      <c r="H555" s="298" t="b">
        <f>IF($H$1,FALSE,COUNTIF(入力シート!$S$37:$V$62,B555)=0)</f>
        <v>0</v>
      </c>
      <c r="I555" s="298" t="b">
        <f t="shared" si="17"/>
        <v>0</v>
      </c>
      <c r="J555" s="298" t="b">
        <f>IF($J$1,FALSE,IF(I555=TRUE,FALSE,IF(I555,FALSE,C555&gt;入力シート!$J$24)))</f>
        <v>0</v>
      </c>
      <c r="K555" s="298" t="b">
        <f>IF($K$1,FALSE,COUNTIF(入力シート!$AW$37:$BB$38,D555)=0)</f>
        <v>0</v>
      </c>
      <c r="L555" s="298" t="b">
        <f>IF($L$1,FALSE,IF($L$3,FALSE,IF(E555="",FALSE,COUNTIF(入力シート!$AH$37:$AK$62,E555)=0)))</f>
        <v>0</v>
      </c>
      <c r="M555" s="298" t="str">
        <f t="shared" si="18"/>
        <v/>
      </c>
      <c r="N555" s="298" t="str">
        <f>IF(G555,"この従業員番号は、すでに他のセルで入力されています。",IF(入力シート!$C$5=入力リスト!$C$4,"",IF(AND(A555="",B555="",C555="",D555="",E555=""),"",IF(OR(A555="",B555="",C555="",D555=""),IF(A555="","従業員番号","")&amp;IF(AND(A555="",OR(B555="",C555="",D555="")),",","")&amp;IF(B555="","雇用形態","")&amp;IF(AND(B555="",OR(C555="",D555="")),",","")&amp;IF(OR(入力シート!$J$18=入力リスト!$H$9,入力シート!$J$22=入力リスト!$H$9),IF(C555="","入社年月日",""),"")&amp;IF(AND(C555="",D555=""),",","")&amp;IF(D555="","性別","")&amp;IF(IF(A555="","従業員番号","")&amp;IF(B555="","雇用形態","")&amp;IF(OR(入力シート!$J$18=入力リスト!$H$9,入力シート!$J$22=入力リスト!$H$9),IF(C555="","入社年月日",""),"")&amp;IF(D555="","性別","")="","","が空白です。"),IF(J555,"入社年月日に「基準日」の翌日以降の日付が入力されています。","")&amp;IF(I555,"入社年月日に数値以外（又は1900/1/1以前の日付）が入力されています。","")&amp;IF(H555,"雇用形態"&amp;IF(OR(K555,L555),",",""),"")&amp;IF(K555,"性別"&amp;IF(L555,",",""),"")&amp;IF(L555,"役職","")&amp;IF(OR(H555,K555,L555),"に、［入力シート］(4)「貴社」欄と異なる文言が入力されています。","")))))</f>
        <v/>
      </c>
      <c r="O555" s="298" t="str">
        <f>IF(B555="","",VLOOKUP('従業員情報(給与以外)'!$B555,入力シート!$S$37:$Z$62,5,0))</f>
        <v/>
      </c>
      <c r="P555" s="298" t="str">
        <f>IF(ISNUMBER(C555)=FALSE,"",IF(C555&gt;入力シート!$J$24,"",_xlfn.DAYS(入力シート!$J$24,'従業員情報(給与以外)'!$C555)/365))</f>
        <v/>
      </c>
      <c r="Q555" s="298" t="str">
        <f>IF(P555="","",VLOOKUP(_xlfn.DAYS(入力シート!$J$24,'従業員情報(給与以外)'!$C555)/365,入力リスト!$K$18:$L$26,2,2))</f>
        <v/>
      </c>
      <c r="R555" s="298" t="str">
        <f>IF(D555="","",VLOOKUP('従業員情報(給与以外)'!$D555,入力シート!$AW$37:$BB$38,4,0))</f>
        <v/>
      </c>
      <c r="S555" s="298" t="str">
        <f>IF(A555="","",IF(E555="","非役職",VLOOKUP('従業員情報(給与以外)'!$E555,入力シート!$AH$37:$AO$62,5,0)))</f>
        <v/>
      </c>
      <c r="T555" s="299" t="str">
        <f>IF(OR(入力シート!$C$5&lt;&gt;入力リスト!$C$3,COUNTIF(入力シート!$J$16:$S$23,入力リスト!$H$9)=0),"",IF($A555="","",IF(ISERROR(AVERAGEIF(従業員の給与情報!$B:$B,$A555,従業員の給与情報!$C:$C)),0,IF(ISERROR(AVERAGEIF(従業員の給与情報!$B:$B,$A555,従業員の給与情報!$C:$C)),0,AVERAGEIF(従業員の給与情報!$B:$B,$A555,従業員の給与情報!$C:$C)))))</f>
        <v/>
      </c>
      <c r="U555" s="299" t="str">
        <f>IF(OR(入力シート!$C$5&lt;&gt;入力リスト!$C$3,COUNTIF(入力シート!$J$16:$S$23,入力リスト!$H$9)=0),"",IF(A555="","",IF(ISERROR(AVERAGEIF(従業員の給与情報!$B:$B,$A555,従業員の給与情報!$D:$D)),0,IF(ISERROR(AVERAGEIF(従業員の給与情報!$B:$B,$A555,従業員の給与情報!$D:$D)),0,AVERAGEIF(従業員の給与情報!$B:$B,$A555,従業員の給与情報!$D:$D)))))</f>
        <v/>
      </c>
      <c r="V555" s="299" t="str">
        <f>IF(OR(入力シート!$C$5&lt;&gt;入力リスト!$C$3,COUNTIF(入力シート!$J$16:$S$23,入力リスト!$H$9)=0),"",IF(A555="","",IF(ISERROR(AVERAGEIF(従業員の給与情報!$B:$B,$A555,従業員の給与情報!$E:$E)),0,IF(ISERROR(AVERAGEIF(従業員の給与情報!$B:$B,$A555,従業員の給与情報!$E:$E)),0,AVERAGEIF(従業員の給与情報!$B:$B,$A555,従業員の給与情報!$E:$E)))))</f>
        <v/>
      </c>
      <c r="W555" s="299" t="str">
        <f>IF(OR(入力シート!$C$5&lt;&gt;入力リスト!$C$3,COUNTIF(入力シート!$J$16:$S$23,入力リスト!$H$9)=0),"",IF(A555="","",IF(ISERROR(AVERAGEIF(従業員の給与情報!$B:$B,$A555,従業員の給与情報!$F:$F)),0,IF(ISERROR(AVERAGEIF(従業員の給与情報!$B:$B,$A555,従業員の給与情報!$F:$F)),0,AVERAGEIF(従業員の給与情報!$B:$B,$A555,従業員の給与情報!$F:$F)))))</f>
        <v/>
      </c>
      <c r="X555" s="581" t="s">
        <v>5294</v>
      </c>
    </row>
    <row r="556" spans="6:24">
      <c r="F556" s="297" t="str">
        <f>IF($G$1,"",IF(COUNTIF(A556:E556,"")=5,"",IF(G556,入力リスト!$K$28,IF(OR(A556="",B556="",IF(COUNTIF($C$3,"*不要*"),"",C556=""),D556=""),IF(A556="","従業員番号","")&amp;IF(B556="","「雇用形態」","")&amp;IF(OR(入力シート!$J$18=入力リスト!$H$9,入力シート!$J$22=入力リスト!$H$9),IF(C556="","「入社年月日」",""),"")&amp;IF(D556="","「性別」","")&amp;IF(IF(A556="","従業員番号","")&amp;IF(B556="","「雇用形態」","")&amp;IF(OR(入力シート!$J$18=入力リスト!$H$9,入力シート!$J$22=入力リスト!$H$9),IF(C556="","「入社年月日」",""),"")&amp;IF(D556="","「性別」","")="","",入力リスト!$K$29),IF(J556,入力リスト!$K$30,"")&amp;IF(I556,入力リスト!$K$31,"")&amp;IF(H556,"「雇用形態」","")&amp;IF(K556,"「性別」","")&amp;IF(L556,"「役職」","")&amp;IF(OR(H556,K556,L556),入力リスト!$K$32,"")))))</f>
        <v/>
      </c>
      <c r="G556" s="298" t="b">
        <f>COUNTIF($A$4:A555,$A556)&gt;0</f>
        <v>0</v>
      </c>
      <c r="H556" s="298" t="b">
        <f>IF($H$1,FALSE,COUNTIF(入力シート!$S$37:$V$62,B556)=0)</f>
        <v>0</v>
      </c>
      <c r="I556" s="298" t="b">
        <f t="shared" si="17"/>
        <v>0</v>
      </c>
      <c r="J556" s="298" t="b">
        <f>IF($J$1,FALSE,IF(I556=TRUE,FALSE,IF(I556,FALSE,C556&gt;入力シート!$J$24)))</f>
        <v>0</v>
      </c>
      <c r="K556" s="298" t="b">
        <f>IF($K$1,FALSE,COUNTIF(入力シート!$AW$37:$BB$38,D556)=0)</f>
        <v>0</v>
      </c>
      <c r="L556" s="298" t="b">
        <f>IF($L$1,FALSE,IF($L$3,FALSE,IF(E556="",FALSE,COUNTIF(入力シート!$AH$37:$AK$62,E556)=0)))</f>
        <v>0</v>
      </c>
      <c r="M556" s="298" t="str">
        <f t="shared" si="18"/>
        <v/>
      </c>
      <c r="N556" s="298" t="str">
        <f>IF(G556,"この従業員番号は、すでに他のセルで入力されています。",IF(入力シート!$C$5=入力リスト!$C$4,"",IF(AND(A556="",B556="",C556="",D556="",E556=""),"",IF(OR(A556="",B556="",C556="",D556=""),IF(A556="","従業員番号","")&amp;IF(AND(A556="",OR(B556="",C556="",D556="")),",","")&amp;IF(B556="","雇用形態","")&amp;IF(AND(B556="",OR(C556="",D556="")),",","")&amp;IF(OR(入力シート!$J$18=入力リスト!$H$9,入力シート!$J$22=入力リスト!$H$9),IF(C556="","入社年月日",""),"")&amp;IF(AND(C556="",D556=""),",","")&amp;IF(D556="","性別","")&amp;IF(IF(A556="","従業員番号","")&amp;IF(B556="","雇用形態","")&amp;IF(OR(入力シート!$J$18=入力リスト!$H$9,入力シート!$J$22=入力リスト!$H$9),IF(C556="","入社年月日",""),"")&amp;IF(D556="","性別","")="","","が空白です。"),IF(J556,"入社年月日に「基準日」の翌日以降の日付が入力されています。","")&amp;IF(I556,"入社年月日に数値以外（又は1900/1/1以前の日付）が入力されています。","")&amp;IF(H556,"雇用形態"&amp;IF(OR(K556,L556),",",""),"")&amp;IF(K556,"性別"&amp;IF(L556,",",""),"")&amp;IF(L556,"役職","")&amp;IF(OR(H556,K556,L556),"に、［入力シート］(4)「貴社」欄と異なる文言が入力されています。","")))))</f>
        <v/>
      </c>
      <c r="O556" s="298" t="str">
        <f>IF(B556="","",VLOOKUP('従業員情報(給与以外)'!$B556,入力シート!$S$37:$Z$62,5,0))</f>
        <v/>
      </c>
      <c r="P556" s="298" t="str">
        <f>IF(ISNUMBER(C556)=FALSE,"",IF(C556&gt;入力シート!$J$24,"",_xlfn.DAYS(入力シート!$J$24,'従業員情報(給与以外)'!$C556)/365))</f>
        <v/>
      </c>
      <c r="Q556" s="298" t="str">
        <f>IF(P556="","",VLOOKUP(_xlfn.DAYS(入力シート!$J$24,'従業員情報(給与以外)'!$C556)/365,入力リスト!$K$18:$L$26,2,2))</f>
        <v/>
      </c>
      <c r="R556" s="298" t="str">
        <f>IF(D556="","",VLOOKUP('従業員情報(給与以外)'!$D556,入力シート!$AW$37:$BB$38,4,0))</f>
        <v/>
      </c>
      <c r="S556" s="298" t="str">
        <f>IF(A556="","",IF(E556="","非役職",VLOOKUP('従業員情報(給与以外)'!$E556,入力シート!$AH$37:$AO$62,5,0)))</f>
        <v/>
      </c>
      <c r="T556" s="299" t="str">
        <f>IF(OR(入力シート!$C$5&lt;&gt;入力リスト!$C$3,COUNTIF(入力シート!$J$16:$S$23,入力リスト!$H$9)=0),"",IF($A556="","",IF(ISERROR(AVERAGEIF(従業員の給与情報!$B:$B,$A556,従業員の給与情報!$C:$C)),0,IF(ISERROR(AVERAGEIF(従業員の給与情報!$B:$B,$A556,従業員の給与情報!$C:$C)),0,AVERAGEIF(従業員の給与情報!$B:$B,$A556,従業員の給与情報!$C:$C)))))</f>
        <v/>
      </c>
      <c r="U556" s="299" t="str">
        <f>IF(OR(入力シート!$C$5&lt;&gt;入力リスト!$C$3,COUNTIF(入力シート!$J$16:$S$23,入力リスト!$H$9)=0),"",IF(A556="","",IF(ISERROR(AVERAGEIF(従業員の給与情報!$B:$B,$A556,従業員の給与情報!$D:$D)),0,IF(ISERROR(AVERAGEIF(従業員の給与情報!$B:$B,$A556,従業員の給与情報!$D:$D)),0,AVERAGEIF(従業員の給与情報!$B:$B,$A556,従業員の給与情報!$D:$D)))))</f>
        <v/>
      </c>
      <c r="V556" s="299" t="str">
        <f>IF(OR(入力シート!$C$5&lt;&gt;入力リスト!$C$3,COUNTIF(入力シート!$J$16:$S$23,入力リスト!$H$9)=0),"",IF(A556="","",IF(ISERROR(AVERAGEIF(従業員の給与情報!$B:$B,$A556,従業員の給与情報!$E:$E)),0,IF(ISERROR(AVERAGEIF(従業員の給与情報!$B:$B,$A556,従業員の給与情報!$E:$E)),0,AVERAGEIF(従業員の給与情報!$B:$B,$A556,従業員の給与情報!$E:$E)))))</f>
        <v/>
      </c>
      <c r="W556" s="299" t="str">
        <f>IF(OR(入力シート!$C$5&lt;&gt;入力リスト!$C$3,COUNTIF(入力シート!$J$16:$S$23,入力リスト!$H$9)=0),"",IF(A556="","",IF(ISERROR(AVERAGEIF(従業員の給与情報!$B:$B,$A556,従業員の給与情報!$F:$F)),0,IF(ISERROR(AVERAGEIF(従業員の給与情報!$B:$B,$A556,従業員の給与情報!$F:$F)),0,AVERAGEIF(従業員の給与情報!$B:$B,$A556,従業員の給与情報!$F:$F)))))</f>
        <v/>
      </c>
      <c r="X556" s="581" t="s">
        <v>5295</v>
      </c>
    </row>
    <row r="557" spans="6:24">
      <c r="F557" s="297" t="str">
        <f>IF($G$1,"",IF(COUNTIF(A557:E557,"")=5,"",IF(G557,入力リスト!$K$28,IF(OR(A557="",B557="",IF(COUNTIF($C$3,"*不要*"),"",C557=""),D557=""),IF(A557="","従業員番号","")&amp;IF(B557="","「雇用形態」","")&amp;IF(OR(入力シート!$J$18=入力リスト!$H$9,入力シート!$J$22=入力リスト!$H$9),IF(C557="","「入社年月日」",""),"")&amp;IF(D557="","「性別」","")&amp;IF(IF(A557="","従業員番号","")&amp;IF(B557="","「雇用形態」","")&amp;IF(OR(入力シート!$J$18=入力リスト!$H$9,入力シート!$J$22=入力リスト!$H$9),IF(C557="","「入社年月日」",""),"")&amp;IF(D557="","「性別」","")="","",入力リスト!$K$29),IF(J557,入力リスト!$K$30,"")&amp;IF(I557,入力リスト!$K$31,"")&amp;IF(H557,"「雇用形態」","")&amp;IF(K557,"「性別」","")&amp;IF(L557,"「役職」","")&amp;IF(OR(H557,K557,L557),入力リスト!$K$32,"")))))</f>
        <v/>
      </c>
      <c r="G557" s="298" t="b">
        <f>COUNTIF($A$4:A556,$A557)&gt;0</f>
        <v>0</v>
      </c>
      <c r="H557" s="298" t="b">
        <f>IF($H$1,FALSE,COUNTIF(入力シート!$S$37:$V$62,B557)=0)</f>
        <v>0</v>
      </c>
      <c r="I557" s="298" t="b">
        <f t="shared" si="17"/>
        <v>0</v>
      </c>
      <c r="J557" s="298" t="b">
        <f>IF($J$1,FALSE,IF(I557=TRUE,FALSE,IF(I557,FALSE,C557&gt;入力シート!$J$24)))</f>
        <v>0</v>
      </c>
      <c r="K557" s="298" t="b">
        <f>IF($K$1,FALSE,COUNTIF(入力シート!$AW$37:$BB$38,D557)=0)</f>
        <v>0</v>
      </c>
      <c r="L557" s="298" t="b">
        <f>IF($L$1,FALSE,IF($L$3,FALSE,IF(E557="",FALSE,COUNTIF(入力シート!$AH$37:$AK$62,E557)=0)))</f>
        <v>0</v>
      </c>
      <c r="M557" s="298" t="str">
        <f t="shared" si="18"/>
        <v/>
      </c>
      <c r="N557" s="298" t="str">
        <f>IF(G557,"この従業員番号は、すでに他のセルで入力されています。",IF(入力シート!$C$5=入力リスト!$C$4,"",IF(AND(A557="",B557="",C557="",D557="",E557=""),"",IF(OR(A557="",B557="",C557="",D557=""),IF(A557="","従業員番号","")&amp;IF(AND(A557="",OR(B557="",C557="",D557="")),",","")&amp;IF(B557="","雇用形態","")&amp;IF(AND(B557="",OR(C557="",D557="")),",","")&amp;IF(OR(入力シート!$J$18=入力リスト!$H$9,入力シート!$J$22=入力リスト!$H$9),IF(C557="","入社年月日",""),"")&amp;IF(AND(C557="",D557=""),",","")&amp;IF(D557="","性別","")&amp;IF(IF(A557="","従業員番号","")&amp;IF(B557="","雇用形態","")&amp;IF(OR(入力シート!$J$18=入力リスト!$H$9,入力シート!$J$22=入力リスト!$H$9),IF(C557="","入社年月日",""),"")&amp;IF(D557="","性別","")="","","が空白です。"),IF(J557,"入社年月日に「基準日」の翌日以降の日付が入力されています。","")&amp;IF(I557,"入社年月日に数値以外（又は1900/1/1以前の日付）が入力されています。","")&amp;IF(H557,"雇用形態"&amp;IF(OR(K557,L557),",",""),"")&amp;IF(K557,"性別"&amp;IF(L557,",",""),"")&amp;IF(L557,"役職","")&amp;IF(OR(H557,K557,L557),"に、［入力シート］(4)「貴社」欄と異なる文言が入力されています。","")))))</f>
        <v/>
      </c>
      <c r="O557" s="298" t="str">
        <f>IF(B557="","",VLOOKUP('従業員情報(給与以外)'!$B557,入力シート!$S$37:$Z$62,5,0))</f>
        <v/>
      </c>
      <c r="P557" s="298" t="str">
        <f>IF(ISNUMBER(C557)=FALSE,"",IF(C557&gt;入力シート!$J$24,"",_xlfn.DAYS(入力シート!$J$24,'従業員情報(給与以外)'!$C557)/365))</f>
        <v/>
      </c>
      <c r="Q557" s="298" t="str">
        <f>IF(P557="","",VLOOKUP(_xlfn.DAYS(入力シート!$J$24,'従業員情報(給与以外)'!$C557)/365,入力リスト!$K$18:$L$26,2,2))</f>
        <v/>
      </c>
      <c r="R557" s="298" t="str">
        <f>IF(D557="","",VLOOKUP('従業員情報(給与以外)'!$D557,入力シート!$AW$37:$BB$38,4,0))</f>
        <v/>
      </c>
      <c r="S557" s="298" t="str">
        <f>IF(A557="","",IF(E557="","非役職",VLOOKUP('従業員情報(給与以外)'!$E557,入力シート!$AH$37:$AO$62,5,0)))</f>
        <v/>
      </c>
      <c r="T557" s="299" t="str">
        <f>IF(OR(入力シート!$C$5&lt;&gt;入力リスト!$C$3,COUNTIF(入力シート!$J$16:$S$23,入力リスト!$H$9)=0),"",IF($A557="","",IF(ISERROR(AVERAGEIF(従業員の給与情報!$B:$B,$A557,従業員の給与情報!$C:$C)),0,IF(ISERROR(AVERAGEIF(従業員の給与情報!$B:$B,$A557,従業員の給与情報!$C:$C)),0,AVERAGEIF(従業員の給与情報!$B:$B,$A557,従業員の給与情報!$C:$C)))))</f>
        <v/>
      </c>
      <c r="U557" s="299" t="str">
        <f>IF(OR(入力シート!$C$5&lt;&gt;入力リスト!$C$3,COUNTIF(入力シート!$J$16:$S$23,入力リスト!$H$9)=0),"",IF(A557="","",IF(ISERROR(AVERAGEIF(従業員の給与情報!$B:$B,$A557,従業員の給与情報!$D:$D)),0,IF(ISERROR(AVERAGEIF(従業員の給与情報!$B:$B,$A557,従業員の給与情報!$D:$D)),0,AVERAGEIF(従業員の給与情報!$B:$B,$A557,従業員の給与情報!$D:$D)))))</f>
        <v/>
      </c>
      <c r="V557" s="299" t="str">
        <f>IF(OR(入力シート!$C$5&lt;&gt;入力リスト!$C$3,COUNTIF(入力シート!$J$16:$S$23,入力リスト!$H$9)=0),"",IF(A557="","",IF(ISERROR(AVERAGEIF(従業員の給与情報!$B:$B,$A557,従業員の給与情報!$E:$E)),0,IF(ISERROR(AVERAGEIF(従業員の給与情報!$B:$B,$A557,従業員の給与情報!$E:$E)),0,AVERAGEIF(従業員の給与情報!$B:$B,$A557,従業員の給与情報!$E:$E)))))</f>
        <v/>
      </c>
      <c r="W557" s="299" t="str">
        <f>IF(OR(入力シート!$C$5&lt;&gt;入力リスト!$C$3,COUNTIF(入力シート!$J$16:$S$23,入力リスト!$H$9)=0),"",IF(A557="","",IF(ISERROR(AVERAGEIF(従業員の給与情報!$B:$B,$A557,従業員の給与情報!$F:$F)),0,IF(ISERROR(AVERAGEIF(従業員の給与情報!$B:$B,$A557,従業員の給与情報!$F:$F)),0,AVERAGEIF(従業員の給与情報!$B:$B,$A557,従業員の給与情報!$F:$F)))))</f>
        <v/>
      </c>
      <c r="X557" s="581" t="s">
        <v>5296</v>
      </c>
    </row>
    <row r="558" spans="6:24">
      <c r="F558" s="297" t="str">
        <f>IF($G$1,"",IF(COUNTIF(A558:E558,"")=5,"",IF(G558,入力リスト!$K$28,IF(OR(A558="",B558="",IF(COUNTIF($C$3,"*不要*"),"",C558=""),D558=""),IF(A558="","従業員番号","")&amp;IF(B558="","「雇用形態」","")&amp;IF(OR(入力シート!$J$18=入力リスト!$H$9,入力シート!$J$22=入力リスト!$H$9),IF(C558="","「入社年月日」",""),"")&amp;IF(D558="","「性別」","")&amp;IF(IF(A558="","従業員番号","")&amp;IF(B558="","「雇用形態」","")&amp;IF(OR(入力シート!$J$18=入力リスト!$H$9,入力シート!$J$22=入力リスト!$H$9),IF(C558="","「入社年月日」",""),"")&amp;IF(D558="","「性別」","")="","",入力リスト!$K$29),IF(J558,入力リスト!$K$30,"")&amp;IF(I558,入力リスト!$K$31,"")&amp;IF(H558,"「雇用形態」","")&amp;IF(K558,"「性別」","")&amp;IF(L558,"「役職」","")&amp;IF(OR(H558,K558,L558),入力リスト!$K$32,"")))))</f>
        <v/>
      </c>
      <c r="G558" s="298" t="b">
        <f>COUNTIF($A$4:A557,$A558)&gt;0</f>
        <v>0</v>
      </c>
      <c r="H558" s="298" t="b">
        <f>IF($H$1,FALSE,COUNTIF(入力シート!$S$37:$V$62,B558)=0)</f>
        <v>0</v>
      </c>
      <c r="I558" s="298" t="b">
        <f t="shared" si="17"/>
        <v>0</v>
      </c>
      <c r="J558" s="298" t="b">
        <f>IF($J$1,FALSE,IF(I558=TRUE,FALSE,IF(I558,FALSE,C558&gt;入力シート!$J$24)))</f>
        <v>0</v>
      </c>
      <c r="K558" s="298" t="b">
        <f>IF($K$1,FALSE,COUNTIF(入力シート!$AW$37:$BB$38,D558)=0)</f>
        <v>0</v>
      </c>
      <c r="L558" s="298" t="b">
        <f>IF($L$1,FALSE,IF($L$3,FALSE,IF(E558="",FALSE,COUNTIF(入力シート!$AH$37:$AK$62,E558)=0)))</f>
        <v>0</v>
      </c>
      <c r="M558" s="298" t="str">
        <f t="shared" si="18"/>
        <v/>
      </c>
      <c r="N558" s="298" t="str">
        <f>IF(G558,"この従業員番号は、すでに他のセルで入力されています。",IF(入力シート!$C$5=入力リスト!$C$4,"",IF(AND(A558="",B558="",C558="",D558="",E558=""),"",IF(OR(A558="",B558="",C558="",D558=""),IF(A558="","従業員番号","")&amp;IF(AND(A558="",OR(B558="",C558="",D558="")),",","")&amp;IF(B558="","雇用形態","")&amp;IF(AND(B558="",OR(C558="",D558="")),",","")&amp;IF(OR(入力シート!$J$18=入力リスト!$H$9,入力シート!$J$22=入力リスト!$H$9),IF(C558="","入社年月日",""),"")&amp;IF(AND(C558="",D558=""),",","")&amp;IF(D558="","性別","")&amp;IF(IF(A558="","従業員番号","")&amp;IF(B558="","雇用形態","")&amp;IF(OR(入力シート!$J$18=入力リスト!$H$9,入力シート!$J$22=入力リスト!$H$9),IF(C558="","入社年月日",""),"")&amp;IF(D558="","性別","")="","","が空白です。"),IF(J558,"入社年月日に「基準日」の翌日以降の日付が入力されています。","")&amp;IF(I558,"入社年月日に数値以外（又は1900/1/1以前の日付）が入力されています。","")&amp;IF(H558,"雇用形態"&amp;IF(OR(K558,L558),",",""),"")&amp;IF(K558,"性別"&amp;IF(L558,",",""),"")&amp;IF(L558,"役職","")&amp;IF(OR(H558,K558,L558),"に、［入力シート］(4)「貴社」欄と異なる文言が入力されています。","")))))</f>
        <v/>
      </c>
      <c r="O558" s="298" t="str">
        <f>IF(B558="","",VLOOKUP('従業員情報(給与以外)'!$B558,入力シート!$S$37:$Z$62,5,0))</f>
        <v/>
      </c>
      <c r="P558" s="298" t="str">
        <f>IF(ISNUMBER(C558)=FALSE,"",IF(C558&gt;入力シート!$J$24,"",_xlfn.DAYS(入力シート!$J$24,'従業員情報(給与以外)'!$C558)/365))</f>
        <v/>
      </c>
      <c r="Q558" s="298" t="str">
        <f>IF(P558="","",VLOOKUP(_xlfn.DAYS(入力シート!$J$24,'従業員情報(給与以外)'!$C558)/365,入力リスト!$K$18:$L$26,2,2))</f>
        <v/>
      </c>
      <c r="R558" s="298" t="str">
        <f>IF(D558="","",VLOOKUP('従業員情報(給与以外)'!$D558,入力シート!$AW$37:$BB$38,4,0))</f>
        <v/>
      </c>
      <c r="S558" s="298" t="str">
        <f>IF(A558="","",IF(E558="","非役職",VLOOKUP('従業員情報(給与以外)'!$E558,入力シート!$AH$37:$AO$62,5,0)))</f>
        <v/>
      </c>
      <c r="T558" s="299" t="str">
        <f>IF(OR(入力シート!$C$5&lt;&gt;入力リスト!$C$3,COUNTIF(入力シート!$J$16:$S$23,入力リスト!$H$9)=0),"",IF($A558="","",IF(ISERROR(AVERAGEIF(従業員の給与情報!$B:$B,$A558,従業員の給与情報!$C:$C)),0,IF(ISERROR(AVERAGEIF(従業員の給与情報!$B:$B,$A558,従業員の給与情報!$C:$C)),0,AVERAGEIF(従業員の給与情報!$B:$B,$A558,従業員の給与情報!$C:$C)))))</f>
        <v/>
      </c>
      <c r="U558" s="299" t="str">
        <f>IF(OR(入力シート!$C$5&lt;&gt;入力リスト!$C$3,COUNTIF(入力シート!$J$16:$S$23,入力リスト!$H$9)=0),"",IF(A558="","",IF(ISERROR(AVERAGEIF(従業員の給与情報!$B:$B,$A558,従業員の給与情報!$D:$D)),0,IF(ISERROR(AVERAGEIF(従業員の給与情報!$B:$B,$A558,従業員の給与情報!$D:$D)),0,AVERAGEIF(従業員の給与情報!$B:$B,$A558,従業員の給与情報!$D:$D)))))</f>
        <v/>
      </c>
      <c r="V558" s="299" t="str">
        <f>IF(OR(入力シート!$C$5&lt;&gt;入力リスト!$C$3,COUNTIF(入力シート!$J$16:$S$23,入力リスト!$H$9)=0),"",IF(A558="","",IF(ISERROR(AVERAGEIF(従業員の給与情報!$B:$B,$A558,従業員の給与情報!$E:$E)),0,IF(ISERROR(AVERAGEIF(従業員の給与情報!$B:$B,$A558,従業員の給与情報!$E:$E)),0,AVERAGEIF(従業員の給与情報!$B:$B,$A558,従業員の給与情報!$E:$E)))))</f>
        <v/>
      </c>
      <c r="W558" s="299" t="str">
        <f>IF(OR(入力シート!$C$5&lt;&gt;入力リスト!$C$3,COUNTIF(入力シート!$J$16:$S$23,入力リスト!$H$9)=0),"",IF(A558="","",IF(ISERROR(AVERAGEIF(従業員の給与情報!$B:$B,$A558,従業員の給与情報!$F:$F)),0,IF(ISERROR(AVERAGEIF(従業員の給与情報!$B:$B,$A558,従業員の給与情報!$F:$F)),0,AVERAGEIF(従業員の給与情報!$B:$B,$A558,従業員の給与情報!$F:$F)))))</f>
        <v/>
      </c>
      <c r="X558" s="581" t="s">
        <v>5297</v>
      </c>
    </row>
    <row r="559" spans="6:24">
      <c r="F559" s="297" t="str">
        <f>IF($G$1,"",IF(COUNTIF(A559:E559,"")=5,"",IF(G559,入力リスト!$K$28,IF(OR(A559="",B559="",IF(COUNTIF($C$3,"*不要*"),"",C559=""),D559=""),IF(A559="","従業員番号","")&amp;IF(B559="","「雇用形態」","")&amp;IF(OR(入力シート!$J$18=入力リスト!$H$9,入力シート!$J$22=入力リスト!$H$9),IF(C559="","「入社年月日」",""),"")&amp;IF(D559="","「性別」","")&amp;IF(IF(A559="","従業員番号","")&amp;IF(B559="","「雇用形態」","")&amp;IF(OR(入力シート!$J$18=入力リスト!$H$9,入力シート!$J$22=入力リスト!$H$9),IF(C559="","「入社年月日」",""),"")&amp;IF(D559="","「性別」","")="","",入力リスト!$K$29),IF(J559,入力リスト!$K$30,"")&amp;IF(I559,入力リスト!$K$31,"")&amp;IF(H559,"「雇用形態」","")&amp;IF(K559,"「性別」","")&amp;IF(L559,"「役職」","")&amp;IF(OR(H559,K559,L559),入力リスト!$K$32,"")))))</f>
        <v/>
      </c>
      <c r="G559" s="298" t="b">
        <f>COUNTIF($A$4:A558,$A559)&gt;0</f>
        <v>0</v>
      </c>
      <c r="H559" s="298" t="b">
        <f>IF($H$1,FALSE,COUNTIF(入力シート!$S$37:$V$62,B559)=0)</f>
        <v>0</v>
      </c>
      <c r="I559" s="298" t="b">
        <f t="shared" si="17"/>
        <v>0</v>
      </c>
      <c r="J559" s="298" t="b">
        <f>IF($J$1,FALSE,IF(I559=TRUE,FALSE,IF(I559,FALSE,C559&gt;入力シート!$J$24)))</f>
        <v>0</v>
      </c>
      <c r="K559" s="298" t="b">
        <f>IF($K$1,FALSE,COUNTIF(入力シート!$AW$37:$BB$38,D559)=0)</f>
        <v>0</v>
      </c>
      <c r="L559" s="298" t="b">
        <f>IF($L$1,FALSE,IF($L$3,FALSE,IF(E559="",FALSE,COUNTIF(入力シート!$AH$37:$AK$62,E559)=0)))</f>
        <v>0</v>
      </c>
      <c r="M559" s="298" t="str">
        <f t="shared" si="18"/>
        <v/>
      </c>
      <c r="N559" s="298" t="str">
        <f>IF(G559,"この従業員番号は、すでに他のセルで入力されています。",IF(入力シート!$C$5=入力リスト!$C$4,"",IF(AND(A559="",B559="",C559="",D559="",E559=""),"",IF(OR(A559="",B559="",C559="",D559=""),IF(A559="","従業員番号","")&amp;IF(AND(A559="",OR(B559="",C559="",D559="")),",","")&amp;IF(B559="","雇用形態","")&amp;IF(AND(B559="",OR(C559="",D559="")),",","")&amp;IF(OR(入力シート!$J$18=入力リスト!$H$9,入力シート!$J$22=入力リスト!$H$9),IF(C559="","入社年月日",""),"")&amp;IF(AND(C559="",D559=""),",","")&amp;IF(D559="","性別","")&amp;IF(IF(A559="","従業員番号","")&amp;IF(B559="","雇用形態","")&amp;IF(OR(入力シート!$J$18=入力リスト!$H$9,入力シート!$J$22=入力リスト!$H$9),IF(C559="","入社年月日",""),"")&amp;IF(D559="","性別","")="","","が空白です。"),IF(J559,"入社年月日に「基準日」の翌日以降の日付が入力されています。","")&amp;IF(I559,"入社年月日に数値以外（又は1900/1/1以前の日付）が入力されています。","")&amp;IF(H559,"雇用形態"&amp;IF(OR(K559,L559),",",""),"")&amp;IF(K559,"性別"&amp;IF(L559,",",""),"")&amp;IF(L559,"役職","")&amp;IF(OR(H559,K559,L559),"に、［入力シート］(4)「貴社」欄と異なる文言が入力されています。","")))))</f>
        <v/>
      </c>
      <c r="O559" s="298" t="str">
        <f>IF(B559="","",VLOOKUP('従業員情報(給与以外)'!$B559,入力シート!$S$37:$Z$62,5,0))</f>
        <v/>
      </c>
      <c r="P559" s="298" t="str">
        <f>IF(ISNUMBER(C559)=FALSE,"",IF(C559&gt;入力シート!$J$24,"",_xlfn.DAYS(入力シート!$J$24,'従業員情報(給与以外)'!$C559)/365))</f>
        <v/>
      </c>
      <c r="Q559" s="298" t="str">
        <f>IF(P559="","",VLOOKUP(_xlfn.DAYS(入力シート!$J$24,'従業員情報(給与以外)'!$C559)/365,入力リスト!$K$18:$L$26,2,2))</f>
        <v/>
      </c>
      <c r="R559" s="298" t="str">
        <f>IF(D559="","",VLOOKUP('従業員情報(給与以外)'!$D559,入力シート!$AW$37:$BB$38,4,0))</f>
        <v/>
      </c>
      <c r="S559" s="298" t="str">
        <f>IF(A559="","",IF(E559="","非役職",VLOOKUP('従業員情報(給与以外)'!$E559,入力シート!$AH$37:$AO$62,5,0)))</f>
        <v/>
      </c>
      <c r="T559" s="299" t="str">
        <f>IF(OR(入力シート!$C$5&lt;&gt;入力リスト!$C$3,COUNTIF(入力シート!$J$16:$S$23,入力リスト!$H$9)=0),"",IF($A559="","",IF(ISERROR(AVERAGEIF(従業員の給与情報!$B:$B,$A559,従業員の給与情報!$C:$C)),0,IF(ISERROR(AVERAGEIF(従業員の給与情報!$B:$B,$A559,従業員の給与情報!$C:$C)),0,AVERAGEIF(従業員の給与情報!$B:$B,$A559,従業員の給与情報!$C:$C)))))</f>
        <v/>
      </c>
      <c r="U559" s="299" t="str">
        <f>IF(OR(入力シート!$C$5&lt;&gt;入力リスト!$C$3,COUNTIF(入力シート!$J$16:$S$23,入力リスト!$H$9)=0),"",IF(A559="","",IF(ISERROR(AVERAGEIF(従業員の給与情報!$B:$B,$A559,従業員の給与情報!$D:$D)),0,IF(ISERROR(AVERAGEIF(従業員の給与情報!$B:$B,$A559,従業員の給与情報!$D:$D)),0,AVERAGEIF(従業員の給与情報!$B:$B,$A559,従業員の給与情報!$D:$D)))))</f>
        <v/>
      </c>
      <c r="V559" s="299" t="str">
        <f>IF(OR(入力シート!$C$5&lt;&gt;入力リスト!$C$3,COUNTIF(入力シート!$J$16:$S$23,入力リスト!$H$9)=0),"",IF(A559="","",IF(ISERROR(AVERAGEIF(従業員の給与情報!$B:$B,$A559,従業員の給与情報!$E:$E)),0,IF(ISERROR(AVERAGEIF(従業員の給与情報!$B:$B,$A559,従業員の給与情報!$E:$E)),0,AVERAGEIF(従業員の給与情報!$B:$B,$A559,従業員の給与情報!$E:$E)))))</f>
        <v/>
      </c>
      <c r="W559" s="299" t="str">
        <f>IF(OR(入力シート!$C$5&lt;&gt;入力リスト!$C$3,COUNTIF(入力シート!$J$16:$S$23,入力リスト!$H$9)=0),"",IF(A559="","",IF(ISERROR(AVERAGEIF(従業員の給与情報!$B:$B,$A559,従業員の給与情報!$F:$F)),0,IF(ISERROR(AVERAGEIF(従業員の給与情報!$B:$B,$A559,従業員の給与情報!$F:$F)),0,AVERAGEIF(従業員の給与情報!$B:$B,$A559,従業員の給与情報!$F:$F)))))</f>
        <v/>
      </c>
      <c r="X559" s="581" t="s">
        <v>5298</v>
      </c>
    </row>
    <row r="560" spans="6:24">
      <c r="F560" s="297" t="str">
        <f>IF($G$1,"",IF(COUNTIF(A560:E560,"")=5,"",IF(G560,入力リスト!$K$28,IF(OR(A560="",B560="",IF(COUNTIF($C$3,"*不要*"),"",C560=""),D560=""),IF(A560="","従業員番号","")&amp;IF(B560="","「雇用形態」","")&amp;IF(OR(入力シート!$J$18=入力リスト!$H$9,入力シート!$J$22=入力リスト!$H$9),IF(C560="","「入社年月日」",""),"")&amp;IF(D560="","「性別」","")&amp;IF(IF(A560="","従業員番号","")&amp;IF(B560="","「雇用形態」","")&amp;IF(OR(入力シート!$J$18=入力リスト!$H$9,入力シート!$J$22=入力リスト!$H$9),IF(C560="","「入社年月日」",""),"")&amp;IF(D560="","「性別」","")="","",入力リスト!$K$29),IF(J560,入力リスト!$K$30,"")&amp;IF(I560,入力リスト!$K$31,"")&amp;IF(H560,"「雇用形態」","")&amp;IF(K560,"「性別」","")&amp;IF(L560,"「役職」","")&amp;IF(OR(H560,K560,L560),入力リスト!$K$32,"")))))</f>
        <v/>
      </c>
      <c r="G560" s="298" t="b">
        <f>COUNTIF($A$4:A559,$A560)&gt;0</f>
        <v>0</v>
      </c>
      <c r="H560" s="298" t="b">
        <f>IF($H$1,FALSE,COUNTIF(入力シート!$S$37:$V$62,B560)=0)</f>
        <v>0</v>
      </c>
      <c r="I560" s="298" t="b">
        <f t="shared" si="17"/>
        <v>0</v>
      </c>
      <c r="J560" s="298" t="b">
        <f>IF($J$1,FALSE,IF(I560=TRUE,FALSE,IF(I560,FALSE,C560&gt;入力シート!$J$24)))</f>
        <v>0</v>
      </c>
      <c r="K560" s="298" t="b">
        <f>IF($K$1,FALSE,COUNTIF(入力シート!$AW$37:$BB$38,D560)=0)</f>
        <v>0</v>
      </c>
      <c r="L560" s="298" t="b">
        <f>IF($L$1,FALSE,IF($L$3,FALSE,IF(E560="",FALSE,COUNTIF(入力シート!$AH$37:$AK$62,E560)=0)))</f>
        <v>0</v>
      </c>
      <c r="M560" s="298" t="str">
        <f t="shared" si="18"/>
        <v/>
      </c>
      <c r="N560" s="298" t="str">
        <f>IF(G560,"この従業員番号は、すでに他のセルで入力されています。",IF(入力シート!$C$5=入力リスト!$C$4,"",IF(AND(A560="",B560="",C560="",D560="",E560=""),"",IF(OR(A560="",B560="",C560="",D560=""),IF(A560="","従業員番号","")&amp;IF(AND(A560="",OR(B560="",C560="",D560="")),",","")&amp;IF(B560="","雇用形態","")&amp;IF(AND(B560="",OR(C560="",D560="")),",","")&amp;IF(OR(入力シート!$J$18=入力リスト!$H$9,入力シート!$J$22=入力リスト!$H$9),IF(C560="","入社年月日",""),"")&amp;IF(AND(C560="",D560=""),",","")&amp;IF(D560="","性別","")&amp;IF(IF(A560="","従業員番号","")&amp;IF(B560="","雇用形態","")&amp;IF(OR(入力シート!$J$18=入力リスト!$H$9,入力シート!$J$22=入力リスト!$H$9),IF(C560="","入社年月日",""),"")&amp;IF(D560="","性別","")="","","が空白です。"),IF(J560,"入社年月日に「基準日」の翌日以降の日付が入力されています。","")&amp;IF(I560,"入社年月日に数値以外（又は1900/1/1以前の日付）が入力されています。","")&amp;IF(H560,"雇用形態"&amp;IF(OR(K560,L560),",",""),"")&amp;IF(K560,"性別"&amp;IF(L560,",",""),"")&amp;IF(L560,"役職","")&amp;IF(OR(H560,K560,L560),"に、［入力シート］(4)「貴社」欄と異なる文言が入力されています。","")))))</f>
        <v/>
      </c>
      <c r="O560" s="298" t="str">
        <f>IF(B560="","",VLOOKUP('従業員情報(給与以外)'!$B560,入力シート!$S$37:$Z$62,5,0))</f>
        <v/>
      </c>
      <c r="P560" s="298" t="str">
        <f>IF(ISNUMBER(C560)=FALSE,"",IF(C560&gt;入力シート!$J$24,"",_xlfn.DAYS(入力シート!$J$24,'従業員情報(給与以外)'!$C560)/365))</f>
        <v/>
      </c>
      <c r="Q560" s="298" t="str">
        <f>IF(P560="","",VLOOKUP(_xlfn.DAYS(入力シート!$J$24,'従業員情報(給与以外)'!$C560)/365,入力リスト!$K$18:$L$26,2,2))</f>
        <v/>
      </c>
      <c r="R560" s="298" t="str">
        <f>IF(D560="","",VLOOKUP('従業員情報(給与以外)'!$D560,入力シート!$AW$37:$BB$38,4,0))</f>
        <v/>
      </c>
      <c r="S560" s="298" t="str">
        <f>IF(A560="","",IF(E560="","非役職",VLOOKUP('従業員情報(給与以外)'!$E560,入力シート!$AH$37:$AO$62,5,0)))</f>
        <v/>
      </c>
      <c r="T560" s="299" t="str">
        <f>IF(OR(入力シート!$C$5&lt;&gt;入力リスト!$C$3,COUNTIF(入力シート!$J$16:$S$23,入力リスト!$H$9)=0),"",IF($A560="","",IF(ISERROR(AVERAGEIF(従業員の給与情報!$B:$B,$A560,従業員の給与情報!$C:$C)),0,IF(ISERROR(AVERAGEIF(従業員の給与情報!$B:$B,$A560,従業員の給与情報!$C:$C)),0,AVERAGEIF(従業員の給与情報!$B:$B,$A560,従業員の給与情報!$C:$C)))))</f>
        <v/>
      </c>
      <c r="U560" s="299" t="str">
        <f>IF(OR(入力シート!$C$5&lt;&gt;入力リスト!$C$3,COUNTIF(入力シート!$J$16:$S$23,入力リスト!$H$9)=0),"",IF(A560="","",IF(ISERROR(AVERAGEIF(従業員の給与情報!$B:$B,$A560,従業員の給与情報!$D:$D)),0,IF(ISERROR(AVERAGEIF(従業員の給与情報!$B:$B,$A560,従業員の給与情報!$D:$D)),0,AVERAGEIF(従業員の給与情報!$B:$B,$A560,従業員の給与情報!$D:$D)))))</f>
        <v/>
      </c>
      <c r="V560" s="299" t="str">
        <f>IF(OR(入力シート!$C$5&lt;&gt;入力リスト!$C$3,COUNTIF(入力シート!$J$16:$S$23,入力リスト!$H$9)=0),"",IF(A560="","",IF(ISERROR(AVERAGEIF(従業員の給与情報!$B:$B,$A560,従業員の給与情報!$E:$E)),0,IF(ISERROR(AVERAGEIF(従業員の給与情報!$B:$B,$A560,従業員の給与情報!$E:$E)),0,AVERAGEIF(従業員の給与情報!$B:$B,$A560,従業員の給与情報!$E:$E)))))</f>
        <v/>
      </c>
      <c r="W560" s="299" t="str">
        <f>IF(OR(入力シート!$C$5&lt;&gt;入力リスト!$C$3,COUNTIF(入力シート!$J$16:$S$23,入力リスト!$H$9)=0),"",IF(A560="","",IF(ISERROR(AVERAGEIF(従業員の給与情報!$B:$B,$A560,従業員の給与情報!$F:$F)),0,IF(ISERROR(AVERAGEIF(従業員の給与情報!$B:$B,$A560,従業員の給与情報!$F:$F)),0,AVERAGEIF(従業員の給与情報!$B:$B,$A560,従業員の給与情報!$F:$F)))))</f>
        <v/>
      </c>
      <c r="X560" s="581" t="s">
        <v>5299</v>
      </c>
    </row>
    <row r="561" spans="6:24">
      <c r="F561" s="297" t="str">
        <f>IF($G$1,"",IF(COUNTIF(A561:E561,"")=5,"",IF(G561,入力リスト!$K$28,IF(OR(A561="",B561="",IF(COUNTIF($C$3,"*不要*"),"",C561=""),D561=""),IF(A561="","従業員番号","")&amp;IF(B561="","「雇用形態」","")&amp;IF(OR(入力シート!$J$18=入力リスト!$H$9,入力シート!$J$22=入力リスト!$H$9),IF(C561="","「入社年月日」",""),"")&amp;IF(D561="","「性別」","")&amp;IF(IF(A561="","従業員番号","")&amp;IF(B561="","「雇用形態」","")&amp;IF(OR(入力シート!$J$18=入力リスト!$H$9,入力シート!$J$22=入力リスト!$H$9),IF(C561="","「入社年月日」",""),"")&amp;IF(D561="","「性別」","")="","",入力リスト!$K$29),IF(J561,入力リスト!$K$30,"")&amp;IF(I561,入力リスト!$K$31,"")&amp;IF(H561,"「雇用形態」","")&amp;IF(K561,"「性別」","")&amp;IF(L561,"「役職」","")&amp;IF(OR(H561,K561,L561),入力リスト!$K$32,"")))))</f>
        <v/>
      </c>
      <c r="G561" s="298" t="b">
        <f>COUNTIF($A$4:A560,$A561)&gt;0</f>
        <v>0</v>
      </c>
      <c r="H561" s="298" t="b">
        <f>IF($H$1,FALSE,COUNTIF(入力シート!$S$37:$V$62,B561)=0)</f>
        <v>0</v>
      </c>
      <c r="I561" s="298" t="b">
        <f t="shared" si="17"/>
        <v>0</v>
      </c>
      <c r="J561" s="298" t="b">
        <f>IF($J$1,FALSE,IF(I561=TRUE,FALSE,IF(I561,FALSE,C561&gt;入力シート!$J$24)))</f>
        <v>0</v>
      </c>
      <c r="K561" s="298" t="b">
        <f>IF($K$1,FALSE,COUNTIF(入力シート!$AW$37:$BB$38,D561)=0)</f>
        <v>0</v>
      </c>
      <c r="L561" s="298" t="b">
        <f>IF($L$1,FALSE,IF($L$3,FALSE,IF(E561="",FALSE,COUNTIF(入力シート!$AH$37:$AK$62,E561)=0)))</f>
        <v>0</v>
      </c>
      <c r="M561" s="298" t="str">
        <f t="shared" si="18"/>
        <v/>
      </c>
      <c r="N561" s="298" t="str">
        <f>IF(G561,"この従業員番号は、すでに他のセルで入力されています。",IF(入力シート!$C$5=入力リスト!$C$4,"",IF(AND(A561="",B561="",C561="",D561="",E561=""),"",IF(OR(A561="",B561="",C561="",D561=""),IF(A561="","従業員番号","")&amp;IF(AND(A561="",OR(B561="",C561="",D561="")),",","")&amp;IF(B561="","雇用形態","")&amp;IF(AND(B561="",OR(C561="",D561="")),",","")&amp;IF(OR(入力シート!$J$18=入力リスト!$H$9,入力シート!$J$22=入力リスト!$H$9),IF(C561="","入社年月日",""),"")&amp;IF(AND(C561="",D561=""),",","")&amp;IF(D561="","性別","")&amp;IF(IF(A561="","従業員番号","")&amp;IF(B561="","雇用形態","")&amp;IF(OR(入力シート!$J$18=入力リスト!$H$9,入力シート!$J$22=入力リスト!$H$9),IF(C561="","入社年月日",""),"")&amp;IF(D561="","性別","")="","","が空白です。"),IF(J561,"入社年月日に「基準日」の翌日以降の日付が入力されています。","")&amp;IF(I561,"入社年月日に数値以外（又は1900/1/1以前の日付）が入力されています。","")&amp;IF(H561,"雇用形態"&amp;IF(OR(K561,L561),",",""),"")&amp;IF(K561,"性別"&amp;IF(L561,",",""),"")&amp;IF(L561,"役職","")&amp;IF(OR(H561,K561,L561),"に、［入力シート］(4)「貴社」欄と異なる文言が入力されています。","")))))</f>
        <v/>
      </c>
      <c r="O561" s="298" t="str">
        <f>IF(B561="","",VLOOKUP('従業員情報(給与以外)'!$B561,入力シート!$S$37:$Z$62,5,0))</f>
        <v/>
      </c>
      <c r="P561" s="298" t="str">
        <f>IF(ISNUMBER(C561)=FALSE,"",IF(C561&gt;入力シート!$J$24,"",_xlfn.DAYS(入力シート!$J$24,'従業員情報(給与以外)'!$C561)/365))</f>
        <v/>
      </c>
      <c r="Q561" s="298" t="str">
        <f>IF(P561="","",VLOOKUP(_xlfn.DAYS(入力シート!$J$24,'従業員情報(給与以外)'!$C561)/365,入力リスト!$K$18:$L$26,2,2))</f>
        <v/>
      </c>
      <c r="R561" s="298" t="str">
        <f>IF(D561="","",VLOOKUP('従業員情報(給与以外)'!$D561,入力シート!$AW$37:$BB$38,4,0))</f>
        <v/>
      </c>
      <c r="S561" s="298" t="str">
        <f>IF(A561="","",IF(E561="","非役職",VLOOKUP('従業員情報(給与以外)'!$E561,入力シート!$AH$37:$AO$62,5,0)))</f>
        <v/>
      </c>
      <c r="T561" s="299" t="str">
        <f>IF(OR(入力シート!$C$5&lt;&gt;入力リスト!$C$3,COUNTIF(入力シート!$J$16:$S$23,入力リスト!$H$9)=0),"",IF($A561="","",IF(ISERROR(AVERAGEIF(従業員の給与情報!$B:$B,$A561,従業員の給与情報!$C:$C)),0,IF(ISERROR(AVERAGEIF(従業員の給与情報!$B:$B,$A561,従業員の給与情報!$C:$C)),0,AVERAGEIF(従業員の給与情報!$B:$B,$A561,従業員の給与情報!$C:$C)))))</f>
        <v/>
      </c>
      <c r="U561" s="299" t="str">
        <f>IF(OR(入力シート!$C$5&lt;&gt;入力リスト!$C$3,COUNTIF(入力シート!$J$16:$S$23,入力リスト!$H$9)=0),"",IF(A561="","",IF(ISERROR(AVERAGEIF(従業員の給与情報!$B:$B,$A561,従業員の給与情報!$D:$D)),0,IF(ISERROR(AVERAGEIF(従業員の給与情報!$B:$B,$A561,従業員の給与情報!$D:$D)),0,AVERAGEIF(従業員の給与情報!$B:$B,$A561,従業員の給与情報!$D:$D)))))</f>
        <v/>
      </c>
      <c r="V561" s="299" t="str">
        <f>IF(OR(入力シート!$C$5&lt;&gt;入力リスト!$C$3,COUNTIF(入力シート!$J$16:$S$23,入力リスト!$H$9)=0),"",IF(A561="","",IF(ISERROR(AVERAGEIF(従業員の給与情報!$B:$B,$A561,従業員の給与情報!$E:$E)),0,IF(ISERROR(AVERAGEIF(従業員の給与情報!$B:$B,$A561,従業員の給与情報!$E:$E)),0,AVERAGEIF(従業員の給与情報!$B:$B,$A561,従業員の給与情報!$E:$E)))))</f>
        <v/>
      </c>
      <c r="W561" s="299" t="str">
        <f>IF(OR(入力シート!$C$5&lt;&gt;入力リスト!$C$3,COUNTIF(入力シート!$J$16:$S$23,入力リスト!$H$9)=0),"",IF(A561="","",IF(ISERROR(AVERAGEIF(従業員の給与情報!$B:$B,$A561,従業員の給与情報!$F:$F)),0,IF(ISERROR(AVERAGEIF(従業員の給与情報!$B:$B,$A561,従業員の給与情報!$F:$F)),0,AVERAGEIF(従業員の給与情報!$B:$B,$A561,従業員の給与情報!$F:$F)))))</f>
        <v/>
      </c>
      <c r="X561" s="581" t="s">
        <v>5300</v>
      </c>
    </row>
    <row r="562" spans="6:24">
      <c r="F562" s="297" t="str">
        <f>IF($G$1,"",IF(COUNTIF(A562:E562,"")=5,"",IF(G562,入力リスト!$K$28,IF(OR(A562="",B562="",IF(COUNTIF($C$3,"*不要*"),"",C562=""),D562=""),IF(A562="","従業員番号","")&amp;IF(B562="","「雇用形態」","")&amp;IF(OR(入力シート!$J$18=入力リスト!$H$9,入力シート!$J$22=入力リスト!$H$9),IF(C562="","「入社年月日」",""),"")&amp;IF(D562="","「性別」","")&amp;IF(IF(A562="","従業員番号","")&amp;IF(B562="","「雇用形態」","")&amp;IF(OR(入力シート!$J$18=入力リスト!$H$9,入力シート!$J$22=入力リスト!$H$9),IF(C562="","「入社年月日」",""),"")&amp;IF(D562="","「性別」","")="","",入力リスト!$K$29),IF(J562,入力リスト!$K$30,"")&amp;IF(I562,入力リスト!$K$31,"")&amp;IF(H562,"「雇用形態」","")&amp;IF(K562,"「性別」","")&amp;IF(L562,"「役職」","")&amp;IF(OR(H562,K562,L562),入力リスト!$K$32,"")))))</f>
        <v/>
      </c>
      <c r="G562" s="298" t="b">
        <f>COUNTIF($A$4:A561,$A562)&gt;0</f>
        <v>0</v>
      </c>
      <c r="H562" s="298" t="b">
        <f>IF($H$1,FALSE,COUNTIF(入力シート!$S$37:$V$62,B562)=0)</f>
        <v>0</v>
      </c>
      <c r="I562" s="298" t="b">
        <f t="shared" si="17"/>
        <v>0</v>
      </c>
      <c r="J562" s="298" t="b">
        <f>IF($J$1,FALSE,IF(I562=TRUE,FALSE,IF(I562,FALSE,C562&gt;入力シート!$J$24)))</f>
        <v>0</v>
      </c>
      <c r="K562" s="298" t="b">
        <f>IF($K$1,FALSE,COUNTIF(入力シート!$AW$37:$BB$38,D562)=0)</f>
        <v>0</v>
      </c>
      <c r="L562" s="298" t="b">
        <f>IF($L$1,FALSE,IF($L$3,FALSE,IF(E562="",FALSE,COUNTIF(入力シート!$AH$37:$AK$62,E562)=0)))</f>
        <v>0</v>
      </c>
      <c r="M562" s="298" t="str">
        <f t="shared" si="18"/>
        <v/>
      </c>
      <c r="N562" s="298" t="str">
        <f>IF(G562,"この従業員番号は、すでに他のセルで入力されています。",IF(入力シート!$C$5=入力リスト!$C$4,"",IF(AND(A562="",B562="",C562="",D562="",E562=""),"",IF(OR(A562="",B562="",C562="",D562=""),IF(A562="","従業員番号","")&amp;IF(AND(A562="",OR(B562="",C562="",D562="")),",","")&amp;IF(B562="","雇用形態","")&amp;IF(AND(B562="",OR(C562="",D562="")),",","")&amp;IF(OR(入力シート!$J$18=入力リスト!$H$9,入力シート!$J$22=入力リスト!$H$9),IF(C562="","入社年月日",""),"")&amp;IF(AND(C562="",D562=""),",","")&amp;IF(D562="","性別","")&amp;IF(IF(A562="","従業員番号","")&amp;IF(B562="","雇用形態","")&amp;IF(OR(入力シート!$J$18=入力リスト!$H$9,入力シート!$J$22=入力リスト!$H$9),IF(C562="","入社年月日",""),"")&amp;IF(D562="","性別","")="","","が空白です。"),IF(J562,"入社年月日に「基準日」の翌日以降の日付が入力されています。","")&amp;IF(I562,"入社年月日に数値以外（又は1900/1/1以前の日付）が入力されています。","")&amp;IF(H562,"雇用形態"&amp;IF(OR(K562,L562),",",""),"")&amp;IF(K562,"性別"&amp;IF(L562,",",""),"")&amp;IF(L562,"役職","")&amp;IF(OR(H562,K562,L562),"に、［入力シート］(4)「貴社」欄と異なる文言が入力されています。","")))))</f>
        <v/>
      </c>
      <c r="O562" s="298" t="str">
        <f>IF(B562="","",VLOOKUP('従業員情報(給与以外)'!$B562,入力シート!$S$37:$Z$62,5,0))</f>
        <v/>
      </c>
      <c r="P562" s="298" t="str">
        <f>IF(ISNUMBER(C562)=FALSE,"",IF(C562&gt;入力シート!$J$24,"",_xlfn.DAYS(入力シート!$J$24,'従業員情報(給与以外)'!$C562)/365))</f>
        <v/>
      </c>
      <c r="Q562" s="298" t="str">
        <f>IF(P562="","",VLOOKUP(_xlfn.DAYS(入力シート!$J$24,'従業員情報(給与以外)'!$C562)/365,入力リスト!$K$18:$L$26,2,2))</f>
        <v/>
      </c>
      <c r="R562" s="298" t="str">
        <f>IF(D562="","",VLOOKUP('従業員情報(給与以外)'!$D562,入力シート!$AW$37:$BB$38,4,0))</f>
        <v/>
      </c>
      <c r="S562" s="298" t="str">
        <f>IF(A562="","",IF(E562="","非役職",VLOOKUP('従業員情報(給与以外)'!$E562,入力シート!$AH$37:$AO$62,5,0)))</f>
        <v/>
      </c>
      <c r="T562" s="299" t="str">
        <f>IF(OR(入力シート!$C$5&lt;&gt;入力リスト!$C$3,COUNTIF(入力シート!$J$16:$S$23,入力リスト!$H$9)=0),"",IF($A562="","",IF(ISERROR(AVERAGEIF(従業員の給与情報!$B:$B,$A562,従業員の給与情報!$C:$C)),0,IF(ISERROR(AVERAGEIF(従業員の給与情報!$B:$B,$A562,従業員の給与情報!$C:$C)),0,AVERAGEIF(従業員の給与情報!$B:$B,$A562,従業員の給与情報!$C:$C)))))</f>
        <v/>
      </c>
      <c r="U562" s="299" t="str">
        <f>IF(OR(入力シート!$C$5&lt;&gt;入力リスト!$C$3,COUNTIF(入力シート!$J$16:$S$23,入力リスト!$H$9)=0),"",IF(A562="","",IF(ISERROR(AVERAGEIF(従業員の給与情報!$B:$B,$A562,従業員の給与情報!$D:$D)),0,IF(ISERROR(AVERAGEIF(従業員の給与情報!$B:$B,$A562,従業員の給与情報!$D:$D)),0,AVERAGEIF(従業員の給与情報!$B:$B,$A562,従業員の給与情報!$D:$D)))))</f>
        <v/>
      </c>
      <c r="V562" s="299" t="str">
        <f>IF(OR(入力シート!$C$5&lt;&gt;入力リスト!$C$3,COUNTIF(入力シート!$J$16:$S$23,入力リスト!$H$9)=0),"",IF(A562="","",IF(ISERROR(AVERAGEIF(従業員の給与情報!$B:$B,$A562,従業員の給与情報!$E:$E)),0,IF(ISERROR(AVERAGEIF(従業員の給与情報!$B:$B,$A562,従業員の給与情報!$E:$E)),0,AVERAGEIF(従業員の給与情報!$B:$B,$A562,従業員の給与情報!$E:$E)))))</f>
        <v/>
      </c>
      <c r="W562" s="299" t="str">
        <f>IF(OR(入力シート!$C$5&lt;&gt;入力リスト!$C$3,COUNTIF(入力シート!$J$16:$S$23,入力リスト!$H$9)=0),"",IF(A562="","",IF(ISERROR(AVERAGEIF(従業員の給与情報!$B:$B,$A562,従業員の給与情報!$F:$F)),0,IF(ISERROR(AVERAGEIF(従業員の給与情報!$B:$B,$A562,従業員の給与情報!$F:$F)),0,AVERAGEIF(従業員の給与情報!$B:$B,$A562,従業員の給与情報!$F:$F)))))</f>
        <v/>
      </c>
      <c r="X562" s="581" t="s">
        <v>5301</v>
      </c>
    </row>
    <row r="563" spans="6:24">
      <c r="F563" s="297" t="str">
        <f>IF($G$1,"",IF(COUNTIF(A563:E563,"")=5,"",IF(G563,入力リスト!$K$28,IF(OR(A563="",B563="",IF(COUNTIF($C$3,"*不要*"),"",C563=""),D563=""),IF(A563="","従業員番号","")&amp;IF(B563="","「雇用形態」","")&amp;IF(OR(入力シート!$J$18=入力リスト!$H$9,入力シート!$J$22=入力リスト!$H$9),IF(C563="","「入社年月日」",""),"")&amp;IF(D563="","「性別」","")&amp;IF(IF(A563="","従業員番号","")&amp;IF(B563="","「雇用形態」","")&amp;IF(OR(入力シート!$J$18=入力リスト!$H$9,入力シート!$J$22=入力リスト!$H$9),IF(C563="","「入社年月日」",""),"")&amp;IF(D563="","「性別」","")="","",入力リスト!$K$29),IF(J563,入力リスト!$K$30,"")&amp;IF(I563,入力リスト!$K$31,"")&amp;IF(H563,"「雇用形態」","")&amp;IF(K563,"「性別」","")&amp;IF(L563,"「役職」","")&amp;IF(OR(H563,K563,L563),入力リスト!$K$32,"")))))</f>
        <v/>
      </c>
      <c r="G563" s="298" t="b">
        <f>COUNTIF($A$4:A562,$A563)&gt;0</f>
        <v>0</v>
      </c>
      <c r="H563" s="298" t="b">
        <f>IF($H$1,FALSE,COUNTIF(入力シート!$S$37:$V$62,B563)=0)</f>
        <v>0</v>
      </c>
      <c r="I563" s="298" t="b">
        <f t="shared" si="17"/>
        <v>0</v>
      </c>
      <c r="J563" s="298" t="b">
        <f>IF($J$1,FALSE,IF(I563=TRUE,FALSE,IF(I563,FALSE,C563&gt;入力シート!$J$24)))</f>
        <v>0</v>
      </c>
      <c r="K563" s="298" t="b">
        <f>IF($K$1,FALSE,COUNTIF(入力シート!$AW$37:$BB$38,D563)=0)</f>
        <v>0</v>
      </c>
      <c r="L563" s="298" t="b">
        <f>IF($L$1,FALSE,IF($L$3,FALSE,IF(E563="",FALSE,COUNTIF(入力シート!$AH$37:$AK$62,E563)=0)))</f>
        <v>0</v>
      </c>
      <c r="M563" s="298" t="str">
        <f t="shared" si="18"/>
        <v/>
      </c>
      <c r="N563" s="298" t="str">
        <f>IF(G563,"この従業員番号は、すでに他のセルで入力されています。",IF(入力シート!$C$5=入力リスト!$C$4,"",IF(AND(A563="",B563="",C563="",D563="",E563=""),"",IF(OR(A563="",B563="",C563="",D563=""),IF(A563="","従業員番号","")&amp;IF(AND(A563="",OR(B563="",C563="",D563="")),",","")&amp;IF(B563="","雇用形態","")&amp;IF(AND(B563="",OR(C563="",D563="")),",","")&amp;IF(OR(入力シート!$J$18=入力リスト!$H$9,入力シート!$J$22=入力リスト!$H$9),IF(C563="","入社年月日",""),"")&amp;IF(AND(C563="",D563=""),",","")&amp;IF(D563="","性別","")&amp;IF(IF(A563="","従業員番号","")&amp;IF(B563="","雇用形態","")&amp;IF(OR(入力シート!$J$18=入力リスト!$H$9,入力シート!$J$22=入力リスト!$H$9),IF(C563="","入社年月日",""),"")&amp;IF(D563="","性別","")="","","が空白です。"),IF(J563,"入社年月日に「基準日」の翌日以降の日付が入力されています。","")&amp;IF(I563,"入社年月日に数値以外（又は1900/1/1以前の日付）が入力されています。","")&amp;IF(H563,"雇用形態"&amp;IF(OR(K563,L563),",",""),"")&amp;IF(K563,"性別"&amp;IF(L563,",",""),"")&amp;IF(L563,"役職","")&amp;IF(OR(H563,K563,L563),"に、［入力シート］(4)「貴社」欄と異なる文言が入力されています。","")))))</f>
        <v/>
      </c>
      <c r="O563" s="298" t="str">
        <f>IF(B563="","",VLOOKUP('従業員情報(給与以外)'!$B563,入力シート!$S$37:$Z$62,5,0))</f>
        <v/>
      </c>
      <c r="P563" s="298" t="str">
        <f>IF(ISNUMBER(C563)=FALSE,"",IF(C563&gt;入力シート!$J$24,"",_xlfn.DAYS(入力シート!$J$24,'従業員情報(給与以外)'!$C563)/365))</f>
        <v/>
      </c>
      <c r="Q563" s="298" t="str">
        <f>IF(P563="","",VLOOKUP(_xlfn.DAYS(入力シート!$J$24,'従業員情報(給与以外)'!$C563)/365,入力リスト!$K$18:$L$26,2,2))</f>
        <v/>
      </c>
      <c r="R563" s="298" t="str">
        <f>IF(D563="","",VLOOKUP('従業員情報(給与以外)'!$D563,入力シート!$AW$37:$BB$38,4,0))</f>
        <v/>
      </c>
      <c r="S563" s="298" t="str">
        <f>IF(A563="","",IF(E563="","非役職",VLOOKUP('従業員情報(給与以外)'!$E563,入力シート!$AH$37:$AO$62,5,0)))</f>
        <v/>
      </c>
      <c r="T563" s="299" t="str">
        <f>IF(OR(入力シート!$C$5&lt;&gt;入力リスト!$C$3,COUNTIF(入力シート!$J$16:$S$23,入力リスト!$H$9)=0),"",IF($A563="","",IF(ISERROR(AVERAGEIF(従業員の給与情報!$B:$B,$A563,従業員の給与情報!$C:$C)),0,IF(ISERROR(AVERAGEIF(従業員の給与情報!$B:$B,$A563,従業員の給与情報!$C:$C)),0,AVERAGEIF(従業員の給与情報!$B:$B,$A563,従業員の給与情報!$C:$C)))))</f>
        <v/>
      </c>
      <c r="U563" s="299" t="str">
        <f>IF(OR(入力シート!$C$5&lt;&gt;入力リスト!$C$3,COUNTIF(入力シート!$J$16:$S$23,入力リスト!$H$9)=0),"",IF(A563="","",IF(ISERROR(AVERAGEIF(従業員の給与情報!$B:$B,$A563,従業員の給与情報!$D:$D)),0,IF(ISERROR(AVERAGEIF(従業員の給与情報!$B:$B,$A563,従業員の給与情報!$D:$D)),0,AVERAGEIF(従業員の給与情報!$B:$B,$A563,従業員の給与情報!$D:$D)))))</f>
        <v/>
      </c>
      <c r="V563" s="299" t="str">
        <f>IF(OR(入力シート!$C$5&lt;&gt;入力リスト!$C$3,COUNTIF(入力シート!$J$16:$S$23,入力リスト!$H$9)=0),"",IF(A563="","",IF(ISERROR(AVERAGEIF(従業員の給与情報!$B:$B,$A563,従業員の給与情報!$E:$E)),0,IF(ISERROR(AVERAGEIF(従業員の給与情報!$B:$B,$A563,従業員の給与情報!$E:$E)),0,AVERAGEIF(従業員の給与情報!$B:$B,$A563,従業員の給与情報!$E:$E)))))</f>
        <v/>
      </c>
      <c r="W563" s="299" t="str">
        <f>IF(OR(入力シート!$C$5&lt;&gt;入力リスト!$C$3,COUNTIF(入力シート!$J$16:$S$23,入力リスト!$H$9)=0),"",IF(A563="","",IF(ISERROR(AVERAGEIF(従業員の給与情報!$B:$B,$A563,従業員の給与情報!$F:$F)),0,IF(ISERROR(AVERAGEIF(従業員の給与情報!$B:$B,$A563,従業員の給与情報!$F:$F)),0,AVERAGEIF(従業員の給与情報!$B:$B,$A563,従業員の給与情報!$F:$F)))))</f>
        <v/>
      </c>
      <c r="X563" s="581" t="s">
        <v>5302</v>
      </c>
    </row>
    <row r="564" spans="6:24">
      <c r="F564" s="297" t="str">
        <f>IF($G$1,"",IF(COUNTIF(A564:E564,"")=5,"",IF(G564,入力リスト!$K$28,IF(OR(A564="",B564="",IF(COUNTIF($C$3,"*不要*"),"",C564=""),D564=""),IF(A564="","従業員番号","")&amp;IF(B564="","「雇用形態」","")&amp;IF(OR(入力シート!$J$18=入力リスト!$H$9,入力シート!$J$22=入力リスト!$H$9),IF(C564="","「入社年月日」",""),"")&amp;IF(D564="","「性別」","")&amp;IF(IF(A564="","従業員番号","")&amp;IF(B564="","「雇用形態」","")&amp;IF(OR(入力シート!$J$18=入力リスト!$H$9,入力シート!$J$22=入力リスト!$H$9),IF(C564="","「入社年月日」",""),"")&amp;IF(D564="","「性別」","")="","",入力リスト!$K$29),IF(J564,入力リスト!$K$30,"")&amp;IF(I564,入力リスト!$K$31,"")&amp;IF(H564,"「雇用形態」","")&amp;IF(K564,"「性別」","")&amp;IF(L564,"「役職」","")&amp;IF(OR(H564,K564,L564),入力リスト!$K$32,"")))))</f>
        <v/>
      </c>
      <c r="G564" s="298" t="b">
        <f>COUNTIF($A$4:A563,$A564)&gt;0</f>
        <v>0</v>
      </c>
      <c r="H564" s="298" t="b">
        <f>IF($H$1,FALSE,COUNTIF(入力シート!$S$37:$V$62,B564)=0)</f>
        <v>0</v>
      </c>
      <c r="I564" s="298" t="b">
        <f t="shared" si="17"/>
        <v>0</v>
      </c>
      <c r="J564" s="298" t="b">
        <f>IF($J$1,FALSE,IF(I564=TRUE,FALSE,IF(I564,FALSE,C564&gt;入力シート!$J$24)))</f>
        <v>0</v>
      </c>
      <c r="K564" s="298" t="b">
        <f>IF($K$1,FALSE,COUNTIF(入力シート!$AW$37:$BB$38,D564)=0)</f>
        <v>0</v>
      </c>
      <c r="L564" s="298" t="b">
        <f>IF($L$1,FALSE,IF($L$3,FALSE,IF(E564="",FALSE,COUNTIF(入力シート!$AH$37:$AK$62,E564)=0)))</f>
        <v>0</v>
      </c>
      <c r="M564" s="298" t="str">
        <f t="shared" si="18"/>
        <v/>
      </c>
      <c r="N564" s="298" t="str">
        <f>IF(G564,"この従業員番号は、すでに他のセルで入力されています。",IF(入力シート!$C$5=入力リスト!$C$4,"",IF(AND(A564="",B564="",C564="",D564="",E564=""),"",IF(OR(A564="",B564="",C564="",D564=""),IF(A564="","従業員番号","")&amp;IF(AND(A564="",OR(B564="",C564="",D564="")),",","")&amp;IF(B564="","雇用形態","")&amp;IF(AND(B564="",OR(C564="",D564="")),",","")&amp;IF(OR(入力シート!$J$18=入力リスト!$H$9,入力シート!$J$22=入力リスト!$H$9),IF(C564="","入社年月日",""),"")&amp;IF(AND(C564="",D564=""),",","")&amp;IF(D564="","性別","")&amp;IF(IF(A564="","従業員番号","")&amp;IF(B564="","雇用形態","")&amp;IF(OR(入力シート!$J$18=入力リスト!$H$9,入力シート!$J$22=入力リスト!$H$9),IF(C564="","入社年月日",""),"")&amp;IF(D564="","性別","")="","","が空白です。"),IF(J564,"入社年月日に「基準日」の翌日以降の日付が入力されています。","")&amp;IF(I564,"入社年月日に数値以外（又は1900/1/1以前の日付）が入力されています。","")&amp;IF(H564,"雇用形態"&amp;IF(OR(K564,L564),",",""),"")&amp;IF(K564,"性別"&amp;IF(L564,",",""),"")&amp;IF(L564,"役職","")&amp;IF(OR(H564,K564,L564),"に、［入力シート］(4)「貴社」欄と異なる文言が入力されています。","")))))</f>
        <v/>
      </c>
      <c r="O564" s="298" t="str">
        <f>IF(B564="","",VLOOKUP('従業員情報(給与以外)'!$B564,入力シート!$S$37:$Z$62,5,0))</f>
        <v/>
      </c>
      <c r="P564" s="298" t="str">
        <f>IF(ISNUMBER(C564)=FALSE,"",IF(C564&gt;入力シート!$J$24,"",_xlfn.DAYS(入力シート!$J$24,'従業員情報(給与以外)'!$C564)/365))</f>
        <v/>
      </c>
      <c r="Q564" s="298" t="str">
        <f>IF(P564="","",VLOOKUP(_xlfn.DAYS(入力シート!$J$24,'従業員情報(給与以外)'!$C564)/365,入力リスト!$K$18:$L$26,2,2))</f>
        <v/>
      </c>
      <c r="R564" s="298" t="str">
        <f>IF(D564="","",VLOOKUP('従業員情報(給与以外)'!$D564,入力シート!$AW$37:$BB$38,4,0))</f>
        <v/>
      </c>
      <c r="S564" s="298" t="str">
        <f>IF(A564="","",IF(E564="","非役職",VLOOKUP('従業員情報(給与以外)'!$E564,入力シート!$AH$37:$AO$62,5,0)))</f>
        <v/>
      </c>
      <c r="T564" s="299" t="str">
        <f>IF(OR(入力シート!$C$5&lt;&gt;入力リスト!$C$3,COUNTIF(入力シート!$J$16:$S$23,入力リスト!$H$9)=0),"",IF($A564="","",IF(ISERROR(AVERAGEIF(従業員の給与情報!$B:$B,$A564,従業員の給与情報!$C:$C)),0,IF(ISERROR(AVERAGEIF(従業員の給与情報!$B:$B,$A564,従業員の給与情報!$C:$C)),0,AVERAGEIF(従業員の給与情報!$B:$B,$A564,従業員の給与情報!$C:$C)))))</f>
        <v/>
      </c>
      <c r="U564" s="299" t="str">
        <f>IF(OR(入力シート!$C$5&lt;&gt;入力リスト!$C$3,COUNTIF(入力シート!$J$16:$S$23,入力リスト!$H$9)=0),"",IF(A564="","",IF(ISERROR(AVERAGEIF(従業員の給与情報!$B:$B,$A564,従業員の給与情報!$D:$D)),0,IF(ISERROR(AVERAGEIF(従業員の給与情報!$B:$B,$A564,従業員の給与情報!$D:$D)),0,AVERAGEIF(従業員の給与情報!$B:$B,$A564,従業員の給与情報!$D:$D)))))</f>
        <v/>
      </c>
      <c r="V564" s="299" t="str">
        <f>IF(OR(入力シート!$C$5&lt;&gt;入力リスト!$C$3,COUNTIF(入力シート!$J$16:$S$23,入力リスト!$H$9)=0),"",IF(A564="","",IF(ISERROR(AVERAGEIF(従業員の給与情報!$B:$B,$A564,従業員の給与情報!$E:$E)),0,IF(ISERROR(AVERAGEIF(従業員の給与情報!$B:$B,$A564,従業員の給与情報!$E:$E)),0,AVERAGEIF(従業員の給与情報!$B:$B,$A564,従業員の給与情報!$E:$E)))))</f>
        <v/>
      </c>
      <c r="W564" s="299" t="str">
        <f>IF(OR(入力シート!$C$5&lt;&gt;入力リスト!$C$3,COUNTIF(入力シート!$J$16:$S$23,入力リスト!$H$9)=0),"",IF(A564="","",IF(ISERROR(AVERAGEIF(従業員の給与情報!$B:$B,$A564,従業員の給与情報!$F:$F)),0,IF(ISERROR(AVERAGEIF(従業員の給与情報!$B:$B,$A564,従業員の給与情報!$F:$F)),0,AVERAGEIF(従業員の給与情報!$B:$B,$A564,従業員の給与情報!$F:$F)))))</f>
        <v/>
      </c>
      <c r="X564" s="581" t="s">
        <v>5303</v>
      </c>
    </row>
    <row r="565" spans="6:24">
      <c r="F565" s="297" t="str">
        <f>IF($G$1,"",IF(COUNTIF(A565:E565,"")=5,"",IF(G565,入力リスト!$K$28,IF(OR(A565="",B565="",IF(COUNTIF($C$3,"*不要*"),"",C565=""),D565=""),IF(A565="","従業員番号","")&amp;IF(B565="","「雇用形態」","")&amp;IF(OR(入力シート!$J$18=入力リスト!$H$9,入力シート!$J$22=入力リスト!$H$9),IF(C565="","「入社年月日」",""),"")&amp;IF(D565="","「性別」","")&amp;IF(IF(A565="","従業員番号","")&amp;IF(B565="","「雇用形態」","")&amp;IF(OR(入力シート!$J$18=入力リスト!$H$9,入力シート!$J$22=入力リスト!$H$9),IF(C565="","「入社年月日」",""),"")&amp;IF(D565="","「性別」","")="","",入力リスト!$K$29),IF(J565,入力リスト!$K$30,"")&amp;IF(I565,入力リスト!$K$31,"")&amp;IF(H565,"「雇用形態」","")&amp;IF(K565,"「性別」","")&amp;IF(L565,"「役職」","")&amp;IF(OR(H565,K565,L565),入力リスト!$K$32,"")))))</f>
        <v/>
      </c>
      <c r="G565" s="298" t="b">
        <f>COUNTIF($A$4:A564,$A565)&gt;0</f>
        <v>0</v>
      </c>
      <c r="H565" s="298" t="b">
        <f>IF($H$1,FALSE,COUNTIF(入力シート!$S$37:$V$62,B565)=0)</f>
        <v>0</v>
      </c>
      <c r="I565" s="298" t="b">
        <f t="shared" si="17"/>
        <v>0</v>
      </c>
      <c r="J565" s="298" t="b">
        <f>IF($J$1,FALSE,IF(I565=TRUE,FALSE,IF(I565,FALSE,C565&gt;入力シート!$J$24)))</f>
        <v>0</v>
      </c>
      <c r="K565" s="298" t="b">
        <f>IF($K$1,FALSE,COUNTIF(入力シート!$AW$37:$BB$38,D565)=0)</f>
        <v>0</v>
      </c>
      <c r="L565" s="298" t="b">
        <f>IF($L$1,FALSE,IF($L$3,FALSE,IF(E565="",FALSE,COUNTIF(入力シート!$AH$37:$AK$62,E565)=0)))</f>
        <v>0</v>
      </c>
      <c r="M565" s="298" t="str">
        <f t="shared" si="18"/>
        <v/>
      </c>
      <c r="N565" s="298" t="str">
        <f>IF(G565,"この従業員番号は、すでに他のセルで入力されています。",IF(入力シート!$C$5=入力リスト!$C$4,"",IF(AND(A565="",B565="",C565="",D565="",E565=""),"",IF(OR(A565="",B565="",C565="",D565=""),IF(A565="","従業員番号","")&amp;IF(AND(A565="",OR(B565="",C565="",D565="")),",","")&amp;IF(B565="","雇用形態","")&amp;IF(AND(B565="",OR(C565="",D565="")),",","")&amp;IF(OR(入力シート!$J$18=入力リスト!$H$9,入力シート!$J$22=入力リスト!$H$9),IF(C565="","入社年月日",""),"")&amp;IF(AND(C565="",D565=""),",","")&amp;IF(D565="","性別","")&amp;IF(IF(A565="","従業員番号","")&amp;IF(B565="","雇用形態","")&amp;IF(OR(入力シート!$J$18=入力リスト!$H$9,入力シート!$J$22=入力リスト!$H$9),IF(C565="","入社年月日",""),"")&amp;IF(D565="","性別","")="","","が空白です。"),IF(J565,"入社年月日に「基準日」の翌日以降の日付が入力されています。","")&amp;IF(I565,"入社年月日に数値以外（又は1900/1/1以前の日付）が入力されています。","")&amp;IF(H565,"雇用形態"&amp;IF(OR(K565,L565),",",""),"")&amp;IF(K565,"性別"&amp;IF(L565,",",""),"")&amp;IF(L565,"役職","")&amp;IF(OR(H565,K565,L565),"に、［入力シート］(4)「貴社」欄と異なる文言が入力されています。","")))))</f>
        <v/>
      </c>
      <c r="O565" s="298" t="str">
        <f>IF(B565="","",VLOOKUP('従業員情報(給与以外)'!$B565,入力シート!$S$37:$Z$62,5,0))</f>
        <v/>
      </c>
      <c r="P565" s="298" t="str">
        <f>IF(ISNUMBER(C565)=FALSE,"",IF(C565&gt;入力シート!$J$24,"",_xlfn.DAYS(入力シート!$J$24,'従業員情報(給与以外)'!$C565)/365))</f>
        <v/>
      </c>
      <c r="Q565" s="298" t="str">
        <f>IF(P565="","",VLOOKUP(_xlfn.DAYS(入力シート!$J$24,'従業員情報(給与以外)'!$C565)/365,入力リスト!$K$18:$L$26,2,2))</f>
        <v/>
      </c>
      <c r="R565" s="298" t="str">
        <f>IF(D565="","",VLOOKUP('従業員情報(給与以外)'!$D565,入力シート!$AW$37:$BB$38,4,0))</f>
        <v/>
      </c>
      <c r="S565" s="298" t="str">
        <f>IF(A565="","",IF(E565="","非役職",VLOOKUP('従業員情報(給与以外)'!$E565,入力シート!$AH$37:$AO$62,5,0)))</f>
        <v/>
      </c>
      <c r="T565" s="299" t="str">
        <f>IF(OR(入力シート!$C$5&lt;&gt;入力リスト!$C$3,COUNTIF(入力シート!$J$16:$S$23,入力リスト!$H$9)=0),"",IF($A565="","",IF(ISERROR(AVERAGEIF(従業員の給与情報!$B:$B,$A565,従業員の給与情報!$C:$C)),0,IF(ISERROR(AVERAGEIF(従業員の給与情報!$B:$B,$A565,従業員の給与情報!$C:$C)),0,AVERAGEIF(従業員の給与情報!$B:$B,$A565,従業員の給与情報!$C:$C)))))</f>
        <v/>
      </c>
      <c r="U565" s="299" t="str">
        <f>IF(OR(入力シート!$C$5&lt;&gt;入力リスト!$C$3,COUNTIF(入力シート!$J$16:$S$23,入力リスト!$H$9)=0),"",IF(A565="","",IF(ISERROR(AVERAGEIF(従業員の給与情報!$B:$B,$A565,従業員の給与情報!$D:$D)),0,IF(ISERROR(AVERAGEIF(従業員の給与情報!$B:$B,$A565,従業員の給与情報!$D:$D)),0,AVERAGEIF(従業員の給与情報!$B:$B,$A565,従業員の給与情報!$D:$D)))))</f>
        <v/>
      </c>
      <c r="V565" s="299" t="str">
        <f>IF(OR(入力シート!$C$5&lt;&gt;入力リスト!$C$3,COUNTIF(入力シート!$J$16:$S$23,入力リスト!$H$9)=0),"",IF(A565="","",IF(ISERROR(AVERAGEIF(従業員の給与情報!$B:$B,$A565,従業員の給与情報!$E:$E)),0,IF(ISERROR(AVERAGEIF(従業員の給与情報!$B:$B,$A565,従業員の給与情報!$E:$E)),0,AVERAGEIF(従業員の給与情報!$B:$B,$A565,従業員の給与情報!$E:$E)))))</f>
        <v/>
      </c>
      <c r="W565" s="299" t="str">
        <f>IF(OR(入力シート!$C$5&lt;&gt;入力リスト!$C$3,COUNTIF(入力シート!$J$16:$S$23,入力リスト!$H$9)=0),"",IF(A565="","",IF(ISERROR(AVERAGEIF(従業員の給与情報!$B:$B,$A565,従業員の給与情報!$F:$F)),0,IF(ISERROR(AVERAGEIF(従業員の給与情報!$B:$B,$A565,従業員の給与情報!$F:$F)),0,AVERAGEIF(従業員の給与情報!$B:$B,$A565,従業員の給与情報!$F:$F)))))</f>
        <v/>
      </c>
      <c r="X565" s="581" t="s">
        <v>5304</v>
      </c>
    </row>
    <row r="566" spans="6:24">
      <c r="F566" s="297" t="str">
        <f>IF($G$1,"",IF(COUNTIF(A566:E566,"")=5,"",IF(G566,入力リスト!$K$28,IF(OR(A566="",B566="",IF(COUNTIF($C$3,"*不要*"),"",C566=""),D566=""),IF(A566="","従業員番号","")&amp;IF(B566="","「雇用形態」","")&amp;IF(OR(入力シート!$J$18=入力リスト!$H$9,入力シート!$J$22=入力リスト!$H$9),IF(C566="","「入社年月日」",""),"")&amp;IF(D566="","「性別」","")&amp;IF(IF(A566="","従業員番号","")&amp;IF(B566="","「雇用形態」","")&amp;IF(OR(入力シート!$J$18=入力リスト!$H$9,入力シート!$J$22=入力リスト!$H$9),IF(C566="","「入社年月日」",""),"")&amp;IF(D566="","「性別」","")="","",入力リスト!$K$29),IF(J566,入力リスト!$K$30,"")&amp;IF(I566,入力リスト!$K$31,"")&amp;IF(H566,"「雇用形態」","")&amp;IF(K566,"「性別」","")&amp;IF(L566,"「役職」","")&amp;IF(OR(H566,K566,L566),入力リスト!$K$32,"")))))</f>
        <v/>
      </c>
      <c r="G566" s="298" t="b">
        <f>COUNTIF($A$4:A565,$A566)&gt;0</f>
        <v>0</v>
      </c>
      <c r="H566" s="298" t="b">
        <f>IF($H$1,FALSE,COUNTIF(入力シート!$S$37:$V$62,B566)=0)</f>
        <v>0</v>
      </c>
      <c r="I566" s="298" t="b">
        <f t="shared" si="17"/>
        <v>0</v>
      </c>
      <c r="J566" s="298" t="b">
        <f>IF($J$1,FALSE,IF(I566=TRUE,FALSE,IF(I566,FALSE,C566&gt;入力シート!$J$24)))</f>
        <v>0</v>
      </c>
      <c r="K566" s="298" t="b">
        <f>IF($K$1,FALSE,COUNTIF(入力シート!$AW$37:$BB$38,D566)=0)</f>
        <v>0</v>
      </c>
      <c r="L566" s="298" t="b">
        <f>IF($L$1,FALSE,IF($L$3,FALSE,IF(E566="",FALSE,COUNTIF(入力シート!$AH$37:$AK$62,E566)=0)))</f>
        <v>0</v>
      </c>
      <c r="M566" s="298" t="str">
        <f t="shared" si="18"/>
        <v/>
      </c>
      <c r="N566" s="298" t="str">
        <f>IF(G566,"この従業員番号は、すでに他のセルで入力されています。",IF(入力シート!$C$5=入力リスト!$C$4,"",IF(AND(A566="",B566="",C566="",D566="",E566=""),"",IF(OR(A566="",B566="",C566="",D566=""),IF(A566="","従業員番号","")&amp;IF(AND(A566="",OR(B566="",C566="",D566="")),",","")&amp;IF(B566="","雇用形態","")&amp;IF(AND(B566="",OR(C566="",D566="")),",","")&amp;IF(OR(入力シート!$J$18=入力リスト!$H$9,入力シート!$J$22=入力リスト!$H$9),IF(C566="","入社年月日",""),"")&amp;IF(AND(C566="",D566=""),",","")&amp;IF(D566="","性別","")&amp;IF(IF(A566="","従業員番号","")&amp;IF(B566="","雇用形態","")&amp;IF(OR(入力シート!$J$18=入力リスト!$H$9,入力シート!$J$22=入力リスト!$H$9),IF(C566="","入社年月日",""),"")&amp;IF(D566="","性別","")="","","が空白です。"),IF(J566,"入社年月日に「基準日」の翌日以降の日付が入力されています。","")&amp;IF(I566,"入社年月日に数値以外（又は1900/1/1以前の日付）が入力されています。","")&amp;IF(H566,"雇用形態"&amp;IF(OR(K566,L566),",",""),"")&amp;IF(K566,"性別"&amp;IF(L566,",",""),"")&amp;IF(L566,"役職","")&amp;IF(OR(H566,K566,L566),"に、［入力シート］(4)「貴社」欄と異なる文言が入力されています。","")))))</f>
        <v/>
      </c>
      <c r="O566" s="298" t="str">
        <f>IF(B566="","",VLOOKUP('従業員情報(給与以外)'!$B566,入力シート!$S$37:$Z$62,5,0))</f>
        <v/>
      </c>
      <c r="P566" s="298" t="str">
        <f>IF(ISNUMBER(C566)=FALSE,"",IF(C566&gt;入力シート!$J$24,"",_xlfn.DAYS(入力シート!$J$24,'従業員情報(給与以外)'!$C566)/365))</f>
        <v/>
      </c>
      <c r="Q566" s="298" t="str">
        <f>IF(P566="","",VLOOKUP(_xlfn.DAYS(入力シート!$J$24,'従業員情報(給与以外)'!$C566)/365,入力リスト!$K$18:$L$26,2,2))</f>
        <v/>
      </c>
      <c r="R566" s="298" t="str">
        <f>IF(D566="","",VLOOKUP('従業員情報(給与以外)'!$D566,入力シート!$AW$37:$BB$38,4,0))</f>
        <v/>
      </c>
      <c r="S566" s="298" t="str">
        <f>IF(A566="","",IF(E566="","非役職",VLOOKUP('従業員情報(給与以外)'!$E566,入力シート!$AH$37:$AO$62,5,0)))</f>
        <v/>
      </c>
      <c r="T566" s="299" t="str">
        <f>IF(OR(入力シート!$C$5&lt;&gt;入力リスト!$C$3,COUNTIF(入力シート!$J$16:$S$23,入力リスト!$H$9)=0),"",IF($A566="","",IF(ISERROR(AVERAGEIF(従業員の給与情報!$B:$B,$A566,従業員の給与情報!$C:$C)),0,IF(ISERROR(AVERAGEIF(従業員の給与情報!$B:$B,$A566,従業員の給与情報!$C:$C)),0,AVERAGEIF(従業員の給与情報!$B:$B,$A566,従業員の給与情報!$C:$C)))))</f>
        <v/>
      </c>
      <c r="U566" s="299" t="str">
        <f>IF(OR(入力シート!$C$5&lt;&gt;入力リスト!$C$3,COUNTIF(入力シート!$J$16:$S$23,入力リスト!$H$9)=0),"",IF(A566="","",IF(ISERROR(AVERAGEIF(従業員の給与情報!$B:$B,$A566,従業員の給与情報!$D:$D)),0,IF(ISERROR(AVERAGEIF(従業員の給与情報!$B:$B,$A566,従業員の給与情報!$D:$D)),0,AVERAGEIF(従業員の給与情報!$B:$B,$A566,従業員の給与情報!$D:$D)))))</f>
        <v/>
      </c>
      <c r="V566" s="299" t="str">
        <f>IF(OR(入力シート!$C$5&lt;&gt;入力リスト!$C$3,COUNTIF(入力シート!$J$16:$S$23,入力リスト!$H$9)=0),"",IF(A566="","",IF(ISERROR(AVERAGEIF(従業員の給与情報!$B:$B,$A566,従業員の給与情報!$E:$E)),0,IF(ISERROR(AVERAGEIF(従業員の給与情報!$B:$B,$A566,従業員の給与情報!$E:$E)),0,AVERAGEIF(従業員の給与情報!$B:$B,$A566,従業員の給与情報!$E:$E)))))</f>
        <v/>
      </c>
      <c r="W566" s="299" t="str">
        <f>IF(OR(入力シート!$C$5&lt;&gt;入力リスト!$C$3,COUNTIF(入力シート!$J$16:$S$23,入力リスト!$H$9)=0),"",IF(A566="","",IF(ISERROR(AVERAGEIF(従業員の給与情報!$B:$B,$A566,従業員の給与情報!$F:$F)),0,IF(ISERROR(AVERAGEIF(従業員の給与情報!$B:$B,$A566,従業員の給与情報!$F:$F)),0,AVERAGEIF(従業員の給与情報!$B:$B,$A566,従業員の給与情報!$F:$F)))))</f>
        <v/>
      </c>
      <c r="X566" s="581" t="s">
        <v>5305</v>
      </c>
    </row>
    <row r="567" spans="6:24">
      <c r="F567" s="297" t="str">
        <f>IF($G$1,"",IF(COUNTIF(A567:E567,"")=5,"",IF(G567,入力リスト!$K$28,IF(OR(A567="",B567="",IF(COUNTIF($C$3,"*不要*"),"",C567=""),D567=""),IF(A567="","従業員番号","")&amp;IF(B567="","「雇用形態」","")&amp;IF(OR(入力シート!$J$18=入力リスト!$H$9,入力シート!$J$22=入力リスト!$H$9),IF(C567="","「入社年月日」",""),"")&amp;IF(D567="","「性別」","")&amp;IF(IF(A567="","従業員番号","")&amp;IF(B567="","「雇用形態」","")&amp;IF(OR(入力シート!$J$18=入力リスト!$H$9,入力シート!$J$22=入力リスト!$H$9),IF(C567="","「入社年月日」",""),"")&amp;IF(D567="","「性別」","")="","",入力リスト!$K$29),IF(J567,入力リスト!$K$30,"")&amp;IF(I567,入力リスト!$K$31,"")&amp;IF(H567,"「雇用形態」","")&amp;IF(K567,"「性別」","")&amp;IF(L567,"「役職」","")&amp;IF(OR(H567,K567,L567),入力リスト!$K$32,"")))))</f>
        <v/>
      </c>
      <c r="G567" s="298" t="b">
        <f>COUNTIF($A$4:A566,$A567)&gt;0</f>
        <v>0</v>
      </c>
      <c r="H567" s="298" t="b">
        <f>IF($H$1,FALSE,COUNTIF(入力シート!$S$37:$V$62,B567)=0)</f>
        <v>0</v>
      </c>
      <c r="I567" s="298" t="b">
        <f t="shared" ref="I567:I630" si="19">IF($I$1,IF(ISNUMBER(C567),FALSE,TRUE),FALSE)</f>
        <v>0</v>
      </c>
      <c r="J567" s="298" t="b">
        <f>IF($J$1,FALSE,IF(I567=TRUE,FALSE,IF(I567,FALSE,C567&gt;入力シート!$J$24)))</f>
        <v>0</v>
      </c>
      <c r="K567" s="298" t="b">
        <f>IF($K$1,FALSE,COUNTIF(入力シート!$AW$37:$BB$38,D567)=0)</f>
        <v>0</v>
      </c>
      <c r="L567" s="298" t="b">
        <f>IF($L$1,FALSE,IF($L$3,FALSE,IF(E567="",FALSE,COUNTIF(入力シート!$AH$37:$AK$62,E567)=0)))</f>
        <v>0</v>
      </c>
      <c r="M567" s="298" t="str">
        <f t="shared" ref="M567:M630" si="20">IF(COUNTIF(F567,"*入社年月日に数値以外*"),"※1900/0/0以前は数値として認識されません。","")</f>
        <v/>
      </c>
      <c r="N567" s="298" t="str">
        <f>IF(G567,"この従業員番号は、すでに他のセルで入力されています。",IF(入力シート!$C$5=入力リスト!$C$4,"",IF(AND(A567="",B567="",C567="",D567="",E567=""),"",IF(OR(A567="",B567="",C567="",D567=""),IF(A567="","従業員番号","")&amp;IF(AND(A567="",OR(B567="",C567="",D567="")),",","")&amp;IF(B567="","雇用形態","")&amp;IF(AND(B567="",OR(C567="",D567="")),",","")&amp;IF(OR(入力シート!$J$18=入力リスト!$H$9,入力シート!$J$22=入力リスト!$H$9),IF(C567="","入社年月日",""),"")&amp;IF(AND(C567="",D567=""),",","")&amp;IF(D567="","性別","")&amp;IF(IF(A567="","従業員番号","")&amp;IF(B567="","雇用形態","")&amp;IF(OR(入力シート!$J$18=入力リスト!$H$9,入力シート!$J$22=入力リスト!$H$9),IF(C567="","入社年月日",""),"")&amp;IF(D567="","性別","")="","","が空白です。"),IF(J567,"入社年月日に「基準日」の翌日以降の日付が入力されています。","")&amp;IF(I567,"入社年月日に数値以外（又は1900/1/1以前の日付）が入力されています。","")&amp;IF(H567,"雇用形態"&amp;IF(OR(K567,L567),",",""),"")&amp;IF(K567,"性別"&amp;IF(L567,",",""),"")&amp;IF(L567,"役職","")&amp;IF(OR(H567,K567,L567),"に、［入力シート］(4)「貴社」欄と異なる文言が入力されています。","")))))</f>
        <v/>
      </c>
      <c r="O567" s="298" t="str">
        <f>IF(B567="","",VLOOKUP('従業員情報(給与以外)'!$B567,入力シート!$S$37:$Z$62,5,0))</f>
        <v/>
      </c>
      <c r="P567" s="298" t="str">
        <f>IF(ISNUMBER(C567)=FALSE,"",IF(C567&gt;入力シート!$J$24,"",_xlfn.DAYS(入力シート!$J$24,'従業員情報(給与以外)'!$C567)/365))</f>
        <v/>
      </c>
      <c r="Q567" s="298" t="str">
        <f>IF(P567="","",VLOOKUP(_xlfn.DAYS(入力シート!$J$24,'従業員情報(給与以外)'!$C567)/365,入力リスト!$K$18:$L$26,2,2))</f>
        <v/>
      </c>
      <c r="R567" s="298" t="str">
        <f>IF(D567="","",VLOOKUP('従業員情報(給与以外)'!$D567,入力シート!$AW$37:$BB$38,4,0))</f>
        <v/>
      </c>
      <c r="S567" s="298" t="str">
        <f>IF(A567="","",IF(E567="","非役職",VLOOKUP('従業員情報(給与以外)'!$E567,入力シート!$AH$37:$AO$62,5,0)))</f>
        <v/>
      </c>
      <c r="T567" s="299" t="str">
        <f>IF(OR(入力シート!$C$5&lt;&gt;入力リスト!$C$3,COUNTIF(入力シート!$J$16:$S$23,入力リスト!$H$9)=0),"",IF($A567="","",IF(ISERROR(AVERAGEIF(従業員の給与情報!$B:$B,$A567,従業員の給与情報!$C:$C)),0,IF(ISERROR(AVERAGEIF(従業員の給与情報!$B:$B,$A567,従業員の給与情報!$C:$C)),0,AVERAGEIF(従業員の給与情報!$B:$B,$A567,従業員の給与情報!$C:$C)))))</f>
        <v/>
      </c>
      <c r="U567" s="299" t="str">
        <f>IF(OR(入力シート!$C$5&lt;&gt;入力リスト!$C$3,COUNTIF(入力シート!$J$16:$S$23,入力リスト!$H$9)=0),"",IF(A567="","",IF(ISERROR(AVERAGEIF(従業員の給与情報!$B:$B,$A567,従業員の給与情報!$D:$D)),0,IF(ISERROR(AVERAGEIF(従業員の給与情報!$B:$B,$A567,従業員の給与情報!$D:$D)),0,AVERAGEIF(従業員の給与情報!$B:$B,$A567,従業員の給与情報!$D:$D)))))</f>
        <v/>
      </c>
      <c r="V567" s="299" t="str">
        <f>IF(OR(入力シート!$C$5&lt;&gt;入力リスト!$C$3,COUNTIF(入力シート!$J$16:$S$23,入力リスト!$H$9)=0),"",IF(A567="","",IF(ISERROR(AVERAGEIF(従業員の給与情報!$B:$B,$A567,従業員の給与情報!$E:$E)),0,IF(ISERROR(AVERAGEIF(従業員の給与情報!$B:$B,$A567,従業員の給与情報!$E:$E)),0,AVERAGEIF(従業員の給与情報!$B:$B,$A567,従業員の給与情報!$E:$E)))))</f>
        <v/>
      </c>
      <c r="W567" s="299" t="str">
        <f>IF(OR(入力シート!$C$5&lt;&gt;入力リスト!$C$3,COUNTIF(入力シート!$J$16:$S$23,入力リスト!$H$9)=0),"",IF(A567="","",IF(ISERROR(AVERAGEIF(従業員の給与情報!$B:$B,$A567,従業員の給与情報!$F:$F)),0,IF(ISERROR(AVERAGEIF(従業員の給与情報!$B:$B,$A567,従業員の給与情報!$F:$F)),0,AVERAGEIF(従業員の給与情報!$B:$B,$A567,従業員の給与情報!$F:$F)))))</f>
        <v/>
      </c>
      <c r="X567" s="581" t="s">
        <v>5306</v>
      </c>
    </row>
    <row r="568" spans="6:24">
      <c r="F568" s="297" t="str">
        <f>IF($G$1,"",IF(COUNTIF(A568:E568,"")=5,"",IF(G568,入力リスト!$K$28,IF(OR(A568="",B568="",IF(COUNTIF($C$3,"*不要*"),"",C568=""),D568=""),IF(A568="","従業員番号","")&amp;IF(B568="","「雇用形態」","")&amp;IF(OR(入力シート!$J$18=入力リスト!$H$9,入力シート!$J$22=入力リスト!$H$9),IF(C568="","「入社年月日」",""),"")&amp;IF(D568="","「性別」","")&amp;IF(IF(A568="","従業員番号","")&amp;IF(B568="","「雇用形態」","")&amp;IF(OR(入力シート!$J$18=入力リスト!$H$9,入力シート!$J$22=入力リスト!$H$9),IF(C568="","「入社年月日」",""),"")&amp;IF(D568="","「性別」","")="","",入力リスト!$K$29),IF(J568,入力リスト!$K$30,"")&amp;IF(I568,入力リスト!$K$31,"")&amp;IF(H568,"「雇用形態」","")&amp;IF(K568,"「性別」","")&amp;IF(L568,"「役職」","")&amp;IF(OR(H568,K568,L568),入力リスト!$K$32,"")))))</f>
        <v/>
      </c>
      <c r="G568" s="298" t="b">
        <f>COUNTIF($A$4:A567,$A568)&gt;0</f>
        <v>0</v>
      </c>
      <c r="H568" s="298" t="b">
        <f>IF($H$1,FALSE,COUNTIF(入力シート!$S$37:$V$62,B568)=0)</f>
        <v>0</v>
      </c>
      <c r="I568" s="298" t="b">
        <f t="shared" si="19"/>
        <v>0</v>
      </c>
      <c r="J568" s="298" t="b">
        <f>IF($J$1,FALSE,IF(I568=TRUE,FALSE,IF(I568,FALSE,C568&gt;入力シート!$J$24)))</f>
        <v>0</v>
      </c>
      <c r="K568" s="298" t="b">
        <f>IF($K$1,FALSE,COUNTIF(入力シート!$AW$37:$BB$38,D568)=0)</f>
        <v>0</v>
      </c>
      <c r="L568" s="298" t="b">
        <f>IF($L$1,FALSE,IF($L$3,FALSE,IF(E568="",FALSE,COUNTIF(入力シート!$AH$37:$AK$62,E568)=0)))</f>
        <v>0</v>
      </c>
      <c r="M568" s="298" t="str">
        <f t="shared" si="20"/>
        <v/>
      </c>
      <c r="N568" s="298" t="str">
        <f>IF(G568,"この従業員番号は、すでに他のセルで入力されています。",IF(入力シート!$C$5=入力リスト!$C$4,"",IF(AND(A568="",B568="",C568="",D568="",E568=""),"",IF(OR(A568="",B568="",C568="",D568=""),IF(A568="","従業員番号","")&amp;IF(AND(A568="",OR(B568="",C568="",D568="")),",","")&amp;IF(B568="","雇用形態","")&amp;IF(AND(B568="",OR(C568="",D568="")),",","")&amp;IF(OR(入力シート!$J$18=入力リスト!$H$9,入力シート!$J$22=入力リスト!$H$9),IF(C568="","入社年月日",""),"")&amp;IF(AND(C568="",D568=""),",","")&amp;IF(D568="","性別","")&amp;IF(IF(A568="","従業員番号","")&amp;IF(B568="","雇用形態","")&amp;IF(OR(入力シート!$J$18=入力リスト!$H$9,入力シート!$J$22=入力リスト!$H$9),IF(C568="","入社年月日",""),"")&amp;IF(D568="","性別","")="","","が空白です。"),IF(J568,"入社年月日に「基準日」の翌日以降の日付が入力されています。","")&amp;IF(I568,"入社年月日に数値以外（又は1900/1/1以前の日付）が入力されています。","")&amp;IF(H568,"雇用形態"&amp;IF(OR(K568,L568),",",""),"")&amp;IF(K568,"性別"&amp;IF(L568,",",""),"")&amp;IF(L568,"役職","")&amp;IF(OR(H568,K568,L568),"に、［入力シート］(4)「貴社」欄と異なる文言が入力されています。","")))))</f>
        <v/>
      </c>
      <c r="O568" s="298" t="str">
        <f>IF(B568="","",VLOOKUP('従業員情報(給与以外)'!$B568,入力シート!$S$37:$Z$62,5,0))</f>
        <v/>
      </c>
      <c r="P568" s="298" t="str">
        <f>IF(ISNUMBER(C568)=FALSE,"",IF(C568&gt;入力シート!$J$24,"",_xlfn.DAYS(入力シート!$J$24,'従業員情報(給与以外)'!$C568)/365))</f>
        <v/>
      </c>
      <c r="Q568" s="298" t="str">
        <f>IF(P568="","",VLOOKUP(_xlfn.DAYS(入力シート!$J$24,'従業員情報(給与以外)'!$C568)/365,入力リスト!$K$18:$L$26,2,2))</f>
        <v/>
      </c>
      <c r="R568" s="298" t="str">
        <f>IF(D568="","",VLOOKUP('従業員情報(給与以外)'!$D568,入力シート!$AW$37:$BB$38,4,0))</f>
        <v/>
      </c>
      <c r="S568" s="298" t="str">
        <f>IF(A568="","",IF(E568="","非役職",VLOOKUP('従業員情報(給与以外)'!$E568,入力シート!$AH$37:$AO$62,5,0)))</f>
        <v/>
      </c>
      <c r="T568" s="299" t="str">
        <f>IF(OR(入力シート!$C$5&lt;&gt;入力リスト!$C$3,COUNTIF(入力シート!$J$16:$S$23,入力リスト!$H$9)=0),"",IF($A568="","",IF(ISERROR(AVERAGEIF(従業員の給与情報!$B:$B,$A568,従業員の給与情報!$C:$C)),0,IF(ISERROR(AVERAGEIF(従業員の給与情報!$B:$B,$A568,従業員の給与情報!$C:$C)),0,AVERAGEIF(従業員の給与情報!$B:$B,$A568,従業員の給与情報!$C:$C)))))</f>
        <v/>
      </c>
      <c r="U568" s="299" t="str">
        <f>IF(OR(入力シート!$C$5&lt;&gt;入力リスト!$C$3,COUNTIF(入力シート!$J$16:$S$23,入力リスト!$H$9)=0),"",IF(A568="","",IF(ISERROR(AVERAGEIF(従業員の給与情報!$B:$B,$A568,従業員の給与情報!$D:$D)),0,IF(ISERROR(AVERAGEIF(従業員の給与情報!$B:$B,$A568,従業員の給与情報!$D:$D)),0,AVERAGEIF(従業員の給与情報!$B:$B,$A568,従業員の給与情報!$D:$D)))))</f>
        <v/>
      </c>
      <c r="V568" s="299" t="str">
        <f>IF(OR(入力シート!$C$5&lt;&gt;入力リスト!$C$3,COUNTIF(入力シート!$J$16:$S$23,入力リスト!$H$9)=0),"",IF(A568="","",IF(ISERROR(AVERAGEIF(従業員の給与情報!$B:$B,$A568,従業員の給与情報!$E:$E)),0,IF(ISERROR(AVERAGEIF(従業員の給与情報!$B:$B,$A568,従業員の給与情報!$E:$E)),0,AVERAGEIF(従業員の給与情報!$B:$B,$A568,従業員の給与情報!$E:$E)))))</f>
        <v/>
      </c>
      <c r="W568" s="299" t="str">
        <f>IF(OR(入力シート!$C$5&lt;&gt;入力リスト!$C$3,COUNTIF(入力シート!$J$16:$S$23,入力リスト!$H$9)=0),"",IF(A568="","",IF(ISERROR(AVERAGEIF(従業員の給与情報!$B:$B,$A568,従業員の給与情報!$F:$F)),0,IF(ISERROR(AVERAGEIF(従業員の給与情報!$B:$B,$A568,従業員の給与情報!$F:$F)),0,AVERAGEIF(従業員の給与情報!$B:$B,$A568,従業員の給与情報!$F:$F)))))</f>
        <v/>
      </c>
      <c r="X568" s="581" t="s">
        <v>5307</v>
      </c>
    </row>
    <row r="569" spans="6:24">
      <c r="F569" s="297" t="str">
        <f>IF($G$1,"",IF(COUNTIF(A569:E569,"")=5,"",IF(G569,入力リスト!$K$28,IF(OR(A569="",B569="",IF(COUNTIF($C$3,"*不要*"),"",C569=""),D569=""),IF(A569="","従業員番号","")&amp;IF(B569="","「雇用形態」","")&amp;IF(OR(入力シート!$J$18=入力リスト!$H$9,入力シート!$J$22=入力リスト!$H$9),IF(C569="","「入社年月日」",""),"")&amp;IF(D569="","「性別」","")&amp;IF(IF(A569="","従業員番号","")&amp;IF(B569="","「雇用形態」","")&amp;IF(OR(入力シート!$J$18=入力リスト!$H$9,入力シート!$J$22=入力リスト!$H$9),IF(C569="","「入社年月日」",""),"")&amp;IF(D569="","「性別」","")="","",入力リスト!$K$29),IF(J569,入力リスト!$K$30,"")&amp;IF(I569,入力リスト!$K$31,"")&amp;IF(H569,"「雇用形態」","")&amp;IF(K569,"「性別」","")&amp;IF(L569,"「役職」","")&amp;IF(OR(H569,K569,L569),入力リスト!$K$32,"")))))</f>
        <v/>
      </c>
      <c r="G569" s="298" t="b">
        <f>COUNTIF($A$4:A568,$A569)&gt;0</f>
        <v>0</v>
      </c>
      <c r="H569" s="298" t="b">
        <f>IF($H$1,FALSE,COUNTIF(入力シート!$S$37:$V$62,B569)=0)</f>
        <v>0</v>
      </c>
      <c r="I569" s="298" t="b">
        <f t="shared" si="19"/>
        <v>0</v>
      </c>
      <c r="J569" s="298" t="b">
        <f>IF($J$1,FALSE,IF(I569=TRUE,FALSE,IF(I569,FALSE,C569&gt;入力シート!$J$24)))</f>
        <v>0</v>
      </c>
      <c r="K569" s="298" t="b">
        <f>IF($K$1,FALSE,COUNTIF(入力シート!$AW$37:$BB$38,D569)=0)</f>
        <v>0</v>
      </c>
      <c r="L569" s="298" t="b">
        <f>IF($L$1,FALSE,IF($L$3,FALSE,IF(E569="",FALSE,COUNTIF(入力シート!$AH$37:$AK$62,E569)=0)))</f>
        <v>0</v>
      </c>
      <c r="M569" s="298" t="str">
        <f t="shared" si="20"/>
        <v/>
      </c>
      <c r="N569" s="298" t="str">
        <f>IF(G569,"この従業員番号は、すでに他のセルで入力されています。",IF(入力シート!$C$5=入力リスト!$C$4,"",IF(AND(A569="",B569="",C569="",D569="",E569=""),"",IF(OR(A569="",B569="",C569="",D569=""),IF(A569="","従業員番号","")&amp;IF(AND(A569="",OR(B569="",C569="",D569="")),",","")&amp;IF(B569="","雇用形態","")&amp;IF(AND(B569="",OR(C569="",D569="")),",","")&amp;IF(OR(入力シート!$J$18=入力リスト!$H$9,入力シート!$J$22=入力リスト!$H$9),IF(C569="","入社年月日",""),"")&amp;IF(AND(C569="",D569=""),",","")&amp;IF(D569="","性別","")&amp;IF(IF(A569="","従業員番号","")&amp;IF(B569="","雇用形態","")&amp;IF(OR(入力シート!$J$18=入力リスト!$H$9,入力シート!$J$22=入力リスト!$H$9),IF(C569="","入社年月日",""),"")&amp;IF(D569="","性別","")="","","が空白です。"),IF(J569,"入社年月日に「基準日」の翌日以降の日付が入力されています。","")&amp;IF(I569,"入社年月日に数値以外（又は1900/1/1以前の日付）が入力されています。","")&amp;IF(H569,"雇用形態"&amp;IF(OR(K569,L569),",",""),"")&amp;IF(K569,"性別"&amp;IF(L569,",",""),"")&amp;IF(L569,"役職","")&amp;IF(OR(H569,K569,L569),"に、［入力シート］(4)「貴社」欄と異なる文言が入力されています。","")))))</f>
        <v/>
      </c>
      <c r="O569" s="298" t="str">
        <f>IF(B569="","",VLOOKUP('従業員情報(給与以外)'!$B569,入力シート!$S$37:$Z$62,5,0))</f>
        <v/>
      </c>
      <c r="P569" s="298" t="str">
        <f>IF(ISNUMBER(C569)=FALSE,"",IF(C569&gt;入力シート!$J$24,"",_xlfn.DAYS(入力シート!$J$24,'従業員情報(給与以外)'!$C569)/365))</f>
        <v/>
      </c>
      <c r="Q569" s="298" t="str">
        <f>IF(P569="","",VLOOKUP(_xlfn.DAYS(入力シート!$J$24,'従業員情報(給与以外)'!$C569)/365,入力リスト!$K$18:$L$26,2,2))</f>
        <v/>
      </c>
      <c r="R569" s="298" t="str">
        <f>IF(D569="","",VLOOKUP('従業員情報(給与以外)'!$D569,入力シート!$AW$37:$BB$38,4,0))</f>
        <v/>
      </c>
      <c r="S569" s="298" t="str">
        <f>IF(A569="","",IF(E569="","非役職",VLOOKUP('従業員情報(給与以外)'!$E569,入力シート!$AH$37:$AO$62,5,0)))</f>
        <v/>
      </c>
      <c r="T569" s="299" t="str">
        <f>IF(OR(入力シート!$C$5&lt;&gt;入力リスト!$C$3,COUNTIF(入力シート!$J$16:$S$23,入力リスト!$H$9)=0),"",IF($A569="","",IF(ISERROR(AVERAGEIF(従業員の給与情報!$B:$B,$A569,従業員の給与情報!$C:$C)),0,IF(ISERROR(AVERAGEIF(従業員の給与情報!$B:$B,$A569,従業員の給与情報!$C:$C)),0,AVERAGEIF(従業員の給与情報!$B:$B,$A569,従業員の給与情報!$C:$C)))))</f>
        <v/>
      </c>
      <c r="U569" s="299" t="str">
        <f>IF(OR(入力シート!$C$5&lt;&gt;入力リスト!$C$3,COUNTIF(入力シート!$J$16:$S$23,入力リスト!$H$9)=0),"",IF(A569="","",IF(ISERROR(AVERAGEIF(従業員の給与情報!$B:$B,$A569,従業員の給与情報!$D:$D)),0,IF(ISERROR(AVERAGEIF(従業員の給与情報!$B:$B,$A569,従業員の給与情報!$D:$D)),0,AVERAGEIF(従業員の給与情報!$B:$B,$A569,従業員の給与情報!$D:$D)))))</f>
        <v/>
      </c>
      <c r="V569" s="299" t="str">
        <f>IF(OR(入力シート!$C$5&lt;&gt;入力リスト!$C$3,COUNTIF(入力シート!$J$16:$S$23,入力リスト!$H$9)=0),"",IF(A569="","",IF(ISERROR(AVERAGEIF(従業員の給与情報!$B:$B,$A569,従業員の給与情報!$E:$E)),0,IF(ISERROR(AVERAGEIF(従業員の給与情報!$B:$B,$A569,従業員の給与情報!$E:$E)),0,AVERAGEIF(従業員の給与情報!$B:$B,$A569,従業員の給与情報!$E:$E)))))</f>
        <v/>
      </c>
      <c r="W569" s="299" t="str">
        <f>IF(OR(入力シート!$C$5&lt;&gt;入力リスト!$C$3,COUNTIF(入力シート!$J$16:$S$23,入力リスト!$H$9)=0),"",IF(A569="","",IF(ISERROR(AVERAGEIF(従業員の給与情報!$B:$B,$A569,従業員の給与情報!$F:$F)),0,IF(ISERROR(AVERAGEIF(従業員の給与情報!$B:$B,$A569,従業員の給与情報!$F:$F)),0,AVERAGEIF(従業員の給与情報!$B:$B,$A569,従業員の給与情報!$F:$F)))))</f>
        <v/>
      </c>
      <c r="X569" s="581" t="s">
        <v>5308</v>
      </c>
    </row>
    <row r="570" spans="6:24">
      <c r="F570" s="297" t="str">
        <f>IF($G$1,"",IF(COUNTIF(A570:E570,"")=5,"",IF(G570,入力リスト!$K$28,IF(OR(A570="",B570="",IF(COUNTIF($C$3,"*不要*"),"",C570=""),D570=""),IF(A570="","従業員番号","")&amp;IF(B570="","「雇用形態」","")&amp;IF(OR(入力シート!$J$18=入力リスト!$H$9,入力シート!$J$22=入力リスト!$H$9),IF(C570="","「入社年月日」",""),"")&amp;IF(D570="","「性別」","")&amp;IF(IF(A570="","従業員番号","")&amp;IF(B570="","「雇用形態」","")&amp;IF(OR(入力シート!$J$18=入力リスト!$H$9,入力シート!$J$22=入力リスト!$H$9),IF(C570="","「入社年月日」",""),"")&amp;IF(D570="","「性別」","")="","",入力リスト!$K$29),IF(J570,入力リスト!$K$30,"")&amp;IF(I570,入力リスト!$K$31,"")&amp;IF(H570,"「雇用形態」","")&amp;IF(K570,"「性別」","")&amp;IF(L570,"「役職」","")&amp;IF(OR(H570,K570,L570),入力リスト!$K$32,"")))))</f>
        <v/>
      </c>
      <c r="G570" s="298" t="b">
        <f>COUNTIF($A$4:A569,$A570)&gt;0</f>
        <v>0</v>
      </c>
      <c r="H570" s="298" t="b">
        <f>IF($H$1,FALSE,COUNTIF(入力シート!$S$37:$V$62,B570)=0)</f>
        <v>0</v>
      </c>
      <c r="I570" s="298" t="b">
        <f t="shared" si="19"/>
        <v>0</v>
      </c>
      <c r="J570" s="298" t="b">
        <f>IF($J$1,FALSE,IF(I570=TRUE,FALSE,IF(I570,FALSE,C570&gt;入力シート!$J$24)))</f>
        <v>0</v>
      </c>
      <c r="K570" s="298" t="b">
        <f>IF($K$1,FALSE,COUNTIF(入力シート!$AW$37:$BB$38,D570)=0)</f>
        <v>0</v>
      </c>
      <c r="L570" s="298" t="b">
        <f>IF($L$1,FALSE,IF($L$3,FALSE,IF(E570="",FALSE,COUNTIF(入力シート!$AH$37:$AK$62,E570)=0)))</f>
        <v>0</v>
      </c>
      <c r="M570" s="298" t="str">
        <f t="shared" si="20"/>
        <v/>
      </c>
      <c r="N570" s="298" t="str">
        <f>IF(G570,"この従業員番号は、すでに他のセルで入力されています。",IF(入力シート!$C$5=入力リスト!$C$4,"",IF(AND(A570="",B570="",C570="",D570="",E570=""),"",IF(OR(A570="",B570="",C570="",D570=""),IF(A570="","従業員番号","")&amp;IF(AND(A570="",OR(B570="",C570="",D570="")),",","")&amp;IF(B570="","雇用形態","")&amp;IF(AND(B570="",OR(C570="",D570="")),",","")&amp;IF(OR(入力シート!$J$18=入力リスト!$H$9,入力シート!$J$22=入力リスト!$H$9),IF(C570="","入社年月日",""),"")&amp;IF(AND(C570="",D570=""),",","")&amp;IF(D570="","性別","")&amp;IF(IF(A570="","従業員番号","")&amp;IF(B570="","雇用形態","")&amp;IF(OR(入力シート!$J$18=入力リスト!$H$9,入力シート!$J$22=入力リスト!$H$9),IF(C570="","入社年月日",""),"")&amp;IF(D570="","性別","")="","","が空白です。"),IF(J570,"入社年月日に「基準日」の翌日以降の日付が入力されています。","")&amp;IF(I570,"入社年月日に数値以外（又は1900/1/1以前の日付）が入力されています。","")&amp;IF(H570,"雇用形態"&amp;IF(OR(K570,L570),",",""),"")&amp;IF(K570,"性別"&amp;IF(L570,",",""),"")&amp;IF(L570,"役職","")&amp;IF(OR(H570,K570,L570),"に、［入力シート］(4)「貴社」欄と異なる文言が入力されています。","")))))</f>
        <v/>
      </c>
      <c r="O570" s="298" t="str">
        <f>IF(B570="","",VLOOKUP('従業員情報(給与以外)'!$B570,入力シート!$S$37:$Z$62,5,0))</f>
        <v/>
      </c>
      <c r="P570" s="298" t="str">
        <f>IF(ISNUMBER(C570)=FALSE,"",IF(C570&gt;入力シート!$J$24,"",_xlfn.DAYS(入力シート!$J$24,'従業員情報(給与以外)'!$C570)/365))</f>
        <v/>
      </c>
      <c r="Q570" s="298" t="str">
        <f>IF(P570="","",VLOOKUP(_xlfn.DAYS(入力シート!$J$24,'従業員情報(給与以外)'!$C570)/365,入力リスト!$K$18:$L$26,2,2))</f>
        <v/>
      </c>
      <c r="R570" s="298" t="str">
        <f>IF(D570="","",VLOOKUP('従業員情報(給与以外)'!$D570,入力シート!$AW$37:$BB$38,4,0))</f>
        <v/>
      </c>
      <c r="S570" s="298" t="str">
        <f>IF(A570="","",IF(E570="","非役職",VLOOKUP('従業員情報(給与以外)'!$E570,入力シート!$AH$37:$AO$62,5,0)))</f>
        <v/>
      </c>
      <c r="T570" s="299" t="str">
        <f>IF(OR(入力シート!$C$5&lt;&gt;入力リスト!$C$3,COUNTIF(入力シート!$J$16:$S$23,入力リスト!$H$9)=0),"",IF($A570="","",IF(ISERROR(AVERAGEIF(従業員の給与情報!$B:$B,$A570,従業員の給与情報!$C:$C)),0,IF(ISERROR(AVERAGEIF(従業員の給与情報!$B:$B,$A570,従業員の給与情報!$C:$C)),0,AVERAGEIF(従業員の給与情報!$B:$B,$A570,従業員の給与情報!$C:$C)))))</f>
        <v/>
      </c>
      <c r="U570" s="299" t="str">
        <f>IF(OR(入力シート!$C$5&lt;&gt;入力リスト!$C$3,COUNTIF(入力シート!$J$16:$S$23,入力リスト!$H$9)=0),"",IF(A570="","",IF(ISERROR(AVERAGEIF(従業員の給与情報!$B:$B,$A570,従業員の給与情報!$D:$D)),0,IF(ISERROR(AVERAGEIF(従業員の給与情報!$B:$B,$A570,従業員の給与情報!$D:$D)),0,AVERAGEIF(従業員の給与情報!$B:$B,$A570,従業員の給与情報!$D:$D)))))</f>
        <v/>
      </c>
      <c r="V570" s="299" t="str">
        <f>IF(OR(入力シート!$C$5&lt;&gt;入力リスト!$C$3,COUNTIF(入力シート!$J$16:$S$23,入力リスト!$H$9)=0),"",IF(A570="","",IF(ISERROR(AVERAGEIF(従業員の給与情報!$B:$B,$A570,従業員の給与情報!$E:$E)),0,IF(ISERROR(AVERAGEIF(従業員の給与情報!$B:$B,$A570,従業員の給与情報!$E:$E)),0,AVERAGEIF(従業員の給与情報!$B:$B,$A570,従業員の給与情報!$E:$E)))))</f>
        <v/>
      </c>
      <c r="W570" s="299" t="str">
        <f>IF(OR(入力シート!$C$5&lt;&gt;入力リスト!$C$3,COUNTIF(入力シート!$J$16:$S$23,入力リスト!$H$9)=0),"",IF(A570="","",IF(ISERROR(AVERAGEIF(従業員の給与情報!$B:$B,$A570,従業員の給与情報!$F:$F)),0,IF(ISERROR(AVERAGEIF(従業員の給与情報!$B:$B,$A570,従業員の給与情報!$F:$F)),0,AVERAGEIF(従業員の給与情報!$B:$B,$A570,従業員の給与情報!$F:$F)))))</f>
        <v/>
      </c>
      <c r="X570" s="581" t="s">
        <v>5309</v>
      </c>
    </row>
    <row r="571" spans="6:24">
      <c r="F571" s="297" t="str">
        <f>IF($G$1,"",IF(COUNTIF(A571:E571,"")=5,"",IF(G571,入力リスト!$K$28,IF(OR(A571="",B571="",IF(COUNTIF($C$3,"*不要*"),"",C571=""),D571=""),IF(A571="","従業員番号","")&amp;IF(B571="","「雇用形態」","")&amp;IF(OR(入力シート!$J$18=入力リスト!$H$9,入力シート!$J$22=入力リスト!$H$9),IF(C571="","「入社年月日」",""),"")&amp;IF(D571="","「性別」","")&amp;IF(IF(A571="","従業員番号","")&amp;IF(B571="","「雇用形態」","")&amp;IF(OR(入力シート!$J$18=入力リスト!$H$9,入力シート!$J$22=入力リスト!$H$9),IF(C571="","「入社年月日」",""),"")&amp;IF(D571="","「性別」","")="","",入力リスト!$K$29),IF(J571,入力リスト!$K$30,"")&amp;IF(I571,入力リスト!$K$31,"")&amp;IF(H571,"「雇用形態」","")&amp;IF(K571,"「性別」","")&amp;IF(L571,"「役職」","")&amp;IF(OR(H571,K571,L571),入力リスト!$K$32,"")))))</f>
        <v/>
      </c>
      <c r="G571" s="298" t="b">
        <f>COUNTIF($A$4:A570,$A571)&gt;0</f>
        <v>0</v>
      </c>
      <c r="H571" s="298" t="b">
        <f>IF($H$1,FALSE,COUNTIF(入力シート!$S$37:$V$62,B571)=0)</f>
        <v>0</v>
      </c>
      <c r="I571" s="298" t="b">
        <f t="shared" si="19"/>
        <v>0</v>
      </c>
      <c r="J571" s="298" t="b">
        <f>IF($J$1,FALSE,IF(I571=TRUE,FALSE,IF(I571,FALSE,C571&gt;入力シート!$J$24)))</f>
        <v>0</v>
      </c>
      <c r="K571" s="298" t="b">
        <f>IF($K$1,FALSE,COUNTIF(入力シート!$AW$37:$BB$38,D571)=0)</f>
        <v>0</v>
      </c>
      <c r="L571" s="298" t="b">
        <f>IF($L$1,FALSE,IF($L$3,FALSE,IF(E571="",FALSE,COUNTIF(入力シート!$AH$37:$AK$62,E571)=0)))</f>
        <v>0</v>
      </c>
      <c r="M571" s="298" t="str">
        <f t="shared" si="20"/>
        <v/>
      </c>
      <c r="N571" s="298" t="str">
        <f>IF(G571,"この従業員番号は、すでに他のセルで入力されています。",IF(入力シート!$C$5=入力リスト!$C$4,"",IF(AND(A571="",B571="",C571="",D571="",E571=""),"",IF(OR(A571="",B571="",C571="",D571=""),IF(A571="","従業員番号","")&amp;IF(AND(A571="",OR(B571="",C571="",D571="")),",","")&amp;IF(B571="","雇用形態","")&amp;IF(AND(B571="",OR(C571="",D571="")),",","")&amp;IF(OR(入力シート!$J$18=入力リスト!$H$9,入力シート!$J$22=入力リスト!$H$9),IF(C571="","入社年月日",""),"")&amp;IF(AND(C571="",D571=""),",","")&amp;IF(D571="","性別","")&amp;IF(IF(A571="","従業員番号","")&amp;IF(B571="","雇用形態","")&amp;IF(OR(入力シート!$J$18=入力リスト!$H$9,入力シート!$J$22=入力リスト!$H$9),IF(C571="","入社年月日",""),"")&amp;IF(D571="","性別","")="","","が空白です。"),IF(J571,"入社年月日に「基準日」の翌日以降の日付が入力されています。","")&amp;IF(I571,"入社年月日に数値以外（又は1900/1/1以前の日付）が入力されています。","")&amp;IF(H571,"雇用形態"&amp;IF(OR(K571,L571),",",""),"")&amp;IF(K571,"性別"&amp;IF(L571,",",""),"")&amp;IF(L571,"役職","")&amp;IF(OR(H571,K571,L571),"に、［入力シート］(4)「貴社」欄と異なる文言が入力されています。","")))))</f>
        <v/>
      </c>
      <c r="O571" s="298" t="str">
        <f>IF(B571="","",VLOOKUP('従業員情報(給与以外)'!$B571,入力シート!$S$37:$Z$62,5,0))</f>
        <v/>
      </c>
      <c r="P571" s="298" t="str">
        <f>IF(ISNUMBER(C571)=FALSE,"",IF(C571&gt;入力シート!$J$24,"",_xlfn.DAYS(入力シート!$J$24,'従業員情報(給与以外)'!$C571)/365))</f>
        <v/>
      </c>
      <c r="Q571" s="298" t="str">
        <f>IF(P571="","",VLOOKUP(_xlfn.DAYS(入力シート!$J$24,'従業員情報(給与以外)'!$C571)/365,入力リスト!$K$18:$L$26,2,2))</f>
        <v/>
      </c>
      <c r="R571" s="298" t="str">
        <f>IF(D571="","",VLOOKUP('従業員情報(給与以外)'!$D571,入力シート!$AW$37:$BB$38,4,0))</f>
        <v/>
      </c>
      <c r="S571" s="298" t="str">
        <f>IF(A571="","",IF(E571="","非役職",VLOOKUP('従業員情報(給与以外)'!$E571,入力シート!$AH$37:$AO$62,5,0)))</f>
        <v/>
      </c>
      <c r="T571" s="299" t="str">
        <f>IF(OR(入力シート!$C$5&lt;&gt;入力リスト!$C$3,COUNTIF(入力シート!$J$16:$S$23,入力リスト!$H$9)=0),"",IF($A571="","",IF(ISERROR(AVERAGEIF(従業員の給与情報!$B:$B,$A571,従業員の給与情報!$C:$C)),0,IF(ISERROR(AVERAGEIF(従業員の給与情報!$B:$B,$A571,従業員の給与情報!$C:$C)),0,AVERAGEIF(従業員の給与情報!$B:$B,$A571,従業員の給与情報!$C:$C)))))</f>
        <v/>
      </c>
      <c r="U571" s="299" t="str">
        <f>IF(OR(入力シート!$C$5&lt;&gt;入力リスト!$C$3,COUNTIF(入力シート!$J$16:$S$23,入力リスト!$H$9)=0),"",IF(A571="","",IF(ISERROR(AVERAGEIF(従業員の給与情報!$B:$B,$A571,従業員の給与情報!$D:$D)),0,IF(ISERROR(AVERAGEIF(従業員の給与情報!$B:$B,$A571,従業員の給与情報!$D:$D)),0,AVERAGEIF(従業員の給与情報!$B:$B,$A571,従業員の給与情報!$D:$D)))))</f>
        <v/>
      </c>
      <c r="V571" s="299" t="str">
        <f>IF(OR(入力シート!$C$5&lt;&gt;入力リスト!$C$3,COUNTIF(入力シート!$J$16:$S$23,入力リスト!$H$9)=0),"",IF(A571="","",IF(ISERROR(AVERAGEIF(従業員の給与情報!$B:$B,$A571,従業員の給与情報!$E:$E)),0,IF(ISERROR(AVERAGEIF(従業員の給与情報!$B:$B,$A571,従業員の給与情報!$E:$E)),0,AVERAGEIF(従業員の給与情報!$B:$B,$A571,従業員の給与情報!$E:$E)))))</f>
        <v/>
      </c>
      <c r="W571" s="299" t="str">
        <f>IF(OR(入力シート!$C$5&lt;&gt;入力リスト!$C$3,COUNTIF(入力シート!$J$16:$S$23,入力リスト!$H$9)=0),"",IF(A571="","",IF(ISERROR(AVERAGEIF(従業員の給与情報!$B:$B,$A571,従業員の給与情報!$F:$F)),0,IF(ISERROR(AVERAGEIF(従業員の給与情報!$B:$B,$A571,従業員の給与情報!$F:$F)),0,AVERAGEIF(従業員の給与情報!$B:$B,$A571,従業員の給与情報!$F:$F)))))</f>
        <v/>
      </c>
      <c r="X571" s="581" t="s">
        <v>5310</v>
      </c>
    </row>
    <row r="572" spans="6:24">
      <c r="F572" s="297" t="str">
        <f>IF($G$1,"",IF(COUNTIF(A572:E572,"")=5,"",IF(G572,入力リスト!$K$28,IF(OR(A572="",B572="",IF(COUNTIF($C$3,"*不要*"),"",C572=""),D572=""),IF(A572="","従業員番号","")&amp;IF(B572="","「雇用形態」","")&amp;IF(OR(入力シート!$J$18=入力リスト!$H$9,入力シート!$J$22=入力リスト!$H$9),IF(C572="","「入社年月日」",""),"")&amp;IF(D572="","「性別」","")&amp;IF(IF(A572="","従業員番号","")&amp;IF(B572="","「雇用形態」","")&amp;IF(OR(入力シート!$J$18=入力リスト!$H$9,入力シート!$J$22=入力リスト!$H$9),IF(C572="","「入社年月日」",""),"")&amp;IF(D572="","「性別」","")="","",入力リスト!$K$29),IF(J572,入力リスト!$K$30,"")&amp;IF(I572,入力リスト!$K$31,"")&amp;IF(H572,"「雇用形態」","")&amp;IF(K572,"「性別」","")&amp;IF(L572,"「役職」","")&amp;IF(OR(H572,K572,L572),入力リスト!$K$32,"")))))</f>
        <v/>
      </c>
      <c r="G572" s="298" t="b">
        <f>COUNTIF($A$4:A571,$A572)&gt;0</f>
        <v>0</v>
      </c>
      <c r="H572" s="298" t="b">
        <f>IF($H$1,FALSE,COUNTIF(入力シート!$S$37:$V$62,B572)=0)</f>
        <v>0</v>
      </c>
      <c r="I572" s="298" t="b">
        <f t="shared" si="19"/>
        <v>0</v>
      </c>
      <c r="J572" s="298" t="b">
        <f>IF($J$1,FALSE,IF(I572=TRUE,FALSE,IF(I572,FALSE,C572&gt;入力シート!$J$24)))</f>
        <v>0</v>
      </c>
      <c r="K572" s="298" t="b">
        <f>IF($K$1,FALSE,COUNTIF(入力シート!$AW$37:$BB$38,D572)=0)</f>
        <v>0</v>
      </c>
      <c r="L572" s="298" t="b">
        <f>IF($L$1,FALSE,IF($L$3,FALSE,IF(E572="",FALSE,COUNTIF(入力シート!$AH$37:$AK$62,E572)=0)))</f>
        <v>0</v>
      </c>
      <c r="M572" s="298" t="str">
        <f t="shared" si="20"/>
        <v/>
      </c>
      <c r="N572" s="298" t="str">
        <f>IF(G572,"この従業員番号は、すでに他のセルで入力されています。",IF(入力シート!$C$5=入力リスト!$C$4,"",IF(AND(A572="",B572="",C572="",D572="",E572=""),"",IF(OR(A572="",B572="",C572="",D572=""),IF(A572="","従業員番号","")&amp;IF(AND(A572="",OR(B572="",C572="",D572="")),",","")&amp;IF(B572="","雇用形態","")&amp;IF(AND(B572="",OR(C572="",D572="")),",","")&amp;IF(OR(入力シート!$J$18=入力リスト!$H$9,入力シート!$J$22=入力リスト!$H$9),IF(C572="","入社年月日",""),"")&amp;IF(AND(C572="",D572=""),",","")&amp;IF(D572="","性別","")&amp;IF(IF(A572="","従業員番号","")&amp;IF(B572="","雇用形態","")&amp;IF(OR(入力シート!$J$18=入力リスト!$H$9,入力シート!$J$22=入力リスト!$H$9),IF(C572="","入社年月日",""),"")&amp;IF(D572="","性別","")="","","が空白です。"),IF(J572,"入社年月日に「基準日」の翌日以降の日付が入力されています。","")&amp;IF(I572,"入社年月日に数値以外（又は1900/1/1以前の日付）が入力されています。","")&amp;IF(H572,"雇用形態"&amp;IF(OR(K572,L572),",",""),"")&amp;IF(K572,"性別"&amp;IF(L572,",",""),"")&amp;IF(L572,"役職","")&amp;IF(OR(H572,K572,L572),"に、［入力シート］(4)「貴社」欄と異なる文言が入力されています。","")))))</f>
        <v/>
      </c>
      <c r="O572" s="298" t="str">
        <f>IF(B572="","",VLOOKUP('従業員情報(給与以外)'!$B572,入力シート!$S$37:$Z$62,5,0))</f>
        <v/>
      </c>
      <c r="P572" s="298" t="str">
        <f>IF(ISNUMBER(C572)=FALSE,"",IF(C572&gt;入力シート!$J$24,"",_xlfn.DAYS(入力シート!$J$24,'従業員情報(給与以外)'!$C572)/365))</f>
        <v/>
      </c>
      <c r="Q572" s="298" t="str">
        <f>IF(P572="","",VLOOKUP(_xlfn.DAYS(入力シート!$J$24,'従業員情報(給与以外)'!$C572)/365,入力リスト!$K$18:$L$26,2,2))</f>
        <v/>
      </c>
      <c r="R572" s="298" t="str">
        <f>IF(D572="","",VLOOKUP('従業員情報(給与以外)'!$D572,入力シート!$AW$37:$BB$38,4,0))</f>
        <v/>
      </c>
      <c r="S572" s="298" t="str">
        <f>IF(A572="","",IF(E572="","非役職",VLOOKUP('従業員情報(給与以外)'!$E572,入力シート!$AH$37:$AO$62,5,0)))</f>
        <v/>
      </c>
      <c r="T572" s="299" t="str">
        <f>IF(OR(入力シート!$C$5&lt;&gt;入力リスト!$C$3,COUNTIF(入力シート!$J$16:$S$23,入力リスト!$H$9)=0),"",IF($A572="","",IF(ISERROR(AVERAGEIF(従業員の給与情報!$B:$B,$A572,従業員の給与情報!$C:$C)),0,IF(ISERROR(AVERAGEIF(従業員の給与情報!$B:$B,$A572,従業員の給与情報!$C:$C)),0,AVERAGEIF(従業員の給与情報!$B:$B,$A572,従業員の給与情報!$C:$C)))))</f>
        <v/>
      </c>
      <c r="U572" s="299" t="str">
        <f>IF(OR(入力シート!$C$5&lt;&gt;入力リスト!$C$3,COUNTIF(入力シート!$J$16:$S$23,入力リスト!$H$9)=0),"",IF(A572="","",IF(ISERROR(AVERAGEIF(従業員の給与情報!$B:$B,$A572,従業員の給与情報!$D:$D)),0,IF(ISERROR(AVERAGEIF(従業員の給与情報!$B:$B,$A572,従業員の給与情報!$D:$D)),0,AVERAGEIF(従業員の給与情報!$B:$B,$A572,従業員の給与情報!$D:$D)))))</f>
        <v/>
      </c>
      <c r="V572" s="299" t="str">
        <f>IF(OR(入力シート!$C$5&lt;&gt;入力リスト!$C$3,COUNTIF(入力シート!$J$16:$S$23,入力リスト!$H$9)=0),"",IF(A572="","",IF(ISERROR(AVERAGEIF(従業員の給与情報!$B:$B,$A572,従業員の給与情報!$E:$E)),0,IF(ISERROR(AVERAGEIF(従業員の給与情報!$B:$B,$A572,従業員の給与情報!$E:$E)),0,AVERAGEIF(従業員の給与情報!$B:$B,$A572,従業員の給与情報!$E:$E)))))</f>
        <v/>
      </c>
      <c r="W572" s="299" t="str">
        <f>IF(OR(入力シート!$C$5&lt;&gt;入力リスト!$C$3,COUNTIF(入力シート!$J$16:$S$23,入力リスト!$H$9)=0),"",IF(A572="","",IF(ISERROR(AVERAGEIF(従業員の給与情報!$B:$B,$A572,従業員の給与情報!$F:$F)),0,IF(ISERROR(AVERAGEIF(従業員の給与情報!$B:$B,$A572,従業員の給与情報!$F:$F)),0,AVERAGEIF(従業員の給与情報!$B:$B,$A572,従業員の給与情報!$F:$F)))))</f>
        <v/>
      </c>
      <c r="X572" s="581" t="s">
        <v>5311</v>
      </c>
    </row>
    <row r="573" spans="6:24">
      <c r="F573" s="297" t="str">
        <f>IF($G$1,"",IF(COUNTIF(A573:E573,"")=5,"",IF(G573,入力リスト!$K$28,IF(OR(A573="",B573="",IF(COUNTIF($C$3,"*不要*"),"",C573=""),D573=""),IF(A573="","従業員番号","")&amp;IF(B573="","「雇用形態」","")&amp;IF(OR(入力シート!$J$18=入力リスト!$H$9,入力シート!$J$22=入力リスト!$H$9),IF(C573="","「入社年月日」",""),"")&amp;IF(D573="","「性別」","")&amp;IF(IF(A573="","従業員番号","")&amp;IF(B573="","「雇用形態」","")&amp;IF(OR(入力シート!$J$18=入力リスト!$H$9,入力シート!$J$22=入力リスト!$H$9),IF(C573="","「入社年月日」",""),"")&amp;IF(D573="","「性別」","")="","",入力リスト!$K$29),IF(J573,入力リスト!$K$30,"")&amp;IF(I573,入力リスト!$K$31,"")&amp;IF(H573,"「雇用形態」","")&amp;IF(K573,"「性別」","")&amp;IF(L573,"「役職」","")&amp;IF(OR(H573,K573,L573),入力リスト!$K$32,"")))))</f>
        <v/>
      </c>
      <c r="G573" s="298" t="b">
        <f>COUNTIF($A$4:A572,$A573)&gt;0</f>
        <v>0</v>
      </c>
      <c r="H573" s="298" t="b">
        <f>IF($H$1,FALSE,COUNTIF(入力シート!$S$37:$V$62,B573)=0)</f>
        <v>0</v>
      </c>
      <c r="I573" s="298" t="b">
        <f t="shared" si="19"/>
        <v>0</v>
      </c>
      <c r="J573" s="298" t="b">
        <f>IF($J$1,FALSE,IF(I573=TRUE,FALSE,IF(I573,FALSE,C573&gt;入力シート!$J$24)))</f>
        <v>0</v>
      </c>
      <c r="K573" s="298" t="b">
        <f>IF($K$1,FALSE,COUNTIF(入力シート!$AW$37:$BB$38,D573)=0)</f>
        <v>0</v>
      </c>
      <c r="L573" s="298" t="b">
        <f>IF($L$1,FALSE,IF($L$3,FALSE,IF(E573="",FALSE,COUNTIF(入力シート!$AH$37:$AK$62,E573)=0)))</f>
        <v>0</v>
      </c>
      <c r="M573" s="298" t="str">
        <f t="shared" si="20"/>
        <v/>
      </c>
      <c r="N573" s="298" t="str">
        <f>IF(G573,"この従業員番号は、すでに他のセルで入力されています。",IF(入力シート!$C$5=入力リスト!$C$4,"",IF(AND(A573="",B573="",C573="",D573="",E573=""),"",IF(OR(A573="",B573="",C573="",D573=""),IF(A573="","従業員番号","")&amp;IF(AND(A573="",OR(B573="",C573="",D573="")),",","")&amp;IF(B573="","雇用形態","")&amp;IF(AND(B573="",OR(C573="",D573="")),",","")&amp;IF(OR(入力シート!$J$18=入力リスト!$H$9,入力シート!$J$22=入力リスト!$H$9),IF(C573="","入社年月日",""),"")&amp;IF(AND(C573="",D573=""),",","")&amp;IF(D573="","性別","")&amp;IF(IF(A573="","従業員番号","")&amp;IF(B573="","雇用形態","")&amp;IF(OR(入力シート!$J$18=入力リスト!$H$9,入力シート!$J$22=入力リスト!$H$9),IF(C573="","入社年月日",""),"")&amp;IF(D573="","性別","")="","","が空白です。"),IF(J573,"入社年月日に「基準日」の翌日以降の日付が入力されています。","")&amp;IF(I573,"入社年月日に数値以外（又は1900/1/1以前の日付）が入力されています。","")&amp;IF(H573,"雇用形態"&amp;IF(OR(K573,L573),",",""),"")&amp;IF(K573,"性別"&amp;IF(L573,",",""),"")&amp;IF(L573,"役職","")&amp;IF(OR(H573,K573,L573),"に、［入力シート］(4)「貴社」欄と異なる文言が入力されています。","")))))</f>
        <v/>
      </c>
      <c r="O573" s="298" t="str">
        <f>IF(B573="","",VLOOKUP('従業員情報(給与以外)'!$B573,入力シート!$S$37:$Z$62,5,0))</f>
        <v/>
      </c>
      <c r="P573" s="298" t="str">
        <f>IF(ISNUMBER(C573)=FALSE,"",IF(C573&gt;入力シート!$J$24,"",_xlfn.DAYS(入力シート!$J$24,'従業員情報(給与以外)'!$C573)/365))</f>
        <v/>
      </c>
      <c r="Q573" s="298" t="str">
        <f>IF(P573="","",VLOOKUP(_xlfn.DAYS(入力シート!$J$24,'従業員情報(給与以外)'!$C573)/365,入力リスト!$K$18:$L$26,2,2))</f>
        <v/>
      </c>
      <c r="R573" s="298" t="str">
        <f>IF(D573="","",VLOOKUP('従業員情報(給与以外)'!$D573,入力シート!$AW$37:$BB$38,4,0))</f>
        <v/>
      </c>
      <c r="S573" s="298" t="str">
        <f>IF(A573="","",IF(E573="","非役職",VLOOKUP('従業員情報(給与以外)'!$E573,入力シート!$AH$37:$AO$62,5,0)))</f>
        <v/>
      </c>
      <c r="T573" s="299" t="str">
        <f>IF(OR(入力シート!$C$5&lt;&gt;入力リスト!$C$3,COUNTIF(入力シート!$J$16:$S$23,入力リスト!$H$9)=0),"",IF($A573="","",IF(ISERROR(AVERAGEIF(従業員の給与情報!$B:$B,$A573,従業員の給与情報!$C:$C)),0,IF(ISERROR(AVERAGEIF(従業員の給与情報!$B:$B,$A573,従業員の給与情報!$C:$C)),0,AVERAGEIF(従業員の給与情報!$B:$B,$A573,従業員の給与情報!$C:$C)))))</f>
        <v/>
      </c>
      <c r="U573" s="299" t="str">
        <f>IF(OR(入力シート!$C$5&lt;&gt;入力リスト!$C$3,COUNTIF(入力シート!$J$16:$S$23,入力リスト!$H$9)=0),"",IF(A573="","",IF(ISERROR(AVERAGEIF(従業員の給与情報!$B:$B,$A573,従業員の給与情報!$D:$D)),0,IF(ISERROR(AVERAGEIF(従業員の給与情報!$B:$B,$A573,従業員の給与情報!$D:$D)),0,AVERAGEIF(従業員の給与情報!$B:$B,$A573,従業員の給与情報!$D:$D)))))</f>
        <v/>
      </c>
      <c r="V573" s="299" t="str">
        <f>IF(OR(入力シート!$C$5&lt;&gt;入力リスト!$C$3,COUNTIF(入力シート!$J$16:$S$23,入力リスト!$H$9)=0),"",IF(A573="","",IF(ISERROR(AVERAGEIF(従業員の給与情報!$B:$B,$A573,従業員の給与情報!$E:$E)),0,IF(ISERROR(AVERAGEIF(従業員の給与情報!$B:$B,$A573,従業員の給与情報!$E:$E)),0,AVERAGEIF(従業員の給与情報!$B:$B,$A573,従業員の給与情報!$E:$E)))))</f>
        <v/>
      </c>
      <c r="W573" s="299" t="str">
        <f>IF(OR(入力シート!$C$5&lt;&gt;入力リスト!$C$3,COUNTIF(入力シート!$J$16:$S$23,入力リスト!$H$9)=0),"",IF(A573="","",IF(ISERROR(AVERAGEIF(従業員の給与情報!$B:$B,$A573,従業員の給与情報!$F:$F)),0,IF(ISERROR(AVERAGEIF(従業員の給与情報!$B:$B,$A573,従業員の給与情報!$F:$F)),0,AVERAGEIF(従業員の給与情報!$B:$B,$A573,従業員の給与情報!$F:$F)))))</f>
        <v/>
      </c>
      <c r="X573" s="581" t="s">
        <v>5312</v>
      </c>
    </row>
    <row r="574" spans="6:24">
      <c r="F574" s="297" t="str">
        <f>IF($G$1,"",IF(COUNTIF(A574:E574,"")=5,"",IF(G574,入力リスト!$K$28,IF(OR(A574="",B574="",IF(COUNTIF($C$3,"*不要*"),"",C574=""),D574=""),IF(A574="","従業員番号","")&amp;IF(B574="","「雇用形態」","")&amp;IF(OR(入力シート!$J$18=入力リスト!$H$9,入力シート!$J$22=入力リスト!$H$9),IF(C574="","「入社年月日」",""),"")&amp;IF(D574="","「性別」","")&amp;IF(IF(A574="","従業員番号","")&amp;IF(B574="","「雇用形態」","")&amp;IF(OR(入力シート!$J$18=入力リスト!$H$9,入力シート!$J$22=入力リスト!$H$9),IF(C574="","「入社年月日」",""),"")&amp;IF(D574="","「性別」","")="","",入力リスト!$K$29),IF(J574,入力リスト!$K$30,"")&amp;IF(I574,入力リスト!$K$31,"")&amp;IF(H574,"「雇用形態」","")&amp;IF(K574,"「性別」","")&amp;IF(L574,"「役職」","")&amp;IF(OR(H574,K574,L574),入力リスト!$K$32,"")))))</f>
        <v/>
      </c>
      <c r="G574" s="298" t="b">
        <f>COUNTIF($A$4:A573,$A574)&gt;0</f>
        <v>0</v>
      </c>
      <c r="H574" s="298" t="b">
        <f>IF($H$1,FALSE,COUNTIF(入力シート!$S$37:$V$62,B574)=0)</f>
        <v>0</v>
      </c>
      <c r="I574" s="298" t="b">
        <f t="shared" si="19"/>
        <v>0</v>
      </c>
      <c r="J574" s="298" t="b">
        <f>IF($J$1,FALSE,IF(I574=TRUE,FALSE,IF(I574,FALSE,C574&gt;入力シート!$J$24)))</f>
        <v>0</v>
      </c>
      <c r="K574" s="298" t="b">
        <f>IF($K$1,FALSE,COUNTIF(入力シート!$AW$37:$BB$38,D574)=0)</f>
        <v>0</v>
      </c>
      <c r="L574" s="298" t="b">
        <f>IF($L$1,FALSE,IF($L$3,FALSE,IF(E574="",FALSE,COUNTIF(入力シート!$AH$37:$AK$62,E574)=0)))</f>
        <v>0</v>
      </c>
      <c r="M574" s="298" t="str">
        <f t="shared" si="20"/>
        <v/>
      </c>
      <c r="N574" s="298" t="str">
        <f>IF(G574,"この従業員番号は、すでに他のセルで入力されています。",IF(入力シート!$C$5=入力リスト!$C$4,"",IF(AND(A574="",B574="",C574="",D574="",E574=""),"",IF(OR(A574="",B574="",C574="",D574=""),IF(A574="","従業員番号","")&amp;IF(AND(A574="",OR(B574="",C574="",D574="")),",","")&amp;IF(B574="","雇用形態","")&amp;IF(AND(B574="",OR(C574="",D574="")),",","")&amp;IF(OR(入力シート!$J$18=入力リスト!$H$9,入力シート!$J$22=入力リスト!$H$9),IF(C574="","入社年月日",""),"")&amp;IF(AND(C574="",D574=""),",","")&amp;IF(D574="","性別","")&amp;IF(IF(A574="","従業員番号","")&amp;IF(B574="","雇用形態","")&amp;IF(OR(入力シート!$J$18=入力リスト!$H$9,入力シート!$J$22=入力リスト!$H$9),IF(C574="","入社年月日",""),"")&amp;IF(D574="","性別","")="","","が空白です。"),IF(J574,"入社年月日に「基準日」の翌日以降の日付が入力されています。","")&amp;IF(I574,"入社年月日に数値以外（又は1900/1/1以前の日付）が入力されています。","")&amp;IF(H574,"雇用形態"&amp;IF(OR(K574,L574),",",""),"")&amp;IF(K574,"性別"&amp;IF(L574,",",""),"")&amp;IF(L574,"役職","")&amp;IF(OR(H574,K574,L574),"に、［入力シート］(4)「貴社」欄と異なる文言が入力されています。","")))))</f>
        <v/>
      </c>
      <c r="O574" s="298" t="str">
        <f>IF(B574="","",VLOOKUP('従業員情報(給与以外)'!$B574,入力シート!$S$37:$Z$62,5,0))</f>
        <v/>
      </c>
      <c r="P574" s="298" t="str">
        <f>IF(ISNUMBER(C574)=FALSE,"",IF(C574&gt;入力シート!$J$24,"",_xlfn.DAYS(入力シート!$J$24,'従業員情報(給与以外)'!$C574)/365))</f>
        <v/>
      </c>
      <c r="Q574" s="298" t="str">
        <f>IF(P574="","",VLOOKUP(_xlfn.DAYS(入力シート!$J$24,'従業員情報(給与以外)'!$C574)/365,入力リスト!$K$18:$L$26,2,2))</f>
        <v/>
      </c>
      <c r="R574" s="298" t="str">
        <f>IF(D574="","",VLOOKUP('従業員情報(給与以外)'!$D574,入力シート!$AW$37:$BB$38,4,0))</f>
        <v/>
      </c>
      <c r="S574" s="298" t="str">
        <f>IF(A574="","",IF(E574="","非役職",VLOOKUP('従業員情報(給与以外)'!$E574,入力シート!$AH$37:$AO$62,5,0)))</f>
        <v/>
      </c>
      <c r="T574" s="299" t="str">
        <f>IF(OR(入力シート!$C$5&lt;&gt;入力リスト!$C$3,COUNTIF(入力シート!$J$16:$S$23,入力リスト!$H$9)=0),"",IF($A574="","",IF(ISERROR(AVERAGEIF(従業員の給与情報!$B:$B,$A574,従業員の給与情報!$C:$C)),0,IF(ISERROR(AVERAGEIF(従業員の給与情報!$B:$B,$A574,従業員の給与情報!$C:$C)),0,AVERAGEIF(従業員の給与情報!$B:$B,$A574,従業員の給与情報!$C:$C)))))</f>
        <v/>
      </c>
      <c r="U574" s="299" t="str">
        <f>IF(OR(入力シート!$C$5&lt;&gt;入力リスト!$C$3,COUNTIF(入力シート!$J$16:$S$23,入力リスト!$H$9)=0),"",IF(A574="","",IF(ISERROR(AVERAGEIF(従業員の給与情報!$B:$B,$A574,従業員の給与情報!$D:$D)),0,IF(ISERROR(AVERAGEIF(従業員の給与情報!$B:$B,$A574,従業員の給与情報!$D:$D)),0,AVERAGEIF(従業員の給与情報!$B:$B,$A574,従業員の給与情報!$D:$D)))))</f>
        <v/>
      </c>
      <c r="V574" s="299" t="str">
        <f>IF(OR(入力シート!$C$5&lt;&gt;入力リスト!$C$3,COUNTIF(入力シート!$J$16:$S$23,入力リスト!$H$9)=0),"",IF(A574="","",IF(ISERROR(AVERAGEIF(従業員の給与情報!$B:$B,$A574,従業員の給与情報!$E:$E)),0,IF(ISERROR(AVERAGEIF(従業員の給与情報!$B:$B,$A574,従業員の給与情報!$E:$E)),0,AVERAGEIF(従業員の給与情報!$B:$B,$A574,従業員の給与情報!$E:$E)))))</f>
        <v/>
      </c>
      <c r="W574" s="299" t="str">
        <f>IF(OR(入力シート!$C$5&lt;&gt;入力リスト!$C$3,COUNTIF(入力シート!$J$16:$S$23,入力リスト!$H$9)=0),"",IF(A574="","",IF(ISERROR(AVERAGEIF(従業員の給与情報!$B:$B,$A574,従業員の給与情報!$F:$F)),0,IF(ISERROR(AVERAGEIF(従業員の給与情報!$B:$B,$A574,従業員の給与情報!$F:$F)),0,AVERAGEIF(従業員の給与情報!$B:$B,$A574,従業員の給与情報!$F:$F)))))</f>
        <v/>
      </c>
      <c r="X574" s="581" t="s">
        <v>5313</v>
      </c>
    </row>
    <row r="575" spans="6:24">
      <c r="F575" s="297" t="str">
        <f>IF($G$1,"",IF(COUNTIF(A575:E575,"")=5,"",IF(G575,入力リスト!$K$28,IF(OR(A575="",B575="",IF(COUNTIF($C$3,"*不要*"),"",C575=""),D575=""),IF(A575="","従業員番号","")&amp;IF(B575="","「雇用形態」","")&amp;IF(OR(入力シート!$J$18=入力リスト!$H$9,入力シート!$J$22=入力リスト!$H$9),IF(C575="","「入社年月日」",""),"")&amp;IF(D575="","「性別」","")&amp;IF(IF(A575="","従業員番号","")&amp;IF(B575="","「雇用形態」","")&amp;IF(OR(入力シート!$J$18=入力リスト!$H$9,入力シート!$J$22=入力リスト!$H$9),IF(C575="","「入社年月日」",""),"")&amp;IF(D575="","「性別」","")="","",入力リスト!$K$29),IF(J575,入力リスト!$K$30,"")&amp;IF(I575,入力リスト!$K$31,"")&amp;IF(H575,"「雇用形態」","")&amp;IF(K575,"「性別」","")&amp;IF(L575,"「役職」","")&amp;IF(OR(H575,K575,L575),入力リスト!$K$32,"")))))</f>
        <v/>
      </c>
      <c r="G575" s="298" t="b">
        <f>COUNTIF($A$4:A574,$A575)&gt;0</f>
        <v>0</v>
      </c>
      <c r="H575" s="298" t="b">
        <f>IF($H$1,FALSE,COUNTIF(入力シート!$S$37:$V$62,B575)=0)</f>
        <v>0</v>
      </c>
      <c r="I575" s="298" t="b">
        <f t="shared" si="19"/>
        <v>0</v>
      </c>
      <c r="J575" s="298" t="b">
        <f>IF($J$1,FALSE,IF(I575=TRUE,FALSE,IF(I575,FALSE,C575&gt;入力シート!$J$24)))</f>
        <v>0</v>
      </c>
      <c r="K575" s="298" t="b">
        <f>IF($K$1,FALSE,COUNTIF(入力シート!$AW$37:$BB$38,D575)=0)</f>
        <v>0</v>
      </c>
      <c r="L575" s="298" t="b">
        <f>IF($L$1,FALSE,IF($L$3,FALSE,IF(E575="",FALSE,COUNTIF(入力シート!$AH$37:$AK$62,E575)=0)))</f>
        <v>0</v>
      </c>
      <c r="M575" s="298" t="str">
        <f t="shared" si="20"/>
        <v/>
      </c>
      <c r="N575" s="298" t="str">
        <f>IF(G575,"この従業員番号は、すでに他のセルで入力されています。",IF(入力シート!$C$5=入力リスト!$C$4,"",IF(AND(A575="",B575="",C575="",D575="",E575=""),"",IF(OR(A575="",B575="",C575="",D575=""),IF(A575="","従業員番号","")&amp;IF(AND(A575="",OR(B575="",C575="",D575="")),",","")&amp;IF(B575="","雇用形態","")&amp;IF(AND(B575="",OR(C575="",D575="")),",","")&amp;IF(OR(入力シート!$J$18=入力リスト!$H$9,入力シート!$J$22=入力リスト!$H$9),IF(C575="","入社年月日",""),"")&amp;IF(AND(C575="",D575=""),",","")&amp;IF(D575="","性別","")&amp;IF(IF(A575="","従業員番号","")&amp;IF(B575="","雇用形態","")&amp;IF(OR(入力シート!$J$18=入力リスト!$H$9,入力シート!$J$22=入力リスト!$H$9),IF(C575="","入社年月日",""),"")&amp;IF(D575="","性別","")="","","が空白です。"),IF(J575,"入社年月日に「基準日」の翌日以降の日付が入力されています。","")&amp;IF(I575,"入社年月日に数値以外（又は1900/1/1以前の日付）が入力されています。","")&amp;IF(H575,"雇用形態"&amp;IF(OR(K575,L575),",",""),"")&amp;IF(K575,"性別"&amp;IF(L575,",",""),"")&amp;IF(L575,"役職","")&amp;IF(OR(H575,K575,L575),"に、［入力シート］(4)「貴社」欄と異なる文言が入力されています。","")))))</f>
        <v/>
      </c>
      <c r="O575" s="298" t="str">
        <f>IF(B575="","",VLOOKUP('従業員情報(給与以外)'!$B575,入力シート!$S$37:$Z$62,5,0))</f>
        <v/>
      </c>
      <c r="P575" s="298" t="str">
        <f>IF(ISNUMBER(C575)=FALSE,"",IF(C575&gt;入力シート!$J$24,"",_xlfn.DAYS(入力シート!$J$24,'従業員情報(給与以外)'!$C575)/365))</f>
        <v/>
      </c>
      <c r="Q575" s="298" t="str">
        <f>IF(P575="","",VLOOKUP(_xlfn.DAYS(入力シート!$J$24,'従業員情報(給与以外)'!$C575)/365,入力リスト!$K$18:$L$26,2,2))</f>
        <v/>
      </c>
      <c r="R575" s="298" t="str">
        <f>IF(D575="","",VLOOKUP('従業員情報(給与以外)'!$D575,入力シート!$AW$37:$BB$38,4,0))</f>
        <v/>
      </c>
      <c r="S575" s="298" t="str">
        <f>IF(A575="","",IF(E575="","非役職",VLOOKUP('従業員情報(給与以外)'!$E575,入力シート!$AH$37:$AO$62,5,0)))</f>
        <v/>
      </c>
      <c r="T575" s="299" t="str">
        <f>IF(OR(入力シート!$C$5&lt;&gt;入力リスト!$C$3,COUNTIF(入力シート!$J$16:$S$23,入力リスト!$H$9)=0),"",IF($A575="","",IF(ISERROR(AVERAGEIF(従業員の給与情報!$B:$B,$A575,従業員の給与情報!$C:$C)),0,IF(ISERROR(AVERAGEIF(従業員の給与情報!$B:$B,$A575,従業員の給与情報!$C:$C)),0,AVERAGEIF(従業員の給与情報!$B:$B,$A575,従業員の給与情報!$C:$C)))))</f>
        <v/>
      </c>
      <c r="U575" s="299" t="str">
        <f>IF(OR(入力シート!$C$5&lt;&gt;入力リスト!$C$3,COUNTIF(入力シート!$J$16:$S$23,入力リスト!$H$9)=0),"",IF(A575="","",IF(ISERROR(AVERAGEIF(従業員の給与情報!$B:$B,$A575,従業員の給与情報!$D:$D)),0,IF(ISERROR(AVERAGEIF(従業員の給与情報!$B:$B,$A575,従業員の給与情報!$D:$D)),0,AVERAGEIF(従業員の給与情報!$B:$B,$A575,従業員の給与情報!$D:$D)))))</f>
        <v/>
      </c>
      <c r="V575" s="299" t="str">
        <f>IF(OR(入力シート!$C$5&lt;&gt;入力リスト!$C$3,COUNTIF(入力シート!$J$16:$S$23,入力リスト!$H$9)=0),"",IF(A575="","",IF(ISERROR(AVERAGEIF(従業員の給与情報!$B:$B,$A575,従業員の給与情報!$E:$E)),0,IF(ISERROR(AVERAGEIF(従業員の給与情報!$B:$B,$A575,従業員の給与情報!$E:$E)),0,AVERAGEIF(従業員の給与情報!$B:$B,$A575,従業員の給与情報!$E:$E)))))</f>
        <v/>
      </c>
      <c r="W575" s="299" t="str">
        <f>IF(OR(入力シート!$C$5&lt;&gt;入力リスト!$C$3,COUNTIF(入力シート!$J$16:$S$23,入力リスト!$H$9)=0),"",IF(A575="","",IF(ISERROR(AVERAGEIF(従業員の給与情報!$B:$B,$A575,従業員の給与情報!$F:$F)),0,IF(ISERROR(AVERAGEIF(従業員の給与情報!$B:$B,$A575,従業員の給与情報!$F:$F)),0,AVERAGEIF(従業員の給与情報!$B:$B,$A575,従業員の給与情報!$F:$F)))))</f>
        <v/>
      </c>
      <c r="X575" s="581" t="s">
        <v>5314</v>
      </c>
    </row>
    <row r="576" spans="6:24">
      <c r="F576" s="297" t="str">
        <f>IF($G$1,"",IF(COUNTIF(A576:E576,"")=5,"",IF(G576,入力リスト!$K$28,IF(OR(A576="",B576="",IF(COUNTIF($C$3,"*不要*"),"",C576=""),D576=""),IF(A576="","従業員番号","")&amp;IF(B576="","「雇用形態」","")&amp;IF(OR(入力シート!$J$18=入力リスト!$H$9,入力シート!$J$22=入力リスト!$H$9),IF(C576="","「入社年月日」",""),"")&amp;IF(D576="","「性別」","")&amp;IF(IF(A576="","従業員番号","")&amp;IF(B576="","「雇用形態」","")&amp;IF(OR(入力シート!$J$18=入力リスト!$H$9,入力シート!$J$22=入力リスト!$H$9),IF(C576="","「入社年月日」",""),"")&amp;IF(D576="","「性別」","")="","",入力リスト!$K$29),IF(J576,入力リスト!$K$30,"")&amp;IF(I576,入力リスト!$K$31,"")&amp;IF(H576,"「雇用形態」","")&amp;IF(K576,"「性別」","")&amp;IF(L576,"「役職」","")&amp;IF(OR(H576,K576,L576),入力リスト!$K$32,"")))))</f>
        <v/>
      </c>
      <c r="G576" s="298" t="b">
        <f>COUNTIF($A$4:A575,$A576)&gt;0</f>
        <v>0</v>
      </c>
      <c r="H576" s="298" t="b">
        <f>IF($H$1,FALSE,COUNTIF(入力シート!$S$37:$V$62,B576)=0)</f>
        <v>0</v>
      </c>
      <c r="I576" s="298" t="b">
        <f t="shared" si="19"/>
        <v>0</v>
      </c>
      <c r="J576" s="298" t="b">
        <f>IF($J$1,FALSE,IF(I576=TRUE,FALSE,IF(I576,FALSE,C576&gt;入力シート!$J$24)))</f>
        <v>0</v>
      </c>
      <c r="K576" s="298" t="b">
        <f>IF($K$1,FALSE,COUNTIF(入力シート!$AW$37:$BB$38,D576)=0)</f>
        <v>0</v>
      </c>
      <c r="L576" s="298" t="b">
        <f>IF($L$1,FALSE,IF($L$3,FALSE,IF(E576="",FALSE,COUNTIF(入力シート!$AH$37:$AK$62,E576)=0)))</f>
        <v>0</v>
      </c>
      <c r="M576" s="298" t="str">
        <f t="shared" si="20"/>
        <v/>
      </c>
      <c r="N576" s="298" t="str">
        <f>IF(G576,"この従業員番号は、すでに他のセルで入力されています。",IF(入力シート!$C$5=入力リスト!$C$4,"",IF(AND(A576="",B576="",C576="",D576="",E576=""),"",IF(OR(A576="",B576="",C576="",D576=""),IF(A576="","従業員番号","")&amp;IF(AND(A576="",OR(B576="",C576="",D576="")),",","")&amp;IF(B576="","雇用形態","")&amp;IF(AND(B576="",OR(C576="",D576="")),",","")&amp;IF(OR(入力シート!$J$18=入力リスト!$H$9,入力シート!$J$22=入力リスト!$H$9),IF(C576="","入社年月日",""),"")&amp;IF(AND(C576="",D576=""),",","")&amp;IF(D576="","性別","")&amp;IF(IF(A576="","従業員番号","")&amp;IF(B576="","雇用形態","")&amp;IF(OR(入力シート!$J$18=入力リスト!$H$9,入力シート!$J$22=入力リスト!$H$9),IF(C576="","入社年月日",""),"")&amp;IF(D576="","性別","")="","","が空白です。"),IF(J576,"入社年月日に「基準日」の翌日以降の日付が入力されています。","")&amp;IF(I576,"入社年月日に数値以外（又は1900/1/1以前の日付）が入力されています。","")&amp;IF(H576,"雇用形態"&amp;IF(OR(K576,L576),",",""),"")&amp;IF(K576,"性別"&amp;IF(L576,",",""),"")&amp;IF(L576,"役職","")&amp;IF(OR(H576,K576,L576),"に、［入力シート］(4)「貴社」欄と異なる文言が入力されています。","")))))</f>
        <v/>
      </c>
      <c r="O576" s="298" t="str">
        <f>IF(B576="","",VLOOKUP('従業員情報(給与以外)'!$B576,入力シート!$S$37:$Z$62,5,0))</f>
        <v/>
      </c>
      <c r="P576" s="298" t="str">
        <f>IF(ISNUMBER(C576)=FALSE,"",IF(C576&gt;入力シート!$J$24,"",_xlfn.DAYS(入力シート!$J$24,'従業員情報(給与以外)'!$C576)/365))</f>
        <v/>
      </c>
      <c r="Q576" s="298" t="str">
        <f>IF(P576="","",VLOOKUP(_xlfn.DAYS(入力シート!$J$24,'従業員情報(給与以外)'!$C576)/365,入力リスト!$K$18:$L$26,2,2))</f>
        <v/>
      </c>
      <c r="R576" s="298" t="str">
        <f>IF(D576="","",VLOOKUP('従業員情報(給与以外)'!$D576,入力シート!$AW$37:$BB$38,4,0))</f>
        <v/>
      </c>
      <c r="S576" s="298" t="str">
        <f>IF(A576="","",IF(E576="","非役職",VLOOKUP('従業員情報(給与以外)'!$E576,入力シート!$AH$37:$AO$62,5,0)))</f>
        <v/>
      </c>
      <c r="T576" s="299" t="str">
        <f>IF(OR(入力シート!$C$5&lt;&gt;入力リスト!$C$3,COUNTIF(入力シート!$J$16:$S$23,入力リスト!$H$9)=0),"",IF($A576="","",IF(ISERROR(AVERAGEIF(従業員の給与情報!$B:$B,$A576,従業員の給与情報!$C:$C)),0,IF(ISERROR(AVERAGEIF(従業員の給与情報!$B:$B,$A576,従業員の給与情報!$C:$C)),0,AVERAGEIF(従業員の給与情報!$B:$B,$A576,従業員の給与情報!$C:$C)))))</f>
        <v/>
      </c>
      <c r="U576" s="299" t="str">
        <f>IF(OR(入力シート!$C$5&lt;&gt;入力リスト!$C$3,COUNTIF(入力シート!$J$16:$S$23,入力リスト!$H$9)=0),"",IF(A576="","",IF(ISERROR(AVERAGEIF(従業員の給与情報!$B:$B,$A576,従業員の給与情報!$D:$D)),0,IF(ISERROR(AVERAGEIF(従業員の給与情報!$B:$B,$A576,従業員の給与情報!$D:$D)),0,AVERAGEIF(従業員の給与情報!$B:$B,$A576,従業員の給与情報!$D:$D)))))</f>
        <v/>
      </c>
      <c r="V576" s="299" t="str">
        <f>IF(OR(入力シート!$C$5&lt;&gt;入力リスト!$C$3,COUNTIF(入力シート!$J$16:$S$23,入力リスト!$H$9)=0),"",IF(A576="","",IF(ISERROR(AVERAGEIF(従業員の給与情報!$B:$B,$A576,従業員の給与情報!$E:$E)),0,IF(ISERROR(AVERAGEIF(従業員の給与情報!$B:$B,$A576,従業員の給与情報!$E:$E)),0,AVERAGEIF(従業員の給与情報!$B:$B,$A576,従業員の給与情報!$E:$E)))))</f>
        <v/>
      </c>
      <c r="W576" s="299" t="str">
        <f>IF(OR(入力シート!$C$5&lt;&gt;入力リスト!$C$3,COUNTIF(入力シート!$J$16:$S$23,入力リスト!$H$9)=0),"",IF(A576="","",IF(ISERROR(AVERAGEIF(従業員の給与情報!$B:$B,$A576,従業員の給与情報!$F:$F)),0,IF(ISERROR(AVERAGEIF(従業員の給与情報!$B:$B,$A576,従業員の給与情報!$F:$F)),0,AVERAGEIF(従業員の給与情報!$B:$B,$A576,従業員の給与情報!$F:$F)))))</f>
        <v/>
      </c>
      <c r="X576" s="581" t="s">
        <v>5315</v>
      </c>
    </row>
    <row r="577" spans="6:24">
      <c r="F577" s="297" t="str">
        <f>IF($G$1,"",IF(COUNTIF(A577:E577,"")=5,"",IF(G577,入力リスト!$K$28,IF(OR(A577="",B577="",IF(COUNTIF($C$3,"*不要*"),"",C577=""),D577=""),IF(A577="","従業員番号","")&amp;IF(B577="","「雇用形態」","")&amp;IF(OR(入力シート!$J$18=入力リスト!$H$9,入力シート!$J$22=入力リスト!$H$9),IF(C577="","「入社年月日」",""),"")&amp;IF(D577="","「性別」","")&amp;IF(IF(A577="","従業員番号","")&amp;IF(B577="","「雇用形態」","")&amp;IF(OR(入力シート!$J$18=入力リスト!$H$9,入力シート!$J$22=入力リスト!$H$9),IF(C577="","「入社年月日」",""),"")&amp;IF(D577="","「性別」","")="","",入力リスト!$K$29),IF(J577,入力リスト!$K$30,"")&amp;IF(I577,入力リスト!$K$31,"")&amp;IF(H577,"「雇用形態」","")&amp;IF(K577,"「性別」","")&amp;IF(L577,"「役職」","")&amp;IF(OR(H577,K577,L577),入力リスト!$K$32,"")))))</f>
        <v/>
      </c>
      <c r="G577" s="298" t="b">
        <f>COUNTIF($A$4:A576,$A577)&gt;0</f>
        <v>0</v>
      </c>
      <c r="H577" s="298" t="b">
        <f>IF($H$1,FALSE,COUNTIF(入力シート!$S$37:$V$62,B577)=0)</f>
        <v>0</v>
      </c>
      <c r="I577" s="298" t="b">
        <f t="shared" si="19"/>
        <v>0</v>
      </c>
      <c r="J577" s="298" t="b">
        <f>IF($J$1,FALSE,IF(I577=TRUE,FALSE,IF(I577,FALSE,C577&gt;入力シート!$J$24)))</f>
        <v>0</v>
      </c>
      <c r="K577" s="298" t="b">
        <f>IF($K$1,FALSE,COUNTIF(入力シート!$AW$37:$BB$38,D577)=0)</f>
        <v>0</v>
      </c>
      <c r="L577" s="298" t="b">
        <f>IF($L$1,FALSE,IF($L$3,FALSE,IF(E577="",FALSE,COUNTIF(入力シート!$AH$37:$AK$62,E577)=0)))</f>
        <v>0</v>
      </c>
      <c r="M577" s="298" t="str">
        <f t="shared" si="20"/>
        <v/>
      </c>
      <c r="N577" s="298" t="str">
        <f>IF(G577,"この従業員番号は、すでに他のセルで入力されています。",IF(入力シート!$C$5=入力リスト!$C$4,"",IF(AND(A577="",B577="",C577="",D577="",E577=""),"",IF(OR(A577="",B577="",C577="",D577=""),IF(A577="","従業員番号","")&amp;IF(AND(A577="",OR(B577="",C577="",D577="")),",","")&amp;IF(B577="","雇用形態","")&amp;IF(AND(B577="",OR(C577="",D577="")),",","")&amp;IF(OR(入力シート!$J$18=入力リスト!$H$9,入力シート!$J$22=入力リスト!$H$9),IF(C577="","入社年月日",""),"")&amp;IF(AND(C577="",D577=""),",","")&amp;IF(D577="","性別","")&amp;IF(IF(A577="","従業員番号","")&amp;IF(B577="","雇用形態","")&amp;IF(OR(入力シート!$J$18=入力リスト!$H$9,入力シート!$J$22=入力リスト!$H$9),IF(C577="","入社年月日",""),"")&amp;IF(D577="","性別","")="","","が空白です。"),IF(J577,"入社年月日に「基準日」の翌日以降の日付が入力されています。","")&amp;IF(I577,"入社年月日に数値以外（又は1900/1/1以前の日付）が入力されています。","")&amp;IF(H577,"雇用形態"&amp;IF(OR(K577,L577),",",""),"")&amp;IF(K577,"性別"&amp;IF(L577,",",""),"")&amp;IF(L577,"役職","")&amp;IF(OR(H577,K577,L577),"に、［入力シート］(4)「貴社」欄と異なる文言が入力されています。","")))))</f>
        <v/>
      </c>
      <c r="O577" s="298" t="str">
        <f>IF(B577="","",VLOOKUP('従業員情報(給与以外)'!$B577,入力シート!$S$37:$Z$62,5,0))</f>
        <v/>
      </c>
      <c r="P577" s="298" t="str">
        <f>IF(ISNUMBER(C577)=FALSE,"",IF(C577&gt;入力シート!$J$24,"",_xlfn.DAYS(入力シート!$J$24,'従業員情報(給与以外)'!$C577)/365))</f>
        <v/>
      </c>
      <c r="Q577" s="298" t="str">
        <f>IF(P577="","",VLOOKUP(_xlfn.DAYS(入力シート!$J$24,'従業員情報(給与以外)'!$C577)/365,入力リスト!$K$18:$L$26,2,2))</f>
        <v/>
      </c>
      <c r="R577" s="298" t="str">
        <f>IF(D577="","",VLOOKUP('従業員情報(給与以外)'!$D577,入力シート!$AW$37:$BB$38,4,0))</f>
        <v/>
      </c>
      <c r="S577" s="298" t="str">
        <f>IF(A577="","",IF(E577="","非役職",VLOOKUP('従業員情報(給与以外)'!$E577,入力シート!$AH$37:$AO$62,5,0)))</f>
        <v/>
      </c>
      <c r="T577" s="299" t="str">
        <f>IF(OR(入力シート!$C$5&lt;&gt;入力リスト!$C$3,COUNTIF(入力シート!$J$16:$S$23,入力リスト!$H$9)=0),"",IF($A577="","",IF(ISERROR(AVERAGEIF(従業員の給与情報!$B:$B,$A577,従業員の給与情報!$C:$C)),0,IF(ISERROR(AVERAGEIF(従業員の給与情報!$B:$B,$A577,従業員の給与情報!$C:$C)),0,AVERAGEIF(従業員の給与情報!$B:$B,$A577,従業員の給与情報!$C:$C)))))</f>
        <v/>
      </c>
      <c r="U577" s="299" t="str">
        <f>IF(OR(入力シート!$C$5&lt;&gt;入力リスト!$C$3,COUNTIF(入力シート!$J$16:$S$23,入力リスト!$H$9)=0),"",IF(A577="","",IF(ISERROR(AVERAGEIF(従業員の給与情報!$B:$B,$A577,従業員の給与情報!$D:$D)),0,IF(ISERROR(AVERAGEIF(従業員の給与情報!$B:$B,$A577,従業員の給与情報!$D:$D)),0,AVERAGEIF(従業員の給与情報!$B:$B,$A577,従業員の給与情報!$D:$D)))))</f>
        <v/>
      </c>
      <c r="V577" s="299" t="str">
        <f>IF(OR(入力シート!$C$5&lt;&gt;入力リスト!$C$3,COUNTIF(入力シート!$J$16:$S$23,入力リスト!$H$9)=0),"",IF(A577="","",IF(ISERROR(AVERAGEIF(従業員の給与情報!$B:$B,$A577,従業員の給与情報!$E:$E)),0,IF(ISERROR(AVERAGEIF(従業員の給与情報!$B:$B,$A577,従業員の給与情報!$E:$E)),0,AVERAGEIF(従業員の給与情報!$B:$B,$A577,従業員の給与情報!$E:$E)))))</f>
        <v/>
      </c>
      <c r="W577" s="299" t="str">
        <f>IF(OR(入力シート!$C$5&lt;&gt;入力リスト!$C$3,COUNTIF(入力シート!$J$16:$S$23,入力リスト!$H$9)=0),"",IF(A577="","",IF(ISERROR(AVERAGEIF(従業員の給与情報!$B:$B,$A577,従業員の給与情報!$F:$F)),0,IF(ISERROR(AVERAGEIF(従業員の給与情報!$B:$B,$A577,従業員の給与情報!$F:$F)),0,AVERAGEIF(従業員の給与情報!$B:$B,$A577,従業員の給与情報!$F:$F)))))</f>
        <v/>
      </c>
      <c r="X577" s="581" t="s">
        <v>5316</v>
      </c>
    </row>
    <row r="578" spans="6:24">
      <c r="F578" s="297" t="str">
        <f>IF($G$1,"",IF(COUNTIF(A578:E578,"")=5,"",IF(G578,入力リスト!$K$28,IF(OR(A578="",B578="",IF(COUNTIF($C$3,"*不要*"),"",C578=""),D578=""),IF(A578="","従業員番号","")&amp;IF(B578="","「雇用形態」","")&amp;IF(OR(入力シート!$J$18=入力リスト!$H$9,入力シート!$J$22=入力リスト!$H$9),IF(C578="","「入社年月日」",""),"")&amp;IF(D578="","「性別」","")&amp;IF(IF(A578="","従業員番号","")&amp;IF(B578="","「雇用形態」","")&amp;IF(OR(入力シート!$J$18=入力リスト!$H$9,入力シート!$J$22=入力リスト!$H$9),IF(C578="","「入社年月日」",""),"")&amp;IF(D578="","「性別」","")="","",入力リスト!$K$29),IF(J578,入力リスト!$K$30,"")&amp;IF(I578,入力リスト!$K$31,"")&amp;IF(H578,"「雇用形態」","")&amp;IF(K578,"「性別」","")&amp;IF(L578,"「役職」","")&amp;IF(OR(H578,K578,L578),入力リスト!$K$32,"")))))</f>
        <v/>
      </c>
      <c r="G578" s="298" t="b">
        <f>COUNTIF($A$4:A577,$A578)&gt;0</f>
        <v>0</v>
      </c>
      <c r="H578" s="298" t="b">
        <f>IF($H$1,FALSE,COUNTIF(入力シート!$S$37:$V$62,B578)=0)</f>
        <v>0</v>
      </c>
      <c r="I578" s="298" t="b">
        <f t="shared" si="19"/>
        <v>0</v>
      </c>
      <c r="J578" s="298" t="b">
        <f>IF($J$1,FALSE,IF(I578=TRUE,FALSE,IF(I578,FALSE,C578&gt;入力シート!$J$24)))</f>
        <v>0</v>
      </c>
      <c r="K578" s="298" t="b">
        <f>IF($K$1,FALSE,COUNTIF(入力シート!$AW$37:$BB$38,D578)=0)</f>
        <v>0</v>
      </c>
      <c r="L578" s="298" t="b">
        <f>IF($L$1,FALSE,IF($L$3,FALSE,IF(E578="",FALSE,COUNTIF(入力シート!$AH$37:$AK$62,E578)=0)))</f>
        <v>0</v>
      </c>
      <c r="M578" s="298" t="str">
        <f t="shared" si="20"/>
        <v/>
      </c>
      <c r="N578" s="298" t="str">
        <f>IF(G578,"この従業員番号は、すでに他のセルで入力されています。",IF(入力シート!$C$5=入力リスト!$C$4,"",IF(AND(A578="",B578="",C578="",D578="",E578=""),"",IF(OR(A578="",B578="",C578="",D578=""),IF(A578="","従業員番号","")&amp;IF(AND(A578="",OR(B578="",C578="",D578="")),",","")&amp;IF(B578="","雇用形態","")&amp;IF(AND(B578="",OR(C578="",D578="")),",","")&amp;IF(OR(入力シート!$J$18=入力リスト!$H$9,入力シート!$J$22=入力リスト!$H$9),IF(C578="","入社年月日",""),"")&amp;IF(AND(C578="",D578=""),",","")&amp;IF(D578="","性別","")&amp;IF(IF(A578="","従業員番号","")&amp;IF(B578="","雇用形態","")&amp;IF(OR(入力シート!$J$18=入力リスト!$H$9,入力シート!$J$22=入力リスト!$H$9),IF(C578="","入社年月日",""),"")&amp;IF(D578="","性別","")="","","が空白です。"),IF(J578,"入社年月日に「基準日」の翌日以降の日付が入力されています。","")&amp;IF(I578,"入社年月日に数値以外（又は1900/1/1以前の日付）が入力されています。","")&amp;IF(H578,"雇用形態"&amp;IF(OR(K578,L578),",",""),"")&amp;IF(K578,"性別"&amp;IF(L578,",",""),"")&amp;IF(L578,"役職","")&amp;IF(OR(H578,K578,L578),"に、［入力シート］(4)「貴社」欄と異なる文言が入力されています。","")))))</f>
        <v/>
      </c>
      <c r="O578" s="298" t="str">
        <f>IF(B578="","",VLOOKUP('従業員情報(給与以外)'!$B578,入力シート!$S$37:$Z$62,5,0))</f>
        <v/>
      </c>
      <c r="P578" s="298" t="str">
        <f>IF(ISNUMBER(C578)=FALSE,"",IF(C578&gt;入力シート!$J$24,"",_xlfn.DAYS(入力シート!$J$24,'従業員情報(給与以外)'!$C578)/365))</f>
        <v/>
      </c>
      <c r="Q578" s="298" t="str">
        <f>IF(P578="","",VLOOKUP(_xlfn.DAYS(入力シート!$J$24,'従業員情報(給与以外)'!$C578)/365,入力リスト!$K$18:$L$26,2,2))</f>
        <v/>
      </c>
      <c r="R578" s="298" t="str">
        <f>IF(D578="","",VLOOKUP('従業員情報(給与以外)'!$D578,入力シート!$AW$37:$BB$38,4,0))</f>
        <v/>
      </c>
      <c r="S578" s="298" t="str">
        <f>IF(A578="","",IF(E578="","非役職",VLOOKUP('従業員情報(給与以外)'!$E578,入力シート!$AH$37:$AO$62,5,0)))</f>
        <v/>
      </c>
      <c r="T578" s="299" t="str">
        <f>IF(OR(入力シート!$C$5&lt;&gt;入力リスト!$C$3,COUNTIF(入力シート!$J$16:$S$23,入力リスト!$H$9)=0),"",IF($A578="","",IF(ISERROR(AVERAGEIF(従業員の給与情報!$B:$B,$A578,従業員の給与情報!$C:$C)),0,IF(ISERROR(AVERAGEIF(従業員の給与情報!$B:$B,$A578,従業員の給与情報!$C:$C)),0,AVERAGEIF(従業員の給与情報!$B:$B,$A578,従業員の給与情報!$C:$C)))))</f>
        <v/>
      </c>
      <c r="U578" s="299" t="str">
        <f>IF(OR(入力シート!$C$5&lt;&gt;入力リスト!$C$3,COUNTIF(入力シート!$J$16:$S$23,入力リスト!$H$9)=0),"",IF(A578="","",IF(ISERROR(AVERAGEIF(従業員の給与情報!$B:$B,$A578,従業員の給与情報!$D:$D)),0,IF(ISERROR(AVERAGEIF(従業員の給与情報!$B:$B,$A578,従業員の給与情報!$D:$D)),0,AVERAGEIF(従業員の給与情報!$B:$B,$A578,従業員の給与情報!$D:$D)))))</f>
        <v/>
      </c>
      <c r="V578" s="299" t="str">
        <f>IF(OR(入力シート!$C$5&lt;&gt;入力リスト!$C$3,COUNTIF(入力シート!$J$16:$S$23,入力リスト!$H$9)=0),"",IF(A578="","",IF(ISERROR(AVERAGEIF(従業員の給与情報!$B:$B,$A578,従業員の給与情報!$E:$E)),0,IF(ISERROR(AVERAGEIF(従業員の給与情報!$B:$B,$A578,従業員の給与情報!$E:$E)),0,AVERAGEIF(従業員の給与情報!$B:$B,$A578,従業員の給与情報!$E:$E)))))</f>
        <v/>
      </c>
      <c r="W578" s="299" t="str">
        <f>IF(OR(入力シート!$C$5&lt;&gt;入力リスト!$C$3,COUNTIF(入力シート!$J$16:$S$23,入力リスト!$H$9)=0),"",IF(A578="","",IF(ISERROR(AVERAGEIF(従業員の給与情報!$B:$B,$A578,従業員の給与情報!$F:$F)),0,IF(ISERROR(AVERAGEIF(従業員の給与情報!$B:$B,$A578,従業員の給与情報!$F:$F)),0,AVERAGEIF(従業員の給与情報!$B:$B,$A578,従業員の給与情報!$F:$F)))))</f>
        <v/>
      </c>
      <c r="X578" s="581" t="s">
        <v>5317</v>
      </c>
    </row>
    <row r="579" spans="6:24">
      <c r="F579" s="297" t="str">
        <f>IF($G$1,"",IF(COUNTIF(A579:E579,"")=5,"",IF(G579,入力リスト!$K$28,IF(OR(A579="",B579="",IF(COUNTIF($C$3,"*不要*"),"",C579=""),D579=""),IF(A579="","従業員番号","")&amp;IF(B579="","「雇用形態」","")&amp;IF(OR(入力シート!$J$18=入力リスト!$H$9,入力シート!$J$22=入力リスト!$H$9),IF(C579="","「入社年月日」",""),"")&amp;IF(D579="","「性別」","")&amp;IF(IF(A579="","従業員番号","")&amp;IF(B579="","「雇用形態」","")&amp;IF(OR(入力シート!$J$18=入力リスト!$H$9,入力シート!$J$22=入力リスト!$H$9),IF(C579="","「入社年月日」",""),"")&amp;IF(D579="","「性別」","")="","",入力リスト!$K$29),IF(J579,入力リスト!$K$30,"")&amp;IF(I579,入力リスト!$K$31,"")&amp;IF(H579,"「雇用形態」","")&amp;IF(K579,"「性別」","")&amp;IF(L579,"「役職」","")&amp;IF(OR(H579,K579,L579),入力リスト!$K$32,"")))))</f>
        <v/>
      </c>
      <c r="G579" s="298" t="b">
        <f>COUNTIF($A$4:A578,$A579)&gt;0</f>
        <v>0</v>
      </c>
      <c r="H579" s="298" t="b">
        <f>IF($H$1,FALSE,COUNTIF(入力シート!$S$37:$V$62,B579)=0)</f>
        <v>0</v>
      </c>
      <c r="I579" s="298" t="b">
        <f t="shared" si="19"/>
        <v>0</v>
      </c>
      <c r="J579" s="298" t="b">
        <f>IF($J$1,FALSE,IF(I579=TRUE,FALSE,IF(I579,FALSE,C579&gt;入力シート!$J$24)))</f>
        <v>0</v>
      </c>
      <c r="K579" s="298" t="b">
        <f>IF($K$1,FALSE,COUNTIF(入力シート!$AW$37:$BB$38,D579)=0)</f>
        <v>0</v>
      </c>
      <c r="L579" s="298" t="b">
        <f>IF($L$1,FALSE,IF($L$3,FALSE,IF(E579="",FALSE,COUNTIF(入力シート!$AH$37:$AK$62,E579)=0)))</f>
        <v>0</v>
      </c>
      <c r="M579" s="298" t="str">
        <f t="shared" si="20"/>
        <v/>
      </c>
      <c r="N579" s="298" t="str">
        <f>IF(G579,"この従業員番号は、すでに他のセルで入力されています。",IF(入力シート!$C$5=入力リスト!$C$4,"",IF(AND(A579="",B579="",C579="",D579="",E579=""),"",IF(OR(A579="",B579="",C579="",D579=""),IF(A579="","従業員番号","")&amp;IF(AND(A579="",OR(B579="",C579="",D579="")),",","")&amp;IF(B579="","雇用形態","")&amp;IF(AND(B579="",OR(C579="",D579="")),",","")&amp;IF(OR(入力シート!$J$18=入力リスト!$H$9,入力シート!$J$22=入力リスト!$H$9),IF(C579="","入社年月日",""),"")&amp;IF(AND(C579="",D579=""),",","")&amp;IF(D579="","性別","")&amp;IF(IF(A579="","従業員番号","")&amp;IF(B579="","雇用形態","")&amp;IF(OR(入力シート!$J$18=入力リスト!$H$9,入力シート!$J$22=入力リスト!$H$9),IF(C579="","入社年月日",""),"")&amp;IF(D579="","性別","")="","","が空白です。"),IF(J579,"入社年月日に「基準日」の翌日以降の日付が入力されています。","")&amp;IF(I579,"入社年月日に数値以外（又は1900/1/1以前の日付）が入力されています。","")&amp;IF(H579,"雇用形態"&amp;IF(OR(K579,L579),",",""),"")&amp;IF(K579,"性別"&amp;IF(L579,",",""),"")&amp;IF(L579,"役職","")&amp;IF(OR(H579,K579,L579),"に、［入力シート］(4)「貴社」欄と異なる文言が入力されています。","")))))</f>
        <v/>
      </c>
      <c r="O579" s="298" t="str">
        <f>IF(B579="","",VLOOKUP('従業員情報(給与以外)'!$B579,入力シート!$S$37:$Z$62,5,0))</f>
        <v/>
      </c>
      <c r="P579" s="298" t="str">
        <f>IF(ISNUMBER(C579)=FALSE,"",IF(C579&gt;入力シート!$J$24,"",_xlfn.DAYS(入力シート!$J$24,'従業員情報(給与以外)'!$C579)/365))</f>
        <v/>
      </c>
      <c r="Q579" s="298" t="str">
        <f>IF(P579="","",VLOOKUP(_xlfn.DAYS(入力シート!$J$24,'従業員情報(給与以外)'!$C579)/365,入力リスト!$K$18:$L$26,2,2))</f>
        <v/>
      </c>
      <c r="R579" s="298" t="str">
        <f>IF(D579="","",VLOOKUP('従業員情報(給与以外)'!$D579,入力シート!$AW$37:$BB$38,4,0))</f>
        <v/>
      </c>
      <c r="S579" s="298" t="str">
        <f>IF(A579="","",IF(E579="","非役職",VLOOKUP('従業員情報(給与以外)'!$E579,入力シート!$AH$37:$AO$62,5,0)))</f>
        <v/>
      </c>
      <c r="T579" s="299" t="str">
        <f>IF(OR(入力シート!$C$5&lt;&gt;入力リスト!$C$3,COUNTIF(入力シート!$J$16:$S$23,入力リスト!$H$9)=0),"",IF($A579="","",IF(ISERROR(AVERAGEIF(従業員の給与情報!$B:$B,$A579,従業員の給与情報!$C:$C)),0,IF(ISERROR(AVERAGEIF(従業員の給与情報!$B:$B,$A579,従業員の給与情報!$C:$C)),0,AVERAGEIF(従業員の給与情報!$B:$B,$A579,従業員の給与情報!$C:$C)))))</f>
        <v/>
      </c>
      <c r="U579" s="299" t="str">
        <f>IF(OR(入力シート!$C$5&lt;&gt;入力リスト!$C$3,COUNTIF(入力シート!$J$16:$S$23,入力リスト!$H$9)=0),"",IF(A579="","",IF(ISERROR(AVERAGEIF(従業員の給与情報!$B:$B,$A579,従業員の給与情報!$D:$D)),0,IF(ISERROR(AVERAGEIF(従業員の給与情報!$B:$B,$A579,従業員の給与情報!$D:$D)),0,AVERAGEIF(従業員の給与情報!$B:$B,$A579,従業員の給与情報!$D:$D)))))</f>
        <v/>
      </c>
      <c r="V579" s="299" t="str">
        <f>IF(OR(入力シート!$C$5&lt;&gt;入力リスト!$C$3,COUNTIF(入力シート!$J$16:$S$23,入力リスト!$H$9)=0),"",IF(A579="","",IF(ISERROR(AVERAGEIF(従業員の給与情報!$B:$B,$A579,従業員の給与情報!$E:$E)),0,IF(ISERROR(AVERAGEIF(従業員の給与情報!$B:$B,$A579,従業員の給与情報!$E:$E)),0,AVERAGEIF(従業員の給与情報!$B:$B,$A579,従業員の給与情報!$E:$E)))))</f>
        <v/>
      </c>
      <c r="W579" s="299" t="str">
        <f>IF(OR(入力シート!$C$5&lt;&gt;入力リスト!$C$3,COUNTIF(入力シート!$J$16:$S$23,入力リスト!$H$9)=0),"",IF(A579="","",IF(ISERROR(AVERAGEIF(従業員の給与情報!$B:$B,$A579,従業員の給与情報!$F:$F)),0,IF(ISERROR(AVERAGEIF(従業員の給与情報!$B:$B,$A579,従業員の給与情報!$F:$F)),0,AVERAGEIF(従業員の給与情報!$B:$B,$A579,従業員の給与情報!$F:$F)))))</f>
        <v/>
      </c>
      <c r="X579" s="581" t="s">
        <v>5318</v>
      </c>
    </row>
    <row r="580" spans="6:24">
      <c r="F580" s="297" t="str">
        <f>IF($G$1,"",IF(COUNTIF(A580:E580,"")=5,"",IF(G580,入力リスト!$K$28,IF(OR(A580="",B580="",IF(COUNTIF($C$3,"*不要*"),"",C580=""),D580=""),IF(A580="","従業員番号","")&amp;IF(B580="","「雇用形態」","")&amp;IF(OR(入力シート!$J$18=入力リスト!$H$9,入力シート!$J$22=入力リスト!$H$9),IF(C580="","「入社年月日」",""),"")&amp;IF(D580="","「性別」","")&amp;IF(IF(A580="","従業員番号","")&amp;IF(B580="","「雇用形態」","")&amp;IF(OR(入力シート!$J$18=入力リスト!$H$9,入力シート!$J$22=入力リスト!$H$9),IF(C580="","「入社年月日」",""),"")&amp;IF(D580="","「性別」","")="","",入力リスト!$K$29),IF(J580,入力リスト!$K$30,"")&amp;IF(I580,入力リスト!$K$31,"")&amp;IF(H580,"「雇用形態」","")&amp;IF(K580,"「性別」","")&amp;IF(L580,"「役職」","")&amp;IF(OR(H580,K580,L580),入力リスト!$K$32,"")))))</f>
        <v/>
      </c>
      <c r="G580" s="298" t="b">
        <f>COUNTIF($A$4:A579,$A580)&gt;0</f>
        <v>0</v>
      </c>
      <c r="H580" s="298" t="b">
        <f>IF($H$1,FALSE,COUNTIF(入力シート!$S$37:$V$62,B580)=0)</f>
        <v>0</v>
      </c>
      <c r="I580" s="298" t="b">
        <f t="shared" si="19"/>
        <v>0</v>
      </c>
      <c r="J580" s="298" t="b">
        <f>IF($J$1,FALSE,IF(I580=TRUE,FALSE,IF(I580,FALSE,C580&gt;入力シート!$J$24)))</f>
        <v>0</v>
      </c>
      <c r="K580" s="298" t="b">
        <f>IF($K$1,FALSE,COUNTIF(入力シート!$AW$37:$BB$38,D580)=0)</f>
        <v>0</v>
      </c>
      <c r="L580" s="298" t="b">
        <f>IF($L$1,FALSE,IF($L$3,FALSE,IF(E580="",FALSE,COUNTIF(入力シート!$AH$37:$AK$62,E580)=0)))</f>
        <v>0</v>
      </c>
      <c r="M580" s="298" t="str">
        <f t="shared" si="20"/>
        <v/>
      </c>
      <c r="N580" s="298" t="str">
        <f>IF(G580,"この従業員番号は、すでに他のセルで入力されています。",IF(入力シート!$C$5=入力リスト!$C$4,"",IF(AND(A580="",B580="",C580="",D580="",E580=""),"",IF(OR(A580="",B580="",C580="",D580=""),IF(A580="","従業員番号","")&amp;IF(AND(A580="",OR(B580="",C580="",D580="")),",","")&amp;IF(B580="","雇用形態","")&amp;IF(AND(B580="",OR(C580="",D580="")),",","")&amp;IF(OR(入力シート!$J$18=入力リスト!$H$9,入力シート!$J$22=入力リスト!$H$9),IF(C580="","入社年月日",""),"")&amp;IF(AND(C580="",D580=""),",","")&amp;IF(D580="","性別","")&amp;IF(IF(A580="","従業員番号","")&amp;IF(B580="","雇用形態","")&amp;IF(OR(入力シート!$J$18=入力リスト!$H$9,入力シート!$J$22=入力リスト!$H$9),IF(C580="","入社年月日",""),"")&amp;IF(D580="","性別","")="","","が空白です。"),IF(J580,"入社年月日に「基準日」の翌日以降の日付が入力されています。","")&amp;IF(I580,"入社年月日に数値以外（又は1900/1/1以前の日付）が入力されています。","")&amp;IF(H580,"雇用形態"&amp;IF(OR(K580,L580),",",""),"")&amp;IF(K580,"性別"&amp;IF(L580,",",""),"")&amp;IF(L580,"役職","")&amp;IF(OR(H580,K580,L580),"に、［入力シート］(4)「貴社」欄と異なる文言が入力されています。","")))))</f>
        <v/>
      </c>
      <c r="O580" s="298" t="str">
        <f>IF(B580="","",VLOOKUP('従業員情報(給与以外)'!$B580,入力シート!$S$37:$Z$62,5,0))</f>
        <v/>
      </c>
      <c r="P580" s="298" t="str">
        <f>IF(ISNUMBER(C580)=FALSE,"",IF(C580&gt;入力シート!$J$24,"",_xlfn.DAYS(入力シート!$J$24,'従業員情報(給与以外)'!$C580)/365))</f>
        <v/>
      </c>
      <c r="Q580" s="298" t="str">
        <f>IF(P580="","",VLOOKUP(_xlfn.DAYS(入力シート!$J$24,'従業員情報(給与以外)'!$C580)/365,入力リスト!$K$18:$L$26,2,2))</f>
        <v/>
      </c>
      <c r="R580" s="298" t="str">
        <f>IF(D580="","",VLOOKUP('従業員情報(給与以外)'!$D580,入力シート!$AW$37:$BB$38,4,0))</f>
        <v/>
      </c>
      <c r="S580" s="298" t="str">
        <f>IF(A580="","",IF(E580="","非役職",VLOOKUP('従業員情報(給与以外)'!$E580,入力シート!$AH$37:$AO$62,5,0)))</f>
        <v/>
      </c>
      <c r="T580" s="299" t="str">
        <f>IF(OR(入力シート!$C$5&lt;&gt;入力リスト!$C$3,COUNTIF(入力シート!$J$16:$S$23,入力リスト!$H$9)=0),"",IF($A580="","",IF(ISERROR(AVERAGEIF(従業員の給与情報!$B:$B,$A580,従業員の給与情報!$C:$C)),0,IF(ISERROR(AVERAGEIF(従業員の給与情報!$B:$B,$A580,従業員の給与情報!$C:$C)),0,AVERAGEIF(従業員の給与情報!$B:$B,$A580,従業員の給与情報!$C:$C)))))</f>
        <v/>
      </c>
      <c r="U580" s="299" t="str">
        <f>IF(OR(入力シート!$C$5&lt;&gt;入力リスト!$C$3,COUNTIF(入力シート!$J$16:$S$23,入力リスト!$H$9)=0),"",IF(A580="","",IF(ISERROR(AVERAGEIF(従業員の給与情報!$B:$B,$A580,従業員の給与情報!$D:$D)),0,IF(ISERROR(AVERAGEIF(従業員の給与情報!$B:$B,$A580,従業員の給与情報!$D:$D)),0,AVERAGEIF(従業員の給与情報!$B:$B,$A580,従業員の給与情報!$D:$D)))))</f>
        <v/>
      </c>
      <c r="V580" s="299" t="str">
        <f>IF(OR(入力シート!$C$5&lt;&gt;入力リスト!$C$3,COUNTIF(入力シート!$J$16:$S$23,入力リスト!$H$9)=0),"",IF(A580="","",IF(ISERROR(AVERAGEIF(従業員の給与情報!$B:$B,$A580,従業員の給与情報!$E:$E)),0,IF(ISERROR(AVERAGEIF(従業員の給与情報!$B:$B,$A580,従業員の給与情報!$E:$E)),0,AVERAGEIF(従業員の給与情報!$B:$B,$A580,従業員の給与情報!$E:$E)))))</f>
        <v/>
      </c>
      <c r="W580" s="299" t="str">
        <f>IF(OR(入力シート!$C$5&lt;&gt;入力リスト!$C$3,COUNTIF(入力シート!$J$16:$S$23,入力リスト!$H$9)=0),"",IF(A580="","",IF(ISERROR(AVERAGEIF(従業員の給与情報!$B:$B,$A580,従業員の給与情報!$F:$F)),0,IF(ISERROR(AVERAGEIF(従業員の給与情報!$B:$B,$A580,従業員の給与情報!$F:$F)),0,AVERAGEIF(従業員の給与情報!$B:$B,$A580,従業員の給与情報!$F:$F)))))</f>
        <v/>
      </c>
      <c r="X580" s="581" t="s">
        <v>5319</v>
      </c>
    </row>
    <row r="581" spans="6:24">
      <c r="F581" s="297" t="str">
        <f>IF($G$1,"",IF(COUNTIF(A581:E581,"")=5,"",IF(G581,入力リスト!$K$28,IF(OR(A581="",B581="",IF(COUNTIF($C$3,"*不要*"),"",C581=""),D581=""),IF(A581="","従業員番号","")&amp;IF(B581="","「雇用形態」","")&amp;IF(OR(入力シート!$J$18=入力リスト!$H$9,入力シート!$J$22=入力リスト!$H$9),IF(C581="","「入社年月日」",""),"")&amp;IF(D581="","「性別」","")&amp;IF(IF(A581="","従業員番号","")&amp;IF(B581="","「雇用形態」","")&amp;IF(OR(入力シート!$J$18=入力リスト!$H$9,入力シート!$J$22=入力リスト!$H$9),IF(C581="","「入社年月日」",""),"")&amp;IF(D581="","「性別」","")="","",入力リスト!$K$29),IF(J581,入力リスト!$K$30,"")&amp;IF(I581,入力リスト!$K$31,"")&amp;IF(H581,"「雇用形態」","")&amp;IF(K581,"「性別」","")&amp;IF(L581,"「役職」","")&amp;IF(OR(H581,K581,L581),入力リスト!$K$32,"")))))</f>
        <v/>
      </c>
      <c r="G581" s="298" t="b">
        <f>COUNTIF($A$4:A580,$A581)&gt;0</f>
        <v>0</v>
      </c>
      <c r="H581" s="298" t="b">
        <f>IF($H$1,FALSE,COUNTIF(入力シート!$S$37:$V$62,B581)=0)</f>
        <v>0</v>
      </c>
      <c r="I581" s="298" t="b">
        <f t="shared" si="19"/>
        <v>0</v>
      </c>
      <c r="J581" s="298" t="b">
        <f>IF($J$1,FALSE,IF(I581=TRUE,FALSE,IF(I581,FALSE,C581&gt;入力シート!$J$24)))</f>
        <v>0</v>
      </c>
      <c r="K581" s="298" t="b">
        <f>IF($K$1,FALSE,COUNTIF(入力シート!$AW$37:$BB$38,D581)=0)</f>
        <v>0</v>
      </c>
      <c r="L581" s="298" t="b">
        <f>IF($L$1,FALSE,IF($L$3,FALSE,IF(E581="",FALSE,COUNTIF(入力シート!$AH$37:$AK$62,E581)=0)))</f>
        <v>0</v>
      </c>
      <c r="M581" s="298" t="str">
        <f t="shared" si="20"/>
        <v/>
      </c>
      <c r="N581" s="298" t="str">
        <f>IF(G581,"この従業員番号は、すでに他のセルで入力されています。",IF(入力シート!$C$5=入力リスト!$C$4,"",IF(AND(A581="",B581="",C581="",D581="",E581=""),"",IF(OR(A581="",B581="",C581="",D581=""),IF(A581="","従業員番号","")&amp;IF(AND(A581="",OR(B581="",C581="",D581="")),",","")&amp;IF(B581="","雇用形態","")&amp;IF(AND(B581="",OR(C581="",D581="")),",","")&amp;IF(OR(入力シート!$J$18=入力リスト!$H$9,入力シート!$J$22=入力リスト!$H$9),IF(C581="","入社年月日",""),"")&amp;IF(AND(C581="",D581=""),",","")&amp;IF(D581="","性別","")&amp;IF(IF(A581="","従業員番号","")&amp;IF(B581="","雇用形態","")&amp;IF(OR(入力シート!$J$18=入力リスト!$H$9,入力シート!$J$22=入力リスト!$H$9),IF(C581="","入社年月日",""),"")&amp;IF(D581="","性別","")="","","が空白です。"),IF(J581,"入社年月日に「基準日」の翌日以降の日付が入力されています。","")&amp;IF(I581,"入社年月日に数値以外（又は1900/1/1以前の日付）が入力されています。","")&amp;IF(H581,"雇用形態"&amp;IF(OR(K581,L581),",",""),"")&amp;IF(K581,"性別"&amp;IF(L581,",",""),"")&amp;IF(L581,"役職","")&amp;IF(OR(H581,K581,L581),"に、［入力シート］(4)「貴社」欄と異なる文言が入力されています。","")))))</f>
        <v/>
      </c>
      <c r="O581" s="298" t="str">
        <f>IF(B581="","",VLOOKUP('従業員情報(給与以外)'!$B581,入力シート!$S$37:$Z$62,5,0))</f>
        <v/>
      </c>
      <c r="P581" s="298" t="str">
        <f>IF(ISNUMBER(C581)=FALSE,"",IF(C581&gt;入力シート!$J$24,"",_xlfn.DAYS(入力シート!$J$24,'従業員情報(給与以外)'!$C581)/365))</f>
        <v/>
      </c>
      <c r="Q581" s="298" t="str">
        <f>IF(P581="","",VLOOKUP(_xlfn.DAYS(入力シート!$J$24,'従業員情報(給与以外)'!$C581)/365,入力リスト!$K$18:$L$26,2,2))</f>
        <v/>
      </c>
      <c r="R581" s="298" t="str">
        <f>IF(D581="","",VLOOKUP('従業員情報(給与以外)'!$D581,入力シート!$AW$37:$BB$38,4,0))</f>
        <v/>
      </c>
      <c r="S581" s="298" t="str">
        <f>IF(A581="","",IF(E581="","非役職",VLOOKUP('従業員情報(給与以外)'!$E581,入力シート!$AH$37:$AO$62,5,0)))</f>
        <v/>
      </c>
      <c r="T581" s="299" t="str">
        <f>IF(OR(入力シート!$C$5&lt;&gt;入力リスト!$C$3,COUNTIF(入力シート!$J$16:$S$23,入力リスト!$H$9)=0),"",IF($A581="","",IF(ISERROR(AVERAGEIF(従業員の給与情報!$B:$B,$A581,従業員の給与情報!$C:$C)),0,IF(ISERROR(AVERAGEIF(従業員の給与情報!$B:$B,$A581,従業員の給与情報!$C:$C)),0,AVERAGEIF(従業員の給与情報!$B:$B,$A581,従業員の給与情報!$C:$C)))))</f>
        <v/>
      </c>
      <c r="U581" s="299" t="str">
        <f>IF(OR(入力シート!$C$5&lt;&gt;入力リスト!$C$3,COUNTIF(入力シート!$J$16:$S$23,入力リスト!$H$9)=0),"",IF(A581="","",IF(ISERROR(AVERAGEIF(従業員の給与情報!$B:$B,$A581,従業員の給与情報!$D:$D)),0,IF(ISERROR(AVERAGEIF(従業員の給与情報!$B:$B,$A581,従業員の給与情報!$D:$D)),0,AVERAGEIF(従業員の給与情報!$B:$B,$A581,従業員の給与情報!$D:$D)))))</f>
        <v/>
      </c>
      <c r="V581" s="299" t="str">
        <f>IF(OR(入力シート!$C$5&lt;&gt;入力リスト!$C$3,COUNTIF(入力シート!$J$16:$S$23,入力リスト!$H$9)=0),"",IF(A581="","",IF(ISERROR(AVERAGEIF(従業員の給与情報!$B:$B,$A581,従業員の給与情報!$E:$E)),0,IF(ISERROR(AVERAGEIF(従業員の給与情報!$B:$B,$A581,従業員の給与情報!$E:$E)),0,AVERAGEIF(従業員の給与情報!$B:$B,$A581,従業員の給与情報!$E:$E)))))</f>
        <v/>
      </c>
      <c r="W581" s="299" t="str">
        <f>IF(OR(入力シート!$C$5&lt;&gt;入力リスト!$C$3,COUNTIF(入力シート!$J$16:$S$23,入力リスト!$H$9)=0),"",IF(A581="","",IF(ISERROR(AVERAGEIF(従業員の給与情報!$B:$B,$A581,従業員の給与情報!$F:$F)),0,IF(ISERROR(AVERAGEIF(従業員の給与情報!$B:$B,$A581,従業員の給与情報!$F:$F)),0,AVERAGEIF(従業員の給与情報!$B:$B,$A581,従業員の給与情報!$F:$F)))))</f>
        <v/>
      </c>
      <c r="X581" s="581" t="s">
        <v>5320</v>
      </c>
    </row>
    <row r="582" spans="6:24">
      <c r="F582" s="297" t="str">
        <f>IF($G$1,"",IF(COUNTIF(A582:E582,"")=5,"",IF(G582,入力リスト!$K$28,IF(OR(A582="",B582="",IF(COUNTIF($C$3,"*不要*"),"",C582=""),D582=""),IF(A582="","従業員番号","")&amp;IF(B582="","「雇用形態」","")&amp;IF(OR(入力シート!$J$18=入力リスト!$H$9,入力シート!$J$22=入力リスト!$H$9),IF(C582="","「入社年月日」",""),"")&amp;IF(D582="","「性別」","")&amp;IF(IF(A582="","従業員番号","")&amp;IF(B582="","「雇用形態」","")&amp;IF(OR(入力シート!$J$18=入力リスト!$H$9,入力シート!$J$22=入力リスト!$H$9),IF(C582="","「入社年月日」",""),"")&amp;IF(D582="","「性別」","")="","",入力リスト!$K$29),IF(J582,入力リスト!$K$30,"")&amp;IF(I582,入力リスト!$K$31,"")&amp;IF(H582,"「雇用形態」","")&amp;IF(K582,"「性別」","")&amp;IF(L582,"「役職」","")&amp;IF(OR(H582,K582,L582),入力リスト!$K$32,"")))))</f>
        <v/>
      </c>
      <c r="G582" s="298" t="b">
        <f>COUNTIF($A$4:A581,$A582)&gt;0</f>
        <v>0</v>
      </c>
      <c r="H582" s="298" t="b">
        <f>IF($H$1,FALSE,COUNTIF(入力シート!$S$37:$V$62,B582)=0)</f>
        <v>0</v>
      </c>
      <c r="I582" s="298" t="b">
        <f t="shared" si="19"/>
        <v>0</v>
      </c>
      <c r="J582" s="298" t="b">
        <f>IF($J$1,FALSE,IF(I582=TRUE,FALSE,IF(I582,FALSE,C582&gt;入力シート!$J$24)))</f>
        <v>0</v>
      </c>
      <c r="K582" s="298" t="b">
        <f>IF($K$1,FALSE,COUNTIF(入力シート!$AW$37:$BB$38,D582)=0)</f>
        <v>0</v>
      </c>
      <c r="L582" s="298" t="b">
        <f>IF($L$1,FALSE,IF($L$3,FALSE,IF(E582="",FALSE,COUNTIF(入力シート!$AH$37:$AK$62,E582)=0)))</f>
        <v>0</v>
      </c>
      <c r="M582" s="298" t="str">
        <f t="shared" si="20"/>
        <v/>
      </c>
      <c r="N582" s="298" t="str">
        <f>IF(G582,"この従業員番号は、すでに他のセルで入力されています。",IF(入力シート!$C$5=入力リスト!$C$4,"",IF(AND(A582="",B582="",C582="",D582="",E582=""),"",IF(OR(A582="",B582="",C582="",D582=""),IF(A582="","従業員番号","")&amp;IF(AND(A582="",OR(B582="",C582="",D582="")),",","")&amp;IF(B582="","雇用形態","")&amp;IF(AND(B582="",OR(C582="",D582="")),",","")&amp;IF(OR(入力シート!$J$18=入力リスト!$H$9,入力シート!$J$22=入力リスト!$H$9),IF(C582="","入社年月日",""),"")&amp;IF(AND(C582="",D582=""),",","")&amp;IF(D582="","性別","")&amp;IF(IF(A582="","従業員番号","")&amp;IF(B582="","雇用形態","")&amp;IF(OR(入力シート!$J$18=入力リスト!$H$9,入力シート!$J$22=入力リスト!$H$9),IF(C582="","入社年月日",""),"")&amp;IF(D582="","性別","")="","","が空白です。"),IF(J582,"入社年月日に「基準日」の翌日以降の日付が入力されています。","")&amp;IF(I582,"入社年月日に数値以外（又は1900/1/1以前の日付）が入力されています。","")&amp;IF(H582,"雇用形態"&amp;IF(OR(K582,L582),",",""),"")&amp;IF(K582,"性別"&amp;IF(L582,",",""),"")&amp;IF(L582,"役職","")&amp;IF(OR(H582,K582,L582),"に、［入力シート］(4)「貴社」欄と異なる文言が入力されています。","")))))</f>
        <v/>
      </c>
      <c r="O582" s="298" t="str">
        <f>IF(B582="","",VLOOKUP('従業員情報(給与以外)'!$B582,入力シート!$S$37:$Z$62,5,0))</f>
        <v/>
      </c>
      <c r="P582" s="298" t="str">
        <f>IF(ISNUMBER(C582)=FALSE,"",IF(C582&gt;入力シート!$J$24,"",_xlfn.DAYS(入力シート!$J$24,'従業員情報(給与以外)'!$C582)/365))</f>
        <v/>
      </c>
      <c r="Q582" s="298" t="str">
        <f>IF(P582="","",VLOOKUP(_xlfn.DAYS(入力シート!$J$24,'従業員情報(給与以外)'!$C582)/365,入力リスト!$K$18:$L$26,2,2))</f>
        <v/>
      </c>
      <c r="R582" s="298" t="str">
        <f>IF(D582="","",VLOOKUP('従業員情報(給与以外)'!$D582,入力シート!$AW$37:$BB$38,4,0))</f>
        <v/>
      </c>
      <c r="S582" s="298" t="str">
        <f>IF(A582="","",IF(E582="","非役職",VLOOKUP('従業員情報(給与以外)'!$E582,入力シート!$AH$37:$AO$62,5,0)))</f>
        <v/>
      </c>
      <c r="T582" s="299" t="str">
        <f>IF(OR(入力シート!$C$5&lt;&gt;入力リスト!$C$3,COUNTIF(入力シート!$J$16:$S$23,入力リスト!$H$9)=0),"",IF($A582="","",IF(ISERROR(AVERAGEIF(従業員の給与情報!$B:$B,$A582,従業員の給与情報!$C:$C)),0,IF(ISERROR(AVERAGEIF(従業員の給与情報!$B:$B,$A582,従業員の給与情報!$C:$C)),0,AVERAGEIF(従業員の給与情報!$B:$B,$A582,従業員の給与情報!$C:$C)))))</f>
        <v/>
      </c>
      <c r="U582" s="299" t="str">
        <f>IF(OR(入力シート!$C$5&lt;&gt;入力リスト!$C$3,COUNTIF(入力シート!$J$16:$S$23,入力リスト!$H$9)=0),"",IF(A582="","",IF(ISERROR(AVERAGEIF(従業員の給与情報!$B:$B,$A582,従業員の給与情報!$D:$D)),0,IF(ISERROR(AVERAGEIF(従業員の給与情報!$B:$B,$A582,従業員の給与情報!$D:$D)),0,AVERAGEIF(従業員の給与情報!$B:$B,$A582,従業員の給与情報!$D:$D)))))</f>
        <v/>
      </c>
      <c r="V582" s="299" t="str">
        <f>IF(OR(入力シート!$C$5&lt;&gt;入力リスト!$C$3,COUNTIF(入力シート!$J$16:$S$23,入力リスト!$H$9)=0),"",IF(A582="","",IF(ISERROR(AVERAGEIF(従業員の給与情報!$B:$B,$A582,従業員の給与情報!$E:$E)),0,IF(ISERROR(AVERAGEIF(従業員の給与情報!$B:$B,$A582,従業員の給与情報!$E:$E)),0,AVERAGEIF(従業員の給与情報!$B:$B,$A582,従業員の給与情報!$E:$E)))))</f>
        <v/>
      </c>
      <c r="W582" s="299" t="str">
        <f>IF(OR(入力シート!$C$5&lt;&gt;入力リスト!$C$3,COUNTIF(入力シート!$J$16:$S$23,入力リスト!$H$9)=0),"",IF(A582="","",IF(ISERROR(AVERAGEIF(従業員の給与情報!$B:$B,$A582,従業員の給与情報!$F:$F)),0,IF(ISERROR(AVERAGEIF(従業員の給与情報!$B:$B,$A582,従業員の給与情報!$F:$F)),0,AVERAGEIF(従業員の給与情報!$B:$B,$A582,従業員の給与情報!$F:$F)))))</f>
        <v/>
      </c>
      <c r="X582" s="581" t="s">
        <v>5321</v>
      </c>
    </row>
    <row r="583" spans="6:24">
      <c r="F583" s="297" t="str">
        <f>IF($G$1,"",IF(COUNTIF(A583:E583,"")=5,"",IF(G583,入力リスト!$K$28,IF(OR(A583="",B583="",IF(COUNTIF($C$3,"*不要*"),"",C583=""),D583=""),IF(A583="","従業員番号","")&amp;IF(B583="","「雇用形態」","")&amp;IF(OR(入力シート!$J$18=入力リスト!$H$9,入力シート!$J$22=入力リスト!$H$9),IF(C583="","「入社年月日」",""),"")&amp;IF(D583="","「性別」","")&amp;IF(IF(A583="","従業員番号","")&amp;IF(B583="","「雇用形態」","")&amp;IF(OR(入力シート!$J$18=入力リスト!$H$9,入力シート!$J$22=入力リスト!$H$9),IF(C583="","「入社年月日」",""),"")&amp;IF(D583="","「性別」","")="","",入力リスト!$K$29),IF(J583,入力リスト!$K$30,"")&amp;IF(I583,入力リスト!$K$31,"")&amp;IF(H583,"「雇用形態」","")&amp;IF(K583,"「性別」","")&amp;IF(L583,"「役職」","")&amp;IF(OR(H583,K583,L583),入力リスト!$K$32,"")))))</f>
        <v/>
      </c>
      <c r="G583" s="298" t="b">
        <f>COUNTIF($A$4:A582,$A583)&gt;0</f>
        <v>0</v>
      </c>
      <c r="H583" s="298" t="b">
        <f>IF($H$1,FALSE,COUNTIF(入力シート!$S$37:$V$62,B583)=0)</f>
        <v>0</v>
      </c>
      <c r="I583" s="298" t="b">
        <f t="shared" si="19"/>
        <v>0</v>
      </c>
      <c r="J583" s="298" t="b">
        <f>IF($J$1,FALSE,IF(I583=TRUE,FALSE,IF(I583,FALSE,C583&gt;入力シート!$J$24)))</f>
        <v>0</v>
      </c>
      <c r="K583" s="298" t="b">
        <f>IF($K$1,FALSE,COUNTIF(入力シート!$AW$37:$BB$38,D583)=0)</f>
        <v>0</v>
      </c>
      <c r="L583" s="298" t="b">
        <f>IF($L$1,FALSE,IF($L$3,FALSE,IF(E583="",FALSE,COUNTIF(入力シート!$AH$37:$AK$62,E583)=0)))</f>
        <v>0</v>
      </c>
      <c r="M583" s="298" t="str">
        <f t="shared" si="20"/>
        <v/>
      </c>
      <c r="N583" s="298" t="str">
        <f>IF(G583,"この従業員番号は、すでに他のセルで入力されています。",IF(入力シート!$C$5=入力リスト!$C$4,"",IF(AND(A583="",B583="",C583="",D583="",E583=""),"",IF(OR(A583="",B583="",C583="",D583=""),IF(A583="","従業員番号","")&amp;IF(AND(A583="",OR(B583="",C583="",D583="")),",","")&amp;IF(B583="","雇用形態","")&amp;IF(AND(B583="",OR(C583="",D583="")),",","")&amp;IF(OR(入力シート!$J$18=入力リスト!$H$9,入力シート!$J$22=入力リスト!$H$9),IF(C583="","入社年月日",""),"")&amp;IF(AND(C583="",D583=""),",","")&amp;IF(D583="","性別","")&amp;IF(IF(A583="","従業員番号","")&amp;IF(B583="","雇用形態","")&amp;IF(OR(入力シート!$J$18=入力リスト!$H$9,入力シート!$J$22=入力リスト!$H$9),IF(C583="","入社年月日",""),"")&amp;IF(D583="","性別","")="","","が空白です。"),IF(J583,"入社年月日に「基準日」の翌日以降の日付が入力されています。","")&amp;IF(I583,"入社年月日に数値以外（又は1900/1/1以前の日付）が入力されています。","")&amp;IF(H583,"雇用形態"&amp;IF(OR(K583,L583),",",""),"")&amp;IF(K583,"性別"&amp;IF(L583,",",""),"")&amp;IF(L583,"役職","")&amp;IF(OR(H583,K583,L583),"に、［入力シート］(4)「貴社」欄と異なる文言が入力されています。","")))))</f>
        <v/>
      </c>
      <c r="O583" s="298" t="str">
        <f>IF(B583="","",VLOOKUP('従業員情報(給与以外)'!$B583,入力シート!$S$37:$Z$62,5,0))</f>
        <v/>
      </c>
      <c r="P583" s="298" t="str">
        <f>IF(ISNUMBER(C583)=FALSE,"",IF(C583&gt;入力シート!$J$24,"",_xlfn.DAYS(入力シート!$J$24,'従業員情報(給与以外)'!$C583)/365))</f>
        <v/>
      </c>
      <c r="Q583" s="298" t="str">
        <f>IF(P583="","",VLOOKUP(_xlfn.DAYS(入力シート!$J$24,'従業員情報(給与以外)'!$C583)/365,入力リスト!$K$18:$L$26,2,2))</f>
        <v/>
      </c>
      <c r="R583" s="298" t="str">
        <f>IF(D583="","",VLOOKUP('従業員情報(給与以外)'!$D583,入力シート!$AW$37:$BB$38,4,0))</f>
        <v/>
      </c>
      <c r="S583" s="298" t="str">
        <f>IF(A583="","",IF(E583="","非役職",VLOOKUP('従業員情報(給与以外)'!$E583,入力シート!$AH$37:$AO$62,5,0)))</f>
        <v/>
      </c>
      <c r="T583" s="299" t="str">
        <f>IF(OR(入力シート!$C$5&lt;&gt;入力リスト!$C$3,COUNTIF(入力シート!$J$16:$S$23,入力リスト!$H$9)=0),"",IF($A583="","",IF(ISERROR(AVERAGEIF(従業員の給与情報!$B:$B,$A583,従業員の給与情報!$C:$C)),0,IF(ISERROR(AVERAGEIF(従業員の給与情報!$B:$B,$A583,従業員の給与情報!$C:$C)),0,AVERAGEIF(従業員の給与情報!$B:$B,$A583,従業員の給与情報!$C:$C)))))</f>
        <v/>
      </c>
      <c r="U583" s="299" t="str">
        <f>IF(OR(入力シート!$C$5&lt;&gt;入力リスト!$C$3,COUNTIF(入力シート!$J$16:$S$23,入力リスト!$H$9)=0),"",IF(A583="","",IF(ISERROR(AVERAGEIF(従業員の給与情報!$B:$B,$A583,従業員の給与情報!$D:$D)),0,IF(ISERROR(AVERAGEIF(従業員の給与情報!$B:$B,$A583,従業員の給与情報!$D:$D)),0,AVERAGEIF(従業員の給与情報!$B:$B,$A583,従業員の給与情報!$D:$D)))))</f>
        <v/>
      </c>
      <c r="V583" s="299" t="str">
        <f>IF(OR(入力シート!$C$5&lt;&gt;入力リスト!$C$3,COUNTIF(入力シート!$J$16:$S$23,入力リスト!$H$9)=0),"",IF(A583="","",IF(ISERROR(AVERAGEIF(従業員の給与情報!$B:$B,$A583,従業員の給与情報!$E:$E)),0,IF(ISERROR(AVERAGEIF(従業員の給与情報!$B:$B,$A583,従業員の給与情報!$E:$E)),0,AVERAGEIF(従業員の給与情報!$B:$B,$A583,従業員の給与情報!$E:$E)))))</f>
        <v/>
      </c>
      <c r="W583" s="299" t="str">
        <f>IF(OR(入力シート!$C$5&lt;&gt;入力リスト!$C$3,COUNTIF(入力シート!$J$16:$S$23,入力リスト!$H$9)=0),"",IF(A583="","",IF(ISERROR(AVERAGEIF(従業員の給与情報!$B:$B,$A583,従業員の給与情報!$F:$F)),0,IF(ISERROR(AVERAGEIF(従業員の給与情報!$B:$B,$A583,従業員の給与情報!$F:$F)),0,AVERAGEIF(従業員の給与情報!$B:$B,$A583,従業員の給与情報!$F:$F)))))</f>
        <v/>
      </c>
      <c r="X583" s="581" t="s">
        <v>5322</v>
      </c>
    </row>
    <row r="584" spans="6:24">
      <c r="F584" s="297" t="str">
        <f>IF($G$1,"",IF(COUNTIF(A584:E584,"")=5,"",IF(G584,入力リスト!$K$28,IF(OR(A584="",B584="",IF(COUNTIF($C$3,"*不要*"),"",C584=""),D584=""),IF(A584="","従業員番号","")&amp;IF(B584="","「雇用形態」","")&amp;IF(OR(入力シート!$J$18=入力リスト!$H$9,入力シート!$J$22=入力リスト!$H$9),IF(C584="","「入社年月日」",""),"")&amp;IF(D584="","「性別」","")&amp;IF(IF(A584="","従業員番号","")&amp;IF(B584="","「雇用形態」","")&amp;IF(OR(入力シート!$J$18=入力リスト!$H$9,入力シート!$J$22=入力リスト!$H$9),IF(C584="","「入社年月日」",""),"")&amp;IF(D584="","「性別」","")="","",入力リスト!$K$29),IF(J584,入力リスト!$K$30,"")&amp;IF(I584,入力リスト!$K$31,"")&amp;IF(H584,"「雇用形態」","")&amp;IF(K584,"「性別」","")&amp;IF(L584,"「役職」","")&amp;IF(OR(H584,K584,L584),入力リスト!$K$32,"")))))</f>
        <v/>
      </c>
      <c r="G584" s="298" t="b">
        <f>COUNTIF($A$4:A583,$A584)&gt;0</f>
        <v>0</v>
      </c>
      <c r="H584" s="298" t="b">
        <f>IF($H$1,FALSE,COUNTIF(入力シート!$S$37:$V$62,B584)=0)</f>
        <v>0</v>
      </c>
      <c r="I584" s="298" t="b">
        <f t="shared" si="19"/>
        <v>0</v>
      </c>
      <c r="J584" s="298" t="b">
        <f>IF($J$1,FALSE,IF(I584=TRUE,FALSE,IF(I584,FALSE,C584&gt;入力シート!$J$24)))</f>
        <v>0</v>
      </c>
      <c r="K584" s="298" t="b">
        <f>IF($K$1,FALSE,COUNTIF(入力シート!$AW$37:$BB$38,D584)=0)</f>
        <v>0</v>
      </c>
      <c r="L584" s="298" t="b">
        <f>IF($L$1,FALSE,IF($L$3,FALSE,IF(E584="",FALSE,COUNTIF(入力シート!$AH$37:$AK$62,E584)=0)))</f>
        <v>0</v>
      </c>
      <c r="M584" s="298" t="str">
        <f t="shared" si="20"/>
        <v/>
      </c>
      <c r="N584" s="298" t="str">
        <f>IF(G584,"この従業員番号は、すでに他のセルで入力されています。",IF(入力シート!$C$5=入力リスト!$C$4,"",IF(AND(A584="",B584="",C584="",D584="",E584=""),"",IF(OR(A584="",B584="",C584="",D584=""),IF(A584="","従業員番号","")&amp;IF(AND(A584="",OR(B584="",C584="",D584="")),",","")&amp;IF(B584="","雇用形態","")&amp;IF(AND(B584="",OR(C584="",D584="")),",","")&amp;IF(OR(入力シート!$J$18=入力リスト!$H$9,入力シート!$J$22=入力リスト!$H$9),IF(C584="","入社年月日",""),"")&amp;IF(AND(C584="",D584=""),",","")&amp;IF(D584="","性別","")&amp;IF(IF(A584="","従業員番号","")&amp;IF(B584="","雇用形態","")&amp;IF(OR(入力シート!$J$18=入力リスト!$H$9,入力シート!$J$22=入力リスト!$H$9),IF(C584="","入社年月日",""),"")&amp;IF(D584="","性別","")="","","が空白です。"),IF(J584,"入社年月日に「基準日」の翌日以降の日付が入力されています。","")&amp;IF(I584,"入社年月日に数値以外（又は1900/1/1以前の日付）が入力されています。","")&amp;IF(H584,"雇用形態"&amp;IF(OR(K584,L584),",",""),"")&amp;IF(K584,"性別"&amp;IF(L584,",",""),"")&amp;IF(L584,"役職","")&amp;IF(OR(H584,K584,L584),"に、［入力シート］(4)「貴社」欄と異なる文言が入力されています。","")))))</f>
        <v/>
      </c>
      <c r="O584" s="298" t="str">
        <f>IF(B584="","",VLOOKUP('従業員情報(給与以外)'!$B584,入力シート!$S$37:$Z$62,5,0))</f>
        <v/>
      </c>
      <c r="P584" s="298" t="str">
        <f>IF(ISNUMBER(C584)=FALSE,"",IF(C584&gt;入力シート!$J$24,"",_xlfn.DAYS(入力シート!$J$24,'従業員情報(給与以外)'!$C584)/365))</f>
        <v/>
      </c>
      <c r="Q584" s="298" t="str">
        <f>IF(P584="","",VLOOKUP(_xlfn.DAYS(入力シート!$J$24,'従業員情報(給与以外)'!$C584)/365,入力リスト!$K$18:$L$26,2,2))</f>
        <v/>
      </c>
      <c r="R584" s="298" t="str">
        <f>IF(D584="","",VLOOKUP('従業員情報(給与以外)'!$D584,入力シート!$AW$37:$BB$38,4,0))</f>
        <v/>
      </c>
      <c r="S584" s="298" t="str">
        <f>IF(A584="","",IF(E584="","非役職",VLOOKUP('従業員情報(給与以外)'!$E584,入力シート!$AH$37:$AO$62,5,0)))</f>
        <v/>
      </c>
      <c r="T584" s="299" t="str">
        <f>IF(OR(入力シート!$C$5&lt;&gt;入力リスト!$C$3,COUNTIF(入力シート!$J$16:$S$23,入力リスト!$H$9)=0),"",IF($A584="","",IF(ISERROR(AVERAGEIF(従業員の給与情報!$B:$B,$A584,従業員の給与情報!$C:$C)),0,IF(ISERROR(AVERAGEIF(従業員の給与情報!$B:$B,$A584,従業員の給与情報!$C:$C)),0,AVERAGEIF(従業員の給与情報!$B:$B,$A584,従業員の給与情報!$C:$C)))))</f>
        <v/>
      </c>
      <c r="U584" s="299" t="str">
        <f>IF(OR(入力シート!$C$5&lt;&gt;入力リスト!$C$3,COUNTIF(入力シート!$J$16:$S$23,入力リスト!$H$9)=0),"",IF(A584="","",IF(ISERROR(AVERAGEIF(従業員の給与情報!$B:$B,$A584,従業員の給与情報!$D:$D)),0,IF(ISERROR(AVERAGEIF(従業員の給与情報!$B:$B,$A584,従業員の給与情報!$D:$D)),0,AVERAGEIF(従業員の給与情報!$B:$B,$A584,従業員の給与情報!$D:$D)))))</f>
        <v/>
      </c>
      <c r="V584" s="299" t="str">
        <f>IF(OR(入力シート!$C$5&lt;&gt;入力リスト!$C$3,COUNTIF(入力シート!$J$16:$S$23,入力リスト!$H$9)=0),"",IF(A584="","",IF(ISERROR(AVERAGEIF(従業員の給与情報!$B:$B,$A584,従業員の給与情報!$E:$E)),0,IF(ISERROR(AVERAGEIF(従業員の給与情報!$B:$B,$A584,従業員の給与情報!$E:$E)),0,AVERAGEIF(従業員の給与情報!$B:$B,$A584,従業員の給与情報!$E:$E)))))</f>
        <v/>
      </c>
      <c r="W584" s="299" t="str">
        <f>IF(OR(入力シート!$C$5&lt;&gt;入力リスト!$C$3,COUNTIF(入力シート!$J$16:$S$23,入力リスト!$H$9)=0),"",IF(A584="","",IF(ISERROR(AVERAGEIF(従業員の給与情報!$B:$B,$A584,従業員の給与情報!$F:$F)),0,IF(ISERROR(AVERAGEIF(従業員の給与情報!$B:$B,$A584,従業員の給与情報!$F:$F)),0,AVERAGEIF(従業員の給与情報!$B:$B,$A584,従業員の給与情報!$F:$F)))))</f>
        <v/>
      </c>
      <c r="X584" s="581" t="s">
        <v>5323</v>
      </c>
    </row>
    <row r="585" spans="6:24">
      <c r="F585" s="297" t="str">
        <f>IF($G$1,"",IF(COUNTIF(A585:E585,"")=5,"",IF(G585,入力リスト!$K$28,IF(OR(A585="",B585="",IF(COUNTIF($C$3,"*不要*"),"",C585=""),D585=""),IF(A585="","従業員番号","")&amp;IF(B585="","「雇用形態」","")&amp;IF(OR(入力シート!$J$18=入力リスト!$H$9,入力シート!$J$22=入力リスト!$H$9),IF(C585="","「入社年月日」",""),"")&amp;IF(D585="","「性別」","")&amp;IF(IF(A585="","従業員番号","")&amp;IF(B585="","「雇用形態」","")&amp;IF(OR(入力シート!$J$18=入力リスト!$H$9,入力シート!$J$22=入力リスト!$H$9),IF(C585="","「入社年月日」",""),"")&amp;IF(D585="","「性別」","")="","",入力リスト!$K$29),IF(J585,入力リスト!$K$30,"")&amp;IF(I585,入力リスト!$K$31,"")&amp;IF(H585,"「雇用形態」","")&amp;IF(K585,"「性別」","")&amp;IF(L585,"「役職」","")&amp;IF(OR(H585,K585,L585),入力リスト!$K$32,"")))))</f>
        <v/>
      </c>
      <c r="G585" s="298" t="b">
        <f>COUNTIF($A$4:A584,$A585)&gt;0</f>
        <v>0</v>
      </c>
      <c r="H585" s="298" t="b">
        <f>IF($H$1,FALSE,COUNTIF(入力シート!$S$37:$V$62,B585)=0)</f>
        <v>0</v>
      </c>
      <c r="I585" s="298" t="b">
        <f t="shared" si="19"/>
        <v>0</v>
      </c>
      <c r="J585" s="298" t="b">
        <f>IF($J$1,FALSE,IF(I585=TRUE,FALSE,IF(I585,FALSE,C585&gt;入力シート!$J$24)))</f>
        <v>0</v>
      </c>
      <c r="K585" s="298" t="b">
        <f>IF($K$1,FALSE,COUNTIF(入力シート!$AW$37:$BB$38,D585)=0)</f>
        <v>0</v>
      </c>
      <c r="L585" s="298" t="b">
        <f>IF($L$1,FALSE,IF($L$3,FALSE,IF(E585="",FALSE,COUNTIF(入力シート!$AH$37:$AK$62,E585)=0)))</f>
        <v>0</v>
      </c>
      <c r="M585" s="298" t="str">
        <f t="shared" si="20"/>
        <v/>
      </c>
      <c r="N585" s="298" t="str">
        <f>IF(G585,"この従業員番号は、すでに他のセルで入力されています。",IF(入力シート!$C$5=入力リスト!$C$4,"",IF(AND(A585="",B585="",C585="",D585="",E585=""),"",IF(OR(A585="",B585="",C585="",D585=""),IF(A585="","従業員番号","")&amp;IF(AND(A585="",OR(B585="",C585="",D585="")),",","")&amp;IF(B585="","雇用形態","")&amp;IF(AND(B585="",OR(C585="",D585="")),",","")&amp;IF(OR(入力シート!$J$18=入力リスト!$H$9,入力シート!$J$22=入力リスト!$H$9),IF(C585="","入社年月日",""),"")&amp;IF(AND(C585="",D585=""),",","")&amp;IF(D585="","性別","")&amp;IF(IF(A585="","従業員番号","")&amp;IF(B585="","雇用形態","")&amp;IF(OR(入力シート!$J$18=入力リスト!$H$9,入力シート!$J$22=入力リスト!$H$9),IF(C585="","入社年月日",""),"")&amp;IF(D585="","性別","")="","","が空白です。"),IF(J585,"入社年月日に「基準日」の翌日以降の日付が入力されています。","")&amp;IF(I585,"入社年月日に数値以外（又は1900/1/1以前の日付）が入力されています。","")&amp;IF(H585,"雇用形態"&amp;IF(OR(K585,L585),",",""),"")&amp;IF(K585,"性別"&amp;IF(L585,",",""),"")&amp;IF(L585,"役職","")&amp;IF(OR(H585,K585,L585),"に、［入力シート］(4)「貴社」欄と異なる文言が入力されています。","")))))</f>
        <v/>
      </c>
      <c r="O585" s="298" t="str">
        <f>IF(B585="","",VLOOKUP('従業員情報(給与以外)'!$B585,入力シート!$S$37:$Z$62,5,0))</f>
        <v/>
      </c>
      <c r="P585" s="298" t="str">
        <f>IF(ISNUMBER(C585)=FALSE,"",IF(C585&gt;入力シート!$J$24,"",_xlfn.DAYS(入力シート!$J$24,'従業員情報(給与以外)'!$C585)/365))</f>
        <v/>
      </c>
      <c r="Q585" s="298" t="str">
        <f>IF(P585="","",VLOOKUP(_xlfn.DAYS(入力シート!$J$24,'従業員情報(給与以外)'!$C585)/365,入力リスト!$K$18:$L$26,2,2))</f>
        <v/>
      </c>
      <c r="R585" s="298" t="str">
        <f>IF(D585="","",VLOOKUP('従業員情報(給与以外)'!$D585,入力シート!$AW$37:$BB$38,4,0))</f>
        <v/>
      </c>
      <c r="S585" s="298" t="str">
        <f>IF(A585="","",IF(E585="","非役職",VLOOKUP('従業員情報(給与以外)'!$E585,入力シート!$AH$37:$AO$62,5,0)))</f>
        <v/>
      </c>
      <c r="T585" s="299" t="str">
        <f>IF(OR(入力シート!$C$5&lt;&gt;入力リスト!$C$3,COUNTIF(入力シート!$J$16:$S$23,入力リスト!$H$9)=0),"",IF($A585="","",IF(ISERROR(AVERAGEIF(従業員の給与情報!$B:$B,$A585,従業員の給与情報!$C:$C)),0,IF(ISERROR(AVERAGEIF(従業員の給与情報!$B:$B,$A585,従業員の給与情報!$C:$C)),0,AVERAGEIF(従業員の給与情報!$B:$B,$A585,従業員の給与情報!$C:$C)))))</f>
        <v/>
      </c>
      <c r="U585" s="299" t="str">
        <f>IF(OR(入力シート!$C$5&lt;&gt;入力リスト!$C$3,COUNTIF(入力シート!$J$16:$S$23,入力リスト!$H$9)=0),"",IF(A585="","",IF(ISERROR(AVERAGEIF(従業員の給与情報!$B:$B,$A585,従業員の給与情報!$D:$D)),0,IF(ISERROR(AVERAGEIF(従業員の給与情報!$B:$B,$A585,従業員の給与情報!$D:$D)),0,AVERAGEIF(従業員の給与情報!$B:$B,$A585,従業員の給与情報!$D:$D)))))</f>
        <v/>
      </c>
      <c r="V585" s="299" t="str">
        <f>IF(OR(入力シート!$C$5&lt;&gt;入力リスト!$C$3,COUNTIF(入力シート!$J$16:$S$23,入力リスト!$H$9)=0),"",IF(A585="","",IF(ISERROR(AVERAGEIF(従業員の給与情報!$B:$B,$A585,従業員の給与情報!$E:$E)),0,IF(ISERROR(AVERAGEIF(従業員の給与情報!$B:$B,$A585,従業員の給与情報!$E:$E)),0,AVERAGEIF(従業員の給与情報!$B:$B,$A585,従業員の給与情報!$E:$E)))))</f>
        <v/>
      </c>
      <c r="W585" s="299" t="str">
        <f>IF(OR(入力シート!$C$5&lt;&gt;入力リスト!$C$3,COUNTIF(入力シート!$J$16:$S$23,入力リスト!$H$9)=0),"",IF(A585="","",IF(ISERROR(AVERAGEIF(従業員の給与情報!$B:$B,$A585,従業員の給与情報!$F:$F)),0,IF(ISERROR(AVERAGEIF(従業員の給与情報!$B:$B,$A585,従業員の給与情報!$F:$F)),0,AVERAGEIF(従業員の給与情報!$B:$B,$A585,従業員の給与情報!$F:$F)))))</f>
        <v/>
      </c>
      <c r="X585" s="581" t="s">
        <v>5324</v>
      </c>
    </row>
    <row r="586" spans="6:24">
      <c r="F586" s="297" t="str">
        <f>IF($G$1,"",IF(COUNTIF(A586:E586,"")=5,"",IF(G586,入力リスト!$K$28,IF(OR(A586="",B586="",IF(COUNTIF($C$3,"*不要*"),"",C586=""),D586=""),IF(A586="","従業員番号","")&amp;IF(B586="","「雇用形態」","")&amp;IF(OR(入力シート!$J$18=入力リスト!$H$9,入力シート!$J$22=入力リスト!$H$9),IF(C586="","「入社年月日」",""),"")&amp;IF(D586="","「性別」","")&amp;IF(IF(A586="","従業員番号","")&amp;IF(B586="","「雇用形態」","")&amp;IF(OR(入力シート!$J$18=入力リスト!$H$9,入力シート!$J$22=入力リスト!$H$9),IF(C586="","「入社年月日」",""),"")&amp;IF(D586="","「性別」","")="","",入力リスト!$K$29),IF(J586,入力リスト!$K$30,"")&amp;IF(I586,入力リスト!$K$31,"")&amp;IF(H586,"「雇用形態」","")&amp;IF(K586,"「性別」","")&amp;IF(L586,"「役職」","")&amp;IF(OR(H586,K586,L586),入力リスト!$K$32,"")))))</f>
        <v/>
      </c>
      <c r="G586" s="298" t="b">
        <f>COUNTIF($A$4:A585,$A586)&gt;0</f>
        <v>0</v>
      </c>
      <c r="H586" s="298" t="b">
        <f>IF($H$1,FALSE,COUNTIF(入力シート!$S$37:$V$62,B586)=0)</f>
        <v>0</v>
      </c>
      <c r="I586" s="298" t="b">
        <f t="shared" si="19"/>
        <v>0</v>
      </c>
      <c r="J586" s="298" t="b">
        <f>IF($J$1,FALSE,IF(I586=TRUE,FALSE,IF(I586,FALSE,C586&gt;入力シート!$J$24)))</f>
        <v>0</v>
      </c>
      <c r="K586" s="298" t="b">
        <f>IF($K$1,FALSE,COUNTIF(入力シート!$AW$37:$BB$38,D586)=0)</f>
        <v>0</v>
      </c>
      <c r="L586" s="298" t="b">
        <f>IF($L$1,FALSE,IF($L$3,FALSE,IF(E586="",FALSE,COUNTIF(入力シート!$AH$37:$AK$62,E586)=0)))</f>
        <v>0</v>
      </c>
      <c r="M586" s="298" t="str">
        <f t="shared" si="20"/>
        <v/>
      </c>
      <c r="N586" s="298" t="str">
        <f>IF(G586,"この従業員番号は、すでに他のセルで入力されています。",IF(入力シート!$C$5=入力リスト!$C$4,"",IF(AND(A586="",B586="",C586="",D586="",E586=""),"",IF(OR(A586="",B586="",C586="",D586=""),IF(A586="","従業員番号","")&amp;IF(AND(A586="",OR(B586="",C586="",D586="")),",","")&amp;IF(B586="","雇用形態","")&amp;IF(AND(B586="",OR(C586="",D586="")),",","")&amp;IF(OR(入力シート!$J$18=入力リスト!$H$9,入力シート!$J$22=入力リスト!$H$9),IF(C586="","入社年月日",""),"")&amp;IF(AND(C586="",D586=""),",","")&amp;IF(D586="","性別","")&amp;IF(IF(A586="","従業員番号","")&amp;IF(B586="","雇用形態","")&amp;IF(OR(入力シート!$J$18=入力リスト!$H$9,入力シート!$J$22=入力リスト!$H$9),IF(C586="","入社年月日",""),"")&amp;IF(D586="","性別","")="","","が空白です。"),IF(J586,"入社年月日に「基準日」の翌日以降の日付が入力されています。","")&amp;IF(I586,"入社年月日に数値以外（又は1900/1/1以前の日付）が入力されています。","")&amp;IF(H586,"雇用形態"&amp;IF(OR(K586,L586),",",""),"")&amp;IF(K586,"性別"&amp;IF(L586,",",""),"")&amp;IF(L586,"役職","")&amp;IF(OR(H586,K586,L586),"に、［入力シート］(4)「貴社」欄と異なる文言が入力されています。","")))))</f>
        <v/>
      </c>
      <c r="O586" s="298" t="str">
        <f>IF(B586="","",VLOOKUP('従業員情報(給与以外)'!$B586,入力シート!$S$37:$Z$62,5,0))</f>
        <v/>
      </c>
      <c r="P586" s="298" t="str">
        <f>IF(ISNUMBER(C586)=FALSE,"",IF(C586&gt;入力シート!$J$24,"",_xlfn.DAYS(入力シート!$J$24,'従業員情報(給与以外)'!$C586)/365))</f>
        <v/>
      </c>
      <c r="Q586" s="298" t="str">
        <f>IF(P586="","",VLOOKUP(_xlfn.DAYS(入力シート!$J$24,'従業員情報(給与以外)'!$C586)/365,入力リスト!$K$18:$L$26,2,2))</f>
        <v/>
      </c>
      <c r="R586" s="298" t="str">
        <f>IF(D586="","",VLOOKUP('従業員情報(給与以外)'!$D586,入力シート!$AW$37:$BB$38,4,0))</f>
        <v/>
      </c>
      <c r="S586" s="298" t="str">
        <f>IF(A586="","",IF(E586="","非役職",VLOOKUP('従業員情報(給与以外)'!$E586,入力シート!$AH$37:$AO$62,5,0)))</f>
        <v/>
      </c>
      <c r="T586" s="299" t="str">
        <f>IF(OR(入力シート!$C$5&lt;&gt;入力リスト!$C$3,COUNTIF(入力シート!$J$16:$S$23,入力リスト!$H$9)=0),"",IF($A586="","",IF(ISERROR(AVERAGEIF(従業員の給与情報!$B:$B,$A586,従業員の給与情報!$C:$C)),0,IF(ISERROR(AVERAGEIF(従業員の給与情報!$B:$B,$A586,従業員の給与情報!$C:$C)),0,AVERAGEIF(従業員の給与情報!$B:$B,$A586,従業員の給与情報!$C:$C)))))</f>
        <v/>
      </c>
      <c r="U586" s="299" t="str">
        <f>IF(OR(入力シート!$C$5&lt;&gt;入力リスト!$C$3,COUNTIF(入力シート!$J$16:$S$23,入力リスト!$H$9)=0),"",IF(A586="","",IF(ISERROR(AVERAGEIF(従業員の給与情報!$B:$B,$A586,従業員の給与情報!$D:$D)),0,IF(ISERROR(AVERAGEIF(従業員の給与情報!$B:$B,$A586,従業員の給与情報!$D:$D)),0,AVERAGEIF(従業員の給与情報!$B:$B,$A586,従業員の給与情報!$D:$D)))))</f>
        <v/>
      </c>
      <c r="V586" s="299" t="str">
        <f>IF(OR(入力シート!$C$5&lt;&gt;入力リスト!$C$3,COUNTIF(入力シート!$J$16:$S$23,入力リスト!$H$9)=0),"",IF(A586="","",IF(ISERROR(AVERAGEIF(従業員の給与情報!$B:$B,$A586,従業員の給与情報!$E:$E)),0,IF(ISERROR(AVERAGEIF(従業員の給与情報!$B:$B,$A586,従業員の給与情報!$E:$E)),0,AVERAGEIF(従業員の給与情報!$B:$B,$A586,従業員の給与情報!$E:$E)))))</f>
        <v/>
      </c>
      <c r="W586" s="299" t="str">
        <f>IF(OR(入力シート!$C$5&lt;&gt;入力リスト!$C$3,COUNTIF(入力シート!$J$16:$S$23,入力リスト!$H$9)=0),"",IF(A586="","",IF(ISERROR(AVERAGEIF(従業員の給与情報!$B:$B,$A586,従業員の給与情報!$F:$F)),0,IF(ISERROR(AVERAGEIF(従業員の給与情報!$B:$B,$A586,従業員の給与情報!$F:$F)),0,AVERAGEIF(従業員の給与情報!$B:$B,$A586,従業員の給与情報!$F:$F)))))</f>
        <v/>
      </c>
      <c r="X586" s="581" t="s">
        <v>5325</v>
      </c>
    </row>
    <row r="587" spans="6:24">
      <c r="F587" s="297" t="str">
        <f>IF($G$1,"",IF(COUNTIF(A587:E587,"")=5,"",IF(G587,入力リスト!$K$28,IF(OR(A587="",B587="",IF(COUNTIF($C$3,"*不要*"),"",C587=""),D587=""),IF(A587="","従業員番号","")&amp;IF(B587="","「雇用形態」","")&amp;IF(OR(入力シート!$J$18=入力リスト!$H$9,入力シート!$J$22=入力リスト!$H$9),IF(C587="","「入社年月日」",""),"")&amp;IF(D587="","「性別」","")&amp;IF(IF(A587="","従業員番号","")&amp;IF(B587="","「雇用形態」","")&amp;IF(OR(入力シート!$J$18=入力リスト!$H$9,入力シート!$J$22=入力リスト!$H$9),IF(C587="","「入社年月日」",""),"")&amp;IF(D587="","「性別」","")="","",入力リスト!$K$29),IF(J587,入力リスト!$K$30,"")&amp;IF(I587,入力リスト!$K$31,"")&amp;IF(H587,"「雇用形態」","")&amp;IF(K587,"「性別」","")&amp;IF(L587,"「役職」","")&amp;IF(OR(H587,K587,L587),入力リスト!$K$32,"")))))</f>
        <v/>
      </c>
      <c r="G587" s="298" t="b">
        <f>COUNTIF($A$4:A586,$A587)&gt;0</f>
        <v>0</v>
      </c>
      <c r="H587" s="298" t="b">
        <f>IF($H$1,FALSE,COUNTIF(入力シート!$S$37:$V$62,B587)=0)</f>
        <v>0</v>
      </c>
      <c r="I587" s="298" t="b">
        <f t="shared" si="19"/>
        <v>0</v>
      </c>
      <c r="J587" s="298" t="b">
        <f>IF($J$1,FALSE,IF(I587=TRUE,FALSE,IF(I587,FALSE,C587&gt;入力シート!$J$24)))</f>
        <v>0</v>
      </c>
      <c r="K587" s="298" t="b">
        <f>IF($K$1,FALSE,COUNTIF(入力シート!$AW$37:$BB$38,D587)=0)</f>
        <v>0</v>
      </c>
      <c r="L587" s="298" t="b">
        <f>IF($L$1,FALSE,IF($L$3,FALSE,IF(E587="",FALSE,COUNTIF(入力シート!$AH$37:$AK$62,E587)=0)))</f>
        <v>0</v>
      </c>
      <c r="M587" s="298" t="str">
        <f t="shared" si="20"/>
        <v/>
      </c>
      <c r="N587" s="298" t="str">
        <f>IF(G587,"この従業員番号は、すでに他のセルで入力されています。",IF(入力シート!$C$5=入力リスト!$C$4,"",IF(AND(A587="",B587="",C587="",D587="",E587=""),"",IF(OR(A587="",B587="",C587="",D587=""),IF(A587="","従業員番号","")&amp;IF(AND(A587="",OR(B587="",C587="",D587="")),",","")&amp;IF(B587="","雇用形態","")&amp;IF(AND(B587="",OR(C587="",D587="")),",","")&amp;IF(OR(入力シート!$J$18=入力リスト!$H$9,入力シート!$J$22=入力リスト!$H$9),IF(C587="","入社年月日",""),"")&amp;IF(AND(C587="",D587=""),",","")&amp;IF(D587="","性別","")&amp;IF(IF(A587="","従業員番号","")&amp;IF(B587="","雇用形態","")&amp;IF(OR(入力シート!$J$18=入力リスト!$H$9,入力シート!$J$22=入力リスト!$H$9),IF(C587="","入社年月日",""),"")&amp;IF(D587="","性別","")="","","が空白です。"),IF(J587,"入社年月日に「基準日」の翌日以降の日付が入力されています。","")&amp;IF(I587,"入社年月日に数値以外（又は1900/1/1以前の日付）が入力されています。","")&amp;IF(H587,"雇用形態"&amp;IF(OR(K587,L587),",",""),"")&amp;IF(K587,"性別"&amp;IF(L587,",",""),"")&amp;IF(L587,"役職","")&amp;IF(OR(H587,K587,L587),"に、［入力シート］(4)「貴社」欄と異なる文言が入力されています。","")))))</f>
        <v/>
      </c>
      <c r="O587" s="298" t="str">
        <f>IF(B587="","",VLOOKUP('従業員情報(給与以外)'!$B587,入力シート!$S$37:$Z$62,5,0))</f>
        <v/>
      </c>
      <c r="P587" s="298" t="str">
        <f>IF(ISNUMBER(C587)=FALSE,"",IF(C587&gt;入力シート!$J$24,"",_xlfn.DAYS(入力シート!$J$24,'従業員情報(給与以外)'!$C587)/365))</f>
        <v/>
      </c>
      <c r="Q587" s="298" t="str">
        <f>IF(P587="","",VLOOKUP(_xlfn.DAYS(入力シート!$J$24,'従業員情報(給与以外)'!$C587)/365,入力リスト!$K$18:$L$26,2,2))</f>
        <v/>
      </c>
      <c r="R587" s="298" t="str">
        <f>IF(D587="","",VLOOKUP('従業員情報(給与以外)'!$D587,入力シート!$AW$37:$BB$38,4,0))</f>
        <v/>
      </c>
      <c r="S587" s="298" t="str">
        <f>IF(A587="","",IF(E587="","非役職",VLOOKUP('従業員情報(給与以外)'!$E587,入力シート!$AH$37:$AO$62,5,0)))</f>
        <v/>
      </c>
      <c r="T587" s="299" t="str">
        <f>IF(OR(入力シート!$C$5&lt;&gt;入力リスト!$C$3,COUNTIF(入力シート!$J$16:$S$23,入力リスト!$H$9)=0),"",IF($A587="","",IF(ISERROR(AVERAGEIF(従業員の給与情報!$B:$B,$A587,従業員の給与情報!$C:$C)),0,IF(ISERROR(AVERAGEIF(従業員の給与情報!$B:$B,$A587,従業員の給与情報!$C:$C)),0,AVERAGEIF(従業員の給与情報!$B:$B,$A587,従業員の給与情報!$C:$C)))))</f>
        <v/>
      </c>
      <c r="U587" s="299" t="str">
        <f>IF(OR(入力シート!$C$5&lt;&gt;入力リスト!$C$3,COUNTIF(入力シート!$J$16:$S$23,入力リスト!$H$9)=0),"",IF(A587="","",IF(ISERROR(AVERAGEIF(従業員の給与情報!$B:$B,$A587,従業員の給与情報!$D:$D)),0,IF(ISERROR(AVERAGEIF(従業員の給与情報!$B:$B,$A587,従業員の給与情報!$D:$D)),0,AVERAGEIF(従業員の給与情報!$B:$B,$A587,従業員の給与情報!$D:$D)))))</f>
        <v/>
      </c>
      <c r="V587" s="299" t="str">
        <f>IF(OR(入力シート!$C$5&lt;&gt;入力リスト!$C$3,COUNTIF(入力シート!$J$16:$S$23,入力リスト!$H$9)=0),"",IF(A587="","",IF(ISERROR(AVERAGEIF(従業員の給与情報!$B:$B,$A587,従業員の給与情報!$E:$E)),0,IF(ISERROR(AVERAGEIF(従業員の給与情報!$B:$B,$A587,従業員の給与情報!$E:$E)),0,AVERAGEIF(従業員の給与情報!$B:$B,$A587,従業員の給与情報!$E:$E)))))</f>
        <v/>
      </c>
      <c r="W587" s="299" t="str">
        <f>IF(OR(入力シート!$C$5&lt;&gt;入力リスト!$C$3,COUNTIF(入力シート!$J$16:$S$23,入力リスト!$H$9)=0),"",IF(A587="","",IF(ISERROR(AVERAGEIF(従業員の給与情報!$B:$B,$A587,従業員の給与情報!$F:$F)),0,IF(ISERROR(AVERAGEIF(従業員の給与情報!$B:$B,$A587,従業員の給与情報!$F:$F)),0,AVERAGEIF(従業員の給与情報!$B:$B,$A587,従業員の給与情報!$F:$F)))))</f>
        <v/>
      </c>
      <c r="X587" s="581" t="s">
        <v>5326</v>
      </c>
    </row>
    <row r="588" spans="6:24">
      <c r="F588" s="297" t="str">
        <f>IF($G$1,"",IF(COUNTIF(A588:E588,"")=5,"",IF(G588,入力リスト!$K$28,IF(OR(A588="",B588="",IF(COUNTIF($C$3,"*不要*"),"",C588=""),D588=""),IF(A588="","従業員番号","")&amp;IF(B588="","「雇用形態」","")&amp;IF(OR(入力シート!$J$18=入力リスト!$H$9,入力シート!$J$22=入力リスト!$H$9),IF(C588="","「入社年月日」",""),"")&amp;IF(D588="","「性別」","")&amp;IF(IF(A588="","従業員番号","")&amp;IF(B588="","「雇用形態」","")&amp;IF(OR(入力シート!$J$18=入力リスト!$H$9,入力シート!$J$22=入力リスト!$H$9),IF(C588="","「入社年月日」",""),"")&amp;IF(D588="","「性別」","")="","",入力リスト!$K$29),IF(J588,入力リスト!$K$30,"")&amp;IF(I588,入力リスト!$K$31,"")&amp;IF(H588,"「雇用形態」","")&amp;IF(K588,"「性別」","")&amp;IF(L588,"「役職」","")&amp;IF(OR(H588,K588,L588),入力リスト!$K$32,"")))))</f>
        <v/>
      </c>
      <c r="G588" s="298" t="b">
        <f>COUNTIF($A$4:A587,$A588)&gt;0</f>
        <v>0</v>
      </c>
      <c r="H588" s="298" t="b">
        <f>IF($H$1,FALSE,COUNTIF(入力シート!$S$37:$V$62,B588)=0)</f>
        <v>0</v>
      </c>
      <c r="I588" s="298" t="b">
        <f t="shared" si="19"/>
        <v>0</v>
      </c>
      <c r="J588" s="298" t="b">
        <f>IF($J$1,FALSE,IF(I588=TRUE,FALSE,IF(I588,FALSE,C588&gt;入力シート!$J$24)))</f>
        <v>0</v>
      </c>
      <c r="K588" s="298" t="b">
        <f>IF($K$1,FALSE,COUNTIF(入力シート!$AW$37:$BB$38,D588)=0)</f>
        <v>0</v>
      </c>
      <c r="L588" s="298" t="b">
        <f>IF($L$1,FALSE,IF($L$3,FALSE,IF(E588="",FALSE,COUNTIF(入力シート!$AH$37:$AK$62,E588)=0)))</f>
        <v>0</v>
      </c>
      <c r="M588" s="298" t="str">
        <f t="shared" si="20"/>
        <v/>
      </c>
      <c r="N588" s="298" t="str">
        <f>IF(G588,"この従業員番号は、すでに他のセルで入力されています。",IF(入力シート!$C$5=入力リスト!$C$4,"",IF(AND(A588="",B588="",C588="",D588="",E588=""),"",IF(OR(A588="",B588="",C588="",D588=""),IF(A588="","従業員番号","")&amp;IF(AND(A588="",OR(B588="",C588="",D588="")),",","")&amp;IF(B588="","雇用形態","")&amp;IF(AND(B588="",OR(C588="",D588="")),",","")&amp;IF(OR(入力シート!$J$18=入力リスト!$H$9,入力シート!$J$22=入力リスト!$H$9),IF(C588="","入社年月日",""),"")&amp;IF(AND(C588="",D588=""),",","")&amp;IF(D588="","性別","")&amp;IF(IF(A588="","従業員番号","")&amp;IF(B588="","雇用形態","")&amp;IF(OR(入力シート!$J$18=入力リスト!$H$9,入力シート!$J$22=入力リスト!$H$9),IF(C588="","入社年月日",""),"")&amp;IF(D588="","性別","")="","","が空白です。"),IF(J588,"入社年月日に「基準日」の翌日以降の日付が入力されています。","")&amp;IF(I588,"入社年月日に数値以外（又は1900/1/1以前の日付）が入力されています。","")&amp;IF(H588,"雇用形態"&amp;IF(OR(K588,L588),",",""),"")&amp;IF(K588,"性別"&amp;IF(L588,",",""),"")&amp;IF(L588,"役職","")&amp;IF(OR(H588,K588,L588),"に、［入力シート］(4)「貴社」欄と異なる文言が入力されています。","")))))</f>
        <v/>
      </c>
      <c r="O588" s="298" t="str">
        <f>IF(B588="","",VLOOKUP('従業員情報(給与以外)'!$B588,入力シート!$S$37:$Z$62,5,0))</f>
        <v/>
      </c>
      <c r="P588" s="298" t="str">
        <f>IF(ISNUMBER(C588)=FALSE,"",IF(C588&gt;入力シート!$J$24,"",_xlfn.DAYS(入力シート!$J$24,'従業員情報(給与以外)'!$C588)/365))</f>
        <v/>
      </c>
      <c r="Q588" s="298" t="str">
        <f>IF(P588="","",VLOOKUP(_xlfn.DAYS(入力シート!$J$24,'従業員情報(給与以外)'!$C588)/365,入力リスト!$K$18:$L$26,2,2))</f>
        <v/>
      </c>
      <c r="R588" s="298" t="str">
        <f>IF(D588="","",VLOOKUP('従業員情報(給与以外)'!$D588,入力シート!$AW$37:$BB$38,4,0))</f>
        <v/>
      </c>
      <c r="S588" s="298" t="str">
        <f>IF(A588="","",IF(E588="","非役職",VLOOKUP('従業員情報(給与以外)'!$E588,入力シート!$AH$37:$AO$62,5,0)))</f>
        <v/>
      </c>
      <c r="T588" s="299" t="str">
        <f>IF(OR(入力シート!$C$5&lt;&gt;入力リスト!$C$3,COUNTIF(入力シート!$J$16:$S$23,入力リスト!$H$9)=0),"",IF($A588="","",IF(ISERROR(AVERAGEIF(従業員の給与情報!$B:$B,$A588,従業員の給与情報!$C:$C)),0,IF(ISERROR(AVERAGEIF(従業員の給与情報!$B:$B,$A588,従業員の給与情報!$C:$C)),0,AVERAGEIF(従業員の給与情報!$B:$B,$A588,従業員の給与情報!$C:$C)))))</f>
        <v/>
      </c>
      <c r="U588" s="299" t="str">
        <f>IF(OR(入力シート!$C$5&lt;&gt;入力リスト!$C$3,COUNTIF(入力シート!$J$16:$S$23,入力リスト!$H$9)=0),"",IF(A588="","",IF(ISERROR(AVERAGEIF(従業員の給与情報!$B:$B,$A588,従業員の給与情報!$D:$D)),0,IF(ISERROR(AVERAGEIF(従業員の給与情報!$B:$B,$A588,従業員の給与情報!$D:$D)),0,AVERAGEIF(従業員の給与情報!$B:$B,$A588,従業員の給与情報!$D:$D)))))</f>
        <v/>
      </c>
      <c r="V588" s="299" t="str">
        <f>IF(OR(入力シート!$C$5&lt;&gt;入力リスト!$C$3,COUNTIF(入力シート!$J$16:$S$23,入力リスト!$H$9)=0),"",IF(A588="","",IF(ISERROR(AVERAGEIF(従業員の給与情報!$B:$B,$A588,従業員の給与情報!$E:$E)),0,IF(ISERROR(AVERAGEIF(従業員の給与情報!$B:$B,$A588,従業員の給与情報!$E:$E)),0,AVERAGEIF(従業員の給与情報!$B:$B,$A588,従業員の給与情報!$E:$E)))))</f>
        <v/>
      </c>
      <c r="W588" s="299" t="str">
        <f>IF(OR(入力シート!$C$5&lt;&gt;入力リスト!$C$3,COUNTIF(入力シート!$J$16:$S$23,入力リスト!$H$9)=0),"",IF(A588="","",IF(ISERROR(AVERAGEIF(従業員の給与情報!$B:$B,$A588,従業員の給与情報!$F:$F)),0,IF(ISERROR(AVERAGEIF(従業員の給与情報!$B:$B,$A588,従業員の給与情報!$F:$F)),0,AVERAGEIF(従業員の給与情報!$B:$B,$A588,従業員の給与情報!$F:$F)))))</f>
        <v/>
      </c>
      <c r="X588" s="581" t="s">
        <v>5327</v>
      </c>
    </row>
    <row r="589" spans="6:24">
      <c r="F589" s="297" t="str">
        <f>IF($G$1,"",IF(COUNTIF(A589:E589,"")=5,"",IF(G589,入力リスト!$K$28,IF(OR(A589="",B589="",IF(COUNTIF($C$3,"*不要*"),"",C589=""),D589=""),IF(A589="","従業員番号","")&amp;IF(B589="","「雇用形態」","")&amp;IF(OR(入力シート!$J$18=入力リスト!$H$9,入力シート!$J$22=入力リスト!$H$9),IF(C589="","「入社年月日」",""),"")&amp;IF(D589="","「性別」","")&amp;IF(IF(A589="","従業員番号","")&amp;IF(B589="","「雇用形態」","")&amp;IF(OR(入力シート!$J$18=入力リスト!$H$9,入力シート!$J$22=入力リスト!$H$9),IF(C589="","「入社年月日」",""),"")&amp;IF(D589="","「性別」","")="","",入力リスト!$K$29),IF(J589,入力リスト!$K$30,"")&amp;IF(I589,入力リスト!$K$31,"")&amp;IF(H589,"「雇用形態」","")&amp;IF(K589,"「性別」","")&amp;IF(L589,"「役職」","")&amp;IF(OR(H589,K589,L589),入力リスト!$K$32,"")))))</f>
        <v/>
      </c>
      <c r="G589" s="298" t="b">
        <f>COUNTIF($A$4:A588,$A589)&gt;0</f>
        <v>0</v>
      </c>
      <c r="H589" s="298" t="b">
        <f>IF($H$1,FALSE,COUNTIF(入力シート!$S$37:$V$62,B589)=0)</f>
        <v>0</v>
      </c>
      <c r="I589" s="298" t="b">
        <f t="shared" si="19"/>
        <v>0</v>
      </c>
      <c r="J589" s="298" t="b">
        <f>IF($J$1,FALSE,IF(I589=TRUE,FALSE,IF(I589,FALSE,C589&gt;入力シート!$J$24)))</f>
        <v>0</v>
      </c>
      <c r="K589" s="298" t="b">
        <f>IF($K$1,FALSE,COUNTIF(入力シート!$AW$37:$BB$38,D589)=0)</f>
        <v>0</v>
      </c>
      <c r="L589" s="298" t="b">
        <f>IF($L$1,FALSE,IF($L$3,FALSE,IF(E589="",FALSE,COUNTIF(入力シート!$AH$37:$AK$62,E589)=0)))</f>
        <v>0</v>
      </c>
      <c r="M589" s="298" t="str">
        <f t="shared" si="20"/>
        <v/>
      </c>
      <c r="N589" s="298" t="str">
        <f>IF(G589,"この従業員番号は、すでに他のセルで入力されています。",IF(入力シート!$C$5=入力リスト!$C$4,"",IF(AND(A589="",B589="",C589="",D589="",E589=""),"",IF(OR(A589="",B589="",C589="",D589=""),IF(A589="","従業員番号","")&amp;IF(AND(A589="",OR(B589="",C589="",D589="")),",","")&amp;IF(B589="","雇用形態","")&amp;IF(AND(B589="",OR(C589="",D589="")),",","")&amp;IF(OR(入力シート!$J$18=入力リスト!$H$9,入力シート!$J$22=入力リスト!$H$9),IF(C589="","入社年月日",""),"")&amp;IF(AND(C589="",D589=""),",","")&amp;IF(D589="","性別","")&amp;IF(IF(A589="","従業員番号","")&amp;IF(B589="","雇用形態","")&amp;IF(OR(入力シート!$J$18=入力リスト!$H$9,入力シート!$J$22=入力リスト!$H$9),IF(C589="","入社年月日",""),"")&amp;IF(D589="","性別","")="","","が空白です。"),IF(J589,"入社年月日に「基準日」の翌日以降の日付が入力されています。","")&amp;IF(I589,"入社年月日に数値以外（又は1900/1/1以前の日付）が入力されています。","")&amp;IF(H589,"雇用形態"&amp;IF(OR(K589,L589),",",""),"")&amp;IF(K589,"性別"&amp;IF(L589,",",""),"")&amp;IF(L589,"役職","")&amp;IF(OR(H589,K589,L589),"に、［入力シート］(4)「貴社」欄と異なる文言が入力されています。","")))))</f>
        <v/>
      </c>
      <c r="O589" s="298" t="str">
        <f>IF(B589="","",VLOOKUP('従業員情報(給与以外)'!$B589,入力シート!$S$37:$Z$62,5,0))</f>
        <v/>
      </c>
      <c r="P589" s="298" t="str">
        <f>IF(ISNUMBER(C589)=FALSE,"",IF(C589&gt;入力シート!$J$24,"",_xlfn.DAYS(入力シート!$J$24,'従業員情報(給与以外)'!$C589)/365))</f>
        <v/>
      </c>
      <c r="Q589" s="298" t="str">
        <f>IF(P589="","",VLOOKUP(_xlfn.DAYS(入力シート!$J$24,'従業員情報(給与以外)'!$C589)/365,入力リスト!$K$18:$L$26,2,2))</f>
        <v/>
      </c>
      <c r="R589" s="298" t="str">
        <f>IF(D589="","",VLOOKUP('従業員情報(給与以外)'!$D589,入力シート!$AW$37:$BB$38,4,0))</f>
        <v/>
      </c>
      <c r="S589" s="298" t="str">
        <f>IF(A589="","",IF(E589="","非役職",VLOOKUP('従業員情報(給与以外)'!$E589,入力シート!$AH$37:$AO$62,5,0)))</f>
        <v/>
      </c>
      <c r="T589" s="299" t="str">
        <f>IF(OR(入力シート!$C$5&lt;&gt;入力リスト!$C$3,COUNTIF(入力シート!$J$16:$S$23,入力リスト!$H$9)=0),"",IF($A589="","",IF(ISERROR(AVERAGEIF(従業員の給与情報!$B:$B,$A589,従業員の給与情報!$C:$C)),0,IF(ISERROR(AVERAGEIF(従業員の給与情報!$B:$B,$A589,従業員の給与情報!$C:$C)),0,AVERAGEIF(従業員の給与情報!$B:$B,$A589,従業員の給与情報!$C:$C)))))</f>
        <v/>
      </c>
      <c r="U589" s="299" t="str">
        <f>IF(OR(入力シート!$C$5&lt;&gt;入力リスト!$C$3,COUNTIF(入力シート!$J$16:$S$23,入力リスト!$H$9)=0),"",IF(A589="","",IF(ISERROR(AVERAGEIF(従業員の給与情報!$B:$B,$A589,従業員の給与情報!$D:$D)),0,IF(ISERROR(AVERAGEIF(従業員の給与情報!$B:$B,$A589,従業員の給与情報!$D:$D)),0,AVERAGEIF(従業員の給与情報!$B:$B,$A589,従業員の給与情報!$D:$D)))))</f>
        <v/>
      </c>
      <c r="V589" s="299" t="str">
        <f>IF(OR(入力シート!$C$5&lt;&gt;入力リスト!$C$3,COUNTIF(入力シート!$J$16:$S$23,入力リスト!$H$9)=0),"",IF(A589="","",IF(ISERROR(AVERAGEIF(従業員の給与情報!$B:$B,$A589,従業員の給与情報!$E:$E)),0,IF(ISERROR(AVERAGEIF(従業員の給与情報!$B:$B,$A589,従業員の給与情報!$E:$E)),0,AVERAGEIF(従業員の給与情報!$B:$B,$A589,従業員の給与情報!$E:$E)))))</f>
        <v/>
      </c>
      <c r="W589" s="299" t="str">
        <f>IF(OR(入力シート!$C$5&lt;&gt;入力リスト!$C$3,COUNTIF(入力シート!$J$16:$S$23,入力リスト!$H$9)=0),"",IF(A589="","",IF(ISERROR(AVERAGEIF(従業員の給与情報!$B:$B,$A589,従業員の給与情報!$F:$F)),0,IF(ISERROR(AVERAGEIF(従業員の給与情報!$B:$B,$A589,従業員の給与情報!$F:$F)),0,AVERAGEIF(従業員の給与情報!$B:$B,$A589,従業員の給与情報!$F:$F)))))</f>
        <v/>
      </c>
      <c r="X589" s="581" t="s">
        <v>5328</v>
      </c>
    </row>
    <row r="590" spans="6:24">
      <c r="F590" s="297" t="str">
        <f>IF($G$1,"",IF(COUNTIF(A590:E590,"")=5,"",IF(G590,入力リスト!$K$28,IF(OR(A590="",B590="",IF(COUNTIF($C$3,"*不要*"),"",C590=""),D590=""),IF(A590="","従業員番号","")&amp;IF(B590="","「雇用形態」","")&amp;IF(OR(入力シート!$J$18=入力リスト!$H$9,入力シート!$J$22=入力リスト!$H$9),IF(C590="","「入社年月日」",""),"")&amp;IF(D590="","「性別」","")&amp;IF(IF(A590="","従業員番号","")&amp;IF(B590="","「雇用形態」","")&amp;IF(OR(入力シート!$J$18=入力リスト!$H$9,入力シート!$J$22=入力リスト!$H$9),IF(C590="","「入社年月日」",""),"")&amp;IF(D590="","「性別」","")="","",入力リスト!$K$29),IF(J590,入力リスト!$K$30,"")&amp;IF(I590,入力リスト!$K$31,"")&amp;IF(H590,"「雇用形態」","")&amp;IF(K590,"「性別」","")&amp;IF(L590,"「役職」","")&amp;IF(OR(H590,K590,L590),入力リスト!$K$32,"")))))</f>
        <v/>
      </c>
      <c r="G590" s="298" t="b">
        <f>COUNTIF($A$4:A589,$A590)&gt;0</f>
        <v>0</v>
      </c>
      <c r="H590" s="298" t="b">
        <f>IF($H$1,FALSE,COUNTIF(入力シート!$S$37:$V$62,B590)=0)</f>
        <v>0</v>
      </c>
      <c r="I590" s="298" t="b">
        <f t="shared" si="19"/>
        <v>0</v>
      </c>
      <c r="J590" s="298" t="b">
        <f>IF($J$1,FALSE,IF(I590=TRUE,FALSE,IF(I590,FALSE,C590&gt;入力シート!$J$24)))</f>
        <v>0</v>
      </c>
      <c r="K590" s="298" t="b">
        <f>IF($K$1,FALSE,COUNTIF(入力シート!$AW$37:$BB$38,D590)=0)</f>
        <v>0</v>
      </c>
      <c r="L590" s="298" t="b">
        <f>IF($L$1,FALSE,IF($L$3,FALSE,IF(E590="",FALSE,COUNTIF(入力シート!$AH$37:$AK$62,E590)=0)))</f>
        <v>0</v>
      </c>
      <c r="M590" s="298" t="str">
        <f t="shared" si="20"/>
        <v/>
      </c>
      <c r="N590" s="298" t="str">
        <f>IF(G590,"この従業員番号は、すでに他のセルで入力されています。",IF(入力シート!$C$5=入力リスト!$C$4,"",IF(AND(A590="",B590="",C590="",D590="",E590=""),"",IF(OR(A590="",B590="",C590="",D590=""),IF(A590="","従業員番号","")&amp;IF(AND(A590="",OR(B590="",C590="",D590="")),",","")&amp;IF(B590="","雇用形態","")&amp;IF(AND(B590="",OR(C590="",D590="")),",","")&amp;IF(OR(入力シート!$J$18=入力リスト!$H$9,入力シート!$J$22=入力リスト!$H$9),IF(C590="","入社年月日",""),"")&amp;IF(AND(C590="",D590=""),",","")&amp;IF(D590="","性別","")&amp;IF(IF(A590="","従業員番号","")&amp;IF(B590="","雇用形態","")&amp;IF(OR(入力シート!$J$18=入力リスト!$H$9,入力シート!$J$22=入力リスト!$H$9),IF(C590="","入社年月日",""),"")&amp;IF(D590="","性別","")="","","が空白です。"),IF(J590,"入社年月日に「基準日」の翌日以降の日付が入力されています。","")&amp;IF(I590,"入社年月日に数値以外（又は1900/1/1以前の日付）が入力されています。","")&amp;IF(H590,"雇用形態"&amp;IF(OR(K590,L590),",",""),"")&amp;IF(K590,"性別"&amp;IF(L590,",",""),"")&amp;IF(L590,"役職","")&amp;IF(OR(H590,K590,L590),"に、［入力シート］(4)「貴社」欄と異なる文言が入力されています。","")))))</f>
        <v/>
      </c>
      <c r="O590" s="298" t="str">
        <f>IF(B590="","",VLOOKUP('従業員情報(給与以外)'!$B590,入力シート!$S$37:$Z$62,5,0))</f>
        <v/>
      </c>
      <c r="P590" s="298" t="str">
        <f>IF(ISNUMBER(C590)=FALSE,"",IF(C590&gt;入力シート!$J$24,"",_xlfn.DAYS(入力シート!$J$24,'従業員情報(給与以外)'!$C590)/365))</f>
        <v/>
      </c>
      <c r="Q590" s="298" t="str">
        <f>IF(P590="","",VLOOKUP(_xlfn.DAYS(入力シート!$J$24,'従業員情報(給与以外)'!$C590)/365,入力リスト!$K$18:$L$26,2,2))</f>
        <v/>
      </c>
      <c r="R590" s="298" t="str">
        <f>IF(D590="","",VLOOKUP('従業員情報(給与以外)'!$D590,入力シート!$AW$37:$BB$38,4,0))</f>
        <v/>
      </c>
      <c r="S590" s="298" t="str">
        <f>IF(A590="","",IF(E590="","非役職",VLOOKUP('従業員情報(給与以外)'!$E590,入力シート!$AH$37:$AO$62,5,0)))</f>
        <v/>
      </c>
      <c r="T590" s="299" t="str">
        <f>IF(OR(入力シート!$C$5&lt;&gt;入力リスト!$C$3,COUNTIF(入力シート!$J$16:$S$23,入力リスト!$H$9)=0),"",IF($A590="","",IF(ISERROR(AVERAGEIF(従業員の給与情報!$B:$B,$A590,従業員の給与情報!$C:$C)),0,IF(ISERROR(AVERAGEIF(従業員の給与情報!$B:$B,$A590,従業員の給与情報!$C:$C)),0,AVERAGEIF(従業員の給与情報!$B:$B,$A590,従業員の給与情報!$C:$C)))))</f>
        <v/>
      </c>
      <c r="U590" s="299" t="str">
        <f>IF(OR(入力シート!$C$5&lt;&gt;入力リスト!$C$3,COUNTIF(入力シート!$J$16:$S$23,入力リスト!$H$9)=0),"",IF(A590="","",IF(ISERROR(AVERAGEIF(従業員の給与情報!$B:$B,$A590,従業員の給与情報!$D:$D)),0,IF(ISERROR(AVERAGEIF(従業員の給与情報!$B:$B,$A590,従業員の給与情報!$D:$D)),0,AVERAGEIF(従業員の給与情報!$B:$B,$A590,従業員の給与情報!$D:$D)))))</f>
        <v/>
      </c>
      <c r="V590" s="299" t="str">
        <f>IF(OR(入力シート!$C$5&lt;&gt;入力リスト!$C$3,COUNTIF(入力シート!$J$16:$S$23,入力リスト!$H$9)=0),"",IF(A590="","",IF(ISERROR(AVERAGEIF(従業員の給与情報!$B:$B,$A590,従業員の給与情報!$E:$E)),0,IF(ISERROR(AVERAGEIF(従業員の給与情報!$B:$B,$A590,従業員の給与情報!$E:$E)),0,AVERAGEIF(従業員の給与情報!$B:$B,$A590,従業員の給与情報!$E:$E)))))</f>
        <v/>
      </c>
      <c r="W590" s="299" t="str">
        <f>IF(OR(入力シート!$C$5&lt;&gt;入力リスト!$C$3,COUNTIF(入力シート!$J$16:$S$23,入力リスト!$H$9)=0),"",IF(A590="","",IF(ISERROR(AVERAGEIF(従業員の給与情報!$B:$B,$A590,従業員の給与情報!$F:$F)),0,IF(ISERROR(AVERAGEIF(従業員の給与情報!$B:$B,$A590,従業員の給与情報!$F:$F)),0,AVERAGEIF(従業員の給与情報!$B:$B,$A590,従業員の給与情報!$F:$F)))))</f>
        <v/>
      </c>
      <c r="X590" s="581" t="s">
        <v>5329</v>
      </c>
    </row>
    <row r="591" spans="6:24">
      <c r="F591" s="297" t="str">
        <f>IF($G$1,"",IF(COUNTIF(A591:E591,"")=5,"",IF(G591,入力リスト!$K$28,IF(OR(A591="",B591="",IF(COUNTIF($C$3,"*不要*"),"",C591=""),D591=""),IF(A591="","従業員番号","")&amp;IF(B591="","「雇用形態」","")&amp;IF(OR(入力シート!$J$18=入力リスト!$H$9,入力シート!$J$22=入力リスト!$H$9),IF(C591="","「入社年月日」",""),"")&amp;IF(D591="","「性別」","")&amp;IF(IF(A591="","従業員番号","")&amp;IF(B591="","「雇用形態」","")&amp;IF(OR(入力シート!$J$18=入力リスト!$H$9,入力シート!$J$22=入力リスト!$H$9),IF(C591="","「入社年月日」",""),"")&amp;IF(D591="","「性別」","")="","",入力リスト!$K$29),IF(J591,入力リスト!$K$30,"")&amp;IF(I591,入力リスト!$K$31,"")&amp;IF(H591,"「雇用形態」","")&amp;IF(K591,"「性別」","")&amp;IF(L591,"「役職」","")&amp;IF(OR(H591,K591,L591),入力リスト!$K$32,"")))))</f>
        <v/>
      </c>
      <c r="G591" s="298" t="b">
        <f>COUNTIF($A$4:A590,$A591)&gt;0</f>
        <v>0</v>
      </c>
      <c r="H591" s="298" t="b">
        <f>IF($H$1,FALSE,COUNTIF(入力シート!$S$37:$V$62,B591)=0)</f>
        <v>0</v>
      </c>
      <c r="I591" s="298" t="b">
        <f t="shared" si="19"/>
        <v>0</v>
      </c>
      <c r="J591" s="298" t="b">
        <f>IF($J$1,FALSE,IF(I591=TRUE,FALSE,IF(I591,FALSE,C591&gt;入力シート!$J$24)))</f>
        <v>0</v>
      </c>
      <c r="K591" s="298" t="b">
        <f>IF($K$1,FALSE,COUNTIF(入力シート!$AW$37:$BB$38,D591)=0)</f>
        <v>0</v>
      </c>
      <c r="L591" s="298" t="b">
        <f>IF($L$1,FALSE,IF($L$3,FALSE,IF(E591="",FALSE,COUNTIF(入力シート!$AH$37:$AK$62,E591)=0)))</f>
        <v>0</v>
      </c>
      <c r="M591" s="298" t="str">
        <f t="shared" si="20"/>
        <v/>
      </c>
      <c r="N591" s="298" t="str">
        <f>IF(G591,"この従業員番号は、すでに他のセルで入力されています。",IF(入力シート!$C$5=入力リスト!$C$4,"",IF(AND(A591="",B591="",C591="",D591="",E591=""),"",IF(OR(A591="",B591="",C591="",D591=""),IF(A591="","従業員番号","")&amp;IF(AND(A591="",OR(B591="",C591="",D591="")),",","")&amp;IF(B591="","雇用形態","")&amp;IF(AND(B591="",OR(C591="",D591="")),",","")&amp;IF(OR(入力シート!$J$18=入力リスト!$H$9,入力シート!$J$22=入力リスト!$H$9),IF(C591="","入社年月日",""),"")&amp;IF(AND(C591="",D591=""),",","")&amp;IF(D591="","性別","")&amp;IF(IF(A591="","従業員番号","")&amp;IF(B591="","雇用形態","")&amp;IF(OR(入力シート!$J$18=入力リスト!$H$9,入力シート!$J$22=入力リスト!$H$9),IF(C591="","入社年月日",""),"")&amp;IF(D591="","性別","")="","","が空白です。"),IF(J591,"入社年月日に「基準日」の翌日以降の日付が入力されています。","")&amp;IF(I591,"入社年月日に数値以外（又は1900/1/1以前の日付）が入力されています。","")&amp;IF(H591,"雇用形態"&amp;IF(OR(K591,L591),",",""),"")&amp;IF(K591,"性別"&amp;IF(L591,",",""),"")&amp;IF(L591,"役職","")&amp;IF(OR(H591,K591,L591),"に、［入力シート］(4)「貴社」欄と異なる文言が入力されています。","")))))</f>
        <v/>
      </c>
      <c r="O591" s="298" t="str">
        <f>IF(B591="","",VLOOKUP('従業員情報(給与以外)'!$B591,入力シート!$S$37:$Z$62,5,0))</f>
        <v/>
      </c>
      <c r="P591" s="298" t="str">
        <f>IF(ISNUMBER(C591)=FALSE,"",IF(C591&gt;入力シート!$J$24,"",_xlfn.DAYS(入力シート!$J$24,'従業員情報(給与以外)'!$C591)/365))</f>
        <v/>
      </c>
      <c r="Q591" s="298" t="str">
        <f>IF(P591="","",VLOOKUP(_xlfn.DAYS(入力シート!$J$24,'従業員情報(給与以外)'!$C591)/365,入力リスト!$K$18:$L$26,2,2))</f>
        <v/>
      </c>
      <c r="R591" s="298" t="str">
        <f>IF(D591="","",VLOOKUP('従業員情報(給与以外)'!$D591,入力シート!$AW$37:$BB$38,4,0))</f>
        <v/>
      </c>
      <c r="S591" s="298" t="str">
        <f>IF(A591="","",IF(E591="","非役職",VLOOKUP('従業員情報(給与以外)'!$E591,入力シート!$AH$37:$AO$62,5,0)))</f>
        <v/>
      </c>
      <c r="T591" s="299" t="str">
        <f>IF(OR(入力シート!$C$5&lt;&gt;入力リスト!$C$3,COUNTIF(入力シート!$J$16:$S$23,入力リスト!$H$9)=0),"",IF($A591="","",IF(ISERROR(AVERAGEIF(従業員の給与情報!$B:$B,$A591,従業員の給与情報!$C:$C)),0,IF(ISERROR(AVERAGEIF(従業員の給与情報!$B:$B,$A591,従業員の給与情報!$C:$C)),0,AVERAGEIF(従業員の給与情報!$B:$B,$A591,従業員の給与情報!$C:$C)))))</f>
        <v/>
      </c>
      <c r="U591" s="299" t="str">
        <f>IF(OR(入力シート!$C$5&lt;&gt;入力リスト!$C$3,COUNTIF(入力シート!$J$16:$S$23,入力リスト!$H$9)=0),"",IF(A591="","",IF(ISERROR(AVERAGEIF(従業員の給与情報!$B:$B,$A591,従業員の給与情報!$D:$D)),0,IF(ISERROR(AVERAGEIF(従業員の給与情報!$B:$B,$A591,従業員の給与情報!$D:$D)),0,AVERAGEIF(従業員の給与情報!$B:$B,$A591,従業員の給与情報!$D:$D)))))</f>
        <v/>
      </c>
      <c r="V591" s="299" t="str">
        <f>IF(OR(入力シート!$C$5&lt;&gt;入力リスト!$C$3,COUNTIF(入力シート!$J$16:$S$23,入力リスト!$H$9)=0),"",IF(A591="","",IF(ISERROR(AVERAGEIF(従業員の給与情報!$B:$B,$A591,従業員の給与情報!$E:$E)),0,IF(ISERROR(AVERAGEIF(従業員の給与情報!$B:$B,$A591,従業員の給与情報!$E:$E)),0,AVERAGEIF(従業員の給与情報!$B:$B,$A591,従業員の給与情報!$E:$E)))))</f>
        <v/>
      </c>
      <c r="W591" s="299" t="str">
        <f>IF(OR(入力シート!$C$5&lt;&gt;入力リスト!$C$3,COUNTIF(入力シート!$J$16:$S$23,入力リスト!$H$9)=0),"",IF(A591="","",IF(ISERROR(AVERAGEIF(従業員の給与情報!$B:$B,$A591,従業員の給与情報!$F:$F)),0,IF(ISERROR(AVERAGEIF(従業員の給与情報!$B:$B,$A591,従業員の給与情報!$F:$F)),0,AVERAGEIF(従業員の給与情報!$B:$B,$A591,従業員の給与情報!$F:$F)))))</f>
        <v/>
      </c>
      <c r="X591" s="581" t="s">
        <v>5330</v>
      </c>
    </row>
    <row r="592" spans="6:24">
      <c r="F592" s="297" t="str">
        <f>IF($G$1,"",IF(COUNTIF(A592:E592,"")=5,"",IF(G592,入力リスト!$K$28,IF(OR(A592="",B592="",IF(COUNTIF($C$3,"*不要*"),"",C592=""),D592=""),IF(A592="","従業員番号","")&amp;IF(B592="","「雇用形態」","")&amp;IF(OR(入力シート!$J$18=入力リスト!$H$9,入力シート!$J$22=入力リスト!$H$9),IF(C592="","「入社年月日」",""),"")&amp;IF(D592="","「性別」","")&amp;IF(IF(A592="","従業員番号","")&amp;IF(B592="","「雇用形態」","")&amp;IF(OR(入力シート!$J$18=入力リスト!$H$9,入力シート!$J$22=入力リスト!$H$9),IF(C592="","「入社年月日」",""),"")&amp;IF(D592="","「性別」","")="","",入力リスト!$K$29),IF(J592,入力リスト!$K$30,"")&amp;IF(I592,入力リスト!$K$31,"")&amp;IF(H592,"「雇用形態」","")&amp;IF(K592,"「性別」","")&amp;IF(L592,"「役職」","")&amp;IF(OR(H592,K592,L592),入力リスト!$K$32,"")))))</f>
        <v/>
      </c>
      <c r="G592" s="298" t="b">
        <f>COUNTIF($A$4:A591,$A592)&gt;0</f>
        <v>0</v>
      </c>
      <c r="H592" s="298" t="b">
        <f>IF($H$1,FALSE,COUNTIF(入力シート!$S$37:$V$62,B592)=0)</f>
        <v>0</v>
      </c>
      <c r="I592" s="298" t="b">
        <f t="shared" si="19"/>
        <v>0</v>
      </c>
      <c r="J592" s="298" t="b">
        <f>IF($J$1,FALSE,IF(I592=TRUE,FALSE,IF(I592,FALSE,C592&gt;入力シート!$J$24)))</f>
        <v>0</v>
      </c>
      <c r="K592" s="298" t="b">
        <f>IF($K$1,FALSE,COUNTIF(入力シート!$AW$37:$BB$38,D592)=0)</f>
        <v>0</v>
      </c>
      <c r="L592" s="298" t="b">
        <f>IF($L$1,FALSE,IF($L$3,FALSE,IF(E592="",FALSE,COUNTIF(入力シート!$AH$37:$AK$62,E592)=0)))</f>
        <v>0</v>
      </c>
      <c r="M592" s="298" t="str">
        <f t="shared" si="20"/>
        <v/>
      </c>
      <c r="N592" s="298" t="str">
        <f>IF(G592,"この従業員番号は、すでに他のセルで入力されています。",IF(入力シート!$C$5=入力リスト!$C$4,"",IF(AND(A592="",B592="",C592="",D592="",E592=""),"",IF(OR(A592="",B592="",C592="",D592=""),IF(A592="","従業員番号","")&amp;IF(AND(A592="",OR(B592="",C592="",D592="")),",","")&amp;IF(B592="","雇用形態","")&amp;IF(AND(B592="",OR(C592="",D592="")),",","")&amp;IF(OR(入力シート!$J$18=入力リスト!$H$9,入力シート!$J$22=入力リスト!$H$9),IF(C592="","入社年月日",""),"")&amp;IF(AND(C592="",D592=""),",","")&amp;IF(D592="","性別","")&amp;IF(IF(A592="","従業員番号","")&amp;IF(B592="","雇用形態","")&amp;IF(OR(入力シート!$J$18=入力リスト!$H$9,入力シート!$J$22=入力リスト!$H$9),IF(C592="","入社年月日",""),"")&amp;IF(D592="","性別","")="","","が空白です。"),IF(J592,"入社年月日に「基準日」の翌日以降の日付が入力されています。","")&amp;IF(I592,"入社年月日に数値以外（又は1900/1/1以前の日付）が入力されています。","")&amp;IF(H592,"雇用形態"&amp;IF(OR(K592,L592),",",""),"")&amp;IF(K592,"性別"&amp;IF(L592,",",""),"")&amp;IF(L592,"役職","")&amp;IF(OR(H592,K592,L592),"に、［入力シート］(4)「貴社」欄と異なる文言が入力されています。","")))))</f>
        <v/>
      </c>
      <c r="O592" s="298" t="str">
        <f>IF(B592="","",VLOOKUP('従業員情報(給与以外)'!$B592,入力シート!$S$37:$Z$62,5,0))</f>
        <v/>
      </c>
      <c r="P592" s="298" t="str">
        <f>IF(ISNUMBER(C592)=FALSE,"",IF(C592&gt;入力シート!$J$24,"",_xlfn.DAYS(入力シート!$J$24,'従業員情報(給与以外)'!$C592)/365))</f>
        <v/>
      </c>
      <c r="Q592" s="298" t="str">
        <f>IF(P592="","",VLOOKUP(_xlfn.DAYS(入力シート!$J$24,'従業員情報(給与以外)'!$C592)/365,入力リスト!$K$18:$L$26,2,2))</f>
        <v/>
      </c>
      <c r="R592" s="298" t="str">
        <f>IF(D592="","",VLOOKUP('従業員情報(給与以外)'!$D592,入力シート!$AW$37:$BB$38,4,0))</f>
        <v/>
      </c>
      <c r="S592" s="298" t="str">
        <f>IF(A592="","",IF(E592="","非役職",VLOOKUP('従業員情報(給与以外)'!$E592,入力シート!$AH$37:$AO$62,5,0)))</f>
        <v/>
      </c>
      <c r="T592" s="299" t="str">
        <f>IF(OR(入力シート!$C$5&lt;&gt;入力リスト!$C$3,COUNTIF(入力シート!$J$16:$S$23,入力リスト!$H$9)=0),"",IF($A592="","",IF(ISERROR(AVERAGEIF(従業員の給与情報!$B:$B,$A592,従業員の給与情報!$C:$C)),0,IF(ISERROR(AVERAGEIF(従業員の給与情報!$B:$B,$A592,従業員の給与情報!$C:$C)),0,AVERAGEIF(従業員の給与情報!$B:$B,$A592,従業員の給与情報!$C:$C)))))</f>
        <v/>
      </c>
      <c r="U592" s="299" t="str">
        <f>IF(OR(入力シート!$C$5&lt;&gt;入力リスト!$C$3,COUNTIF(入力シート!$J$16:$S$23,入力リスト!$H$9)=0),"",IF(A592="","",IF(ISERROR(AVERAGEIF(従業員の給与情報!$B:$B,$A592,従業員の給与情報!$D:$D)),0,IF(ISERROR(AVERAGEIF(従業員の給与情報!$B:$B,$A592,従業員の給与情報!$D:$D)),0,AVERAGEIF(従業員の給与情報!$B:$B,$A592,従業員の給与情報!$D:$D)))))</f>
        <v/>
      </c>
      <c r="V592" s="299" t="str">
        <f>IF(OR(入力シート!$C$5&lt;&gt;入力リスト!$C$3,COUNTIF(入力シート!$J$16:$S$23,入力リスト!$H$9)=0),"",IF(A592="","",IF(ISERROR(AVERAGEIF(従業員の給与情報!$B:$B,$A592,従業員の給与情報!$E:$E)),0,IF(ISERROR(AVERAGEIF(従業員の給与情報!$B:$B,$A592,従業員の給与情報!$E:$E)),0,AVERAGEIF(従業員の給与情報!$B:$B,$A592,従業員の給与情報!$E:$E)))))</f>
        <v/>
      </c>
      <c r="W592" s="299" t="str">
        <f>IF(OR(入力シート!$C$5&lt;&gt;入力リスト!$C$3,COUNTIF(入力シート!$J$16:$S$23,入力リスト!$H$9)=0),"",IF(A592="","",IF(ISERROR(AVERAGEIF(従業員の給与情報!$B:$B,$A592,従業員の給与情報!$F:$F)),0,IF(ISERROR(AVERAGEIF(従業員の給与情報!$B:$B,$A592,従業員の給与情報!$F:$F)),0,AVERAGEIF(従業員の給与情報!$B:$B,$A592,従業員の給与情報!$F:$F)))))</f>
        <v/>
      </c>
      <c r="X592" s="581" t="s">
        <v>5331</v>
      </c>
    </row>
    <row r="593" spans="6:24">
      <c r="F593" s="297" t="str">
        <f>IF($G$1,"",IF(COUNTIF(A593:E593,"")=5,"",IF(G593,入力リスト!$K$28,IF(OR(A593="",B593="",IF(COUNTIF($C$3,"*不要*"),"",C593=""),D593=""),IF(A593="","従業員番号","")&amp;IF(B593="","「雇用形態」","")&amp;IF(OR(入力シート!$J$18=入力リスト!$H$9,入力シート!$J$22=入力リスト!$H$9),IF(C593="","「入社年月日」",""),"")&amp;IF(D593="","「性別」","")&amp;IF(IF(A593="","従業員番号","")&amp;IF(B593="","「雇用形態」","")&amp;IF(OR(入力シート!$J$18=入力リスト!$H$9,入力シート!$J$22=入力リスト!$H$9),IF(C593="","「入社年月日」",""),"")&amp;IF(D593="","「性別」","")="","",入力リスト!$K$29),IF(J593,入力リスト!$K$30,"")&amp;IF(I593,入力リスト!$K$31,"")&amp;IF(H593,"「雇用形態」","")&amp;IF(K593,"「性別」","")&amp;IF(L593,"「役職」","")&amp;IF(OR(H593,K593,L593),入力リスト!$K$32,"")))))</f>
        <v/>
      </c>
      <c r="G593" s="298" t="b">
        <f>COUNTIF($A$4:A592,$A593)&gt;0</f>
        <v>0</v>
      </c>
      <c r="H593" s="298" t="b">
        <f>IF($H$1,FALSE,COUNTIF(入力シート!$S$37:$V$62,B593)=0)</f>
        <v>0</v>
      </c>
      <c r="I593" s="298" t="b">
        <f t="shared" si="19"/>
        <v>0</v>
      </c>
      <c r="J593" s="298" t="b">
        <f>IF($J$1,FALSE,IF(I593=TRUE,FALSE,IF(I593,FALSE,C593&gt;入力シート!$J$24)))</f>
        <v>0</v>
      </c>
      <c r="K593" s="298" t="b">
        <f>IF($K$1,FALSE,COUNTIF(入力シート!$AW$37:$BB$38,D593)=0)</f>
        <v>0</v>
      </c>
      <c r="L593" s="298" t="b">
        <f>IF($L$1,FALSE,IF($L$3,FALSE,IF(E593="",FALSE,COUNTIF(入力シート!$AH$37:$AK$62,E593)=0)))</f>
        <v>0</v>
      </c>
      <c r="M593" s="298" t="str">
        <f t="shared" si="20"/>
        <v/>
      </c>
      <c r="N593" s="298" t="str">
        <f>IF(G593,"この従業員番号は、すでに他のセルで入力されています。",IF(入力シート!$C$5=入力リスト!$C$4,"",IF(AND(A593="",B593="",C593="",D593="",E593=""),"",IF(OR(A593="",B593="",C593="",D593=""),IF(A593="","従業員番号","")&amp;IF(AND(A593="",OR(B593="",C593="",D593="")),",","")&amp;IF(B593="","雇用形態","")&amp;IF(AND(B593="",OR(C593="",D593="")),",","")&amp;IF(OR(入力シート!$J$18=入力リスト!$H$9,入力シート!$J$22=入力リスト!$H$9),IF(C593="","入社年月日",""),"")&amp;IF(AND(C593="",D593=""),",","")&amp;IF(D593="","性別","")&amp;IF(IF(A593="","従業員番号","")&amp;IF(B593="","雇用形態","")&amp;IF(OR(入力シート!$J$18=入力リスト!$H$9,入力シート!$J$22=入力リスト!$H$9),IF(C593="","入社年月日",""),"")&amp;IF(D593="","性別","")="","","が空白です。"),IF(J593,"入社年月日に「基準日」の翌日以降の日付が入力されています。","")&amp;IF(I593,"入社年月日に数値以外（又は1900/1/1以前の日付）が入力されています。","")&amp;IF(H593,"雇用形態"&amp;IF(OR(K593,L593),",",""),"")&amp;IF(K593,"性別"&amp;IF(L593,",",""),"")&amp;IF(L593,"役職","")&amp;IF(OR(H593,K593,L593),"に、［入力シート］(4)「貴社」欄と異なる文言が入力されています。","")))))</f>
        <v/>
      </c>
      <c r="O593" s="298" t="str">
        <f>IF(B593="","",VLOOKUP('従業員情報(給与以外)'!$B593,入力シート!$S$37:$Z$62,5,0))</f>
        <v/>
      </c>
      <c r="P593" s="298" t="str">
        <f>IF(ISNUMBER(C593)=FALSE,"",IF(C593&gt;入力シート!$J$24,"",_xlfn.DAYS(入力シート!$J$24,'従業員情報(給与以外)'!$C593)/365))</f>
        <v/>
      </c>
      <c r="Q593" s="298" t="str">
        <f>IF(P593="","",VLOOKUP(_xlfn.DAYS(入力シート!$J$24,'従業員情報(給与以外)'!$C593)/365,入力リスト!$K$18:$L$26,2,2))</f>
        <v/>
      </c>
      <c r="R593" s="298" t="str">
        <f>IF(D593="","",VLOOKUP('従業員情報(給与以外)'!$D593,入力シート!$AW$37:$BB$38,4,0))</f>
        <v/>
      </c>
      <c r="S593" s="298" t="str">
        <f>IF(A593="","",IF(E593="","非役職",VLOOKUP('従業員情報(給与以外)'!$E593,入力シート!$AH$37:$AO$62,5,0)))</f>
        <v/>
      </c>
      <c r="T593" s="299" t="str">
        <f>IF(OR(入力シート!$C$5&lt;&gt;入力リスト!$C$3,COUNTIF(入力シート!$J$16:$S$23,入力リスト!$H$9)=0),"",IF($A593="","",IF(ISERROR(AVERAGEIF(従業員の給与情報!$B:$B,$A593,従業員の給与情報!$C:$C)),0,IF(ISERROR(AVERAGEIF(従業員の給与情報!$B:$B,$A593,従業員の給与情報!$C:$C)),0,AVERAGEIF(従業員の給与情報!$B:$B,$A593,従業員の給与情報!$C:$C)))))</f>
        <v/>
      </c>
      <c r="U593" s="299" t="str">
        <f>IF(OR(入力シート!$C$5&lt;&gt;入力リスト!$C$3,COUNTIF(入力シート!$J$16:$S$23,入力リスト!$H$9)=0),"",IF(A593="","",IF(ISERROR(AVERAGEIF(従業員の給与情報!$B:$B,$A593,従業員の給与情報!$D:$D)),0,IF(ISERROR(AVERAGEIF(従業員の給与情報!$B:$B,$A593,従業員の給与情報!$D:$D)),0,AVERAGEIF(従業員の給与情報!$B:$B,$A593,従業員の給与情報!$D:$D)))))</f>
        <v/>
      </c>
      <c r="V593" s="299" t="str">
        <f>IF(OR(入力シート!$C$5&lt;&gt;入力リスト!$C$3,COUNTIF(入力シート!$J$16:$S$23,入力リスト!$H$9)=0),"",IF(A593="","",IF(ISERROR(AVERAGEIF(従業員の給与情報!$B:$B,$A593,従業員の給与情報!$E:$E)),0,IF(ISERROR(AVERAGEIF(従業員の給与情報!$B:$B,$A593,従業員の給与情報!$E:$E)),0,AVERAGEIF(従業員の給与情報!$B:$B,$A593,従業員の給与情報!$E:$E)))))</f>
        <v/>
      </c>
      <c r="W593" s="299" t="str">
        <f>IF(OR(入力シート!$C$5&lt;&gt;入力リスト!$C$3,COUNTIF(入力シート!$J$16:$S$23,入力リスト!$H$9)=0),"",IF(A593="","",IF(ISERROR(AVERAGEIF(従業員の給与情報!$B:$B,$A593,従業員の給与情報!$F:$F)),0,IF(ISERROR(AVERAGEIF(従業員の給与情報!$B:$B,$A593,従業員の給与情報!$F:$F)),0,AVERAGEIF(従業員の給与情報!$B:$B,$A593,従業員の給与情報!$F:$F)))))</f>
        <v/>
      </c>
      <c r="X593" s="581" t="s">
        <v>5332</v>
      </c>
    </row>
    <row r="594" spans="6:24">
      <c r="F594" s="297" t="str">
        <f>IF($G$1,"",IF(COUNTIF(A594:E594,"")=5,"",IF(G594,入力リスト!$K$28,IF(OR(A594="",B594="",IF(COUNTIF($C$3,"*不要*"),"",C594=""),D594=""),IF(A594="","従業員番号","")&amp;IF(B594="","「雇用形態」","")&amp;IF(OR(入力シート!$J$18=入力リスト!$H$9,入力シート!$J$22=入力リスト!$H$9),IF(C594="","「入社年月日」",""),"")&amp;IF(D594="","「性別」","")&amp;IF(IF(A594="","従業員番号","")&amp;IF(B594="","「雇用形態」","")&amp;IF(OR(入力シート!$J$18=入力リスト!$H$9,入力シート!$J$22=入力リスト!$H$9),IF(C594="","「入社年月日」",""),"")&amp;IF(D594="","「性別」","")="","",入力リスト!$K$29),IF(J594,入力リスト!$K$30,"")&amp;IF(I594,入力リスト!$K$31,"")&amp;IF(H594,"「雇用形態」","")&amp;IF(K594,"「性別」","")&amp;IF(L594,"「役職」","")&amp;IF(OR(H594,K594,L594),入力リスト!$K$32,"")))))</f>
        <v/>
      </c>
      <c r="G594" s="298" t="b">
        <f>COUNTIF($A$4:A593,$A594)&gt;0</f>
        <v>0</v>
      </c>
      <c r="H594" s="298" t="b">
        <f>IF($H$1,FALSE,COUNTIF(入力シート!$S$37:$V$62,B594)=0)</f>
        <v>0</v>
      </c>
      <c r="I594" s="298" t="b">
        <f t="shared" si="19"/>
        <v>0</v>
      </c>
      <c r="J594" s="298" t="b">
        <f>IF($J$1,FALSE,IF(I594=TRUE,FALSE,IF(I594,FALSE,C594&gt;入力シート!$J$24)))</f>
        <v>0</v>
      </c>
      <c r="K594" s="298" t="b">
        <f>IF($K$1,FALSE,COUNTIF(入力シート!$AW$37:$BB$38,D594)=0)</f>
        <v>0</v>
      </c>
      <c r="L594" s="298" t="b">
        <f>IF($L$1,FALSE,IF($L$3,FALSE,IF(E594="",FALSE,COUNTIF(入力シート!$AH$37:$AK$62,E594)=0)))</f>
        <v>0</v>
      </c>
      <c r="M594" s="298" t="str">
        <f t="shared" si="20"/>
        <v/>
      </c>
      <c r="N594" s="298" t="str">
        <f>IF(G594,"この従業員番号は、すでに他のセルで入力されています。",IF(入力シート!$C$5=入力リスト!$C$4,"",IF(AND(A594="",B594="",C594="",D594="",E594=""),"",IF(OR(A594="",B594="",C594="",D594=""),IF(A594="","従業員番号","")&amp;IF(AND(A594="",OR(B594="",C594="",D594="")),",","")&amp;IF(B594="","雇用形態","")&amp;IF(AND(B594="",OR(C594="",D594="")),",","")&amp;IF(OR(入力シート!$J$18=入力リスト!$H$9,入力シート!$J$22=入力リスト!$H$9),IF(C594="","入社年月日",""),"")&amp;IF(AND(C594="",D594=""),",","")&amp;IF(D594="","性別","")&amp;IF(IF(A594="","従業員番号","")&amp;IF(B594="","雇用形態","")&amp;IF(OR(入力シート!$J$18=入力リスト!$H$9,入力シート!$J$22=入力リスト!$H$9),IF(C594="","入社年月日",""),"")&amp;IF(D594="","性別","")="","","が空白です。"),IF(J594,"入社年月日に「基準日」の翌日以降の日付が入力されています。","")&amp;IF(I594,"入社年月日に数値以外（又は1900/1/1以前の日付）が入力されています。","")&amp;IF(H594,"雇用形態"&amp;IF(OR(K594,L594),",",""),"")&amp;IF(K594,"性別"&amp;IF(L594,",",""),"")&amp;IF(L594,"役職","")&amp;IF(OR(H594,K594,L594),"に、［入力シート］(4)「貴社」欄と異なる文言が入力されています。","")))))</f>
        <v/>
      </c>
      <c r="O594" s="298" t="str">
        <f>IF(B594="","",VLOOKUP('従業員情報(給与以外)'!$B594,入力シート!$S$37:$Z$62,5,0))</f>
        <v/>
      </c>
      <c r="P594" s="298" t="str">
        <f>IF(ISNUMBER(C594)=FALSE,"",IF(C594&gt;入力シート!$J$24,"",_xlfn.DAYS(入力シート!$J$24,'従業員情報(給与以外)'!$C594)/365))</f>
        <v/>
      </c>
      <c r="Q594" s="298" t="str">
        <f>IF(P594="","",VLOOKUP(_xlfn.DAYS(入力シート!$J$24,'従業員情報(給与以外)'!$C594)/365,入力リスト!$K$18:$L$26,2,2))</f>
        <v/>
      </c>
      <c r="R594" s="298" t="str">
        <f>IF(D594="","",VLOOKUP('従業員情報(給与以外)'!$D594,入力シート!$AW$37:$BB$38,4,0))</f>
        <v/>
      </c>
      <c r="S594" s="298" t="str">
        <f>IF(A594="","",IF(E594="","非役職",VLOOKUP('従業員情報(給与以外)'!$E594,入力シート!$AH$37:$AO$62,5,0)))</f>
        <v/>
      </c>
      <c r="T594" s="299" t="str">
        <f>IF(OR(入力シート!$C$5&lt;&gt;入力リスト!$C$3,COUNTIF(入力シート!$J$16:$S$23,入力リスト!$H$9)=0),"",IF($A594="","",IF(ISERROR(AVERAGEIF(従業員の給与情報!$B:$B,$A594,従業員の給与情報!$C:$C)),0,IF(ISERROR(AVERAGEIF(従業員の給与情報!$B:$B,$A594,従業員の給与情報!$C:$C)),0,AVERAGEIF(従業員の給与情報!$B:$B,$A594,従業員の給与情報!$C:$C)))))</f>
        <v/>
      </c>
      <c r="U594" s="299" t="str">
        <f>IF(OR(入力シート!$C$5&lt;&gt;入力リスト!$C$3,COUNTIF(入力シート!$J$16:$S$23,入力リスト!$H$9)=0),"",IF(A594="","",IF(ISERROR(AVERAGEIF(従業員の給与情報!$B:$B,$A594,従業員の給与情報!$D:$D)),0,IF(ISERROR(AVERAGEIF(従業員の給与情報!$B:$B,$A594,従業員の給与情報!$D:$D)),0,AVERAGEIF(従業員の給与情報!$B:$B,$A594,従業員の給与情報!$D:$D)))))</f>
        <v/>
      </c>
      <c r="V594" s="299" t="str">
        <f>IF(OR(入力シート!$C$5&lt;&gt;入力リスト!$C$3,COUNTIF(入力シート!$J$16:$S$23,入力リスト!$H$9)=0),"",IF(A594="","",IF(ISERROR(AVERAGEIF(従業員の給与情報!$B:$B,$A594,従業員の給与情報!$E:$E)),0,IF(ISERROR(AVERAGEIF(従業員の給与情報!$B:$B,$A594,従業員の給与情報!$E:$E)),0,AVERAGEIF(従業員の給与情報!$B:$B,$A594,従業員の給与情報!$E:$E)))))</f>
        <v/>
      </c>
      <c r="W594" s="299" t="str">
        <f>IF(OR(入力シート!$C$5&lt;&gt;入力リスト!$C$3,COUNTIF(入力シート!$J$16:$S$23,入力リスト!$H$9)=0),"",IF(A594="","",IF(ISERROR(AVERAGEIF(従業員の給与情報!$B:$B,$A594,従業員の給与情報!$F:$F)),0,IF(ISERROR(AVERAGEIF(従業員の給与情報!$B:$B,$A594,従業員の給与情報!$F:$F)),0,AVERAGEIF(従業員の給与情報!$B:$B,$A594,従業員の給与情報!$F:$F)))))</f>
        <v/>
      </c>
      <c r="X594" s="581" t="s">
        <v>5333</v>
      </c>
    </row>
    <row r="595" spans="6:24">
      <c r="F595" s="297" t="str">
        <f>IF($G$1,"",IF(COUNTIF(A595:E595,"")=5,"",IF(G595,入力リスト!$K$28,IF(OR(A595="",B595="",IF(COUNTIF($C$3,"*不要*"),"",C595=""),D595=""),IF(A595="","従業員番号","")&amp;IF(B595="","「雇用形態」","")&amp;IF(OR(入力シート!$J$18=入力リスト!$H$9,入力シート!$J$22=入力リスト!$H$9),IF(C595="","「入社年月日」",""),"")&amp;IF(D595="","「性別」","")&amp;IF(IF(A595="","従業員番号","")&amp;IF(B595="","「雇用形態」","")&amp;IF(OR(入力シート!$J$18=入力リスト!$H$9,入力シート!$J$22=入力リスト!$H$9),IF(C595="","「入社年月日」",""),"")&amp;IF(D595="","「性別」","")="","",入力リスト!$K$29),IF(J595,入力リスト!$K$30,"")&amp;IF(I595,入力リスト!$K$31,"")&amp;IF(H595,"「雇用形態」","")&amp;IF(K595,"「性別」","")&amp;IF(L595,"「役職」","")&amp;IF(OR(H595,K595,L595),入力リスト!$K$32,"")))))</f>
        <v/>
      </c>
      <c r="G595" s="298" t="b">
        <f>COUNTIF($A$4:A594,$A595)&gt;0</f>
        <v>0</v>
      </c>
      <c r="H595" s="298" t="b">
        <f>IF($H$1,FALSE,COUNTIF(入力シート!$S$37:$V$62,B595)=0)</f>
        <v>0</v>
      </c>
      <c r="I595" s="298" t="b">
        <f t="shared" si="19"/>
        <v>0</v>
      </c>
      <c r="J595" s="298" t="b">
        <f>IF($J$1,FALSE,IF(I595=TRUE,FALSE,IF(I595,FALSE,C595&gt;入力シート!$J$24)))</f>
        <v>0</v>
      </c>
      <c r="K595" s="298" t="b">
        <f>IF($K$1,FALSE,COUNTIF(入力シート!$AW$37:$BB$38,D595)=0)</f>
        <v>0</v>
      </c>
      <c r="L595" s="298" t="b">
        <f>IF($L$1,FALSE,IF($L$3,FALSE,IF(E595="",FALSE,COUNTIF(入力シート!$AH$37:$AK$62,E595)=0)))</f>
        <v>0</v>
      </c>
      <c r="M595" s="298" t="str">
        <f t="shared" si="20"/>
        <v/>
      </c>
      <c r="N595" s="298" t="str">
        <f>IF(G595,"この従業員番号は、すでに他のセルで入力されています。",IF(入力シート!$C$5=入力リスト!$C$4,"",IF(AND(A595="",B595="",C595="",D595="",E595=""),"",IF(OR(A595="",B595="",C595="",D595=""),IF(A595="","従業員番号","")&amp;IF(AND(A595="",OR(B595="",C595="",D595="")),",","")&amp;IF(B595="","雇用形態","")&amp;IF(AND(B595="",OR(C595="",D595="")),",","")&amp;IF(OR(入力シート!$J$18=入力リスト!$H$9,入力シート!$J$22=入力リスト!$H$9),IF(C595="","入社年月日",""),"")&amp;IF(AND(C595="",D595=""),",","")&amp;IF(D595="","性別","")&amp;IF(IF(A595="","従業員番号","")&amp;IF(B595="","雇用形態","")&amp;IF(OR(入力シート!$J$18=入力リスト!$H$9,入力シート!$J$22=入力リスト!$H$9),IF(C595="","入社年月日",""),"")&amp;IF(D595="","性別","")="","","が空白です。"),IF(J595,"入社年月日に「基準日」の翌日以降の日付が入力されています。","")&amp;IF(I595,"入社年月日に数値以外（又は1900/1/1以前の日付）が入力されています。","")&amp;IF(H595,"雇用形態"&amp;IF(OR(K595,L595),",",""),"")&amp;IF(K595,"性別"&amp;IF(L595,",",""),"")&amp;IF(L595,"役職","")&amp;IF(OR(H595,K595,L595),"に、［入力シート］(4)「貴社」欄と異なる文言が入力されています。","")))))</f>
        <v/>
      </c>
      <c r="O595" s="298" t="str">
        <f>IF(B595="","",VLOOKUP('従業員情報(給与以外)'!$B595,入力シート!$S$37:$Z$62,5,0))</f>
        <v/>
      </c>
      <c r="P595" s="298" t="str">
        <f>IF(ISNUMBER(C595)=FALSE,"",IF(C595&gt;入力シート!$J$24,"",_xlfn.DAYS(入力シート!$J$24,'従業員情報(給与以外)'!$C595)/365))</f>
        <v/>
      </c>
      <c r="Q595" s="298" t="str">
        <f>IF(P595="","",VLOOKUP(_xlfn.DAYS(入力シート!$J$24,'従業員情報(給与以外)'!$C595)/365,入力リスト!$K$18:$L$26,2,2))</f>
        <v/>
      </c>
      <c r="R595" s="298" t="str">
        <f>IF(D595="","",VLOOKUP('従業員情報(給与以外)'!$D595,入力シート!$AW$37:$BB$38,4,0))</f>
        <v/>
      </c>
      <c r="S595" s="298" t="str">
        <f>IF(A595="","",IF(E595="","非役職",VLOOKUP('従業員情報(給与以外)'!$E595,入力シート!$AH$37:$AO$62,5,0)))</f>
        <v/>
      </c>
      <c r="T595" s="299" t="str">
        <f>IF(OR(入力シート!$C$5&lt;&gt;入力リスト!$C$3,COUNTIF(入力シート!$J$16:$S$23,入力リスト!$H$9)=0),"",IF($A595="","",IF(ISERROR(AVERAGEIF(従業員の給与情報!$B:$B,$A595,従業員の給与情報!$C:$C)),0,IF(ISERROR(AVERAGEIF(従業員の給与情報!$B:$B,$A595,従業員の給与情報!$C:$C)),0,AVERAGEIF(従業員の給与情報!$B:$B,$A595,従業員の給与情報!$C:$C)))))</f>
        <v/>
      </c>
      <c r="U595" s="299" t="str">
        <f>IF(OR(入力シート!$C$5&lt;&gt;入力リスト!$C$3,COUNTIF(入力シート!$J$16:$S$23,入力リスト!$H$9)=0),"",IF(A595="","",IF(ISERROR(AVERAGEIF(従業員の給与情報!$B:$B,$A595,従業員の給与情報!$D:$D)),0,IF(ISERROR(AVERAGEIF(従業員の給与情報!$B:$B,$A595,従業員の給与情報!$D:$D)),0,AVERAGEIF(従業員の給与情報!$B:$B,$A595,従業員の給与情報!$D:$D)))))</f>
        <v/>
      </c>
      <c r="V595" s="299" t="str">
        <f>IF(OR(入力シート!$C$5&lt;&gt;入力リスト!$C$3,COUNTIF(入力シート!$J$16:$S$23,入力リスト!$H$9)=0),"",IF(A595="","",IF(ISERROR(AVERAGEIF(従業員の給与情報!$B:$B,$A595,従業員の給与情報!$E:$E)),0,IF(ISERROR(AVERAGEIF(従業員の給与情報!$B:$B,$A595,従業員の給与情報!$E:$E)),0,AVERAGEIF(従業員の給与情報!$B:$B,$A595,従業員の給与情報!$E:$E)))))</f>
        <v/>
      </c>
      <c r="W595" s="299" t="str">
        <f>IF(OR(入力シート!$C$5&lt;&gt;入力リスト!$C$3,COUNTIF(入力シート!$J$16:$S$23,入力リスト!$H$9)=0),"",IF(A595="","",IF(ISERROR(AVERAGEIF(従業員の給与情報!$B:$B,$A595,従業員の給与情報!$F:$F)),0,IF(ISERROR(AVERAGEIF(従業員の給与情報!$B:$B,$A595,従業員の給与情報!$F:$F)),0,AVERAGEIF(従業員の給与情報!$B:$B,$A595,従業員の給与情報!$F:$F)))))</f>
        <v/>
      </c>
      <c r="X595" s="581" t="s">
        <v>5334</v>
      </c>
    </row>
    <row r="596" spans="6:24">
      <c r="F596" s="297" t="str">
        <f>IF($G$1,"",IF(COUNTIF(A596:E596,"")=5,"",IF(G596,入力リスト!$K$28,IF(OR(A596="",B596="",IF(COUNTIF($C$3,"*不要*"),"",C596=""),D596=""),IF(A596="","従業員番号","")&amp;IF(B596="","「雇用形態」","")&amp;IF(OR(入力シート!$J$18=入力リスト!$H$9,入力シート!$J$22=入力リスト!$H$9),IF(C596="","「入社年月日」",""),"")&amp;IF(D596="","「性別」","")&amp;IF(IF(A596="","従業員番号","")&amp;IF(B596="","「雇用形態」","")&amp;IF(OR(入力シート!$J$18=入力リスト!$H$9,入力シート!$J$22=入力リスト!$H$9),IF(C596="","「入社年月日」",""),"")&amp;IF(D596="","「性別」","")="","",入力リスト!$K$29),IF(J596,入力リスト!$K$30,"")&amp;IF(I596,入力リスト!$K$31,"")&amp;IF(H596,"「雇用形態」","")&amp;IF(K596,"「性別」","")&amp;IF(L596,"「役職」","")&amp;IF(OR(H596,K596,L596),入力リスト!$K$32,"")))))</f>
        <v/>
      </c>
      <c r="G596" s="298" t="b">
        <f>COUNTIF($A$4:A595,$A596)&gt;0</f>
        <v>0</v>
      </c>
      <c r="H596" s="298" t="b">
        <f>IF($H$1,FALSE,COUNTIF(入力シート!$S$37:$V$62,B596)=0)</f>
        <v>0</v>
      </c>
      <c r="I596" s="298" t="b">
        <f t="shared" si="19"/>
        <v>0</v>
      </c>
      <c r="J596" s="298" t="b">
        <f>IF($J$1,FALSE,IF(I596=TRUE,FALSE,IF(I596,FALSE,C596&gt;入力シート!$J$24)))</f>
        <v>0</v>
      </c>
      <c r="K596" s="298" t="b">
        <f>IF($K$1,FALSE,COUNTIF(入力シート!$AW$37:$BB$38,D596)=0)</f>
        <v>0</v>
      </c>
      <c r="L596" s="298" t="b">
        <f>IF($L$1,FALSE,IF($L$3,FALSE,IF(E596="",FALSE,COUNTIF(入力シート!$AH$37:$AK$62,E596)=0)))</f>
        <v>0</v>
      </c>
      <c r="M596" s="298" t="str">
        <f t="shared" si="20"/>
        <v/>
      </c>
      <c r="N596" s="298" t="str">
        <f>IF(G596,"この従業員番号は、すでに他のセルで入力されています。",IF(入力シート!$C$5=入力リスト!$C$4,"",IF(AND(A596="",B596="",C596="",D596="",E596=""),"",IF(OR(A596="",B596="",C596="",D596=""),IF(A596="","従業員番号","")&amp;IF(AND(A596="",OR(B596="",C596="",D596="")),",","")&amp;IF(B596="","雇用形態","")&amp;IF(AND(B596="",OR(C596="",D596="")),",","")&amp;IF(OR(入力シート!$J$18=入力リスト!$H$9,入力シート!$J$22=入力リスト!$H$9),IF(C596="","入社年月日",""),"")&amp;IF(AND(C596="",D596=""),",","")&amp;IF(D596="","性別","")&amp;IF(IF(A596="","従業員番号","")&amp;IF(B596="","雇用形態","")&amp;IF(OR(入力シート!$J$18=入力リスト!$H$9,入力シート!$J$22=入力リスト!$H$9),IF(C596="","入社年月日",""),"")&amp;IF(D596="","性別","")="","","が空白です。"),IF(J596,"入社年月日に「基準日」の翌日以降の日付が入力されています。","")&amp;IF(I596,"入社年月日に数値以外（又は1900/1/1以前の日付）が入力されています。","")&amp;IF(H596,"雇用形態"&amp;IF(OR(K596,L596),",",""),"")&amp;IF(K596,"性別"&amp;IF(L596,",",""),"")&amp;IF(L596,"役職","")&amp;IF(OR(H596,K596,L596),"に、［入力シート］(4)「貴社」欄と異なる文言が入力されています。","")))))</f>
        <v/>
      </c>
      <c r="O596" s="298" t="str">
        <f>IF(B596="","",VLOOKUP('従業員情報(給与以外)'!$B596,入力シート!$S$37:$Z$62,5,0))</f>
        <v/>
      </c>
      <c r="P596" s="298" t="str">
        <f>IF(ISNUMBER(C596)=FALSE,"",IF(C596&gt;入力シート!$J$24,"",_xlfn.DAYS(入力シート!$J$24,'従業員情報(給与以外)'!$C596)/365))</f>
        <v/>
      </c>
      <c r="Q596" s="298" t="str">
        <f>IF(P596="","",VLOOKUP(_xlfn.DAYS(入力シート!$J$24,'従業員情報(給与以外)'!$C596)/365,入力リスト!$K$18:$L$26,2,2))</f>
        <v/>
      </c>
      <c r="R596" s="298" t="str">
        <f>IF(D596="","",VLOOKUP('従業員情報(給与以外)'!$D596,入力シート!$AW$37:$BB$38,4,0))</f>
        <v/>
      </c>
      <c r="S596" s="298" t="str">
        <f>IF(A596="","",IF(E596="","非役職",VLOOKUP('従業員情報(給与以外)'!$E596,入力シート!$AH$37:$AO$62,5,0)))</f>
        <v/>
      </c>
      <c r="T596" s="299" t="str">
        <f>IF(OR(入力シート!$C$5&lt;&gt;入力リスト!$C$3,COUNTIF(入力シート!$J$16:$S$23,入力リスト!$H$9)=0),"",IF($A596="","",IF(ISERROR(AVERAGEIF(従業員の給与情報!$B:$B,$A596,従業員の給与情報!$C:$C)),0,IF(ISERROR(AVERAGEIF(従業員の給与情報!$B:$B,$A596,従業員の給与情報!$C:$C)),0,AVERAGEIF(従業員の給与情報!$B:$B,$A596,従業員の給与情報!$C:$C)))))</f>
        <v/>
      </c>
      <c r="U596" s="299" t="str">
        <f>IF(OR(入力シート!$C$5&lt;&gt;入力リスト!$C$3,COUNTIF(入力シート!$J$16:$S$23,入力リスト!$H$9)=0),"",IF(A596="","",IF(ISERROR(AVERAGEIF(従業員の給与情報!$B:$B,$A596,従業員の給与情報!$D:$D)),0,IF(ISERROR(AVERAGEIF(従業員の給与情報!$B:$B,$A596,従業員の給与情報!$D:$D)),0,AVERAGEIF(従業員の給与情報!$B:$B,$A596,従業員の給与情報!$D:$D)))))</f>
        <v/>
      </c>
      <c r="V596" s="299" t="str">
        <f>IF(OR(入力シート!$C$5&lt;&gt;入力リスト!$C$3,COUNTIF(入力シート!$J$16:$S$23,入力リスト!$H$9)=0),"",IF(A596="","",IF(ISERROR(AVERAGEIF(従業員の給与情報!$B:$B,$A596,従業員の給与情報!$E:$E)),0,IF(ISERROR(AVERAGEIF(従業員の給与情報!$B:$B,$A596,従業員の給与情報!$E:$E)),0,AVERAGEIF(従業員の給与情報!$B:$B,$A596,従業員の給与情報!$E:$E)))))</f>
        <v/>
      </c>
      <c r="W596" s="299" t="str">
        <f>IF(OR(入力シート!$C$5&lt;&gt;入力リスト!$C$3,COUNTIF(入力シート!$J$16:$S$23,入力リスト!$H$9)=0),"",IF(A596="","",IF(ISERROR(AVERAGEIF(従業員の給与情報!$B:$B,$A596,従業員の給与情報!$F:$F)),0,IF(ISERROR(AVERAGEIF(従業員の給与情報!$B:$B,$A596,従業員の給与情報!$F:$F)),0,AVERAGEIF(従業員の給与情報!$B:$B,$A596,従業員の給与情報!$F:$F)))))</f>
        <v/>
      </c>
      <c r="X596" s="581" t="s">
        <v>5335</v>
      </c>
    </row>
    <row r="597" spans="6:24">
      <c r="F597" s="297" t="str">
        <f>IF($G$1,"",IF(COUNTIF(A597:E597,"")=5,"",IF(G597,入力リスト!$K$28,IF(OR(A597="",B597="",IF(COUNTIF($C$3,"*不要*"),"",C597=""),D597=""),IF(A597="","従業員番号","")&amp;IF(B597="","「雇用形態」","")&amp;IF(OR(入力シート!$J$18=入力リスト!$H$9,入力シート!$J$22=入力リスト!$H$9),IF(C597="","「入社年月日」",""),"")&amp;IF(D597="","「性別」","")&amp;IF(IF(A597="","従業員番号","")&amp;IF(B597="","「雇用形態」","")&amp;IF(OR(入力シート!$J$18=入力リスト!$H$9,入力シート!$J$22=入力リスト!$H$9),IF(C597="","「入社年月日」",""),"")&amp;IF(D597="","「性別」","")="","",入力リスト!$K$29),IF(J597,入力リスト!$K$30,"")&amp;IF(I597,入力リスト!$K$31,"")&amp;IF(H597,"「雇用形態」","")&amp;IF(K597,"「性別」","")&amp;IF(L597,"「役職」","")&amp;IF(OR(H597,K597,L597),入力リスト!$K$32,"")))))</f>
        <v/>
      </c>
      <c r="G597" s="298" t="b">
        <f>COUNTIF($A$4:A596,$A597)&gt;0</f>
        <v>0</v>
      </c>
      <c r="H597" s="298" t="b">
        <f>IF($H$1,FALSE,COUNTIF(入力シート!$S$37:$V$62,B597)=0)</f>
        <v>0</v>
      </c>
      <c r="I597" s="298" t="b">
        <f t="shared" si="19"/>
        <v>0</v>
      </c>
      <c r="J597" s="298" t="b">
        <f>IF($J$1,FALSE,IF(I597=TRUE,FALSE,IF(I597,FALSE,C597&gt;入力シート!$J$24)))</f>
        <v>0</v>
      </c>
      <c r="K597" s="298" t="b">
        <f>IF($K$1,FALSE,COUNTIF(入力シート!$AW$37:$BB$38,D597)=0)</f>
        <v>0</v>
      </c>
      <c r="L597" s="298" t="b">
        <f>IF($L$1,FALSE,IF($L$3,FALSE,IF(E597="",FALSE,COUNTIF(入力シート!$AH$37:$AK$62,E597)=0)))</f>
        <v>0</v>
      </c>
      <c r="M597" s="298" t="str">
        <f t="shared" si="20"/>
        <v/>
      </c>
      <c r="N597" s="298" t="str">
        <f>IF(G597,"この従業員番号は、すでに他のセルで入力されています。",IF(入力シート!$C$5=入力リスト!$C$4,"",IF(AND(A597="",B597="",C597="",D597="",E597=""),"",IF(OR(A597="",B597="",C597="",D597=""),IF(A597="","従業員番号","")&amp;IF(AND(A597="",OR(B597="",C597="",D597="")),",","")&amp;IF(B597="","雇用形態","")&amp;IF(AND(B597="",OR(C597="",D597="")),",","")&amp;IF(OR(入力シート!$J$18=入力リスト!$H$9,入力シート!$J$22=入力リスト!$H$9),IF(C597="","入社年月日",""),"")&amp;IF(AND(C597="",D597=""),",","")&amp;IF(D597="","性別","")&amp;IF(IF(A597="","従業員番号","")&amp;IF(B597="","雇用形態","")&amp;IF(OR(入力シート!$J$18=入力リスト!$H$9,入力シート!$J$22=入力リスト!$H$9),IF(C597="","入社年月日",""),"")&amp;IF(D597="","性別","")="","","が空白です。"),IF(J597,"入社年月日に「基準日」の翌日以降の日付が入力されています。","")&amp;IF(I597,"入社年月日に数値以外（又は1900/1/1以前の日付）が入力されています。","")&amp;IF(H597,"雇用形態"&amp;IF(OR(K597,L597),",",""),"")&amp;IF(K597,"性別"&amp;IF(L597,",",""),"")&amp;IF(L597,"役職","")&amp;IF(OR(H597,K597,L597),"に、［入力シート］(4)「貴社」欄と異なる文言が入力されています。","")))))</f>
        <v/>
      </c>
      <c r="O597" s="298" t="str">
        <f>IF(B597="","",VLOOKUP('従業員情報(給与以外)'!$B597,入力シート!$S$37:$Z$62,5,0))</f>
        <v/>
      </c>
      <c r="P597" s="298" t="str">
        <f>IF(ISNUMBER(C597)=FALSE,"",IF(C597&gt;入力シート!$J$24,"",_xlfn.DAYS(入力シート!$J$24,'従業員情報(給与以外)'!$C597)/365))</f>
        <v/>
      </c>
      <c r="Q597" s="298" t="str">
        <f>IF(P597="","",VLOOKUP(_xlfn.DAYS(入力シート!$J$24,'従業員情報(給与以外)'!$C597)/365,入力リスト!$K$18:$L$26,2,2))</f>
        <v/>
      </c>
      <c r="R597" s="298" t="str">
        <f>IF(D597="","",VLOOKUP('従業員情報(給与以外)'!$D597,入力シート!$AW$37:$BB$38,4,0))</f>
        <v/>
      </c>
      <c r="S597" s="298" t="str">
        <f>IF(A597="","",IF(E597="","非役職",VLOOKUP('従業員情報(給与以外)'!$E597,入力シート!$AH$37:$AO$62,5,0)))</f>
        <v/>
      </c>
      <c r="T597" s="299" t="str">
        <f>IF(OR(入力シート!$C$5&lt;&gt;入力リスト!$C$3,COUNTIF(入力シート!$J$16:$S$23,入力リスト!$H$9)=0),"",IF($A597="","",IF(ISERROR(AVERAGEIF(従業員の給与情報!$B:$B,$A597,従業員の給与情報!$C:$C)),0,IF(ISERROR(AVERAGEIF(従業員の給与情報!$B:$B,$A597,従業員の給与情報!$C:$C)),0,AVERAGEIF(従業員の給与情報!$B:$B,$A597,従業員の給与情報!$C:$C)))))</f>
        <v/>
      </c>
      <c r="U597" s="299" t="str">
        <f>IF(OR(入力シート!$C$5&lt;&gt;入力リスト!$C$3,COUNTIF(入力シート!$J$16:$S$23,入力リスト!$H$9)=0),"",IF(A597="","",IF(ISERROR(AVERAGEIF(従業員の給与情報!$B:$B,$A597,従業員の給与情報!$D:$D)),0,IF(ISERROR(AVERAGEIF(従業員の給与情報!$B:$B,$A597,従業員の給与情報!$D:$D)),0,AVERAGEIF(従業員の給与情報!$B:$B,$A597,従業員の給与情報!$D:$D)))))</f>
        <v/>
      </c>
      <c r="V597" s="299" t="str">
        <f>IF(OR(入力シート!$C$5&lt;&gt;入力リスト!$C$3,COUNTIF(入力シート!$J$16:$S$23,入力リスト!$H$9)=0),"",IF(A597="","",IF(ISERROR(AVERAGEIF(従業員の給与情報!$B:$B,$A597,従業員の給与情報!$E:$E)),0,IF(ISERROR(AVERAGEIF(従業員の給与情報!$B:$B,$A597,従業員の給与情報!$E:$E)),0,AVERAGEIF(従業員の給与情報!$B:$B,$A597,従業員の給与情報!$E:$E)))))</f>
        <v/>
      </c>
      <c r="W597" s="299" t="str">
        <f>IF(OR(入力シート!$C$5&lt;&gt;入力リスト!$C$3,COUNTIF(入力シート!$J$16:$S$23,入力リスト!$H$9)=0),"",IF(A597="","",IF(ISERROR(AVERAGEIF(従業員の給与情報!$B:$B,$A597,従業員の給与情報!$F:$F)),0,IF(ISERROR(AVERAGEIF(従業員の給与情報!$B:$B,$A597,従業員の給与情報!$F:$F)),0,AVERAGEIF(従業員の給与情報!$B:$B,$A597,従業員の給与情報!$F:$F)))))</f>
        <v/>
      </c>
      <c r="X597" s="581" t="s">
        <v>5336</v>
      </c>
    </row>
    <row r="598" spans="6:24">
      <c r="F598" s="297" t="str">
        <f>IF($G$1,"",IF(COUNTIF(A598:E598,"")=5,"",IF(G598,入力リスト!$K$28,IF(OR(A598="",B598="",IF(COUNTIF($C$3,"*不要*"),"",C598=""),D598=""),IF(A598="","従業員番号","")&amp;IF(B598="","「雇用形態」","")&amp;IF(OR(入力シート!$J$18=入力リスト!$H$9,入力シート!$J$22=入力リスト!$H$9),IF(C598="","「入社年月日」",""),"")&amp;IF(D598="","「性別」","")&amp;IF(IF(A598="","従業員番号","")&amp;IF(B598="","「雇用形態」","")&amp;IF(OR(入力シート!$J$18=入力リスト!$H$9,入力シート!$J$22=入力リスト!$H$9),IF(C598="","「入社年月日」",""),"")&amp;IF(D598="","「性別」","")="","",入力リスト!$K$29),IF(J598,入力リスト!$K$30,"")&amp;IF(I598,入力リスト!$K$31,"")&amp;IF(H598,"「雇用形態」","")&amp;IF(K598,"「性別」","")&amp;IF(L598,"「役職」","")&amp;IF(OR(H598,K598,L598),入力リスト!$K$32,"")))))</f>
        <v/>
      </c>
      <c r="G598" s="298" t="b">
        <f>COUNTIF($A$4:A597,$A598)&gt;0</f>
        <v>0</v>
      </c>
      <c r="H598" s="298" t="b">
        <f>IF($H$1,FALSE,COUNTIF(入力シート!$S$37:$V$62,B598)=0)</f>
        <v>0</v>
      </c>
      <c r="I598" s="298" t="b">
        <f t="shared" si="19"/>
        <v>0</v>
      </c>
      <c r="J598" s="298" t="b">
        <f>IF($J$1,FALSE,IF(I598=TRUE,FALSE,IF(I598,FALSE,C598&gt;入力シート!$J$24)))</f>
        <v>0</v>
      </c>
      <c r="K598" s="298" t="b">
        <f>IF($K$1,FALSE,COUNTIF(入力シート!$AW$37:$BB$38,D598)=0)</f>
        <v>0</v>
      </c>
      <c r="L598" s="298" t="b">
        <f>IF($L$1,FALSE,IF($L$3,FALSE,IF(E598="",FALSE,COUNTIF(入力シート!$AH$37:$AK$62,E598)=0)))</f>
        <v>0</v>
      </c>
      <c r="M598" s="298" t="str">
        <f t="shared" si="20"/>
        <v/>
      </c>
      <c r="N598" s="298" t="str">
        <f>IF(G598,"この従業員番号は、すでに他のセルで入力されています。",IF(入力シート!$C$5=入力リスト!$C$4,"",IF(AND(A598="",B598="",C598="",D598="",E598=""),"",IF(OR(A598="",B598="",C598="",D598=""),IF(A598="","従業員番号","")&amp;IF(AND(A598="",OR(B598="",C598="",D598="")),",","")&amp;IF(B598="","雇用形態","")&amp;IF(AND(B598="",OR(C598="",D598="")),",","")&amp;IF(OR(入力シート!$J$18=入力リスト!$H$9,入力シート!$J$22=入力リスト!$H$9),IF(C598="","入社年月日",""),"")&amp;IF(AND(C598="",D598=""),",","")&amp;IF(D598="","性別","")&amp;IF(IF(A598="","従業員番号","")&amp;IF(B598="","雇用形態","")&amp;IF(OR(入力シート!$J$18=入力リスト!$H$9,入力シート!$J$22=入力リスト!$H$9),IF(C598="","入社年月日",""),"")&amp;IF(D598="","性別","")="","","が空白です。"),IF(J598,"入社年月日に「基準日」の翌日以降の日付が入力されています。","")&amp;IF(I598,"入社年月日に数値以外（又は1900/1/1以前の日付）が入力されています。","")&amp;IF(H598,"雇用形態"&amp;IF(OR(K598,L598),",",""),"")&amp;IF(K598,"性別"&amp;IF(L598,",",""),"")&amp;IF(L598,"役職","")&amp;IF(OR(H598,K598,L598),"に、［入力シート］(4)「貴社」欄と異なる文言が入力されています。","")))))</f>
        <v/>
      </c>
      <c r="O598" s="298" t="str">
        <f>IF(B598="","",VLOOKUP('従業員情報(給与以外)'!$B598,入力シート!$S$37:$Z$62,5,0))</f>
        <v/>
      </c>
      <c r="P598" s="298" t="str">
        <f>IF(ISNUMBER(C598)=FALSE,"",IF(C598&gt;入力シート!$J$24,"",_xlfn.DAYS(入力シート!$J$24,'従業員情報(給与以外)'!$C598)/365))</f>
        <v/>
      </c>
      <c r="Q598" s="298" t="str">
        <f>IF(P598="","",VLOOKUP(_xlfn.DAYS(入力シート!$J$24,'従業員情報(給与以外)'!$C598)/365,入力リスト!$K$18:$L$26,2,2))</f>
        <v/>
      </c>
      <c r="R598" s="298" t="str">
        <f>IF(D598="","",VLOOKUP('従業員情報(給与以外)'!$D598,入力シート!$AW$37:$BB$38,4,0))</f>
        <v/>
      </c>
      <c r="S598" s="298" t="str">
        <f>IF(A598="","",IF(E598="","非役職",VLOOKUP('従業員情報(給与以外)'!$E598,入力シート!$AH$37:$AO$62,5,0)))</f>
        <v/>
      </c>
      <c r="T598" s="299" t="str">
        <f>IF(OR(入力シート!$C$5&lt;&gt;入力リスト!$C$3,COUNTIF(入力シート!$J$16:$S$23,入力リスト!$H$9)=0),"",IF($A598="","",IF(ISERROR(AVERAGEIF(従業員の給与情報!$B:$B,$A598,従業員の給与情報!$C:$C)),0,IF(ISERROR(AVERAGEIF(従業員の給与情報!$B:$B,$A598,従業員の給与情報!$C:$C)),0,AVERAGEIF(従業員の給与情報!$B:$B,$A598,従業員の給与情報!$C:$C)))))</f>
        <v/>
      </c>
      <c r="U598" s="299" t="str">
        <f>IF(OR(入力シート!$C$5&lt;&gt;入力リスト!$C$3,COUNTIF(入力シート!$J$16:$S$23,入力リスト!$H$9)=0),"",IF(A598="","",IF(ISERROR(AVERAGEIF(従業員の給与情報!$B:$B,$A598,従業員の給与情報!$D:$D)),0,IF(ISERROR(AVERAGEIF(従業員の給与情報!$B:$B,$A598,従業員の給与情報!$D:$D)),0,AVERAGEIF(従業員の給与情報!$B:$B,$A598,従業員の給与情報!$D:$D)))))</f>
        <v/>
      </c>
      <c r="V598" s="299" t="str">
        <f>IF(OR(入力シート!$C$5&lt;&gt;入力リスト!$C$3,COUNTIF(入力シート!$J$16:$S$23,入力リスト!$H$9)=0),"",IF(A598="","",IF(ISERROR(AVERAGEIF(従業員の給与情報!$B:$B,$A598,従業員の給与情報!$E:$E)),0,IF(ISERROR(AVERAGEIF(従業員の給与情報!$B:$B,$A598,従業員の給与情報!$E:$E)),0,AVERAGEIF(従業員の給与情報!$B:$B,$A598,従業員の給与情報!$E:$E)))))</f>
        <v/>
      </c>
      <c r="W598" s="299" t="str">
        <f>IF(OR(入力シート!$C$5&lt;&gt;入力リスト!$C$3,COUNTIF(入力シート!$J$16:$S$23,入力リスト!$H$9)=0),"",IF(A598="","",IF(ISERROR(AVERAGEIF(従業員の給与情報!$B:$B,$A598,従業員の給与情報!$F:$F)),0,IF(ISERROR(AVERAGEIF(従業員の給与情報!$B:$B,$A598,従業員の給与情報!$F:$F)),0,AVERAGEIF(従業員の給与情報!$B:$B,$A598,従業員の給与情報!$F:$F)))))</f>
        <v/>
      </c>
      <c r="X598" s="581" t="s">
        <v>5337</v>
      </c>
    </row>
    <row r="599" spans="6:24">
      <c r="F599" s="297" t="str">
        <f>IF($G$1,"",IF(COUNTIF(A599:E599,"")=5,"",IF(G599,入力リスト!$K$28,IF(OR(A599="",B599="",IF(COUNTIF($C$3,"*不要*"),"",C599=""),D599=""),IF(A599="","従業員番号","")&amp;IF(B599="","「雇用形態」","")&amp;IF(OR(入力シート!$J$18=入力リスト!$H$9,入力シート!$J$22=入力リスト!$H$9),IF(C599="","「入社年月日」",""),"")&amp;IF(D599="","「性別」","")&amp;IF(IF(A599="","従業員番号","")&amp;IF(B599="","「雇用形態」","")&amp;IF(OR(入力シート!$J$18=入力リスト!$H$9,入力シート!$J$22=入力リスト!$H$9),IF(C599="","「入社年月日」",""),"")&amp;IF(D599="","「性別」","")="","",入力リスト!$K$29),IF(J599,入力リスト!$K$30,"")&amp;IF(I599,入力リスト!$K$31,"")&amp;IF(H599,"「雇用形態」","")&amp;IF(K599,"「性別」","")&amp;IF(L599,"「役職」","")&amp;IF(OR(H599,K599,L599),入力リスト!$K$32,"")))))</f>
        <v/>
      </c>
      <c r="G599" s="298" t="b">
        <f>COUNTIF($A$4:A598,$A599)&gt;0</f>
        <v>0</v>
      </c>
      <c r="H599" s="298" t="b">
        <f>IF($H$1,FALSE,COUNTIF(入力シート!$S$37:$V$62,B599)=0)</f>
        <v>0</v>
      </c>
      <c r="I599" s="298" t="b">
        <f t="shared" si="19"/>
        <v>0</v>
      </c>
      <c r="J599" s="298" t="b">
        <f>IF($J$1,FALSE,IF(I599=TRUE,FALSE,IF(I599,FALSE,C599&gt;入力シート!$J$24)))</f>
        <v>0</v>
      </c>
      <c r="K599" s="298" t="b">
        <f>IF($K$1,FALSE,COUNTIF(入力シート!$AW$37:$BB$38,D599)=0)</f>
        <v>0</v>
      </c>
      <c r="L599" s="298" t="b">
        <f>IF($L$1,FALSE,IF($L$3,FALSE,IF(E599="",FALSE,COUNTIF(入力シート!$AH$37:$AK$62,E599)=0)))</f>
        <v>0</v>
      </c>
      <c r="M599" s="298" t="str">
        <f t="shared" si="20"/>
        <v/>
      </c>
      <c r="N599" s="298" t="str">
        <f>IF(G599,"この従業員番号は、すでに他のセルで入力されています。",IF(入力シート!$C$5=入力リスト!$C$4,"",IF(AND(A599="",B599="",C599="",D599="",E599=""),"",IF(OR(A599="",B599="",C599="",D599=""),IF(A599="","従業員番号","")&amp;IF(AND(A599="",OR(B599="",C599="",D599="")),",","")&amp;IF(B599="","雇用形態","")&amp;IF(AND(B599="",OR(C599="",D599="")),",","")&amp;IF(OR(入力シート!$J$18=入力リスト!$H$9,入力シート!$J$22=入力リスト!$H$9),IF(C599="","入社年月日",""),"")&amp;IF(AND(C599="",D599=""),",","")&amp;IF(D599="","性別","")&amp;IF(IF(A599="","従業員番号","")&amp;IF(B599="","雇用形態","")&amp;IF(OR(入力シート!$J$18=入力リスト!$H$9,入力シート!$J$22=入力リスト!$H$9),IF(C599="","入社年月日",""),"")&amp;IF(D599="","性別","")="","","が空白です。"),IF(J599,"入社年月日に「基準日」の翌日以降の日付が入力されています。","")&amp;IF(I599,"入社年月日に数値以外（又は1900/1/1以前の日付）が入力されています。","")&amp;IF(H599,"雇用形態"&amp;IF(OR(K599,L599),",",""),"")&amp;IF(K599,"性別"&amp;IF(L599,",",""),"")&amp;IF(L599,"役職","")&amp;IF(OR(H599,K599,L599),"に、［入力シート］(4)「貴社」欄と異なる文言が入力されています。","")))))</f>
        <v/>
      </c>
      <c r="O599" s="298" t="str">
        <f>IF(B599="","",VLOOKUP('従業員情報(給与以外)'!$B599,入力シート!$S$37:$Z$62,5,0))</f>
        <v/>
      </c>
      <c r="P599" s="298" t="str">
        <f>IF(ISNUMBER(C599)=FALSE,"",IF(C599&gt;入力シート!$J$24,"",_xlfn.DAYS(入力シート!$J$24,'従業員情報(給与以外)'!$C599)/365))</f>
        <v/>
      </c>
      <c r="Q599" s="298" t="str">
        <f>IF(P599="","",VLOOKUP(_xlfn.DAYS(入力シート!$J$24,'従業員情報(給与以外)'!$C599)/365,入力リスト!$K$18:$L$26,2,2))</f>
        <v/>
      </c>
      <c r="R599" s="298" t="str">
        <f>IF(D599="","",VLOOKUP('従業員情報(給与以外)'!$D599,入力シート!$AW$37:$BB$38,4,0))</f>
        <v/>
      </c>
      <c r="S599" s="298" t="str">
        <f>IF(A599="","",IF(E599="","非役職",VLOOKUP('従業員情報(給与以外)'!$E599,入力シート!$AH$37:$AO$62,5,0)))</f>
        <v/>
      </c>
      <c r="T599" s="299" t="str">
        <f>IF(OR(入力シート!$C$5&lt;&gt;入力リスト!$C$3,COUNTIF(入力シート!$J$16:$S$23,入力リスト!$H$9)=0),"",IF($A599="","",IF(ISERROR(AVERAGEIF(従業員の給与情報!$B:$B,$A599,従業員の給与情報!$C:$C)),0,IF(ISERROR(AVERAGEIF(従業員の給与情報!$B:$B,$A599,従業員の給与情報!$C:$C)),0,AVERAGEIF(従業員の給与情報!$B:$B,$A599,従業員の給与情報!$C:$C)))))</f>
        <v/>
      </c>
      <c r="U599" s="299" t="str">
        <f>IF(OR(入力シート!$C$5&lt;&gt;入力リスト!$C$3,COUNTIF(入力シート!$J$16:$S$23,入力リスト!$H$9)=0),"",IF(A599="","",IF(ISERROR(AVERAGEIF(従業員の給与情報!$B:$B,$A599,従業員の給与情報!$D:$D)),0,IF(ISERROR(AVERAGEIF(従業員の給与情報!$B:$B,$A599,従業員の給与情報!$D:$D)),0,AVERAGEIF(従業員の給与情報!$B:$B,$A599,従業員の給与情報!$D:$D)))))</f>
        <v/>
      </c>
      <c r="V599" s="299" t="str">
        <f>IF(OR(入力シート!$C$5&lt;&gt;入力リスト!$C$3,COUNTIF(入力シート!$J$16:$S$23,入力リスト!$H$9)=0),"",IF(A599="","",IF(ISERROR(AVERAGEIF(従業員の給与情報!$B:$B,$A599,従業員の給与情報!$E:$E)),0,IF(ISERROR(AVERAGEIF(従業員の給与情報!$B:$B,$A599,従業員の給与情報!$E:$E)),0,AVERAGEIF(従業員の給与情報!$B:$B,$A599,従業員の給与情報!$E:$E)))))</f>
        <v/>
      </c>
      <c r="W599" s="299" t="str">
        <f>IF(OR(入力シート!$C$5&lt;&gt;入力リスト!$C$3,COUNTIF(入力シート!$J$16:$S$23,入力リスト!$H$9)=0),"",IF(A599="","",IF(ISERROR(AVERAGEIF(従業員の給与情報!$B:$B,$A599,従業員の給与情報!$F:$F)),0,IF(ISERROR(AVERAGEIF(従業員の給与情報!$B:$B,$A599,従業員の給与情報!$F:$F)),0,AVERAGEIF(従業員の給与情報!$B:$B,$A599,従業員の給与情報!$F:$F)))))</f>
        <v/>
      </c>
      <c r="X599" s="581" t="s">
        <v>5338</v>
      </c>
    </row>
    <row r="600" spans="6:24">
      <c r="F600" s="297" t="str">
        <f>IF($G$1,"",IF(COUNTIF(A600:E600,"")=5,"",IF(G600,入力リスト!$K$28,IF(OR(A600="",B600="",IF(COUNTIF($C$3,"*不要*"),"",C600=""),D600=""),IF(A600="","従業員番号","")&amp;IF(B600="","「雇用形態」","")&amp;IF(OR(入力シート!$J$18=入力リスト!$H$9,入力シート!$J$22=入力リスト!$H$9),IF(C600="","「入社年月日」",""),"")&amp;IF(D600="","「性別」","")&amp;IF(IF(A600="","従業員番号","")&amp;IF(B600="","「雇用形態」","")&amp;IF(OR(入力シート!$J$18=入力リスト!$H$9,入力シート!$J$22=入力リスト!$H$9),IF(C600="","「入社年月日」",""),"")&amp;IF(D600="","「性別」","")="","",入力リスト!$K$29),IF(J600,入力リスト!$K$30,"")&amp;IF(I600,入力リスト!$K$31,"")&amp;IF(H600,"「雇用形態」","")&amp;IF(K600,"「性別」","")&amp;IF(L600,"「役職」","")&amp;IF(OR(H600,K600,L600),入力リスト!$K$32,"")))))</f>
        <v/>
      </c>
      <c r="G600" s="298" t="b">
        <f>COUNTIF($A$4:A599,$A600)&gt;0</f>
        <v>0</v>
      </c>
      <c r="H600" s="298" t="b">
        <f>IF($H$1,FALSE,COUNTIF(入力シート!$S$37:$V$62,B600)=0)</f>
        <v>0</v>
      </c>
      <c r="I600" s="298" t="b">
        <f t="shared" si="19"/>
        <v>0</v>
      </c>
      <c r="J600" s="298" t="b">
        <f>IF($J$1,FALSE,IF(I600=TRUE,FALSE,IF(I600,FALSE,C600&gt;入力シート!$J$24)))</f>
        <v>0</v>
      </c>
      <c r="K600" s="298" t="b">
        <f>IF($K$1,FALSE,COUNTIF(入力シート!$AW$37:$BB$38,D600)=0)</f>
        <v>0</v>
      </c>
      <c r="L600" s="298" t="b">
        <f>IF($L$1,FALSE,IF($L$3,FALSE,IF(E600="",FALSE,COUNTIF(入力シート!$AH$37:$AK$62,E600)=0)))</f>
        <v>0</v>
      </c>
      <c r="M600" s="298" t="str">
        <f t="shared" si="20"/>
        <v/>
      </c>
      <c r="N600" s="298" t="str">
        <f>IF(G600,"この従業員番号は、すでに他のセルで入力されています。",IF(入力シート!$C$5=入力リスト!$C$4,"",IF(AND(A600="",B600="",C600="",D600="",E600=""),"",IF(OR(A600="",B600="",C600="",D600=""),IF(A600="","従業員番号","")&amp;IF(AND(A600="",OR(B600="",C600="",D600="")),",","")&amp;IF(B600="","雇用形態","")&amp;IF(AND(B600="",OR(C600="",D600="")),",","")&amp;IF(OR(入力シート!$J$18=入力リスト!$H$9,入力シート!$J$22=入力リスト!$H$9),IF(C600="","入社年月日",""),"")&amp;IF(AND(C600="",D600=""),",","")&amp;IF(D600="","性別","")&amp;IF(IF(A600="","従業員番号","")&amp;IF(B600="","雇用形態","")&amp;IF(OR(入力シート!$J$18=入力リスト!$H$9,入力シート!$J$22=入力リスト!$H$9),IF(C600="","入社年月日",""),"")&amp;IF(D600="","性別","")="","","が空白です。"),IF(J600,"入社年月日に「基準日」の翌日以降の日付が入力されています。","")&amp;IF(I600,"入社年月日に数値以外（又は1900/1/1以前の日付）が入力されています。","")&amp;IF(H600,"雇用形態"&amp;IF(OR(K600,L600),",",""),"")&amp;IF(K600,"性別"&amp;IF(L600,",",""),"")&amp;IF(L600,"役職","")&amp;IF(OR(H600,K600,L600),"に、［入力シート］(4)「貴社」欄と異なる文言が入力されています。","")))))</f>
        <v/>
      </c>
      <c r="O600" s="298" t="str">
        <f>IF(B600="","",VLOOKUP('従業員情報(給与以外)'!$B600,入力シート!$S$37:$Z$62,5,0))</f>
        <v/>
      </c>
      <c r="P600" s="298" t="str">
        <f>IF(ISNUMBER(C600)=FALSE,"",IF(C600&gt;入力シート!$J$24,"",_xlfn.DAYS(入力シート!$J$24,'従業員情報(給与以外)'!$C600)/365))</f>
        <v/>
      </c>
      <c r="Q600" s="298" t="str">
        <f>IF(P600="","",VLOOKUP(_xlfn.DAYS(入力シート!$J$24,'従業員情報(給与以外)'!$C600)/365,入力リスト!$K$18:$L$26,2,2))</f>
        <v/>
      </c>
      <c r="R600" s="298" t="str">
        <f>IF(D600="","",VLOOKUP('従業員情報(給与以外)'!$D600,入力シート!$AW$37:$BB$38,4,0))</f>
        <v/>
      </c>
      <c r="S600" s="298" t="str">
        <f>IF(A600="","",IF(E600="","非役職",VLOOKUP('従業員情報(給与以外)'!$E600,入力シート!$AH$37:$AO$62,5,0)))</f>
        <v/>
      </c>
      <c r="T600" s="299" t="str">
        <f>IF(OR(入力シート!$C$5&lt;&gt;入力リスト!$C$3,COUNTIF(入力シート!$J$16:$S$23,入力リスト!$H$9)=0),"",IF($A600="","",IF(ISERROR(AVERAGEIF(従業員の給与情報!$B:$B,$A600,従業員の給与情報!$C:$C)),0,IF(ISERROR(AVERAGEIF(従業員の給与情報!$B:$B,$A600,従業員の給与情報!$C:$C)),0,AVERAGEIF(従業員の給与情報!$B:$B,$A600,従業員の給与情報!$C:$C)))))</f>
        <v/>
      </c>
      <c r="U600" s="299" t="str">
        <f>IF(OR(入力シート!$C$5&lt;&gt;入力リスト!$C$3,COUNTIF(入力シート!$J$16:$S$23,入力リスト!$H$9)=0),"",IF(A600="","",IF(ISERROR(AVERAGEIF(従業員の給与情報!$B:$B,$A600,従業員の給与情報!$D:$D)),0,IF(ISERROR(AVERAGEIF(従業員の給与情報!$B:$B,$A600,従業員の給与情報!$D:$D)),0,AVERAGEIF(従業員の給与情報!$B:$B,$A600,従業員の給与情報!$D:$D)))))</f>
        <v/>
      </c>
      <c r="V600" s="299" t="str">
        <f>IF(OR(入力シート!$C$5&lt;&gt;入力リスト!$C$3,COUNTIF(入力シート!$J$16:$S$23,入力リスト!$H$9)=0),"",IF(A600="","",IF(ISERROR(AVERAGEIF(従業員の給与情報!$B:$B,$A600,従業員の給与情報!$E:$E)),0,IF(ISERROR(AVERAGEIF(従業員の給与情報!$B:$B,$A600,従業員の給与情報!$E:$E)),0,AVERAGEIF(従業員の給与情報!$B:$B,$A600,従業員の給与情報!$E:$E)))))</f>
        <v/>
      </c>
      <c r="W600" s="299" t="str">
        <f>IF(OR(入力シート!$C$5&lt;&gt;入力リスト!$C$3,COUNTIF(入力シート!$J$16:$S$23,入力リスト!$H$9)=0),"",IF(A600="","",IF(ISERROR(AVERAGEIF(従業員の給与情報!$B:$B,$A600,従業員の給与情報!$F:$F)),0,IF(ISERROR(AVERAGEIF(従業員の給与情報!$B:$B,$A600,従業員の給与情報!$F:$F)),0,AVERAGEIF(従業員の給与情報!$B:$B,$A600,従業員の給与情報!$F:$F)))))</f>
        <v/>
      </c>
      <c r="X600" s="581" t="s">
        <v>5339</v>
      </c>
    </row>
    <row r="601" spans="6:24">
      <c r="F601" s="297" t="str">
        <f>IF($G$1,"",IF(COUNTIF(A601:E601,"")=5,"",IF(G601,入力リスト!$K$28,IF(OR(A601="",B601="",IF(COUNTIF($C$3,"*不要*"),"",C601=""),D601=""),IF(A601="","従業員番号","")&amp;IF(B601="","「雇用形態」","")&amp;IF(OR(入力シート!$J$18=入力リスト!$H$9,入力シート!$J$22=入力リスト!$H$9),IF(C601="","「入社年月日」",""),"")&amp;IF(D601="","「性別」","")&amp;IF(IF(A601="","従業員番号","")&amp;IF(B601="","「雇用形態」","")&amp;IF(OR(入力シート!$J$18=入力リスト!$H$9,入力シート!$J$22=入力リスト!$H$9),IF(C601="","「入社年月日」",""),"")&amp;IF(D601="","「性別」","")="","",入力リスト!$K$29),IF(J601,入力リスト!$K$30,"")&amp;IF(I601,入力リスト!$K$31,"")&amp;IF(H601,"「雇用形態」","")&amp;IF(K601,"「性別」","")&amp;IF(L601,"「役職」","")&amp;IF(OR(H601,K601,L601),入力リスト!$K$32,"")))))</f>
        <v/>
      </c>
      <c r="G601" s="298" t="b">
        <f>COUNTIF($A$4:A600,$A601)&gt;0</f>
        <v>0</v>
      </c>
      <c r="H601" s="298" t="b">
        <f>IF($H$1,FALSE,COUNTIF(入力シート!$S$37:$V$62,B601)=0)</f>
        <v>0</v>
      </c>
      <c r="I601" s="298" t="b">
        <f t="shared" si="19"/>
        <v>0</v>
      </c>
      <c r="J601" s="298" t="b">
        <f>IF($J$1,FALSE,IF(I601=TRUE,FALSE,IF(I601,FALSE,C601&gt;入力シート!$J$24)))</f>
        <v>0</v>
      </c>
      <c r="K601" s="298" t="b">
        <f>IF($K$1,FALSE,COUNTIF(入力シート!$AW$37:$BB$38,D601)=0)</f>
        <v>0</v>
      </c>
      <c r="L601" s="298" t="b">
        <f>IF($L$1,FALSE,IF($L$3,FALSE,IF(E601="",FALSE,COUNTIF(入力シート!$AH$37:$AK$62,E601)=0)))</f>
        <v>0</v>
      </c>
      <c r="M601" s="298" t="str">
        <f t="shared" si="20"/>
        <v/>
      </c>
      <c r="N601" s="298" t="str">
        <f>IF(G601,"この従業員番号は、すでに他のセルで入力されています。",IF(入力シート!$C$5=入力リスト!$C$4,"",IF(AND(A601="",B601="",C601="",D601="",E601=""),"",IF(OR(A601="",B601="",C601="",D601=""),IF(A601="","従業員番号","")&amp;IF(AND(A601="",OR(B601="",C601="",D601="")),",","")&amp;IF(B601="","雇用形態","")&amp;IF(AND(B601="",OR(C601="",D601="")),",","")&amp;IF(OR(入力シート!$J$18=入力リスト!$H$9,入力シート!$J$22=入力リスト!$H$9),IF(C601="","入社年月日",""),"")&amp;IF(AND(C601="",D601=""),",","")&amp;IF(D601="","性別","")&amp;IF(IF(A601="","従業員番号","")&amp;IF(B601="","雇用形態","")&amp;IF(OR(入力シート!$J$18=入力リスト!$H$9,入力シート!$J$22=入力リスト!$H$9),IF(C601="","入社年月日",""),"")&amp;IF(D601="","性別","")="","","が空白です。"),IF(J601,"入社年月日に「基準日」の翌日以降の日付が入力されています。","")&amp;IF(I601,"入社年月日に数値以外（又は1900/1/1以前の日付）が入力されています。","")&amp;IF(H601,"雇用形態"&amp;IF(OR(K601,L601),",",""),"")&amp;IF(K601,"性別"&amp;IF(L601,",",""),"")&amp;IF(L601,"役職","")&amp;IF(OR(H601,K601,L601),"に、［入力シート］(4)「貴社」欄と異なる文言が入力されています。","")))))</f>
        <v/>
      </c>
      <c r="O601" s="298" t="str">
        <f>IF(B601="","",VLOOKUP('従業員情報(給与以外)'!$B601,入力シート!$S$37:$Z$62,5,0))</f>
        <v/>
      </c>
      <c r="P601" s="298" t="str">
        <f>IF(ISNUMBER(C601)=FALSE,"",IF(C601&gt;入力シート!$J$24,"",_xlfn.DAYS(入力シート!$J$24,'従業員情報(給与以外)'!$C601)/365))</f>
        <v/>
      </c>
      <c r="Q601" s="298" t="str">
        <f>IF(P601="","",VLOOKUP(_xlfn.DAYS(入力シート!$J$24,'従業員情報(給与以外)'!$C601)/365,入力リスト!$K$18:$L$26,2,2))</f>
        <v/>
      </c>
      <c r="R601" s="298" t="str">
        <f>IF(D601="","",VLOOKUP('従業員情報(給与以外)'!$D601,入力シート!$AW$37:$BB$38,4,0))</f>
        <v/>
      </c>
      <c r="S601" s="298" t="str">
        <f>IF(A601="","",IF(E601="","非役職",VLOOKUP('従業員情報(給与以外)'!$E601,入力シート!$AH$37:$AO$62,5,0)))</f>
        <v/>
      </c>
      <c r="T601" s="299" t="str">
        <f>IF(OR(入力シート!$C$5&lt;&gt;入力リスト!$C$3,COUNTIF(入力シート!$J$16:$S$23,入力リスト!$H$9)=0),"",IF($A601="","",IF(ISERROR(AVERAGEIF(従業員の給与情報!$B:$B,$A601,従業員の給与情報!$C:$C)),0,IF(ISERROR(AVERAGEIF(従業員の給与情報!$B:$B,$A601,従業員の給与情報!$C:$C)),0,AVERAGEIF(従業員の給与情報!$B:$B,$A601,従業員の給与情報!$C:$C)))))</f>
        <v/>
      </c>
      <c r="U601" s="299" t="str">
        <f>IF(OR(入力シート!$C$5&lt;&gt;入力リスト!$C$3,COUNTIF(入力シート!$J$16:$S$23,入力リスト!$H$9)=0),"",IF(A601="","",IF(ISERROR(AVERAGEIF(従業員の給与情報!$B:$B,$A601,従業員の給与情報!$D:$D)),0,IF(ISERROR(AVERAGEIF(従業員の給与情報!$B:$B,$A601,従業員の給与情報!$D:$D)),0,AVERAGEIF(従業員の給与情報!$B:$B,$A601,従業員の給与情報!$D:$D)))))</f>
        <v/>
      </c>
      <c r="V601" s="299" t="str">
        <f>IF(OR(入力シート!$C$5&lt;&gt;入力リスト!$C$3,COUNTIF(入力シート!$J$16:$S$23,入力リスト!$H$9)=0),"",IF(A601="","",IF(ISERROR(AVERAGEIF(従業員の給与情報!$B:$B,$A601,従業員の給与情報!$E:$E)),0,IF(ISERROR(AVERAGEIF(従業員の給与情報!$B:$B,$A601,従業員の給与情報!$E:$E)),0,AVERAGEIF(従業員の給与情報!$B:$B,$A601,従業員の給与情報!$E:$E)))))</f>
        <v/>
      </c>
      <c r="W601" s="299" t="str">
        <f>IF(OR(入力シート!$C$5&lt;&gt;入力リスト!$C$3,COUNTIF(入力シート!$J$16:$S$23,入力リスト!$H$9)=0),"",IF(A601="","",IF(ISERROR(AVERAGEIF(従業員の給与情報!$B:$B,$A601,従業員の給与情報!$F:$F)),0,IF(ISERROR(AVERAGEIF(従業員の給与情報!$B:$B,$A601,従業員の給与情報!$F:$F)),0,AVERAGEIF(従業員の給与情報!$B:$B,$A601,従業員の給与情報!$F:$F)))))</f>
        <v/>
      </c>
      <c r="X601" s="581" t="s">
        <v>5340</v>
      </c>
    </row>
    <row r="602" spans="6:24">
      <c r="F602" s="297" t="str">
        <f>IF($G$1,"",IF(COUNTIF(A602:E602,"")=5,"",IF(G602,入力リスト!$K$28,IF(OR(A602="",B602="",IF(COUNTIF($C$3,"*不要*"),"",C602=""),D602=""),IF(A602="","従業員番号","")&amp;IF(B602="","「雇用形態」","")&amp;IF(OR(入力シート!$J$18=入力リスト!$H$9,入力シート!$J$22=入力リスト!$H$9),IF(C602="","「入社年月日」",""),"")&amp;IF(D602="","「性別」","")&amp;IF(IF(A602="","従業員番号","")&amp;IF(B602="","「雇用形態」","")&amp;IF(OR(入力シート!$J$18=入力リスト!$H$9,入力シート!$J$22=入力リスト!$H$9),IF(C602="","「入社年月日」",""),"")&amp;IF(D602="","「性別」","")="","",入力リスト!$K$29),IF(J602,入力リスト!$K$30,"")&amp;IF(I602,入力リスト!$K$31,"")&amp;IF(H602,"「雇用形態」","")&amp;IF(K602,"「性別」","")&amp;IF(L602,"「役職」","")&amp;IF(OR(H602,K602,L602),入力リスト!$K$32,"")))))</f>
        <v/>
      </c>
      <c r="G602" s="298" t="b">
        <f>COUNTIF($A$4:A601,$A602)&gt;0</f>
        <v>0</v>
      </c>
      <c r="H602" s="298" t="b">
        <f>IF($H$1,FALSE,COUNTIF(入力シート!$S$37:$V$62,B602)=0)</f>
        <v>0</v>
      </c>
      <c r="I602" s="298" t="b">
        <f t="shared" si="19"/>
        <v>0</v>
      </c>
      <c r="J602" s="298" t="b">
        <f>IF($J$1,FALSE,IF(I602=TRUE,FALSE,IF(I602,FALSE,C602&gt;入力シート!$J$24)))</f>
        <v>0</v>
      </c>
      <c r="K602" s="298" t="b">
        <f>IF($K$1,FALSE,COUNTIF(入力シート!$AW$37:$BB$38,D602)=0)</f>
        <v>0</v>
      </c>
      <c r="L602" s="298" t="b">
        <f>IF($L$1,FALSE,IF($L$3,FALSE,IF(E602="",FALSE,COUNTIF(入力シート!$AH$37:$AK$62,E602)=0)))</f>
        <v>0</v>
      </c>
      <c r="M602" s="298" t="str">
        <f t="shared" si="20"/>
        <v/>
      </c>
      <c r="N602" s="298" t="str">
        <f>IF(G602,"この従業員番号は、すでに他のセルで入力されています。",IF(入力シート!$C$5=入力リスト!$C$4,"",IF(AND(A602="",B602="",C602="",D602="",E602=""),"",IF(OR(A602="",B602="",C602="",D602=""),IF(A602="","従業員番号","")&amp;IF(AND(A602="",OR(B602="",C602="",D602="")),",","")&amp;IF(B602="","雇用形態","")&amp;IF(AND(B602="",OR(C602="",D602="")),",","")&amp;IF(OR(入力シート!$J$18=入力リスト!$H$9,入力シート!$J$22=入力リスト!$H$9),IF(C602="","入社年月日",""),"")&amp;IF(AND(C602="",D602=""),",","")&amp;IF(D602="","性別","")&amp;IF(IF(A602="","従業員番号","")&amp;IF(B602="","雇用形態","")&amp;IF(OR(入力シート!$J$18=入力リスト!$H$9,入力シート!$J$22=入力リスト!$H$9),IF(C602="","入社年月日",""),"")&amp;IF(D602="","性別","")="","","が空白です。"),IF(J602,"入社年月日に「基準日」の翌日以降の日付が入力されています。","")&amp;IF(I602,"入社年月日に数値以外（又は1900/1/1以前の日付）が入力されています。","")&amp;IF(H602,"雇用形態"&amp;IF(OR(K602,L602),",",""),"")&amp;IF(K602,"性別"&amp;IF(L602,",",""),"")&amp;IF(L602,"役職","")&amp;IF(OR(H602,K602,L602),"に、［入力シート］(4)「貴社」欄と異なる文言が入力されています。","")))))</f>
        <v/>
      </c>
      <c r="O602" s="298" t="str">
        <f>IF(B602="","",VLOOKUP('従業員情報(給与以外)'!$B602,入力シート!$S$37:$Z$62,5,0))</f>
        <v/>
      </c>
      <c r="P602" s="298" t="str">
        <f>IF(ISNUMBER(C602)=FALSE,"",IF(C602&gt;入力シート!$J$24,"",_xlfn.DAYS(入力シート!$J$24,'従業員情報(給与以外)'!$C602)/365))</f>
        <v/>
      </c>
      <c r="Q602" s="298" t="str">
        <f>IF(P602="","",VLOOKUP(_xlfn.DAYS(入力シート!$J$24,'従業員情報(給与以外)'!$C602)/365,入力リスト!$K$18:$L$26,2,2))</f>
        <v/>
      </c>
      <c r="R602" s="298" t="str">
        <f>IF(D602="","",VLOOKUP('従業員情報(給与以外)'!$D602,入力シート!$AW$37:$BB$38,4,0))</f>
        <v/>
      </c>
      <c r="S602" s="298" t="str">
        <f>IF(A602="","",IF(E602="","非役職",VLOOKUP('従業員情報(給与以外)'!$E602,入力シート!$AH$37:$AO$62,5,0)))</f>
        <v/>
      </c>
      <c r="T602" s="299" t="str">
        <f>IF(OR(入力シート!$C$5&lt;&gt;入力リスト!$C$3,COUNTIF(入力シート!$J$16:$S$23,入力リスト!$H$9)=0),"",IF($A602="","",IF(ISERROR(AVERAGEIF(従業員の給与情報!$B:$B,$A602,従業員の給与情報!$C:$C)),0,IF(ISERROR(AVERAGEIF(従業員の給与情報!$B:$B,$A602,従業員の給与情報!$C:$C)),0,AVERAGEIF(従業員の給与情報!$B:$B,$A602,従業員の給与情報!$C:$C)))))</f>
        <v/>
      </c>
      <c r="U602" s="299" t="str">
        <f>IF(OR(入力シート!$C$5&lt;&gt;入力リスト!$C$3,COUNTIF(入力シート!$J$16:$S$23,入力リスト!$H$9)=0),"",IF(A602="","",IF(ISERROR(AVERAGEIF(従業員の給与情報!$B:$B,$A602,従業員の給与情報!$D:$D)),0,IF(ISERROR(AVERAGEIF(従業員の給与情報!$B:$B,$A602,従業員の給与情報!$D:$D)),0,AVERAGEIF(従業員の給与情報!$B:$B,$A602,従業員の給与情報!$D:$D)))))</f>
        <v/>
      </c>
      <c r="V602" s="299" t="str">
        <f>IF(OR(入力シート!$C$5&lt;&gt;入力リスト!$C$3,COUNTIF(入力シート!$J$16:$S$23,入力リスト!$H$9)=0),"",IF(A602="","",IF(ISERROR(AVERAGEIF(従業員の給与情報!$B:$B,$A602,従業員の給与情報!$E:$E)),0,IF(ISERROR(AVERAGEIF(従業員の給与情報!$B:$B,$A602,従業員の給与情報!$E:$E)),0,AVERAGEIF(従業員の給与情報!$B:$B,$A602,従業員の給与情報!$E:$E)))))</f>
        <v/>
      </c>
      <c r="W602" s="299" t="str">
        <f>IF(OR(入力シート!$C$5&lt;&gt;入力リスト!$C$3,COUNTIF(入力シート!$J$16:$S$23,入力リスト!$H$9)=0),"",IF(A602="","",IF(ISERROR(AVERAGEIF(従業員の給与情報!$B:$B,$A602,従業員の給与情報!$F:$F)),0,IF(ISERROR(AVERAGEIF(従業員の給与情報!$B:$B,$A602,従業員の給与情報!$F:$F)),0,AVERAGEIF(従業員の給与情報!$B:$B,$A602,従業員の給与情報!$F:$F)))))</f>
        <v/>
      </c>
      <c r="X602" s="581" t="s">
        <v>5341</v>
      </c>
    </row>
    <row r="603" spans="6:24">
      <c r="F603" s="297" t="str">
        <f>IF($G$1,"",IF(COUNTIF(A603:E603,"")=5,"",IF(G603,入力リスト!$K$28,IF(OR(A603="",B603="",IF(COUNTIF($C$3,"*不要*"),"",C603=""),D603=""),IF(A603="","従業員番号","")&amp;IF(B603="","「雇用形態」","")&amp;IF(OR(入力シート!$J$18=入力リスト!$H$9,入力シート!$J$22=入力リスト!$H$9),IF(C603="","「入社年月日」",""),"")&amp;IF(D603="","「性別」","")&amp;IF(IF(A603="","従業員番号","")&amp;IF(B603="","「雇用形態」","")&amp;IF(OR(入力シート!$J$18=入力リスト!$H$9,入力シート!$J$22=入力リスト!$H$9),IF(C603="","「入社年月日」",""),"")&amp;IF(D603="","「性別」","")="","",入力リスト!$K$29),IF(J603,入力リスト!$K$30,"")&amp;IF(I603,入力リスト!$K$31,"")&amp;IF(H603,"「雇用形態」","")&amp;IF(K603,"「性別」","")&amp;IF(L603,"「役職」","")&amp;IF(OR(H603,K603,L603),入力リスト!$K$32,"")))))</f>
        <v/>
      </c>
      <c r="G603" s="298" t="b">
        <f>COUNTIF($A$4:A602,$A603)&gt;0</f>
        <v>0</v>
      </c>
      <c r="H603" s="298" t="b">
        <f>IF($H$1,FALSE,COUNTIF(入力シート!$S$37:$V$62,B603)=0)</f>
        <v>0</v>
      </c>
      <c r="I603" s="298" t="b">
        <f t="shared" si="19"/>
        <v>0</v>
      </c>
      <c r="J603" s="298" t="b">
        <f>IF($J$1,FALSE,IF(I603=TRUE,FALSE,IF(I603,FALSE,C603&gt;入力シート!$J$24)))</f>
        <v>0</v>
      </c>
      <c r="K603" s="298" t="b">
        <f>IF($K$1,FALSE,COUNTIF(入力シート!$AW$37:$BB$38,D603)=0)</f>
        <v>0</v>
      </c>
      <c r="L603" s="298" t="b">
        <f>IF($L$1,FALSE,IF($L$3,FALSE,IF(E603="",FALSE,COUNTIF(入力シート!$AH$37:$AK$62,E603)=0)))</f>
        <v>0</v>
      </c>
      <c r="M603" s="298" t="str">
        <f t="shared" si="20"/>
        <v/>
      </c>
      <c r="N603" s="298" t="str">
        <f>IF(G603,"この従業員番号は、すでに他のセルで入力されています。",IF(入力シート!$C$5=入力リスト!$C$4,"",IF(AND(A603="",B603="",C603="",D603="",E603=""),"",IF(OR(A603="",B603="",C603="",D603=""),IF(A603="","従業員番号","")&amp;IF(AND(A603="",OR(B603="",C603="",D603="")),",","")&amp;IF(B603="","雇用形態","")&amp;IF(AND(B603="",OR(C603="",D603="")),",","")&amp;IF(OR(入力シート!$J$18=入力リスト!$H$9,入力シート!$J$22=入力リスト!$H$9),IF(C603="","入社年月日",""),"")&amp;IF(AND(C603="",D603=""),",","")&amp;IF(D603="","性別","")&amp;IF(IF(A603="","従業員番号","")&amp;IF(B603="","雇用形態","")&amp;IF(OR(入力シート!$J$18=入力リスト!$H$9,入力シート!$J$22=入力リスト!$H$9),IF(C603="","入社年月日",""),"")&amp;IF(D603="","性別","")="","","が空白です。"),IF(J603,"入社年月日に「基準日」の翌日以降の日付が入力されています。","")&amp;IF(I603,"入社年月日に数値以外（又は1900/1/1以前の日付）が入力されています。","")&amp;IF(H603,"雇用形態"&amp;IF(OR(K603,L603),",",""),"")&amp;IF(K603,"性別"&amp;IF(L603,",",""),"")&amp;IF(L603,"役職","")&amp;IF(OR(H603,K603,L603),"に、［入力シート］(4)「貴社」欄と異なる文言が入力されています。","")))))</f>
        <v/>
      </c>
      <c r="O603" s="298" t="str">
        <f>IF(B603="","",VLOOKUP('従業員情報(給与以外)'!$B603,入力シート!$S$37:$Z$62,5,0))</f>
        <v/>
      </c>
      <c r="P603" s="298" t="str">
        <f>IF(ISNUMBER(C603)=FALSE,"",IF(C603&gt;入力シート!$J$24,"",_xlfn.DAYS(入力シート!$J$24,'従業員情報(給与以外)'!$C603)/365))</f>
        <v/>
      </c>
      <c r="Q603" s="298" t="str">
        <f>IF(P603="","",VLOOKUP(_xlfn.DAYS(入力シート!$J$24,'従業員情報(給与以外)'!$C603)/365,入力リスト!$K$18:$L$26,2,2))</f>
        <v/>
      </c>
      <c r="R603" s="298" t="str">
        <f>IF(D603="","",VLOOKUP('従業員情報(給与以外)'!$D603,入力シート!$AW$37:$BB$38,4,0))</f>
        <v/>
      </c>
      <c r="S603" s="298" t="str">
        <f>IF(A603="","",IF(E603="","非役職",VLOOKUP('従業員情報(給与以外)'!$E603,入力シート!$AH$37:$AO$62,5,0)))</f>
        <v/>
      </c>
      <c r="T603" s="299" t="str">
        <f>IF(OR(入力シート!$C$5&lt;&gt;入力リスト!$C$3,COUNTIF(入力シート!$J$16:$S$23,入力リスト!$H$9)=0),"",IF($A603="","",IF(ISERROR(AVERAGEIF(従業員の給与情報!$B:$B,$A603,従業員の給与情報!$C:$C)),0,IF(ISERROR(AVERAGEIF(従業員の給与情報!$B:$B,$A603,従業員の給与情報!$C:$C)),0,AVERAGEIF(従業員の給与情報!$B:$B,$A603,従業員の給与情報!$C:$C)))))</f>
        <v/>
      </c>
      <c r="U603" s="299" t="str">
        <f>IF(OR(入力シート!$C$5&lt;&gt;入力リスト!$C$3,COUNTIF(入力シート!$J$16:$S$23,入力リスト!$H$9)=0),"",IF(A603="","",IF(ISERROR(AVERAGEIF(従業員の給与情報!$B:$B,$A603,従業員の給与情報!$D:$D)),0,IF(ISERROR(AVERAGEIF(従業員の給与情報!$B:$B,$A603,従業員の給与情報!$D:$D)),0,AVERAGEIF(従業員の給与情報!$B:$B,$A603,従業員の給与情報!$D:$D)))))</f>
        <v/>
      </c>
      <c r="V603" s="299" t="str">
        <f>IF(OR(入力シート!$C$5&lt;&gt;入力リスト!$C$3,COUNTIF(入力シート!$J$16:$S$23,入力リスト!$H$9)=0),"",IF(A603="","",IF(ISERROR(AVERAGEIF(従業員の給与情報!$B:$B,$A603,従業員の給与情報!$E:$E)),0,IF(ISERROR(AVERAGEIF(従業員の給与情報!$B:$B,$A603,従業員の給与情報!$E:$E)),0,AVERAGEIF(従業員の給与情報!$B:$B,$A603,従業員の給与情報!$E:$E)))))</f>
        <v/>
      </c>
      <c r="W603" s="299" t="str">
        <f>IF(OR(入力シート!$C$5&lt;&gt;入力リスト!$C$3,COUNTIF(入力シート!$J$16:$S$23,入力リスト!$H$9)=0),"",IF(A603="","",IF(ISERROR(AVERAGEIF(従業員の給与情報!$B:$B,$A603,従業員の給与情報!$F:$F)),0,IF(ISERROR(AVERAGEIF(従業員の給与情報!$B:$B,$A603,従業員の給与情報!$F:$F)),0,AVERAGEIF(従業員の給与情報!$B:$B,$A603,従業員の給与情報!$F:$F)))))</f>
        <v/>
      </c>
      <c r="X603" s="581" t="s">
        <v>5342</v>
      </c>
    </row>
    <row r="604" spans="6:24">
      <c r="F604" s="297" t="str">
        <f>IF($G$1,"",IF(COUNTIF(A604:E604,"")=5,"",IF(G604,入力リスト!$K$28,IF(OR(A604="",B604="",IF(COUNTIF($C$3,"*不要*"),"",C604=""),D604=""),IF(A604="","従業員番号","")&amp;IF(B604="","「雇用形態」","")&amp;IF(OR(入力シート!$J$18=入力リスト!$H$9,入力シート!$J$22=入力リスト!$H$9),IF(C604="","「入社年月日」",""),"")&amp;IF(D604="","「性別」","")&amp;IF(IF(A604="","従業員番号","")&amp;IF(B604="","「雇用形態」","")&amp;IF(OR(入力シート!$J$18=入力リスト!$H$9,入力シート!$J$22=入力リスト!$H$9),IF(C604="","「入社年月日」",""),"")&amp;IF(D604="","「性別」","")="","",入力リスト!$K$29),IF(J604,入力リスト!$K$30,"")&amp;IF(I604,入力リスト!$K$31,"")&amp;IF(H604,"「雇用形態」","")&amp;IF(K604,"「性別」","")&amp;IF(L604,"「役職」","")&amp;IF(OR(H604,K604,L604),入力リスト!$K$32,"")))))</f>
        <v/>
      </c>
      <c r="G604" s="298" t="b">
        <f>COUNTIF($A$4:A603,$A604)&gt;0</f>
        <v>0</v>
      </c>
      <c r="H604" s="298" t="b">
        <f>IF($H$1,FALSE,COUNTIF(入力シート!$S$37:$V$62,B604)=0)</f>
        <v>0</v>
      </c>
      <c r="I604" s="298" t="b">
        <f t="shared" si="19"/>
        <v>0</v>
      </c>
      <c r="J604" s="298" t="b">
        <f>IF($J$1,FALSE,IF(I604=TRUE,FALSE,IF(I604,FALSE,C604&gt;入力シート!$J$24)))</f>
        <v>0</v>
      </c>
      <c r="K604" s="298" t="b">
        <f>IF($K$1,FALSE,COUNTIF(入力シート!$AW$37:$BB$38,D604)=0)</f>
        <v>0</v>
      </c>
      <c r="L604" s="298" t="b">
        <f>IF($L$1,FALSE,IF($L$3,FALSE,IF(E604="",FALSE,COUNTIF(入力シート!$AH$37:$AK$62,E604)=0)))</f>
        <v>0</v>
      </c>
      <c r="M604" s="298" t="str">
        <f t="shared" si="20"/>
        <v/>
      </c>
      <c r="N604" s="298" t="str">
        <f>IF(G604,"この従業員番号は、すでに他のセルで入力されています。",IF(入力シート!$C$5=入力リスト!$C$4,"",IF(AND(A604="",B604="",C604="",D604="",E604=""),"",IF(OR(A604="",B604="",C604="",D604=""),IF(A604="","従業員番号","")&amp;IF(AND(A604="",OR(B604="",C604="",D604="")),",","")&amp;IF(B604="","雇用形態","")&amp;IF(AND(B604="",OR(C604="",D604="")),",","")&amp;IF(OR(入力シート!$J$18=入力リスト!$H$9,入力シート!$J$22=入力リスト!$H$9),IF(C604="","入社年月日",""),"")&amp;IF(AND(C604="",D604=""),",","")&amp;IF(D604="","性別","")&amp;IF(IF(A604="","従業員番号","")&amp;IF(B604="","雇用形態","")&amp;IF(OR(入力シート!$J$18=入力リスト!$H$9,入力シート!$J$22=入力リスト!$H$9),IF(C604="","入社年月日",""),"")&amp;IF(D604="","性別","")="","","が空白です。"),IF(J604,"入社年月日に「基準日」の翌日以降の日付が入力されています。","")&amp;IF(I604,"入社年月日に数値以外（又は1900/1/1以前の日付）が入力されています。","")&amp;IF(H604,"雇用形態"&amp;IF(OR(K604,L604),",",""),"")&amp;IF(K604,"性別"&amp;IF(L604,",",""),"")&amp;IF(L604,"役職","")&amp;IF(OR(H604,K604,L604),"に、［入力シート］(4)「貴社」欄と異なる文言が入力されています。","")))))</f>
        <v/>
      </c>
      <c r="O604" s="298" t="str">
        <f>IF(B604="","",VLOOKUP('従業員情報(給与以外)'!$B604,入力シート!$S$37:$Z$62,5,0))</f>
        <v/>
      </c>
      <c r="P604" s="298" t="str">
        <f>IF(ISNUMBER(C604)=FALSE,"",IF(C604&gt;入力シート!$J$24,"",_xlfn.DAYS(入力シート!$J$24,'従業員情報(給与以外)'!$C604)/365))</f>
        <v/>
      </c>
      <c r="Q604" s="298" t="str">
        <f>IF(P604="","",VLOOKUP(_xlfn.DAYS(入力シート!$J$24,'従業員情報(給与以外)'!$C604)/365,入力リスト!$K$18:$L$26,2,2))</f>
        <v/>
      </c>
      <c r="R604" s="298" t="str">
        <f>IF(D604="","",VLOOKUP('従業員情報(給与以外)'!$D604,入力シート!$AW$37:$BB$38,4,0))</f>
        <v/>
      </c>
      <c r="S604" s="298" t="str">
        <f>IF(A604="","",IF(E604="","非役職",VLOOKUP('従業員情報(給与以外)'!$E604,入力シート!$AH$37:$AO$62,5,0)))</f>
        <v/>
      </c>
      <c r="T604" s="299" t="str">
        <f>IF(OR(入力シート!$C$5&lt;&gt;入力リスト!$C$3,COUNTIF(入力シート!$J$16:$S$23,入力リスト!$H$9)=0),"",IF($A604="","",IF(ISERROR(AVERAGEIF(従業員の給与情報!$B:$B,$A604,従業員の給与情報!$C:$C)),0,IF(ISERROR(AVERAGEIF(従業員の給与情報!$B:$B,$A604,従業員の給与情報!$C:$C)),0,AVERAGEIF(従業員の給与情報!$B:$B,$A604,従業員の給与情報!$C:$C)))))</f>
        <v/>
      </c>
      <c r="U604" s="299" t="str">
        <f>IF(OR(入力シート!$C$5&lt;&gt;入力リスト!$C$3,COUNTIF(入力シート!$J$16:$S$23,入力リスト!$H$9)=0),"",IF(A604="","",IF(ISERROR(AVERAGEIF(従業員の給与情報!$B:$B,$A604,従業員の給与情報!$D:$D)),0,IF(ISERROR(AVERAGEIF(従業員の給与情報!$B:$B,$A604,従業員の給与情報!$D:$D)),0,AVERAGEIF(従業員の給与情報!$B:$B,$A604,従業員の給与情報!$D:$D)))))</f>
        <v/>
      </c>
      <c r="V604" s="299" t="str">
        <f>IF(OR(入力シート!$C$5&lt;&gt;入力リスト!$C$3,COUNTIF(入力シート!$J$16:$S$23,入力リスト!$H$9)=0),"",IF(A604="","",IF(ISERROR(AVERAGEIF(従業員の給与情報!$B:$B,$A604,従業員の給与情報!$E:$E)),0,IF(ISERROR(AVERAGEIF(従業員の給与情報!$B:$B,$A604,従業員の給与情報!$E:$E)),0,AVERAGEIF(従業員の給与情報!$B:$B,$A604,従業員の給与情報!$E:$E)))))</f>
        <v/>
      </c>
      <c r="W604" s="299" t="str">
        <f>IF(OR(入力シート!$C$5&lt;&gt;入力リスト!$C$3,COUNTIF(入力シート!$J$16:$S$23,入力リスト!$H$9)=0),"",IF(A604="","",IF(ISERROR(AVERAGEIF(従業員の給与情報!$B:$B,$A604,従業員の給与情報!$F:$F)),0,IF(ISERROR(AVERAGEIF(従業員の給与情報!$B:$B,$A604,従業員の給与情報!$F:$F)),0,AVERAGEIF(従業員の給与情報!$B:$B,$A604,従業員の給与情報!$F:$F)))))</f>
        <v/>
      </c>
      <c r="X604" s="581" t="s">
        <v>5343</v>
      </c>
    </row>
    <row r="605" spans="6:24">
      <c r="F605" s="297" t="str">
        <f>IF($G$1,"",IF(COUNTIF(A605:E605,"")=5,"",IF(G605,入力リスト!$K$28,IF(OR(A605="",B605="",IF(COUNTIF($C$3,"*不要*"),"",C605=""),D605=""),IF(A605="","従業員番号","")&amp;IF(B605="","「雇用形態」","")&amp;IF(OR(入力シート!$J$18=入力リスト!$H$9,入力シート!$J$22=入力リスト!$H$9),IF(C605="","「入社年月日」",""),"")&amp;IF(D605="","「性別」","")&amp;IF(IF(A605="","従業員番号","")&amp;IF(B605="","「雇用形態」","")&amp;IF(OR(入力シート!$J$18=入力リスト!$H$9,入力シート!$J$22=入力リスト!$H$9),IF(C605="","「入社年月日」",""),"")&amp;IF(D605="","「性別」","")="","",入力リスト!$K$29),IF(J605,入力リスト!$K$30,"")&amp;IF(I605,入力リスト!$K$31,"")&amp;IF(H605,"「雇用形態」","")&amp;IF(K605,"「性別」","")&amp;IF(L605,"「役職」","")&amp;IF(OR(H605,K605,L605),入力リスト!$K$32,"")))))</f>
        <v/>
      </c>
      <c r="G605" s="298" t="b">
        <f>COUNTIF($A$4:A604,$A605)&gt;0</f>
        <v>0</v>
      </c>
      <c r="H605" s="298" t="b">
        <f>IF($H$1,FALSE,COUNTIF(入力シート!$S$37:$V$62,B605)=0)</f>
        <v>0</v>
      </c>
      <c r="I605" s="298" t="b">
        <f t="shared" si="19"/>
        <v>0</v>
      </c>
      <c r="J605" s="298" t="b">
        <f>IF($J$1,FALSE,IF(I605=TRUE,FALSE,IF(I605,FALSE,C605&gt;入力シート!$J$24)))</f>
        <v>0</v>
      </c>
      <c r="K605" s="298" t="b">
        <f>IF($K$1,FALSE,COUNTIF(入力シート!$AW$37:$BB$38,D605)=0)</f>
        <v>0</v>
      </c>
      <c r="L605" s="298" t="b">
        <f>IF($L$1,FALSE,IF($L$3,FALSE,IF(E605="",FALSE,COUNTIF(入力シート!$AH$37:$AK$62,E605)=0)))</f>
        <v>0</v>
      </c>
      <c r="M605" s="298" t="str">
        <f t="shared" si="20"/>
        <v/>
      </c>
      <c r="N605" s="298" t="str">
        <f>IF(G605,"この従業員番号は、すでに他のセルで入力されています。",IF(入力シート!$C$5=入力リスト!$C$4,"",IF(AND(A605="",B605="",C605="",D605="",E605=""),"",IF(OR(A605="",B605="",C605="",D605=""),IF(A605="","従業員番号","")&amp;IF(AND(A605="",OR(B605="",C605="",D605="")),",","")&amp;IF(B605="","雇用形態","")&amp;IF(AND(B605="",OR(C605="",D605="")),",","")&amp;IF(OR(入力シート!$J$18=入力リスト!$H$9,入力シート!$J$22=入力リスト!$H$9),IF(C605="","入社年月日",""),"")&amp;IF(AND(C605="",D605=""),",","")&amp;IF(D605="","性別","")&amp;IF(IF(A605="","従業員番号","")&amp;IF(B605="","雇用形態","")&amp;IF(OR(入力シート!$J$18=入力リスト!$H$9,入力シート!$J$22=入力リスト!$H$9),IF(C605="","入社年月日",""),"")&amp;IF(D605="","性別","")="","","が空白です。"),IF(J605,"入社年月日に「基準日」の翌日以降の日付が入力されています。","")&amp;IF(I605,"入社年月日に数値以外（又は1900/1/1以前の日付）が入力されています。","")&amp;IF(H605,"雇用形態"&amp;IF(OR(K605,L605),",",""),"")&amp;IF(K605,"性別"&amp;IF(L605,",",""),"")&amp;IF(L605,"役職","")&amp;IF(OR(H605,K605,L605),"に、［入力シート］(4)「貴社」欄と異なる文言が入力されています。","")))))</f>
        <v/>
      </c>
      <c r="O605" s="298" t="str">
        <f>IF(B605="","",VLOOKUP('従業員情報(給与以外)'!$B605,入力シート!$S$37:$Z$62,5,0))</f>
        <v/>
      </c>
      <c r="P605" s="298" t="str">
        <f>IF(ISNUMBER(C605)=FALSE,"",IF(C605&gt;入力シート!$J$24,"",_xlfn.DAYS(入力シート!$J$24,'従業員情報(給与以外)'!$C605)/365))</f>
        <v/>
      </c>
      <c r="Q605" s="298" t="str">
        <f>IF(P605="","",VLOOKUP(_xlfn.DAYS(入力シート!$J$24,'従業員情報(給与以外)'!$C605)/365,入力リスト!$K$18:$L$26,2,2))</f>
        <v/>
      </c>
      <c r="R605" s="298" t="str">
        <f>IF(D605="","",VLOOKUP('従業員情報(給与以外)'!$D605,入力シート!$AW$37:$BB$38,4,0))</f>
        <v/>
      </c>
      <c r="S605" s="298" t="str">
        <f>IF(A605="","",IF(E605="","非役職",VLOOKUP('従業員情報(給与以外)'!$E605,入力シート!$AH$37:$AO$62,5,0)))</f>
        <v/>
      </c>
      <c r="T605" s="299" t="str">
        <f>IF(OR(入力シート!$C$5&lt;&gt;入力リスト!$C$3,COUNTIF(入力シート!$J$16:$S$23,入力リスト!$H$9)=0),"",IF($A605="","",IF(ISERROR(AVERAGEIF(従業員の給与情報!$B:$B,$A605,従業員の給与情報!$C:$C)),0,IF(ISERROR(AVERAGEIF(従業員の給与情報!$B:$B,$A605,従業員の給与情報!$C:$C)),0,AVERAGEIF(従業員の給与情報!$B:$B,$A605,従業員の給与情報!$C:$C)))))</f>
        <v/>
      </c>
      <c r="U605" s="299" t="str">
        <f>IF(OR(入力シート!$C$5&lt;&gt;入力リスト!$C$3,COUNTIF(入力シート!$J$16:$S$23,入力リスト!$H$9)=0),"",IF(A605="","",IF(ISERROR(AVERAGEIF(従業員の給与情報!$B:$B,$A605,従業員の給与情報!$D:$D)),0,IF(ISERROR(AVERAGEIF(従業員の給与情報!$B:$B,$A605,従業員の給与情報!$D:$D)),0,AVERAGEIF(従業員の給与情報!$B:$B,$A605,従業員の給与情報!$D:$D)))))</f>
        <v/>
      </c>
      <c r="V605" s="299" t="str">
        <f>IF(OR(入力シート!$C$5&lt;&gt;入力リスト!$C$3,COUNTIF(入力シート!$J$16:$S$23,入力リスト!$H$9)=0),"",IF(A605="","",IF(ISERROR(AVERAGEIF(従業員の給与情報!$B:$B,$A605,従業員の給与情報!$E:$E)),0,IF(ISERROR(AVERAGEIF(従業員の給与情報!$B:$B,$A605,従業員の給与情報!$E:$E)),0,AVERAGEIF(従業員の給与情報!$B:$B,$A605,従業員の給与情報!$E:$E)))))</f>
        <v/>
      </c>
      <c r="W605" s="299" t="str">
        <f>IF(OR(入力シート!$C$5&lt;&gt;入力リスト!$C$3,COUNTIF(入力シート!$J$16:$S$23,入力リスト!$H$9)=0),"",IF(A605="","",IF(ISERROR(AVERAGEIF(従業員の給与情報!$B:$B,$A605,従業員の給与情報!$F:$F)),0,IF(ISERROR(AVERAGEIF(従業員の給与情報!$B:$B,$A605,従業員の給与情報!$F:$F)),0,AVERAGEIF(従業員の給与情報!$B:$B,$A605,従業員の給与情報!$F:$F)))))</f>
        <v/>
      </c>
      <c r="X605" s="581" t="s">
        <v>5344</v>
      </c>
    </row>
    <row r="606" spans="6:24">
      <c r="F606" s="297" t="str">
        <f>IF($G$1,"",IF(COUNTIF(A606:E606,"")=5,"",IF(G606,入力リスト!$K$28,IF(OR(A606="",B606="",IF(COUNTIF($C$3,"*不要*"),"",C606=""),D606=""),IF(A606="","従業員番号","")&amp;IF(B606="","「雇用形態」","")&amp;IF(OR(入力シート!$J$18=入力リスト!$H$9,入力シート!$J$22=入力リスト!$H$9),IF(C606="","「入社年月日」",""),"")&amp;IF(D606="","「性別」","")&amp;IF(IF(A606="","従業員番号","")&amp;IF(B606="","「雇用形態」","")&amp;IF(OR(入力シート!$J$18=入力リスト!$H$9,入力シート!$J$22=入力リスト!$H$9),IF(C606="","「入社年月日」",""),"")&amp;IF(D606="","「性別」","")="","",入力リスト!$K$29),IF(J606,入力リスト!$K$30,"")&amp;IF(I606,入力リスト!$K$31,"")&amp;IF(H606,"「雇用形態」","")&amp;IF(K606,"「性別」","")&amp;IF(L606,"「役職」","")&amp;IF(OR(H606,K606,L606),入力リスト!$K$32,"")))))</f>
        <v/>
      </c>
      <c r="G606" s="298" t="b">
        <f>COUNTIF($A$4:A605,$A606)&gt;0</f>
        <v>0</v>
      </c>
      <c r="H606" s="298" t="b">
        <f>IF($H$1,FALSE,COUNTIF(入力シート!$S$37:$V$62,B606)=0)</f>
        <v>0</v>
      </c>
      <c r="I606" s="298" t="b">
        <f t="shared" si="19"/>
        <v>0</v>
      </c>
      <c r="J606" s="298" t="b">
        <f>IF($J$1,FALSE,IF(I606=TRUE,FALSE,IF(I606,FALSE,C606&gt;入力シート!$J$24)))</f>
        <v>0</v>
      </c>
      <c r="K606" s="298" t="b">
        <f>IF($K$1,FALSE,COUNTIF(入力シート!$AW$37:$BB$38,D606)=0)</f>
        <v>0</v>
      </c>
      <c r="L606" s="298" t="b">
        <f>IF($L$1,FALSE,IF($L$3,FALSE,IF(E606="",FALSE,COUNTIF(入力シート!$AH$37:$AK$62,E606)=0)))</f>
        <v>0</v>
      </c>
      <c r="M606" s="298" t="str">
        <f t="shared" si="20"/>
        <v/>
      </c>
      <c r="N606" s="298" t="str">
        <f>IF(G606,"この従業員番号は、すでに他のセルで入力されています。",IF(入力シート!$C$5=入力リスト!$C$4,"",IF(AND(A606="",B606="",C606="",D606="",E606=""),"",IF(OR(A606="",B606="",C606="",D606=""),IF(A606="","従業員番号","")&amp;IF(AND(A606="",OR(B606="",C606="",D606="")),",","")&amp;IF(B606="","雇用形態","")&amp;IF(AND(B606="",OR(C606="",D606="")),",","")&amp;IF(OR(入力シート!$J$18=入力リスト!$H$9,入力シート!$J$22=入力リスト!$H$9),IF(C606="","入社年月日",""),"")&amp;IF(AND(C606="",D606=""),",","")&amp;IF(D606="","性別","")&amp;IF(IF(A606="","従業員番号","")&amp;IF(B606="","雇用形態","")&amp;IF(OR(入力シート!$J$18=入力リスト!$H$9,入力シート!$J$22=入力リスト!$H$9),IF(C606="","入社年月日",""),"")&amp;IF(D606="","性別","")="","","が空白です。"),IF(J606,"入社年月日に「基準日」の翌日以降の日付が入力されています。","")&amp;IF(I606,"入社年月日に数値以外（又は1900/1/1以前の日付）が入力されています。","")&amp;IF(H606,"雇用形態"&amp;IF(OR(K606,L606),",",""),"")&amp;IF(K606,"性別"&amp;IF(L606,",",""),"")&amp;IF(L606,"役職","")&amp;IF(OR(H606,K606,L606),"に、［入力シート］(4)「貴社」欄と異なる文言が入力されています。","")))))</f>
        <v/>
      </c>
      <c r="O606" s="298" t="str">
        <f>IF(B606="","",VLOOKUP('従業員情報(給与以外)'!$B606,入力シート!$S$37:$Z$62,5,0))</f>
        <v/>
      </c>
      <c r="P606" s="298" t="str">
        <f>IF(ISNUMBER(C606)=FALSE,"",IF(C606&gt;入力シート!$J$24,"",_xlfn.DAYS(入力シート!$J$24,'従業員情報(給与以外)'!$C606)/365))</f>
        <v/>
      </c>
      <c r="Q606" s="298" t="str">
        <f>IF(P606="","",VLOOKUP(_xlfn.DAYS(入力シート!$J$24,'従業員情報(給与以外)'!$C606)/365,入力リスト!$K$18:$L$26,2,2))</f>
        <v/>
      </c>
      <c r="R606" s="298" t="str">
        <f>IF(D606="","",VLOOKUP('従業員情報(給与以外)'!$D606,入力シート!$AW$37:$BB$38,4,0))</f>
        <v/>
      </c>
      <c r="S606" s="298" t="str">
        <f>IF(A606="","",IF(E606="","非役職",VLOOKUP('従業員情報(給与以外)'!$E606,入力シート!$AH$37:$AO$62,5,0)))</f>
        <v/>
      </c>
      <c r="T606" s="299" t="str">
        <f>IF(OR(入力シート!$C$5&lt;&gt;入力リスト!$C$3,COUNTIF(入力シート!$J$16:$S$23,入力リスト!$H$9)=0),"",IF($A606="","",IF(ISERROR(AVERAGEIF(従業員の給与情報!$B:$B,$A606,従業員の給与情報!$C:$C)),0,IF(ISERROR(AVERAGEIF(従業員の給与情報!$B:$B,$A606,従業員の給与情報!$C:$C)),0,AVERAGEIF(従業員の給与情報!$B:$B,$A606,従業員の給与情報!$C:$C)))))</f>
        <v/>
      </c>
      <c r="U606" s="299" t="str">
        <f>IF(OR(入力シート!$C$5&lt;&gt;入力リスト!$C$3,COUNTIF(入力シート!$J$16:$S$23,入力リスト!$H$9)=0),"",IF(A606="","",IF(ISERROR(AVERAGEIF(従業員の給与情報!$B:$B,$A606,従業員の給与情報!$D:$D)),0,IF(ISERROR(AVERAGEIF(従業員の給与情報!$B:$B,$A606,従業員の給与情報!$D:$D)),0,AVERAGEIF(従業員の給与情報!$B:$B,$A606,従業員の給与情報!$D:$D)))))</f>
        <v/>
      </c>
      <c r="V606" s="299" t="str">
        <f>IF(OR(入力シート!$C$5&lt;&gt;入力リスト!$C$3,COUNTIF(入力シート!$J$16:$S$23,入力リスト!$H$9)=0),"",IF(A606="","",IF(ISERROR(AVERAGEIF(従業員の給与情報!$B:$B,$A606,従業員の給与情報!$E:$E)),0,IF(ISERROR(AVERAGEIF(従業員の給与情報!$B:$B,$A606,従業員の給与情報!$E:$E)),0,AVERAGEIF(従業員の給与情報!$B:$B,$A606,従業員の給与情報!$E:$E)))))</f>
        <v/>
      </c>
      <c r="W606" s="299" t="str">
        <f>IF(OR(入力シート!$C$5&lt;&gt;入力リスト!$C$3,COUNTIF(入力シート!$J$16:$S$23,入力リスト!$H$9)=0),"",IF(A606="","",IF(ISERROR(AVERAGEIF(従業員の給与情報!$B:$B,$A606,従業員の給与情報!$F:$F)),0,IF(ISERROR(AVERAGEIF(従業員の給与情報!$B:$B,$A606,従業員の給与情報!$F:$F)),0,AVERAGEIF(従業員の給与情報!$B:$B,$A606,従業員の給与情報!$F:$F)))))</f>
        <v/>
      </c>
      <c r="X606" s="581" t="s">
        <v>5345</v>
      </c>
    </row>
    <row r="607" spans="6:24">
      <c r="F607" s="297" t="str">
        <f>IF($G$1,"",IF(COUNTIF(A607:E607,"")=5,"",IF(G607,入力リスト!$K$28,IF(OR(A607="",B607="",IF(COUNTIF($C$3,"*不要*"),"",C607=""),D607=""),IF(A607="","従業員番号","")&amp;IF(B607="","「雇用形態」","")&amp;IF(OR(入力シート!$J$18=入力リスト!$H$9,入力シート!$J$22=入力リスト!$H$9),IF(C607="","「入社年月日」",""),"")&amp;IF(D607="","「性別」","")&amp;IF(IF(A607="","従業員番号","")&amp;IF(B607="","「雇用形態」","")&amp;IF(OR(入力シート!$J$18=入力リスト!$H$9,入力シート!$J$22=入力リスト!$H$9),IF(C607="","「入社年月日」",""),"")&amp;IF(D607="","「性別」","")="","",入力リスト!$K$29),IF(J607,入力リスト!$K$30,"")&amp;IF(I607,入力リスト!$K$31,"")&amp;IF(H607,"「雇用形態」","")&amp;IF(K607,"「性別」","")&amp;IF(L607,"「役職」","")&amp;IF(OR(H607,K607,L607),入力リスト!$K$32,"")))))</f>
        <v/>
      </c>
      <c r="G607" s="298" t="b">
        <f>COUNTIF($A$4:A606,$A607)&gt;0</f>
        <v>0</v>
      </c>
      <c r="H607" s="298" t="b">
        <f>IF($H$1,FALSE,COUNTIF(入力シート!$S$37:$V$62,B607)=0)</f>
        <v>0</v>
      </c>
      <c r="I607" s="298" t="b">
        <f t="shared" si="19"/>
        <v>0</v>
      </c>
      <c r="J607" s="298" t="b">
        <f>IF($J$1,FALSE,IF(I607=TRUE,FALSE,IF(I607,FALSE,C607&gt;入力シート!$J$24)))</f>
        <v>0</v>
      </c>
      <c r="K607" s="298" t="b">
        <f>IF($K$1,FALSE,COUNTIF(入力シート!$AW$37:$BB$38,D607)=0)</f>
        <v>0</v>
      </c>
      <c r="L607" s="298" t="b">
        <f>IF($L$1,FALSE,IF($L$3,FALSE,IF(E607="",FALSE,COUNTIF(入力シート!$AH$37:$AK$62,E607)=0)))</f>
        <v>0</v>
      </c>
      <c r="M607" s="298" t="str">
        <f t="shared" si="20"/>
        <v/>
      </c>
      <c r="N607" s="298" t="str">
        <f>IF(G607,"この従業員番号は、すでに他のセルで入力されています。",IF(入力シート!$C$5=入力リスト!$C$4,"",IF(AND(A607="",B607="",C607="",D607="",E607=""),"",IF(OR(A607="",B607="",C607="",D607=""),IF(A607="","従業員番号","")&amp;IF(AND(A607="",OR(B607="",C607="",D607="")),",","")&amp;IF(B607="","雇用形態","")&amp;IF(AND(B607="",OR(C607="",D607="")),",","")&amp;IF(OR(入力シート!$J$18=入力リスト!$H$9,入力シート!$J$22=入力リスト!$H$9),IF(C607="","入社年月日",""),"")&amp;IF(AND(C607="",D607=""),",","")&amp;IF(D607="","性別","")&amp;IF(IF(A607="","従業員番号","")&amp;IF(B607="","雇用形態","")&amp;IF(OR(入力シート!$J$18=入力リスト!$H$9,入力シート!$J$22=入力リスト!$H$9),IF(C607="","入社年月日",""),"")&amp;IF(D607="","性別","")="","","が空白です。"),IF(J607,"入社年月日に「基準日」の翌日以降の日付が入力されています。","")&amp;IF(I607,"入社年月日に数値以外（又は1900/1/1以前の日付）が入力されています。","")&amp;IF(H607,"雇用形態"&amp;IF(OR(K607,L607),",",""),"")&amp;IF(K607,"性別"&amp;IF(L607,",",""),"")&amp;IF(L607,"役職","")&amp;IF(OR(H607,K607,L607),"に、［入力シート］(4)「貴社」欄と異なる文言が入力されています。","")))))</f>
        <v/>
      </c>
      <c r="O607" s="298" t="str">
        <f>IF(B607="","",VLOOKUP('従業員情報(給与以外)'!$B607,入力シート!$S$37:$Z$62,5,0))</f>
        <v/>
      </c>
      <c r="P607" s="298" t="str">
        <f>IF(ISNUMBER(C607)=FALSE,"",IF(C607&gt;入力シート!$J$24,"",_xlfn.DAYS(入力シート!$J$24,'従業員情報(給与以外)'!$C607)/365))</f>
        <v/>
      </c>
      <c r="Q607" s="298" t="str">
        <f>IF(P607="","",VLOOKUP(_xlfn.DAYS(入力シート!$J$24,'従業員情報(給与以外)'!$C607)/365,入力リスト!$K$18:$L$26,2,2))</f>
        <v/>
      </c>
      <c r="R607" s="298" t="str">
        <f>IF(D607="","",VLOOKUP('従業員情報(給与以外)'!$D607,入力シート!$AW$37:$BB$38,4,0))</f>
        <v/>
      </c>
      <c r="S607" s="298" t="str">
        <f>IF(A607="","",IF(E607="","非役職",VLOOKUP('従業員情報(給与以外)'!$E607,入力シート!$AH$37:$AO$62,5,0)))</f>
        <v/>
      </c>
      <c r="T607" s="299" t="str">
        <f>IF(OR(入力シート!$C$5&lt;&gt;入力リスト!$C$3,COUNTIF(入力シート!$J$16:$S$23,入力リスト!$H$9)=0),"",IF($A607="","",IF(ISERROR(AVERAGEIF(従業員の給与情報!$B:$B,$A607,従業員の給与情報!$C:$C)),0,IF(ISERROR(AVERAGEIF(従業員の給与情報!$B:$B,$A607,従業員の給与情報!$C:$C)),0,AVERAGEIF(従業員の給与情報!$B:$B,$A607,従業員の給与情報!$C:$C)))))</f>
        <v/>
      </c>
      <c r="U607" s="299" t="str">
        <f>IF(OR(入力シート!$C$5&lt;&gt;入力リスト!$C$3,COUNTIF(入力シート!$J$16:$S$23,入力リスト!$H$9)=0),"",IF(A607="","",IF(ISERROR(AVERAGEIF(従業員の給与情報!$B:$B,$A607,従業員の給与情報!$D:$D)),0,IF(ISERROR(AVERAGEIF(従業員の給与情報!$B:$B,$A607,従業員の給与情報!$D:$D)),0,AVERAGEIF(従業員の給与情報!$B:$B,$A607,従業員の給与情報!$D:$D)))))</f>
        <v/>
      </c>
      <c r="V607" s="299" t="str">
        <f>IF(OR(入力シート!$C$5&lt;&gt;入力リスト!$C$3,COUNTIF(入力シート!$J$16:$S$23,入力リスト!$H$9)=0),"",IF(A607="","",IF(ISERROR(AVERAGEIF(従業員の給与情報!$B:$B,$A607,従業員の給与情報!$E:$E)),0,IF(ISERROR(AVERAGEIF(従業員の給与情報!$B:$B,$A607,従業員の給与情報!$E:$E)),0,AVERAGEIF(従業員の給与情報!$B:$B,$A607,従業員の給与情報!$E:$E)))))</f>
        <v/>
      </c>
      <c r="W607" s="299" t="str">
        <f>IF(OR(入力シート!$C$5&lt;&gt;入力リスト!$C$3,COUNTIF(入力シート!$J$16:$S$23,入力リスト!$H$9)=0),"",IF(A607="","",IF(ISERROR(AVERAGEIF(従業員の給与情報!$B:$B,$A607,従業員の給与情報!$F:$F)),0,IF(ISERROR(AVERAGEIF(従業員の給与情報!$B:$B,$A607,従業員の給与情報!$F:$F)),0,AVERAGEIF(従業員の給与情報!$B:$B,$A607,従業員の給与情報!$F:$F)))))</f>
        <v/>
      </c>
      <c r="X607" s="581" t="s">
        <v>5346</v>
      </c>
    </row>
    <row r="608" spans="6:24">
      <c r="F608" s="297" t="str">
        <f>IF($G$1,"",IF(COUNTIF(A608:E608,"")=5,"",IF(G608,入力リスト!$K$28,IF(OR(A608="",B608="",IF(COUNTIF($C$3,"*不要*"),"",C608=""),D608=""),IF(A608="","従業員番号","")&amp;IF(B608="","「雇用形態」","")&amp;IF(OR(入力シート!$J$18=入力リスト!$H$9,入力シート!$J$22=入力リスト!$H$9),IF(C608="","「入社年月日」",""),"")&amp;IF(D608="","「性別」","")&amp;IF(IF(A608="","従業員番号","")&amp;IF(B608="","「雇用形態」","")&amp;IF(OR(入力シート!$J$18=入力リスト!$H$9,入力シート!$J$22=入力リスト!$H$9),IF(C608="","「入社年月日」",""),"")&amp;IF(D608="","「性別」","")="","",入力リスト!$K$29),IF(J608,入力リスト!$K$30,"")&amp;IF(I608,入力リスト!$K$31,"")&amp;IF(H608,"「雇用形態」","")&amp;IF(K608,"「性別」","")&amp;IF(L608,"「役職」","")&amp;IF(OR(H608,K608,L608),入力リスト!$K$32,"")))))</f>
        <v/>
      </c>
      <c r="G608" s="298" t="b">
        <f>COUNTIF($A$4:A607,$A608)&gt;0</f>
        <v>0</v>
      </c>
      <c r="H608" s="298" t="b">
        <f>IF($H$1,FALSE,COUNTIF(入力シート!$S$37:$V$62,B608)=0)</f>
        <v>0</v>
      </c>
      <c r="I608" s="298" t="b">
        <f t="shared" si="19"/>
        <v>0</v>
      </c>
      <c r="J608" s="298" t="b">
        <f>IF($J$1,FALSE,IF(I608=TRUE,FALSE,IF(I608,FALSE,C608&gt;入力シート!$J$24)))</f>
        <v>0</v>
      </c>
      <c r="K608" s="298" t="b">
        <f>IF($K$1,FALSE,COUNTIF(入力シート!$AW$37:$BB$38,D608)=0)</f>
        <v>0</v>
      </c>
      <c r="L608" s="298" t="b">
        <f>IF($L$1,FALSE,IF($L$3,FALSE,IF(E608="",FALSE,COUNTIF(入力シート!$AH$37:$AK$62,E608)=0)))</f>
        <v>0</v>
      </c>
      <c r="M608" s="298" t="str">
        <f t="shared" si="20"/>
        <v/>
      </c>
      <c r="N608" s="298" t="str">
        <f>IF(G608,"この従業員番号は、すでに他のセルで入力されています。",IF(入力シート!$C$5=入力リスト!$C$4,"",IF(AND(A608="",B608="",C608="",D608="",E608=""),"",IF(OR(A608="",B608="",C608="",D608=""),IF(A608="","従業員番号","")&amp;IF(AND(A608="",OR(B608="",C608="",D608="")),",","")&amp;IF(B608="","雇用形態","")&amp;IF(AND(B608="",OR(C608="",D608="")),",","")&amp;IF(OR(入力シート!$J$18=入力リスト!$H$9,入力シート!$J$22=入力リスト!$H$9),IF(C608="","入社年月日",""),"")&amp;IF(AND(C608="",D608=""),",","")&amp;IF(D608="","性別","")&amp;IF(IF(A608="","従業員番号","")&amp;IF(B608="","雇用形態","")&amp;IF(OR(入力シート!$J$18=入力リスト!$H$9,入力シート!$J$22=入力リスト!$H$9),IF(C608="","入社年月日",""),"")&amp;IF(D608="","性別","")="","","が空白です。"),IF(J608,"入社年月日に「基準日」の翌日以降の日付が入力されています。","")&amp;IF(I608,"入社年月日に数値以外（又は1900/1/1以前の日付）が入力されています。","")&amp;IF(H608,"雇用形態"&amp;IF(OR(K608,L608),",",""),"")&amp;IF(K608,"性別"&amp;IF(L608,",",""),"")&amp;IF(L608,"役職","")&amp;IF(OR(H608,K608,L608),"に、［入力シート］(4)「貴社」欄と異なる文言が入力されています。","")))))</f>
        <v/>
      </c>
      <c r="O608" s="298" t="str">
        <f>IF(B608="","",VLOOKUP('従業員情報(給与以外)'!$B608,入力シート!$S$37:$Z$62,5,0))</f>
        <v/>
      </c>
      <c r="P608" s="298" t="str">
        <f>IF(ISNUMBER(C608)=FALSE,"",IF(C608&gt;入力シート!$J$24,"",_xlfn.DAYS(入力シート!$J$24,'従業員情報(給与以外)'!$C608)/365))</f>
        <v/>
      </c>
      <c r="Q608" s="298" t="str">
        <f>IF(P608="","",VLOOKUP(_xlfn.DAYS(入力シート!$J$24,'従業員情報(給与以外)'!$C608)/365,入力リスト!$K$18:$L$26,2,2))</f>
        <v/>
      </c>
      <c r="R608" s="298" t="str">
        <f>IF(D608="","",VLOOKUP('従業員情報(給与以外)'!$D608,入力シート!$AW$37:$BB$38,4,0))</f>
        <v/>
      </c>
      <c r="S608" s="298" t="str">
        <f>IF(A608="","",IF(E608="","非役職",VLOOKUP('従業員情報(給与以外)'!$E608,入力シート!$AH$37:$AO$62,5,0)))</f>
        <v/>
      </c>
      <c r="T608" s="299" t="str">
        <f>IF(OR(入力シート!$C$5&lt;&gt;入力リスト!$C$3,COUNTIF(入力シート!$J$16:$S$23,入力リスト!$H$9)=0),"",IF($A608="","",IF(ISERROR(AVERAGEIF(従業員の給与情報!$B:$B,$A608,従業員の給与情報!$C:$C)),0,IF(ISERROR(AVERAGEIF(従業員の給与情報!$B:$B,$A608,従業員の給与情報!$C:$C)),0,AVERAGEIF(従業員の給与情報!$B:$B,$A608,従業員の給与情報!$C:$C)))))</f>
        <v/>
      </c>
      <c r="U608" s="299" t="str">
        <f>IF(OR(入力シート!$C$5&lt;&gt;入力リスト!$C$3,COUNTIF(入力シート!$J$16:$S$23,入力リスト!$H$9)=0),"",IF(A608="","",IF(ISERROR(AVERAGEIF(従業員の給与情報!$B:$B,$A608,従業員の給与情報!$D:$D)),0,IF(ISERROR(AVERAGEIF(従業員の給与情報!$B:$B,$A608,従業員の給与情報!$D:$D)),0,AVERAGEIF(従業員の給与情報!$B:$B,$A608,従業員の給与情報!$D:$D)))))</f>
        <v/>
      </c>
      <c r="V608" s="299" t="str">
        <f>IF(OR(入力シート!$C$5&lt;&gt;入力リスト!$C$3,COUNTIF(入力シート!$J$16:$S$23,入力リスト!$H$9)=0),"",IF(A608="","",IF(ISERROR(AVERAGEIF(従業員の給与情報!$B:$B,$A608,従業員の給与情報!$E:$E)),0,IF(ISERROR(AVERAGEIF(従業員の給与情報!$B:$B,$A608,従業員の給与情報!$E:$E)),0,AVERAGEIF(従業員の給与情報!$B:$B,$A608,従業員の給与情報!$E:$E)))))</f>
        <v/>
      </c>
      <c r="W608" s="299" t="str">
        <f>IF(OR(入力シート!$C$5&lt;&gt;入力リスト!$C$3,COUNTIF(入力シート!$J$16:$S$23,入力リスト!$H$9)=0),"",IF(A608="","",IF(ISERROR(AVERAGEIF(従業員の給与情報!$B:$B,$A608,従業員の給与情報!$F:$F)),0,IF(ISERROR(AVERAGEIF(従業員の給与情報!$B:$B,$A608,従業員の給与情報!$F:$F)),0,AVERAGEIF(従業員の給与情報!$B:$B,$A608,従業員の給与情報!$F:$F)))))</f>
        <v/>
      </c>
      <c r="X608" s="581" t="s">
        <v>5347</v>
      </c>
    </row>
    <row r="609" spans="6:24">
      <c r="F609" s="297" t="str">
        <f>IF($G$1,"",IF(COUNTIF(A609:E609,"")=5,"",IF(G609,入力リスト!$K$28,IF(OR(A609="",B609="",IF(COUNTIF($C$3,"*不要*"),"",C609=""),D609=""),IF(A609="","従業員番号","")&amp;IF(B609="","「雇用形態」","")&amp;IF(OR(入力シート!$J$18=入力リスト!$H$9,入力シート!$J$22=入力リスト!$H$9),IF(C609="","「入社年月日」",""),"")&amp;IF(D609="","「性別」","")&amp;IF(IF(A609="","従業員番号","")&amp;IF(B609="","「雇用形態」","")&amp;IF(OR(入力シート!$J$18=入力リスト!$H$9,入力シート!$J$22=入力リスト!$H$9),IF(C609="","「入社年月日」",""),"")&amp;IF(D609="","「性別」","")="","",入力リスト!$K$29),IF(J609,入力リスト!$K$30,"")&amp;IF(I609,入力リスト!$K$31,"")&amp;IF(H609,"「雇用形態」","")&amp;IF(K609,"「性別」","")&amp;IF(L609,"「役職」","")&amp;IF(OR(H609,K609,L609),入力リスト!$K$32,"")))))</f>
        <v/>
      </c>
      <c r="G609" s="298" t="b">
        <f>COUNTIF($A$4:A608,$A609)&gt;0</f>
        <v>0</v>
      </c>
      <c r="H609" s="298" t="b">
        <f>IF($H$1,FALSE,COUNTIF(入力シート!$S$37:$V$62,B609)=0)</f>
        <v>0</v>
      </c>
      <c r="I609" s="298" t="b">
        <f t="shared" si="19"/>
        <v>0</v>
      </c>
      <c r="J609" s="298" t="b">
        <f>IF($J$1,FALSE,IF(I609=TRUE,FALSE,IF(I609,FALSE,C609&gt;入力シート!$J$24)))</f>
        <v>0</v>
      </c>
      <c r="K609" s="298" t="b">
        <f>IF($K$1,FALSE,COUNTIF(入力シート!$AW$37:$BB$38,D609)=0)</f>
        <v>0</v>
      </c>
      <c r="L609" s="298" t="b">
        <f>IF($L$1,FALSE,IF($L$3,FALSE,IF(E609="",FALSE,COUNTIF(入力シート!$AH$37:$AK$62,E609)=0)))</f>
        <v>0</v>
      </c>
      <c r="M609" s="298" t="str">
        <f t="shared" si="20"/>
        <v/>
      </c>
      <c r="N609" s="298" t="str">
        <f>IF(G609,"この従業員番号は、すでに他のセルで入力されています。",IF(入力シート!$C$5=入力リスト!$C$4,"",IF(AND(A609="",B609="",C609="",D609="",E609=""),"",IF(OR(A609="",B609="",C609="",D609=""),IF(A609="","従業員番号","")&amp;IF(AND(A609="",OR(B609="",C609="",D609="")),",","")&amp;IF(B609="","雇用形態","")&amp;IF(AND(B609="",OR(C609="",D609="")),",","")&amp;IF(OR(入力シート!$J$18=入力リスト!$H$9,入力シート!$J$22=入力リスト!$H$9),IF(C609="","入社年月日",""),"")&amp;IF(AND(C609="",D609=""),",","")&amp;IF(D609="","性別","")&amp;IF(IF(A609="","従業員番号","")&amp;IF(B609="","雇用形態","")&amp;IF(OR(入力シート!$J$18=入力リスト!$H$9,入力シート!$J$22=入力リスト!$H$9),IF(C609="","入社年月日",""),"")&amp;IF(D609="","性別","")="","","が空白です。"),IF(J609,"入社年月日に「基準日」の翌日以降の日付が入力されています。","")&amp;IF(I609,"入社年月日に数値以外（又は1900/1/1以前の日付）が入力されています。","")&amp;IF(H609,"雇用形態"&amp;IF(OR(K609,L609),",",""),"")&amp;IF(K609,"性別"&amp;IF(L609,",",""),"")&amp;IF(L609,"役職","")&amp;IF(OR(H609,K609,L609),"に、［入力シート］(4)「貴社」欄と異なる文言が入力されています。","")))))</f>
        <v/>
      </c>
      <c r="O609" s="298" t="str">
        <f>IF(B609="","",VLOOKUP('従業員情報(給与以外)'!$B609,入力シート!$S$37:$Z$62,5,0))</f>
        <v/>
      </c>
      <c r="P609" s="298" t="str">
        <f>IF(ISNUMBER(C609)=FALSE,"",IF(C609&gt;入力シート!$J$24,"",_xlfn.DAYS(入力シート!$J$24,'従業員情報(給与以外)'!$C609)/365))</f>
        <v/>
      </c>
      <c r="Q609" s="298" t="str">
        <f>IF(P609="","",VLOOKUP(_xlfn.DAYS(入力シート!$J$24,'従業員情報(給与以外)'!$C609)/365,入力リスト!$K$18:$L$26,2,2))</f>
        <v/>
      </c>
      <c r="R609" s="298" t="str">
        <f>IF(D609="","",VLOOKUP('従業員情報(給与以外)'!$D609,入力シート!$AW$37:$BB$38,4,0))</f>
        <v/>
      </c>
      <c r="S609" s="298" t="str">
        <f>IF(A609="","",IF(E609="","非役職",VLOOKUP('従業員情報(給与以外)'!$E609,入力シート!$AH$37:$AO$62,5,0)))</f>
        <v/>
      </c>
      <c r="T609" s="299" t="str">
        <f>IF(OR(入力シート!$C$5&lt;&gt;入力リスト!$C$3,COUNTIF(入力シート!$J$16:$S$23,入力リスト!$H$9)=0),"",IF($A609="","",IF(ISERROR(AVERAGEIF(従業員の給与情報!$B:$B,$A609,従業員の給与情報!$C:$C)),0,IF(ISERROR(AVERAGEIF(従業員の給与情報!$B:$B,$A609,従業員の給与情報!$C:$C)),0,AVERAGEIF(従業員の給与情報!$B:$B,$A609,従業員の給与情報!$C:$C)))))</f>
        <v/>
      </c>
      <c r="U609" s="299" t="str">
        <f>IF(OR(入力シート!$C$5&lt;&gt;入力リスト!$C$3,COUNTIF(入力シート!$J$16:$S$23,入力リスト!$H$9)=0),"",IF(A609="","",IF(ISERROR(AVERAGEIF(従業員の給与情報!$B:$B,$A609,従業員の給与情報!$D:$D)),0,IF(ISERROR(AVERAGEIF(従業員の給与情報!$B:$B,$A609,従業員の給与情報!$D:$D)),0,AVERAGEIF(従業員の給与情報!$B:$B,$A609,従業員の給与情報!$D:$D)))))</f>
        <v/>
      </c>
      <c r="V609" s="299" t="str">
        <f>IF(OR(入力シート!$C$5&lt;&gt;入力リスト!$C$3,COUNTIF(入力シート!$J$16:$S$23,入力リスト!$H$9)=0),"",IF(A609="","",IF(ISERROR(AVERAGEIF(従業員の給与情報!$B:$B,$A609,従業員の給与情報!$E:$E)),0,IF(ISERROR(AVERAGEIF(従業員の給与情報!$B:$B,$A609,従業員の給与情報!$E:$E)),0,AVERAGEIF(従業員の給与情報!$B:$B,$A609,従業員の給与情報!$E:$E)))))</f>
        <v/>
      </c>
      <c r="W609" s="299" t="str">
        <f>IF(OR(入力シート!$C$5&lt;&gt;入力リスト!$C$3,COUNTIF(入力シート!$J$16:$S$23,入力リスト!$H$9)=0),"",IF(A609="","",IF(ISERROR(AVERAGEIF(従業員の給与情報!$B:$B,$A609,従業員の給与情報!$F:$F)),0,IF(ISERROR(AVERAGEIF(従業員の給与情報!$B:$B,$A609,従業員の給与情報!$F:$F)),0,AVERAGEIF(従業員の給与情報!$B:$B,$A609,従業員の給与情報!$F:$F)))))</f>
        <v/>
      </c>
      <c r="X609" s="581" t="s">
        <v>5348</v>
      </c>
    </row>
    <row r="610" spans="6:24">
      <c r="F610" s="297" t="str">
        <f>IF($G$1,"",IF(COUNTIF(A610:E610,"")=5,"",IF(G610,入力リスト!$K$28,IF(OR(A610="",B610="",IF(COUNTIF($C$3,"*不要*"),"",C610=""),D610=""),IF(A610="","従業員番号","")&amp;IF(B610="","「雇用形態」","")&amp;IF(OR(入力シート!$J$18=入力リスト!$H$9,入力シート!$J$22=入力リスト!$H$9),IF(C610="","「入社年月日」",""),"")&amp;IF(D610="","「性別」","")&amp;IF(IF(A610="","従業員番号","")&amp;IF(B610="","「雇用形態」","")&amp;IF(OR(入力シート!$J$18=入力リスト!$H$9,入力シート!$J$22=入力リスト!$H$9),IF(C610="","「入社年月日」",""),"")&amp;IF(D610="","「性別」","")="","",入力リスト!$K$29),IF(J610,入力リスト!$K$30,"")&amp;IF(I610,入力リスト!$K$31,"")&amp;IF(H610,"「雇用形態」","")&amp;IF(K610,"「性別」","")&amp;IF(L610,"「役職」","")&amp;IF(OR(H610,K610,L610),入力リスト!$K$32,"")))))</f>
        <v/>
      </c>
      <c r="G610" s="298" t="b">
        <f>COUNTIF($A$4:A609,$A610)&gt;0</f>
        <v>0</v>
      </c>
      <c r="H610" s="298" t="b">
        <f>IF($H$1,FALSE,COUNTIF(入力シート!$S$37:$V$62,B610)=0)</f>
        <v>0</v>
      </c>
      <c r="I610" s="298" t="b">
        <f t="shared" si="19"/>
        <v>0</v>
      </c>
      <c r="J610" s="298" t="b">
        <f>IF($J$1,FALSE,IF(I610=TRUE,FALSE,IF(I610,FALSE,C610&gt;入力シート!$J$24)))</f>
        <v>0</v>
      </c>
      <c r="K610" s="298" t="b">
        <f>IF($K$1,FALSE,COUNTIF(入力シート!$AW$37:$BB$38,D610)=0)</f>
        <v>0</v>
      </c>
      <c r="L610" s="298" t="b">
        <f>IF($L$1,FALSE,IF($L$3,FALSE,IF(E610="",FALSE,COUNTIF(入力シート!$AH$37:$AK$62,E610)=0)))</f>
        <v>0</v>
      </c>
      <c r="M610" s="298" t="str">
        <f t="shared" si="20"/>
        <v/>
      </c>
      <c r="N610" s="298" t="str">
        <f>IF(G610,"この従業員番号は、すでに他のセルで入力されています。",IF(入力シート!$C$5=入力リスト!$C$4,"",IF(AND(A610="",B610="",C610="",D610="",E610=""),"",IF(OR(A610="",B610="",C610="",D610=""),IF(A610="","従業員番号","")&amp;IF(AND(A610="",OR(B610="",C610="",D610="")),",","")&amp;IF(B610="","雇用形態","")&amp;IF(AND(B610="",OR(C610="",D610="")),",","")&amp;IF(OR(入力シート!$J$18=入力リスト!$H$9,入力シート!$J$22=入力リスト!$H$9),IF(C610="","入社年月日",""),"")&amp;IF(AND(C610="",D610=""),",","")&amp;IF(D610="","性別","")&amp;IF(IF(A610="","従業員番号","")&amp;IF(B610="","雇用形態","")&amp;IF(OR(入力シート!$J$18=入力リスト!$H$9,入力シート!$J$22=入力リスト!$H$9),IF(C610="","入社年月日",""),"")&amp;IF(D610="","性別","")="","","が空白です。"),IF(J610,"入社年月日に「基準日」の翌日以降の日付が入力されています。","")&amp;IF(I610,"入社年月日に数値以外（又は1900/1/1以前の日付）が入力されています。","")&amp;IF(H610,"雇用形態"&amp;IF(OR(K610,L610),",",""),"")&amp;IF(K610,"性別"&amp;IF(L610,",",""),"")&amp;IF(L610,"役職","")&amp;IF(OR(H610,K610,L610),"に、［入力シート］(4)「貴社」欄と異なる文言が入力されています。","")))))</f>
        <v/>
      </c>
      <c r="O610" s="298" t="str">
        <f>IF(B610="","",VLOOKUP('従業員情報(給与以外)'!$B610,入力シート!$S$37:$Z$62,5,0))</f>
        <v/>
      </c>
      <c r="P610" s="298" t="str">
        <f>IF(ISNUMBER(C610)=FALSE,"",IF(C610&gt;入力シート!$J$24,"",_xlfn.DAYS(入力シート!$J$24,'従業員情報(給与以外)'!$C610)/365))</f>
        <v/>
      </c>
      <c r="Q610" s="298" t="str">
        <f>IF(P610="","",VLOOKUP(_xlfn.DAYS(入力シート!$J$24,'従業員情報(給与以外)'!$C610)/365,入力リスト!$K$18:$L$26,2,2))</f>
        <v/>
      </c>
      <c r="R610" s="298" t="str">
        <f>IF(D610="","",VLOOKUP('従業員情報(給与以外)'!$D610,入力シート!$AW$37:$BB$38,4,0))</f>
        <v/>
      </c>
      <c r="S610" s="298" t="str">
        <f>IF(A610="","",IF(E610="","非役職",VLOOKUP('従業員情報(給与以外)'!$E610,入力シート!$AH$37:$AO$62,5,0)))</f>
        <v/>
      </c>
      <c r="T610" s="299" t="str">
        <f>IF(OR(入力シート!$C$5&lt;&gt;入力リスト!$C$3,COUNTIF(入力シート!$J$16:$S$23,入力リスト!$H$9)=0),"",IF($A610="","",IF(ISERROR(AVERAGEIF(従業員の給与情報!$B:$B,$A610,従業員の給与情報!$C:$C)),0,IF(ISERROR(AVERAGEIF(従業員の給与情報!$B:$B,$A610,従業員の給与情報!$C:$C)),0,AVERAGEIF(従業員の給与情報!$B:$B,$A610,従業員の給与情報!$C:$C)))))</f>
        <v/>
      </c>
      <c r="U610" s="299" t="str">
        <f>IF(OR(入力シート!$C$5&lt;&gt;入力リスト!$C$3,COUNTIF(入力シート!$J$16:$S$23,入力リスト!$H$9)=0),"",IF(A610="","",IF(ISERROR(AVERAGEIF(従業員の給与情報!$B:$B,$A610,従業員の給与情報!$D:$D)),0,IF(ISERROR(AVERAGEIF(従業員の給与情報!$B:$B,$A610,従業員の給与情報!$D:$D)),0,AVERAGEIF(従業員の給与情報!$B:$B,$A610,従業員の給与情報!$D:$D)))))</f>
        <v/>
      </c>
      <c r="V610" s="299" t="str">
        <f>IF(OR(入力シート!$C$5&lt;&gt;入力リスト!$C$3,COUNTIF(入力シート!$J$16:$S$23,入力リスト!$H$9)=0),"",IF(A610="","",IF(ISERROR(AVERAGEIF(従業員の給与情報!$B:$B,$A610,従業員の給与情報!$E:$E)),0,IF(ISERROR(AVERAGEIF(従業員の給与情報!$B:$B,$A610,従業員の給与情報!$E:$E)),0,AVERAGEIF(従業員の給与情報!$B:$B,$A610,従業員の給与情報!$E:$E)))))</f>
        <v/>
      </c>
      <c r="W610" s="299" t="str">
        <f>IF(OR(入力シート!$C$5&lt;&gt;入力リスト!$C$3,COUNTIF(入力シート!$J$16:$S$23,入力リスト!$H$9)=0),"",IF(A610="","",IF(ISERROR(AVERAGEIF(従業員の給与情報!$B:$B,$A610,従業員の給与情報!$F:$F)),0,IF(ISERROR(AVERAGEIF(従業員の給与情報!$B:$B,$A610,従業員の給与情報!$F:$F)),0,AVERAGEIF(従業員の給与情報!$B:$B,$A610,従業員の給与情報!$F:$F)))))</f>
        <v/>
      </c>
      <c r="X610" s="581" t="s">
        <v>5349</v>
      </c>
    </row>
    <row r="611" spans="6:24">
      <c r="F611" s="297" t="str">
        <f>IF($G$1,"",IF(COUNTIF(A611:E611,"")=5,"",IF(G611,入力リスト!$K$28,IF(OR(A611="",B611="",IF(COUNTIF($C$3,"*不要*"),"",C611=""),D611=""),IF(A611="","従業員番号","")&amp;IF(B611="","「雇用形態」","")&amp;IF(OR(入力シート!$J$18=入力リスト!$H$9,入力シート!$J$22=入力リスト!$H$9),IF(C611="","「入社年月日」",""),"")&amp;IF(D611="","「性別」","")&amp;IF(IF(A611="","従業員番号","")&amp;IF(B611="","「雇用形態」","")&amp;IF(OR(入力シート!$J$18=入力リスト!$H$9,入力シート!$J$22=入力リスト!$H$9),IF(C611="","「入社年月日」",""),"")&amp;IF(D611="","「性別」","")="","",入力リスト!$K$29),IF(J611,入力リスト!$K$30,"")&amp;IF(I611,入力リスト!$K$31,"")&amp;IF(H611,"「雇用形態」","")&amp;IF(K611,"「性別」","")&amp;IF(L611,"「役職」","")&amp;IF(OR(H611,K611,L611),入力リスト!$K$32,"")))))</f>
        <v/>
      </c>
      <c r="G611" s="298" t="b">
        <f>COUNTIF($A$4:A610,$A611)&gt;0</f>
        <v>0</v>
      </c>
      <c r="H611" s="298" t="b">
        <f>IF($H$1,FALSE,COUNTIF(入力シート!$S$37:$V$62,B611)=0)</f>
        <v>0</v>
      </c>
      <c r="I611" s="298" t="b">
        <f t="shared" si="19"/>
        <v>0</v>
      </c>
      <c r="J611" s="298" t="b">
        <f>IF($J$1,FALSE,IF(I611=TRUE,FALSE,IF(I611,FALSE,C611&gt;入力シート!$J$24)))</f>
        <v>0</v>
      </c>
      <c r="K611" s="298" t="b">
        <f>IF($K$1,FALSE,COUNTIF(入力シート!$AW$37:$BB$38,D611)=0)</f>
        <v>0</v>
      </c>
      <c r="L611" s="298" t="b">
        <f>IF($L$1,FALSE,IF($L$3,FALSE,IF(E611="",FALSE,COUNTIF(入力シート!$AH$37:$AK$62,E611)=0)))</f>
        <v>0</v>
      </c>
      <c r="M611" s="298" t="str">
        <f t="shared" si="20"/>
        <v/>
      </c>
      <c r="N611" s="298" t="str">
        <f>IF(G611,"この従業員番号は、すでに他のセルで入力されています。",IF(入力シート!$C$5=入力リスト!$C$4,"",IF(AND(A611="",B611="",C611="",D611="",E611=""),"",IF(OR(A611="",B611="",C611="",D611=""),IF(A611="","従業員番号","")&amp;IF(AND(A611="",OR(B611="",C611="",D611="")),",","")&amp;IF(B611="","雇用形態","")&amp;IF(AND(B611="",OR(C611="",D611="")),",","")&amp;IF(OR(入力シート!$J$18=入力リスト!$H$9,入力シート!$J$22=入力リスト!$H$9),IF(C611="","入社年月日",""),"")&amp;IF(AND(C611="",D611=""),",","")&amp;IF(D611="","性別","")&amp;IF(IF(A611="","従業員番号","")&amp;IF(B611="","雇用形態","")&amp;IF(OR(入力シート!$J$18=入力リスト!$H$9,入力シート!$J$22=入力リスト!$H$9),IF(C611="","入社年月日",""),"")&amp;IF(D611="","性別","")="","","が空白です。"),IF(J611,"入社年月日に「基準日」の翌日以降の日付が入力されています。","")&amp;IF(I611,"入社年月日に数値以外（又は1900/1/1以前の日付）が入力されています。","")&amp;IF(H611,"雇用形態"&amp;IF(OR(K611,L611),",",""),"")&amp;IF(K611,"性別"&amp;IF(L611,",",""),"")&amp;IF(L611,"役職","")&amp;IF(OR(H611,K611,L611),"に、［入力シート］(4)「貴社」欄と異なる文言が入力されています。","")))))</f>
        <v/>
      </c>
      <c r="O611" s="298" t="str">
        <f>IF(B611="","",VLOOKUP('従業員情報(給与以外)'!$B611,入力シート!$S$37:$Z$62,5,0))</f>
        <v/>
      </c>
      <c r="P611" s="298" t="str">
        <f>IF(ISNUMBER(C611)=FALSE,"",IF(C611&gt;入力シート!$J$24,"",_xlfn.DAYS(入力シート!$J$24,'従業員情報(給与以外)'!$C611)/365))</f>
        <v/>
      </c>
      <c r="Q611" s="298" t="str">
        <f>IF(P611="","",VLOOKUP(_xlfn.DAYS(入力シート!$J$24,'従業員情報(給与以外)'!$C611)/365,入力リスト!$K$18:$L$26,2,2))</f>
        <v/>
      </c>
      <c r="R611" s="298" t="str">
        <f>IF(D611="","",VLOOKUP('従業員情報(給与以外)'!$D611,入力シート!$AW$37:$BB$38,4,0))</f>
        <v/>
      </c>
      <c r="S611" s="298" t="str">
        <f>IF(A611="","",IF(E611="","非役職",VLOOKUP('従業員情報(給与以外)'!$E611,入力シート!$AH$37:$AO$62,5,0)))</f>
        <v/>
      </c>
      <c r="T611" s="299" t="str">
        <f>IF(OR(入力シート!$C$5&lt;&gt;入力リスト!$C$3,COUNTIF(入力シート!$J$16:$S$23,入力リスト!$H$9)=0),"",IF($A611="","",IF(ISERROR(AVERAGEIF(従業員の給与情報!$B:$B,$A611,従業員の給与情報!$C:$C)),0,IF(ISERROR(AVERAGEIF(従業員の給与情報!$B:$B,$A611,従業員の給与情報!$C:$C)),0,AVERAGEIF(従業員の給与情報!$B:$B,$A611,従業員の給与情報!$C:$C)))))</f>
        <v/>
      </c>
      <c r="U611" s="299" t="str">
        <f>IF(OR(入力シート!$C$5&lt;&gt;入力リスト!$C$3,COUNTIF(入力シート!$J$16:$S$23,入力リスト!$H$9)=0),"",IF(A611="","",IF(ISERROR(AVERAGEIF(従業員の給与情報!$B:$B,$A611,従業員の給与情報!$D:$D)),0,IF(ISERROR(AVERAGEIF(従業員の給与情報!$B:$B,$A611,従業員の給与情報!$D:$D)),0,AVERAGEIF(従業員の給与情報!$B:$B,$A611,従業員の給与情報!$D:$D)))))</f>
        <v/>
      </c>
      <c r="V611" s="299" t="str">
        <f>IF(OR(入力シート!$C$5&lt;&gt;入力リスト!$C$3,COUNTIF(入力シート!$J$16:$S$23,入力リスト!$H$9)=0),"",IF(A611="","",IF(ISERROR(AVERAGEIF(従業員の給与情報!$B:$B,$A611,従業員の給与情報!$E:$E)),0,IF(ISERROR(AVERAGEIF(従業員の給与情報!$B:$B,$A611,従業員の給与情報!$E:$E)),0,AVERAGEIF(従業員の給与情報!$B:$B,$A611,従業員の給与情報!$E:$E)))))</f>
        <v/>
      </c>
      <c r="W611" s="299" t="str">
        <f>IF(OR(入力シート!$C$5&lt;&gt;入力リスト!$C$3,COUNTIF(入力シート!$J$16:$S$23,入力リスト!$H$9)=0),"",IF(A611="","",IF(ISERROR(AVERAGEIF(従業員の給与情報!$B:$B,$A611,従業員の給与情報!$F:$F)),0,IF(ISERROR(AVERAGEIF(従業員の給与情報!$B:$B,$A611,従業員の給与情報!$F:$F)),0,AVERAGEIF(従業員の給与情報!$B:$B,$A611,従業員の給与情報!$F:$F)))))</f>
        <v/>
      </c>
      <c r="X611" s="581" t="s">
        <v>5350</v>
      </c>
    </row>
    <row r="612" spans="6:24">
      <c r="F612" s="297" t="str">
        <f>IF($G$1,"",IF(COUNTIF(A612:E612,"")=5,"",IF(G612,入力リスト!$K$28,IF(OR(A612="",B612="",IF(COUNTIF($C$3,"*不要*"),"",C612=""),D612=""),IF(A612="","従業員番号","")&amp;IF(B612="","「雇用形態」","")&amp;IF(OR(入力シート!$J$18=入力リスト!$H$9,入力シート!$J$22=入力リスト!$H$9),IF(C612="","「入社年月日」",""),"")&amp;IF(D612="","「性別」","")&amp;IF(IF(A612="","従業員番号","")&amp;IF(B612="","「雇用形態」","")&amp;IF(OR(入力シート!$J$18=入力リスト!$H$9,入力シート!$J$22=入力リスト!$H$9),IF(C612="","「入社年月日」",""),"")&amp;IF(D612="","「性別」","")="","",入力リスト!$K$29),IF(J612,入力リスト!$K$30,"")&amp;IF(I612,入力リスト!$K$31,"")&amp;IF(H612,"「雇用形態」","")&amp;IF(K612,"「性別」","")&amp;IF(L612,"「役職」","")&amp;IF(OR(H612,K612,L612),入力リスト!$K$32,"")))))</f>
        <v/>
      </c>
      <c r="G612" s="298" t="b">
        <f>COUNTIF($A$4:A611,$A612)&gt;0</f>
        <v>0</v>
      </c>
      <c r="H612" s="298" t="b">
        <f>IF($H$1,FALSE,COUNTIF(入力シート!$S$37:$V$62,B612)=0)</f>
        <v>0</v>
      </c>
      <c r="I612" s="298" t="b">
        <f t="shared" si="19"/>
        <v>0</v>
      </c>
      <c r="J612" s="298" t="b">
        <f>IF($J$1,FALSE,IF(I612=TRUE,FALSE,IF(I612,FALSE,C612&gt;入力シート!$J$24)))</f>
        <v>0</v>
      </c>
      <c r="K612" s="298" t="b">
        <f>IF($K$1,FALSE,COUNTIF(入力シート!$AW$37:$BB$38,D612)=0)</f>
        <v>0</v>
      </c>
      <c r="L612" s="298" t="b">
        <f>IF($L$1,FALSE,IF($L$3,FALSE,IF(E612="",FALSE,COUNTIF(入力シート!$AH$37:$AK$62,E612)=0)))</f>
        <v>0</v>
      </c>
      <c r="M612" s="298" t="str">
        <f t="shared" si="20"/>
        <v/>
      </c>
      <c r="N612" s="298" t="str">
        <f>IF(G612,"この従業員番号は、すでに他のセルで入力されています。",IF(入力シート!$C$5=入力リスト!$C$4,"",IF(AND(A612="",B612="",C612="",D612="",E612=""),"",IF(OR(A612="",B612="",C612="",D612=""),IF(A612="","従業員番号","")&amp;IF(AND(A612="",OR(B612="",C612="",D612="")),",","")&amp;IF(B612="","雇用形態","")&amp;IF(AND(B612="",OR(C612="",D612="")),",","")&amp;IF(OR(入力シート!$J$18=入力リスト!$H$9,入力シート!$J$22=入力リスト!$H$9),IF(C612="","入社年月日",""),"")&amp;IF(AND(C612="",D612=""),",","")&amp;IF(D612="","性別","")&amp;IF(IF(A612="","従業員番号","")&amp;IF(B612="","雇用形態","")&amp;IF(OR(入力シート!$J$18=入力リスト!$H$9,入力シート!$J$22=入力リスト!$H$9),IF(C612="","入社年月日",""),"")&amp;IF(D612="","性別","")="","","が空白です。"),IF(J612,"入社年月日に「基準日」の翌日以降の日付が入力されています。","")&amp;IF(I612,"入社年月日に数値以外（又は1900/1/1以前の日付）が入力されています。","")&amp;IF(H612,"雇用形態"&amp;IF(OR(K612,L612),",",""),"")&amp;IF(K612,"性別"&amp;IF(L612,",",""),"")&amp;IF(L612,"役職","")&amp;IF(OR(H612,K612,L612),"に、［入力シート］(4)「貴社」欄と異なる文言が入力されています。","")))))</f>
        <v/>
      </c>
      <c r="O612" s="298" t="str">
        <f>IF(B612="","",VLOOKUP('従業員情報(給与以外)'!$B612,入力シート!$S$37:$Z$62,5,0))</f>
        <v/>
      </c>
      <c r="P612" s="298" t="str">
        <f>IF(ISNUMBER(C612)=FALSE,"",IF(C612&gt;入力シート!$J$24,"",_xlfn.DAYS(入力シート!$J$24,'従業員情報(給与以外)'!$C612)/365))</f>
        <v/>
      </c>
      <c r="Q612" s="298" t="str">
        <f>IF(P612="","",VLOOKUP(_xlfn.DAYS(入力シート!$J$24,'従業員情報(給与以外)'!$C612)/365,入力リスト!$K$18:$L$26,2,2))</f>
        <v/>
      </c>
      <c r="R612" s="298" t="str">
        <f>IF(D612="","",VLOOKUP('従業員情報(給与以外)'!$D612,入力シート!$AW$37:$BB$38,4,0))</f>
        <v/>
      </c>
      <c r="S612" s="298" t="str">
        <f>IF(A612="","",IF(E612="","非役職",VLOOKUP('従業員情報(給与以外)'!$E612,入力シート!$AH$37:$AO$62,5,0)))</f>
        <v/>
      </c>
      <c r="T612" s="299" t="str">
        <f>IF(OR(入力シート!$C$5&lt;&gt;入力リスト!$C$3,COUNTIF(入力シート!$J$16:$S$23,入力リスト!$H$9)=0),"",IF($A612="","",IF(ISERROR(AVERAGEIF(従業員の給与情報!$B:$B,$A612,従業員の給与情報!$C:$C)),0,IF(ISERROR(AVERAGEIF(従業員の給与情報!$B:$B,$A612,従業員の給与情報!$C:$C)),0,AVERAGEIF(従業員の給与情報!$B:$B,$A612,従業員の給与情報!$C:$C)))))</f>
        <v/>
      </c>
      <c r="U612" s="299" t="str">
        <f>IF(OR(入力シート!$C$5&lt;&gt;入力リスト!$C$3,COUNTIF(入力シート!$J$16:$S$23,入力リスト!$H$9)=0),"",IF(A612="","",IF(ISERROR(AVERAGEIF(従業員の給与情報!$B:$B,$A612,従業員の給与情報!$D:$D)),0,IF(ISERROR(AVERAGEIF(従業員の給与情報!$B:$B,$A612,従業員の給与情報!$D:$D)),0,AVERAGEIF(従業員の給与情報!$B:$B,$A612,従業員の給与情報!$D:$D)))))</f>
        <v/>
      </c>
      <c r="V612" s="299" t="str">
        <f>IF(OR(入力シート!$C$5&lt;&gt;入力リスト!$C$3,COUNTIF(入力シート!$J$16:$S$23,入力リスト!$H$9)=0),"",IF(A612="","",IF(ISERROR(AVERAGEIF(従業員の給与情報!$B:$B,$A612,従業員の給与情報!$E:$E)),0,IF(ISERROR(AVERAGEIF(従業員の給与情報!$B:$B,$A612,従業員の給与情報!$E:$E)),0,AVERAGEIF(従業員の給与情報!$B:$B,$A612,従業員の給与情報!$E:$E)))))</f>
        <v/>
      </c>
      <c r="W612" s="299" t="str">
        <f>IF(OR(入力シート!$C$5&lt;&gt;入力リスト!$C$3,COUNTIF(入力シート!$J$16:$S$23,入力リスト!$H$9)=0),"",IF(A612="","",IF(ISERROR(AVERAGEIF(従業員の給与情報!$B:$B,$A612,従業員の給与情報!$F:$F)),0,IF(ISERROR(AVERAGEIF(従業員の給与情報!$B:$B,$A612,従業員の給与情報!$F:$F)),0,AVERAGEIF(従業員の給与情報!$B:$B,$A612,従業員の給与情報!$F:$F)))))</f>
        <v/>
      </c>
      <c r="X612" s="581" t="s">
        <v>5351</v>
      </c>
    </row>
    <row r="613" spans="6:24">
      <c r="F613" s="297" t="str">
        <f>IF($G$1,"",IF(COUNTIF(A613:E613,"")=5,"",IF(G613,入力リスト!$K$28,IF(OR(A613="",B613="",IF(COUNTIF($C$3,"*不要*"),"",C613=""),D613=""),IF(A613="","従業員番号","")&amp;IF(B613="","「雇用形態」","")&amp;IF(OR(入力シート!$J$18=入力リスト!$H$9,入力シート!$J$22=入力リスト!$H$9),IF(C613="","「入社年月日」",""),"")&amp;IF(D613="","「性別」","")&amp;IF(IF(A613="","従業員番号","")&amp;IF(B613="","「雇用形態」","")&amp;IF(OR(入力シート!$J$18=入力リスト!$H$9,入力シート!$J$22=入力リスト!$H$9),IF(C613="","「入社年月日」",""),"")&amp;IF(D613="","「性別」","")="","",入力リスト!$K$29),IF(J613,入力リスト!$K$30,"")&amp;IF(I613,入力リスト!$K$31,"")&amp;IF(H613,"「雇用形態」","")&amp;IF(K613,"「性別」","")&amp;IF(L613,"「役職」","")&amp;IF(OR(H613,K613,L613),入力リスト!$K$32,"")))))</f>
        <v/>
      </c>
      <c r="G613" s="298" t="b">
        <f>COUNTIF($A$4:A612,$A613)&gt;0</f>
        <v>0</v>
      </c>
      <c r="H613" s="298" t="b">
        <f>IF($H$1,FALSE,COUNTIF(入力シート!$S$37:$V$62,B613)=0)</f>
        <v>0</v>
      </c>
      <c r="I613" s="298" t="b">
        <f t="shared" si="19"/>
        <v>0</v>
      </c>
      <c r="J613" s="298" t="b">
        <f>IF($J$1,FALSE,IF(I613=TRUE,FALSE,IF(I613,FALSE,C613&gt;入力シート!$J$24)))</f>
        <v>0</v>
      </c>
      <c r="K613" s="298" t="b">
        <f>IF($K$1,FALSE,COUNTIF(入力シート!$AW$37:$BB$38,D613)=0)</f>
        <v>0</v>
      </c>
      <c r="L613" s="298" t="b">
        <f>IF($L$1,FALSE,IF($L$3,FALSE,IF(E613="",FALSE,COUNTIF(入力シート!$AH$37:$AK$62,E613)=0)))</f>
        <v>0</v>
      </c>
      <c r="M613" s="298" t="str">
        <f t="shared" si="20"/>
        <v/>
      </c>
      <c r="N613" s="298" t="str">
        <f>IF(G613,"この従業員番号は、すでに他のセルで入力されています。",IF(入力シート!$C$5=入力リスト!$C$4,"",IF(AND(A613="",B613="",C613="",D613="",E613=""),"",IF(OR(A613="",B613="",C613="",D613=""),IF(A613="","従業員番号","")&amp;IF(AND(A613="",OR(B613="",C613="",D613="")),",","")&amp;IF(B613="","雇用形態","")&amp;IF(AND(B613="",OR(C613="",D613="")),",","")&amp;IF(OR(入力シート!$J$18=入力リスト!$H$9,入力シート!$J$22=入力リスト!$H$9),IF(C613="","入社年月日",""),"")&amp;IF(AND(C613="",D613=""),",","")&amp;IF(D613="","性別","")&amp;IF(IF(A613="","従業員番号","")&amp;IF(B613="","雇用形態","")&amp;IF(OR(入力シート!$J$18=入力リスト!$H$9,入力シート!$J$22=入力リスト!$H$9),IF(C613="","入社年月日",""),"")&amp;IF(D613="","性別","")="","","が空白です。"),IF(J613,"入社年月日に「基準日」の翌日以降の日付が入力されています。","")&amp;IF(I613,"入社年月日に数値以外（又は1900/1/1以前の日付）が入力されています。","")&amp;IF(H613,"雇用形態"&amp;IF(OR(K613,L613),",",""),"")&amp;IF(K613,"性別"&amp;IF(L613,",",""),"")&amp;IF(L613,"役職","")&amp;IF(OR(H613,K613,L613),"に、［入力シート］(4)「貴社」欄と異なる文言が入力されています。","")))))</f>
        <v/>
      </c>
      <c r="O613" s="298" t="str">
        <f>IF(B613="","",VLOOKUP('従業員情報(給与以外)'!$B613,入力シート!$S$37:$Z$62,5,0))</f>
        <v/>
      </c>
      <c r="P613" s="298" t="str">
        <f>IF(ISNUMBER(C613)=FALSE,"",IF(C613&gt;入力シート!$J$24,"",_xlfn.DAYS(入力シート!$J$24,'従業員情報(給与以外)'!$C613)/365))</f>
        <v/>
      </c>
      <c r="Q613" s="298" t="str">
        <f>IF(P613="","",VLOOKUP(_xlfn.DAYS(入力シート!$J$24,'従業員情報(給与以外)'!$C613)/365,入力リスト!$K$18:$L$26,2,2))</f>
        <v/>
      </c>
      <c r="R613" s="298" t="str">
        <f>IF(D613="","",VLOOKUP('従業員情報(給与以外)'!$D613,入力シート!$AW$37:$BB$38,4,0))</f>
        <v/>
      </c>
      <c r="S613" s="298" t="str">
        <f>IF(A613="","",IF(E613="","非役職",VLOOKUP('従業員情報(給与以外)'!$E613,入力シート!$AH$37:$AO$62,5,0)))</f>
        <v/>
      </c>
      <c r="T613" s="299" t="str">
        <f>IF(OR(入力シート!$C$5&lt;&gt;入力リスト!$C$3,COUNTIF(入力シート!$J$16:$S$23,入力リスト!$H$9)=0),"",IF($A613="","",IF(ISERROR(AVERAGEIF(従業員の給与情報!$B:$B,$A613,従業員の給与情報!$C:$C)),0,IF(ISERROR(AVERAGEIF(従業員の給与情報!$B:$B,$A613,従業員の給与情報!$C:$C)),0,AVERAGEIF(従業員の給与情報!$B:$B,$A613,従業員の給与情報!$C:$C)))))</f>
        <v/>
      </c>
      <c r="U613" s="299" t="str">
        <f>IF(OR(入力シート!$C$5&lt;&gt;入力リスト!$C$3,COUNTIF(入力シート!$J$16:$S$23,入力リスト!$H$9)=0),"",IF(A613="","",IF(ISERROR(AVERAGEIF(従業員の給与情報!$B:$B,$A613,従業員の給与情報!$D:$D)),0,IF(ISERROR(AVERAGEIF(従業員の給与情報!$B:$B,$A613,従業員の給与情報!$D:$D)),0,AVERAGEIF(従業員の給与情報!$B:$B,$A613,従業員の給与情報!$D:$D)))))</f>
        <v/>
      </c>
      <c r="V613" s="299" t="str">
        <f>IF(OR(入力シート!$C$5&lt;&gt;入力リスト!$C$3,COUNTIF(入力シート!$J$16:$S$23,入力リスト!$H$9)=0),"",IF(A613="","",IF(ISERROR(AVERAGEIF(従業員の給与情報!$B:$B,$A613,従業員の給与情報!$E:$E)),0,IF(ISERROR(AVERAGEIF(従業員の給与情報!$B:$B,$A613,従業員の給与情報!$E:$E)),0,AVERAGEIF(従業員の給与情報!$B:$B,$A613,従業員の給与情報!$E:$E)))))</f>
        <v/>
      </c>
      <c r="W613" s="299" t="str">
        <f>IF(OR(入力シート!$C$5&lt;&gt;入力リスト!$C$3,COUNTIF(入力シート!$J$16:$S$23,入力リスト!$H$9)=0),"",IF(A613="","",IF(ISERROR(AVERAGEIF(従業員の給与情報!$B:$B,$A613,従業員の給与情報!$F:$F)),0,IF(ISERROR(AVERAGEIF(従業員の給与情報!$B:$B,$A613,従業員の給与情報!$F:$F)),0,AVERAGEIF(従業員の給与情報!$B:$B,$A613,従業員の給与情報!$F:$F)))))</f>
        <v/>
      </c>
      <c r="X613" s="581" t="s">
        <v>5352</v>
      </c>
    </row>
    <row r="614" spans="6:24">
      <c r="F614" s="297" t="str">
        <f>IF($G$1,"",IF(COUNTIF(A614:E614,"")=5,"",IF(G614,入力リスト!$K$28,IF(OR(A614="",B614="",IF(COUNTIF($C$3,"*不要*"),"",C614=""),D614=""),IF(A614="","従業員番号","")&amp;IF(B614="","「雇用形態」","")&amp;IF(OR(入力シート!$J$18=入力リスト!$H$9,入力シート!$J$22=入力リスト!$H$9),IF(C614="","「入社年月日」",""),"")&amp;IF(D614="","「性別」","")&amp;IF(IF(A614="","従業員番号","")&amp;IF(B614="","「雇用形態」","")&amp;IF(OR(入力シート!$J$18=入力リスト!$H$9,入力シート!$J$22=入力リスト!$H$9),IF(C614="","「入社年月日」",""),"")&amp;IF(D614="","「性別」","")="","",入力リスト!$K$29),IF(J614,入力リスト!$K$30,"")&amp;IF(I614,入力リスト!$K$31,"")&amp;IF(H614,"「雇用形態」","")&amp;IF(K614,"「性別」","")&amp;IF(L614,"「役職」","")&amp;IF(OR(H614,K614,L614),入力リスト!$K$32,"")))))</f>
        <v/>
      </c>
      <c r="G614" s="298" t="b">
        <f>COUNTIF($A$4:A613,$A614)&gt;0</f>
        <v>0</v>
      </c>
      <c r="H614" s="298" t="b">
        <f>IF($H$1,FALSE,COUNTIF(入力シート!$S$37:$V$62,B614)=0)</f>
        <v>0</v>
      </c>
      <c r="I614" s="298" t="b">
        <f t="shared" si="19"/>
        <v>0</v>
      </c>
      <c r="J614" s="298" t="b">
        <f>IF($J$1,FALSE,IF(I614=TRUE,FALSE,IF(I614,FALSE,C614&gt;入力シート!$J$24)))</f>
        <v>0</v>
      </c>
      <c r="K614" s="298" t="b">
        <f>IF($K$1,FALSE,COUNTIF(入力シート!$AW$37:$BB$38,D614)=0)</f>
        <v>0</v>
      </c>
      <c r="L614" s="298" t="b">
        <f>IF($L$1,FALSE,IF($L$3,FALSE,IF(E614="",FALSE,COUNTIF(入力シート!$AH$37:$AK$62,E614)=0)))</f>
        <v>0</v>
      </c>
      <c r="M614" s="298" t="str">
        <f t="shared" si="20"/>
        <v/>
      </c>
      <c r="N614" s="298" t="str">
        <f>IF(G614,"この従業員番号は、すでに他のセルで入力されています。",IF(入力シート!$C$5=入力リスト!$C$4,"",IF(AND(A614="",B614="",C614="",D614="",E614=""),"",IF(OR(A614="",B614="",C614="",D614=""),IF(A614="","従業員番号","")&amp;IF(AND(A614="",OR(B614="",C614="",D614="")),",","")&amp;IF(B614="","雇用形態","")&amp;IF(AND(B614="",OR(C614="",D614="")),",","")&amp;IF(OR(入力シート!$J$18=入力リスト!$H$9,入力シート!$J$22=入力リスト!$H$9),IF(C614="","入社年月日",""),"")&amp;IF(AND(C614="",D614=""),",","")&amp;IF(D614="","性別","")&amp;IF(IF(A614="","従業員番号","")&amp;IF(B614="","雇用形態","")&amp;IF(OR(入力シート!$J$18=入力リスト!$H$9,入力シート!$J$22=入力リスト!$H$9),IF(C614="","入社年月日",""),"")&amp;IF(D614="","性別","")="","","が空白です。"),IF(J614,"入社年月日に「基準日」の翌日以降の日付が入力されています。","")&amp;IF(I614,"入社年月日に数値以外（又は1900/1/1以前の日付）が入力されています。","")&amp;IF(H614,"雇用形態"&amp;IF(OR(K614,L614),",",""),"")&amp;IF(K614,"性別"&amp;IF(L614,",",""),"")&amp;IF(L614,"役職","")&amp;IF(OR(H614,K614,L614),"に、［入力シート］(4)「貴社」欄と異なる文言が入力されています。","")))))</f>
        <v/>
      </c>
      <c r="O614" s="298" t="str">
        <f>IF(B614="","",VLOOKUP('従業員情報(給与以外)'!$B614,入力シート!$S$37:$Z$62,5,0))</f>
        <v/>
      </c>
      <c r="P614" s="298" t="str">
        <f>IF(ISNUMBER(C614)=FALSE,"",IF(C614&gt;入力シート!$J$24,"",_xlfn.DAYS(入力シート!$J$24,'従業員情報(給与以外)'!$C614)/365))</f>
        <v/>
      </c>
      <c r="Q614" s="298" t="str">
        <f>IF(P614="","",VLOOKUP(_xlfn.DAYS(入力シート!$J$24,'従業員情報(給与以外)'!$C614)/365,入力リスト!$K$18:$L$26,2,2))</f>
        <v/>
      </c>
      <c r="R614" s="298" t="str">
        <f>IF(D614="","",VLOOKUP('従業員情報(給与以外)'!$D614,入力シート!$AW$37:$BB$38,4,0))</f>
        <v/>
      </c>
      <c r="S614" s="298" t="str">
        <f>IF(A614="","",IF(E614="","非役職",VLOOKUP('従業員情報(給与以外)'!$E614,入力シート!$AH$37:$AO$62,5,0)))</f>
        <v/>
      </c>
      <c r="T614" s="299" t="str">
        <f>IF(OR(入力シート!$C$5&lt;&gt;入力リスト!$C$3,COUNTIF(入力シート!$J$16:$S$23,入力リスト!$H$9)=0),"",IF($A614="","",IF(ISERROR(AVERAGEIF(従業員の給与情報!$B:$B,$A614,従業員の給与情報!$C:$C)),0,IF(ISERROR(AVERAGEIF(従業員の給与情報!$B:$B,$A614,従業員の給与情報!$C:$C)),0,AVERAGEIF(従業員の給与情報!$B:$B,$A614,従業員の給与情報!$C:$C)))))</f>
        <v/>
      </c>
      <c r="U614" s="299" t="str">
        <f>IF(OR(入力シート!$C$5&lt;&gt;入力リスト!$C$3,COUNTIF(入力シート!$J$16:$S$23,入力リスト!$H$9)=0),"",IF(A614="","",IF(ISERROR(AVERAGEIF(従業員の給与情報!$B:$B,$A614,従業員の給与情報!$D:$D)),0,IF(ISERROR(AVERAGEIF(従業員の給与情報!$B:$B,$A614,従業員の給与情報!$D:$D)),0,AVERAGEIF(従業員の給与情報!$B:$B,$A614,従業員の給与情報!$D:$D)))))</f>
        <v/>
      </c>
      <c r="V614" s="299" t="str">
        <f>IF(OR(入力シート!$C$5&lt;&gt;入力リスト!$C$3,COUNTIF(入力シート!$J$16:$S$23,入力リスト!$H$9)=0),"",IF(A614="","",IF(ISERROR(AVERAGEIF(従業員の給与情報!$B:$B,$A614,従業員の給与情報!$E:$E)),0,IF(ISERROR(AVERAGEIF(従業員の給与情報!$B:$B,$A614,従業員の給与情報!$E:$E)),0,AVERAGEIF(従業員の給与情報!$B:$B,$A614,従業員の給与情報!$E:$E)))))</f>
        <v/>
      </c>
      <c r="W614" s="299" t="str">
        <f>IF(OR(入力シート!$C$5&lt;&gt;入力リスト!$C$3,COUNTIF(入力シート!$J$16:$S$23,入力リスト!$H$9)=0),"",IF(A614="","",IF(ISERROR(AVERAGEIF(従業員の給与情報!$B:$B,$A614,従業員の給与情報!$F:$F)),0,IF(ISERROR(AVERAGEIF(従業員の給与情報!$B:$B,$A614,従業員の給与情報!$F:$F)),0,AVERAGEIF(従業員の給与情報!$B:$B,$A614,従業員の給与情報!$F:$F)))))</f>
        <v/>
      </c>
      <c r="X614" s="581" t="s">
        <v>5353</v>
      </c>
    </row>
    <row r="615" spans="6:24">
      <c r="F615" s="297" t="str">
        <f>IF($G$1,"",IF(COUNTIF(A615:E615,"")=5,"",IF(G615,入力リスト!$K$28,IF(OR(A615="",B615="",IF(COUNTIF($C$3,"*不要*"),"",C615=""),D615=""),IF(A615="","従業員番号","")&amp;IF(B615="","「雇用形態」","")&amp;IF(OR(入力シート!$J$18=入力リスト!$H$9,入力シート!$J$22=入力リスト!$H$9),IF(C615="","「入社年月日」",""),"")&amp;IF(D615="","「性別」","")&amp;IF(IF(A615="","従業員番号","")&amp;IF(B615="","「雇用形態」","")&amp;IF(OR(入力シート!$J$18=入力リスト!$H$9,入力シート!$J$22=入力リスト!$H$9),IF(C615="","「入社年月日」",""),"")&amp;IF(D615="","「性別」","")="","",入力リスト!$K$29),IF(J615,入力リスト!$K$30,"")&amp;IF(I615,入力リスト!$K$31,"")&amp;IF(H615,"「雇用形態」","")&amp;IF(K615,"「性別」","")&amp;IF(L615,"「役職」","")&amp;IF(OR(H615,K615,L615),入力リスト!$K$32,"")))))</f>
        <v/>
      </c>
      <c r="G615" s="298" t="b">
        <f>COUNTIF($A$4:A614,$A615)&gt;0</f>
        <v>0</v>
      </c>
      <c r="H615" s="298" t="b">
        <f>IF($H$1,FALSE,COUNTIF(入力シート!$S$37:$V$62,B615)=0)</f>
        <v>0</v>
      </c>
      <c r="I615" s="298" t="b">
        <f t="shared" si="19"/>
        <v>0</v>
      </c>
      <c r="J615" s="298" t="b">
        <f>IF($J$1,FALSE,IF(I615=TRUE,FALSE,IF(I615,FALSE,C615&gt;入力シート!$J$24)))</f>
        <v>0</v>
      </c>
      <c r="K615" s="298" t="b">
        <f>IF($K$1,FALSE,COUNTIF(入力シート!$AW$37:$BB$38,D615)=0)</f>
        <v>0</v>
      </c>
      <c r="L615" s="298" t="b">
        <f>IF($L$1,FALSE,IF($L$3,FALSE,IF(E615="",FALSE,COUNTIF(入力シート!$AH$37:$AK$62,E615)=0)))</f>
        <v>0</v>
      </c>
      <c r="M615" s="298" t="str">
        <f t="shared" si="20"/>
        <v/>
      </c>
      <c r="N615" s="298" t="str">
        <f>IF(G615,"この従業員番号は、すでに他のセルで入力されています。",IF(入力シート!$C$5=入力リスト!$C$4,"",IF(AND(A615="",B615="",C615="",D615="",E615=""),"",IF(OR(A615="",B615="",C615="",D615=""),IF(A615="","従業員番号","")&amp;IF(AND(A615="",OR(B615="",C615="",D615="")),",","")&amp;IF(B615="","雇用形態","")&amp;IF(AND(B615="",OR(C615="",D615="")),",","")&amp;IF(OR(入力シート!$J$18=入力リスト!$H$9,入力シート!$J$22=入力リスト!$H$9),IF(C615="","入社年月日",""),"")&amp;IF(AND(C615="",D615=""),",","")&amp;IF(D615="","性別","")&amp;IF(IF(A615="","従業員番号","")&amp;IF(B615="","雇用形態","")&amp;IF(OR(入力シート!$J$18=入力リスト!$H$9,入力シート!$J$22=入力リスト!$H$9),IF(C615="","入社年月日",""),"")&amp;IF(D615="","性別","")="","","が空白です。"),IF(J615,"入社年月日に「基準日」の翌日以降の日付が入力されています。","")&amp;IF(I615,"入社年月日に数値以外（又は1900/1/1以前の日付）が入力されています。","")&amp;IF(H615,"雇用形態"&amp;IF(OR(K615,L615),",",""),"")&amp;IF(K615,"性別"&amp;IF(L615,",",""),"")&amp;IF(L615,"役職","")&amp;IF(OR(H615,K615,L615),"に、［入力シート］(4)「貴社」欄と異なる文言が入力されています。","")))))</f>
        <v/>
      </c>
      <c r="O615" s="298" t="str">
        <f>IF(B615="","",VLOOKUP('従業員情報(給与以外)'!$B615,入力シート!$S$37:$Z$62,5,0))</f>
        <v/>
      </c>
      <c r="P615" s="298" t="str">
        <f>IF(ISNUMBER(C615)=FALSE,"",IF(C615&gt;入力シート!$J$24,"",_xlfn.DAYS(入力シート!$J$24,'従業員情報(給与以外)'!$C615)/365))</f>
        <v/>
      </c>
      <c r="Q615" s="298" t="str">
        <f>IF(P615="","",VLOOKUP(_xlfn.DAYS(入力シート!$J$24,'従業員情報(給与以外)'!$C615)/365,入力リスト!$K$18:$L$26,2,2))</f>
        <v/>
      </c>
      <c r="R615" s="298" t="str">
        <f>IF(D615="","",VLOOKUP('従業員情報(給与以外)'!$D615,入力シート!$AW$37:$BB$38,4,0))</f>
        <v/>
      </c>
      <c r="S615" s="298" t="str">
        <f>IF(A615="","",IF(E615="","非役職",VLOOKUP('従業員情報(給与以外)'!$E615,入力シート!$AH$37:$AO$62,5,0)))</f>
        <v/>
      </c>
      <c r="T615" s="299" t="str">
        <f>IF(OR(入力シート!$C$5&lt;&gt;入力リスト!$C$3,COUNTIF(入力シート!$J$16:$S$23,入力リスト!$H$9)=0),"",IF($A615="","",IF(ISERROR(AVERAGEIF(従業員の給与情報!$B:$B,$A615,従業員の給与情報!$C:$C)),0,IF(ISERROR(AVERAGEIF(従業員の給与情報!$B:$B,$A615,従業員の給与情報!$C:$C)),0,AVERAGEIF(従業員の給与情報!$B:$B,$A615,従業員の給与情報!$C:$C)))))</f>
        <v/>
      </c>
      <c r="U615" s="299" t="str">
        <f>IF(OR(入力シート!$C$5&lt;&gt;入力リスト!$C$3,COUNTIF(入力シート!$J$16:$S$23,入力リスト!$H$9)=0),"",IF(A615="","",IF(ISERROR(AVERAGEIF(従業員の給与情報!$B:$B,$A615,従業員の給与情報!$D:$D)),0,IF(ISERROR(AVERAGEIF(従業員の給与情報!$B:$B,$A615,従業員の給与情報!$D:$D)),0,AVERAGEIF(従業員の給与情報!$B:$B,$A615,従業員の給与情報!$D:$D)))))</f>
        <v/>
      </c>
      <c r="V615" s="299" t="str">
        <f>IF(OR(入力シート!$C$5&lt;&gt;入力リスト!$C$3,COUNTIF(入力シート!$J$16:$S$23,入力リスト!$H$9)=0),"",IF(A615="","",IF(ISERROR(AVERAGEIF(従業員の給与情報!$B:$B,$A615,従業員の給与情報!$E:$E)),0,IF(ISERROR(AVERAGEIF(従業員の給与情報!$B:$B,$A615,従業員の給与情報!$E:$E)),0,AVERAGEIF(従業員の給与情報!$B:$B,$A615,従業員の給与情報!$E:$E)))))</f>
        <v/>
      </c>
      <c r="W615" s="299" t="str">
        <f>IF(OR(入力シート!$C$5&lt;&gt;入力リスト!$C$3,COUNTIF(入力シート!$J$16:$S$23,入力リスト!$H$9)=0),"",IF(A615="","",IF(ISERROR(AVERAGEIF(従業員の給与情報!$B:$B,$A615,従業員の給与情報!$F:$F)),0,IF(ISERROR(AVERAGEIF(従業員の給与情報!$B:$B,$A615,従業員の給与情報!$F:$F)),0,AVERAGEIF(従業員の給与情報!$B:$B,$A615,従業員の給与情報!$F:$F)))))</f>
        <v/>
      </c>
      <c r="X615" s="581" t="s">
        <v>5354</v>
      </c>
    </row>
    <row r="616" spans="6:24">
      <c r="F616" s="297" t="str">
        <f>IF($G$1,"",IF(COUNTIF(A616:E616,"")=5,"",IF(G616,入力リスト!$K$28,IF(OR(A616="",B616="",IF(COUNTIF($C$3,"*不要*"),"",C616=""),D616=""),IF(A616="","従業員番号","")&amp;IF(B616="","「雇用形態」","")&amp;IF(OR(入力シート!$J$18=入力リスト!$H$9,入力シート!$J$22=入力リスト!$H$9),IF(C616="","「入社年月日」",""),"")&amp;IF(D616="","「性別」","")&amp;IF(IF(A616="","従業員番号","")&amp;IF(B616="","「雇用形態」","")&amp;IF(OR(入力シート!$J$18=入力リスト!$H$9,入力シート!$J$22=入力リスト!$H$9),IF(C616="","「入社年月日」",""),"")&amp;IF(D616="","「性別」","")="","",入力リスト!$K$29),IF(J616,入力リスト!$K$30,"")&amp;IF(I616,入力リスト!$K$31,"")&amp;IF(H616,"「雇用形態」","")&amp;IF(K616,"「性別」","")&amp;IF(L616,"「役職」","")&amp;IF(OR(H616,K616,L616),入力リスト!$K$32,"")))))</f>
        <v/>
      </c>
      <c r="G616" s="298" t="b">
        <f>COUNTIF($A$4:A615,$A616)&gt;0</f>
        <v>0</v>
      </c>
      <c r="H616" s="298" t="b">
        <f>IF($H$1,FALSE,COUNTIF(入力シート!$S$37:$V$62,B616)=0)</f>
        <v>0</v>
      </c>
      <c r="I616" s="298" t="b">
        <f t="shared" si="19"/>
        <v>0</v>
      </c>
      <c r="J616" s="298" t="b">
        <f>IF($J$1,FALSE,IF(I616=TRUE,FALSE,IF(I616,FALSE,C616&gt;入力シート!$J$24)))</f>
        <v>0</v>
      </c>
      <c r="K616" s="298" t="b">
        <f>IF($K$1,FALSE,COUNTIF(入力シート!$AW$37:$BB$38,D616)=0)</f>
        <v>0</v>
      </c>
      <c r="L616" s="298" t="b">
        <f>IF($L$1,FALSE,IF($L$3,FALSE,IF(E616="",FALSE,COUNTIF(入力シート!$AH$37:$AK$62,E616)=0)))</f>
        <v>0</v>
      </c>
      <c r="M616" s="298" t="str">
        <f t="shared" si="20"/>
        <v/>
      </c>
      <c r="N616" s="298" t="str">
        <f>IF(G616,"この従業員番号は、すでに他のセルで入力されています。",IF(入力シート!$C$5=入力リスト!$C$4,"",IF(AND(A616="",B616="",C616="",D616="",E616=""),"",IF(OR(A616="",B616="",C616="",D616=""),IF(A616="","従業員番号","")&amp;IF(AND(A616="",OR(B616="",C616="",D616="")),",","")&amp;IF(B616="","雇用形態","")&amp;IF(AND(B616="",OR(C616="",D616="")),",","")&amp;IF(OR(入力シート!$J$18=入力リスト!$H$9,入力シート!$J$22=入力リスト!$H$9),IF(C616="","入社年月日",""),"")&amp;IF(AND(C616="",D616=""),",","")&amp;IF(D616="","性別","")&amp;IF(IF(A616="","従業員番号","")&amp;IF(B616="","雇用形態","")&amp;IF(OR(入力シート!$J$18=入力リスト!$H$9,入力シート!$J$22=入力リスト!$H$9),IF(C616="","入社年月日",""),"")&amp;IF(D616="","性別","")="","","が空白です。"),IF(J616,"入社年月日に「基準日」の翌日以降の日付が入力されています。","")&amp;IF(I616,"入社年月日に数値以外（又は1900/1/1以前の日付）が入力されています。","")&amp;IF(H616,"雇用形態"&amp;IF(OR(K616,L616),",",""),"")&amp;IF(K616,"性別"&amp;IF(L616,",",""),"")&amp;IF(L616,"役職","")&amp;IF(OR(H616,K616,L616),"に、［入力シート］(4)「貴社」欄と異なる文言が入力されています。","")))))</f>
        <v/>
      </c>
      <c r="O616" s="298" t="str">
        <f>IF(B616="","",VLOOKUP('従業員情報(給与以外)'!$B616,入力シート!$S$37:$Z$62,5,0))</f>
        <v/>
      </c>
      <c r="P616" s="298" t="str">
        <f>IF(ISNUMBER(C616)=FALSE,"",IF(C616&gt;入力シート!$J$24,"",_xlfn.DAYS(入力シート!$J$24,'従業員情報(給与以外)'!$C616)/365))</f>
        <v/>
      </c>
      <c r="Q616" s="298" t="str">
        <f>IF(P616="","",VLOOKUP(_xlfn.DAYS(入力シート!$J$24,'従業員情報(給与以外)'!$C616)/365,入力リスト!$K$18:$L$26,2,2))</f>
        <v/>
      </c>
      <c r="R616" s="298" t="str">
        <f>IF(D616="","",VLOOKUP('従業員情報(給与以外)'!$D616,入力シート!$AW$37:$BB$38,4,0))</f>
        <v/>
      </c>
      <c r="S616" s="298" t="str">
        <f>IF(A616="","",IF(E616="","非役職",VLOOKUP('従業員情報(給与以外)'!$E616,入力シート!$AH$37:$AO$62,5,0)))</f>
        <v/>
      </c>
      <c r="T616" s="299" t="str">
        <f>IF(OR(入力シート!$C$5&lt;&gt;入力リスト!$C$3,COUNTIF(入力シート!$J$16:$S$23,入力リスト!$H$9)=0),"",IF($A616="","",IF(ISERROR(AVERAGEIF(従業員の給与情報!$B:$B,$A616,従業員の給与情報!$C:$C)),0,IF(ISERROR(AVERAGEIF(従業員の給与情報!$B:$B,$A616,従業員の給与情報!$C:$C)),0,AVERAGEIF(従業員の給与情報!$B:$B,$A616,従業員の給与情報!$C:$C)))))</f>
        <v/>
      </c>
      <c r="U616" s="299" t="str">
        <f>IF(OR(入力シート!$C$5&lt;&gt;入力リスト!$C$3,COUNTIF(入力シート!$J$16:$S$23,入力リスト!$H$9)=0),"",IF(A616="","",IF(ISERROR(AVERAGEIF(従業員の給与情報!$B:$B,$A616,従業員の給与情報!$D:$D)),0,IF(ISERROR(AVERAGEIF(従業員の給与情報!$B:$B,$A616,従業員の給与情報!$D:$D)),0,AVERAGEIF(従業員の給与情報!$B:$B,$A616,従業員の給与情報!$D:$D)))))</f>
        <v/>
      </c>
      <c r="V616" s="299" t="str">
        <f>IF(OR(入力シート!$C$5&lt;&gt;入力リスト!$C$3,COUNTIF(入力シート!$J$16:$S$23,入力リスト!$H$9)=0),"",IF(A616="","",IF(ISERROR(AVERAGEIF(従業員の給与情報!$B:$B,$A616,従業員の給与情報!$E:$E)),0,IF(ISERROR(AVERAGEIF(従業員の給与情報!$B:$B,$A616,従業員の給与情報!$E:$E)),0,AVERAGEIF(従業員の給与情報!$B:$B,$A616,従業員の給与情報!$E:$E)))))</f>
        <v/>
      </c>
      <c r="W616" s="299" t="str">
        <f>IF(OR(入力シート!$C$5&lt;&gt;入力リスト!$C$3,COUNTIF(入力シート!$J$16:$S$23,入力リスト!$H$9)=0),"",IF(A616="","",IF(ISERROR(AVERAGEIF(従業員の給与情報!$B:$B,$A616,従業員の給与情報!$F:$F)),0,IF(ISERROR(AVERAGEIF(従業員の給与情報!$B:$B,$A616,従業員の給与情報!$F:$F)),0,AVERAGEIF(従業員の給与情報!$B:$B,$A616,従業員の給与情報!$F:$F)))))</f>
        <v/>
      </c>
      <c r="X616" s="581" t="s">
        <v>5355</v>
      </c>
    </row>
    <row r="617" spans="6:24">
      <c r="F617" s="297" t="str">
        <f>IF($G$1,"",IF(COUNTIF(A617:E617,"")=5,"",IF(G617,入力リスト!$K$28,IF(OR(A617="",B617="",IF(COUNTIF($C$3,"*不要*"),"",C617=""),D617=""),IF(A617="","従業員番号","")&amp;IF(B617="","「雇用形態」","")&amp;IF(OR(入力シート!$J$18=入力リスト!$H$9,入力シート!$J$22=入力リスト!$H$9),IF(C617="","「入社年月日」",""),"")&amp;IF(D617="","「性別」","")&amp;IF(IF(A617="","従業員番号","")&amp;IF(B617="","「雇用形態」","")&amp;IF(OR(入力シート!$J$18=入力リスト!$H$9,入力シート!$J$22=入力リスト!$H$9),IF(C617="","「入社年月日」",""),"")&amp;IF(D617="","「性別」","")="","",入力リスト!$K$29),IF(J617,入力リスト!$K$30,"")&amp;IF(I617,入力リスト!$K$31,"")&amp;IF(H617,"「雇用形態」","")&amp;IF(K617,"「性別」","")&amp;IF(L617,"「役職」","")&amp;IF(OR(H617,K617,L617),入力リスト!$K$32,"")))))</f>
        <v/>
      </c>
      <c r="G617" s="298" t="b">
        <f>COUNTIF($A$4:A616,$A617)&gt;0</f>
        <v>0</v>
      </c>
      <c r="H617" s="298" t="b">
        <f>IF($H$1,FALSE,COUNTIF(入力シート!$S$37:$V$62,B617)=0)</f>
        <v>0</v>
      </c>
      <c r="I617" s="298" t="b">
        <f t="shared" si="19"/>
        <v>0</v>
      </c>
      <c r="J617" s="298" t="b">
        <f>IF($J$1,FALSE,IF(I617=TRUE,FALSE,IF(I617,FALSE,C617&gt;入力シート!$J$24)))</f>
        <v>0</v>
      </c>
      <c r="K617" s="298" t="b">
        <f>IF($K$1,FALSE,COUNTIF(入力シート!$AW$37:$BB$38,D617)=0)</f>
        <v>0</v>
      </c>
      <c r="L617" s="298" t="b">
        <f>IF($L$1,FALSE,IF($L$3,FALSE,IF(E617="",FALSE,COUNTIF(入力シート!$AH$37:$AK$62,E617)=0)))</f>
        <v>0</v>
      </c>
      <c r="M617" s="298" t="str">
        <f t="shared" si="20"/>
        <v/>
      </c>
      <c r="N617" s="298" t="str">
        <f>IF(G617,"この従業員番号は、すでに他のセルで入力されています。",IF(入力シート!$C$5=入力リスト!$C$4,"",IF(AND(A617="",B617="",C617="",D617="",E617=""),"",IF(OR(A617="",B617="",C617="",D617=""),IF(A617="","従業員番号","")&amp;IF(AND(A617="",OR(B617="",C617="",D617="")),",","")&amp;IF(B617="","雇用形態","")&amp;IF(AND(B617="",OR(C617="",D617="")),",","")&amp;IF(OR(入力シート!$J$18=入力リスト!$H$9,入力シート!$J$22=入力リスト!$H$9),IF(C617="","入社年月日",""),"")&amp;IF(AND(C617="",D617=""),",","")&amp;IF(D617="","性別","")&amp;IF(IF(A617="","従業員番号","")&amp;IF(B617="","雇用形態","")&amp;IF(OR(入力シート!$J$18=入力リスト!$H$9,入力シート!$J$22=入力リスト!$H$9),IF(C617="","入社年月日",""),"")&amp;IF(D617="","性別","")="","","が空白です。"),IF(J617,"入社年月日に「基準日」の翌日以降の日付が入力されています。","")&amp;IF(I617,"入社年月日に数値以外（又は1900/1/1以前の日付）が入力されています。","")&amp;IF(H617,"雇用形態"&amp;IF(OR(K617,L617),",",""),"")&amp;IF(K617,"性別"&amp;IF(L617,",",""),"")&amp;IF(L617,"役職","")&amp;IF(OR(H617,K617,L617),"に、［入力シート］(4)「貴社」欄と異なる文言が入力されています。","")))))</f>
        <v/>
      </c>
      <c r="O617" s="298" t="str">
        <f>IF(B617="","",VLOOKUP('従業員情報(給与以外)'!$B617,入力シート!$S$37:$Z$62,5,0))</f>
        <v/>
      </c>
      <c r="P617" s="298" t="str">
        <f>IF(ISNUMBER(C617)=FALSE,"",IF(C617&gt;入力シート!$J$24,"",_xlfn.DAYS(入力シート!$J$24,'従業員情報(給与以外)'!$C617)/365))</f>
        <v/>
      </c>
      <c r="Q617" s="298" t="str">
        <f>IF(P617="","",VLOOKUP(_xlfn.DAYS(入力シート!$J$24,'従業員情報(給与以外)'!$C617)/365,入力リスト!$K$18:$L$26,2,2))</f>
        <v/>
      </c>
      <c r="R617" s="298" t="str">
        <f>IF(D617="","",VLOOKUP('従業員情報(給与以外)'!$D617,入力シート!$AW$37:$BB$38,4,0))</f>
        <v/>
      </c>
      <c r="S617" s="298" t="str">
        <f>IF(A617="","",IF(E617="","非役職",VLOOKUP('従業員情報(給与以外)'!$E617,入力シート!$AH$37:$AO$62,5,0)))</f>
        <v/>
      </c>
      <c r="T617" s="299" t="str">
        <f>IF(OR(入力シート!$C$5&lt;&gt;入力リスト!$C$3,COUNTIF(入力シート!$J$16:$S$23,入力リスト!$H$9)=0),"",IF($A617="","",IF(ISERROR(AVERAGEIF(従業員の給与情報!$B:$B,$A617,従業員の給与情報!$C:$C)),0,IF(ISERROR(AVERAGEIF(従業員の給与情報!$B:$B,$A617,従業員の給与情報!$C:$C)),0,AVERAGEIF(従業員の給与情報!$B:$B,$A617,従業員の給与情報!$C:$C)))))</f>
        <v/>
      </c>
      <c r="U617" s="299" t="str">
        <f>IF(OR(入力シート!$C$5&lt;&gt;入力リスト!$C$3,COUNTIF(入力シート!$J$16:$S$23,入力リスト!$H$9)=0),"",IF(A617="","",IF(ISERROR(AVERAGEIF(従業員の給与情報!$B:$B,$A617,従業員の給与情報!$D:$D)),0,IF(ISERROR(AVERAGEIF(従業員の給与情報!$B:$B,$A617,従業員の給与情報!$D:$D)),0,AVERAGEIF(従業員の給与情報!$B:$B,$A617,従業員の給与情報!$D:$D)))))</f>
        <v/>
      </c>
      <c r="V617" s="299" t="str">
        <f>IF(OR(入力シート!$C$5&lt;&gt;入力リスト!$C$3,COUNTIF(入力シート!$J$16:$S$23,入力リスト!$H$9)=0),"",IF(A617="","",IF(ISERROR(AVERAGEIF(従業員の給与情報!$B:$B,$A617,従業員の給与情報!$E:$E)),0,IF(ISERROR(AVERAGEIF(従業員の給与情報!$B:$B,$A617,従業員の給与情報!$E:$E)),0,AVERAGEIF(従業員の給与情報!$B:$B,$A617,従業員の給与情報!$E:$E)))))</f>
        <v/>
      </c>
      <c r="W617" s="299" t="str">
        <f>IF(OR(入力シート!$C$5&lt;&gt;入力リスト!$C$3,COUNTIF(入力シート!$J$16:$S$23,入力リスト!$H$9)=0),"",IF(A617="","",IF(ISERROR(AVERAGEIF(従業員の給与情報!$B:$B,$A617,従業員の給与情報!$F:$F)),0,IF(ISERROR(AVERAGEIF(従業員の給与情報!$B:$B,$A617,従業員の給与情報!$F:$F)),0,AVERAGEIF(従業員の給与情報!$B:$B,$A617,従業員の給与情報!$F:$F)))))</f>
        <v/>
      </c>
      <c r="X617" s="581" t="s">
        <v>5356</v>
      </c>
    </row>
    <row r="618" spans="6:24">
      <c r="F618" s="297" t="str">
        <f>IF($G$1,"",IF(COUNTIF(A618:E618,"")=5,"",IF(G618,入力リスト!$K$28,IF(OR(A618="",B618="",IF(COUNTIF($C$3,"*不要*"),"",C618=""),D618=""),IF(A618="","従業員番号","")&amp;IF(B618="","「雇用形態」","")&amp;IF(OR(入力シート!$J$18=入力リスト!$H$9,入力シート!$J$22=入力リスト!$H$9),IF(C618="","「入社年月日」",""),"")&amp;IF(D618="","「性別」","")&amp;IF(IF(A618="","従業員番号","")&amp;IF(B618="","「雇用形態」","")&amp;IF(OR(入力シート!$J$18=入力リスト!$H$9,入力シート!$J$22=入力リスト!$H$9),IF(C618="","「入社年月日」",""),"")&amp;IF(D618="","「性別」","")="","",入力リスト!$K$29),IF(J618,入力リスト!$K$30,"")&amp;IF(I618,入力リスト!$K$31,"")&amp;IF(H618,"「雇用形態」","")&amp;IF(K618,"「性別」","")&amp;IF(L618,"「役職」","")&amp;IF(OR(H618,K618,L618),入力リスト!$K$32,"")))))</f>
        <v/>
      </c>
      <c r="G618" s="298" t="b">
        <f>COUNTIF($A$4:A617,$A618)&gt;0</f>
        <v>0</v>
      </c>
      <c r="H618" s="298" t="b">
        <f>IF($H$1,FALSE,COUNTIF(入力シート!$S$37:$V$62,B618)=0)</f>
        <v>0</v>
      </c>
      <c r="I618" s="298" t="b">
        <f t="shared" si="19"/>
        <v>0</v>
      </c>
      <c r="J618" s="298" t="b">
        <f>IF($J$1,FALSE,IF(I618=TRUE,FALSE,IF(I618,FALSE,C618&gt;入力シート!$J$24)))</f>
        <v>0</v>
      </c>
      <c r="K618" s="298" t="b">
        <f>IF($K$1,FALSE,COUNTIF(入力シート!$AW$37:$BB$38,D618)=0)</f>
        <v>0</v>
      </c>
      <c r="L618" s="298" t="b">
        <f>IF($L$1,FALSE,IF($L$3,FALSE,IF(E618="",FALSE,COUNTIF(入力シート!$AH$37:$AK$62,E618)=0)))</f>
        <v>0</v>
      </c>
      <c r="M618" s="298" t="str">
        <f t="shared" si="20"/>
        <v/>
      </c>
      <c r="N618" s="298" t="str">
        <f>IF(G618,"この従業員番号は、すでに他のセルで入力されています。",IF(入力シート!$C$5=入力リスト!$C$4,"",IF(AND(A618="",B618="",C618="",D618="",E618=""),"",IF(OR(A618="",B618="",C618="",D618=""),IF(A618="","従業員番号","")&amp;IF(AND(A618="",OR(B618="",C618="",D618="")),",","")&amp;IF(B618="","雇用形態","")&amp;IF(AND(B618="",OR(C618="",D618="")),",","")&amp;IF(OR(入力シート!$J$18=入力リスト!$H$9,入力シート!$J$22=入力リスト!$H$9),IF(C618="","入社年月日",""),"")&amp;IF(AND(C618="",D618=""),",","")&amp;IF(D618="","性別","")&amp;IF(IF(A618="","従業員番号","")&amp;IF(B618="","雇用形態","")&amp;IF(OR(入力シート!$J$18=入力リスト!$H$9,入力シート!$J$22=入力リスト!$H$9),IF(C618="","入社年月日",""),"")&amp;IF(D618="","性別","")="","","が空白です。"),IF(J618,"入社年月日に「基準日」の翌日以降の日付が入力されています。","")&amp;IF(I618,"入社年月日に数値以外（又は1900/1/1以前の日付）が入力されています。","")&amp;IF(H618,"雇用形態"&amp;IF(OR(K618,L618),",",""),"")&amp;IF(K618,"性別"&amp;IF(L618,",",""),"")&amp;IF(L618,"役職","")&amp;IF(OR(H618,K618,L618),"に、［入力シート］(4)「貴社」欄と異なる文言が入力されています。","")))))</f>
        <v/>
      </c>
      <c r="O618" s="298" t="str">
        <f>IF(B618="","",VLOOKUP('従業員情報(給与以外)'!$B618,入力シート!$S$37:$Z$62,5,0))</f>
        <v/>
      </c>
      <c r="P618" s="298" t="str">
        <f>IF(ISNUMBER(C618)=FALSE,"",IF(C618&gt;入力シート!$J$24,"",_xlfn.DAYS(入力シート!$J$24,'従業員情報(給与以外)'!$C618)/365))</f>
        <v/>
      </c>
      <c r="Q618" s="298" t="str">
        <f>IF(P618="","",VLOOKUP(_xlfn.DAYS(入力シート!$J$24,'従業員情報(給与以外)'!$C618)/365,入力リスト!$K$18:$L$26,2,2))</f>
        <v/>
      </c>
      <c r="R618" s="298" t="str">
        <f>IF(D618="","",VLOOKUP('従業員情報(給与以外)'!$D618,入力シート!$AW$37:$BB$38,4,0))</f>
        <v/>
      </c>
      <c r="S618" s="298" t="str">
        <f>IF(A618="","",IF(E618="","非役職",VLOOKUP('従業員情報(給与以外)'!$E618,入力シート!$AH$37:$AO$62,5,0)))</f>
        <v/>
      </c>
      <c r="T618" s="299" t="str">
        <f>IF(OR(入力シート!$C$5&lt;&gt;入力リスト!$C$3,COUNTIF(入力シート!$J$16:$S$23,入力リスト!$H$9)=0),"",IF($A618="","",IF(ISERROR(AVERAGEIF(従業員の給与情報!$B:$B,$A618,従業員の給与情報!$C:$C)),0,IF(ISERROR(AVERAGEIF(従業員の給与情報!$B:$B,$A618,従業員の給与情報!$C:$C)),0,AVERAGEIF(従業員の給与情報!$B:$B,$A618,従業員の給与情報!$C:$C)))))</f>
        <v/>
      </c>
      <c r="U618" s="299" t="str">
        <f>IF(OR(入力シート!$C$5&lt;&gt;入力リスト!$C$3,COUNTIF(入力シート!$J$16:$S$23,入力リスト!$H$9)=0),"",IF(A618="","",IF(ISERROR(AVERAGEIF(従業員の給与情報!$B:$B,$A618,従業員の給与情報!$D:$D)),0,IF(ISERROR(AVERAGEIF(従業員の給与情報!$B:$B,$A618,従業員の給与情報!$D:$D)),0,AVERAGEIF(従業員の給与情報!$B:$B,$A618,従業員の給与情報!$D:$D)))))</f>
        <v/>
      </c>
      <c r="V618" s="299" t="str">
        <f>IF(OR(入力シート!$C$5&lt;&gt;入力リスト!$C$3,COUNTIF(入力シート!$J$16:$S$23,入力リスト!$H$9)=0),"",IF(A618="","",IF(ISERROR(AVERAGEIF(従業員の給与情報!$B:$B,$A618,従業員の給与情報!$E:$E)),0,IF(ISERROR(AVERAGEIF(従業員の給与情報!$B:$B,$A618,従業員の給与情報!$E:$E)),0,AVERAGEIF(従業員の給与情報!$B:$B,$A618,従業員の給与情報!$E:$E)))))</f>
        <v/>
      </c>
      <c r="W618" s="299" t="str">
        <f>IF(OR(入力シート!$C$5&lt;&gt;入力リスト!$C$3,COUNTIF(入力シート!$J$16:$S$23,入力リスト!$H$9)=0),"",IF(A618="","",IF(ISERROR(AVERAGEIF(従業員の給与情報!$B:$B,$A618,従業員の給与情報!$F:$F)),0,IF(ISERROR(AVERAGEIF(従業員の給与情報!$B:$B,$A618,従業員の給与情報!$F:$F)),0,AVERAGEIF(従業員の給与情報!$B:$B,$A618,従業員の給与情報!$F:$F)))))</f>
        <v/>
      </c>
      <c r="X618" s="581" t="s">
        <v>5357</v>
      </c>
    </row>
    <row r="619" spans="6:24">
      <c r="F619" s="297" t="str">
        <f>IF($G$1,"",IF(COUNTIF(A619:E619,"")=5,"",IF(G619,入力リスト!$K$28,IF(OR(A619="",B619="",IF(COUNTIF($C$3,"*不要*"),"",C619=""),D619=""),IF(A619="","従業員番号","")&amp;IF(B619="","「雇用形態」","")&amp;IF(OR(入力シート!$J$18=入力リスト!$H$9,入力シート!$J$22=入力リスト!$H$9),IF(C619="","「入社年月日」",""),"")&amp;IF(D619="","「性別」","")&amp;IF(IF(A619="","従業員番号","")&amp;IF(B619="","「雇用形態」","")&amp;IF(OR(入力シート!$J$18=入力リスト!$H$9,入力シート!$J$22=入力リスト!$H$9),IF(C619="","「入社年月日」",""),"")&amp;IF(D619="","「性別」","")="","",入力リスト!$K$29),IF(J619,入力リスト!$K$30,"")&amp;IF(I619,入力リスト!$K$31,"")&amp;IF(H619,"「雇用形態」","")&amp;IF(K619,"「性別」","")&amp;IF(L619,"「役職」","")&amp;IF(OR(H619,K619,L619),入力リスト!$K$32,"")))))</f>
        <v/>
      </c>
      <c r="G619" s="298" t="b">
        <f>COUNTIF($A$4:A618,$A619)&gt;0</f>
        <v>0</v>
      </c>
      <c r="H619" s="298" t="b">
        <f>IF($H$1,FALSE,COUNTIF(入力シート!$S$37:$V$62,B619)=0)</f>
        <v>0</v>
      </c>
      <c r="I619" s="298" t="b">
        <f t="shared" si="19"/>
        <v>0</v>
      </c>
      <c r="J619" s="298" t="b">
        <f>IF($J$1,FALSE,IF(I619=TRUE,FALSE,IF(I619,FALSE,C619&gt;入力シート!$J$24)))</f>
        <v>0</v>
      </c>
      <c r="K619" s="298" t="b">
        <f>IF($K$1,FALSE,COUNTIF(入力シート!$AW$37:$BB$38,D619)=0)</f>
        <v>0</v>
      </c>
      <c r="L619" s="298" t="b">
        <f>IF($L$1,FALSE,IF($L$3,FALSE,IF(E619="",FALSE,COUNTIF(入力シート!$AH$37:$AK$62,E619)=0)))</f>
        <v>0</v>
      </c>
      <c r="M619" s="298" t="str">
        <f t="shared" si="20"/>
        <v/>
      </c>
      <c r="N619" s="298" t="str">
        <f>IF(G619,"この従業員番号は、すでに他のセルで入力されています。",IF(入力シート!$C$5=入力リスト!$C$4,"",IF(AND(A619="",B619="",C619="",D619="",E619=""),"",IF(OR(A619="",B619="",C619="",D619=""),IF(A619="","従業員番号","")&amp;IF(AND(A619="",OR(B619="",C619="",D619="")),",","")&amp;IF(B619="","雇用形態","")&amp;IF(AND(B619="",OR(C619="",D619="")),",","")&amp;IF(OR(入力シート!$J$18=入力リスト!$H$9,入力シート!$J$22=入力リスト!$H$9),IF(C619="","入社年月日",""),"")&amp;IF(AND(C619="",D619=""),",","")&amp;IF(D619="","性別","")&amp;IF(IF(A619="","従業員番号","")&amp;IF(B619="","雇用形態","")&amp;IF(OR(入力シート!$J$18=入力リスト!$H$9,入力シート!$J$22=入力リスト!$H$9),IF(C619="","入社年月日",""),"")&amp;IF(D619="","性別","")="","","が空白です。"),IF(J619,"入社年月日に「基準日」の翌日以降の日付が入力されています。","")&amp;IF(I619,"入社年月日に数値以外（又は1900/1/1以前の日付）が入力されています。","")&amp;IF(H619,"雇用形態"&amp;IF(OR(K619,L619),",",""),"")&amp;IF(K619,"性別"&amp;IF(L619,",",""),"")&amp;IF(L619,"役職","")&amp;IF(OR(H619,K619,L619),"に、［入力シート］(4)「貴社」欄と異なる文言が入力されています。","")))))</f>
        <v/>
      </c>
      <c r="O619" s="298" t="str">
        <f>IF(B619="","",VLOOKUP('従業員情報(給与以外)'!$B619,入力シート!$S$37:$Z$62,5,0))</f>
        <v/>
      </c>
      <c r="P619" s="298" t="str">
        <f>IF(ISNUMBER(C619)=FALSE,"",IF(C619&gt;入力シート!$J$24,"",_xlfn.DAYS(入力シート!$J$24,'従業員情報(給与以外)'!$C619)/365))</f>
        <v/>
      </c>
      <c r="Q619" s="298" t="str">
        <f>IF(P619="","",VLOOKUP(_xlfn.DAYS(入力シート!$J$24,'従業員情報(給与以外)'!$C619)/365,入力リスト!$K$18:$L$26,2,2))</f>
        <v/>
      </c>
      <c r="R619" s="298" t="str">
        <f>IF(D619="","",VLOOKUP('従業員情報(給与以外)'!$D619,入力シート!$AW$37:$BB$38,4,0))</f>
        <v/>
      </c>
      <c r="S619" s="298" t="str">
        <f>IF(A619="","",IF(E619="","非役職",VLOOKUP('従業員情報(給与以外)'!$E619,入力シート!$AH$37:$AO$62,5,0)))</f>
        <v/>
      </c>
      <c r="T619" s="299" t="str">
        <f>IF(OR(入力シート!$C$5&lt;&gt;入力リスト!$C$3,COUNTIF(入力シート!$J$16:$S$23,入力リスト!$H$9)=0),"",IF($A619="","",IF(ISERROR(AVERAGEIF(従業員の給与情報!$B:$B,$A619,従業員の給与情報!$C:$C)),0,IF(ISERROR(AVERAGEIF(従業員の給与情報!$B:$B,$A619,従業員の給与情報!$C:$C)),0,AVERAGEIF(従業員の給与情報!$B:$B,$A619,従業員の給与情報!$C:$C)))))</f>
        <v/>
      </c>
      <c r="U619" s="299" t="str">
        <f>IF(OR(入力シート!$C$5&lt;&gt;入力リスト!$C$3,COUNTIF(入力シート!$J$16:$S$23,入力リスト!$H$9)=0),"",IF(A619="","",IF(ISERROR(AVERAGEIF(従業員の給与情報!$B:$B,$A619,従業員の給与情報!$D:$D)),0,IF(ISERROR(AVERAGEIF(従業員の給与情報!$B:$B,$A619,従業員の給与情報!$D:$D)),0,AVERAGEIF(従業員の給与情報!$B:$B,$A619,従業員の給与情報!$D:$D)))))</f>
        <v/>
      </c>
      <c r="V619" s="299" t="str">
        <f>IF(OR(入力シート!$C$5&lt;&gt;入力リスト!$C$3,COUNTIF(入力シート!$J$16:$S$23,入力リスト!$H$9)=0),"",IF(A619="","",IF(ISERROR(AVERAGEIF(従業員の給与情報!$B:$B,$A619,従業員の給与情報!$E:$E)),0,IF(ISERROR(AVERAGEIF(従業員の給与情報!$B:$B,$A619,従業員の給与情報!$E:$E)),0,AVERAGEIF(従業員の給与情報!$B:$B,$A619,従業員の給与情報!$E:$E)))))</f>
        <v/>
      </c>
      <c r="W619" s="299" t="str">
        <f>IF(OR(入力シート!$C$5&lt;&gt;入力リスト!$C$3,COUNTIF(入力シート!$J$16:$S$23,入力リスト!$H$9)=0),"",IF(A619="","",IF(ISERROR(AVERAGEIF(従業員の給与情報!$B:$B,$A619,従業員の給与情報!$F:$F)),0,IF(ISERROR(AVERAGEIF(従業員の給与情報!$B:$B,$A619,従業員の給与情報!$F:$F)),0,AVERAGEIF(従業員の給与情報!$B:$B,$A619,従業員の給与情報!$F:$F)))))</f>
        <v/>
      </c>
      <c r="X619" s="581" t="s">
        <v>5358</v>
      </c>
    </row>
    <row r="620" spans="6:24">
      <c r="F620" s="297" t="str">
        <f>IF($G$1,"",IF(COUNTIF(A620:E620,"")=5,"",IF(G620,入力リスト!$K$28,IF(OR(A620="",B620="",IF(COUNTIF($C$3,"*不要*"),"",C620=""),D620=""),IF(A620="","従業員番号","")&amp;IF(B620="","「雇用形態」","")&amp;IF(OR(入力シート!$J$18=入力リスト!$H$9,入力シート!$J$22=入力リスト!$H$9),IF(C620="","「入社年月日」",""),"")&amp;IF(D620="","「性別」","")&amp;IF(IF(A620="","従業員番号","")&amp;IF(B620="","「雇用形態」","")&amp;IF(OR(入力シート!$J$18=入力リスト!$H$9,入力シート!$J$22=入力リスト!$H$9),IF(C620="","「入社年月日」",""),"")&amp;IF(D620="","「性別」","")="","",入力リスト!$K$29),IF(J620,入力リスト!$K$30,"")&amp;IF(I620,入力リスト!$K$31,"")&amp;IF(H620,"「雇用形態」","")&amp;IF(K620,"「性別」","")&amp;IF(L620,"「役職」","")&amp;IF(OR(H620,K620,L620),入力リスト!$K$32,"")))))</f>
        <v/>
      </c>
      <c r="G620" s="298" t="b">
        <f>COUNTIF($A$4:A619,$A620)&gt;0</f>
        <v>0</v>
      </c>
      <c r="H620" s="298" t="b">
        <f>IF($H$1,FALSE,COUNTIF(入力シート!$S$37:$V$62,B620)=0)</f>
        <v>0</v>
      </c>
      <c r="I620" s="298" t="b">
        <f t="shared" si="19"/>
        <v>0</v>
      </c>
      <c r="J620" s="298" t="b">
        <f>IF($J$1,FALSE,IF(I620=TRUE,FALSE,IF(I620,FALSE,C620&gt;入力シート!$J$24)))</f>
        <v>0</v>
      </c>
      <c r="K620" s="298" t="b">
        <f>IF($K$1,FALSE,COUNTIF(入力シート!$AW$37:$BB$38,D620)=0)</f>
        <v>0</v>
      </c>
      <c r="L620" s="298" t="b">
        <f>IF($L$1,FALSE,IF($L$3,FALSE,IF(E620="",FALSE,COUNTIF(入力シート!$AH$37:$AK$62,E620)=0)))</f>
        <v>0</v>
      </c>
      <c r="M620" s="298" t="str">
        <f t="shared" si="20"/>
        <v/>
      </c>
      <c r="N620" s="298" t="str">
        <f>IF(G620,"この従業員番号は、すでに他のセルで入力されています。",IF(入力シート!$C$5=入力リスト!$C$4,"",IF(AND(A620="",B620="",C620="",D620="",E620=""),"",IF(OR(A620="",B620="",C620="",D620=""),IF(A620="","従業員番号","")&amp;IF(AND(A620="",OR(B620="",C620="",D620="")),",","")&amp;IF(B620="","雇用形態","")&amp;IF(AND(B620="",OR(C620="",D620="")),",","")&amp;IF(OR(入力シート!$J$18=入力リスト!$H$9,入力シート!$J$22=入力リスト!$H$9),IF(C620="","入社年月日",""),"")&amp;IF(AND(C620="",D620=""),",","")&amp;IF(D620="","性別","")&amp;IF(IF(A620="","従業員番号","")&amp;IF(B620="","雇用形態","")&amp;IF(OR(入力シート!$J$18=入力リスト!$H$9,入力シート!$J$22=入力リスト!$H$9),IF(C620="","入社年月日",""),"")&amp;IF(D620="","性別","")="","","が空白です。"),IF(J620,"入社年月日に「基準日」の翌日以降の日付が入力されています。","")&amp;IF(I620,"入社年月日に数値以外（又は1900/1/1以前の日付）が入力されています。","")&amp;IF(H620,"雇用形態"&amp;IF(OR(K620,L620),",",""),"")&amp;IF(K620,"性別"&amp;IF(L620,",",""),"")&amp;IF(L620,"役職","")&amp;IF(OR(H620,K620,L620),"に、［入力シート］(4)「貴社」欄と異なる文言が入力されています。","")))))</f>
        <v/>
      </c>
      <c r="O620" s="298" t="str">
        <f>IF(B620="","",VLOOKUP('従業員情報(給与以外)'!$B620,入力シート!$S$37:$Z$62,5,0))</f>
        <v/>
      </c>
      <c r="P620" s="298" t="str">
        <f>IF(ISNUMBER(C620)=FALSE,"",IF(C620&gt;入力シート!$J$24,"",_xlfn.DAYS(入力シート!$J$24,'従業員情報(給与以外)'!$C620)/365))</f>
        <v/>
      </c>
      <c r="Q620" s="298" t="str">
        <f>IF(P620="","",VLOOKUP(_xlfn.DAYS(入力シート!$J$24,'従業員情報(給与以外)'!$C620)/365,入力リスト!$K$18:$L$26,2,2))</f>
        <v/>
      </c>
      <c r="R620" s="298" t="str">
        <f>IF(D620="","",VLOOKUP('従業員情報(給与以外)'!$D620,入力シート!$AW$37:$BB$38,4,0))</f>
        <v/>
      </c>
      <c r="S620" s="298" t="str">
        <f>IF(A620="","",IF(E620="","非役職",VLOOKUP('従業員情報(給与以外)'!$E620,入力シート!$AH$37:$AO$62,5,0)))</f>
        <v/>
      </c>
      <c r="T620" s="299" t="str">
        <f>IF(OR(入力シート!$C$5&lt;&gt;入力リスト!$C$3,COUNTIF(入力シート!$J$16:$S$23,入力リスト!$H$9)=0),"",IF($A620="","",IF(ISERROR(AVERAGEIF(従業員の給与情報!$B:$B,$A620,従業員の給与情報!$C:$C)),0,IF(ISERROR(AVERAGEIF(従業員の給与情報!$B:$B,$A620,従業員の給与情報!$C:$C)),0,AVERAGEIF(従業員の給与情報!$B:$B,$A620,従業員の給与情報!$C:$C)))))</f>
        <v/>
      </c>
      <c r="U620" s="299" t="str">
        <f>IF(OR(入力シート!$C$5&lt;&gt;入力リスト!$C$3,COUNTIF(入力シート!$J$16:$S$23,入力リスト!$H$9)=0),"",IF(A620="","",IF(ISERROR(AVERAGEIF(従業員の給与情報!$B:$B,$A620,従業員の給与情報!$D:$D)),0,IF(ISERROR(AVERAGEIF(従業員の給与情報!$B:$B,$A620,従業員の給与情報!$D:$D)),0,AVERAGEIF(従業員の給与情報!$B:$B,$A620,従業員の給与情報!$D:$D)))))</f>
        <v/>
      </c>
      <c r="V620" s="299" t="str">
        <f>IF(OR(入力シート!$C$5&lt;&gt;入力リスト!$C$3,COUNTIF(入力シート!$J$16:$S$23,入力リスト!$H$9)=0),"",IF(A620="","",IF(ISERROR(AVERAGEIF(従業員の給与情報!$B:$B,$A620,従業員の給与情報!$E:$E)),0,IF(ISERROR(AVERAGEIF(従業員の給与情報!$B:$B,$A620,従業員の給与情報!$E:$E)),0,AVERAGEIF(従業員の給与情報!$B:$B,$A620,従業員の給与情報!$E:$E)))))</f>
        <v/>
      </c>
      <c r="W620" s="299" t="str">
        <f>IF(OR(入力シート!$C$5&lt;&gt;入力リスト!$C$3,COUNTIF(入力シート!$J$16:$S$23,入力リスト!$H$9)=0),"",IF(A620="","",IF(ISERROR(AVERAGEIF(従業員の給与情報!$B:$B,$A620,従業員の給与情報!$F:$F)),0,IF(ISERROR(AVERAGEIF(従業員の給与情報!$B:$B,$A620,従業員の給与情報!$F:$F)),0,AVERAGEIF(従業員の給与情報!$B:$B,$A620,従業員の給与情報!$F:$F)))))</f>
        <v/>
      </c>
      <c r="X620" s="581" t="s">
        <v>5359</v>
      </c>
    </row>
    <row r="621" spans="6:24">
      <c r="F621" s="297" t="str">
        <f>IF($G$1,"",IF(COUNTIF(A621:E621,"")=5,"",IF(G621,入力リスト!$K$28,IF(OR(A621="",B621="",IF(COUNTIF($C$3,"*不要*"),"",C621=""),D621=""),IF(A621="","従業員番号","")&amp;IF(B621="","「雇用形態」","")&amp;IF(OR(入力シート!$J$18=入力リスト!$H$9,入力シート!$J$22=入力リスト!$H$9),IF(C621="","「入社年月日」",""),"")&amp;IF(D621="","「性別」","")&amp;IF(IF(A621="","従業員番号","")&amp;IF(B621="","「雇用形態」","")&amp;IF(OR(入力シート!$J$18=入力リスト!$H$9,入力シート!$J$22=入力リスト!$H$9),IF(C621="","「入社年月日」",""),"")&amp;IF(D621="","「性別」","")="","",入力リスト!$K$29),IF(J621,入力リスト!$K$30,"")&amp;IF(I621,入力リスト!$K$31,"")&amp;IF(H621,"「雇用形態」","")&amp;IF(K621,"「性別」","")&amp;IF(L621,"「役職」","")&amp;IF(OR(H621,K621,L621),入力リスト!$K$32,"")))))</f>
        <v/>
      </c>
      <c r="G621" s="298" t="b">
        <f>COUNTIF($A$4:A620,$A621)&gt;0</f>
        <v>0</v>
      </c>
      <c r="H621" s="298" t="b">
        <f>IF($H$1,FALSE,COUNTIF(入力シート!$S$37:$V$62,B621)=0)</f>
        <v>0</v>
      </c>
      <c r="I621" s="298" t="b">
        <f t="shared" si="19"/>
        <v>0</v>
      </c>
      <c r="J621" s="298" t="b">
        <f>IF($J$1,FALSE,IF(I621=TRUE,FALSE,IF(I621,FALSE,C621&gt;入力シート!$J$24)))</f>
        <v>0</v>
      </c>
      <c r="K621" s="298" t="b">
        <f>IF($K$1,FALSE,COUNTIF(入力シート!$AW$37:$BB$38,D621)=0)</f>
        <v>0</v>
      </c>
      <c r="L621" s="298" t="b">
        <f>IF($L$1,FALSE,IF($L$3,FALSE,IF(E621="",FALSE,COUNTIF(入力シート!$AH$37:$AK$62,E621)=0)))</f>
        <v>0</v>
      </c>
      <c r="M621" s="298" t="str">
        <f t="shared" si="20"/>
        <v/>
      </c>
      <c r="N621" s="298" t="str">
        <f>IF(G621,"この従業員番号は、すでに他のセルで入力されています。",IF(入力シート!$C$5=入力リスト!$C$4,"",IF(AND(A621="",B621="",C621="",D621="",E621=""),"",IF(OR(A621="",B621="",C621="",D621=""),IF(A621="","従業員番号","")&amp;IF(AND(A621="",OR(B621="",C621="",D621="")),",","")&amp;IF(B621="","雇用形態","")&amp;IF(AND(B621="",OR(C621="",D621="")),",","")&amp;IF(OR(入力シート!$J$18=入力リスト!$H$9,入力シート!$J$22=入力リスト!$H$9),IF(C621="","入社年月日",""),"")&amp;IF(AND(C621="",D621=""),",","")&amp;IF(D621="","性別","")&amp;IF(IF(A621="","従業員番号","")&amp;IF(B621="","雇用形態","")&amp;IF(OR(入力シート!$J$18=入力リスト!$H$9,入力シート!$J$22=入力リスト!$H$9),IF(C621="","入社年月日",""),"")&amp;IF(D621="","性別","")="","","が空白です。"),IF(J621,"入社年月日に「基準日」の翌日以降の日付が入力されています。","")&amp;IF(I621,"入社年月日に数値以外（又は1900/1/1以前の日付）が入力されています。","")&amp;IF(H621,"雇用形態"&amp;IF(OR(K621,L621),",",""),"")&amp;IF(K621,"性別"&amp;IF(L621,",",""),"")&amp;IF(L621,"役職","")&amp;IF(OR(H621,K621,L621),"に、［入力シート］(4)「貴社」欄と異なる文言が入力されています。","")))))</f>
        <v/>
      </c>
      <c r="O621" s="298" t="str">
        <f>IF(B621="","",VLOOKUP('従業員情報(給与以外)'!$B621,入力シート!$S$37:$Z$62,5,0))</f>
        <v/>
      </c>
      <c r="P621" s="298" t="str">
        <f>IF(ISNUMBER(C621)=FALSE,"",IF(C621&gt;入力シート!$J$24,"",_xlfn.DAYS(入力シート!$J$24,'従業員情報(給与以外)'!$C621)/365))</f>
        <v/>
      </c>
      <c r="Q621" s="298" t="str">
        <f>IF(P621="","",VLOOKUP(_xlfn.DAYS(入力シート!$J$24,'従業員情報(給与以外)'!$C621)/365,入力リスト!$K$18:$L$26,2,2))</f>
        <v/>
      </c>
      <c r="R621" s="298" t="str">
        <f>IF(D621="","",VLOOKUP('従業員情報(給与以外)'!$D621,入力シート!$AW$37:$BB$38,4,0))</f>
        <v/>
      </c>
      <c r="S621" s="298" t="str">
        <f>IF(A621="","",IF(E621="","非役職",VLOOKUP('従業員情報(給与以外)'!$E621,入力シート!$AH$37:$AO$62,5,0)))</f>
        <v/>
      </c>
      <c r="T621" s="299" t="str">
        <f>IF(OR(入力シート!$C$5&lt;&gt;入力リスト!$C$3,COUNTIF(入力シート!$J$16:$S$23,入力リスト!$H$9)=0),"",IF($A621="","",IF(ISERROR(AVERAGEIF(従業員の給与情報!$B:$B,$A621,従業員の給与情報!$C:$C)),0,IF(ISERROR(AVERAGEIF(従業員の給与情報!$B:$B,$A621,従業員の給与情報!$C:$C)),0,AVERAGEIF(従業員の給与情報!$B:$B,$A621,従業員の給与情報!$C:$C)))))</f>
        <v/>
      </c>
      <c r="U621" s="299" t="str">
        <f>IF(OR(入力シート!$C$5&lt;&gt;入力リスト!$C$3,COUNTIF(入力シート!$J$16:$S$23,入力リスト!$H$9)=0),"",IF(A621="","",IF(ISERROR(AVERAGEIF(従業員の給与情報!$B:$B,$A621,従業員の給与情報!$D:$D)),0,IF(ISERROR(AVERAGEIF(従業員の給与情報!$B:$B,$A621,従業員の給与情報!$D:$D)),0,AVERAGEIF(従業員の給与情報!$B:$B,$A621,従業員の給与情報!$D:$D)))))</f>
        <v/>
      </c>
      <c r="V621" s="299" t="str">
        <f>IF(OR(入力シート!$C$5&lt;&gt;入力リスト!$C$3,COUNTIF(入力シート!$J$16:$S$23,入力リスト!$H$9)=0),"",IF(A621="","",IF(ISERROR(AVERAGEIF(従業員の給与情報!$B:$B,$A621,従業員の給与情報!$E:$E)),0,IF(ISERROR(AVERAGEIF(従業員の給与情報!$B:$B,$A621,従業員の給与情報!$E:$E)),0,AVERAGEIF(従業員の給与情報!$B:$B,$A621,従業員の給与情報!$E:$E)))))</f>
        <v/>
      </c>
      <c r="W621" s="299" t="str">
        <f>IF(OR(入力シート!$C$5&lt;&gt;入力リスト!$C$3,COUNTIF(入力シート!$J$16:$S$23,入力リスト!$H$9)=0),"",IF(A621="","",IF(ISERROR(AVERAGEIF(従業員の給与情報!$B:$B,$A621,従業員の給与情報!$F:$F)),0,IF(ISERROR(AVERAGEIF(従業員の給与情報!$B:$B,$A621,従業員の給与情報!$F:$F)),0,AVERAGEIF(従業員の給与情報!$B:$B,$A621,従業員の給与情報!$F:$F)))))</f>
        <v/>
      </c>
      <c r="X621" s="581" t="s">
        <v>5360</v>
      </c>
    </row>
    <row r="622" spans="6:24">
      <c r="F622" s="297" t="str">
        <f>IF($G$1,"",IF(COUNTIF(A622:E622,"")=5,"",IF(G622,入力リスト!$K$28,IF(OR(A622="",B622="",IF(COUNTIF($C$3,"*不要*"),"",C622=""),D622=""),IF(A622="","従業員番号","")&amp;IF(B622="","「雇用形態」","")&amp;IF(OR(入力シート!$J$18=入力リスト!$H$9,入力シート!$J$22=入力リスト!$H$9),IF(C622="","「入社年月日」",""),"")&amp;IF(D622="","「性別」","")&amp;IF(IF(A622="","従業員番号","")&amp;IF(B622="","「雇用形態」","")&amp;IF(OR(入力シート!$J$18=入力リスト!$H$9,入力シート!$J$22=入力リスト!$H$9),IF(C622="","「入社年月日」",""),"")&amp;IF(D622="","「性別」","")="","",入力リスト!$K$29),IF(J622,入力リスト!$K$30,"")&amp;IF(I622,入力リスト!$K$31,"")&amp;IF(H622,"「雇用形態」","")&amp;IF(K622,"「性別」","")&amp;IF(L622,"「役職」","")&amp;IF(OR(H622,K622,L622),入力リスト!$K$32,"")))))</f>
        <v/>
      </c>
      <c r="G622" s="298" t="b">
        <f>COUNTIF($A$4:A621,$A622)&gt;0</f>
        <v>0</v>
      </c>
      <c r="H622" s="298" t="b">
        <f>IF($H$1,FALSE,COUNTIF(入力シート!$S$37:$V$62,B622)=0)</f>
        <v>0</v>
      </c>
      <c r="I622" s="298" t="b">
        <f t="shared" si="19"/>
        <v>0</v>
      </c>
      <c r="J622" s="298" t="b">
        <f>IF($J$1,FALSE,IF(I622=TRUE,FALSE,IF(I622,FALSE,C622&gt;入力シート!$J$24)))</f>
        <v>0</v>
      </c>
      <c r="K622" s="298" t="b">
        <f>IF($K$1,FALSE,COUNTIF(入力シート!$AW$37:$BB$38,D622)=0)</f>
        <v>0</v>
      </c>
      <c r="L622" s="298" t="b">
        <f>IF($L$1,FALSE,IF($L$3,FALSE,IF(E622="",FALSE,COUNTIF(入力シート!$AH$37:$AK$62,E622)=0)))</f>
        <v>0</v>
      </c>
      <c r="M622" s="298" t="str">
        <f t="shared" si="20"/>
        <v/>
      </c>
      <c r="N622" s="298" t="str">
        <f>IF(G622,"この従業員番号は、すでに他のセルで入力されています。",IF(入力シート!$C$5=入力リスト!$C$4,"",IF(AND(A622="",B622="",C622="",D622="",E622=""),"",IF(OR(A622="",B622="",C622="",D622=""),IF(A622="","従業員番号","")&amp;IF(AND(A622="",OR(B622="",C622="",D622="")),",","")&amp;IF(B622="","雇用形態","")&amp;IF(AND(B622="",OR(C622="",D622="")),",","")&amp;IF(OR(入力シート!$J$18=入力リスト!$H$9,入力シート!$J$22=入力リスト!$H$9),IF(C622="","入社年月日",""),"")&amp;IF(AND(C622="",D622=""),",","")&amp;IF(D622="","性別","")&amp;IF(IF(A622="","従業員番号","")&amp;IF(B622="","雇用形態","")&amp;IF(OR(入力シート!$J$18=入力リスト!$H$9,入力シート!$J$22=入力リスト!$H$9),IF(C622="","入社年月日",""),"")&amp;IF(D622="","性別","")="","","が空白です。"),IF(J622,"入社年月日に「基準日」の翌日以降の日付が入力されています。","")&amp;IF(I622,"入社年月日に数値以外（又は1900/1/1以前の日付）が入力されています。","")&amp;IF(H622,"雇用形態"&amp;IF(OR(K622,L622),",",""),"")&amp;IF(K622,"性別"&amp;IF(L622,",",""),"")&amp;IF(L622,"役職","")&amp;IF(OR(H622,K622,L622),"に、［入力シート］(4)「貴社」欄と異なる文言が入力されています。","")))))</f>
        <v/>
      </c>
      <c r="O622" s="298" t="str">
        <f>IF(B622="","",VLOOKUP('従業員情報(給与以外)'!$B622,入力シート!$S$37:$Z$62,5,0))</f>
        <v/>
      </c>
      <c r="P622" s="298" t="str">
        <f>IF(ISNUMBER(C622)=FALSE,"",IF(C622&gt;入力シート!$J$24,"",_xlfn.DAYS(入力シート!$J$24,'従業員情報(給与以外)'!$C622)/365))</f>
        <v/>
      </c>
      <c r="Q622" s="298" t="str">
        <f>IF(P622="","",VLOOKUP(_xlfn.DAYS(入力シート!$J$24,'従業員情報(給与以外)'!$C622)/365,入力リスト!$K$18:$L$26,2,2))</f>
        <v/>
      </c>
      <c r="R622" s="298" t="str">
        <f>IF(D622="","",VLOOKUP('従業員情報(給与以外)'!$D622,入力シート!$AW$37:$BB$38,4,0))</f>
        <v/>
      </c>
      <c r="S622" s="298" t="str">
        <f>IF(A622="","",IF(E622="","非役職",VLOOKUP('従業員情報(給与以外)'!$E622,入力シート!$AH$37:$AO$62,5,0)))</f>
        <v/>
      </c>
      <c r="T622" s="299" t="str">
        <f>IF(OR(入力シート!$C$5&lt;&gt;入力リスト!$C$3,COUNTIF(入力シート!$J$16:$S$23,入力リスト!$H$9)=0),"",IF($A622="","",IF(ISERROR(AVERAGEIF(従業員の給与情報!$B:$B,$A622,従業員の給与情報!$C:$C)),0,IF(ISERROR(AVERAGEIF(従業員の給与情報!$B:$B,$A622,従業員の給与情報!$C:$C)),0,AVERAGEIF(従業員の給与情報!$B:$B,$A622,従業員の給与情報!$C:$C)))))</f>
        <v/>
      </c>
      <c r="U622" s="299" t="str">
        <f>IF(OR(入力シート!$C$5&lt;&gt;入力リスト!$C$3,COUNTIF(入力シート!$J$16:$S$23,入力リスト!$H$9)=0),"",IF(A622="","",IF(ISERROR(AVERAGEIF(従業員の給与情報!$B:$B,$A622,従業員の給与情報!$D:$D)),0,IF(ISERROR(AVERAGEIF(従業員の給与情報!$B:$B,$A622,従業員の給与情報!$D:$D)),0,AVERAGEIF(従業員の給与情報!$B:$B,$A622,従業員の給与情報!$D:$D)))))</f>
        <v/>
      </c>
      <c r="V622" s="299" t="str">
        <f>IF(OR(入力シート!$C$5&lt;&gt;入力リスト!$C$3,COUNTIF(入力シート!$J$16:$S$23,入力リスト!$H$9)=0),"",IF(A622="","",IF(ISERROR(AVERAGEIF(従業員の給与情報!$B:$B,$A622,従業員の給与情報!$E:$E)),0,IF(ISERROR(AVERAGEIF(従業員の給与情報!$B:$B,$A622,従業員の給与情報!$E:$E)),0,AVERAGEIF(従業員の給与情報!$B:$B,$A622,従業員の給与情報!$E:$E)))))</f>
        <v/>
      </c>
      <c r="W622" s="299" t="str">
        <f>IF(OR(入力シート!$C$5&lt;&gt;入力リスト!$C$3,COUNTIF(入力シート!$J$16:$S$23,入力リスト!$H$9)=0),"",IF(A622="","",IF(ISERROR(AVERAGEIF(従業員の給与情報!$B:$B,$A622,従業員の給与情報!$F:$F)),0,IF(ISERROR(AVERAGEIF(従業員の給与情報!$B:$B,$A622,従業員の給与情報!$F:$F)),0,AVERAGEIF(従業員の給与情報!$B:$B,$A622,従業員の給与情報!$F:$F)))))</f>
        <v/>
      </c>
      <c r="X622" s="581" t="s">
        <v>5361</v>
      </c>
    </row>
    <row r="623" spans="6:24">
      <c r="F623" s="297" t="str">
        <f>IF($G$1,"",IF(COUNTIF(A623:E623,"")=5,"",IF(G623,入力リスト!$K$28,IF(OR(A623="",B623="",IF(COUNTIF($C$3,"*不要*"),"",C623=""),D623=""),IF(A623="","従業員番号","")&amp;IF(B623="","「雇用形態」","")&amp;IF(OR(入力シート!$J$18=入力リスト!$H$9,入力シート!$J$22=入力リスト!$H$9),IF(C623="","「入社年月日」",""),"")&amp;IF(D623="","「性別」","")&amp;IF(IF(A623="","従業員番号","")&amp;IF(B623="","「雇用形態」","")&amp;IF(OR(入力シート!$J$18=入力リスト!$H$9,入力シート!$J$22=入力リスト!$H$9),IF(C623="","「入社年月日」",""),"")&amp;IF(D623="","「性別」","")="","",入力リスト!$K$29),IF(J623,入力リスト!$K$30,"")&amp;IF(I623,入力リスト!$K$31,"")&amp;IF(H623,"「雇用形態」","")&amp;IF(K623,"「性別」","")&amp;IF(L623,"「役職」","")&amp;IF(OR(H623,K623,L623),入力リスト!$K$32,"")))))</f>
        <v/>
      </c>
      <c r="G623" s="298" t="b">
        <f>COUNTIF($A$4:A622,$A623)&gt;0</f>
        <v>0</v>
      </c>
      <c r="H623" s="298" t="b">
        <f>IF($H$1,FALSE,COUNTIF(入力シート!$S$37:$V$62,B623)=0)</f>
        <v>0</v>
      </c>
      <c r="I623" s="298" t="b">
        <f t="shared" si="19"/>
        <v>0</v>
      </c>
      <c r="J623" s="298" t="b">
        <f>IF($J$1,FALSE,IF(I623=TRUE,FALSE,IF(I623,FALSE,C623&gt;入力シート!$J$24)))</f>
        <v>0</v>
      </c>
      <c r="K623" s="298" t="b">
        <f>IF($K$1,FALSE,COUNTIF(入力シート!$AW$37:$BB$38,D623)=0)</f>
        <v>0</v>
      </c>
      <c r="L623" s="298" t="b">
        <f>IF($L$1,FALSE,IF($L$3,FALSE,IF(E623="",FALSE,COUNTIF(入力シート!$AH$37:$AK$62,E623)=0)))</f>
        <v>0</v>
      </c>
      <c r="M623" s="298" t="str">
        <f t="shared" si="20"/>
        <v/>
      </c>
      <c r="N623" s="298" t="str">
        <f>IF(G623,"この従業員番号は、すでに他のセルで入力されています。",IF(入力シート!$C$5=入力リスト!$C$4,"",IF(AND(A623="",B623="",C623="",D623="",E623=""),"",IF(OR(A623="",B623="",C623="",D623=""),IF(A623="","従業員番号","")&amp;IF(AND(A623="",OR(B623="",C623="",D623="")),",","")&amp;IF(B623="","雇用形態","")&amp;IF(AND(B623="",OR(C623="",D623="")),",","")&amp;IF(OR(入力シート!$J$18=入力リスト!$H$9,入力シート!$J$22=入力リスト!$H$9),IF(C623="","入社年月日",""),"")&amp;IF(AND(C623="",D623=""),",","")&amp;IF(D623="","性別","")&amp;IF(IF(A623="","従業員番号","")&amp;IF(B623="","雇用形態","")&amp;IF(OR(入力シート!$J$18=入力リスト!$H$9,入力シート!$J$22=入力リスト!$H$9),IF(C623="","入社年月日",""),"")&amp;IF(D623="","性別","")="","","が空白です。"),IF(J623,"入社年月日に「基準日」の翌日以降の日付が入力されています。","")&amp;IF(I623,"入社年月日に数値以外（又は1900/1/1以前の日付）が入力されています。","")&amp;IF(H623,"雇用形態"&amp;IF(OR(K623,L623),",",""),"")&amp;IF(K623,"性別"&amp;IF(L623,",",""),"")&amp;IF(L623,"役職","")&amp;IF(OR(H623,K623,L623),"に、［入力シート］(4)「貴社」欄と異なる文言が入力されています。","")))))</f>
        <v/>
      </c>
      <c r="O623" s="298" t="str">
        <f>IF(B623="","",VLOOKUP('従業員情報(給与以外)'!$B623,入力シート!$S$37:$Z$62,5,0))</f>
        <v/>
      </c>
      <c r="P623" s="298" t="str">
        <f>IF(ISNUMBER(C623)=FALSE,"",IF(C623&gt;入力シート!$J$24,"",_xlfn.DAYS(入力シート!$J$24,'従業員情報(給与以外)'!$C623)/365))</f>
        <v/>
      </c>
      <c r="Q623" s="298" t="str">
        <f>IF(P623="","",VLOOKUP(_xlfn.DAYS(入力シート!$J$24,'従業員情報(給与以外)'!$C623)/365,入力リスト!$K$18:$L$26,2,2))</f>
        <v/>
      </c>
      <c r="R623" s="298" t="str">
        <f>IF(D623="","",VLOOKUP('従業員情報(給与以外)'!$D623,入力シート!$AW$37:$BB$38,4,0))</f>
        <v/>
      </c>
      <c r="S623" s="298" t="str">
        <f>IF(A623="","",IF(E623="","非役職",VLOOKUP('従業員情報(給与以外)'!$E623,入力シート!$AH$37:$AO$62,5,0)))</f>
        <v/>
      </c>
      <c r="T623" s="299" t="str">
        <f>IF(OR(入力シート!$C$5&lt;&gt;入力リスト!$C$3,COUNTIF(入力シート!$J$16:$S$23,入力リスト!$H$9)=0),"",IF($A623="","",IF(ISERROR(AVERAGEIF(従業員の給与情報!$B:$B,$A623,従業員の給与情報!$C:$C)),0,IF(ISERROR(AVERAGEIF(従業員の給与情報!$B:$B,$A623,従業員の給与情報!$C:$C)),0,AVERAGEIF(従業員の給与情報!$B:$B,$A623,従業員の給与情報!$C:$C)))))</f>
        <v/>
      </c>
      <c r="U623" s="299" t="str">
        <f>IF(OR(入力シート!$C$5&lt;&gt;入力リスト!$C$3,COUNTIF(入力シート!$J$16:$S$23,入力リスト!$H$9)=0),"",IF(A623="","",IF(ISERROR(AVERAGEIF(従業員の給与情報!$B:$B,$A623,従業員の給与情報!$D:$D)),0,IF(ISERROR(AVERAGEIF(従業員の給与情報!$B:$B,$A623,従業員の給与情報!$D:$D)),0,AVERAGEIF(従業員の給与情報!$B:$B,$A623,従業員の給与情報!$D:$D)))))</f>
        <v/>
      </c>
      <c r="V623" s="299" t="str">
        <f>IF(OR(入力シート!$C$5&lt;&gt;入力リスト!$C$3,COUNTIF(入力シート!$J$16:$S$23,入力リスト!$H$9)=0),"",IF(A623="","",IF(ISERROR(AVERAGEIF(従業員の給与情報!$B:$B,$A623,従業員の給与情報!$E:$E)),0,IF(ISERROR(AVERAGEIF(従業員の給与情報!$B:$B,$A623,従業員の給与情報!$E:$E)),0,AVERAGEIF(従業員の給与情報!$B:$B,$A623,従業員の給与情報!$E:$E)))))</f>
        <v/>
      </c>
      <c r="W623" s="299" t="str">
        <f>IF(OR(入力シート!$C$5&lt;&gt;入力リスト!$C$3,COUNTIF(入力シート!$J$16:$S$23,入力リスト!$H$9)=0),"",IF(A623="","",IF(ISERROR(AVERAGEIF(従業員の給与情報!$B:$B,$A623,従業員の給与情報!$F:$F)),0,IF(ISERROR(AVERAGEIF(従業員の給与情報!$B:$B,$A623,従業員の給与情報!$F:$F)),0,AVERAGEIF(従業員の給与情報!$B:$B,$A623,従業員の給与情報!$F:$F)))))</f>
        <v/>
      </c>
      <c r="X623" s="581" t="s">
        <v>5362</v>
      </c>
    </row>
    <row r="624" spans="6:24">
      <c r="F624" s="297" t="str">
        <f>IF($G$1,"",IF(COUNTIF(A624:E624,"")=5,"",IF(G624,入力リスト!$K$28,IF(OR(A624="",B624="",IF(COUNTIF($C$3,"*不要*"),"",C624=""),D624=""),IF(A624="","従業員番号","")&amp;IF(B624="","「雇用形態」","")&amp;IF(OR(入力シート!$J$18=入力リスト!$H$9,入力シート!$J$22=入力リスト!$H$9),IF(C624="","「入社年月日」",""),"")&amp;IF(D624="","「性別」","")&amp;IF(IF(A624="","従業員番号","")&amp;IF(B624="","「雇用形態」","")&amp;IF(OR(入力シート!$J$18=入力リスト!$H$9,入力シート!$J$22=入力リスト!$H$9),IF(C624="","「入社年月日」",""),"")&amp;IF(D624="","「性別」","")="","",入力リスト!$K$29),IF(J624,入力リスト!$K$30,"")&amp;IF(I624,入力リスト!$K$31,"")&amp;IF(H624,"「雇用形態」","")&amp;IF(K624,"「性別」","")&amp;IF(L624,"「役職」","")&amp;IF(OR(H624,K624,L624),入力リスト!$K$32,"")))))</f>
        <v/>
      </c>
      <c r="G624" s="298" t="b">
        <f>COUNTIF($A$4:A623,$A624)&gt;0</f>
        <v>0</v>
      </c>
      <c r="H624" s="298" t="b">
        <f>IF($H$1,FALSE,COUNTIF(入力シート!$S$37:$V$62,B624)=0)</f>
        <v>0</v>
      </c>
      <c r="I624" s="298" t="b">
        <f t="shared" si="19"/>
        <v>0</v>
      </c>
      <c r="J624" s="298" t="b">
        <f>IF($J$1,FALSE,IF(I624=TRUE,FALSE,IF(I624,FALSE,C624&gt;入力シート!$J$24)))</f>
        <v>0</v>
      </c>
      <c r="K624" s="298" t="b">
        <f>IF($K$1,FALSE,COUNTIF(入力シート!$AW$37:$BB$38,D624)=0)</f>
        <v>0</v>
      </c>
      <c r="L624" s="298" t="b">
        <f>IF($L$1,FALSE,IF($L$3,FALSE,IF(E624="",FALSE,COUNTIF(入力シート!$AH$37:$AK$62,E624)=0)))</f>
        <v>0</v>
      </c>
      <c r="M624" s="298" t="str">
        <f t="shared" si="20"/>
        <v/>
      </c>
      <c r="N624" s="298" t="str">
        <f>IF(G624,"この従業員番号は、すでに他のセルで入力されています。",IF(入力シート!$C$5=入力リスト!$C$4,"",IF(AND(A624="",B624="",C624="",D624="",E624=""),"",IF(OR(A624="",B624="",C624="",D624=""),IF(A624="","従業員番号","")&amp;IF(AND(A624="",OR(B624="",C624="",D624="")),",","")&amp;IF(B624="","雇用形態","")&amp;IF(AND(B624="",OR(C624="",D624="")),",","")&amp;IF(OR(入力シート!$J$18=入力リスト!$H$9,入力シート!$J$22=入力リスト!$H$9),IF(C624="","入社年月日",""),"")&amp;IF(AND(C624="",D624=""),",","")&amp;IF(D624="","性別","")&amp;IF(IF(A624="","従業員番号","")&amp;IF(B624="","雇用形態","")&amp;IF(OR(入力シート!$J$18=入力リスト!$H$9,入力シート!$J$22=入力リスト!$H$9),IF(C624="","入社年月日",""),"")&amp;IF(D624="","性別","")="","","が空白です。"),IF(J624,"入社年月日に「基準日」の翌日以降の日付が入力されています。","")&amp;IF(I624,"入社年月日に数値以外（又は1900/1/1以前の日付）が入力されています。","")&amp;IF(H624,"雇用形態"&amp;IF(OR(K624,L624),",",""),"")&amp;IF(K624,"性別"&amp;IF(L624,",",""),"")&amp;IF(L624,"役職","")&amp;IF(OR(H624,K624,L624),"に、［入力シート］(4)「貴社」欄と異なる文言が入力されています。","")))))</f>
        <v/>
      </c>
      <c r="O624" s="298" t="str">
        <f>IF(B624="","",VLOOKUP('従業員情報(給与以外)'!$B624,入力シート!$S$37:$Z$62,5,0))</f>
        <v/>
      </c>
      <c r="P624" s="298" t="str">
        <f>IF(ISNUMBER(C624)=FALSE,"",IF(C624&gt;入力シート!$J$24,"",_xlfn.DAYS(入力シート!$J$24,'従業員情報(給与以外)'!$C624)/365))</f>
        <v/>
      </c>
      <c r="Q624" s="298" t="str">
        <f>IF(P624="","",VLOOKUP(_xlfn.DAYS(入力シート!$J$24,'従業員情報(給与以外)'!$C624)/365,入力リスト!$K$18:$L$26,2,2))</f>
        <v/>
      </c>
      <c r="R624" s="298" t="str">
        <f>IF(D624="","",VLOOKUP('従業員情報(給与以外)'!$D624,入力シート!$AW$37:$BB$38,4,0))</f>
        <v/>
      </c>
      <c r="S624" s="298" t="str">
        <f>IF(A624="","",IF(E624="","非役職",VLOOKUP('従業員情報(給与以外)'!$E624,入力シート!$AH$37:$AO$62,5,0)))</f>
        <v/>
      </c>
      <c r="T624" s="299" t="str">
        <f>IF(OR(入力シート!$C$5&lt;&gt;入力リスト!$C$3,COUNTIF(入力シート!$J$16:$S$23,入力リスト!$H$9)=0),"",IF($A624="","",IF(ISERROR(AVERAGEIF(従業員の給与情報!$B:$B,$A624,従業員の給与情報!$C:$C)),0,IF(ISERROR(AVERAGEIF(従業員の給与情報!$B:$B,$A624,従業員の給与情報!$C:$C)),0,AVERAGEIF(従業員の給与情報!$B:$B,$A624,従業員の給与情報!$C:$C)))))</f>
        <v/>
      </c>
      <c r="U624" s="299" t="str">
        <f>IF(OR(入力シート!$C$5&lt;&gt;入力リスト!$C$3,COUNTIF(入力シート!$J$16:$S$23,入力リスト!$H$9)=0),"",IF(A624="","",IF(ISERROR(AVERAGEIF(従業員の給与情報!$B:$B,$A624,従業員の給与情報!$D:$D)),0,IF(ISERROR(AVERAGEIF(従業員の給与情報!$B:$B,$A624,従業員の給与情報!$D:$D)),0,AVERAGEIF(従業員の給与情報!$B:$B,$A624,従業員の給与情報!$D:$D)))))</f>
        <v/>
      </c>
      <c r="V624" s="299" t="str">
        <f>IF(OR(入力シート!$C$5&lt;&gt;入力リスト!$C$3,COUNTIF(入力シート!$J$16:$S$23,入力リスト!$H$9)=0),"",IF(A624="","",IF(ISERROR(AVERAGEIF(従業員の給与情報!$B:$B,$A624,従業員の給与情報!$E:$E)),0,IF(ISERROR(AVERAGEIF(従業員の給与情報!$B:$B,$A624,従業員の給与情報!$E:$E)),0,AVERAGEIF(従業員の給与情報!$B:$B,$A624,従業員の給与情報!$E:$E)))))</f>
        <v/>
      </c>
      <c r="W624" s="299" t="str">
        <f>IF(OR(入力シート!$C$5&lt;&gt;入力リスト!$C$3,COUNTIF(入力シート!$J$16:$S$23,入力リスト!$H$9)=0),"",IF(A624="","",IF(ISERROR(AVERAGEIF(従業員の給与情報!$B:$B,$A624,従業員の給与情報!$F:$F)),0,IF(ISERROR(AVERAGEIF(従業員の給与情報!$B:$B,$A624,従業員の給与情報!$F:$F)),0,AVERAGEIF(従業員の給与情報!$B:$B,$A624,従業員の給与情報!$F:$F)))))</f>
        <v/>
      </c>
      <c r="X624" s="581" t="s">
        <v>5363</v>
      </c>
    </row>
    <row r="625" spans="6:24">
      <c r="F625" s="297" t="str">
        <f>IF($G$1,"",IF(COUNTIF(A625:E625,"")=5,"",IF(G625,入力リスト!$K$28,IF(OR(A625="",B625="",IF(COUNTIF($C$3,"*不要*"),"",C625=""),D625=""),IF(A625="","従業員番号","")&amp;IF(B625="","「雇用形態」","")&amp;IF(OR(入力シート!$J$18=入力リスト!$H$9,入力シート!$J$22=入力リスト!$H$9),IF(C625="","「入社年月日」",""),"")&amp;IF(D625="","「性別」","")&amp;IF(IF(A625="","従業員番号","")&amp;IF(B625="","「雇用形態」","")&amp;IF(OR(入力シート!$J$18=入力リスト!$H$9,入力シート!$J$22=入力リスト!$H$9),IF(C625="","「入社年月日」",""),"")&amp;IF(D625="","「性別」","")="","",入力リスト!$K$29),IF(J625,入力リスト!$K$30,"")&amp;IF(I625,入力リスト!$K$31,"")&amp;IF(H625,"「雇用形態」","")&amp;IF(K625,"「性別」","")&amp;IF(L625,"「役職」","")&amp;IF(OR(H625,K625,L625),入力リスト!$K$32,"")))))</f>
        <v/>
      </c>
      <c r="G625" s="298" t="b">
        <f>COUNTIF($A$4:A624,$A625)&gt;0</f>
        <v>0</v>
      </c>
      <c r="H625" s="298" t="b">
        <f>IF($H$1,FALSE,COUNTIF(入力シート!$S$37:$V$62,B625)=0)</f>
        <v>0</v>
      </c>
      <c r="I625" s="298" t="b">
        <f t="shared" si="19"/>
        <v>0</v>
      </c>
      <c r="J625" s="298" t="b">
        <f>IF($J$1,FALSE,IF(I625=TRUE,FALSE,IF(I625,FALSE,C625&gt;入力シート!$J$24)))</f>
        <v>0</v>
      </c>
      <c r="K625" s="298" t="b">
        <f>IF($K$1,FALSE,COUNTIF(入力シート!$AW$37:$BB$38,D625)=0)</f>
        <v>0</v>
      </c>
      <c r="L625" s="298" t="b">
        <f>IF($L$1,FALSE,IF($L$3,FALSE,IF(E625="",FALSE,COUNTIF(入力シート!$AH$37:$AK$62,E625)=0)))</f>
        <v>0</v>
      </c>
      <c r="M625" s="298" t="str">
        <f t="shared" si="20"/>
        <v/>
      </c>
      <c r="N625" s="298" t="str">
        <f>IF(G625,"この従業員番号は、すでに他のセルで入力されています。",IF(入力シート!$C$5=入力リスト!$C$4,"",IF(AND(A625="",B625="",C625="",D625="",E625=""),"",IF(OR(A625="",B625="",C625="",D625=""),IF(A625="","従業員番号","")&amp;IF(AND(A625="",OR(B625="",C625="",D625="")),",","")&amp;IF(B625="","雇用形態","")&amp;IF(AND(B625="",OR(C625="",D625="")),",","")&amp;IF(OR(入力シート!$J$18=入力リスト!$H$9,入力シート!$J$22=入力リスト!$H$9),IF(C625="","入社年月日",""),"")&amp;IF(AND(C625="",D625=""),",","")&amp;IF(D625="","性別","")&amp;IF(IF(A625="","従業員番号","")&amp;IF(B625="","雇用形態","")&amp;IF(OR(入力シート!$J$18=入力リスト!$H$9,入力シート!$J$22=入力リスト!$H$9),IF(C625="","入社年月日",""),"")&amp;IF(D625="","性別","")="","","が空白です。"),IF(J625,"入社年月日に「基準日」の翌日以降の日付が入力されています。","")&amp;IF(I625,"入社年月日に数値以外（又は1900/1/1以前の日付）が入力されています。","")&amp;IF(H625,"雇用形態"&amp;IF(OR(K625,L625),",",""),"")&amp;IF(K625,"性別"&amp;IF(L625,",",""),"")&amp;IF(L625,"役職","")&amp;IF(OR(H625,K625,L625),"に、［入力シート］(4)「貴社」欄と異なる文言が入力されています。","")))))</f>
        <v/>
      </c>
      <c r="O625" s="298" t="str">
        <f>IF(B625="","",VLOOKUP('従業員情報(給与以外)'!$B625,入力シート!$S$37:$Z$62,5,0))</f>
        <v/>
      </c>
      <c r="P625" s="298" t="str">
        <f>IF(ISNUMBER(C625)=FALSE,"",IF(C625&gt;入力シート!$J$24,"",_xlfn.DAYS(入力シート!$J$24,'従業員情報(給与以外)'!$C625)/365))</f>
        <v/>
      </c>
      <c r="Q625" s="298" t="str">
        <f>IF(P625="","",VLOOKUP(_xlfn.DAYS(入力シート!$J$24,'従業員情報(給与以外)'!$C625)/365,入力リスト!$K$18:$L$26,2,2))</f>
        <v/>
      </c>
      <c r="R625" s="298" t="str">
        <f>IF(D625="","",VLOOKUP('従業員情報(給与以外)'!$D625,入力シート!$AW$37:$BB$38,4,0))</f>
        <v/>
      </c>
      <c r="S625" s="298" t="str">
        <f>IF(A625="","",IF(E625="","非役職",VLOOKUP('従業員情報(給与以外)'!$E625,入力シート!$AH$37:$AO$62,5,0)))</f>
        <v/>
      </c>
      <c r="T625" s="299" t="str">
        <f>IF(OR(入力シート!$C$5&lt;&gt;入力リスト!$C$3,COUNTIF(入力シート!$J$16:$S$23,入力リスト!$H$9)=0),"",IF($A625="","",IF(ISERROR(AVERAGEIF(従業員の給与情報!$B:$B,$A625,従業員の給与情報!$C:$C)),0,IF(ISERROR(AVERAGEIF(従業員の給与情報!$B:$B,$A625,従業員の給与情報!$C:$C)),0,AVERAGEIF(従業員の給与情報!$B:$B,$A625,従業員の給与情報!$C:$C)))))</f>
        <v/>
      </c>
      <c r="U625" s="299" t="str">
        <f>IF(OR(入力シート!$C$5&lt;&gt;入力リスト!$C$3,COUNTIF(入力シート!$J$16:$S$23,入力リスト!$H$9)=0),"",IF(A625="","",IF(ISERROR(AVERAGEIF(従業員の給与情報!$B:$B,$A625,従業員の給与情報!$D:$D)),0,IF(ISERROR(AVERAGEIF(従業員の給与情報!$B:$B,$A625,従業員の給与情報!$D:$D)),0,AVERAGEIF(従業員の給与情報!$B:$B,$A625,従業員の給与情報!$D:$D)))))</f>
        <v/>
      </c>
      <c r="V625" s="299" t="str">
        <f>IF(OR(入力シート!$C$5&lt;&gt;入力リスト!$C$3,COUNTIF(入力シート!$J$16:$S$23,入力リスト!$H$9)=0),"",IF(A625="","",IF(ISERROR(AVERAGEIF(従業員の給与情報!$B:$B,$A625,従業員の給与情報!$E:$E)),0,IF(ISERROR(AVERAGEIF(従業員の給与情報!$B:$B,$A625,従業員の給与情報!$E:$E)),0,AVERAGEIF(従業員の給与情報!$B:$B,$A625,従業員の給与情報!$E:$E)))))</f>
        <v/>
      </c>
      <c r="W625" s="299" t="str">
        <f>IF(OR(入力シート!$C$5&lt;&gt;入力リスト!$C$3,COUNTIF(入力シート!$J$16:$S$23,入力リスト!$H$9)=0),"",IF(A625="","",IF(ISERROR(AVERAGEIF(従業員の給与情報!$B:$B,$A625,従業員の給与情報!$F:$F)),0,IF(ISERROR(AVERAGEIF(従業員の給与情報!$B:$B,$A625,従業員の給与情報!$F:$F)),0,AVERAGEIF(従業員の給与情報!$B:$B,$A625,従業員の給与情報!$F:$F)))))</f>
        <v/>
      </c>
      <c r="X625" s="581" t="s">
        <v>5364</v>
      </c>
    </row>
    <row r="626" spans="6:24">
      <c r="F626" s="297" t="str">
        <f>IF($G$1,"",IF(COUNTIF(A626:E626,"")=5,"",IF(G626,入力リスト!$K$28,IF(OR(A626="",B626="",IF(COUNTIF($C$3,"*不要*"),"",C626=""),D626=""),IF(A626="","従業員番号","")&amp;IF(B626="","「雇用形態」","")&amp;IF(OR(入力シート!$J$18=入力リスト!$H$9,入力シート!$J$22=入力リスト!$H$9),IF(C626="","「入社年月日」",""),"")&amp;IF(D626="","「性別」","")&amp;IF(IF(A626="","従業員番号","")&amp;IF(B626="","「雇用形態」","")&amp;IF(OR(入力シート!$J$18=入力リスト!$H$9,入力シート!$J$22=入力リスト!$H$9),IF(C626="","「入社年月日」",""),"")&amp;IF(D626="","「性別」","")="","",入力リスト!$K$29),IF(J626,入力リスト!$K$30,"")&amp;IF(I626,入力リスト!$K$31,"")&amp;IF(H626,"「雇用形態」","")&amp;IF(K626,"「性別」","")&amp;IF(L626,"「役職」","")&amp;IF(OR(H626,K626,L626),入力リスト!$K$32,"")))))</f>
        <v/>
      </c>
      <c r="G626" s="298" t="b">
        <f>COUNTIF($A$4:A625,$A626)&gt;0</f>
        <v>0</v>
      </c>
      <c r="H626" s="298" t="b">
        <f>IF($H$1,FALSE,COUNTIF(入力シート!$S$37:$V$62,B626)=0)</f>
        <v>0</v>
      </c>
      <c r="I626" s="298" t="b">
        <f t="shared" si="19"/>
        <v>0</v>
      </c>
      <c r="J626" s="298" t="b">
        <f>IF($J$1,FALSE,IF(I626=TRUE,FALSE,IF(I626,FALSE,C626&gt;入力シート!$J$24)))</f>
        <v>0</v>
      </c>
      <c r="K626" s="298" t="b">
        <f>IF($K$1,FALSE,COUNTIF(入力シート!$AW$37:$BB$38,D626)=0)</f>
        <v>0</v>
      </c>
      <c r="L626" s="298" t="b">
        <f>IF($L$1,FALSE,IF($L$3,FALSE,IF(E626="",FALSE,COUNTIF(入力シート!$AH$37:$AK$62,E626)=0)))</f>
        <v>0</v>
      </c>
      <c r="M626" s="298" t="str">
        <f t="shared" si="20"/>
        <v/>
      </c>
      <c r="N626" s="298" t="str">
        <f>IF(G626,"この従業員番号は、すでに他のセルで入力されています。",IF(入力シート!$C$5=入力リスト!$C$4,"",IF(AND(A626="",B626="",C626="",D626="",E626=""),"",IF(OR(A626="",B626="",C626="",D626=""),IF(A626="","従業員番号","")&amp;IF(AND(A626="",OR(B626="",C626="",D626="")),",","")&amp;IF(B626="","雇用形態","")&amp;IF(AND(B626="",OR(C626="",D626="")),",","")&amp;IF(OR(入力シート!$J$18=入力リスト!$H$9,入力シート!$J$22=入力リスト!$H$9),IF(C626="","入社年月日",""),"")&amp;IF(AND(C626="",D626=""),",","")&amp;IF(D626="","性別","")&amp;IF(IF(A626="","従業員番号","")&amp;IF(B626="","雇用形態","")&amp;IF(OR(入力シート!$J$18=入力リスト!$H$9,入力シート!$J$22=入力リスト!$H$9),IF(C626="","入社年月日",""),"")&amp;IF(D626="","性別","")="","","が空白です。"),IF(J626,"入社年月日に「基準日」の翌日以降の日付が入力されています。","")&amp;IF(I626,"入社年月日に数値以外（又は1900/1/1以前の日付）が入力されています。","")&amp;IF(H626,"雇用形態"&amp;IF(OR(K626,L626),",",""),"")&amp;IF(K626,"性別"&amp;IF(L626,",",""),"")&amp;IF(L626,"役職","")&amp;IF(OR(H626,K626,L626),"に、［入力シート］(4)「貴社」欄と異なる文言が入力されています。","")))))</f>
        <v/>
      </c>
      <c r="O626" s="298" t="str">
        <f>IF(B626="","",VLOOKUP('従業員情報(給与以外)'!$B626,入力シート!$S$37:$Z$62,5,0))</f>
        <v/>
      </c>
      <c r="P626" s="298" t="str">
        <f>IF(ISNUMBER(C626)=FALSE,"",IF(C626&gt;入力シート!$J$24,"",_xlfn.DAYS(入力シート!$J$24,'従業員情報(給与以外)'!$C626)/365))</f>
        <v/>
      </c>
      <c r="Q626" s="298" t="str">
        <f>IF(P626="","",VLOOKUP(_xlfn.DAYS(入力シート!$J$24,'従業員情報(給与以外)'!$C626)/365,入力リスト!$K$18:$L$26,2,2))</f>
        <v/>
      </c>
      <c r="R626" s="298" t="str">
        <f>IF(D626="","",VLOOKUP('従業員情報(給与以外)'!$D626,入力シート!$AW$37:$BB$38,4,0))</f>
        <v/>
      </c>
      <c r="S626" s="298" t="str">
        <f>IF(A626="","",IF(E626="","非役職",VLOOKUP('従業員情報(給与以外)'!$E626,入力シート!$AH$37:$AO$62,5,0)))</f>
        <v/>
      </c>
      <c r="T626" s="299" t="str">
        <f>IF(OR(入力シート!$C$5&lt;&gt;入力リスト!$C$3,COUNTIF(入力シート!$J$16:$S$23,入力リスト!$H$9)=0),"",IF($A626="","",IF(ISERROR(AVERAGEIF(従業員の給与情報!$B:$B,$A626,従業員の給与情報!$C:$C)),0,IF(ISERROR(AVERAGEIF(従業員の給与情報!$B:$B,$A626,従業員の給与情報!$C:$C)),0,AVERAGEIF(従業員の給与情報!$B:$B,$A626,従業員の給与情報!$C:$C)))))</f>
        <v/>
      </c>
      <c r="U626" s="299" t="str">
        <f>IF(OR(入力シート!$C$5&lt;&gt;入力リスト!$C$3,COUNTIF(入力シート!$J$16:$S$23,入力リスト!$H$9)=0),"",IF(A626="","",IF(ISERROR(AVERAGEIF(従業員の給与情報!$B:$B,$A626,従業員の給与情報!$D:$D)),0,IF(ISERROR(AVERAGEIF(従業員の給与情報!$B:$B,$A626,従業員の給与情報!$D:$D)),0,AVERAGEIF(従業員の給与情報!$B:$B,$A626,従業員の給与情報!$D:$D)))))</f>
        <v/>
      </c>
      <c r="V626" s="299" t="str">
        <f>IF(OR(入力シート!$C$5&lt;&gt;入力リスト!$C$3,COUNTIF(入力シート!$J$16:$S$23,入力リスト!$H$9)=0),"",IF(A626="","",IF(ISERROR(AVERAGEIF(従業員の給与情報!$B:$B,$A626,従業員の給与情報!$E:$E)),0,IF(ISERROR(AVERAGEIF(従業員の給与情報!$B:$B,$A626,従業員の給与情報!$E:$E)),0,AVERAGEIF(従業員の給与情報!$B:$B,$A626,従業員の給与情報!$E:$E)))))</f>
        <v/>
      </c>
      <c r="W626" s="299" t="str">
        <f>IF(OR(入力シート!$C$5&lt;&gt;入力リスト!$C$3,COUNTIF(入力シート!$J$16:$S$23,入力リスト!$H$9)=0),"",IF(A626="","",IF(ISERROR(AVERAGEIF(従業員の給与情報!$B:$B,$A626,従業員の給与情報!$F:$F)),0,IF(ISERROR(AVERAGEIF(従業員の給与情報!$B:$B,$A626,従業員の給与情報!$F:$F)),0,AVERAGEIF(従業員の給与情報!$B:$B,$A626,従業員の給与情報!$F:$F)))))</f>
        <v/>
      </c>
      <c r="X626" s="581" t="s">
        <v>5365</v>
      </c>
    </row>
    <row r="627" spans="6:24">
      <c r="F627" s="297" t="str">
        <f>IF($G$1,"",IF(COUNTIF(A627:E627,"")=5,"",IF(G627,入力リスト!$K$28,IF(OR(A627="",B627="",IF(COUNTIF($C$3,"*不要*"),"",C627=""),D627=""),IF(A627="","従業員番号","")&amp;IF(B627="","「雇用形態」","")&amp;IF(OR(入力シート!$J$18=入力リスト!$H$9,入力シート!$J$22=入力リスト!$H$9),IF(C627="","「入社年月日」",""),"")&amp;IF(D627="","「性別」","")&amp;IF(IF(A627="","従業員番号","")&amp;IF(B627="","「雇用形態」","")&amp;IF(OR(入力シート!$J$18=入力リスト!$H$9,入力シート!$J$22=入力リスト!$H$9),IF(C627="","「入社年月日」",""),"")&amp;IF(D627="","「性別」","")="","",入力リスト!$K$29),IF(J627,入力リスト!$K$30,"")&amp;IF(I627,入力リスト!$K$31,"")&amp;IF(H627,"「雇用形態」","")&amp;IF(K627,"「性別」","")&amp;IF(L627,"「役職」","")&amp;IF(OR(H627,K627,L627),入力リスト!$K$32,"")))))</f>
        <v/>
      </c>
      <c r="G627" s="298" t="b">
        <f>COUNTIF($A$4:A626,$A627)&gt;0</f>
        <v>0</v>
      </c>
      <c r="H627" s="298" t="b">
        <f>IF($H$1,FALSE,COUNTIF(入力シート!$S$37:$V$62,B627)=0)</f>
        <v>0</v>
      </c>
      <c r="I627" s="298" t="b">
        <f t="shared" si="19"/>
        <v>0</v>
      </c>
      <c r="J627" s="298" t="b">
        <f>IF($J$1,FALSE,IF(I627=TRUE,FALSE,IF(I627,FALSE,C627&gt;入力シート!$J$24)))</f>
        <v>0</v>
      </c>
      <c r="K627" s="298" t="b">
        <f>IF($K$1,FALSE,COUNTIF(入力シート!$AW$37:$BB$38,D627)=0)</f>
        <v>0</v>
      </c>
      <c r="L627" s="298" t="b">
        <f>IF($L$1,FALSE,IF($L$3,FALSE,IF(E627="",FALSE,COUNTIF(入力シート!$AH$37:$AK$62,E627)=0)))</f>
        <v>0</v>
      </c>
      <c r="M627" s="298" t="str">
        <f t="shared" si="20"/>
        <v/>
      </c>
      <c r="N627" s="298" t="str">
        <f>IF(G627,"この従業員番号は、すでに他のセルで入力されています。",IF(入力シート!$C$5=入力リスト!$C$4,"",IF(AND(A627="",B627="",C627="",D627="",E627=""),"",IF(OR(A627="",B627="",C627="",D627=""),IF(A627="","従業員番号","")&amp;IF(AND(A627="",OR(B627="",C627="",D627="")),",","")&amp;IF(B627="","雇用形態","")&amp;IF(AND(B627="",OR(C627="",D627="")),",","")&amp;IF(OR(入力シート!$J$18=入力リスト!$H$9,入力シート!$J$22=入力リスト!$H$9),IF(C627="","入社年月日",""),"")&amp;IF(AND(C627="",D627=""),",","")&amp;IF(D627="","性別","")&amp;IF(IF(A627="","従業員番号","")&amp;IF(B627="","雇用形態","")&amp;IF(OR(入力シート!$J$18=入力リスト!$H$9,入力シート!$J$22=入力リスト!$H$9),IF(C627="","入社年月日",""),"")&amp;IF(D627="","性別","")="","","が空白です。"),IF(J627,"入社年月日に「基準日」の翌日以降の日付が入力されています。","")&amp;IF(I627,"入社年月日に数値以外（又は1900/1/1以前の日付）が入力されています。","")&amp;IF(H627,"雇用形態"&amp;IF(OR(K627,L627),",",""),"")&amp;IF(K627,"性別"&amp;IF(L627,",",""),"")&amp;IF(L627,"役職","")&amp;IF(OR(H627,K627,L627),"に、［入力シート］(4)「貴社」欄と異なる文言が入力されています。","")))))</f>
        <v/>
      </c>
      <c r="O627" s="298" t="str">
        <f>IF(B627="","",VLOOKUP('従業員情報(給与以外)'!$B627,入力シート!$S$37:$Z$62,5,0))</f>
        <v/>
      </c>
      <c r="P627" s="298" t="str">
        <f>IF(ISNUMBER(C627)=FALSE,"",IF(C627&gt;入力シート!$J$24,"",_xlfn.DAYS(入力シート!$J$24,'従業員情報(給与以外)'!$C627)/365))</f>
        <v/>
      </c>
      <c r="Q627" s="298" t="str">
        <f>IF(P627="","",VLOOKUP(_xlfn.DAYS(入力シート!$J$24,'従業員情報(給与以外)'!$C627)/365,入力リスト!$K$18:$L$26,2,2))</f>
        <v/>
      </c>
      <c r="R627" s="298" t="str">
        <f>IF(D627="","",VLOOKUP('従業員情報(給与以外)'!$D627,入力シート!$AW$37:$BB$38,4,0))</f>
        <v/>
      </c>
      <c r="S627" s="298" t="str">
        <f>IF(A627="","",IF(E627="","非役職",VLOOKUP('従業員情報(給与以外)'!$E627,入力シート!$AH$37:$AO$62,5,0)))</f>
        <v/>
      </c>
      <c r="T627" s="299" t="str">
        <f>IF(OR(入力シート!$C$5&lt;&gt;入力リスト!$C$3,COUNTIF(入力シート!$J$16:$S$23,入力リスト!$H$9)=0),"",IF($A627="","",IF(ISERROR(AVERAGEIF(従業員の給与情報!$B:$B,$A627,従業員の給与情報!$C:$C)),0,IF(ISERROR(AVERAGEIF(従業員の給与情報!$B:$B,$A627,従業員の給与情報!$C:$C)),0,AVERAGEIF(従業員の給与情報!$B:$B,$A627,従業員の給与情報!$C:$C)))))</f>
        <v/>
      </c>
      <c r="U627" s="299" t="str">
        <f>IF(OR(入力シート!$C$5&lt;&gt;入力リスト!$C$3,COUNTIF(入力シート!$J$16:$S$23,入力リスト!$H$9)=0),"",IF(A627="","",IF(ISERROR(AVERAGEIF(従業員の給与情報!$B:$B,$A627,従業員の給与情報!$D:$D)),0,IF(ISERROR(AVERAGEIF(従業員の給与情報!$B:$B,$A627,従業員の給与情報!$D:$D)),0,AVERAGEIF(従業員の給与情報!$B:$B,$A627,従業員の給与情報!$D:$D)))))</f>
        <v/>
      </c>
      <c r="V627" s="299" t="str">
        <f>IF(OR(入力シート!$C$5&lt;&gt;入力リスト!$C$3,COUNTIF(入力シート!$J$16:$S$23,入力リスト!$H$9)=0),"",IF(A627="","",IF(ISERROR(AVERAGEIF(従業員の給与情報!$B:$B,$A627,従業員の給与情報!$E:$E)),0,IF(ISERROR(AVERAGEIF(従業員の給与情報!$B:$B,$A627,従業員の給与情報!$E:$E)),0,AVERAGEIF(従業員の給与情報!$B:$B,$A627,従業員の給与情報!$E:$E)))))</f>
        <v/>
      </c>
      <c r="W627" s="299" t="str">
        <f>IF(OR(入力シート!$C$5&lt;&gt;入力リスト!$C$3,COUNTIF(入力シート!$J$16:$S$23,入力リスト!$H$9)=0),"",IF(A627="","",IF(ISERROR(AVERAGEIF(従業員の給与情報!$B:$B,$A627,従業員の給与情報!$F:$F)),0,IF(ISERROR(AVERAGEIF(従業員の給与情報!$B:$B,$A627,従業員の給与情報!$F:$F)),0,AVERAGEIF(従業員の給与情報!$B:$B,$A627,従業員の給与情報!$F:$F)))))</f>
        <v/>
      </c>
      <c r="X627" s="581" t="s">
        <v>5366</v>
      </c>
    </row>
    <row r="628" spans="6:24">
      <c r="F628" s="297" t="str">
        <f>IF($G$1,"",IF(COUNTIF(A628:E628,"")=5,"",IF(G628,入力リスト!$K$28,IF(OR(A628="",B628="",IF(COUNTIF($C$3,"*不要*"),"",C628=""),D628=""),IF(A628="","従業員番号","")&amp;IF(B628="","「雇用形態」","")&amp;IF(OR(入力シート!$J$18=入力リスト!$H$9,入力シート!$J$22=入力リスト!$H$9),IF(C628="","「入社年月日」",""),"")&amp;IF(D628="","「性別」","")&amp;IF(IF(A628="","従業員番号","")&amp;IF(B628="","「雇用形態」","")&amp;IF(OR(入力シート!$J$18=入力リスト!$H$9,入力シート!$J$22=入力リスト!$H$9),IF(C628="","「入社年月日」",""),"")&amp;IF(D628="","「性別」","")="","",入力リスト!$K$29),IF(J628,入力リスト!$K$30,"")&amp;IF(I628,入力リスト!$K$31,"")&amp;IF(H628,"「雇用形態」","")&amp;IF(K628,"「性別」","")&amp;IF(L628,"「役職」","")&amp;IF(OR(H628,K628,L628),入力リスト!$K$32,"")))))</f>
        <v/>
      </c>
      <c r="G628" s="298" t="b">
        <f>COUNTIF($A$4:A627,$A628)&gt;0</f>
        <v>0</v>
      </c>
      <c r="H628" s="298" t="b">
        <f>IF($H$1,FALSE,COUNTIF(入力シート!$S$37:$V$62,B628)=0)</f>
        <v>0</v>
      </c>
      <c r="I628" s="298" t="b">
        <f t="shared" si="19"/>
        <v>0</v>
      </c>
      <c r="J628" s="298" t="b">
        <f>IF($J$1,FALSE,IF(I628=TRUE,FALSE,IF(I628,FALSE,C628&gt;入力シート!$J$24)))</f>
        <v>0</v>
      </c>
      <c r="K628" s="298" t="b">
        <f>IF($K$1,FALSE,COUNTIF(入力シート!$AW$37:$BB$38,D628)=0)</f>
        <v>0</v>
      </c>
      <c r="L628" s="298" t="b">
        <f>IF($L$1,FALSE,IF($L$3,FALSE,IF(E628="",FALSE,COUNTIF(入力シート!$AH$37:$AK$62,E628)=0)))</f>
        <v>0</v>
      </c>
      <c r="M628" s="298" t="str">
        <f t="shared" si="20"/>
        <v/>
      </c>
      <c r="N628" s="298" t="str">
        <f>IF(G628,"この従業員番号は、すでに他のセルで入力されています。",IF(入力シート!$C$5=入力リスト!$C$4,"",IF(AND(A628="",B628="",C628="",D628="",E628=""),"",IF(OR(A628="",B628="",C628="",D628=""),IF(A628="","従業員番号","")&amp;IF(AND(A628="",OR(B628="",C628="",D628="")),",","")&amp;IF(B628="","雇用形態","")&amp;IF(AND(B628="",OR(C628="",D628="")),",","")&amp;IF(OR(入力シート!$J$18=入力リスト!$H$9,入力シート!$J$22=入力リスト!$H$9),IF(C628="","入社年月日",""),"")&amp;IF(AND(C628="",D628=""),",","")&amp;IF(D628="","性別","")&amp;IF(IF(A628="","従業員番号","")&amp;IF(B628="","雇用形態","")&amp;IF(OR(入力シート!$J$18=入力リスト!$H$9,入力シート!$J$22=入力リスト!$H$9),IF(C628="","入社年月日",""),"")&amp;IF(D628="","性別","")="","","が空白です。"),IF(J628,"入社年月日に「基準日」の翌日以降の日付が入力されています。","")&amp;IF(I628,"入社年月日に数値以外（又は1900/1/1以前の日付）が入力されています。","")&amp;IF(H628,"雇用形態"&amp;IF(OR(K628,L628),",",""),"")&amp;IF(K628,"性別"&amp;IF(L628,",",""),"")&amp;IF(L628,"役職","")&amp;IF(OR(H628,K628,L628),"に、［入力シート］(4)「貴社」欄と異なる文言が入力されています。","")))))</f>
        <v/>
      </c>
      <c r="O628" s="298" t="str">
        <f>IF(B628="","",VLOOKUP('従業員情報(給与以外)'!$B628,入力シート!$S$37:$Z$62,5,0))</f>
        <v/>
      </c>
      <c r="P628" s="298" t="str">
        <f>IF(ISNUMBER(C628)=FALSE,"",IF(C628&gt;入力シート!$J$24,"",_xlfn.DAYS(入力シート!$J$24,'従業員情報(給与以外)'!$C628)/365))</f>
        <v/>
      </c>
      <c r="Q628" s="298" t="str">
        <f>IF(P628="","",VLOOKUP(_xlfn.DAYS(入力シート!$J$24,'従業員情報(給与以外)'!$C628)/365,入力リスト!$K$18:$L$26,2,2))</f>
        <v/>
      </c>
      <c r="R628" s="298" t="str">
        <f>IF(D628="","",VLOOKUP('従業員情報(給与以外)'!$D628,入力シート!$AW$37:$BB$38,4,0))</f>
        <v/>
      </c>
      <c r="S628" s="298" t="str">
        <f>IF(A628="","",IF(E628="","非役職",VLOOKUP('従業員情報(給与以外)'!$E628,入力シート!$AH$37:$AO$62,5,0)))</f>
        <v/>
      </c>
      <c r="T628" s="299" t="str">
        <f>IF(OR(入力シート!$C$5&lt;&gt;入力リスト!$C$3,COUNTIF(入力シート!$J$16:$S$23,入力リスト!$H$9)=0),"",IF($A628="","",IF(ISERROR(AVERAGEIF(従業員の給与情報!$B:$B,$A628,従業員の給与情報!$C:$C)),0,IF(ISERROR(AVERAGEIF(従業員の給与情報!$B:$B,$A628,従業員の給与情報!$C:$C)),0,AVERAGEIF(従業員の給与情報!$B:$B,$A628,従業員の給与情報!$C:$C)))))</f>
        <v/>
      </c>
      <c r="U628" s="299" t="str">
        <f>IF(OR(入力シート!$C$5&lt;&gt;入力リスト!$C$3,COUNTIF(入力シート!$J$16:$S$23,入力リスト!$H$9)=0),"",IF(A628="","",IF(ISERROR(AVERAGEIF(従業員の給与情報!$B:$B,$A628,従業員の給与情報!$D:$D)),0,IF(ISERROR(AVERAGEIF(従業員の給与情報!$B:$B,$A628,従業員の給与情報!$D:$D)),0,AVERAGEIF(従業員の給与情報!$B:$B,$A628,従業員の給与情報!$D:$D)))))</f>
        <v/>
      </c>
      <c r="V628" s="299" t="str">
        <f>IF(OR(入力シート!$C$5&lt;&gt;入力リスト!$C$3,COUNTIF(入力シート!$J$16:$S$23,入力リスト!$H$9)=0),"",IF(A628="","",IF(ISERROR(AVERAGEIF(従業員の給与情報!$B:$B,$A628,従業員の給与情報!$E:$E)),0,IF(ISERROR(AVERAGEIF(従業員の給与情報!$B:$B,$A628,従業員の給与情報!$E:$E)),0,AVERAGEIF(従業員の給与情報!$B:$B,$A628,従業員の給与情報!$E:$E)))))</f>
        <v/>
      </c>
      <c r="W628" s="299" t="str">
        <f>IF(OR(入力シート!$C$5&lt;&gt;入力リスト!$C$3,COUNTIF(入力シート!$J$16:$S$23,入力リスト!$H$9)=0),"",IF(A628="","",IF(ISERROR(AVERAGEIF(従業員の給与情報!$B:$B,$A628,従業員の給与情報!$F:$F)),0,IF(ISERROR(AVERAGEIF(従業員の給与情報!$B:$B,$A628,従業員の給与情報!$F:$F)),0,AVERAGEIF(従業員の給与情報!$B:$B,$A628,従業員の給与情報!$F:$F)))))</f>
        <v/>
      </c>
      <c r="X628" s="581" t="s">
        <v>5367</v>
      </c>
    </row>
    <row r="629" spans="6:24">
      <c r="F629" s="297" t="str">
        <f>IF($G$1,"",IF(COUNTIF(A629:E629,"")=5,"",IF(G629,入力リスト!$K$28,IF(OR(A629="",B629="",IF(COUNTIF($C$3,"*不要*"),"",C629=""),D629=""),IF(A629="","従業員番号","")&amp;IF(B629="","「雇用形態」","")&amp;IF(OR(入力シート!$J$18=入力リスト!$H$9,入力シート!$J$22=入力リスト!$H$9),IF(C629="","「入社年月日」",""),"")&amp;IF(D629="","「性別」","")&amp;IF(IF(A629="","従業員番号","")&amp;IF(B629="","「雇用形態」","")&amp;IF(OR(入力シート!$J$18=入力リスト!$H$9,入力シート!$J$22=入力リスト!$H$9),IF(C629="","「入社年月日」",""),"")&amp;IF(D629="","「性別」","")="","",入力リスト!$K$29),IF(J629,入力リスト!$K$30,"")&amp;IF(I629,入力リスト!$K$31,"")&amp;IF(H629,"「雇用形態」","")&amp;IF(K629,"「性別」","")&amp;IF(L629,"「役職」","")&amp;IF(OR(H629,K629,L629),入力リスト!$K$32,"")))))</f>
        <v/>
      </c>
      <c r="G629" s="298" t="b">
        <f>COUNTIF($A$4:A628,$A629)&gt;0</f>
        <v>0</v>
      </c>
      <c r="H629" s="298" t="b">
        <f>IF($H$1,FALSE,COUNTIF(入力シート!$S$37:$V$62,B629)=0)</f>
        <v>0</v>
      </c>
      <c r="I629" s="298" t="b">
        <f t="shared" si="19"/>
        <v>0</v>
      </c>
      <c r="J629" s="298" t="b">
        <f>IF($J$1,FALSE,IF(I629=TRUE,FALSE,IF(I629,FALSE,C629&gt;入力シート!$J$24)))</f>
        <v>0</v>
      </c>
      <c r="K629" s="298" t="b">
        <f>IF($K$1,FALSE,COUNTIF(入力シート!$AW$37:$BB$38,D629)=0)</f>
        <v>0</v>
      </c>
      <c r="L629" s="298" t="b">
        <f>IF($L$1,FALSE,IF($L$3,FALSE,IF(E629="",FALSE,COUNTIF(入力シート!$AH$37:$AK$62,E629)=0)))</f>
        <v>0</v>
      </c>
      <c r="M629" s="298" t="str">
        <f t="shared" si="20"/>
        <v/>
      </c>
      <c r="N629" s="298" t="str">
        <f>IF(G629,"この従業員番号は、すでに他のセルで入力されています。",IF(入力シート!$C$5=入力リスト!$C$4,"",IF(AND(A629="",B629="",C629="",D629="",E629=""),"",IF(OR(A629="",B629="",C629="",D629=""),IF(A629="","従業員番号","")&amp;IF(AND(A629="",OR(B629="",C629="",D629="")),",","")&amp;IF(B629="","雇用形態","")&amp;IF(AND(B629="",OR(C629="",D629="")),",","")&amp;IF(OR(入力シート!$J$18=入力リスト!$H$9,入力シート!$J$22=入力リスト!$H$9),IF(C629="","入社年月日",""),"")&amp;IF(AND(C629="",D629=""),",","")&amp;IF(D629="","性別","")&amp;IF(IF(A629="","従業員番号","")&amp;IF(B629="","雇用形態","")&amp;IF(OR(入力シート!$J$18=入力リスト!$H$9,入力シート!$J$22=入力リスト!$H$9),IF(C629="","入社年月日",""),"")&amp;IF(D629="","性別","")="","","が空白です。"),IF(J629,"入社年月日に「基準日」の翌日以降の日付が入力されています。","")&amp;IF(I629,"入社年月日に数値以外（又は1900/1/1以前の日付）が入力されています。","")&amp;IF(H629,"雇用形態"&amp;IF(OR(K629,L629),",",""),"")&amp;IF(K629,"性別"&amp;IF(L629,",",""),"")&amp;IF(L629,"役職","")&amp;IF(OR(H629,K629,L629),"に、［入力シート］(4)「貴社」欄と異なる文言が入力されています。","")))))</f>
        <v/>
      </c>
      <c r="O629" s="298" t="str">
        <f>IF(B629="","",VLOOKUP('従業員情報(給与以外)'!$B629,入力シート!$S$37:$Z$62,5,0))</f>
        <v/>
      </c>
      <c r="P629" s="298" t="str">
        <f>IF(ISNUMBER(C629)=FALSE,"",IF(C629&gt;入力シート!$J$24,"",_xlfn.DAYS(入力シート!$J$24,'従業員情報(給与以外)'!$C629)/365))</f>
        <v/>
      </c>
      <c r="Q629" s="298" t="str">
        <f>IF(P629="","",VLOOKUP(_xlfn.DAYS(入力シート!$J$24,'従業員情報(給与以外)'!$C629)/365,入力リスト!$K$18:$L$26,2,2))</f>
        <v/>
      </c>
      <c r="R629" s="298" t="str">
        <f>IF(D629="","",VLOOKUP('従業員情報(給与以外)'!$D629,入力シート!$AW$37:$BB$38,4,0))</f>
        <v/>
      </c>
      <c r="S629" s="298" t="str">
        <f>IF(A629="","",IF(E629="","非役職",VLOOKUP('従業員情報(給与以外)'!$E629,入力シート!$AH$37:$AO$62,5,0)))</f>
        <v/>
      </c>
      <c r="T629" s="299" t="str">
        <f>IF(OR(入力シート!$C$5&lt;&gt;入力リスト!$C$3,COUNTIF(入力シート!$J$16:$S$23,入力リスト!$H$9)=0),"",IF($A629="","",IF(ISERROR(AVERAGEIF(従業員の給与情報!$B:$B,$A629,従業員の給与情報!$C:$C)),0,IF(ISERROR(AVERAGEIF(従業員の給与情報!$B:$B,$A629,従業員の給与情報!$C:$C)),0,AVERAGEIF(従業員の給与情報!$B:$B,$A629,従業員の給与情報!$C:$C)))))</f>
        <v/>
      </c>
      <c r="U629" s="299" t="str">
        <f>IF(OR(入力シート!$C$5&lt;&gt;入力リスト!$C$3,COUNTIF(入力シート!$J$16:$S$23,入力リスト!$H$9)=0),"",IF(A629="","",IF(ISERROR(AVERAGEIF(従業員の給与情報!$B:$B,$A629,従業員の給与情報!$D:$D)),0,IF(ISERROR(AVERAGEIF(従業員の給与情報!$B:$B,$A629,従業員の給与情報!$D:$D)),0,AVERAGEIF(従業員の給与情報!$B:$B,$A629,従業員の給与情報!$D:$D)))))</f>
        <v/>
      </c>
      <c r="V629" s="299" t="str">
        <f>IF(OR(入力シート!$C$5&lt;&gt;入力リスト!$C$3,COUNTIF(入力シート!$J$16:$S$23,入力リスト!$H$9)=0),"",IF(A629="","",IF(ISERROR(AVERAGEIF(従業員の給与情報!$B:$B,$A629,従業員の給与情報!$E:$E)),0,IF(ISERROR(AVERAGEIF(従業員の給与情報!$B:$B,$A629,従業員の給与情報!$E:$E)),0,AVERAGEIF(従業員の給与情報!$B:$B,$A629,従業員の給与情報!$E:$E)))))</f>
        <v/>
      </c>
      <c r="W629" s="299" t="str">
        <f>IF(OR(入力シート!$C$5&lt;&gt;入力リスト!$C$3,COUNTIF(入力シート!$J$16:$S$23,入力リスト!$H$9)=0),"",IF(A629="","",IF(ISERROR(AVERAGEIF(従業員の給与情報!$B:$B,$A629,従業員の給与情報!$F:$F)),0,IF(ISERROR(AVERAGEIF(従業員の給与情報!$B:$B,$A629,従業員の給与情報!$F:$F)),0,AVERAGEIF(従業員の給与情報!$B:$B,$A629,従業員の給与情報!$F:$F)))))</f>
        <v/>
      </c>
      <c r="X629" s="581" t="s">
        <v>5368</v>
      </c>
    </row>
    <row r="630" spans="6:24">
      <c r="F630" s="297" t="str">
        <f>IF($G$1,"",IF(COUNTIF(A630:E630,"")=5,"",IF(G630,入力リスト!$K$28,IF(OR(A630="",B630="",IF(COUNTIF($C$3,"*不要*"),"",C630=""),D630=""),IF(A630="","従業員番号","")&amp;IF(B630="","「雇用形態」","")&amp;IF(OR(入力シート!$J$18=入力リスト!$H$9,入力シート!$J$22=入力リスト!$H$9),IF(C630="","「入社年月日」",""),"")&amp;IF(D630="","「性別」","")&amp;IF(IF(A630="","従業員番号","")&amp;IF(B630="","「雇用形態」","")&amp;IF(OR(入力シート!$J$18=入力リスト!$H$9,入力シート!$J$22=入力リスト!$H$9),IF(C630="","「入社年月日」",""),"")&amp;IF(D630="","「性別」","")="","",入力リスト!$K$29),IF(J630,入力リスト!$K$30,"")&amp;IF(I630,入力リスト!$K$31,"")&amp;IF(H630,"「雇用形態」","")&amp;IF(K630,"「性別」","")&amp;IF(L630,"「役職」","")&amp;IF(OR(H630,K630,L630),入力リスト!$K$32,"")))))</f>
        <v/>
      </c>
      <c r="G630" s="298" t="b">
        <f>COUNTIF($A$4:A629,$A630)&gt;0</f>
        <v>0</v>
      </c>
      <c r="H630" s="298" t="b">
        <f>IF($H$1,FALSE,COUNTIF(入力シート!$S$37:$V$62,B630)=0)</f>
        <v>0</v>
      </c>
      <c r="I630" s="298" t="b">
        <f t="shared" si="19"/>
        <v>0</v>
      </c>
      <c r="J630" s="298" t="b">
        <f>IF($J$1,FALSE,IF(I630=TRUE,FALSE,IF(I630,FALSE,C630&gt;入力シート!$J$24)))</f>
        <v>0</v>
      </c>
      <c r="K630" s="298" t="b">
        <f>IF($K$1,FALSE,COUNTIF(入力シート!$AW$37:$BB$38,D630)=0)</f>
        <v>0</v>
      </c>
      <c r="L630" s="298" t="b">
        <f>IF($L$1,FALSE,IF($L$3,FALSE,IF(E630="",FALSE,COUNTIF(入力シート!$AH$37:$AK$62,E630)=0)))</f>
        <v>0</v>
      </c>
      <c r="M630" s="298" t="str">
        <f t="shared" si="20"/>
        <v/>
      </c>
      <c r="N630" s="298" t="str">
        <f>IF(G630,"この従業員番号は、すでに他のセルで入力されています。",IF(入力シート!$C$5=入力リスト!$C$4,"",IF(AND(A630="",B630="",C630="",D630="",E630=""),"",IF(OR(A630="",B630="",C630="",D630=""),IF(A630="","従業員番号","")&amp;IF(AND(A630="",OR(B630="",C630="",D630="")),",","")&amp;IF(B630="","雇用形態","")&amp;IF(AND(B630="",OR(C630="",D630="")),",","")&amp;IF(OR(入力シート!$J$18=入力リスト!$H$9,入力シート!$J$22=入力リスト!$H$9),IF(C630="","入社年月日",""),"")&amp;IF(AND(C630="",D630=""),",","")&amp;IF(D630="","性別","")&amp;IF(IF(A630="","従業員番号","")&amp;IF(B630="","雇用形態","")&amp;IF(OR(入力シート!$J$18=入力リスト!$H$9,入力シート!$J$22=入力リスト!$H$9),IF(C630="","入社年月日",""),"")&amp;IF(D630="","性別","")="","","が空白です。"),IF(J630,"入社年月日に「基準日」の翌日以降の日付が入力されています。","")&amp;IF(I630,"入社年月日に数値以外（又は1900/1/1以前の日付）が入力されています。","")&amp;IF(H630,"雇用形態"&amp;IF(OR(K630,L630),",",""),"")&amp;IF(K630,"性別"&amp;IF(L630,",",""),"")&amp;IF(L630,"役職","")&amp;IF(OR(H630,K630,L630),"に、［入力シート］(4)「貴社」欄と異なる文言が入力されています。","")))))</f>
        <v/>
      </c>
      <c r="O630" s="298" t="str">
        <f>IF(B630="","",VLOOKUP('従業員情報(給与以外)'!$B630,入力シート!$S$37:$Z$62,5,0))</f>
        <v/>
      </c>
      <c r="P630" s="298" t="str">
        <f>IF(ISNUMBER(C630)=FALSE,"",IF(C630&gt;入力シート!$J$24,"",_xlfn.DAYS(入力シート!$J$24,'従業員情報(給与以外)'!$C630)/365))</f>
        <v/>
      </c>
      <c r="Q630" s="298" t="str">
        <f>IF(P630="","",VLOOKUP(_xlfn.DAYS(入力シート!$J$24,'従業員情報(給与以外)'!$C630)/365,入力リスト!$K$18:$L$26,2,2))</f>
        <v/>
      </c>
      <c r="R630" s="298" t="str">
        <f>IF(D630="","",VLOOKUP('従業員情報(給与以外)'!$D630,入力シート!$AW$37:$BB$38,4,0))</f>
        <v/>
      </c>
      <c r="S630" s="298" t="str">
        <f>IF(A630="","",IF(E630="","非役職",VLOOKUP('従業員情報(給与以外)'!$E630,入力シート!$AH$37:$AO$62,5,0)))</f>
        <v/>
      </c>
      <c r="T630" s="299" t="str">
        <f>IF(OR(入力シート!$C$5&lt;&gt;入力リスト!$C$3,COUNTIF(入力シート!$J$16:$S$23,入力リスト!$H$9)=0),"",IF($A630="","",IF(ISERROR(AVERAGEIF(従業員の給与情報!$B:$B,$A630,従業員の給与情報!$C:$C)),0,IF(ISERROR(AVERAGEIF(従業員の給与情報!$B:$B,$A630,従業員の給与情報!$C:$C)),0,AVERAGEIF(従業員の給与情報!$B:$B,$A630,従業員の給与情報!$C:$C)))))</f>
        <v/>
      </c>
      <c r="U630" s="299" t="str">
        <f>IF(OR(入力シート!$C$5&lt;&gt;入力リスト!$C$3,COUNTIF(入力シート!$J$16:$S$23,入力リスト!$H$9)=0),"",IF(A630="","",IF(ISERROR(AVERAGEIF(従業員の給与情報!$B:$B,$A630,従業員の給与情報!$D:$D)),0,IF(ISERROR(AVERAGEIF(従業員の給与情報!$B:$B,$A630,従業員の給与情報!$D:$D)),0,AVERAGEIF(従業員の給与情報!$B:$B,$A630,従業員の給与情報!$D:$D)))))</f>
        <v/>
      </c>
      <c r="V630" s="299" t="str">
        <f>IF(OR(入力シート!$C$5&lt;&gt;入力リスト!$C$3,COUNTIF(入力シート!$J$16:$S$23,入力リスト!$H$9)=0),"",IF(A630="","",IF(ISERROR(AVERAGEIF(従業員の給与情報!$B:$B,$A630,従業員の給与情報!$E:$E)),0,IF(ISERROR(AVERAGEIF(従業員の給与情報!$B:$B,$A630,従業員の給与情報!$E:$E)),0,AVERAGEIF(従業員の給与情報!$B:$B,$A630,従業員の給与情報!$E:$E)))))</f>
        <v/>
      </c>
      <c r="W630" s="299" t="str">
        <f>IF(OR(入力シート!$C$5&lt;&gt;入力リスト!$C$3,COUNTIF(入力シート!$J$16:$S$23,入力リスト!$H$9)=0),"",IF(A630="","",IF(ISERROR(AVERAGEIF(従業員の給与情報!$B:$B,$A630,従業員の給与情報!$F:$F)),0,IF(ISERROR(AVERAGEIF(従業員の給与情報!$B:$B,$A630,従業員の給与情報!$F:$F)),0,AVERAGEIF(従業員の給与情報!$B:$B,$A630,従業員の給与情報!$F:$F)))))</f>
        <v/>
      </c>
      <c r="X630" s="581" t="s">
        <v>5369</v>
      </c>
    </row>
    <row r="631" spans="6:24">
      <c r="F631" s="297" t="str">
        <f>IF($G$1,"",IF(COUNTIF(A631:E631,"")=5,"",IF(G631,入力リスト!$K$28,IF(OR(A631="",B631="",IF(COUNTIF($C$3,"*不要*"),"",C631=""),D631=""),IF(A631="","従業員番号","")&amp;IF(B631="","「雇用形態」","")&amp;IF(OR(入力シート!$J$18=入力リスト!$H$9,入力シート!$J$22=入力リスト!$H$9),IF(C631="","「入社年月日」",""),"")&amp;IF(D631="","「性別」","")&amp;IF(IF(A631="","従業員番号","")&amp;IF(B631="","「雇用形態」","")&amp;IF(OR(入力シート!$J$18=入力リスト!$H$9,入力シート!$J$22=入力リスト!$H$9),IF(C631="","「入社年月日」",""),"")&amp;IF(D631="","「性別」","")="","",入力リスト!$K$29),IF(J631,入力リスト!$K$30,"")&amp;IF(I631,入力リスト!$K$31,"")&amp;IF(H631,"「雇用形態」","")&amp;IF(K631,"「性別」","")&amp;IF(L631,"「役職」","")&amp;IF(OR(H631,K631,L631),入力リスト!$K$32,"")))))</f>
        <v/>
      </c>
      <c r="G631" s="298" t="b">
        <f>COUNTIF($A$4:A630,$A631)&gt;0</f>
        <v>0</v>
      </c>
      <c r="H631" s="298" t="b">
        <f>IF($H$1,FALSE,COUNTIF(入力シート!$S$37:$V$62,B631)=0)</f>
        <v>0</v>
      </c>
      <c r="I631" s="298" t="b">
        <f t="shared" ref="I631:I694" si="21">IF($I$1,IF(ISNUMBER(C631),FALSE,TRUE),FALSE)</f>
        <v>0</v>
      </c>
      <c r="J631" s="298" t="b">
        <f>IF($J$1,FALSE,IF(I631=TRUE,FALSE,IF(I631,FALSE,C631&gt;入力シート!$J$24)))</f>
        <v>0</v>
      </c>
      <c r="K631" s="298" t="b">
        <f>IF($K$1,FALSE,COUNTIF(入力シート!$AW$37:$BB$38,D631)=0)</f>
        <v>0</v>
      </c>
      <c r="L631" s="298" t="b">
        <f>IF($L$1,FALSE,IF($L$3,FALSE,IF(E631="",FALSE,COUNTIF(入力シート!$AH$37:$AK$62,E631)=0)))</f>
        <v>0</v>
      </c>
      <c r="M631" s="298" t="str">
        <f t="shared" ref="M631:M694" si="22">IF(COUNTIF(F631,"*入社年月日に数値以外*"),"※1900/0/0以前は数値として認識されません。","")</f>
        <v/>
      </c>
      <c r="N631" s="298" t="str">
        <f>IF(G631,"この従業員番号は、すでに他のセルで入力されています。",IF(入力シート!$C$5=入力リスト!$C$4,"",IF(AND(A631="",B631="",C631="",D631="",E631=""),"",IF(OR(A631="",B631="",C631="",D631=""),IF(A631="","従業員番号","")&amp;IF(AND(A631="",OR(B631="",C631="",D631="")),",","")&amp;IF(B631="","雇用形態","")&amp;IF(AND(B631="",OR(C631="",D631="")),",","")&amp;IF(OR(入力シート!$J$18=入力リスト!$H$9,入力シート!$J$22=入力リスト!$H$9),IF(C631="","入社年月日",""),"")&amp;IF(AND(C631="",D631=""),",","")&amp;IF(D631="","性別","")&amp;IF(IF(A631="","従業員番号","")&amp;IF(B631="","雇用形態","")&amp;IF(OR(入力シート!$J$18=入力リスト!$H$9,入力シート!$J$22=入力リスト!$H$9),IF(C631="","入社年月日",""),"")&amp;IF(D631="","性別","")="","","が空白です。"),IF(J631,"入社年月日に「基準日」の翌日以降の日付が入力されています。","")&amp;IF(I631,"入社年月日に数値以外（又は1900/1/1以前の日付）が入力されています。","")&amp;IF(H631,"雇用形態"&amp;IF(OR(K631,L631),",",""),"")&amp;IF(K631,"性別"&amp;IF(L631,",",""),"")&amp;IF(L631,"役職","")&amp;IF(OR(H631,K631,L631),"に、［入力シート］(4)「貴社」欄と異なる文言が入力されています。","")))))</f>
        <v/>
      </c>
      <c r="O631" s="298" t="str">
        <f>IF(B631="","",VLOOKUP('従業員情報(給与以外)'!$B631,入力シート!$S$37:$Z$62,5,0))</f>
        <v/>
      </c>
      <c r="P631" s="298" t="str">
        <f>IF(ISNUMBER(C631)=FALSE,"",IF(C631&gt;入力シート!$J$24,"",_xlfn.DAYS(入力シート!$J$24,'従業員情報(給与以外)'!$C631)/365))</f>
        <v/>
      </c>
      <c r="Q631" s="298" t="str">
        <f>IF(P631="","",VLOOKUP(_xlfn.DAYS(入力シート!$J$24,'従業員情報(給与以外)'!$C631)/365,入力リスト!$K$18:$L$26,2,2))</f>
        <v/>
      </c>
      <c r="R631" s="298" t="str">
        <f>IF(D631="","",VLOOKUP('従業員情報(給与以外)'!$D631,入力シート!$AW$37:$BB$38,4,0))</f>
        <v/>
      </c>
      <c r="S631" s="298" t="str">
        <f>IF(A631="","",IF(E631="","非役職",VLOOKUP('従業員情報(給与以外)'!$E631,入力シート!$AH$37:$AO$62,5,0)))</f>
        <v/>
      </c>
      <c r="T631" s="299" t="str">
        <f>IF(OR(入力シート!$C$5&lt;&gt;入力リスト!$C$3,COUNTIF(入力シート!$J$16:$S$23,入力リスト!$H$9)=0),"",IF($A631="","",IF(ISERROR(AVERAGEIF(従業員の給与情報!$B:$B,$A631,従業員の給与情報!$C:$C)),0,IF(ISERROR(AVERAGEIF(従業員の給与情報!$B:$B,$A631,従業員の給与情報!$C:$C)),0,AVERAGEIF(従業員の給与情報!$B:$B,$A631,従業員の給与情報!$C:$C)))))</f>
        <v/>
      </c>
      <c r="U631" s="299" t="str">
        <f>IF(OR(入力シート!$C$5&lt;&gt;入力リスト!$C$3,COUNTIF(入力シート!$J$16:$S$23,入力リスト!$H$9)=0),"",IF(A631="","",IF(ISERROR(AVERAGEIF(従業員の給与情報!$B:$B,$A631,従業員の給与情報!$D:$D)),0,IF(ISERROR(AVERAGEIF(従業員の給与情報!$B:$B,$A631,従業員の給与情報!$D:$D)),0,AVERAGEIF(従業員の給与情報!$B:$B,$A631,従業員の給与情報!$D:$D)))))</f>
        <v/>
      </c>
      <c r="V631" s="299" t="str">
        <f>IF(OR(入力シート!$C$5&lt;&gt;入力リスト!$C$3,COUNTIF(入力シート!$J$16:$S$23,入力リスト!$H$9)=0),"",IF(A631="","",IF(ISERROR(AVERAGEIF(従業員の給与情報!$B:$B,$A631,従業員の給与情報!$E:$E)),0,IF(ISERROR(AVERAGEIF(従業員の給与情報!$B:$B,$A631,従業員の給与情報!$E:$E)),0,AVERAGEIF(従業員の給与情報!$B:$B,$A631,従業員の給与情報!$E:$E)))))</f>
        <v/>
      </c>
      <c r="W631" s="299" t="str">
        <f>IF(OR(入力シート!$C$5&lt;&gt;入力リスト!$C$3,COUNTIF(入力シート!$J$16:$S$23,入力リスト!$H$9)=0),"",IF(A631="","",IF(ISERROR(AVERAGEIF(従業員の給与情報!$B:$B,$A631,従業員の給与情報!$F:$F)),0,IF(ISERROR(AVERAGEIF(従業員の給与情報!$B:$B,$A631,従業員の給与情報!$F:$F)),0,AVERAGEIF(従業員の給与情報!$B:$B,$A631,従業員の給与情報!$F:$F)))))</f>
        <v/>
      </c>
      <c r="X631" s="581" t="s">
        <v>5370</v>
      </c>
    </row>
    <row r="632" spans="6:24">
      <c r="F632" s="297" t="str">
        <f>IF($G$1,"",IF(COUNTIF(A632:E632,"")=5,"",IF(G632,入力リスト!$K$28,IF(OR(A632="",B632="",IF(COUNTIF($C$3,"*不要*"),"",C632=""),D632=""),IF(A632="","従業員番号","")&amp;IF(B632="","「雇用形態」","")&amp;IF(OR(入力シート!$J$18=入力リスト!$H$9,入力シート!$J$22=入力リスト!$H$9),IF(C632="","「入社年月日」",""),"")&amp;IF(D632="","「性別」","")&amp;IF(IF(A632="","従業員番号","")&amp;IF(B632="","「雇用形態」","")&amp;IF(OR(入力シート!$J$18=入力リスト!$H$9,入力シート!$J$22=入力リスト!$H$9),IF(C632="","「入社年月日」",""),"")&amp;IF(D632="","「性別」","")="","",入力リスト!$K$29),IF(J632,入力リスト!$K$30,"")&amp;IF(I632,入力リスト!$K$31,"")&amp;IF(H632,"「雇用形態」","")&amp;IF(K632,"「性別」","")&amp;IF(L632,"「役職」","")&amp;IF(OR(H632,K632,L632),入力リスト!$K$32,"")))))</f>
        <v/>
      </c>
      <c r="G632" s="298" t="b">
        <f>COUNTIF($A$4:A631,$A632)&gt;0</f>
        <v>0</v>
      </c>
      <c r="H632" s="298" t="b">
        <f>IF($H$1,FALSE,COUNTIF(入力シート!$S$37:$V$62,B632)=0)</f>
        <v>0</v>
      </c>
      <c r="I632" s="298" t="b">
        <f t="shared" si="21"/>
        <v>0</v>
      </c>
      <c r="J632" s="298" t="b">
        <f>IF($J$1,FALSE,IF(I632=TRUE,FALSE,IF(I632,FALSE,C632&gt;入力シート!$J$24)))</f>
        <v>0</v>
      </c>
      <c r="K632" s="298" t="b">
        <f>IF($K$1,FALSE,COUNTIF(入力シート!$AW$37:$BB$38,D632)=0)</f>
        <v>0</v>
      </c>
      <c r="L632" s="298" t="b">
        <f>IF($L$1,FALSE,IF($L$3,FALSE,IF(E632="",FALSE,COUNTIF(入力シート!$AH$37:$AK$62,E632)=0)))</f>
        <v>0</v>
      </c>
      <c r="M632" s="298" t="str">
        <f t="shared" si="22"/>
        <v/>
      </c>
      <c r="N632" s="298" t="str">
        <f>IF(G632,"この従業員番号は、すでに他のセルで入力されています。",IF(入力シート!$C$5=入力リスト!$C$4,"",IF(AND(A632="",B632="",C632="",D632="",E632=""),"",IF(OR(A632="",B632="",C632="",D632=""),IF(A632="","従業員番号","")&amp;IF(AND(A632="",OR(B632="",C632="",D632="")),",","")&amp;IF(B632="","雇用形態","")&amp;IF(AND(B632="",OR(C632="",D632="")),",","")&amp;IF(OR(入力シート!$J$18=入力リスト!$H$9,入力シート!$J$22=入力リスト!$H$9),IF(C632="","入社年月日",""),"")&amp;IF(AND(C632="",D632=""),",","")&amp;IF(D632="","性別","")&amp;IF(IF(A632="","従業員番号","")&amp;IF(B632="","雇用形態","")&amp;IF(OR(入力シート!$J$18=入力リスト!$H$9,入力シート!$J$22=入力リスト!$H$9),IF(C632="","入社年月日",""),"")&amp;IF(D632="","性別","")="","","が空白です。"),IF(J632,"入社年月日に「基準日」の翌日以降の日付が入力されています。","")&amp;IF(I632,"入社年月日に数値以外（又は1900/1/1以前の日付）が入力されています。","")&amp;IF(H632,"雇用形態"&amp;IF(OR(K632,L632),",",""),"")&amp;IF(K632,"性別"&amp;IF(L632,",",""),"")&amp;IF(L632,"役職","")&amp;IF(OR(H632,K632,L632),"に、［入力シート］(4)「貴社」欄と異なる文言が入力されています。","")))))</f>
        <v/>
      </c>
      <c r="O632" s="298" t="str">
        <f>IF(B632="","",VLOOKUP('従業員情報(給与以外)'!$B632,入力シート!$S$37:$Z$62,5,0))</f>
        <v/>
      </c>
      <c r="P632" s="298" t="str">
        <f>IF(ISNUMBER(C632)=FALSE,"",IF(C632&gt;入力シート!$J$24,"",_xlfn.DAYS(入力シート!$J$24,'従業員情報(給与以外)'!$C632)/365))</f>
        <v/>
      </c>
      <c r="Q632" s="298" t="str">
        <f>IF(P632="","",VLOOKUP(_xlfn.DAYS(入力シート!$J$24,'従業員情報(給与以外)'!$C632)/365,入力リスト!$K$18:$L$26,2,2))</f>
        <v/>
      </c>
      <c r="R632" s="298" t="str">
        <f>IF(D632="","",VLOOKUP('従業員情報(給与以外)'!$D632,入力シート!$AW$37:$BB$38,4,0))</f>
        <v/>
      </c>
      <c r="S632" s="298" t="str">
        <f>IF(A632="","",IF(E632="","非役職",VLOOKUP('従業員情報(給与以外)'!$E632,入力シート!$AH$37:$AO$62,5,0)))</f>
        <v/>
      </c>
      <c r="T632" s="299" t="str">
        <f>IF(OR(入力シート!$C$5&lt;&gt;入力リスト!$C$3,COUNTIF(入力シート!$J$16:$S$23,入力リスト!$H$9)=0),"",IF($A632="","",IF(ISERROR(AVERAGEIF(従業員の給与情報!$B:$B,$A632,従業員の給与情報!$C:$C)),0,IF(ISERROR(AVERAGEIF(従業員の給与情報!$B:$B,$A632,従業員の給与情報!$C:$C)),0,AVERAGEIF(従業員の給与情報!$B:$B,$A632,従業員の給与情報!$C:$C)))))</f>
        <v/>
      </c>
      <c r="U632" s="299" t="str">
        <f>IF(OR(入力シート!$C$5&lt;&gt;入力リスト!$C$3,COUNTIF(入力シート!$J$16:$S$23,入力リスト!$H$9)=0),"",IF(A632="","",IF(ISERROR(AVERAGEIF(従業員の給与情報!$B:$B,$A632,従業員の給与情報!$D:$D)),0,IF(ISERROR(AVERAGEIF(従業員の給与情報!$B:$B,$A632,従業員の給与情報!$D:$D)),0,AVERAGEIF(従業員の給与情報!$B:$B,$A632,従業員の給与情報!$D:$D)))))</f>
        <v/>
      </c>
      <c r="V632" s="299" t="str">
        <f>IF(OR(入力シート!$C$5&lt;&gt;入力リスト!$C$3,COUNTIF(入力シート!$J$16:$S$23,入力リスト!$H$9)=0),"",IF(A632="","",IF(ISERROR(AVERAGEIF(従業員の給与情報!$B:$B,$A632,従業員の給与情報!$E:$E)),0,IF(ISERROR(AVERAGEIF(従業員の給与情報!$B:$B,$A632,従業員の給与情報!$E:$E)),0,AVERAGEIF(従業員の給与情報!$B:$B,$A632,従業員の給与情報!$E:$E)))))</f>
        <v/>
      </c>
      <c r="W632" s="299" t="str">
        <f>IF(OR(入力シート!$C$5&lt;&gt;入力リスト!$C$3,COUNTIF(入力シート!$J$16:$S$23,入力リスト!$H$9)=0),"",IF(A632="","",IF(ISERROR(AVERAGEIF(従業員の給与情報!$B:$B,$A632,従業員の給与情報!$F:$F)),0,IF(ISERROR(AVERAGEIF(従業員の給与情報!$B:$B,$A632,従業員の給与情報!$F:$F)),0,AVERAGEIF(従業員の給与情報!$B:$B,$A632,従業員の給与情報!$F:$F)))))</f>
        <v/>
      </c>
      <c r="X632" s="581" t="s">
        <v>5371</v>
      </c>
    </row>
    <row r="633" spans="6:24">
      <c r="F633" s="297" t="str">
        <f>IF($G$1,"",IF(COUNTIF(A633:E633,"")=5,"",IF(G633,入力リスト!$K$28,IF(OR(A633="",B633="",IF(COUNTIF($C$3,"*不要*"),"",C633=""),D633=""),IF(A633="","従業員番号","")&amp;IF(B633="","「雇用形態」","")&amp;IF(OR(入力シート!$J$18=入力リスト!$H$9,入力シート!$J$22=入力リスト!$H$9),IF(C633="","「入社年月日」",""),"")&amp;IF(D633="","「性別」","")&amp;IF(IF(A633="","従業員番号","")&amp;IF(B633="","「雇用形態」","")&amp;IF(OR(入力シート!$J$18=入力リスト!$H$9,入力シート!$J$22=入力リスト!$H$9),IF(C633="","「入社年月日」",""),"")&amp;IF(D633="","「性別」","")="","",入力リスト!$K$29),IF(J633,入力リスト!$K$30,"")&amp;IF(I633,入力リスト!$K$31,"")&amp;IF(H633,"「雇用形態」","")&amp;IF(K633,"「性別」","")&amp;IF(L633,"「役職」","")&amp;IF(OR(H633,K633,L633),入力リスト!$K$32,"")))))</f>
        <v/>
      </c>
      <c r="G633" s="298" t="b">
        <f>COUNTIF($A$4:A632,$A633)&gt;0</f>
        <v>0</v>
      </c>
      <c r="H633" s="298" t="b">
        <f>IF($H$1,FALSE,COUNTIF(入力シート!$S$37:$V$62,B633)=0)</f>
        <v>0</v>
      </c>
      <c r="I633" s="298" t="b">
        <f t="shared" si="21"/>
        <v>0</v>
      </c>
      <c r="J633" s="298" t="b">
        <f>IF($J$1,FALSE,IF(I633=TRUE,FALSE,IF(I633,FALSE,C633&gt;入力シート!$J$24)))</f>
        <v>0</v>
      </c>
      <c r="K633" s="298" t="b">
        <f>IF($K$1,FALSE,COUNTIF(入力シート!$AW$37:$BB$38,D633)=0)</f>
        <v>0</v>
      </c>
      <c r="L633" s="298" t="b">
        <f>IF($L$1,FALSE,IF($L$3,FALSE,IF(E633="",FALSE,COUNTIF(入力シート!$AH$37:$AK$62,E633)=0)))</f>
        <v>0</v>
      </c>
      <c r="M633" s="298" t="str">
        <f t="shared" si="22"/>
        <v/>
      </c>
      <c r="N633" s="298" t="str">
        <f>IF(G633,"この従業員番号は、すでに他のセルで入力されています。",IF(入力シート!$C$5=入力リスト!$C$4,"",IF(AND(A633="",B633="",C633="",D633="",E633=""),"",IF(OR(A633="",B633="",C633="",D633=""),IF(A633="","従業員番号","")&amp;IF(AND(A633="",OR(B633="",C633="",D633="")),",","")&amp;IF(B633="","雇用形態","")&amp;IF(AND(B633="",OR(C633="",D633="")),",","")&amp;IF(OR(入力シート!$J$18=入力リスト!$H$9,入力シート!$J$22=入力リスト!$H$9),IF(C633="","入社年月日",""),"")&amp;IF(AND(C633="",D633=""),",","")&amp;IF(D633="","性別","")&amp;IF(IF(A633="","従業員番号","")&amp;IF(B633="","雇用形態","")&amp;IF(OR(入力シート!$J$18=入力リスト!$H$9,入力シート!$J$22=入力リスト!$H$9),IF(C633="","入社年月日",""),"")&amp;IF(D633="","性別","")="","","が空白です。"),IF(J633,"入社年月日に「基準日」の翌日以降の日付が入力されています。","")&amp;IF(I633,"入社年月日に数値以外（又は1900/1/1以前の日付）が入力されています。","")&amp;IF(H633,"雇用形態"&amp;IF(OR(K633,L633),",",""),"")&amp;IF(K633,"性別"&amp;IF(L633,",",""),"")&amp;IF(L633,"役職","")&amp;IF(OR(H633,K633,L633),"に、［入力シート］(4)「貴社」欄と異なる文言が入力されています。","")))))</f>
        <v/>
      </c>
      <c r="O633" s="298" t="str">
        <f>IF(B633="","",VLOOKUP('従業員情報(給与以外)'!$B633,入力シート!$S$37:$Z$62,5,0))</f>
        <v/>
      </c>
      <c r="P633" s="298" t="str">
        <f>IF(ISNUMBER(C633)=FALSE,"",IF(C633&gt;入力シート!$J$24,"",_xlfn.DAYS(入力シート!$J$24,'従業員情報(給与以外)'!$C633)/365))</f>
        <v/>
      </c>
      <c r="Q633" s="298" t="str">
        <f>IF(P633="","",VLOOKUP(_xlfn.DAYS(入力シート!$J$24,'従業員情報(給与以外)'!$C633)/365,入力リスト!$K$18:$L$26,2,2))</f>
        <v/>
      </c>
      <c r="R633" s="298" t="str">
        <f>IF(D633="","",VLOOKUP('従業員情報(給与以外)'!$D633,入力シート!$AW$37:$BB$38,4,0))</f>
        <v/>
      </c>
      <c r="S633" s="298" t="str">
        <f>IF(A633="","",IF(E633="","非役職",VLOOKUP('従業員情報(給与以外)'!$E633,入力シート!$AH$37:$AO$62,5,0)))</f>
        <v/>
      </c>
      <c r="T633" s="299" t="str">
        <f>IF(OR(入力シート!$C$5&lt;&gt;入力リスト!$C$3,COUNTIF(入力シート!$J$16:$S$23,入力リスト!$H$9)=0),"",IF($A633="","",IF(ISERROR(AVERAGEIF(従業員の給与情報!$B:$B,$A633,従業員の給与情報!$C:$C)),0,IF(ISERROR(AVERAGEIF(従業員の給与情報!$B:$B,$A633,従業員の給与情報!$C:$C)),0,AVERAGEIF(従業員の給与情報!$B:$B,$A633,従業員の給与情報!$C:$C)))))</f>
        <v/>
      </c>
      <c r="U633" s="299" t="str">
        <f>IF(OR(入力シート!$C$5&lt;&gt;入力リスト!$C$3,COUNTIF(入力シート!$J$16:$S$23,入力リスト!$H$9)=0),"",IF(A633="","",IF(ISERROR(AVERAGEIF(従業員の給与情報!$B:$B,$A633,従業員の給与情報!$D:$D)),0,IF(ISERROR(AVERAGEIF(従業員の給与情報!$B:$B,$A633,従業員の給与情報!$D:$D)),0,AVERAGEIF(従業員の給与情報!$B:$B,$A633,従業員の給与情報!$D:$D)))))</f>
        <v/>
      </c>
      <c r="V633" s="299" t="str">
        <f>IF(OR(入力シート!$C$5&lt;&gt;入力リスト!$C$3,COUNTIF(入力シート!$J$16:$S$23,入力リスト!$H$9)=0),"",IF(A633="","",IF(ISERROR(AVERAGEIF(従業員の給与情報!$B:$B,$A633,従業員の給与情報!$E:$E)),0,IF(ISERROR(AVERAGEIF(従業員の給与情報!$B:$B,$A633,従業員の給与情報!$E:$E)),0,AVERAGEIF(従業員の給与情報!$B:$B,$A633,従業員の給与情報!$E:$E)))))</f>
        <v/>
      </c>
      <c r="W633" s="299" t="str">
        <f>IF(OR(入力シート!$C$5&lt;&gt;入力リスト!$C$3,COUNTIF(入力シート!$J$16:$S$23,入力リスト!$H$9)=0),"",IF(A633="","",IF(ISERROR(AVERAGEIF(従業員の給与情報!$B:$B,$A633,従業員の給与情報!$F:$F)),0,IF(ISERROR(AVERAGEIF(従業員の給与情報!$B:$B,$A633,従業員の給与情報!$F:$F)),0,AVERAGEIF(従業員の給与情報!$B:$B,$A633,従業員の給与情報!$F:$F)))))</f>
        <v/>
      </c>
      <c r="X633" s="581" t="s">
        <v>5372</v>
      </c>
    </row>
    <row r="634" spans="6:24">
      <c r="F634" s="297" t="str">
        <f>IF($G$1,"",IF(COUNTIF(A634:E634,"")=5,"",IF(G634,入力リスト!$K$28,IF(OR(A634="",B634="",IF(COUNTIF($C$3,"*不要*"),"",C634=""),D634=""),IF(A634="","従業員番号","")&amp;IF(B634="","「雇用形態」","")&amp;IF(OR(入力シート!$J$18=入力リスト!$H$9,入力シート!$J$22=入力リスト!$H$9),IF(C634="","「入社年月日」",""),"")&amp;IF(D634="","「性別」","")&amp;IF(IF(A634="","従業員番号","")&amp;IF(B634="","「雇用形態」","")&amp;IF(OR(入力シート!$J$18=入力リスト!$H$9,入力シート!$J$22=入力リスト!$H$9),IF(C634="","「入社年月日」",""),"")&amp;IF(D634="","「性別」","")="","",入力リスト!$K$29),IF(J634,入力リスト!$K$30,"")&amp;IF(I634,入力リスト!$K$31,"")&amp;IF(H634,"「雇用形態」","")&amp;IF(K634,"「性別」","")&amp;IF(L634,"「役職」","")&amp;IF(OR(H634,K634,L634),入力リスト!$K$32,"")))))</f>
        <v/>
      </c>
      <c r="G634" s="298" t="b">
        <f>COUNTIF($A$4:A633,$A634)&gt;0</f>
        <v>0</v>
      </c>
      <c r="H634" s="298" t="b">
        <f>IF($H$1,FALSE,COUNTIF(入力シート!$S$37:$V$62,B634)=0)</f>
        <v>0</v>
      </c>
      <c r="I634" s="298" t="b">
        <f t="shared" si="21"/>
        <v>0</v>
      </c>
      <c r="J634" s="298" t="b">
        <f>IF($J$1,FALSE,IF(I634=TRUE,FALSE,IF(I634,FALSE,C634&gt;入力シート!$J$24)))</f>
        <v>0</v>
      </c>
      <c r="K634" s="298" t="b">
        <f>IF($K$1,FALSE,COUNTIF(入力シート!$AW$37:$BB$38,D634)=0)</f>
        <v>0</v>
      </c>
      <c r="L634" s="298" t="b">
        <f>IF($L$1,FALSE,IF($L$3,FALSE,IF(E634="",FALSE,COUNTIF(入力シート!$AH$37:$AK$62,E634)=0)))</f>
        <v>0</v>
      </c>
      <c r="M634" s="298" t="str">
        <f t="shared" si="22"/>
        <v/>
      </c>
      <c r="N634" s="298" t="str">
        <f>IF(G634,"この従業員番号は、すでに他のセルで入力されています。",IF(入力シート!$C$5=入力リスト!$C$4,"",IF(AND(A634="",B634="",C634="",D634="",E634=""),"",IF(OR(A634="",B634="",C634="",D634=""),IF(A634="","従業員番号","")&amp;IF(AND(A634="",OR(B634="",C634="",D634="")),",","")&amp;IF(B634="","雇用形態","")&amp;IF(AND(B634="",OR(C634="",D634="")),",","")&amp;IF(OR(入力シート!$J$18=入力リスト!$H$9,入力シート!$J$22=入力リスト!$H$9),IF(C634="","入社年月日",""),"")&amp;IF(AND(C634="",D634=""),",","")&amp;IF(D634="","性別","")&amp;IF(IF(A634="","従業員番号","")&amp;IF(B634="","雇用形態","")&amp;IF(OR(入力シート!$J$18=入力リスト!$H$9,入力シート!$J$22=入力リスト!$H$9),IF(C634="","入社年月日",""),"")&amp;IF(D634="","性別","")="","","が空白です。"),IF(J634,"入社年月日に「基準日」の翌日以降の日付が入力されています。","")&amp;IF(I634,"入社年月日に数値以外（又は1900/1/1以前の日付）が入力されています。","")&amp;IF(H634,"雇用形態"&amp;IF(OR(K634,L634),",",""),"")&amp;IF(K634,"性別"&amp;IF(L634,",",""),"")&amp;IF(L634,"役職","")&amp;IF(OR(H634,K634,L634),"に、［入力シート］(4)「貴社」欄と異なる文言が入力されています。","")))))</f>
        <v/>
      </c>
      <c r="O634" s="298" t="str">
        <f>IF(B634="","",VLOOKUP('従業員情報(給与以外)'!$B634,入力シート!$S$37:$Z$62,5,0))</f>
        <v/>
      </c>
      <c r="P634" s="298" t="str">
        <f>IF(ISNUMBER(C634)=FALSE,"",IF(C634&gt;入力シート!$J$24,"",_xlfn.DAYS(入力シート!$J$24,'従業員情報(給与以外)'!$C634)/365))</f>
        <v/>
      </c>
      <c r="Q634" s="298" t="str">
        <f>IF(P634="","",VLOOKUP(_xlfn.DAYS(入力シート!$J$24,'従業員情報(給与以外)'!$C634)/365,入力リスト!$K$18:$L$26,2,2))</f>
        <v/>
      </c>
      <c r="R634" s="298" t="str">
        <f>IF(D634="","",VLOOKUP('従業員情報(給与以外)'!$D634,入力シート!$AW$37:$BB$38,4,0))</f>
        <v/>
      </c>
      <c r="S634" s="298" t="str">
        <f>IF(A634="","",IF(E634="","非役職",VLOOKUP('従業員情報(給与以外)'!$E634,入力シート!$AH$37:$AO$62,5,0)))</f>
        <v/>
      </c>
      <c r="T634" s="299" t="str">
        <f>IF(OR(入力シート!$C$5&lt;&gt;入力リスト!$C$3,COUNTIF(入力シート!$J$16:$S$23,入力リスト!$H$9)=0),"",IF($A634="","",IF(ISERROR(AVERAGEIF(従業員の給与情報!$B:$B,$A634,従業員の給与情報!$C:$C)),0,IF(ISERROR(AVERAGEIF(従業員の給与情報!$B:$B,$A634,従業員の給与情報!$C:$C)),0,AVERAGEIF(従業員の給与情報!$B:$B,$A634,従業員の給与情報!$C:$C)))))</f>
        <v/>
      </c>
      <c r="U634" s="299" t="str">
        <f>IF(OR(入力シート!$C$5&lt;&gt;入力リスト!$C$3,COUNTIF(入力シート!$J$16:$S$23,入力リスト!$H$9)=0),"",IF(A634="","",IF(ISERROR(AVERAGEIF(従業員の給与情報!$B:$B,$A634,従業員の給与情報!$D:$D)),0,IF(ISERROR(AVERAGEIF(従業員の給与情報!$B:$B,$A634,従業員の給与情報!$D:$D)),0,AVERAGEIF(従業員の給与情報!$B:$B,$A634,従業員の給与情報!$D:$D)))))</f>
        <v/>
      </c>
      <c r="V634" s="299" t="str">
        <f>IF(OR(入力シート!$C$5&lt;&gt;入力リスト!$C$3,COUNTIF(入力シート!$J$16:$S$23,入力リスト!$H$9)=0),"",IF(A634="","",IF(ISERROR(AVERAGEIF(従業員の給与情報!$B:$B,$A634,従業員の給与情報!$E:$E)),0,IF(ISERROR(AVERAGEIF(従業員の給与情報!$B:$B,$A634,従業員の給与情報!$E:$E)),0,AVERAGEIF(従業員の給与情報!$B:$B,$A634,従業員の給与情報!$E:$E)))))</f>
        <v/>
      </c>
      <c r="W634" s="299" t="str">
        <f>IF(OR(入力シート!$C$5&lt;&gt;入力リスト!$C$3,COUNTIF(入力シート!$J$16:$S$23,入力リスト!$H$9)=0),"",IF(A634="","",IF(ISERROR(AVERAGEIF(従業員の給与情報!$B:$B,$A634,従業員の給与情報!$F:$F)),0,IF(ISERROR(AVERAGEIF(従業員の給与情報!$B:$B,$A634,従業員の給与情報!$F:$F)),0,AVERAGEIF(従業員の給与情報!$B:$B,$A634,従業員の給与情報!$F:$F)))))</f>
        <v/>
      </c>
      <c r="X634" s="581" t="s">
        <v>5373</v>
      </c>
    </row>
    <row r="635" spans="6:24">
      <c r="F635" s="297" t="str">
        <f>IF($G$1,"",IF(COUNTIF(A635:E635,"")=5,"",IF(G635,入力リスト!$K$28,IF(OR(A635="",B635="",IF(COUNTIF($C$3,"*不要*"),"",C635=""),D635=""),IF(A635="","従業員番号","")&amp;IF(B635="","「雇用形態」","")&amp;IF(OR(入力シート!$J$18=入力リスト!$H$9,入力シート!$J$22=入力リスト!$H$9),IF(C635="","「入社年月日」",""),"")&amp;IF(D635="","「性別」","")&amp;IF(IF(A635="","従業員番号","")&amp;IF(B635="","「雇用形態」","")&amp;IF(OR(入力シート!$J$18=入力リスト!$H$9,入力シート!$J$22=入力リスト!$H$9),IF(C635="","「入社年月日」",""),"")&amp;IF(D635="","「性別」","")="","",入力リスト!$K$29),IF(J635,入力リスト!$K$30,"")&amp;IF(I635,入力リスト!$K$31,"")&amp;IF(H635,"「雇用形態」","")&amp;IF(K635,"「性別」","")&amp;IF(L635,"「役職」","")&amp;IF(OR(H635,K635,L635),入力リスト!$K$32,"")))))</f>
        <v/>
      </c>
      <c r="G635" s="298" t="b">
        <f>COUNTIF($A$4:A634,$A635)&gt;0</f>
        <v>0</v>
      </c>
      <c r="H635" s="298" t="b">
        <f>IF($H$1,FALSE,COUNTIF(入力シート!$S$37:$V$62,B635)=0)</f>
        <v>0</v>
      </c>
      <c r="I635" s="298" t="b">
        <f t="shared" si="21"/>
        <v>0</v>
      </c>
      <c r="J635" s="298" t="b">
        <f>IF($J$1,FALSE,IF(I635=TRUE,FALSE,IF(I635,FALSE,C635&gt;入力シート!$J$24)))</f>
        <v>0</v>
      </c>
      <c r="K635" s="298" t="b">
        <f>IF($K$1,FALSE,COUNTIF(入力シート!$AW$37:$BB$38,D635)=0)</f>
        <v>0</v>
      </c>
      <c r="L635" s="298" t="b">
        <f>IF($L$1,FALSE,IF($L$3,FALSE,IF(E635="",FALSE,COUNTIF(入力シート!$AH$37:$AK$62,E635)=0)))</f>
        <v>0</v>
      </c>
      <c r="M635" s="298" t="str">
        <f t="shared" si="22"/>
        <v/>
      </c>
      <c r="N635" s="298" t="str">
        <f>IF(G635,"この従業員番号は、すでに他のセルで入力されています。",IF(入力シート!$C$5=入力リスト!$C$4,"",IF(AND(A635="",B635="",C635="",D635="",E635=""),"",IF(OR(A635="",B635="",C635="",D635=""),IF(A635="","従業員番号","")&amp;IF(AND(A635="",OR(B635="",C635="",D635="")),",","")&amp;IF(B635="","雇用形態","")&amp;IF(AND(B635="",OR(C635="",D635="")),",","")&amp;IF(OR(入力シート!$J$18=入力リスト!$H$9,入力シート!$J$22=入力リスト!$H$9),IF(C635="","入社年月日",""),"")&amp;IF(AND(C635="",D635=""),",","")&amp;IF(D635="","性別","")&amp;IF(IF(A635="","従業員番号","")&amp;IF(B635="","雇用形態","")&amp;IF(OR(入力シート!$J$18=入力リスト!$H$9,入力シート!$J$22=入力リスト!$H$9),IF(C635="","入社年月日",""),"")&amp;IF(D635="","性別","")="","","が空白です。"),IF(J635,"入社年月日に「基準日」の翌日以降の日付が入力されています。","")&amp;IF(I635,"入社年月日に数値以外（又は1900/1/1以前の日付）が入力されています。","")&amp;IF(H635,"雇用形態"&amp;IF(OR(K635,L635),",",""),"")&amp;IF(K635,"性別"&amp;IF(L635,",",""),"")&amp;IF(L635,"役職","")&amp;IF(OR(H635,K635,L635),"に、［入力シート］(4)「貴社」欄と異なる文言が入力されています。","")))))</f>
        <v/>
      </c>
      <c r="O635" s="298" t="str">
        <f>IF(B635="","",VLOOKUP('従業員情報(給与以外)'!$B635,入力シート!$S$37:$Z$62,5,0))</f>
        <v/>
      </c>
      <c r="P635" s="298" t="str">
        <f>IF(ISNUMBER(C635)=FALSE,"",IF(C635&gt;入力シート!$J$24,"",_xlfn.DAYS(入力シート!$J$24,'従業員情報(給与以外)'!$C635)/365))</f>
        <v/>
      </c>
      <c r="Q635" s="298" t="str">
        <f>IF(P635="","",VLOOKUP(_xlfn.DAYS(入力シート!$J$24,'従業員情報(給与以外)'!$C635)/365,入力リスト!$K$18:$L$26,2,2))</f>
        <v/>
      </c>
      <c r="R635" s="298" t="str">
        <f>IF(D635="","",VLOOKUP('従業員情報(給与以外)'!$D635,入力シート!$AW$37:$BB$38,4,0))</f>
        <v/>
      </c>
      <c r="S635" s="298" t="str">
        <f>IF(A635="","",IF(E635="","非役職",VLOOKUP('従業員情報(給与以外)'!$E635,入力シート!$AH$37:$AO$62,5,0)))</f>
        <v/>
      </c>
      <c r="T635" s="299" t="str">
        <f>IF(OR(入力シート!$C$5&lt;&gt;入力リスト!$C$3,COUNTIF(入力シート!$J$16:$S$23,入力リスト!$H$9)=0),"",IF($A635="","",IF(ISERROR(AVERAGEIF(従業員の給与情報!$B:$B,$A635,従業員の給与情報!$C:$C)),0,IF(ISERROR(AVERAGEIF(従業員の給与情報!$B:$B,$A635,従業員の給与情報!$C:$C)),0,AVERAGEIF(従業員の給与情報!$B:$B,$A635,従業員の給与情報!$C:$C)))))</f>
        <v/>
      </c>
      <c r="U635" s="299" t="str">
        <f>IF(OR(入力シート!$C$5&lt;&gt;入力リスト!$C$3,COUNTIF(入力シート!$J$16:$S$23,入力リスト!$H$9)=0),"",IF(A635="","",IF(ISERROR(AVERAGEIF(従業員の給与情報!$B:$B,$A635,従業員の給与情報!$D:$D)),0,IF(ISERROR(AVERAGEIF(従業員の給与情報!$B:$B,$A635,従業員の給与情報!$D:$D)),0,AVERAGEIF(従業員の給与情報!$B:$B,$A635,従業員の給与情報!$D:$D)))))</f>
        <v/>
      </c>
      <c r="V635" s="299" t="str">
        <f>IF(OR(入力シート!$C$5&lt;&gt;入力リスト!$C$3,COUNTIF(入力シート!$J$16:$S$23,入力リスト!$H$9)=0),"",IF(A635="","",IF(ISERROR(AVERAGEIF(従業員の給与情報!$B:$B,$A635,従業員の給与情報!$E:$E)),0,IF(ISERROR(AVERAGEIF(従業員の給与情報!$B:$B,$A635,従業員の給与情報!$E:$E)),0,AVERAGEIF(従業員の給与情報!$B:$B,$A635,従業員の給与情報!$E:$E)))))</f>
        <v/>
      </c>
      <c r="W635" s="299" t="str">
        <f>IF(OR(入力シート!$C$5&lt;&gt;入力リスト!$C$3,COUNTIF(入力シート!$J$16:$S$23,入力リスト!$H$9)=0),"",IF(A635="","",IF(ISERROR(AVERAGEIF(従業員の給与情報!$B:$B,$A635,従業員の給与情報!$F:$F)),0,IF(ISERROR(AVERAGEIF(従業員の給与情報!$B:$B,$A635,従業員の給与情報!$F:$F)),0,AVERAGEIF(従業員の給与情報!$B:$B,$A635,従業員の給与情報!$F:$F)))))</f>
        <v/>
      </c>
      <c r="X635" s="581" t="s">
        <v>5374</v>
      </c>
    </row>
    <row r="636" spans="6:24">
      <c r="F636" s="297" t="str">
        <f>IF($G$1,"",IF(COUNTIF(A636:E636,"")=5,"",IF(G636,入力リスト!$K$28,IF(OR(A636="",B636="",IF(COUNTIF($C$3,"*不要*"),"",C636=""),D636=""),IF(A636="","従業員番号","")&amp;IF(B636="","「雇用形態」","")&amp;IF(OR(入力シート!$J$18=入力リスト!$H$9,入力シート!$J$22=入力リスト!$H$9),IF(C636="","「入社年月日」",""),"")&amp;IF(D636="","「性別」","")&amp;IF(IF(A636="","従業員番号","")&amp;IF(B636="","「雇用形態」","")&amp;IF(OR(入力シート!$J$18=入力リスト!$H$9,入力シート!$J$22=入力リスト!$H$9),IF(C636="","「入社年月日」",""),"")&amp;IF(D636="","「性別」","")="","",入力リスト!$K$29),IF(J636,入力リスト!$K$30,"")&amp;IF(I636,入力リスト!$K$31,"")&amp;IF(H636,"「雇用形態」","")&amp;IF(K636,"「性別」","")&amp;IF(L636,"「役職」","")&amp;IF(OR(H636,K636,L636),入力リスト!$K$32,"")))))</f>
        <v/>
      </c>
      <c r="G636" s="298" t="b">
        <f>COUNTIF($A$4:A635,$A636)&gt;0</f>
        <v>0</v>
      </c>
      <c r="H636" s="298" t="b">
        <f>IF($H$1,FALSE,COUNTIF(入力シート!$S$37:$V$62,B636)=0)</f>
        <v>0</v>
      </c>
      <c r="I636" s="298" t="b">
        <f t="shared" si="21"/>
        <v>0</v>
      </c>
      <c r="J636" s="298" t="b">
        <f>IF($J$1,FALSE,IF(I636=TRUE,FALSE,IF(I636,FALSE,C636&gt;入力シート!$J$24)))</f>
        <v>0</v>
      </c>
      <c r="K636" s="298" t="b">
        <f>IF($K$1,FALSE,COUNTIF(入力シート!$AW$37:$BB$38,D636)=0)</f>
        <v>0</v>
      </c>
      <c r="L636" s="298" t="b">
        <f>IF($L$1,FALSE,IF($L$3,FALSE,IF(E636="",FALSE,COUNTIF(入力シート!$AH$37:$AK$62,E636)=0)))</f>
        <v>0</v>
      </c>
      <c r="M636" s="298" t="str">
        <f t="shared" si="22"/>
        <v/>
      </c>
      <c r="N636" s="298" t="str">
        <f>IF(G636,"この従業員番号は、すでに他のセルで入力されています。",IF(入力シート!$C$5=入力リスト!$C$4,"",IF(AND(A636="",B636="",C636="",D636="",E636=""),"",IF(OR(A636="",B636="",C636="",D636=""),IF(A636="","従業員番号","")&amp;IF(AND(A636="",OR(B636="",C636="",D636="")),",","")&amp;IF(B636="","雇用形態","")&amp;IF(AND(B636="",OR(C636="",D636="")),",","")&amp;IF(OR(入力シート!$J$18=入力リスト!$H$9,入力シート!$J$22=入力リスト!$H$9),IF(C636="","入社年月日",""),"")&amp;IF(AND(C636="",D636=""),",","")&amp;IF(D636="","性別","")&amp;IF(IF(A636="","従業員番号","")&amp;IF(B636="","雇用形態","")&amp;IF(OR(入力シート!$J$18=入力リスト!$H$9,入力シート!$J$22=入力リスト!$H$9),IF(C636="","入社年月日",""),"")&amp;IF(D636="","性別","")="","","が空白です。"),IF(J636,"入社年月日に「基準日」の翌日以降の日付が入力されています。","")&amp;IF(I636,"入社年月日に数値以外（又は1900/1/1以前の日付）が入力されています。","")&amp;IF(H636,"雇用形態"&amp;IF(OR(K636,L636),",",""),"")&amp;IF(K636,"性別"&amp;IF(L636,",",""),"")&amp;IF(L636,"役職","")&amp;IF(OR(H636,K636,L636),"に、［入力シート］(4)「貴社」欄と異なる文言が入力されています。","")))))</f>
        <v/>
      </c>
      <c r="O636" s="298" t="str">
        <f>IF(B636="","",VLOOKUP('従業員情報(給与以外)'!$B636,入力シート!$S$37:$Z$62,5,0))</f>
        <v/>
      </c>
      <c r="P636" s="298" t="str">
        <f>IF(ISNUMBER(C636)=FALSE,"",IF(C636&gt;入力シート!$J$24,"",_xlfn.DAYS(入力シート!$J$24,'従業員情報(給与以外)'!$C636)/365))</f>
        <v/>
      </c>
      <c r="Q636" s="298" t="str">
        <f>IF(P636="","",VLOOKUP(_xlfn.DAYS(入力シート!$J$24,'従業員情報(給与以外)'!$C636)/365,入力リスト!$K$18:$L$26,2,2))</f>
        <v/>
      </c>
      <c r="R636" s="298" t="str">
        <f>IF(D636="","",VLOOKUP('従業員情報(給与以外)'!$D636,入力シート!$AW$37:$BB$38,4,0))</f>
        <v/>
      </c>
      <c r="S636" s="298" t="str">
        <f>IF(A636="","",IF(E636="","非役職",VLOOKUP('従業員情報(給与以外)'!$E636,入力シート!$AH$37:$AO$62,5,0)))</f>
        <v/>
      </c>
      <c r="T636" s="299" t="str">
        <f>IF(OR(入力シート!$C$5&lt;&gt;入力リスト!$C$3,COUNTIF(入力シート!$J$16:$S$23,入力リスト!$H$9)=0),"",IF($A636="","",IF(ISERROR(AVERAGEIF(従業員の給与情報!$B:$B,$A636,従業員の給与情報!$C:$C)),0,IF(ISERROR(AVERAGEIF(従業員の給与情報!$B:$B,$A636,従業員の給与情報!$C:$C)),0,AVERAGEIF(従業員の給与情報!$B:$B,$A636,従業員の給与情報!$C:$C)))))</f>
        <v/>
      </c>
      <c r="U636" s="299" t="str">
        <f>IF(OR(入力シート!$C$5&lt;&gt;入力リスト!$C$3,COUNTIF(入力シート!$J$16:$S$23,入力リスト!$H$9)=0),"",IF(A636="","",IF(ISERROR(AVERAGEIF(従業員の給与情報!$B:$B,$A636,従業員の給与情報!$D:$D)),0,IF(ISERROR(AVERAGEIF(従業員の給与情報!$B:$B,$A636,従業員の給与情報!$D:$D)),0,AVERAGEIF(従業員の給与情報!$B:$B,$A636,従業員の給与情報!$D:$D)))))</f>
        <v/>
      </c>
      <c r="V636" s="299" t="str">
        <f>IF(OR(入力シート!$C$5&lt;&gt;入力リスト!$C$3,COUNTIF(入力シート!$J$16:$S$23,入力リスト!$H$9)=0),"",IF(A636="","",IF(ISERROR(AVERAGEIF(従業員の給与情報!$B:$B,$A636,従業員の給与情報!$E:$E)),0,IF(ISERROR(AVERAGEIF(従業員の給与情報!$B:$B,$A636,従業員の給与情報!$E:$E)),0,AVERAGEIF(従業員の給与情報!$B:$B,$A636,従業員の給与情報!$E:$E)))))</f>
        <v/>
      </c>
      <c r="W636" s="299" t="str">
        <f>IF(OR(入力シート!$C$5&lt;&gt;入力リスト!$C$3,COUNTIF(入力シート!$J$16:$S$23,入力リスト!$H$9)=0),"",IF(A636="","",IF(ISERROR(AVERAGEIF(従業員の給与情報!$B:$B,$A636,従業員の給与情報!$F:$F)),0,IF(ISERROR(AVERAGEIF(従業員の給与情報!$B:$B,$A636,従業員の給与情報!$F:$F)),0,AVERAGEIF(従業員の給与情報!$B:$B,$A636,従業員の給与情報!$F:$F)))))</f>
        <v/>
      </c>
      <c r="X636" s="581" t="s">
        <v>5375</v>
      </c>
    </row>
    <row r="637" spans="6:24">
      <c r="F637" s="297" t="str">
        <f>IF($G$1,"",IF(COUNTIF(A637:E637,"")=5,"",IF(G637,入力リスト!$K$28,IF(OR(A637="",B637="",IF(COUNTIF($C$3,"*不要*"),"",C637=""),D637=""),IF(A637="","従業員番号","")&amp;IF(B637="","「雇用形態」","")&amp;IF(OR(入力シート!$J$18=入力リスト!$H$9,入力シート!$J$22=入力リスト!$H$9),IF(C637="","「入社年月日」",""),"")&amp;IF(D637="","「性別」","")&amp;IF(IF(A637="","従業員番号","")&amp;IF(B637="","「雇用形態」","")&amp;IF(OR(入力シート!$J$18=入力リスト!$H$9,入力シート!$J$22=入力リスト!$H$9),IF(C637="","「入社年月日」",""),"")&amp;IF(D637="","「性別」","")="","",入力リスト!$K$29),IF(J637,入力リスト!$K$30,"")&amp;IF(I637,入力リスト!$K$31,"")&amp;IF(H637,"「雇用形態」","")&amp;IF(K637,"「性別」","")&amp;IF(L637,"「役職」","")&amp;IF(OR(H637,K637,L637),入力リスト!$K$32,"")))))</f>
        <v/>
      </c>
      <c r="G637" s="298" t="b">
        <f>COUNTIF($A$4:A636,$A637)&gt;0</f>
        <v>0</v>
      </c>
      <c r="H637" s="298" t="b">
        <f>IF($H$1,FALSE,COUNTIF(入力シート!$S$37:$V$62,B637)=0)</f>
        <v>0</v>
      </c>
      <c r="I637" s="298" t="b">
        <f t="shared" si="21"/>
        <v>0</v>
      </c>
      <c r="J637" s="298" t="b">
        <f>IF($J$1,FALSE,IF(I637=TRUE,FALSE,IF(I637,FALSE,C637&gt;入力シート!$J$24)))</f>
        <v>0</v>
      </c>
      <c r="K637" s="298" t="b">
        <f>IF($K$1,FALSE,COUNTIF(入力シート!$AW$37:$BB$38,D637)=0)</f>
        <v>0</v>
      </c>
      <c r="L637" s="298" t="b">
        <f>IF($L$1,FALSE,IF($L$3,FALSE,IF(E637="",FALSE,COUNTIF(入力シート!$AH$37:$AK$62,E637)=0)))</f>
        <v>0</v>
      </c>
      <c r="M637" s="298" t="str">
        <f t="shared" si="22"/>
        <v/>
      </c>
      <c r="N637" s="298" t="str">
        <f>IF(G637,"この従業員番号は、すでに他のセルで入力されています。",IF(入力シート!$C$5=入力リスト!$C$4,"",IF(AND(A637="",B637="",C637="",D637="",E637=""),"",IF(OR(A637="",B637="",C637="",D637=""),IF(A637="","従業員番号","")&amp;IF(AND(A637="",OR(B637="",C637="",D637="")),",","")&amp;IF(B637="","雇用形態","")&amp;IF(AND(B637="",OR(C637="",D637="")),",","")&amp;IF(OR(入力シート!$J$18=入力リスト!$H$9,入力シート!$J$22=入力リスト!$H$9),IF(C637="","入社年月日",""),"")&amp;IF(AND(C637="",D637=""),",","")&amp;IF(D637="","性別","")&amp;IF(IF(A637="","従業員番号","")&amp;IF(B637="","雇用形態","")&amp;IF(OR(入力シート!$J$18=入力リスト!$H$9,入力シート!$J$22=入力リスト!$H$9),IF(C637="","入社年月日",""),"")&amp;IF(D637="","性別","")="","","が空白です。"),IF(J637,"入社年月日に「基準日」の翌日以降の日付が入力されています。","")&amp;IF(I637,"入社年月日に数値以外（又は1900/1/1以前の日付）が入力されています。","")&amp;IF(H637,"雇用形態"&amp;IF(OR(K637,L637),",",""),"")&amp;IF(K637,"性別"&amp;IF(L637,",",""),"")&amp;IF(L637,"役職","")&amp;IF(OR(H637,K637,L637),"に、［入力シート］(4)「貴社」欄と異なる文言が入力されています。","")))))</f>
        <v/>
      </c>
      <c r="O637" s="298" t="str">
        <f>IF(B637="","",VLOOKUP('従業員情報(給与以外)'!$B637,入力シート!$S$37:$Z$62,5,0))</f>
        <v/>
      </c>
      <c r="P637" s="298" t="str">
        <f>IF(ISNUMBER(C637)=FALSE,"",IF(C637&gt;入力シート!$J$24,"",_xlfn.DAYS(入力シート!$J$24,'従業員情報(給与以外)'!$C637)/365))</f>
        <v/>
      </c>
      <c r="Q637" s="298" t="str">
        <f>IF(P637="","",VLOOKUP(_xlfn.DAYS(入力シート!$J$24,'従業員情報(給与以外)'!$C637)/365,入力リスト!$K$18:$L$26,2,2))</f>
        <v/>
      </c>
      <c r="R637" s="298" t="str">
        <f>IF(D637="","",VLOOKUP('従業員情報(給与以外)'!$D637,入力シート!$AW$37:$BB$38,4,0))</f>
        <v/>
      </c>
      <c r="S637" s="298" t="str">
        <f>IF(A637="","",IF(E637="","非役職",VLOOKUP('従業員情報(給与以外)'!$E637,入力シート!$AH$37:$AO$62,5,0)))</f>
        <v/>
      </c>
      <c r="T637" s="299" t="str">
        <f>IF(OR(入力シート!$C$5&lt;&gt;入力リスト!$C$3,COUNTIF(入力シート!$J$16:$S$23,入力リスト!$H$9)=0),"",IF($A637="","",IF(ISERROR(AVERAGEIF(従業員の給与情報!$B:$B,$A637,従業員の給与情報!$C:$C)),0,IF(ISERROR(AVERAGEIF(従業員の給与情報!$B:$B,$A637,従業員の給与情報!$C:$C)),0,AVERAGEIF(従業員の給与情報!$B:$B,$A637,従業員の給与情報!$C:$C)))))</f>
        <v/>
      </c>
      <c r="U637" s="299" t="str">
        <f>IF(OR(入力シート!$C$5&lt;&gt;入力リスト!$C$3,COUNTIF(入力シート!$J$16:$S$23,入力リスト!$H$9)=0),"",IF(A637="","",IF(ISERROR(AVERAGEIF(従業員の給与情報!$B:$B,$A637,従業員の給与情報!$D:$D)),0,IF(ISERROR(AVERAGEIF(従業員の給与情報!$B:$B,$A637,従業員の給与情報!$D:$D)),0,AVERAGEIF(従業員の給与情報!$B:$B,$A637,従業員の給与情報!$D:$D)))))</f>
        <v/>
      </c>
      <c r="V637" s="299" t="str">
        <f>IF(OR(入力シート!$C$5&lt;&gt;入力リスト!$C$3,COUNTIF(入力シート!$J$16:$S$23,入力リスト!$H$9)=0),"",IF(A637="","",IF(ISERROR(AVERAGEIF(従業員の給与情報!$B:$B,$A637,従業員の給与情報!$E:$E)),0,IF(ISERROR(AVERAGEIF(従業員の給与情報!$B:$B,$A637,従業員の給与情報!$E:$E)),0,AVERAGEIF(従業員の給与情報!$B:$B,$A637,従業員の給与情報!$E:$E)))))</f>
        <v/>
      </c>
      <c r="W637" s="299" t="str">
        <f>IF(OR(入力シート!$C$5&lt;&gt;入力リスト!$C$3,COUNTIF(入力シート!$J$16:$S$23,入力リスト!$H$9)=0),"",IF(A637="","",IF(ISERROR(AVERAGEIF(従業員の給与情報!$B:$B,$A637,従業員の給与情報!$F:$F)),0,IF(ISERROR(AVERAGEIF(従業員の給与情報!$B:$B,$A637,従業員の給与情報!$F:$F)),0,AVERAGEIF(従業員の給与情報!$B:$B,$A637,従業員の給与情報!$F:$F)))))</f>
        <v/>
      </c>
      <c r="X637" s="581" t="s">
        <v>5376</v>
      </c>
    </row>
    <row r="638" spans="6:24">
      <c r="F638" s="297" t="str">
        <f>IF($G$1,"",IF(COUNTIF(A638:E638,"")=5,"",IF(G638,入力リスト!$K$28,IF(OR(A638="",B638="",IF(COUNTIF($C$3,"*不要*"),"",C638=""),D638=""),IF(A638="","従業員番号","")&amp;IF(B638="","「雇用形態」","")&amp;IF(OR(入力シート!$J$18=入力リスト!$H$9,入力シート!$J$22=入力リスト!$H$9),IF(C638="","「入社年月日」",""),"")&amp;IF(D638="","「性別」","")&amp;IF(IF(A638="","従業員番号","")&amp;IF(B638="","「雇用形態」","")&amp;IF(OR(入力シート!$J$18=入力リスト!$H$9,入力シート!$J$22=入力リスト!$H$9),IF(C638="","「入社年月日」",""),"")&amp;IF(D638="","「性別」","")="","",入力リスト!$K$29),IF(J638,入力リスト!$K$30,"")&amp;IF(I638,入力リスト!$K$31,"")&amp;IF(H638,"「雇用形態」","")&amp;IF(K638,"「性別」","")&amp;IF(L638,"「役職」","")&amp;IF(OR(H638,K638,L638),入力リスト!$K$32,"")))))</f>
        <v/>
      </c>
      <c r="G638" s="298" t="b">
        <f>COUNTIF($A$4:A637,$A638)&gt;0</f>
        <v>0</v>
      </c>
      <c r="H638" s="298" t="b">
        <f>IF($H$1,FALSE,COUNTIF(入力シート!$S$37:$V$62,B638)=0)</f>
        <v>0</v>
      </c>
      <c r="I638" s="298" t="b">
        <f t="shared" si="21"/>
        <v>0</v>
      </c>
      <c r="J638" s="298" t="b">
        <f>IF($J$1,FALSE,IF(I638=TRUE,FALSE,IF(I638,FALSE,C638&gt;入力シート!$J$24)))</f>
        <v>0</v>
      </c>
      <c r="K638" s="298" t="b">
        <f>IF($K$1,FALSE,COUNTIF(入力シート!$AW$37:$BB$38,D638)=0)</f>
        <v>0</v>
      </c>
      <c r="L638" s="298" t="b">
        <f>IF($L$1,FALSE,IF($L$3,FALSE,IF(E638="",FALSE,COUNTIF(入力シート!$AH$37:$AK$62,E638)=0)))</f>
        <v>0</v>
      </c>
      <c r="M638" s="298" t="str">
        <f t="shared" si="22"/>
        <v/>
      </c>
      <c r="N638" s="298" t="str">
        <f>IF(G638,"この従業員番号は、すでに他のセルで入力されています。",IF(入力シート!$C$5=入力リスト!$C$4,"",IF(AND(A638="",B638="",C638="",D638="",E638=""),"",IF(OR(A638="",B638="",C638="",D638=""),IF(A638="","従業員番号","")&amp;IF(AND(A638="",OR(B638="",C638="",D638="")),",","")&amp;IF(B638="","雇用形態","")&amp;IF(AND(B638="",OR(C638="",D638="")),",","")&amp;IF(OR(入力シート!$J$18=入力リスト!$H$9,入力シート!$J$22=入力リスト!$H$9),IF(C638="","入社年月日",""),"")&amp;IF(AND(C638="",D638=""),",","")&amp;IF(D638="","性別","")&amp;IF(IF(A638="","従業員番号","")&amp;IF(B638="","雇用形態","")&amp;IF(OR(入力シート!$J$18=入力リスト!$H$9,入力シート!$J$22=入力リスト!$H$9),IF(C638="","入社年月日",""),"")&amp;IF(D638="","性別","")="","","が空白です。"),IF(J638,"入社年月日に「基準日」の翌日以降の日付が入力されています。","")&amp;IF(I638,"入社年月日に数値以外（又は1900/1/1以前の日付）が入力されています。","")&amp;IF(H638,"雇用形態"&amp;IF(OR(K638,L638),",",""),"")&amp;IF(K638,"性別"&amp;IF(L638,",",""),"")&amp;IF(L638,"役職","")&amp;IF(OR(H638,K638,L638),"に、［入力シート］(4)「貴社」欄と異なる文言が入力されています。","")))))</f>
        <v/>
      </c>
      <c r="O638" s="298" t="str">
        <f>IF(B638="","",VLOOKUP('従業員情報(給与以外)'!$B638,入力シート!$S$37:$Z$62,5,0))</f>
        <v/>
      </c>
      <c r="P638" s="298" t="str">
        <f>IF(ISNUMBER(C638)=FALSE,"",IF(C638&gt;入力シート!$J$24,"",_xlfn.DAYS(入力シート!$J$24,'従業員情報(給与以外)'!$C638)/365))</f>
        <v/>
      </c>
      <c r="Q638" s="298" t="str">
        <f>IF(P638="","",VLOOKUP(_xlfn.DAYS(入力シート!$J$24,'従業員情報(給与以外)'!$C638)/365,入力リスト!$K$18:$L$26,2,2))</f>
        <v/>
      </c>
      <c r="R638" s="298" t="str">
        <f>IF(D638="","",VLOOKUP('従業員情報(給与以外)'!$D638,入力シート!$AW$37:$BB$38,4,0))</f>
        <v/>
      </c>
      <c r="S638" s="298" t="str">
        <f>IF(A638="","",IF(E638="","非役職",VLOOKUP('従業員情報(給与以外)'!$E638,入力シート!$AH$37:$AO$62,5,0)))</f>
        <v/>
      </c>
      <c r="T638" s="299" t="str">
        <f>IF(OR(入力シート!$C$5&lt;&gt;入力リスト!$C$3,COUNTIF(入力シート!$J$16:$S$23,入力リスト!$H$9)=0),"",IF($A638="","",IF(ISERROR(AVERAGEIF(従業員の給与情報!$B:$B,$A638,従業員の給与情報!$C:$C)),0,IF(ISERROR(AVERAGEIF(従業員の給与情報!$B:$B,$A638,従業員の給与情報!$C:$C)),0,AVERAGEIF(従業員の給与情報!$B:$B,$A638,従業員の給与情報!$C:$C)))))</f>
        <v/>
      </c>
      <c r="U638" s="299" t="str">
        <f>IF(OR(入力シート!$C$5&lt;&gt;入力リスト!$C$3,COUNTIF(入力シート!$J$16:$S$23,入力リスト!$H$9)=0),"",IF(A638="","",IF(ISERROR(AVERAGEIF(従業員の給与情報!$B:$B,$A638,従業員の給与情報!$D:$D)),0,IF(ISERROR(AVERAGEIF(従業員の給与情報!$B:$B,$A638,従業員の給与情報!$D:$D)),0,AVERAGEIF(従業員の給与情報!$B:$B,$A638,従業員の給与情報!$D:$D)))))</f>
        <v/>
      </c>
      <c r="V638" s="299" t="str">
        <f>IF(OR(入力シート!$C$5&lt;&gt;入力リスト!$C$3,COUNTIF(入力シート!$J$16:$S$23,入力リスト!$H$9)=0),"",IF(A638="","",IF(ISERROR(AVERAGEIF(従業員の給与情報!$B:$B,$A638,従業員の給与情報!$E:$E)),0,IF(ISERROR(AVERAGEIF(従業員の給与情報!$B:$B,$A638,従業員の給与情報!$E:$E)),0,AVERAGEIF(従業員の給与情報!$B:$B,$A638,従業員の給与情報!$E:$E)))))</f>
        <v/>
      </c>
      <c r="W638" s="299" t="str">
        <f>IF(OR(入力シート!$C$5&lt;&gt;入力リスト!$C$3,COUNTIF(入力シート!$J$16:$S$23,入力リスト!$H$9)=0),"",IF(A638="","",IF(ISERROR(AVERAGEIF(従業員の給与情報!$B:$B,$A638,従業員の給与情報!$F:$F)),0,IF(ISERROR(AVERAGEIF(従業員の給与情報!$B:$B,$A638,従業員の給与情報!$F:$F)),0,AVERAGEIF(従業員の給与情報!$B:$B,$A638,従業員の給与情報!$F:$F)))))</f>
        <v/>
      </c>
      <c r="X638" s="581" t="s">
        <v>5377</v>
      </c>
    </row>
    <row r="639" spans="6:24">
      <c r="F639" s="297" t="str">
        <f>IF($G$1,"",IF(COUNTIF(A639:E639,"")=5,"",IF(G639,入力リスト!$K$28,IF(OR(A639="",B639="",IF(COUNTIF($C$3,"*不要*"),"",C639=""),D639=""),IF(A639="","従業員番号","")&amp;IF(B639="","「雇用形態」","")&amp;IF(OR(入力シート!$J$18=入力リスト!$H$9,入力シート!$J$22=入力リスト!$H$9),IF(C639="","「入社年月日」",""),"")&amp;IF(D639="","「性別」","")&amp;IF(IF(A639="","従業員番号","")&amp;IF(B639="","「雇用形態」","")&amp;IF(OR(入力シート!$J$18=入力リスト!$H$9,入力シート!$J$22=入力リスト!$H$9),IF(C639="","「入社年月日」",""),"")&amp;IF(D639="","「性別」","")="","",入力リスト!$K$29),IF(J639,入力リスト!$K$30,"")&amp;IF(I639,入力リスト!$K$31,"")&amp;IF(H639,"「雇用形態」","")&amp;IF(K639,"「性別」","")&amp;IF(L639,"「役職」","")&amp;IF(OR(H639,K639,L639),入力リスト!$K$32,"")))))</f>
        <v/>
      </c>
      <c r="G639" s="298" t="b">
        <f>COUNTIF($A$4:A638,$A639)&gt;0</f>
        <v>0</v>
      </c>
      <c r="H639" s="298" t="b">
        <f>IF($H$1,FALSE,COUNTIF(入力シート!$S$37:$V$62,B639)=0)</f>
        <v>0</v>
      </c>
      <c r="I639" s="298" t="b">
        <f t="shared" si="21"/>
        <v>0</v>
      </c>
      <c r="J639" s="298" t="b">
        <f>IF($J$1,FALSE,IF(I639=TRUE,FALSE,IF(I639,FALSE,C639&gt;入力シート!$J$24)))</f>
        <v>0</v>
      </c>
      <c r="K639" s="298" t="b">
        <f>IF($K$1,FALSE,COUNTIF(入力シート!$AW$37:$BB$38,D639)=0)</f>
        <v>0</v>
      </c>
      <c r="L639" s="298" t="b">
        <f>IF($L$1,FALSE,IF($L$3,FALSE,IF(E639="",FALSE,COUNTIF(入力シート!$AH$37:$AK$62,E639)=0)))</f>
        <v>0</v>
      </c>
      <c r="M639" s="298" t="str">
        <f t="shared" si="22"/>
        <v/>
      </c>
      <c r="N639" s="298" t="str">
        <f>IF(G639,"この従業員番号は、すでに他のセルで入力されています。",IF(入力シート!$C$5=入力リスト!$C$4,"",IF(AND(A639="",B639="",C639="",D639="",E639=""),"",IF(OR(A639="",B639="",C639="",D639=""),IF(A639="","従業員番号","")&amp;IF(AND(A639="",OR(B639="",C639="",D639="")),",","")&amp;IF(B639="","雇用形態","")&amp;IF(AND(B639="",OR(C639="",D639="")),",","")&amp;IF(OR(入力シート!$J$18=入力リスト!$H$9,入力シート!$J$22=入力リスト!$H$9),IF(C639="","入社年月日",""),"")&amp;IF(AND(C639="",D639=""),",","")&amp;IF(D639="","性別","")&amp;IF(IF(A639="","従業員番号","")&amp;IF(B639="","雇用形態","")&amp;IF(OR(入力シート!$J$18=入力リスト!$H$9,入力シート!$J$22=入力リスト!$H$9),IF(C639="","入社年月日",""),"")&amp;IF(D639="","性別","")="","","が空白です。"),IF(J639,"入社年月日に「基準日」の翌日以降の日付が入力されています。","")&amp;IF(I639,"入社年月日に数値以外（又は1900/1/1以前の日付）が入力されています。","")&amp;IF(H639,"雇用形態"&amp;IF(OR(K639,L639),",",""),"")&amp;IF(K639,"性別"&amp;IF(L639,",",""),"")&amp;IF(L639,"役職","")&amp;IF(OR(H639,K639,L639),"に、［入力シート］(4)「貴社」欄と異なる文言が入力されています。","")))))</f>
        <v/>
      </c>
      <c r="O639" s="298" t="str">
        <f>IF(B639="","",VLOOKUP('従業員情報(給与以外)'!$B639,入力シート!$S$37:$Z$62,5,0))</f>
        <v/>
      </c>
      <c r="P639" s="298" t="str">
        <f>IF(ISNUMBER(C639)=FALSE,"",IF(C639&gt;入力シート!$J$24,"",_xlfn.DAYS(入力シート!$J$24,'従業員情報(給与以外)'!$C639)/365))</f>
        <v/>
      </c>
      <c r="Q639" s="298" t="str">
        <f>IF(P639="","",VLOOKUP(_xlfn.DAYS(入力シート!$J$24,'従業員情報(給与以外)'!$C639)/365,入力リスト!$K$18:$L$26,2,2))</f>
        <v/>
      </c>
      <c r="R639" s="298" t="str">
        <f>IF(D639="","",VLOOKUP('従業員情報(給与以外)'!$D639,入力シート!$AW$37:$BB$38,4,0))</f>
        <v/>
      </c>
      <c r="S639" s="298" t="str">
        <f>IF(A639="","",IF(E639="","非役職",VLOOKUP('従業員情報(給与以外)'!$E639,入力シート!$AH$37:$AO$62,5,0)))</f>
        <v/>
      </c>
      <c r="T639" s="299" t="str">
        <f>IF(OR(入力シート!$C$5&lt;&gt;入力リスト!$C$3,COUNTIF(入力シート!$J$16:$S$23,入力リスト!$H$9)=0),"",IF($A639="","",IF(ISERROR(AVERAGEIF(従業員の給与情報!$B:$B,$A639,従業員の給与情報!$C:$C)),0,IF(ISERROR(AVERAGEIF(従業員の給与情報!$B:$B,$A639,従業員の給与情報!$C:$C)),0,AVERAGEIF(従業員の給与情報!$B:$B,$A639,従業員の給与情報!$C:$C)))))</f>
        <v/>
      </c>
      <c r="U639" s="299" t="str">
        <f>IF(OR(入力シート!$C$5&lt;&gt;入力リスト!$C$3,COUNTIF(入力シート!$J$16:$S$23,入力リスト!$H$9)=0),"",IF(A639="","",IF(ISERROR(AVERAGEIF(従業員の給与情報!$B:$B,$A639,従業員の給与情報!$D:$D)),0,IF(ISERROR(AVERAGEIF(従業員の給与情報!$B:$B,$A639,従業員の給与情報!$D:$D)),0,AVERAGEIF(従業員の給与情報!$B:$B,$A639,従業員の給与情報!$D:$D)))))</f>
        <v/>
      </c>
      <c r="V639" s="299" t="str">
        <f>IF(OR(入力シート!$C$5&lt;&gt;入力リスト!$C$3,COUNTIF(入力シート!$J$16:$S$23,入力リスト!$H$9)=0),"",IF(A639="","",IF(ISERROR(AVERAGEIF(従業員の給与情報!$B:$B,$A639,従業員の給与情報!$E:$E)),0,IF(ISERROR(AVERAGEIF(従業員の給与情報!$B:$B,$A639,従業員の給与情報!$E:$E)),0,AVERAGEIF(従業員の給与情報!$B:$B,$A639,従業員の給与情報!$E:$E)))))</f>
        <v/>
      </c>
      <c r="W639" s="299" t="str">
        <f>IF(OR(入力シート!$C$5&lt;&gt;入力リスト!$C$3,COUNTIF(入力シート!$J$16:$S$23,入力リスト!$H$9)=0),"",IF(A639="","",IF(ISERROR(AVERAGEIF(従業員の給与情報!$B:$B,$A639,従業員の給与情報!$F:$F)),0,IF(ISERROR(AVERAGEIF(従業員の給与情報!$B:$B,$A639,従業員の給与情報!$F:$F)),0,AVERAGEIF(従業員の給与情報!$B:$B,$A639,従業員の給与情報!$F:$F)))))</f>
        <v/>
      </c>
      <c r="X639" s="581" t="s">
        <v>5378</v>
      </c>
    </row>
    <row r="640" spans="6:24">
      <c r="F640" s="297" t="str">
        <f>IF($G$1,"",IF(COUNTIF(A640:E640,"")=5,"",IF(G640,入力リスト!$K$28,IF(OR(A640="",B640="",IF(COUNTIF($C$3,"*不要*"),"",C640=""),D640=""),IF(A640="","従業員番号","")&amp;IF(B640="","「雇用形態」","")&amp;IF(OR(入力シート!$J$18=入力リスト!$H$9,入力シート!$J$22=入力リスト!$H$9),IF(C640="","「入社年月日」",""),"")&amp;IF(D640="","「性別」","")&amp;IF(IF(A640="","従業員番号","")&amp;IF(B640="","「雇用形態」","")&amp;IF(OR(入力シート!$J$18=入力リスト!$H$9,入力シート!$J$22=入力リスト!$H$9),IF(C640="","「入社年月日」",""),"")&amp;IF(D640="","「性別」","")="","",入力リスト!$K$29),IF(J640,入力リスト!$K$30,"")&amp;IF(I640,入力リスト!$K$31,"")&amp;IF(H640,"「雇用形態」","")&amp;IF(K640,"「性別」","")&amp;IF(L640,"「役職」","")&amp;IF(OR(H640,K640,L640),入力リスト!$K$32,"")))))</f>
        <v/>
      </c>
      <c r="G640" s="298" t="b">
        <f>COUNTIF($A$4:A639,$A640)&gt;0</f>
        <v>0</v>
      </c>
      <c r="H640" s="298" t="b">
        <f>IF($H$1,FALSE,COUNTIF(入力シート!$S$37:$V$62,B640)=0)</f>
        <v>0</v>
      </c>
      <c r="I640" s="298" t="b">
        <f t="shared" si="21"/>
        <v>0</v>
      </c>
      <c r="J640" s="298" t="b">
        <f>IF($J$1,FALSE,IF(I640=TRUE,FALSE,IF(I640,FALSE,C640&gt;入力シート!$J$24)))</f>
        <v>0</v>
      </c>
      <c r="K640" s="298" t="b">
        <f>IF($K$1,FALSE,COUNTIF(入力シート!$AW$37:$BB$38,D640)=0)</f>
        <v>0</v>
      </c>
      <c r="L640" s="298" t="b">
        <f>IF($L$1,FALSE,IF($L$3,FALSE,IF(E640="",FALSE,COUNTIF(入力シート!$AH$37:$AK$62,E640)=0)))</f>
        <v>0</v>
      </c>
      <c r="M640" s="298" t="str">
        <f t="shared" si="22"/>
        <v/>
      </c>
      <c r="N640" s="298" t="str">
        <f>IF(G640,"この従業員番号は、すでに他のセルで入力されています。",IF(入力シート!$C$5=入力リスト!$C$4,"",IF(AND(A640="",B640="",C640="",D640="",E640=""),"",IF(OR(A640="",B640="",C640="",D640=""),IF(A640="","従業員番号","")&amp;IF(AND(A640="",OR(B640="",C640="",D640="")),",","")&amp;IF(B640="","雇用形態","")&amp;IF(AND(B640="",OR(C640="",D640="")),",","")&amp;IF(OR(入力シート!$J$18=入力リスト!$H$9,入力シート!$J$22=入力リスト!$H$9),IF(C640="","入社年月日",""),"")&amp;IF(AND(C640="",D640=""),",","")&amp;IF(D640="","性別","")&amp;IF(IF(A640="","従業員番号","")&amp;IF(B640="","雇用形態","")&amp;IF(OR(入力シート!$J$18=入力リスト!$H$9,入力シート!$J$22=入力リスト!$H$9),IF(C640="","入社年月日",""),"")&amp;IF(D640="","性別","")="","","が空白です。"),IF(J640,"入社年月日に「基準日」の翌日以降の日付が入力されています。","")&amp;IF(I640,"入社年月日に数値以外（又は1900/1/1以前の日付）が入力されています。","")&amp;IF(H640,"雇用形態"&amp;IF(OR(K640,L640),",",""),"")&amp;IF(K640,"性別"&amp;IF(L640,",",""),"")&amp;IF(L640,"役職","")&amp;IF(OR(H640,K640,L640),"に、［入力シート］(4)「貴社」欄と異なる文言が入力されています。","")))))</f>
        <v/>
      </c>
      <c r="O640" s="298" t="str">
        <f>IF(B640="","",VLOOKUP('従業員情報(給与以外)'!$B640,入力シート!$S$37:$Z$62,5,0))</f>
        <v/>
      </c>
      <c r="P640" s="298" t="str">
        <f>IF(ISNUMBER(C640)=FALSE,"",IF(C640&gt;入力シート!$J$24,"",_xlfn.DAYS(入力シート!$J$24,'従業員情報(給与以外)'!$C640)/365))</f>
        <v/>
      </c>
      <c r="Q640" s="298" t="str">
        <f>IF(P640="","",VLOOKUP(_xlfn.DAYS(入力シート!$J$24,'従業員情報(給与以外)'!$C640)/365,入力リスト!$K$18:$L$26,2,2))</f>
        <v/>
      </c>
      <c r="R640" s="298" t="str">
        <f>IF(D640="","",VLOOKUP('従業員情報(給与以外)'!$D640,入力シート!$AW$37:$BB$38,4,0))</f>
        <v/>
      </c>
      <c r="S640" s="298" t="str">
        <f>IF(A640="","",IF(E640="","非役職",VLOOKUP('従業員情報(給与以外)'!$E640,入力シート!$AH$37:$AO$62,5,0)))</f>
        <v/>
      </c>
      <c r="T640" s="299" t="str">
        <f>IF(OR(入力シート!$C$5&lt;&gt;入力リスト!$C$3,COUNTIF(入力シート!$J$16:$S$23,入力リスト!$H$9)=0),"",IF($A640="","",IF(ISERROR(AVERAGEIF(従業員の給与情報!$B:$B,$A640,従業員の給与情報!$C:$C)),0,IF(ISERROR(AVERAGEIF(従業員の給与情報!$B:$B,$A640,従業員の給与情報!$C:$C)),0,AVERAGEIF(従業員の給与情報!$B:$B,$A640,従業員の給与情報!$C:$C)))))</f>
        <v/>
      </c>
      <c r="U640" s="299" t="str">
        <f>IF(OR(入力シート!$C$5&lt;&gt;入力リスト!$C$3,COUNTIF(入力シート!$J$16:$S$23,入力リスト!$H$9)=0),"",IF(A640="","",IF(ISERROR(AVERAGEIF(従業員の給与情報!$B:$B,$A640,従業員の給与情報!$D:$D)),0,IF(ISERROR(AVERAGEIF(従業員の給与情報!$B:$B,$A640,従業員の給与情報!$D:$D)),0,AVERAGEIF(従業員の給与情報!$B:$B,$A640,従業員の給与情報!$D:$D)))))</f>
        <v/>
      </c>
      <c r="V640" s="299" t="str">
        <f>IF(OR(入力シート!$C$5&lt;&gt;入力リスト!$C$3,COUNTIF(入力シート!$J$16:$S$23,入力リスト!$H$9)=0),"",IF(A640="","",IF(ISERROR(AVERAGEIF(従業員の給与情報!$B:$B,$A640,従業員の給与情報!$E:$E)),0,IF(ISERROR(AVERAGEIF(従業員の給与情報!$B:$B,$A640,従業員の給与情報!$E:$E)),0,AVERAGEIF(従業員の給与情報!$B:$B,$A640,従業員の給与情報!$E:$E)))))</f>
        <v/>
      </c>
      <c r="W640" s="299" t="str">
        <f>IF(OR(入力シート!$C$5&lt;&gt;入力リスト!$C$3,COUNTIF(入力シート!$J$16:$S$23,入力リスト!$H$9)=0),"",IF(A640="","",IF(ISERROR(AVERAGEIF(従業員の給与情報!$B:$B,$A640,従業員の給与情報!$F:$F)),0,IF(ISERROR(AVERAGEIF(従業員の給与情報!$B:$B,$A640,従業員の給与情報!$F:$F)),0,AVERAGEIF(従業員の給与情報!$B:$B,$A640,従業員の給与情報!$F:$F)))))</f>
        <v/>
      </c>
      <c r="X640" s="581" t="s">
        <v>5379</v>
      </c>
    </row>
    <row r="641" spans="6:24">
      <c r="F641" s="297" t="str">
        <f>IF($G$1,"",IF(COUNTIF(A641:E641,"")=5,"",IF(G641,入力リスト!$K$28,IF(OR(A641="",B641="",IF(COUNTIF($C$3,"*不要*"),"",C641=""),D641=""),IF(A641="","従業員番号","")&amp;IF(B641="","「雇用形態」","")&amp;IF(OR(入力シート!$J$18=入力リスト!$H$9,入力シート!$J$22=入力リスト!$H$9),IF(C641="","「入社年月日」",""),"")&amp;IF(D641="","「性別」","")&amp;IF(IF(A641="","従業員番号","")&amp;IF(B641="","「雇用形態」","")&amp;IF(OR(入力シート!$J$18=入力リスト!$H$9,入力シート!$J$22=入力リスト!$H$9),IF(C641="","「入社年月日」",""),"")&amp;IF(D641="","「性別」","")="","",入力リスト!$K$29),IF(J641,入力リスト!$K$30,"")&amp;IF(I641,入力リスト!$K$31,"")&amp;IF(H641,"「雇用形態」","")&amp;IF(K641,"「性別」","")&amp;IF(L641,"「役職」","")&amp;IF(OR(H641,K641,L641),入力リスト!$K$32,"")))))</f>
        <v/>
      </c>
      <c r="G641" s="298" t="b">
        <f>COUNTIF($A$4:A640,$A641)&gt;0</f>
        <v>0</v>
      </c>
      <c r="H641" s="298" t="b">
        <f>IF($H$1,FALSE,COUNTIF(入力シート!$S$37:$V$62,B641)=0)</f>
        <v>0</v>
      </c>
      <c r="I641" s="298" t="b">
        <f t="shared" si="21"/>
        <v>0</v>
      </c>
      <c r="J641" s="298" t="b">
        <f>IF($J$1,FALSE,IF(I641=TRUE,FALSE,IF(I641,FALSE,C641&gt;入力シート!$J$24)))</f>
        <v>0</v>
      </c>
      <c r="K641" s="298" t="b">
        <f>IF($K$1,FALSE,COUNTIF(入力シート!$AW$37:$BB$38,D641)=0)</f>
        <v>0</v>
      </c>
      <c r="L641" s="298" t="b">
        <f>IF($L$1,FALSE,IF($L$3,FALSE,IF(E641="",FALSE,COUNTIF(入力シート!$AH$37:$AK$62,E641)=0)))</f>
        <v>0</v>
      </c>
      <c r="M641" s="298" t="str">
        <f t="shared" si="22"/>
        <v/>
      </c>
      <c r="N641" s="298" t="str">
        <f>IF(G641,"この従業員番号は、すでに他のセルで入力されています。",IF(入力シート!$C$5=入力リスト!$C$4,"",IF(AND(A641="",B641="",C641="",D641="",E641=""),"",IF(OR(A641="",B641="",C641="",D641=""),IF(A641="","従業員番号","")&amp;IF(AND(A641="",OR(B641="",C641="",D641="")),",","")&amp;IF(B641="","雇用形態","")&amp;IF(AND(B641="",OR(C641="",D641="")),",","")&amp;IF(OR(入力シート!$J$18=入力リスト!$H$9,入力シート!$J$22=入力リスト!$H$9),IF(C641="","入社年月日",""),"")&amp;IF(AND(C641="",D641=""),",","")&amp;IF(D641="","性別","")&amp;IF(IF(A641="","従業員番号","")&amp;IF(B641="","雇用形態","")&amp;IF(OR(入力シート!$J$18=入力リスト!$H$9,入力シート!$J$22=入力リスト!$H$9),IF(C641="","入社年月日",""),"")&amp;IF(D641="","性別","")="","","が空白です。"),IF(J641,"入社年月日に「基準日」の翌日以降の日付が入力されています。","")&amp;IF(I641,"入社年月日に数値以外（又は1900/1/1以前の日付）が入力されています。","")&amp;IF(H641,"雇用形態"&amp;IF(OR(K641,L641),",",""),"")&amp;IF(K641,"性別"&amp;IF(L641,",",""),"")&amp;IF(L641,"役職","")&amp;IF(OR(H641,K641,L641),"に、［入力シート］(4)「貴社」欄と異なる文言が入力されています。","")))))</f>
        <v/>
      </c>
      <c r="O641" s="298" t="str">
        <f>IF(B641="","",VLOOKUP('従業員情報(給与以外)'!$B641,入力シート!$S$37:$Z$62,5,0))</f>
        <v/>
      </c>
      <c r="P641" s="298" t="str">
        <f>IF(ISNUMBER(C641)=FALSE,"",IF(C641&gt;入力シート!$J$24,"",_xlfn.DAYS(入力シート!$J$24,'従業員情報(給与以外)'!$C641)/365))</f>
        <v/>
      </c>
      <c r="Q641" s="298" t="str">
        <f>IF(P641="","",VLOOKUP(_xlfn.DAYS(入力シート!$J$24,'従業員情報(給与以外)'!$C641)/365,入力リスト!$K$18:$L$26,2,2))</f>
        <v/>
      </c>
      <c r="R641" s="298" t="str">
        <f>IF(D641="","",VLOOKUP('従業員情報(給与以外)'!$D641,入力シート!$AW$37:$BB$38,4,0))</f>
        <v/>
      </c>
      <c r="S641" s="298" t="str">
        <f>IF(A641="","",IF(E641="","非役職",VLOOKUP('従業員情報(給与以外)'!$E641,入力シート!$AH$37:$AO$62,5,0)))</f>
        <v/>
      </c>
      <c r="T641" s="299" t="str">
        <f>IF(OR(入力シート!$C$5&lt;&gt;入力リスト!$C$3,COUNTIF(入力シート!$J$16:$S$23,入力リスト!$H$9)=0),"",IF($A641="","",IF(ISERROR(AVERAGEIF(従業員の給与情報!$B:$B,$A641,従業員の給与情報!$C:$C)),0,IF(ISERROR(AVERAGEIF(従業員の給与情報!$B:$B,$A641,従業員の給与情報!$C:$C)),0,AVERAGEIF(従業員の給与情報!$B:$B,$A641,従業員の給与情報!$C:$C)))))</f>
        <v/>
      </c>
      <c r="U641" s="299" t="str">
        <f>IF(OR(入力シート!$C$5&lt;&gt;入力リスト!$C$3,COUNTIF(入力シート!$J$16:$S$23,入力リスト!$H$9)=0),"",IF(A641="","",IF(ISERROR(AVERAGEIF(従業員の給与情報!$B:$B,$A641,従業員の給与情報!$D:$D)),0,IF(ISERROR(AVERAGEIF(従業員の給与情報!$B:$B,$A641,従業員の給与情報!$D:$D)),0,AVERAGEIF(従業員の給与情報!$B:$B,$A641,従業員の給与情報!$D:$D)))))</f>
        <v/>
      </c>
      <c r="V641" s="299" t="str">
        <f>IF(OR(入力シート!$C$5&lt;&gt;入力リスト!$C$3,COUNTIF(入力シート!$J$16:$S$23,入力リスト!$H$9)=0),"",IF(A641="","",IF(ISERROR(AVERAGEIF(従業員の給与情報!$B:$B,$A641,従業員の給与情報!$E:$E)),0,IF(ISERROR(AVERAGEIF(従業員の給与情報!$B:$B,$A641,従業員の給与情報!$E:$E)),0,AVERAGEIF(従業員の給与情報!$B:$B,$A641,従業員の給与情報!$E:$E)))))</f>
        <v/>
      </c>
      <c r="W641" s="299" t="str">
        <f>IF(OR(入力シート!$C$5&lt;&gt;入力リスト!$C$3,COUNTIF(入力シート!$J$16:$S$23,入力リスト!$H$9)=0),"",IF(A641="","",IF(ISERROR(AVERAGEIF(従業員の給与情報!$B:$B,$A641,従業員の給与情報!$F:$F)),0,IF(ISERROR(AVERAGEIF(従業員の給与情報!$B:$B,$A641,従業員の給与情報!$F:$F)),0,AVERAGEIF(従業員の給与情報!$B:$B,$A641,従業員の給与情報!$F:$F)))))</f>
        <v/>
      </c>
      <c r="X641" s="581" t="s">
        <v>5380</v>
      </c>
    </row>
    <row r="642" spans="6:24">
      <c r="F642" s="297" t="str">
        <f>IF($G$1,"",IF(COUNTIF(A642:E642,"")=5,"",IF(G642,入力リスト!$K$28,IF(OR(A642="",B642="",IF(COUNTIF($C$3,"*不要*"),"",C642=""),D642=""),IF(A642="","従業員番号","")&amp;IF(B642="","「雇用形態」","")&amp;IF(OR(入力シート!$J$18=入力リスト!$H$9,入力シート!$J$22=入力リスト!$H$9),IF(C642="","「入社年月日」",""),"")&amp;IF(D642="","「性別」","")&amp;IF(IF(A642="","従業員番号","")&amp;IF(B642="","「雇用形態」","")&amp;IF(OR(入力シート!$J$18=入力リスト!$H$9,入力シート!$J$22=入力リスト!$H$9),IF(C642="","「入社年月日」",""),"")&amp;IF(D642="","「性別」","")="","",入力リスト!$K$29),IF(J642,入力リスト!$K$30,"")&amp;IF(I642,入力リスト!$K$31,"")&amp;IF(H642,"「雇用形態」","")&amp;IF(K642,"「性別」","")&amp;IF(L642,"「役職」","")&amp;IF(OR(H642,K642,L642),入力リスト!$K$32,"")))))</f>
        <v/>
      </c>
      <c r="G642" s="298" t="b">
        <f>COUNTIF($A$4:A641,$A642)&gt;0</f>
        <v>0</v>
      </c>
      <c r="H642" s="298" t="b">
        <f>IF($H$1,FALSE,COUNTIF(入力シート!$S$37:$V$62,B642)=0)</f>
        <v>0</v>
      </c>
      <c r="I642" s="298" t="b">
        <f t="shared" si="21"/>
        <v>0</v>
      </c>
      <c r="J642" s="298" t="b">
        <f>IF($J$1,FALSE,IF(I642=TRUE,FALSE,IF(I642,FALSE,C642&gt;入力シート!$J$24)))</f>
        <v>0</v>
      </c>
      <c r="K642" s="298" t="b">
        <f>IF($K$1,FALSE,COUNTIF(入力シート!$AW$37:$BB$38,D642)=0)</f>
        <v>0</v>
      </c>
      <c r="L642" s="298" t="b">
        <f>IF($L$1,FALSE,IF($L$3,FALSE,IF(E642="",FALSE,COUNTIF(入力シート!$AH$37:$AK$62,E642)=0)))</f>
        <v>0</v>
      </c>
      <c r="M642" s="298" t="str">
        <f t="shared" si="22"/>
        <v/>
      </c>
      <c r="N642" s="298" t="str">
        <f>IF(G642,"この従業員番号は、すでに他のセルで入力されています。",IF(入力シート!$C$5=入力リスト!$C$4,"",IF(AND(A642="",B642="",C642="",D642="",E642=""),"",IF(OR(A642="",B642="",C642="",D642=""),IF(A642="","従業員番号","")&amp;IF(AND(A642="",OR(B642="",C642="",D642="")),",","")&amp;IF(B642="","雇用形態","")&amp;IF(AND(B642="",OR(C642="",D642="")),",","")&amp;IF(OR(入力シート!$J$18=入力リスト!$H$9,入力シート!$J$22=入力リスト!$H$9),IF(C642="","入社年月日",""),"")&amp;IF(AND(C642="",D642=""),",","")&amp;IF(D642="","性別","")&amp;IF(IF(A642="","従業員番号","")&amp;IF(B642="","雇用形態","")&amp;IF(OR(入力シート!$J$18=入力リスト!$H$9,入力シート!$J$22=入力リスト!$H$9),IF(C642="","入社年月日",""),"")&amp;IF(D642="","性別","")="","","が空白です。"),IF(J642,"入社年月日に「基準日」の翌日以降の日付が入力されています。","")&amp;IF(I642,"入社年月日に数値以外（又は1900/1/1以前の日付）が入力されています。","")&amp;IF(H642,"雇用形態"&amp;IF(OR(K642,L642),",",""),"")&amp;IF(K642,"性別"&amp;IF(L642,",",""),"")&amp;IF(L642,"役職","")&amp;IF(OR(H642,K642,L642),"に、［入力シート］(4)「貴社」欄と異なる文言が入力されています。","")))))</f>
        <v/>
      </c>
      <c r="O642" s="298" t="str">
        <f>IF(B642="","",VLOOKUP('従業員情報(給与以外)'!$B642,入力シート!$S$37:$Z$62,5,0))</f>
        <v/>
      </c>
      <c r="P642" s="298" t="str">
        <f>IF(ISNUMBER(C642)=FALSE,"",IF(C642&gt;入力シート!$J$24,"",_xlfn.DAYS(入力シート!$J$24,'従業員情報(給与以外)'!$C642)/365))</f>
        <v/>
      </c>
      <c r="Q642" s="298" t="str">
        <f>IF(P642="","",VLOOKUP(_xlfn.DAYS(入力シート!$J$24,'従業員情報(給与以外)'!$C642)/365,入力リスト!$K$18:$L$26,2,2))</f>
        <v/>
      </c>
      <c r="R642" s="298" t="str">
        <f>IF(D642="","",VLOOKUP('従業員情報(給与以外)'!$D642,入力シート!$AW$37:$BB$38,4,0))</f>
        <v/>
      </c>
      <c r="S642" s="298" t="str">
        <f>IF(A642="","",IF(E642="","非役職",VLOOKUP('従業員情報(給与以外)'!$E642,入力シート!$AH$37:$AO$62,5,0)))</f>
        <v/>
      </c>
      <c r="T642" s="299" t="str">
        <f>IF(OR(入力シート!$C$5&lt;&gt;入力リスト!$C$3,COUNTIF(入力シート!$J$16:$S$23,入力リスト!$H$9)=0),"",IF($A642="","",IF(ISERROR(AVERAGEIF(従業員の給与情報!$B:$B,$A642,従業員の給与情報!$C:$C)),0,IF(ISERROR(AVERAGEIF(従業員の給与情報!$B:$B,$A642,従業員の給与情報!$C:$C)),0,AVERAGEIF(従業員の給与情報!$B:$B,$A642,従業員の給与情報!$C:$C)))))</f>
        <v/>
      </c>
      <c r="U642" s="299" t="str">
        <f>IF(OR(入力シート!$C$5&lt;&gt;入力リスト!$C$3,COUNTIF(入力シート!$J$16:$S$23,入力リスト!$H$9)=0),"",IF(A642="","",IF(ISERROR(AVERAGEIF(従業員の給与情報!$B:$B,$A642,従業員の給与情報!$D:$D)),0,IF(ISERROR(AVERAGEIF(従業員の給与情報!$B:$B,$A642,従業員の給与情報!$D:$D)),0,AVERAGEIF(従業員の給与情報!$B:$B,$A642,従業員の給与情報!$D:$D)))))</f>
        <v/>
      </c>
      <c r="V642" s="299" t="str">
        <f>IF(OR(入力シート!$C$5&lt;&gt;入力リスト!$C$3,COUNTIF(入力シート!$J$16:$S$23,入力リスト!$H$9)=0),"",IF(A642="","",IF(ISERROR(AVERAGEIF(従業員の給与情報!$B:$B,$A642,従業員の給与情報!$E:$E)),0,IF(ISERROR(AVERAGEIF(従業員の給与情報!$B:$B,$A642,従業員の給与情報!$E:$E)),0,AVERAGEIF(従業員の給与情報!$B:$B,$A642,従業員の給与情報!$E:$E)))))</f>
        <v/>
      </c>
      <c r="W642" s="299" t="str">
        <f>IF(OR(入力シート!$C$5&lt;&gt;入力リスト!$C$3,COUNTIF(入力シート!$J$16:$S$23,入力リスト!$H$9)=0),"",IF(A642="","",IF(ISERROR(AVERAGEIF(従業員の給与情報!$B:$B,$A642,従業員の給与情報!$F:$F)),0,IF(ISERROR(AVERAGEIF(従業員の給与情報!$B:$B,$A642,従業員の給与情報!$F:$F)),0,AVERAGEIF(従業員の給与情報!$B:$B,$A642,従業員の給与情報!$F:$F)))))</f>
        <v/>
      </c>
      <c r="X642" s="581" t="s">
        <v>5381</v>
      </c>
    </row>
    <row r="643" spans="6:24">
      <c r="F643" s="297" t="str">
        <f>IF($G$1,"",IF(COUNTIF(A643:E643,"")=5,"",IF(G643,入力リスト!$K$28,IF(OR(A643="",B643="",IF(COUNTIF($C$3,"*不要*"),"",C643=""),D643=""),IF(A643="","従業員番号","")&amp;IF(B643="","「雇用形態」","")&amp;IF(OR(入力シート!$J$18=入力リスト!$H$9,入力シート!$J$22=入力リスト!$H$9),IF(C643="","「入社年月日」",""),"")&amp;IF(D643="","「性別」","")&amp;IF(IF(A643="","従業員番号","")&amp;IF(B643="","「雇用形態」","")&amp;IF(OR(入力シート!$J$18=入力リスト!$H$9,入力シート!$J$22=入力リスト!$H$9),IF(C643="","「入社年月日」",""),"")&amp;IF(D643="","「性別」","")="","",入力リスト!$K$29),IF(J643,入力リスト!$K$30,"")&amp;IF(I643,入力リスト!$K$31,"")&amp;IF(H643,"「雇用形態」","")&amp;IF(K643,"「性別」","")&amp;IF(L643,"「役職」","")&amp;IF(OR(H643,K643,L643),入力リスト!$K$32,"")))))</f>
        <v/>
      </c>
      <c r="G643" s="298" t="b">
        <f>COUNTIF($A$4:A642,$A643)&gt;0</f>
        <v>0</v>
      </c>
      <c r="H643" s="298" t="b">
        <f>IF($H$1,FALSE,COUNTIF(入力シート!$S$37:$V$62,B643)=0)</f>
        <v>0</v>
      </c>
      <c r="I643" s="298" t="b">
        <f t="shared" si="21"/>
        <v>0</v>
      </c>
      <c r="J643" s="298" t="b">
        <f>IF($J$1,FALSE,IF(I643=TRUE,FALSE,IF(I643,FALSE,C643&gt;入力シート!$J$24)))</f>
        <v>0</v>
      </c>
      <c r="K643" s="298" t="b">
        <f>IF($K$1,FALSE,COUNTIF(入力シート!$AW$37:$BB$38,D643)=0)</f>
        <v>0</v>
      </c>
      <c r="L643" s="298" t="b">
        <f>IF($L$1,FALSE,IF($L$3,FALSE,IF(E643="",FALSE,COUNTIF(入力シート!$AH$37:$AK$62,E643)=0)))</f>
        <v>0</v>
      </c>
      <c r="M643" s="298" t="str">
        <f t="shared" si="22"/>
        <v/>
      </c>
      <c r="N643" s="298" t="str">
        <f>IF(G643,"この従業員番号は、すでに他のセルで入力されています。",IF(入力シート!$C$5=入力リスト!$C$4,"",IF(AND(A643="",B643="",C643="",D643="",E643=""),"",IF(OR(A643="",B643="",C643="",D643=""),IF(A643="","従業員番号","")&amp;IF(AND(A643="",OR(B643="",C643="",D643="")),",","")&amp;IF(B643="","雇用形態","")&amp;IF(AND(B643="",OR(C643="",D643="")),",","")&amp;IF(OR(入力シート!$J$18=入力リスト!$H$9,入力シート!$J$22=入力リスト!$H$9),IF(C643="","入社年月日",""),"")&amp;IF(AND(C643="",D643=""),",","")&amp;IF(D643="","性別","")&amp;IF(IF(A643="","従業員番号","")&amp;IF(B643="","雇用形態","")&amp;IF(OR(入力シート!$J$18=入力リスト!$H$9,入力シート!$J$22=入力リスト!$H$9),IF(C643="","入社年月日",""),"")&amp;IF(D643="","性別","")="","","が空白です。"),IF(J643,"入社年月日に「基準日」の翌日以降の日付が入力されています。","")&amp;IF(I643,"入社年月日に数値以外（又は1900/1/1以前の日付）が入力されています。","")&amp;IF(H643,"雇用形態"&amp;IF(OR(K643,L643),",",""),"")&amp;IF(K643,"性別"&amp;IF(L643,",",""),"")&amp;IF(L643,"役職","")&amp;IF(OR(H643,K643,L643),"に、［入力シート］(4)「貴社」欄と異なる文言が入力されています。","")))))</f>
        <v/>
      </c>
      <c r="O643" s="298" t="str">
        <f>IF(B643="","",VLOOKUP('従業員情報(給与以外)'!$B643,入力シート!$S$37:$Z$62,5,0))</f>
        <v/>
      </c>
      <c r="P643" s="298" t="str">
        <f>IF(ISNUMBER(C643)=FALSE,"",IF(C643&gt;入力シート!$J$24,"",_xlfn.DAYS(入力シート!$J$24,'従業員情報(給与以外)'!$C643)/365))</f>
        <v/>
      </c>
      <c r="Q643" s="298" t="str">
        <f>IF(P643="","",VLOOKUP(_xlfn.DAYS(入力シート!$J$24,'従業員情報(給与以外)'!$C643)/365,入力リスト!$K$18:$L$26,2,2))</f>
        <v/>
      </c>
      <c r="R643" s="298" t="str">
        <f>IF(D643="","",VLOOKUP('従業員情報(給与以外)'!$D643,入力シート!$AW$37:$BB$38,4,0))</f>
        <v/>
      </c>
      <c r="S643" s="298" t="str">
        <f>IF(A643="","",IF(E643="","非役職",VLOOKUP('従業員情報(給与以外)'!$E643,入力シート!$AH$37:$AO$62,5,0)))</f>
        <v/>
      </c>
      <c r="T643" s="299" t="str">
        <f>IF(OR(入力シート!$C$5&lt;&gt;入力リスト!$C$3,COUNTIF(入力シート!$J$16:$S$23,入力リスト!$H$9)=0),"",IF($A643="","",IF(ISERROR(AVERAGEIF(従業員の給与情報!$B:$B,$A643,従業員の給与情報!$C:$C)),0,IF(ISERROR(AVERAGEIF(従業員の給与情報!$B:$B,$A643,従業員の給与情報!$C:$C)),0,AVERAGEIF(従業員の給与情報!$B:$B,$A643,従業員の給与情報!$C:$C)))))</f>
        <v/>
      </c>
      <c r="U643" s="299" t="str">
        <f>IF(OR(入力シート!$C$5&lt;&gt;入力リスト!$C$3,COUNTIF(入力シート!$J$16:$S$23,入力リスト!$H$9)=0),"",IF(A643="","",IF(ISERROR(AVERAGEIF(従業員の給与情報!$B:$B,$A643,従業員の給与情報!$D:$D)),0,IF(ISERROR(AVERAGEIF(従業員の給与情報!$B:$B,$A643,従業員の給与情報!$D:$D)),0,AVERAGEIF(従業員の給与情報!$B:$B,$A643,従業員の給与情報!$D:$D)))))</f>
        <v/>
      </c>
      <c r="V643" s="299" t="str">
        <f>IF(OR(入力シート!$C$5&lt;&gt;入力リスト!$C$3,COUNTIF(入力シート!$J$16:$S$23,入力リスト!$H$9)=0),"",IF(A643="","",IF(ISERROR(AVERAGEIF(従業員の給与情報!$B:$B,$A643,従業員の給与情報!$E:$E)),0,IF(ISERROR(AVERAGEIF(従業員の給与情報!$B:$B,$A643,従業員の給与情報!$E:$E)),0,AVERAGEIF(従業員の給与情報!$B:$B,$A643,従業員の給与情報!$E:$E)))))</f>
        <v/>
      </c>
      <c r="W643" s="299" t="str">
        <f>IF(OR(入力シート!$C$5&lt;&gt;入力リスト!$C$3,COUNTIF(入力シート!$J$16:$S$23,入力リスト!$H$9)=0),"",IF(A643="","",IF(ISERROR(AVERAGEIF(従業員の給与情報!$B:$B,$A643,従業員の給与情報!$F:$F)),0,IF(ISERROR(AVERAGEIF(従業員の給与情報!$B:$B,$A643,従業員の給与情報!$F:$F)),0,AVERAGEIF(従業員の給与情報!$B:$B,$A643,従業員の給与情報!$F:$F)))))</f>
        <v/>
      </c>
      <c r="X643" s="581" t="s">
        <v>5382</v>
      </c>
    </row>
    <row r="644" spans="6:24">
      <c r="F644" s="297" t="str">
        <f>IF($G$1,"",IF(COUNTIF(A644:E644,"")=5,"",IF(G644,入力リスト!$K$28,IF(OR(A644="",B644="",IF(COUNTIF($C$3,"*不要*"),"",C644=""),D644=""),IF(A644="","従業員番号","")&amp;IF(B644="","「雇用形態」","")&amp;IF(OR(入力シート!$J$18=入力リスト!$H$9,入力シート!$J$22=入力リスト!$H$9),IF(C644="","「入社年月日」",""),"")&amp;IF(D644="","「性別」","")&amp;IF(IF(A644="","従業員番号","")&amp;IF(B644="","「雇用形態」","")&amp;IF(OR(入力シート!$J$18=入力リスト!$H$9,入力シート!$J$22=入力リスト!$H$9),IF(C644="","「入社年月日」",""),"")&amp;IF(D644="","「性別」","")="","",入力リスト!$K$29),IF(J644,入力リスト!$K$30,"")&amp;IF(I644,入力リスト!$K$31,"")&amp;IF(H644,"「雇用形態」","")&amp;IF(K644,"「性別」","")&amp;IF(L644,"「役職」","")&amp;IF(OR(H644,K644,L644),入力リスト!$K$32,"")))))</f>
        <v/>
      </c>
      <c r="G644" s="298" t="b">
        <f>COUNTIF($A$4:A643,$A644)&gt;0</f>
        <v>0</v>
      </c>
      <c r="H644" s="298" t="b">
        <f>IF($H$1,FALSE,COUNTIF(入力シート!$S$37:$V$62,B644)=0)</f>
        <v>0</v>
      </c>
      <c r="I644" s="298" t="b">
        <f t="shared" si="21"/>
        <v>0</v>
      </c>
      <c r="J644" s="298" t="b">
        <f>IF($J$1,FALSE,IF(I644=TRUE,FALSE,IF(I644,FALSE,C644&gt;入力シート!$J$24)))</f>
        <v>0</v>
      </c>
      <c r="K644" s="298" t="b">
        <f>IF($K$1,FALSE,COUNTIF(入力シート!$AW$37:$BB$38,D644)=0)</f>
        <v>0</v>
      </c>
      <c r="L644" s="298" t="b">
        <f>IF($L$1,FALSE,IF($L$3,FALSE,IF(E644="",FALSE,COUNTIF(入力シート!$AH$37:$AK$62,E644)=0)))</f>
        <v>0</v>
      </c>
      <c r="M644" s="298" t="str">
        <f t="shared" si="22"/>
        <v/>
      </c>
      <c r="N644" s="298" t="str">
        <f>IF(G644,"この従業員番号は、すでに他のセルで入力されています。",IF(入力シート!$C$5=入力リスト!$C$4,"",IF(AND(A644="",B644="",C644="",D644="",E644=""),"",IF(OR(A644="",B644="",C644="",D644=""),IF(A644="","従業員番号","")&amp;IF(AND(A644="",OR(B644="",C644="",D644="")),",","")&amp;IF(B644="","雇用形態","")&amp;IF(AND(B644="",OR(C644="",D644="")),",","")&amp;IF(OR(入力シート!$J$18=入力リスト!$H$9,入力シート!$J$22=入力リスト!$H$9),IF(C644="","入社年月日",""),"")&amp;IF(AND(C644="",D644=""),",","")&amp;IF(D644="","性別","")&amp;IF(IF(A644="","従業員番号","")&amp;IF(B644="","雇用形態","")&amp;IF(OR(入力シート!$J$18=入力リスト!$H$9,入力シート!$J$22=入力リスト!$H$9),IF(C644="","入社年月日",""),"")&amp;IF(D644="","性別","")="","","が空白です。"),IF(J644,"入社年月日に「基準日」の翌日以降の日付が入力されています。","")&amp;IF(I644,"入社年月日に数値以外（又は1900/1/1以前の日付）が入力されています。","")&amp;IF(H644,"雇用形態"&amp;IF(OR(K644,L644),",",""),"")&amp;IF(K644,"性別"&amp;IF(L644,",",""),"")&amp;IF(L644,"役職","")&amp;IF(OR(H644,K644,L644),"に、［入力シート］(4)「貴社」欄と異なる文言が入力されています。","")))))</f>
        <v/>
      </c>
      <c r="O644" s="298" t="str">
        <f>IF(B644="","",VLOOKUP('従業員情報(給与以外)'!$B644,入力シート!$S$37:$Z$62,5,0))</f>
        <v/>
      </c>
      <c r="P644" s="298" t="str">
        <f>IF(ISNUMBER(C644)=FALSE,"",IF(C644&gt;入力シート!$J$24,"",_xlfn.DAYS(入力シート!$J$24,'従業員情報(給与以外)'!$C644)/365))</f>
        <v/>
      </c>
      <c r="Q644" s="298" t="str">
        <f>IF(P644="","",VLOOKUP(_xlfn.DAYS(入力シート!$J$24,'従業員情報(給与以外)'!$C644)/365,入力リスト!$K$18:$L$26,2,2))</f>
        <v/>
      </c>
      <c r="R644" s="298" t="str">
        <f>IF(D644="","",VLOOKUP('従業員情報(給与以外)'!$D644,入力シート!$AW$37:$BB$38,4,0))</f>
        <v/>
      </c>
      <c r="S644" s="298" t="str">
        <f>IF(A644="","",IF(E644="","非役職",VLOOKUP('従業員情報(給与以外)'!$E644,入力シート!$AH$37:$AO$62,5,0)))</f>
        <v/>
      </c>
      <c r="T644" s="299" t="str">
        <f>IF(OR(入力シート!$C$5&lt;&gt;入力リスト!$C$3,COUNTIF(入力シート!$J$16:$S$23,入力リスト!$H$9)=0),"",IF($A644="","",IF(ISERROR(AVERAGEIF(従業員の給与情報!$B:$B,$A644,従業員の給与情報!$C:$C)),0,IF(ISERROR(AVERAGEIF(従業員の給与情報!$B:$B,$A644,従業員の給与情報!$C:$C)),0,AVERAGEIF(従業員の給与情報!$B:$B,$A644,従業員の給与情報!$C:$C)))))</f>
        <v/>
      </c>
      <c r="U644" s="299" t="str">
        <f>IF(OR(入力シート!$C$5&lt;&gt;入力リスト!$C$3,COUNTIF(入力シート!$J$16:$S$23,入力リスト!$H$9)=0),"",IF(A644="","",IF(ISERROR(AVERAGEIF(従業員の給与情報!$B:$B,$A644,従業員の給与情報!$D:$D)),0,IF(ISERROR(AVERAGEIF(従業員の給与情報!$B:$B,$A644,従業員の給与情報!$D:$D)),0,AVERAGEIF(従業員の給与情報!$B:$B,$A644,従業員の給与情報!$D:$D)))))</f>
        <v/>
      </c>
      <c r="V644" s="299" t="str">
        <f>IF(OR(入力シート!$C$5&lt;&gt;入力リスト!$C$3,COUNTIF(入力シート!$J$16:$S$23,入力リスト!$H$9)=0),"",IF(A644="","",IF(ISERROR(AVERAGEIF(従業員の給与情報!$B:$B,$A644,従業員の給与情報!$E:$E)),0,IF(ISERROR(AVERAGEIF(従業員の給与情報!$B:$B,$A644,従業員の給与情報!$E:$E)),0,AVERAGEIF(従業員の給与情報!$B:$B,$A644,従業員の給与情報!$E:$E)))))</f>
        <v/>
      </c>
      <c r="W644" s="299" t="str">
        <f>IF(OR(入力シート!$C$5&lt;&gt;入力リスト!$C$3,COUNTIF(入力シート!$J$16:$S$23,入力リスト!$H$9)=0),"",IF(A644="","",IF(ISERROR(AVERAGEIF(従業員の給与情報!$B:$B,$A644,従業員の給与情報!$F:$F)),0,IF(ISERROR(AVERAGEIF(従業員の給与情報!$B:$B,$A644,従業員の給与情報!$F:$F)),0,AVERAGEIF(従業員の給与情報!$B:$B,$A644,従業員の給与情報!$F:$F)))))</f>
        <v/>
      </c>
      <c r="X644" s="581" t="s">
        <v>5383</v>
      </c>
    </row>
    <row r="645" spans="6:24">
      <c r="F645" s="297" t="str">
        <f>IF($G$1,"",IF(COUNTIF(A645:E645,"")=5,"",IF(G645,入力リスト!$K$28,IF(OR(A645="",B645="",IF(COUNTIF($C$3,"*不要*"),"",C645=""),D645=""),IF(A645="","従業員番号","")&amp;IF(B645="","「雇用形態」","")&amp;IF(OR(入力シート!$J$18=入力リスト!$H$9,入力シート!$J$22=入力リスト!$H$9),IF(C645="","「入社年月日」",""),"")&amp;IF(D645="","「性別」","")&amp;IF(IF(A645="","従業員番号","")&amp;IF(B645="","「雇用形態」","")&amp;IF(OR(入力シート!$J$18=入力リスト!$H$9,入力シート!$J$22=入力リスト!$H$9),IF(C645="","「入社年月日」",""),"")&amp;IF(D645="","「性別」","")="","",入力リスト!$K$29),IF(J645,入力リスト!$K$30,"")&amp;IF(I645,入力リスト!$K$31,"")&amp;IF(H645,"「雇用形態」","")&amp;IF(K645,"「性別」","")&amp;IF(L645,"「役職」","")&amp;IF(OR(H645,K645,L645),入力リスト!$K$32,"")))))</f>
        <v/>
      </c>
      <c r="G645" s="298" t="b">
        <f>COUNTIF($A$4:A644,$A645)&gt;0</f>
        <v>0</v>
      </c>
      <c r="H645" s="298" t="b">
        <f>IF($H$1,FALSE,COUNTIF(入力シート!$S$37:$V$62,B645)=0)</f>
        <v>0</v>
      </c>
      <c r="I645" s="298" t="b">
        <f t="shared" si="21"/>
        <v>0</v>
      </c>
      <c r="J645" s="298" t="b">
        <f>IF($J$1,FALSE,IF(I645=TRUE,FALSE,IF(I645,FALSE,C645&gt;入力シート!$J$24)))</f>
        <v>0</v>
      </c>
      <c r="K645" s="298" t="b">
        <f>IF($K$1,FALSE,COUNTIF(入力シート!$AW$37:$BB$38,D645)=0)</f>
        <v>0</v>
      </c>
      <c r="L645" s="298" t="b">
        <f>IF($L$1,FALSE,IF($L$3,FALSE,IF(E645="",FALSE,COUNTIF(入力シート!$AH$37:$AK$62,E645)=0)))</f>
        <v>0</v>
      </c>
      <c r="M645" s="298" t="str">
        <f t="shared" si="22"/>
        <v/>
      </c>
      <c r="N645" s="298" t="str">
        <f>IF(G645,"この従業員番号は、すでに他のセルで入力されています。",IF(入力シート!$C$5=入力リスト!$C$4,"",IF(AND(A645="",B645="",C645="",D645="",E645=""),"",IF(OR(A645="",B645="",C645="",D645=""),IF(A645="","従業員番号","")&amp;IF(AND(A645="",OR(B645="",C645="",D645="")),",","")&amp;IF(B645="","雇用形態","")&amp;IF(AND(B645="",OR(C645="",D645="")),",","")&amp;IF(OR(入力シート!$J$18=入力リスト!$H$9,入力シート!$J$22=入力リスト!$H$9),IF(C645="","入社年月日",""),"")&amp;IF(AND(C645="",D645=""),",","")&amp;IF(D645="","性別","")&amp;IF(IF(A645="","従業員番号","")&amp;IF(B645="","雇用形態","")&amp;IF(OR(入力シート!$J$18=入力リスト!$H$9,入力シート!$J$22=入力リスト!$H$9),IF(C645="","入社年月日",""),"")&amp;IF(D645="","性別","")="","","が空白です。"),IF(J645,"入社年月日に「基準日」の翌日以降の日付が入力されています。","")&amp;IF(I645,"入社年月日に数値以外（又は1900/1/1以前の日付）が入力されています。","")&amp;IF(H645,"雇用形態"&amp;IF(OR(K645,L645),",",""),"")&amp;IF(K645,"性別"&amp;IF(L645,",",""),"")&amp;IF(L645,"役職","")&amp;IF(OR(H645,K645,L645),"に、［入力シート］(4)「貴社」欄と異なる文言が入力されています。","")))))</f>
        <v/>
      </c>
      <c r="O645" s="298" t="str">
        <f>IF(B645="","",VLOOKUP('従業員情報(給与以外)'!$B645,入力シート!$S$37:$Z$62,5,0))</f>
        <v/>
      </c>
      <c r="P645" s="298" t="str">
        <f>IF(ISNUMBER(C645)=FALSE,"",IF(C645&gt;入力シート!$J$24,"",_xlfn.DAYS(入力シート!$J$24,'従業員情報(給与以外)'!$C645)/365))</f>
        <v/>
      </c>
      <c r="Q645" s="298" t="str">
        <f>IF(P645="","",VLOOKUP(_xlfn.DAYS(入力シート!$J$24,'従業員情報(給与以外)'!$C645)/365,入力リスト!$K$18:$L$26,2,2))</f>
        <v/>
      </c>
      <c r="R645" s="298" t="str">
        <f>IF(D645="","",VLOOKUP('従業員情報(給与以外)'!$D645,入力シート!$AW$37:$BB$38,4,0))</f>
        <v/>
      </c>
      <c r="S645" s="298" t="str">
        <f>IF(A645="","",IF(E645="","非役職",VLOOKUP('従業員情報(給与以外)'!$E645,入力シート!$AH$37:$AO$62,5,0)))</f>
        <v/>
      </c>
      <c r="T645" s="299" t="str">
        <f>IF(OR(入力シート!$C$5&lt;&gt;入力リスト!$C$3,COUNTIF(入力シート!$J$16:$S$23,入力リスト!$H$9)=0),"",IF($A645="","",IF(ISERROR(AVERAGEIF(従業員の給与情報!$B:$B,$A645,従業員の給与情報!$C:$C)),0,IF(ISERROR(AVERAGEIF(従業員の給与情報!$B:$B,$A645,従業員の給与情報!$C:$C)),0,AVERAGEIF(従業員の給与情報!$B:$B,$A645,従業員の給与情報!$C:$C)))))</f>
        <v/>
      </c>
      <c r="U645" s="299" t="str">
        <f>IF(OR(入力シート!$C$5&lt;&gt;入力リスト!$C$3,COUNTIF(入力シート!$J$16:$S$23,入力リスト!$H$9)=0),"",IF(A645="","",IF(ISERROR(AVERAGEIF(従業員の給与情報!$B:$B,$A645,従業員の給与情報!$D:$D)),0,IF(ISERROR(AVERAGEIF(従業員の給与情報!$B:$B,$A645,従業員の給与情報!$D:$D)),0,AVERAGEIF(従業員の給与情報!$B:$B,$A645,従業員の給与情報!$D:$D)))))</f>
        <v/>
      </c>
      <c r="V645" s="299" t="str">
        <f>IF(OR(入力シート!$C$5&lt;&gt;入力リスト!$C$3,COUNTIF(入力シート!$J$16:$S$23,入力リスト!$H$9)=0),"",IF(A645="","",IF(ISERROR(AVERAGEIF(従業員の給与情報!$B:$B,$A645,従業員の給与情報!$E:$E)),0,IF(ISERROR(AVERAGEIF(従業員の給与情報!$B:$B,$A645,従業員の給与情報!$E:$E)),0,AVERAGEIF(従業員の給与情報!$B:$B,$A645,従業員の給与情報!$E:$E)))))</f>
        <v/>
      </c>
      <c r="W645" s="299" t="str">
        <f>IF(OR(入力シート!$C$5&lt;&gt;入力リスト!$C$3,COUNTIF(入力シート!$J$16:$S$23,入力リスト!$H$9)=0),"",IF(A645="","",IF(ISERROR(AVERAGEIF(従業員の給与情報!$B:$B,$A645,従業員の給与情報!$F:$F)),0,IF(ISERROR(AVERAGEIF(従業員の給与情報!$B:$B,$A645,従業員の給与情報!$F:$F)),0,AVERAGEIF(従業員の給与情報!$B:$B,$A645,従業員の給与情報!$F:$F)))))</f>
        <v/>
      </c>
      <c r="X645" s="581" t="s">
        <v>5384</v>
      </c>
    </row>
    <row r="646" spans="6:24">
      <c r="F646" s="297" t="str">
        <f>IF($G$1,"",IF(COUNTIF(A646:E646,"")=5,"",IF(G646,入力リスト!$K$28,IF(OR(A646="",B646="",IF(COUNTIF($C$3,"*不要*"),"",C646=""),D646=""),IF(A646="","従業員番号","")&amp;IF(B646="","「雇用形態」","")&amp;IF(OR(入力シート!$J$18=入力リスト!$H$9,入力シート!$J$22=入力リスト!$H$9),IF(C646="","「入社年月日」",""),"")&amp;IF(D646="","「性別」","")&amp;IF(IF(A646="","従業員番号","")&amp;IF(B646="","「雇用形態」","")&amp;IF(OR(入力シート!$J$18=入力リスト!$H$9,入力シート!$J$22=入力リスト!$H$9),IF(C646="","「入社年月日」",""),"")&amp;IF(D646="","「性別」","")="","",入力リスト!$K$29),IF(J646,入力リスト!$K$30,"")&amp;IF(I646,入力リスト!$K$31,"")&amp;IF(H646,"「雇用形態」","")&amp;IF(K646,"「性別」","")&amp;IF(L646,"「役職」","")&amp;IF(OR(H646,K646,L646),入力リスト!$K$32,"")))))</f>
        <v/>
      </c>
      <c r="G646" s="298" t="b">
        <f>COUNTIF($A$4:A645,$A646)&gt;0</f>
        <v>0</v>
      </c>
      <c r="H646" s="298" t="b">
        <f>IF($H$1,FALSE,COUNTIF(入力シート!$S$37:$V$62,B646)=0)</f>
        <v>0</v>
      </c>
      <c r="I646" s="298" t="b">
        <f t="shared" si="21"/>
        <v>0</v>
      </c>
      <c r="J646" s="298" t="b">
        <f>IF($J$1,FALSE,IF(I646=TRUE,FALSE,IF(I646,FALSE,C646&gt;入力シート!$J$24)))</f>
        <v>0</v>
      </c>
      <c r="K646" s="298" t="b">
        <f>IF($K$1,FALSE,COUNTIF(入力シート!$AW$37:$BB$38,D646)=0)</f>
        <v>0</v>
      </c>
      <c r="L646" s="298" t="b">
        <f>IF($L$1,FALSE,IF($L$3,FALSE,IF(E646="",FALSE,COUNTIF(入力シート!$AH$37:$AK$62,E646)=0)))</f>
        <v>0</v>
      </c>
      <c r="M646" s="298" t="str">
        <f t="shared" si="22"/>
        <v/>
      </c>
      <c r="N646" s="298" t="str">
        <f>IF(G646,"この従業員番号は、すでに他のセルで入力されています。",IF(入力シート!$C$5=入力リスト!$C$4,"",IF(AND(A646="",B646="",C646="",D646="",E646=""),"",IF(OR(A646="",B646="",C646="",D646=""),IF(A646="","従業員番号","")&amp;IF(AND(A646="",OR(B646="",C646="",D646="")),",","")&amp;IF(B646="","雇用形態","")&amp;IF(AND(B646="",OR(C646="",D646="")),",","")&amp;IF(OR(入力シート!$J$18=入力リスト!$H$9,入力シート!$J$22=入力リスト!$H$9),IF(C646="","入社年月日",""),"")&amp;IF(AND(C646="",D646=""),",","")&amp;IF(D646="","性別","")&amp;IF(IF(A646="","従業員番号","")&amp;IF(B646="","雇用形態","")&amp;IF(OR(入力シート!$J$18=入力リスト!$H$9,入力シート!$J$22=入力リスト!$H$9),IF(C646="","入社年月日",""),"")&amp;IF(D646="","性別","")="","","が空白です。"),IF(J646,"入社年月日に「基準日」の翌日以降の日付が入力されています。","")&amp;IF(I646,"入社年月日に数値以外（又は1900/1/1以前の日付）が入力されています。","")&amp;IF(H646,"雇用形態"&amp;IF(OR(K646,L646),",",""),"")&amp;IF(K646,"性別"&amp;IF(L646,",",""),"")&amp;IF(L646,"役職","")&amp;IF(OR(H646,K646,L646),"に、［入力シート］(4)「貴社」欄と異なる文言が入力されています。","")))))</f>
        <v/>
      </c>
      <c r="O646" s="298" t="str">
        <f>IF(B646="","",VLOOKUP('従業員情報(給与以外)'!$B646,入力シート!$S$37:$Z$62,5,0))</f>
        <v/>
      </c>
      <c r="P646" s="298" t="str">
        <f>IF(ISNUMBER(C646)=FALSE,"",IF(C646&gt;入力シート!$J$24,"",_xlfn.DAYS(入力シート!$J$24,'従業員情報(給与以外)'!$C646)/365))</f>
        <v/>
      </c>
      <c r="Q646" s="298" t="str">
        <f>IF(P646="","",VLOOKUP(_xlfn.DAYS(入力シート!$J$24,'従業員情報(給与以外)'!$C646)/365,入力リスト!$K$18:$L$26,2,2))</f>
        <v/>
      </c>
      <c r="R646" s="298" t="str">
        <f>IF(D646="","",VLOOKUP('従業員情報(給与以外)'!$D646,入力シート!$AW$37:$BB$38,4,0))</f>
        <v/>
      </c>
      <c r="S646" s="298" t="str">
        <f>IF(A646="","",IF(E646="","非役職",VLOOKUP('従業員情報(給与以外)'!$E646,入力シート!$AH$37:$AO$62,5,0)))</f>
        <v/>
      </c>
      <c r="T646" s="299" t="str">
        <f>IF(OR(入力シート!$C$5&lt;&gt;入力リスト!$C$3,COUNTIF(入力シート!$J$16:$S$23,入力リスト!$H$9)=0),"",IF($A646="","",IF(ISERROR(AVERAGEIF(従業員の給与情報!$B:$B,$A646,従業員の給与情報!$C:$C)),0,IF(ISERROR(AVERAGEIF(従業員の給与情報!$B:$B,$A646,従業員の給与情報!$C:$C)),0,AVERAGEIF(従業員の給与情報!$B:$B,$A646,従業員の給与情報!$C:$C)))))</f>
        <v/>
      </c>
      <c r="U646" s="299" t="str">
        <f>IF(OR(入力シート!$C$5&lt;&gt;入力リスト!$C$3,COUNTIF(入力シート!$J$16:$S$23,入力リスト!$H$9)=0),"",IF(A646="","",IF(ISERROR(AVERAGEIF(従業員の給与情報!$B:$B,$A646,従業員の給与情報!$D:$D)),0,IF(ISERROR(AVERAGEIF(従業員の給与情報!$B:$B,$A646,従業員の給与情報!$D:$D)),0,AVERAGEIF(従業員の給与情報!$B:$B,$A646,従業員の給与情報!$D:$D)))))</f>
        <v/>
      </c>
      <c r="V646" s="299" t="str">
        <f>IF(OR(入力シート!$C$5&lt;&gt;入力リスト!$C$3,COUNTIF(入力シート!$J$16:$S$23,入力リスト!$H$9)=0),"",IF(A646="","",IF(ISERROR(AVERAGEIF(従業員の給与情報!$B:$B,$A646,従業員の給与情報!$E:$E)),0,IF(ISERROR(AVERAGEIF(従業員の給与情報!$B:$B,$A646,従業員の給与情報!$E:$E)),0,AVERAGEIF(従業員の給与情報!$B:$B,$A646,従業員の給与情報!$E:$E)))))</f>
        <v/>
      </c>
      <c r="W646" s="299" t="str">
        <f>IF(OR(入力シート!$C$5&lt;&gt;入力リスト!$C$3,COUNTIF(入力シート!$J$16:$S$23,入力リスト!$H$9)=0),"",IF(A646="","",IF(ISERROR(AVERAGEIF(従業員の給与情報!$B:$B,$A646,従業員の給与情報!$F:$F)),0,IF(ISERROR(AVERAGEIF(従業員の給与情報!$B:$B,$A646,従業員の給与情報!$F:$F)),0,AVERAGEIF(従業員の給与情報!$B:$B,$A646,従業員の給与情報!$F:$F)))))</f>
        <v/>
      </c>
      <c r="X646" s="581" t="s">
        <v>5385</v>
      </c>
    </row>
    <row r="647" spans="6:24">
      <c r="F647" s="297" t="str">
        <f>IF($G$1,"",IF(COUNTIF(A647:E647,"")=5,"",IF(G647,入力リスト!$K$28,IF(OR(A647="",B647="",IF(COUNTIF($C$3,"*不要*"),"",C647=""),D647=""),IF(A647="","従業員番号","")&amp;IF(B647="","「雇用形態」","")&amp;IF(OR(入力シート!$J$18=入力リスト!$H$9,入力シート!$J$22=入力リスト!$H$9),IF(C647="","「入社年月日」",""),"")&amp;IF(D647="","「性別」","")&amp;IF(IF(A647="","従業員番号","")&amp;IF(B647="","「雇用形態」","")&amp;IF(OR(入力シート!$J$18=入力リスト!$H$9,入力シート!$J$22=入力リスト!$H$9),IF(C647="","「入社年月日」",""),"")&amp;IF(D647="","「性別」","")="","",入力リスト!$K$29),IF(J647,入力リスト!$K$30,"")&amp;IF(I647,入力リスト!$K$31,"")&amp;IF(H647,"「雇用形態」","")&amp;IF(K647,"「性別」","")&amp;IF(L647,"「役職」","")&amp;IF(OR(H647,K647,L647),入力リスト!$K$32,"")))))</f>
        <v/>
      </c>
      <c r="G647" s="298" t="b">
        <f>COUNTIF($A$4:A646,$A647)&gt;0</f>
        <v>0</v>
      </c>
      <c r="H647" s="298" t="b">
        <f>IF($H$1,FALSE,COUNTIF(入力シート!$S$37:$V$62,B647)=0)</f>
        <v>0</v>
      </c>
      <c r="I647" s="298" t="b">
        <f t="shared" si="21"/>
        <v>0</v>
      </c>
      <c r="J647" s="298" t="b">
        <f>IF($J$1,FALSE,IF(I647=TRUE,FALSE,IF(I647,FALSE,C647&gt;入力シート!$J$24)))</f>
        <v>0</v>
      </c>
      <c r="K647" s="298" t="b">
        <f>IF($K$1,FALSE,COUNTIF(入力シート!$AW$37:$BB$38,D647)=0)</f>
        <v>0</v>
      </c>
      <c r="L647" s="298" t="b">
        <f>IF($L$1,FALSE,IF($L$3,FALSE,IF(E647="",FALSE,COUNTIF(入力シート!$AH$37:$AK$62,E647)=0)))</f>
        <v>0</v>
      </c>
      <c r="M647" s="298" t="str">
        <f t="shared" si="22"/>
        <v/>
      </c>
      <c r="N647" s="298" t="str">
        <f>IF(G647,"この従業員番号は、すでに他のセルで入力されています。",IF(入力シート!$C$5=入力リスト!$C$4,"",IF(AND(A647="",B647="",C647="",D647="",E647=""),"",IF(OR(A647="",B647="",C647="",D647=""),IF(A647="","従業員番号","")&amp;IF(AND(A647="",OR(B647="",C647="",D647="")),",","")&amp;IF(B647="","雇用形態","")&amp;IF(AND(B647="",OR(C647="",D647="")),",","")&amp;IF(OR(入力シート!$J$18=入力リスト!$H$9,入力シート!$J$22=入力リスト!$H$9),IF(C647="","入社年月日",""),"")&amp;IF(AND(C647="",D647=""),",","")&amp;IF(D647="","性別","")&amp;IF(IF(A647="","従業員番号","")&amp;IF(B647="","雇用形態","")&amp;IF(OR(入力シート!$J$18=入力リスト!$H$9,入力シート!$J$22=入力リスト!$H$9),IF(C647="","入社年月日",""),"")&amp;IF(D647="","性別","")="","","が空白です。"),IF(J647,"入社年月日に「基準日」の翌日以降の日付が入力されています。","")&amp;IF(I647,"入社年月日に数値以外（又は1900/1/1以前の日付）が入力されています。","")&amp;IF(H647,"雇用形態"&amp;IF(OR(K647,L647),",",""),"")&amp;IF(K647,"性別"&amp;IF(L647,",",""),"")&amp;IF(L647,"役職","")&amp;IF(OR(H647,K647,L647),"に、［入力シート］(4)「貴社」欄と異なる文言が入力されています。","")))))</f>
        <v/>
      </c>
      <c r="O647" s="298" t="str">
        <f>IF(B647="","",VLOOKUP('従業員情報(給与以外)'!$B647,入力シート!$S$37:$Z$62,5,0))</f>
        <v/>
      </c>
      <c r="P647" s="298" t="str">
        <f>IF(ISNUMBER(C647)=FALSE,"",IF(C647&gt;入力シート!$J$24,"",_xlfn.DAYS(入力シート!$J$24,'従業員情報(給与以外)'!$C647)/365))</f>
        <v/>
      </c>
      <c r="Q647" s="298" t="str">
        <f>IF(P647="","",VLOOKUP(_xlfn.DAYS(入力シート!$J$24,'従業員情報(給与以外)'!$C647)/365,入力リスト!$K$18:$L$26,2,2))</f>
        <v/>
      </c>
      <c r="R647" s="298" t="str">
        <f>IF(D647="","",VLOOKUP('従業員情報(給与以外)'!$D647,入力シート!$AW$37:$BB$38,4,0))</f>
        <v/>
      </c>
      <c r="S647" s="298" t="str">
        <f>IF(A647="","",IF(E647="","非役職",VLOOKUP('従業員情報(給与以外)'!$E647,入力シート!$AH$37:$AO$62,5,0)))</f>
        <v/>
      </c>
      <c r="T647" s="299" t="str">
        <f>IF(OR(入力シート!$C$5&lt;&gt;入力リスト!$C$3,COUNTIF(入力シート!$J$16:$S$23,入力リスト!$H$9)=0),"",IF($A647="","",IF(ISERROR(AVERAGEIF(従業員の給与情報!$B:$B,$A647,従業員の給与情報!$C:$C)),0,IF(ISERROR(AVERAGEIF(従業員の給与情報!$B:$B,$A647,従業員の給与情報!$C:$C)),0,AVERAGEIF(従業員の給与情報!$B:$B,$A647,従業員の給与情報!$C:$C)))))</f>
        <v/>
      </c>
      <c r="U647" s="299" t="str">
        <f>IF(OR(入力シート!$C$5&lt;&gt;入力リスト!$C$3,COUNTIF(入力シート!$J$16:$S$23,入力リスト!$H$9)=0),"",IF(A647="","",IF(ISERROR(AVERAGEIF(従業員の給与情報!$B:$B,$A647,従業員の給与情報!$D:$D)),0,IF(ISERROR(AVERAGEIF(従業員の給与情報!$B:$B,$A647,従業員の給与情報!$D:$D)),0,AVERAGEIF(従業員の給与情報!$B:$B,$A647,従業員の給与情報!$D:$D)))))</f>
        <v/>
      </c>
      <c r="V647" s="299" t="str">
        <f>IF(OR(入力シート!$C$5&lt;&gt;入力リスト!$C$3,COUNTIF(入力シート!$J$16:$S$23,入力リスト!$H$9)=0),"",IF(A647="","",IF(ISERROR(AVERAGEIF(従業員の給与情報!$B:$B,$A647,従業員の給与情報!$E:$E)),0,IF(ISERROR(AVERAGEIF(従業員の給与情報!$B:$B,$A647,従業員の給与情報!$E:$E)),0,AVERAGEIF(従業員の給与情報!$B:$B,$A647,従業員の給与情報!$E:$E)))))</f>
        <v/>
      </c>
      <c r="W647" s="299" t="str">
        <f>IF(OR(入力シート!$C$5&lt;&gt;入力リスト!$C$3,COUNTIF(入力シート!$J$16:$S$23,入力リスト!$H$9)=0),"",IF(A647="","",IF(ISERROR(AVERAGEIF(従業員の給与情報!$B:$B,$A647,従業員の給与情報!$F:$F)),0,IF(ISERROR(AVERAGEIF(従業員の給与情報!$B:$B,$A647,従業員の給与情報!$F:$F)),0,AVERAGEIF(従業員の給与情報!$B:$B,$A647,従業員の給与情報!$F:$F)))))</f>
        <v/>
      </c>
      <c r="X647" s="581" t="s">
        <v>5386</v>
      </c>
    </row>
    <row r="648" spans="6:24">
      <c r="F648" s="297" t="str">
        <f>IF($G$1,"",IF(COUNTIF(A648:E648,"")=5,"",IF(G648,入力リスト!$K$28,IF(OR(A648="",B648="",IF(COUNTIF($C$3,"*不要*"),"",C648=""),D648=""),IF(A648="","従業員番号","")&amp;IF(B648="","「雇用形態」","")&amp;IF(OR(入力シート!$J$18=入力リスト!$H$9,入力シート!$J$22=入力リスト!$H$9),IF(C648="","「入社年月日」",""),"")&amp;IF(D648="","「性別」","")&amp;IF(IF(A648="","従業員番号","")&amp;IF(B648="","「雇用形態」","")&amp;IF(OR(入力シート!$J$18=入力リスト!$H$9,入力シート!$J$22=入力リスト!$H$9),IF(C648="","「入社年月日」",""),"")&amp;IF(D648="","「性別」","")="","",入力リスト!$K$29),IF(J648,入力リスト!$K$30,"")&amp;IF(I648,入力リスト!$K$31,"")&amp;IF(H648,"「雇用形態」","")&amp;IF(K648,"「性別」","")&amp;IF(L648,"「役職」","")&amp;IF(OR(H648,K648,L648),入力リスト!$K$32,"")))))</f>
        <v/>
      </c>
      <c r="G648" s="298" t="b">
        <f>COUNTIF($A$4:A647,$A648)&gt;0</f>
        <v>0</v>
      </c>
      <c r="H648" s="298" t="b">
        <f>IF($H$1,FALSE,COUNTIF(入力シート!$S$37:$V$62,B648)=0)</f>
        <v>0</v>
      </c>
      <c r="I648" s="298" t="b">
        <f t="shared" si="21"/>
        <v>0</v>
      </c>
      <c r="J648" s="298" t="b">
        <f>IF($J$1,FALSE,IF(I648=TRUE,FALSE,IF(I648,FALSE,C648&gt;入力シート!$J$24)))</f>
        <v>0</v>
      </c>
      <c r="K648" s="298" t="b">
        <f>IF($K$1,FALSE,COUNTIF(入力シート!$AW$37:$BB$38,D648)=0)</f>
        <v>0</v>
      </c>
      <c r="L648" s="298" t="b">
        <f>IF($L$1,FALSE,IF($L$3,FALSE,IF(E648="",FALSE,COUNTIF(入力シート!$AH$37:$AK$62,E648)=0)))</f>
        <v>0</v>
      </c>
      <c r="M648" s="298" t="str">
        <f t="shared" si="22"/>
        <v/>
      </c>
      <c r="N648" s="298" t="str">
        <f>IF(G648,"この従業員番号は、すでに他のセルで入力されています。",IF(入力シート!$C$5=入力リスト!$C$4,"",IF(AND(A648="",B648="",C648="",D648="",E648=""),"",IF(OR(A648="",B648="",C648="",D648=""),IF(A648="","従業員番号","")&amp;IF(AND(A648="",OR(B648="",C648="",D648="")),",","")&amp;IF(B648="","雇用形態","")&amp;IF(AND(B648="",OR(C648="",D648="")),",","")&amp;IF(OR(入力シート!$J$18=入力リスト!$H$9,入力シート!$J$22=入力リスト!$H$9),IF(C648="","入社年月日",""),"")&amp;IF(AND(C648="",D648=""),",","")&amp;IF(D648="","性別","")&amp;IF(IF(A648="","従業員番号","")&amp;IF(B648="","雇用形態","")&amp;IF(OR(入力シート!$J$18=入力リスト!$H$9,入力シート!$J$22=入力リスト!$H$9),IF(C648="","入社年月日",""),"")&amp;IF(D648="","性別","")="","","が空白です。"),IF(J648,"入社年月日に「基準日」の翌日以降の日付が入力されています。","")&amp;IF(I648,"入社年月日に数値以外（又は1900/1/1以前の日付）が入力されています。","")&amp;IF(H648,"雇用形態"&amp;IF(OR(K648,L648),",",""),"")&amp;IF(K648,"性別"&amp;IF(L648,",",""),"")&amp;IF(L648,"役職","")&amp;IF(OR(H648,K648,L648),"に、［入力シート］(4)「貴社」欄と異なる文言が入力されています。","")))))</f>
        <v/>
      </c>
      <c r="O648" s="298" t="str">
        <f>IF(B648="","",VLOOKUP('従業員情報(給与以外)'!$B648,入力シート!$S$37:$Z$62,5,0))</f>
        <v/>
      </c>
      <c r="P648" s="298" t="str">
        <f>IF(ISNUMBER(C648)=FALSE,"",IF(C648&gt;入力シート!$J$24,"",_xlfn.DAYS(入力シート!$J$24,'従業員情報(給与以外)'!$C648)/365))</f>
        <v/>
      </c>
      <c r="Q648" s="298" t="str">
        <f>IF(P648="","",VLOOKUP(_xlfn.DAYS(入力シート!$J$24,'従業員情報(給与以外)'!$C648)/365,入力リスト!$K$18:$L$26,2,2))</f>
        <v/>
      </c>
      <c r="R648" s="298" t="str">
        <f>IF(D648="","",VLOOKUP('従業員情報(給与以外)'!$D648,入力シート!$AW$37:$BB$38,4,0))</f>
        <v/>
      </c>
      <c r="S648" s="298" t="str">
        <f>IF(A648="","",IF(E648="","非役職",VLOOKUP('従業員情報(給与以外)'!$E648,入力シート!$AH$37:$AO$62,5,0)))</f>
        <v/>
      </c>
      <c r="T648" s="299" t="str">
        <f>IF(OR(入力シート!$C$5&lt;&gt;入力リスト!$C$3,COUNTIF(入力シート!$J$16:$S$23,入力リスト!$H$9)=0),"",IF($A648="","",IF(ISERROR(AVERAGEIF(従業員の給与情報!$B:$B,$A648,従業員の給与情報!$C:$C)),0,IF(ISERROR(AVERAGEIF(従業員の給与情報!$B:$B,$A648,従業員の給与情報!$C:$C)),0,AVERAGEIF(従業員の給与情報!$B:$B,$A648,従業員の給与情報!$C:$C)))))</f>
        <v/>
      </c>
      <c r="U648" s="299" t="str">
        <f>IF(OR(入力シート!$C$5&lt;&gt;入力リスト!$C$3,COUNTIF(入力シート!$J$16:$S$23,入力リスト!$H$9)=0),"",IF(A648="","",IF(ISERROR(AVERAGEIF(従業員の給与情報!$B:$B,$A648,従業員の給与情報!$D:$D)),0,IF(ISERROR(AVERAGEIF(従業員の給与情報!$B:$B,$A648,従業員の給与情報!$D:$D)),0,AVERAGEIF(従業員の給与情報!$B:$B,$A648,従業員の給与情報!$D:$D)))))</f>
        <v/>
      </c>
      <c r="V648" s="299" t="str">
        <f>IF(OR(入力シート!$C$5&lt;&gt;入力リスト!$C$3,COUNTIF(入力シート!$J$16:$S$23,入力リスト!$H$9)=0),"",IF(A648="","",IF(ISERROR(AVERAGEIF(従業員の給与情報!$B:$B,$A648,従業員の給与情報!$E:$E)),0,IF(ISERROR(AVERAGEIF(従業員の給与情報!$B:$B,$A648,従業員の給与情報!$E:$E)),0,AVERAGEIF(従業員の給与情報!$B:$B,$A648,従業員の給与情報!$E:$E)))))</f>
        <v/>
      </c>
      <c r="W648" s="299" t="str">
        <f>IF(OR(入力シート!$C$5&lt;&gt;入力リスト!$C$3,COUNTIF(入力シート!$J$16:$S$23,入力リスト!$H$9)=0),"",IF(A648="","",IF(ISERROR(AVERAGEIF(従業員の給与情報!$B:$B,$A648,従業員の給与情報!$F:$F)),0,IF(ISERROR(AVERAGEIF(従業員の給与情報!$B:$B,$A648,従業員の給与情報!$F:$F)),0,AVERAGEIF(従業員の給与情報!$B:$B,$A648,従業員の給与情報!$F:$F)))))</f>
        <v/>
      </c>
      <c r="X648" s="581" t="s">
        <v>5387</v>
      </c>
    </row>
    <row r="649" spans="6:24">
      <c r="F649" s="297" t="str">
        <f>IF($G$1,"",IF(COUNTIF(A649:E649,"")=5,"",IF(G649,入力リスト!$K$28,IF(OR(A649="",B649="",IF(COUNTIF($C$3,"*不要*"),"",C649=""),D649=""),IF(A649="","従業員番号","")&amp;IF(B649="","「雇用形態」","")&amp;IF(OR(入力シート!$J$18=入力リスト!$H$9,入力シート!$J$22=入力リスト!$H$9),IF(C649="","「入社年月日」",""),"")&amp;IF(D649="","「性別」","")&amp;IF(IF(A649="","従業員番号","")&amp;IF(B649="","「雇用形態」","")&amp;IF(OR(入力シート!$J$18=入力リスト!$H$9,入力シート!$J$22=入力リスト!$H$9),IF(C649="","「入社年月日」",""),"")&amp;IF(D649="","「性別」","")="","",入力リスト!$K$29),IF(J649,入力リスト!$K$30,"")&amp;IF(I649,入力リスト!$K$31,"")&amp;IF(H649,"「雇用形態」","")&amp;IF(K649,"「性別」","")&amp;IF(L649,"「役職」","")&amp;IF(OR(H649,K649,L649),入力リスト!$K$32,"")))))</f>
        <v/>
      </c>
      <c r="G649" s="298" t="b">
        <f>COUNTIF($A$4:A648,$A649)&gt;0</f>
        <v>0</v>
      </c>
      <c r="H649" s="298" t="b">
        <f>IF($H$1,FALSE,COUNTIF(入力シート!$S$37:$V$62,B649)=0)</f>
        <v>0</v>
      </c>
      <c r="I649" s="298" t="b">
        <f t="shared" si="21"/>
        <v>0</v>
      </c>
      <c r="J649" s="298" t="b">
        <f>IF($J$1,FALSE,IF(I649=TRUE,FALSE,IF(I649,FALSE,C649&gt;入力シート!$J$24)))</f>
        <v>0</v>
      </c>
      <c r="K649" s="298" t="b">
        <f>IF($K$1,FALSE,COUNTIF(入力シート!$AW$37:$BB$38,D649)=0)</f>
        <v>0</v>
      </c>
      <c r="L649" s="298" t="b">
        <f>IF($L$1,FALSE,IF($L$3,FALSE,IF(E649="",FALSE,COUNTIF(入力シート!$AH$37:$AK$62,E649)=0)))</f>
        <v>0</v>
      </c>
      <c r="M649" s="298" t="str">
        <f t="shared" si="22"/>
        <v/>
      </c>
      <c r="N649" s="298" t="str">
        <f>IF(G649,"この従業員番号は、すでに他のセルで入力されています。",IF(入力シート!$C$5=入力リスト!$C$4,"",IF(AND(A649="",B649="",C649="",D649="",E649=""),"",IF(OR(A649="",B649="",C649="",D649=""),IF(A649="","従業員番号","")&amp;IF(AND(A649="",OR(B649="",C649="",D649="")),",","")&amp;IF(B649="","雇用形態","")&amp;IF(AND(B649="",OR(C649="",D649="")),",","")&amp;IF(OR(入力シート!$J$18=入力リスト!$H$9,入力シート!$J$22=入力リスト!$H$9),IF(C649="","入社年月日",""),"")&amp;IF(AND(C649="",D649=""),",","")&amp;IF(D649="","性別","")&amp;IF(IF(A649="","従業員番号","")&amp;IF(B649="","雇用形態","")&amp;IF(OR(入力シート!$J$18=入力リスト!$H$9,入力シート!$J$22=入力リスト!$H$9),IF(C649="","入社年月日",""),"")&amp;IF(D649="","性別","")="","","が空白です。"),IF(J649,"入社年月日に「基準日」の翌日以降の日付が入力されています。","")&amp;IF(I649,"入社年月日に数値以外（又は1900/1/1以前の日付）が入力されています。","")&amp;IF(H649,"雇用形態"&amp;IF(OR(K649,L649),",",""),"")&amp;IF(K649,"性別"&amp;IF(L649,",",""),"")&amp;IF(L649,"役職","")&amp;IF(OR(H649,K649,L649),"に、［入力シート］(4)「貴社」欄と異なる文言が入力されています。","")))))</f>
        <v/>
      </c>
      <c r="O649" s="298" t="str">
        <f>IF(B649="","",VLOOKUP('従業員情報(給与以外)'!$B649,入力シート!$S$37:$Z$62,5,0))</f>
        <v/>
      </c>
      <c r="P649" s="298" t="str">
        <f>IF(ISNUMBER(C649)=FALSE,"",IF(C649&gt;入力シート!$J$24,"",_xlfn.DAYS(入力シート!$J$24,'従業員情報(給与以外)'!$C649)/365))</f>
        <v/>
      </c>
      <c r="Q649" s="298" t="str">
        <f>IF(P649="","",VLOOKUP(_xlfn.DAYS(入力シート!$J$24,'従業員情報(給与以外)'!$C649)/365,入力リスト!$K$18:$L$26,2,2))</f>
        <v/>
      </c>
      <c r="R649" s="298" t="str">
        <f>IF(D649="","",VLOOKUP('従業員情報(給与以外)'!$D649,入力シート!$AW$37:$BB$38,4,0))</f>
        <v/>
      </c>
      <c r="S649" s="298" t="str">
        <f>IF(A649="","",IF(E649="","非役職",VLOOKUP('従業員情報(給与以外)'!$E649,入力シート!$AH$37:$AO$62,5,0)))</f>
        <v/>
      </c>
      <c r="T649" s="299" t="str">
        <f>IF(OR(入力シート!$C$5&lt;&gt;入力リスト!$C$3,COUNTIF(入力シート!$J$16:$S$23,入力リスト!$H$9)=0),"",IF($A649="","",IF(ISERROR(AVERAGEIF(従業員の給与情報!$B:$B,$A649,従業員の給与情報!$C:$C)),0,IF(ISERROR(AVERAGEIF(従業員の給与情報!$B:$B,$A649,従業員の給与情報!$C:$C)),0,AVERAGEIF(従業員の給与情報!$B:$B,$A649,従業員の給与情報!$C:$C)))))</f>
        <v/>
      </c>
      <c r="U649" s="299" t="str">
        <f>IF(OR(入力シート!$C$5&lt;&gt;入力リスト!$C$3,COUNTIF(入力シート!$J$16:$S$23,入力リスト!$H$9)=0),"",IF(A649="","",IF(ISERROR(AVERAGEIF(従業員の給与情報!$B:$B,$A649,従業員の給与情報!$D:$D)),0,IF(ISERROR(AVERAGEIF(従業員の給与情報!$B:$B,$A649,従業員の給与情報!$D:$D)),0,AVERAGEIF(従業員の給与情報!$B:$B,$A649,従業員の給与情報!$D:$D)))))</f>
        <v/>
      </c>
      <c r="V649" s="299" t="str">
        <f>IF(OR(入力シート!$C$5&lt;&gt;入力リスト!$C$3,COUNTIF(入力シート!$J$16:$S$23,入力リスト!$H$9)=0),"",IF(A649="","",IF(ISERROR(AVERAGEIF(従業員の給与情報!$B:$B,$A649,従業員の給与情報!$E:$E)),0,IF(ISERROR(AVERAGEIF(従業員の給与情報!$B:$B,$A649,従業員の給与情報!$E:$E)),0,AVERAGEIF(従業員の給与情報!$B:$B,$A649,従業員の給与情報!$E:$E)))))</f>
        <v/>
      </c>
      <c r="W649" s="299" t="str">
        <f>IF(OR(入力シート!$C$5&lt;&gt;入力リスト!$C$3,COUNTIF(入力シート!$J$16:$S$23,入力リスト!$H$9)=0),"",IF(A649="","",IF(ISERROR(AVERAGEIF(従業員の給与情報!$B:$B,$A649,従業員の給与情報!$F:$F)),0,IF(ISERROR(AVERAGEIF(従業員の給与情報!$B:$B,$A649,従業員の給与情報!$F:$F)),0,AVERAGEIF(従業員の給与情報!$B:$B,$A649,従業員の給与情報!$F:$F)))))</f>
        <v/>
      </c>
      <c r="X649" s="581" t="s">
        <v>5388</v>
      </c>
    </row>
    <row r="650" spans="6:24">
      <c r="F650" s="297" t="str">
        <f>IF($G$1,"",IF(COUNTIF(A650:E650,"")=5,"",IF(G650,入力リスト!$K$28,IF(OR(A650="",B650="",IF(COUNTIF($C$3,"*不要*"),"",C650=""),D650=""),IF(A650="","従業員番号","")&amp;IF(B650="","「雇用形態」","")&amp;IF(OR(入力シート!$J$18=入力リスト!$H$9,入力シート!$J$22=入力リスト!$H$9),IF(C650="","「入社年月日」",""),"")&amp;IF(D650="","「性別」","")&amp;IF(IF(A650="","従業員番号","")&amp;IF(B650="","「雇用形態」","")&amp;IF(OR(入力シート!$J$18=入力リスト!$H$9,入力シート!$J$22=入力リスト!$H$9),IF(C650="","「入社年月日」",""),"")&amp;IF(D650="","「性別」","")="","",入力リスト!$K$29),IF(J650,入力リスト!$K$30,"")&amp;IF(I650,入力リスト!$K$31,"")&amp;IF(H650,"「雇用形態」","")&amp;IF(K650,"「性別」","")&amp;IF(L650,"「役職」","")&amp;IF(OR(H650,K650,L650),入力リスト!$K$32,"")))))</f>
        <v/>
      </c>
      <c r="G650" s="298" t="b">
        <f>COUNTIF($A$4:A649,$A650)&gt;0</f>
        <v>0</v>
      </c>
      <c r="H650" s="298" t="b">
        <f>IF($H$1,FALSE,COUNTIF(入力シート!$S$37:$V$62,B650)=0)</f>
        <v>0</v>
      </c>
      <c r="I650" s="298" t="b">
        <f t="shared" si="21"/>
        <v>0</v>
      </c>
      <c r="J650" s="298" t="b">
        <f>IF($J$1,FALSE,IF(I650=TRUE,FALSE,IF(I650,FALSE,C650&gt;入力シート!$J$24)))</f>
        <v>0</v>
      </c>
      <c r="K650" s="298" t="b">
        <f>IF($K$1,FALSE,COUNTIF(入力シート!$AW$37:$BB$38,D650)=0)</f>
        <v>0</v>
      </c>
      <c r="L650" s="298" t="b">
        <f>IF($L$1,FALSE,IF($L$3,FALSE,IF(E650="",FALSE,COUNTIF(入力シート!$AH$37:$AK$62,E650)=0)))</f>
        <v>0</v>
      </c>
      <c r="M650" s="298" t="str">
        <f t="shared" si="22"/>
        <v/>
      </c>
      <c r="N650" s="298" t="str">
        <f>IF(G650,"この従業員番号は、すでに他のセルで入力されています。",IF(入力シート!$C$5=入力リスト!$C$4,"",IF(AND(A650="",B650="",C650="",D650="",E650=""),"",IF(OR(A650="",B650="",C650="",D650=""),IF(A650="","従業員番号","")&amp;IF(AND(A650="",OR(B650="",C650="",D650="")),",","")&amp;IF(B650="","雇用形態","")&amp;IF(AND(B650="",OR(C650="",D650="")),",","")&amp;IF(OR(入力シート!$J$18=入力リスト!$H$9,入力シート!$J$22=入力リスト!$H$9),IF(C650="","入社年月日",""),"")&amp;IF(AND(C650="",D650=""),",","")&amp;IF(D650="","性別","")&amp;IF(IF(A650="","従業員番号","")&amp;IF(B650="","雇用形態","")&amp;IF(OR(入力シート!$J$18=入力リスト!$H$9,入力シート!$J$22=入力リスト!$H$9),IF(C650="","入社年月日",""),"")&amp;IF(D650="","性別","")="","","が空白です。"),IF(J650,"入社年月日に「基準日」の翌日以降の日付が入力されています。","")&amp;IF(I650,"入社年月日に数値以外（又は1900/1/1以前の日付）が入力されています。","")&amp;IF(H650,"雇用形態"&amp;IF(OR(K650,L650),",",""),"")&amp;IF(K650,"性別"&amp;IF(L650,",",""),"")&amp;IF(L650,"役職","")&amp;IF(OR(H650,K650,L650),"に、［入力シート］(4)「貴社」欄と異なる文言が入力されています。","")))))</f>
        <v/>
      </c>
      <c r="O650" s="298" t="str">
        <f>IF(B650="","",VLOOKUP('従業員情報(給与以外)'!$B650,入力シート!$S$37:$Z$62,5,0))</f>
        <v/>
      </c>
      <c r="P650" s="298" t="str">
        <f>IF(ISNUMBER(C650)=FALSE,"",IF(C650&gt;入力シート!$J$24,"",_xlfn.DAYS(入力シート!$J$24,'従業員情報(給与以外)'!$C650)/365))</f>
        <v/>
      </c>
      <c r="Q650" s="298" t="str">
        <f>IF(P650="","",VLOOKUP(_xlfn.DAYS(入力シート!$J$24,'従業員情報(給与以外)'!$C650)/365,入力リスト!$K$18:$L$26,2,2))</f>
        <v/>
      </c>
      <c r="R650" s="298" t="str">
        <f>IF(D650="","",VLOOKUP('従業員情報(給与以外)'!$D650,入力シート!$AW$37:$BB$38,4,0))</f>
        <v/>
      </c>
      <c r="S650" s="298" t="str">
        <f>IF(A650="","",IF(E650="","非役職",VLOOKUP('従業員情報(給与以外)'!$E650,入力シート!$AH$37:$AO$62,5,0)))</f>
        <v/>
      </c>
      <c r="T650" s="299" t="str">
        <f>IF(OR(入力シート!$C$5&lt;&gt;入力リスト!$C$3,COUNTIF(入力シート!$J$16:$S$23,入力リスト!$H$9)=0),"",IF($A650="","",IF(ISERROR(AVERAGEIF(従業員の給与情報!$B:$B,$A650,従業員の給与情報!$C:$C)),0,IF(ISERROR(AVERAGEIF(従業員の給与情報!$B:$B,$A650,従業員の給与情報!$C:$C)),0,AVERAGEIF(従業員の給与情報!$B:$B,$A650,従業員の給与情報!$C:$C)))))</f>
        <v/>
      </c>
      <c r="U650" s="299" t="str">
        <f>IF(OR(入力シート!$C$5&lt;&gt;入力リスト!$C$3,COUNTIF(入力シート!$J$16:$S$23,入力リスト!$H$9)=0),"",IF(A650="","",IF(ISERROR(AVERAGEIF(従業員の給与情報!$B:$B,$A650,従業員の給与情報!$D:$D)),0,IF(ISERROR(AVERAGEIF(従業員の給与情報!$B:$B,$A650,従業員の給与情報!$D:$D)),0,AVERAGEIF(従業員の給与情報!$B:$B,$A650,従業員の給与情報!$D:$D)))))</f>
        <v/>
      </c>
      <c r="V650" s="299" t="str">
        <f>IF(OR(入力シート!$C$5&lt;&gt;入力リスト!$C$3,COUNTIF(入力シート!$J$16:$S$23,入力リスト!$H$9)=0),"",IF(A650="","",IF(ISERROR(AVERAGEIF(従業員の給与情報!$B:$B,$A650,従業員の給与情報!$E:$E)),0,IF(ISERROR(AVERAGEIF(従業員の給与情報!$B:$B,$A650,従業員の給与情報!$E:$E)),0,AVERAGEIF(従業員の給与情報!$B:$B,$A650,従業員の給与情報!$E:$E)))))</f>
        <v/>
      </c>
      <c r="W650" s="299" t="str">
        <f>IF(OR(入力シート!$C$5&lt;&gt;入力リスト!$C$3,COUNTIF(入力シート!$J$16:$S$23,入力リスト!$H$9)=0),"",IF(A650="","",IF(ISERROR(AVERAGEIF(従業員の給与情報!$B:$B,$A650,従業員の給与情報!$F:$F)),0,IF(ISERROR(AVERAGEIF(従業員の給与情報!$B:$B,$A650,従業員の給与情報!$F:$F)),0,AVERAGEIF(従業員の給与情報!$B:$B,$A650,従業員の給与情報!$F:$F)))))</f>
        <v/>
      </c>
      <c r="X650" s="581" t="s">
        <v>5389</v>
      </c>
    </row>
    <row r="651" spans="6:24">
      <c r="F651" s="297" t="str">
        <f>IF($G$1,"",IF(COUNTIF(A651:E651,"")=5,"",IF(G651,入力リスト!$K$28,IF(OR(A651="",B651="",IF(COUNTIF($C$3,"*不要*"),"",C651=""),D651=""),IF(A651="","従業員番号","")&amp;IF(B651="","「雇用形態」","")&amp;IF(OR(入力シート!$J$18=入力リスト!$H$9,入力シート!$J$22=入力リスト!$H$9),IF(C651="","「入社年月日」",""),"")&amp;IF(D651="","「性別」","")&amp;IF(IF(A651="","従業員番号","")&amp;IF(B651="","「雇用形態」","")&amp;IF(OR(入力シート!$J$18=入力リスト!$H$9,入力シート!$J$22=入力リスト!$H$9),IF(C651="","「入社年月日」",""),"")&amp;IF(D651="","「性別」","")="","",入力リスト!$K$29),IF(J651,入力リスト!$K$30,"")&amp;IF(I651,入力リスト!$K$31,"")&amp;IF(H651,"「雇用形態」","")&amp;IF(K651,"「性別」","")&amp;IF(L651,"「役職」","")&amp;IF(OR(H651,K651,L651),入力リスト!$K$32,"")))))</f>
        <v/>
      </c>
      <c r="G651" s="298" t="b">
        <f>COUNTIF($A$4:A650,$A651)&gt;0</f>
        <v>0</v>
      </c>
      <c r="H651" s="298" t="b">
        <f>IF($H$1,FALSE,COUNTIF(入力シート!$S$37:$V$62,B651)=0)</f>
        <v>0</v>
      </c>
      <c r="I651" s="298" t="b">
        <f t="shared" si="21"/>
        <v>0</v>
      </c>
      <c r="J651" s="298" t="b">
        <f>IF($J$1,FALSE,IF(I651=TRUE,FALSE,IF(I651,FALSE,C651&gt;入力シート!$J$24)))</f>
        <v>0</v>
      </c>
      <c r="K651" s="298" t="b">
        <f>IF($K$1,FALSE,COUNTIF(入力シート!$AW$37:$BB$38,D651)=0)</f>
        <v>0</v>
      </c>
      <c r="L651" s="298" t="b">
        <f>IF($L$1,FALSE,IF($L$3,FALSE,IF(E651="",FALSE,COUNTIF(入力シート!$AH$37:$AK$62,E651)=0)))</f>
        <v>0</v>
      </c>
      <c r="M651" s="298" t="str">
        <f t="shared" si="22"/>
        <v/>
      </c>
      <c r="N651" s="298" t="str">
        <f>IF(G651,"この従業員番号は、すでに他のセルで入力されています。",IF(入力シート!$C$5=入力リスト!$C$4,"",IF(AND(A651="",B651="",C651="",D651="",E651=""),"",IF(OR(A651="",B651="",C651="",D651=""),IF(A651="","従業員番号","")&amp;IF(AND(A651="",OR(B651="",C651="",D651="")),",","")&amp;IF(B651="","雇用形態","")&amp;IF(AND(B651="",OR(C651="",D651="")),",","")&amp;IF(OR(入力シート!$J$18=入力リスト!$H$9,入力シート!$J$22=入力リスト!$H$9),IF(C651="","入社年月日",""),"")&amp;IF(AND(C651="",D651=""),",","")&amp;IF(D651="","性別","")&amp;IF(IF(A651="","従業員番号","")&amp;IF(B651="","雇用形態","")&amp;IF(OR(入力シート!$J$18=入力リスト!$H$9,入力シート!$J$22=入力リスト!$H$9),IF(C651="","入社年月日",""),"")&amp;IF(D651="","性別","")="","","が空白です。"),IF(J651,"入社年月日に「基準日」の翌日以降の日付が入力されています。","")&amp;IF(I651,"入社年月日に数値以外（又は1900/1/1以前の日付）が入力されています。","")&amp;IF(H651,"雇用形態"&amp;IF(OR(K651,L651),",",""),"")&amp;IF(K651,"性別"&amp;IF(L651,",",""),"")&amp;IF(L651,"役職","")&amp;IF(OR(H651,K651,L651),"に、［入力シート］(4)「貴社」欄と異なる文言が入力されています。","")))))</f>
        <v/>
      </c>
      <c r="O651" s="298" t="str">
        <f>IF(B651="","",VLOOKUP('従業員情報(給与以外)'!$B651,入力シート!$S$37:$Z$62,5,0))</f>
        <v/>
      </c>
      <c r="P651" s="298" t="str">
        <f>IF(ISNUMBER(C651)=FALSE,"",IF(C651&gt;入力シート!$J$24,"",_xlfn.DAYS(入力シート!$J$24,'従業員情報(給与以外)'!$C651)/365))</f>
        <v/>
      </c>
      <c r="Q651" s="298" t="str">
        <f>IF(P651="","",VLOOKUP(_xlfn.DAYS(入力シート!$J$24,'従業員情報(給与以外)'!$C651)/365,入力リスト!$K$18:$L$26,2,2))</f>
        <v/>
      </c>
      <c r="R651" s="298" t="str">
        <f>IF(D651="","",VLOOKUP('従業員情報(給与以外)'!$D651,入力シート!$AW$37:$BB$38,4,0))</f>
        <v/>
      </c>
      <c r="S651" s="298" t="str">
        <f>IF(A651="","",IF(E651="","非役職",VLOOKUP('従業員情報(給与以外)'!$E651,入力シート!$AH$37:$AO$62,5,0)))</f>
        <v/>
      </c>
      <c r="T651" s="299" t="str">
        <f>IF(OR(入力シート!$C$5&lt;&gt;入力リスト!$C$3,COUNTIF(入力シート!$J$16:$S$23,入力リスト!$H$9)=0),"",IF($A651="","",IF(ISERROR(AVERAGEIF(従業員の給与情報!$B:$B,$A651,従業員の給与情報!$C:$C)),0,IF(ISERROR(AVERAGEIF(従業員の給与情報!$B:$B,$A651,従業員の給与情報!$C:$C)),0,AVERAGEIF(従業員の給与情報!$B:$B,$A651,従業員の給与情報!$C:$C)))))</f>
        <v/>
      </c>
      <c r="U651" s="299" t="str">
        <f>IF(OR(入力シート!$C$5&lt;&gt;入力リスト!$C$3,COUNTIF(入力シート!$J$16:$S$23,入力リスト!$H$9)=0),"",IF(A651="","",IF(ISERROR(AVERAGEIF(従業員の給与情報!$B:$B,$A651,従業員の給与情報!$D:$D)),0,IF(ISERROR(AVERAGEIF(従業員の給与情報!$B:$B,$A651,従業員の給与情報!$D:$D)),0,AVERAGEIF(従業員の給与情報!$B:$B,$A651,従業員の給与情報!$D:$D)))))</f>
        <v/>
      </c>
      <c r="V651" s="299" t="str">
        <f>IF(OR(入力シート!$C$5&lt;&gt;入力リスト!$C$3,COUNTIF(入力シート!$J$16:$S$23,入力リスト!$H$9)=0),"",IF(A651="","",IF(ISERROR(AVERAGEIF(従業員の給与情報!$B:$B,$A651,従業員の給与情報!$E:$E)),0,IF(ISERROR(AVERAGEIF(従業員の給与情報!$B:$B,$A651,従業員の給与情報!$E:$E)),0,AVERAGEIF(従業員の給与情報!$B:$B,$A651,従業員の給与情報!$E:$E)))))</f>
        <v/>
      </c>
      <c r="W651" s="299" t="str">
        <f>IF(OR(入力シート!$C$5&lt;&gt;入力リスト!$C$3,COUNTIF(入力シート!$J$16:$S$23,入力リスト!$H$9)=0),"",IF(A651="","",IF(ISERROR(AVERAGEIF(従業員の給与情報!$B:$B,$A651,従業員の給与情報!$F:$F)),0,IF(ISERROR(AVERAGEIF(従業員の給与情報!$B:$B,$A651,従業員の給与情報!$F:$F)),0,AVERAGEIF(従業員の給与情報!$B:$B,$A651,従業員の給与情報!$F:$F)))))</f>
        <v/>
      </c>
      <c r="X651" s="581" t="s">
        <v>5390</v>
      </c>
    </row>
    <row r="652" spans="6:24">
      <c r="F652" s="297" t="str">
        <f>IF($G$1,"",IF(COUNTIF(A652:E652,"")=5,"",IF(G652,入力リスト!$K$28,IF(OR(A652="",B652="",IF(COUNTIF($C$3,"*不要*"),"",C652=""),D652=""),IF(A652="","従業員番号","")&amp;IF(B652="","「雇用形態」","")&amp;IF(OR(入力シート!$J$18=入力リスト!$H$9,入力シート!$J$22=入力リスト!$H$9),IF(C652="","「入社年月日」",""),"")&amp;IF(D652="","「性別」","")&amp;IF(IF(A652="","従業員番号","")&amp;IF(B652="","「雇用形態」","")&amp;IF(OR(入力シート!$J$18=入力リスト!$H$9,入力シート!$J$22=入力リスト!$H$9),IF(C652="","「入社年月日」",""),"")&amp;IF(D652="","「性別」","")="","",入力リスト!$K$29),IF(J652,入力リスト!$K$30,"")&amp;IF(I652,入力リスト!$K$31,"")&amp;IF(H652,"「雇用形態」","")&amp;IF(K652,"「性別」","")&amp;IF(L652,"「役職」","")&amp;IF(OR(H652,K652,L652),入力リスト!$K$32,"")))))</f>
        <v/>
      </c>
      <c r="G652" s="298" t="b">
        <f>COUNTIF($A$4:A651,$A652)&gt;0</f>
        <v>0</v>
      </c>
      <c r="H652" s="298" t="b">
        <f>IF($H$1,FALSE,COUNTIF(入力シート!$S$37:$V$62,B652)=0)</f>
        <v>0</v>
      </c>
      <c r="I652" s="298" t="b">
        <f t="shared" si="21"/>
        <v>0</v>
      </c>
      <c r="J652" s="298" t="b">
        <f>IF($J$1,FALSE,IF(I652=TRUE,FALSE,IF(I652,FALSE,C652&gt;入力シート!$J$24)))</f>
        <v>0</v>
      </c>
      <c r="K652" s="298" t="b">
        <f>IF($K$1,FALSE,COUNTIF(入力シート!$AW$37:$BB$38,D652)=0)</f>
        <v>0</v>
      </c>
      <c r="L652" s="298" t="b">
        <f>IF($L$1,FALSE,IF($L$3,FALSE,IF(E652="",FALSE,COUNTIF(入力シート!$AH$37:$AK$62,E652)=0)))</f>
        <v>0</v>
      </c>
      <c r="M652" s="298" t="str">
        <f t="shared" si="22"/>
        <v/>
      </c>
      <c r="N652" s="298" t="str">
        <f>IF(G652,"この従業員番号は、すでに他のセルで入力されています。",IF(入力シート!$C$5=入力リスト!$C$4,"",IF(AND(A652="",B652="",C652="",D652="",E652=""),"",IF(OR(A652="",B652="",C652="",D652=""),IF(A652="","従業員番号","")&amp;IF(AND(A652="",OR(B652="",C652="",D652="")),",","")&amp;IF(B652="","雇用形態","")&amp;IF(AND(B652="",OR(C652="",D652="")),",","")&amp;IF(OR(入力シート!$J$18=入力リスト!$H$9,入力シート!$J$22=入力リスト!$H$9),IF(C652="","入社年月日",""),"")&amp;IF(AND(C652="",D652=""),",","")&amp;IF(D652="","性別","")&amp;IF(IF(A652="","従業員番号","")&amp;IF(B652="","雇用形態","")&amp;IF(OR(入力シート!$J$18=入力リスト!$H$9,入力シート!$J$22=入力リスト!$H$9),IF(C652="","入社年月日",""),"")&amp;IF(D652="","性別","")="","","が空白です。"),IF(J652,"入社年月日に「基準日」の翌日以降の日付が入力されています。","")&amp;IF(I652,"入社年月日に数値以外（又は1900/1/1以前の日付）が入力されています。","")&amp;IF(H652,"雇用形態"&amp;IF(OR(K652,L652),",",""),"")&amp;IF(K652,"性別"&amp;IF(L652,",",""),"")&amp;IF(L652,"役職","")&amp;IF(OR(H652,K652,L652),"に、［入力シート］(4)「貴社」欄と異なる文言が入力されています。","")))))</f>
        <v/>
      </c>
      <c r="O652" s="298" t="str">
        <f>IF(B652="","",VLOOKUP('従業員情報(給与以外)'!$B652,入力シート!$S$37:$Z$62,5,0))</f>
        <v/>
      </c>
      <c r="P652" s="298" t="str">
        <f>IF(ISNUMBER(C652)=FALSE,"",IF(C652&gt;入力シート!$J$24,"",_xlfn.DAYS(入力シート!$J$24,'従業員情報(給与以外)'!$C652)/365))</f>
        <v/>
      </c>
      <c r="Q652" s="298" t="str">
        <f>IF(P652="","",VLOOKUP(_xlfn.DAYS(入力シート!$J$24,'従業員情報(給与以外)'!$C652)/365,入力リスト!$K$18:$L$26,2,2))</f>
        <v/>
      </c>
      <c r="R652" s="298" t="str">
        <f>IF(D652="","",VLOOKUP('従業員情報(給与以外)'!$D652,入力シート!$AW$37:$BB$38,4,0))</f>
        <v/>
      </c>
      <c r="S652" s="298" t="str">
        <f>IF(A652="","",IF(E652="","非役職",VLOOKUP('従業員情報(給与以外)'!$E652,入力シート!$AH$37:$AO$62,5,0)))</f>
        <v/>
      </c>
      <c r="T652" s="299" t="str">
        <f>IF(OR(入力シート!$C$5&lt;&gt;入力リスト!$C$3,COUNTIF(入力シート!$J$16:$S$23,入力リスト!$H$9)=0),"",IF($A652="","",IF(ISERROR(AVERAGEIF(従業員の給与情報!$B:$B,$A652,従業員の給与情報!$C:$C)),0,IF(ISERROR(AVERAGEIF(従業員の給与情報!$B:$B,$A652,従業員の給与情報!$C:$C)),0,AVERAGEIF(従業員の給与情報!$B:$B,$A652,従業員の給与情報!$C:$C)))))</f>
        <v/>
      </c>
      <c r="U652" s="299" t="str">
        <f>IF(OR(入力シート!$C$5&lt;&gt;入力リスト!$C$3,COUNTIF(入力シート!$J$16:$S$23,入力リスト!$H$9)=0),"",IF(A652="","",IF(ISERROR(AVERAGEIF(従業員の給与情報!$B:$B,$A652,従業員の給与情報!$D:$D)),0,IF(ISERROR(AVERAGEIF(従業員の給与情報!$B:$B,$A652,従業員の給与情報!$D:$D)),0,AVERAGEIF(従業員の給与情報!$B:$B,$A652,従業員の給与情報!$D:$D)))))</f>
        <v/>
      </c>
      <c r="V652" s="299" t="str">
        <f>IF(OR(入力シート!$C$5&lt;&gt;入力リスト!$C$3,COUNTIF(入力シート!$J$16:$S$23,入力リスト!$H$9)=0),"",IF(A652="","",IF(ISERROR(AVERAGEIF(従業員の給与情報!$B:$B,$A652,従業員の給与情報!$E:$E)),0,IF(ISERROR(AVERAGEIF(従業員の給与情報!$B:$B,$A652,従業員の給与情報!$E:$E)),0,AVERAGEIF(従業員の給与情報!$B:$B,$A652,従業員の給与情報!$E:$E)))))</f>
        <v/>
      </c>
      <c r="W652" s="299" t="str">
        <f>IF(OR(入力シート!$C$5&lt;&gt;入力リスト!$C$3,COUNTIF(入力シート!$J$16:$S$23,入力リスト!$H$9)=0),"",IF(A652="","",IF(ISERROR(AVERAGEIF(従業員の給与情報!$B:$B,$A652,従業員の給与情報!$F:$F)),0,IF(ISERROR(AVERAGEIF(従業員の給与情報!$B:$B,$A652,従業員の給与情報!$F:$F)),0,AVERAGEIF(従業員の給与情報!$B:$B,$A652,従業員の給与情報!$F:$F)))))</f>
        <v/>
      </c>
      <c r="X652" s="581" t="s">
        <v>5391</v>
      </c>
    </row>
    <row r="653" spans="6:24">
      <c r="F653" s="297" t="str">
        <f>IF($G$1,"",IF(COUNTIF(A653:E653,"")=5,"",IF(G653,入力リスト!$K$28,IF(OR(A653="",B653="",IF(COUNTIF($C$3,"*不要*"),"",C653=""),D653=""),IF(A653="","従業員番号","")&amp;IF(B653="","「雇用形態」","")&amp;IF(OR(入力シート!$J$18=入力リスト!$H$9,入力シート!$J$22=入力リスト!$H$9),IF(C653="","「入社年月日」",""),"")&amp;IF(D653="","「性別」","")&amp;IF(IF(A653="","従業員番号","")&amp;IF(B653="","「雇用形態」","")&amp;IF(OR(入力シート!$J$18=入力リスト!$H$9,入力シート!$J$22=入力リスト!$H$9),IF(C653="","「入社年月日」",""),"")&amp;IF(D653="","「性別」","")="","",入力リスト!$K$29),IF(J653,入力リスト!$K$30,"")&amp;IF(I653,入力リスト!$K$31,"")&amp;IF(H653,"「雇用形態」","")&amp;IF(K653,"「性別」","")&amp;IF(L653,"「役職」","")&amp;IF(OR(H653,K653,L653),入力リスト!$K$32,"")))))</f>
        <v/>
      </c>
      <c r="G653" s="298" t="b">
        <f>COUNTIF($A$4:A652,$A653)&gt;0</f>
        <v>0</v>
      </c>
      <c r="H653" s="298" t="b">
        <f>IF($H$1,FALSE,COUNTIF(入力シート!$S$37:$V$62,B653)=0)</f>
        <v>0</v>
      </c>
      <c r="I653" s="298" t="b">
        <f t="shared" si="21"/>
        <v>0</v>
      </c>
      <c r="J653" s="298" t="b">
        <f>IF($J$1,FALSE,IF(I653=TRUE,FALSE,IF(I653,FALSE,C653&gt;入力シート!$J$24)))</f>
        <v>0</v>
      </c>
      <c r="K653" s="298" t="b">
        <f>IF($K$1,FALSE,COUNTIF(入力シート!$AW$37:$BB$38,D653)=0)</f>
        <v>0</v>
      </c>
      <c r="L653" s="298" t="b">
        <f>IF($L$1,FALSE,IF($L$3,FALSE,IF(E653="",FALSE,COUNTIF(入力シート!$AH$37:$AK$62,E653)=0)))</f>
        <v>0</v>
      </c>
      <c r="M653" s="298" t="str">
        <f t="shared" si="22"/>
        <v/>
      </c>
      <c r="N653" s="298" t="str">
        <f>IF(G653,"この従業員番号は、すでに他のセルで入力されています。",IF(入力シート!$C$5=入力リスト!$C$4,"",IF(AND(A653="",B653="",C653="",D653="",E653=""),"",IF(OR(A653="",B653="",C653="",D653=""),IF(A653="","従業員番号","")&amp;IF(AND(A653="",OR(B653="",C653="",D653="")),",","")&amp;IF(B653="","雇用形態","")&amp;IF(AND(B653="",OR(C653="",D653="")),",","")&amp;IF(OR(入力シート!$J$18=入力リスト!$H$9,入力シート!$J$22=入力リスト!$H$9),IF(C653="","入社年月日",""),"")&amp;IF(AND(C653="",D653=""),",","")&amp;IF(D653="","性別","")&amp;IF(IF(A653="","従業員番号","")&amp;IF(B653="","雇用形態","")&amp;IF(OR(入力シート!$J$18=入力リスト!$H$9,入力シート!$J$22=入力リスト!$H$9),IF(C653="","入社年月日",""),"")&amp;IF(D653="","性別","")="","","が空白です。"),IF(J653,"入社年月日に「基準日」の翌日以降の日付が入力されています。","")&amp;IF(I653,"入社年月日に数値以外（又は1900/1/1以前の日付）が入力されています。","")&amp;IF(H653,"雇用形態"&amp;IF(OR(K653,L653),",",""),"")&amp;IF(K653,"性別"&amp;IF(L653,",",""),"")&amp;IF(L653,"役職","")&amp;IF(OR(H653,K653,L653),"に、［入力シート］(4)「貴社」欄と異なる文言が入力されています。","")))))</f>
        <v/>
      </c>
      <c r="O653" s="298" t="str">
        <f>IF(B653="","",VLOOKUP('従業員情報(給与以外)'!$B653,入力シート!$S$37:$Z$62,5,0))</f>
        <v/>
      </c>
      <c r="P653" s="298" t="str">
        <f>IF(ISNUMBER(C653)=FALSE,"",IF(C653&gt;入力シート!$J$24,"",_xlfn.DAYS(入力シート!$J$24,'従業員情報(給与以外)'!$C653)/365))</f>
        <v/>
      </c>
      <c r="Q653" s="298" t="str">
        <f>IF(P653="","",VLOOKUP(_xlfn.DAYS(入力シート!$J$24,'従業員情報(給与以外)'!$C653)/365,入力リスト!$K$18:$L$26,2,2))</f>
        <v/>
      </c>
      <c r="R653" s="298" t="str">
        <f>IF(D653="","",VLOOKUP('従業員情報(給与以外)'!$D653,入力シート!$AW$37:$BB$38,4,0))</f>
        <v/>
      </c>
      <c r="S653" s="298" t="str">
        <f>IF(A653="","",IF(E653="","非役職",VLOOKUP('従業員情報(給与以外)'!$E653,入力シート!$AH$37:$AO$62,5,0)))</f>
        <v/>
      </c>
      <c r="T653" s="299" t="str">
        <f>IF(OR(入力シート!$C$5&lt;&gt;入力リスト!$C$3,COUNTIF(入力シート!$J$16:$S$23,入力リスト!$H$9)=0),"",IF($A653="","",IF(ISERROR(AVERAGEIF(従業員の給与情報!$B:$B,$A653,従業員の給与情報!$C:$C)),0,IF(ISERROR(AVERAGEIF(従業員の給与情報!$B:$B,$A653,従業員の給与情報!$C:$C)),0,AVERAGEIF(従業員の給与情報!$B:$B,$A653,従業員の給与情報!$C:$C)))))</f>
        <v/>
      </c>
      <c r="U653" s="299" t="str">
        <f>IF(OR(入力シート!$C$5&lt;&gt;入力リスト!$C$3,COUNTIF(入力シート!$J$16:$S$23,入力リスト!$H$9)=0),"",IF(A653="","",IF(ISERROR(AVERAGEIF(従業員の給与情報!$B:$B,$A653,従業員の給与情報!$D:$D)),0,IF(ISERROR(AVERAGEIF(従業員の給与情報!$B:$B,$A653,従業員の給与情報!$D:$D)),0,AVERAGEIF(従業員の給与情報!$B:$B,$A653,従業員の給与情報!$D:$D)))))</f>
        <v/>
      </c>
      <c r="V653" s="299" t="str">
        <f>IF(OR(入力シート!$C$5&lt;&gt;入力リスト!$C$3,COUNTIF(入力シート!$J$16:$S$23,入力リスト!$H$9)=0),"",IF(A653="","",IF(ISERROR(AVERAGEIF(従業員の給与情報!$B:$B,$A653,従業員の給与情報!$E:$E)),0,IF(ISERROR(AVERAGEIF(従業員の給与情報!$B:$B,$A653,従業員の給与情報!$E:$E)),0,AVERAGEIF(従業員の給与情報!$B:$B,$A653,従業員の給与情報!$E:$E)))))</f>
        <v/>
      </c>
      <c r="W653" s="299" t="str">
        <f>IF(OR(入力シート!$C$5&lt;&gt;入力リスト!$C$3,COUNTIF(入力シート!$J$16:$S$23,入力リスト!$H$9)=0),"",IF(A653="","",IF(ISERROR(AVERAGEIF(従業員の給与情報!$B:$B,$A653,従業員の給与情報!$F:$F)),0,IF(ISERROR(AVERAGEIF(従業員の給与情報!$B:$B,$A653,従業員の給与情報!$F:$F)),0,AVERAGEIF(従業員の給与情報!$B:$B,$A653,従業員の給与情報!$F:$F)))))</f>
        <v/>
      </c>
      <c r="X653" s="581" t="s">
        <v>5392</v>
      </c>
    </row>
    <row r="654" spans="6:24">
      <c r="F654" s="297" t="str">
        <f>IF($G$1,"",IF(COUNTIF(A654:E654,"")=5,"",IF(G654,入力リスト!$K$28,IF(OR(A654="",B654="",IF(COUNTIF($C$3,"*不要*"),"",C654=""),D654=""),IF(A654="","従業員番号","")&amp;IF(B654="","「雇用形態」","")&amp;IF(OR(入力シート!$J$18=入力リスト!$H$9,入力シート!$J$22=入力リスト!$H$9),IF(C654="","「入社年月日」",""),"")&amp;IF(D654="","「性別」","")&amp;IF(IF(A654="","従業員番号","")&amp;IF(B654="","「雇用形態」","")&amp;IF(OR(入力シート!$J$18=入力リスト!$H$9,入力シート!$J$22=入力リスト!$H$9),IF(C654="","「入社年月日」",""),"")&amp;IF(D654="","「性別」","")="","",入力リスト!$K$29),IF(J654,入力リスト!$K$30,"")&amp;IF(I654,入力リスト!$K$31,"")&amp;IF(H654,"「雇用形態」","")&amp;IF(K654,"「性別」","")&amp;IF(L654,"「役職」","")&amp;IF(OR(H654,K654,L654),入力リスト!$K$32,"")))))</f>
        <v/>
      </c>
      <c r="G654" s="298" t="b">
        <f>COUNTIF($A$4:A653,$A654)&gt;0</f>
        <v>0</v>
      </c>
      <c r="H654" s="298" t="b">
        <f>IF($H$1,FALSE,COUNTIF(入力シート!$S$37:$V$62,B654)=0)</f>
        <v>0</v>
      </c>
      <c r="I654" s="298" t="b">
        <f t="shared" si="21"/>
        <v>0</v>
      </c>
      <c r="J654" s="298" t="b">
        <f>IF($J$1,FALSE,IF(I654=TRUE,FALSE,IF(I654,FALSE,C654&gt;入力シート!$J$24)))</f>
        <v>0</v>
      </c>
      <c r="K654" s="298" t="b">
        <f>IF($K$1,FALSE,COUNTIF(入力シート!$AW$37:$BB$38,D654)=0)</f>
        <v>0</v>
      </c>
      <c r="L654" s="298" t="b">
        <f>IF($L$1,FALSE,IF($L$3,FALSE,IF(E654="",FALSE,COUNTIF(入力シート!$AH$37:$AK$62,E654)=0)))</f>
        <v>0</v>
      </c>
      <c r="M654" s="298" t="str">
        <f t="shared" si="22"/>
        <v/>
      </c>
      <c r="N654" s="298" t="str">
        <f>IF(G654,"この従業員番号は、すでに他のセルで入力されています。",IF(入力シート!$C$5=入力リスト!$C$4,"",IF(AND(A654="",B654="",C654="",D654="",E654=""),"",IF(OR(A654="",B654="",C654="",D654=""),IF(A654="","従業員番号","")&amp;IF(AND(A654="",OR(B654="",C654="",D654="")),",","")&amp;IF(B654="","雇用形態","")&amp;IF(AND(B654="",OR(C654="",D654="")),",","")&amp;IF(OR(入力シート!$J$18=入力リスト!$H$9,入力シート!$J$22=入力リスト!$H$9),IF(C654="","入社年月日",""),"")&amp;IF(AND(C654="",D654=""),",","")&amp;IF(D654="","性別","")&amp;IF(IF(A654="","従業員番号","")&amp;IF(B654="","雇用形態","")&amp;IF(OR(入力シート!$J$18=入力リスト!$H$9,入力シート!$J$22=入力リスト!$H$9),IF(C654="","入社年月日",""),"")&amp;IF(D654="","性別","")="","","が空白です。"),IF(J654,"入社年月日に「基準日」の翌日以降の日付が入力されています。","")&amp;IF(I654,"入社年月日に数値以外（又は1900/1/1以前の日付）が入力されています。","")&amp;IF(H654,"雇用形態"&amp;IF(OR(K654,L654),",",""),"")&amp;IF(K654,"性別"&amp;IF(L654,",",""),"")&amp;IF(L654,"役職","")&amp;IF(OR(H654,K654,L654),"に、［入力シート］(4)「貴社」欄と異なる文言が入力されています。","")))))</f>
        <v/>
      </c>
      <c r="O654" s="298" t="str">
        <f>IF(B654="","",VLOOKUP('従業員情報(給与以外)'!$B654,入力シート!$S$37:$Z$62,5,0))</f>
        <v/>
      </c>
      <c r="P654" s="298" t="str">
        <f>IF(ISNUMBER(C654)=FALSE,"",IF(C654&gt;入力シート!$J$24,"",_xlfn.DAYS(入力シート!$J$24,'従業員情報(給与以外)'!$C654)/365))</f>
        <v/>
      </c>
      <c r="Q654" s="298" t="str">
        <f>IF(P654="","",VLOOKUP(_xlfn.DAYS(入力シート!$J$24,'従業員情報(給与以外)'!$C654)/365,入力リスト!$K$18:$L$26,2,2))</f>
        <v/>
      </c>
      <c r="R654" s="298" t="str">
        <f>IF(D654="","",VLOOKUP('従業員情報(給与以外)'!$D654,入力シート!$AW$37:$BB$38,4,0))</f>
        <v/>
      </c>
      <c r="S654" s="298" t="str">
        <f>IF(A654="","",IF(E654="","非役職",VLOOKUP('従業員情報(給与以外)'!$E654,入力シート!$AH$37:$AO$62,5,0)))</f>
        <v/>
      </c>
      <c r="T654" s="299" t="str">
        <f>IF(OR(入力シート!$C$5&lt;&gt;入力リスト!$C$3,COUNTIF(入力シート!$J$16:$S$23,入力リスト!$H$9)=0),"",IF($A654="","",IF(ISERROR(AVERAGEIF(従業員の給与情報!$B:$B,$A654,従業員の給与情報!$C:$C)),0,IF(ISERROR(AVERAGEIF(従業員の給与情報!$B:$B,$A654,従業員の給与情報!$C:$C)),0,AVERAGEIF(従業員の給与情報!$B:$B,$A654,従業員の給与情報!$C:$C)))))</f>
        <v/>
      </c>
      <c r="U654" s="299" t="str">
        <f>IF(OR(入力シート!$C$5&lt;&gt;入力リスト!$C$3,COUNTIF(入力シート!$J$16:$S$23,入力リスト!$H$9)=0),"",IF(A654="","",IF(ISERROR(AVERAGEIF(従業員の給与情報!$B:$B,$A654,従業員の給与情報!$D:$D)),0,IF(ISERROR(AVERAGEIF(従業員の給与情報!$B:$B,$A654,従業員の給与情報!$D:$D)),0,AVERAGEIF(従業員の給与情報!$B:$B,$A654,従業員の給与情報!$D:$D)))))</f>
        <v/>
      </c>
      <c r="V654" s="299" t="str">
        <f>IF(OR(入力シート!$C$5&lt;&gt;入力リスト!$C$3,COUNTIF(入力シート!$J$16:$S$23,入力リスト!$H$9)=0),"",IF(A654="","",IF(ISERROR(AVERAGEIF(従業員の給与情報!$B:$B,$A654,従業員の給与情報!$E:$E)),0,IF(ISERROR(AVERAGEIF(従業員の給与情報!$B:$B,$A654,従業員の給与情報!$E:$E)),0,AVERAGEIF(従業員の給与情報!$B:$B,$A654,従業員の給与情報!$E:$E)))))</f>
        <v/>
      </c>
      <c r="W654" s="299" t="str">
        <f>IF(OR(入力シート!$C$5&lt;&gt;入力リスト!$C$3,COUNTIF(入力シート!$J$16:$S$23,入力リスト!$H$9)=0),"",IF(A654="","",IF(ISERROR(AVERAGEIF(従業員の給与情報!$B:$B,$A654,従業員の給与情報!$F:$F)),0,IF(ISERROR(AVERAGEIF(従業員の給与情報!$B:$B,$A654,従業員の給与情報!$F:$F)),0,AVERAGEIF(従業員の給与情報!$B:$B,$A654,従業員の給与情報!$F:$F)))))</f>
        <v/>
      </c>
      <c r="X654" s="581" t="s">
        <v>5393</v>
      </c>
    </row>
    <row r="655" spans="6:24">
      <c r="F655" s="297" t="str">
        <f>IF($G$1,"",IF(COUNTIF(A655:E655,"")=5,"",IF(G655,入力リスト!$K$28,IF(OR(A655="",B655="",IF(COUNTIF($C$3,"*不要*"),"",C655=""),D655=""),IF(A655="","従業員番号","")&amp;IF(B655="","「雇用形態」","")&amp;IF(OR(入力シート!$J$18=入力リスト!$H$9,入力シート!$J$22=入力リスト!$H$9),IF(C655="","「入社年月日」",""),"")&amp;IF(D655="","「性別」","")&amp;IF(IF(A655="","従業員番号","")&amp;IF(B655="","「雇用形態」","")&amp;IF(OR(入力シート!$J$18=入力リスト!$H$9,入力シート!$J$22=入力リスト!$H$9),IF(C655="","「入社年月日」",""),"")&amp;IF(D655="","「性別」","")="","",入力リスト!$K$29),IF(J655,入力リスト!$K$30,"")&amp;IF(I655,入力リスト!$K$31,"")&amp;IF(H655,"「雇用形態」","")&amp;IF(K655,"「性別」","")&amp;IF(L655,"「役職」","")&amp;IF(OR(H655,K655,L655),入力リスト!$K$32,"")))))</f>
        <v/>
      </c>
      <c r="G655" s="298" t="b">
        <f>COUNTIF($A$4:A654,$A655)&gt;0</f>
        <v>0</v>
      </c>
      <c r="H655" s="298" t="b">
        <f>IF($H$1,FALSE,COUNTIF(入力シート!$S$37:$V$62,B655)=0)</f>
        <v>0</v>
      </c>
      <c r="I655" s="298" t="b">
        <f t="shared" si="21"/>
        <v>0</v>
      </c>
      <c r="J655" s="298" t="b">
        <f>IF($J$1,FALSE,IF(I655=TRUE,FALSE,IF(I655,FALSE,C655&gt;入力シート!$J$24)))</f>
        <v>0</v>
      </c>
      <c r="K655" s="298" t="b">
        <f>IF($K$1,FALSE,COUNTIF(入力シート!$AW$37:$BB$38,D655)=0)</f>
        <v>0</v>
      </c>
      <c r="L655" s="298" t="b">
        <f>IF($L$1,FALSE,IF($L$3,FALSE,IF(E655="",FALSE,COUNTIF(入力シート!$AH$37:$AK$62,E655)=0)))</f>
        <v>0</v>
      </c>
      <c r="M655" s="298" t="str">
        <f t="shared" si="22"/>
        <v/>
      </c>
      <c r="N655" s="298" t="str">
        <f>IF(G655,"この従業員番号は、すでに他のセルで入力されています。",IF(入力シート!$C$5=入力リスト!$C$4,"",IF(AND(A655="",B655="",C655="",D655="",E655=""),"",IF(OR(A655="",B655="",C655="",D655=""),IF(A655="","従業員番号","")&amp;IF(AND(A655="",OR(B655="",C655="",D655="")),",","")&amp;IF(B655="","雇用形態","")&amp;IF(AND(B655="",OR(C655="",D655="")),",","")&amp;IF(OR(入力シート!$J$18=入力リスト!$H$9,入力シート!$J$22=入力リスト!$H$9),IF(C655="","入社年月日",""),"")&amp;IF(AND(C655="",D655=""),",","")&amp;IF(D655="","性別","")&amp;IF(IF(A655="","従業員番号","")&amp;IF(B655="","雇用形態","")&amp;IF(OR(入力シート!$J$18=入力リスト!$H$9,入力シート!$J$22=入力リスト!$H$9),IF(C655="","入社年月日",""),"")&amp;IF(D655="","性別","")="","","が空白です。"),IF(J655,"入社年月日に「基準日」の翌日以降の日付が入力されています。","")&amp;IF(I655,"入社年月日に数値以外（又は1900/1/1以前の日付）が入力されています。","")&amp;IF(H655,"雇用形態"&amp;IF(OR(K655,L655),",",""),"")&amp;IF(K655,"性別"&amp;IF(L655,",",""),"")&amp;IF(L655,"役職","")&amp;IF(OR(H655,K655,L655),"に、［入力シート］(4)「貴社」欄と異なる文言が入力されています。","")))))</f>
        <v/>
      </c>
      <c r="O655" s="298" t="str">
        <f>IF(B655="","",VLOOKUP('従業員情報(給与以外)'!$B655,入力シート!$S$37:$Z$62,5,0))</f>
        <v/>
      </c>
      <c r="P655" s="298" t="str">
        <f>IF(ISNUMBER(C655)=FALSE,"",IF(C655&gt;入力シート!$J$24,"",_xlfn.DAYS(入力シート!$J$24,'従業員情報(給与以外)'!$C655)/365))</f>
        <v/>
      </c>
      <c r="Q655" s="298" t="str">
        <f>IF(P655="","",VLOOKUP(_xlfn.DAYS(入力シート!$J$24,'従業員情報(給与以外)'!$C655)/365,入力リスト!$K$18:$L$26,2,2))</f>
        <v/>
      </c>
      <c r="R655" s="298" t="str">
        <f>IF(D655="","",VLOOKUP('従業員情報(給与以外)'!$D655,入力シート!$AW$37:$BB$38,4,0))</f>
        <v/>
      </c>
      <c r="S655" s="298" t="str">
        <f>IF(A655="","",IF(E655="","非役職",VLOOKUP('従業員情報(給与以外)'!$E655,入力シート!$AH$37:$AO$62,5,0)))</f>
        <v/>
      </c>
      <c r="T655" s="299" t="str">
        <f>IF(OR(入力シート!$C$5&lt;&gt;入力リスト!$C$3,COUNTIF(入力シート!$J$16:$S$23,入力リスト!$H$9)=0),"",IF($A655="","",IF(ISERROR(AVERAGEIF(従業員の給与情報!$B:$B,$A655,従業員の給与情報!$C:$C)),0,IF(ISERROR(AVERAGEIF(従業員の給与情報!$B:$B,$A655,従業員の給与情報!$C:$C)),0,AVERAGEIF(従業員の給与情報!$B:$B,$A655,従業員の給与情報!$C:$C)))))</f>
        <v/>
      </c>
      <c r="U655" s="299" t="str">
        <f>IF(OR(入力シート!$C$5&lt;&gt;入力リスト!$C$3,COUNTIF(入力シート!$J$16:$S$23,入力リスト!$H$9)=0),"",IF(A655="","",IF(ISERROR(AVERAGEIF(従業員の給与情報!$B:$B,$A655,従業員の給与情報!$D:$D)),0,IF(ISERROR(AVERAGEIF(従業員の給与情報!$B:$B,$A655,従業員の給与情報!$D:$D)),0,AVERAGEIF(従業員の給与情報!$B:$B,$A655,従業員の給与情報!$D:$D)))))</f>
        <v/>
      </c>
      <c r="V655" s="299" t="str">
        <f>IF(OR(入力シート!$C$5&lt;&gt;入力リスト!$C$3,COUNTIF(入力シート!$J$16:$S$23,入力リスト!$H$9)=0),"",IF(A655="","",IF(ISERROR(AVERAGEIF(従業員の給与情報!$B:$B,$A655,従業員の給与情報!$E:$E)),0,IF(ISERROR(AVERAGEIF(従業員の給与情報!$B:$B,$A655,従業員の給与情報!$E:$E)),0,AVERAGEIF(従業員の給与情報!$B:$B,$A655,従業員の給与情報!$E:$E)))))</f>
        <v/>
      </c>
      <c r="W655" s="299" t="str">
        <f>IF(OR(入力シート!$C$5&lt;&gt;入力リスト!$C$3,COUNTIF(入力シート!$J$16:$S$23,入力リスト!$H$9)=0),"",IF(A655="","",IF(ISERROR(AVERAGEIF(従業員の給与情報!$B:$B,$A655,従業員の給与情報!$F:$F)),0,IF(ISERROR(AVERAGEIF(従業員の給与情報!$B:$B,$A655,従業員の給与情報!$F:$F)),0,AVERAGEIF(従業員の給与情報!$B:$B,$A655,従業員の給与情報!$F:$F)))))</f>
        <v/>
      </c>
      <c r="X655" s="581" t="s">
        <v>5394</v>
      </c>
    </row>
    <row r="656" spans="6:24">
      <c r="F656" s="297" t="str">
        <f>IF($G$1,"",IF(COUNTIF(A656:E656,"")=5,"",IF(G656,入力リスト!$K$28,IF(OR(A656="",B656="",IF(COUNTIF($C$3,"*不要*"),"",C656=""),D656=""),IF(A656="","従業員番号","")&amp;IF(B656="","「雇用形態」","")&amp;IF(OR(入力シート!$J$18=入力リスト!$H$9,入力シート!$J$22=入力リスト!$H$9),IF(C656="","「入社年月日」",""),"")&amp;IF(D656="","「性別」","")&amp;IF(IF(A656="","従業員番号","")&amp;IF(B656="","「雇用形態」","")&amp;IF(OR(入力シート!$J$18=入力リスト!$H$9,入力シート!$J$22=入力リスト!$H$9),IF(C656="","「入社年月日」",""),"")&amp;IF(D656="","「性別」","")="","",入力リスト!$K$29),IF(J656,入力リスト!$K$30,"")&amp;IF(I656,入力リスト!$K$31,"")&amp;IF(H656,"「雇用形態」","")&amp;IF(K656,"「性別」","")&amp;IF(L656,"「役職」","")&amp;IF(OR(H656,K656,L656),入力リスト!$K$32,"")))))</f>
        <v/>
      </c>
      <c r="G656" s="298" t="b">
        <f>COUNTIF($A$4:A655,$A656)&gt;0</f>
        <v>0</v>
      </c>
      <c r="H656" s="298" t="b">
        <f>IF($H$1,FALSE,COUNTIF(入力シート!$S$37:$V$62,B656)=0)</f>
        <v>0</v>
      </c>
      <c r="I656" s="298" t="b">
        <f t="shared" si="21"/>
        <v>0</v>
      </c>
      <c r="J656" s="298" t="b">
        <f>IF($J$1,FALSE,IF(I656=TRUE,FALSE,IF(I656,FALSE,C656&gt;入力シート!$J$24)))</f>
        <v>0</v>
      </c>
      <c r="K656" s="298" t="b">
        <f>IF($K$1,FALSE,COUNTIF(入力シート!$AW$37:$BB$38,D656)=0)</f>
        <v>0</v>
      </c>
      <c r="L656" s="298" t="b">
        <f>IF($L$1,FALSE,IF($L$3,FALSE,IF(E656="",FALSE,COUNTIF(入力シート!$AH$37:$AK$62,E656)=0)))</f>
        <v>0</v>
      </c>
      <c r="M656" s="298" t="str">
        <f t="shared" si="22"/>
        <v/>
      </c>
      <c r="N656" s="298" t="str">
        <f>IF(G656,"この従業員番号は、すでに他のセルで入力されています。",IF(入力シート!$C$5=入力リスト!$C$4,"",IF(AND(A656="",B656="",C656="",D656="",E656=""),"",IF(OR(A656="",B656="",C656="",D656=""),IF(A656="","従業員番号","")&amp;IF(AND(A656="",OR(B656="",C656="",D656="")),",","")&amp;IF(B656="","雇用形態","")&amp;IF(AND(B656="",OR(C656="",D656="")),",","")&amp;IF(OR(入力シート!$J$18=入力リスト!$H$9,入力シート!$J$22=入力リスト!$H$9),IF(C656="","入社年月日",""),"")&amp;IF(AND(C656="",D656=""),",","")&amp;IF(D656="","性別","")&amp;IF(IF(A656="","従業員番号","")&amp;IF(B656="","雇用形態","")&amp;IF(OR(入力シート!$J$18=入力リスト!$H$9,入力シート!$J$22=入力リスト!$H$9),IF(C656="","入社年月日",""),"")&amp;IF(D656="","性別","")="","","が空白です。"),IF(J656,"入社年月日に「基準日」の翌日以降の日付が入力されています。","")&amp;IF(I656,"入社年月日に数値以外（又は1900/1/1以前の日付）が入力されています。","")&amp;IF(H656,"雇用形態"&amp;IF(OR(K656,L656),",",""),"")&amp;IF(K656,"性別"&amp;IF(L656,",",""),"")&amp;IF(L656,"役職","")&amp;IF(OR(H656,K656,L656),"に、［入力シート］(4)「貴社」欄と異なる文言が入力されています。","")))))</f>
        <v/>
      </c>
      <c r="O656" s="298" t="str">
        <f>IF(B656="","",VLOOKUP('従業員情報(給与以外)'!$B656,入力シート!$S$37:$Z$62,5,0))</f>
        <v/>
      </c>
      <c r="P656" s="298" t="str">
        <f>IF(ISNUMBER(C656)=FALSE,"",IF(C656&gt;入力シート!$J$24,"",_xlfn.DAYS(入力シート!$J$24,'従業員情報(給与以外)'!$C656)/365))</f>
        <v/>
      </c>
      <c r="Q656" s="298" t="str">
        <f>IF(P656="","",VLOOKUP(_xlfn.DAYS(入力シート!$J$24,'従業員情報(給与以外)'!$C656)/365,入力リスト!$K$18:$L$26,2,2))</f>
        <v/>
      </c>
      <c r="R656" s="298" t="str">
        <f>IF(D656="","",VLOOKUP('従業員情報(給与以外)'!$D656,入力シート!$AW$37:$BB$38,4,0))</f>
        <v/>
      </c>
      <c r="S656" s="298" t="str">
        <f>IF(A656="","",IF(E656="","非役職",VLOOKUP('従業員情報(給与以外)'!$E656,入力シート!$AH$37:$AO$62,5,0)))</f>
        <v/>
      </c>
      <c r="T656" s="299" t="str">
        <f>IF(OR(入力シート!$C$5&lt;&gt;入力リスト!$C$3,COUNTIF(入力シート!$J$16:$S$23,入力リスト!$H$9)=0),"",IF($A656="","",IF(ISERROR(AVERAGEIF(従業員の給与情報!$B:$B,$A656,従業員の給与情報!$C:$C)),0,IF(ISERROR(AVERAGEIF(従業員の給与情報!$B:$B,$A656,従業員の給与情報!$C:$C)),0,AVERAGEIF(従業員の給与情報!$B:$B,$A656,従業員の給与情報!$C:$C)))))</f>
        <v/>
      </c>
      <c r="U656" s="299" t="str">
        <f>IF(OR(入力シート!$C$5&lt;&gt;入力リスト!$C$3,COUNTIF(入力シート!$J$16:$S$23,入力リスト!$H$9)=0),"",IF(A656="","",IF(ISERROR(AVERAGEIF(従業員の給与情報!$B:$B,$A656,従業員の給与情報!$D:$D)),0,IF(ISERROR(AVERAGEIF(従業員の給与情報!$B:$B,$A656,従業員の給与情報!$D:$D)),0,AVERAGEIF(従業員の給与情報!$B:$B,$A656,従業員の給与情報!$D:$D)))))</f>
        <v/>
      </c>
      <c r="V656" s="299" t="str">
        <f>IF(OR(入力シート!$C$5&lt;&gt;入力リスト!$C$3,COUNTIF(入力シート!$J$16:$S$23,入力リスト!$H$9)=0),"",IF(A656="","",IF(ISERROR(AVERAGEIF(従業員の給与情報!$B:$B,$A656,従業員の給与情報!$E:$E)),0,IF(ISERROR(AVERAGEIF(従業員の給与情報!$B:$B,$A656,従業員の給与情報!$E:$E)),0,AVERAGEIF(従業員の給与情報!$B:$B,$A656,従業員の給与情報!$E:$E)))))</f>
        <v/>
      </c>
      <c r="W656" s="299" t="str">
        <f>IF(OR(入力シート!$C$5&lt;&gt;入力リスト!$C$3,COUNTIF(入力シート!$J$16:$S$23,入力リスト!$H$9)=0),"",IF(A656="","",IF(ISERROR(AVERAGEIF(従業員の給与情報!$B:$B,$A656,従業員の給与情報!$F:$F)),0,IF(ISERROR(AVERAGEIF(従業員の給与情報!$B:$B,$A656,従業員の給与情報!$F:$F)),0,AVERAGEIF(従業員の給与情報!$B:$B,$A656,従業員の給与情報!$F:$F)))))</f>
        <v/>
      </c>
      <c r="X656" s="581" t="s">
        <v>5395</v>
      </c>
    </row>
    <row r="657" spans="6:24">
      <c r="F657" s="297" t="str">
        <f>IF($G$1,"",IF(COUNTIF(A657:E657,"")=5,"",IF(G657,入力リスト!$K$28,IF(OR(A657="",B657="",IF(COUNTIF($C$3,"*不要*"),"",C657=""),D657=""),IF(A657="","従業員番号","")&amp;IF(B657="","「雇用形態」","")&amp;IF(OR(入力シート!$J$18=入力リスト!$H$9,入力シート!$J$22=入力リスト!$H$9),IF(C657="","「入社年月日」",""),"")&amp;IF(D657="","「性別」","")&amp;IF(IF(A657="","従業員番号","")&amp;IF(B657="","「雇用形態」","")&amp;IF(OR(入力シート!$J$18=入力リスト!$H$9,入力シート!$J$22=入力リスト!$H$9),IF(C657="","「入社年月日」",""),"")&amp;IF(D657="","「性別」","")="","",入力リスト!$K$29),IF(J657,入力リスト!$K$30,"")&amp;IF(I657,入力リスト!$K$31,"")&amp;IF(H657,"「雇用形態」","")&amp;IF(K657,"「性別」","")&amp;IF(L657,"「役職」","")&amp;IF(OR(H657,K657,L657),入力リスト!$K$32,"")))))</f>
        <v/>
      </c>
      <c r="G657" s="298" t="b">
        <f>COUNTIF($A$4:A656,$A657)&gt;0</f>
        <v>0</v>
      </c>
      <c r="H657" s="298" t="b">
        <f>IF($H$1,FALSE,COUNTIF(入力シート!$S$37:$V$62,B657)=0)</f>
        <v>0</v>
      </c>
      <c r="I657" s="298" t="b">
        <f t="shared" si="21"/>
        <v>0</v>
      </c>
      <c r="J657" s="298" t="b">
        <f>IF($J$1,FALSE,IF(I657=TRUE,FALSE,IF(I657,FALSE,C657&gt;入力シート!$J$24)))</f>
        <v>0</v>
      </c>
      <c r="K657" s="298" t="b">
        <f>IF($K$1,FALSE,COUNTIF(入力シート!$AW$37:$BB$38,D657)=0)</f>
        <v>0</v>
      </c>
      <c r="L657" s="298" t="b">
        <f>IF($L$1,FALSE,IF($L$3,FALSE,IF(E657="",FALSE,COUNTIF(入力シート!$AH$37:$AK$62,E657)=0)))</f>
        <v>0</v>
      </c>
      <c r="M657" s="298" t="str">
        <f t="shared" si="22"/>
        <v/>
      </c>
      <c r="N657" s="298" t="str">
        <f>IF(G657,"この従業員番号は、すでに他のセルで入力されています。",IF(入力シート!$C$5=入力リスト!$C$4,"",IF(AND(A657="",B657="",C657="",D657="",E657=""),"",IF(OR(A657="",B657="",C657="",D657=""),IF(A657="","従業員番号","")&amp;IF(AND(A657="",OR(B657="",C657="",D657="")),",","")&amp;IF(B657="","雇用形態","")&amp;IF(AND(B657="",OR(C657="",D657="")),",","")&amp;IF(OR(入力シート!$J$18=入力リスト!$H$9,入力シート!$J$22=入力リスト!$H$9),IF(C657="","入社年月日",""),"")&amp;IF(AND(C657="",D657=""),",","")&amp;IF(D657="","性別","")&amp;IF(IF(A657="","従業員番号","")&amp;IF(B657="","雇用形態","")&amp;IF(OR(入力シート!$J$18=入力リスト!$H$9,入力シート!$J$22=入力リスト!$H$9),IF(C657="","入社年月日",""),"")&amp;IF(D657="","性別","")="","","が空白です。"),IF(J657,"入社年月日に「基準日」の翌日以降の日付が入力されています。","")&amp;IF(I657,"入社年月日に数値以外（又は1900/1/1以前の日付）が入力されています。","")&amp;IF(H657,"雇用形態"&amp;IF(OR(K657,L657),",",""),"")&amp;IF(K657,"性別"&amp;IF(L657,",",""),"")&amp;IF(L657,"役職","")&amp;IF(OR(H657,K657,L657),"に、［入力シート］(4)「貴社」欄と異なる文言が入力されています。","")))))</f>
        <v/>
      </c>
      <c r="O657" s="298" t="str">
        <f>IF(B657="","",VLOOKUP('従業員情報(給与以外)'!$B657,入力シート!$S$37:$Z$62,5,0))</f>
        <v/>
      </c>
      <c r="P657" s="298" t="str">
        <f>IF(ISNUMBER(C657)=FALSE,"",IF(C657&gt;入力シート!$J$24,"",_xlfn.DAYS(入力シート!$J$24,'従業員情報(給与以外)'!$C657)/365))</f>
        <v/>
      </c>
      <c r="Q657" s="298" t="str">
        <f>IF(P657="","",VLOOKUP(_xlfn.DAYS(入力シート!$J$24,'従業員情報(給与以外)'!$C657)/365,入力リスト!$K$18:$L$26,2,2))</f>
        <v/>
      </c>
      <c r="R657" s="298" t="str">
        <f>IF(D657="","",VLOOKUP('従業員情報(給与以外)'!$D657,入力シート!$AW$37:$BB$38,4,0))</f>
        <v/>
      </c>
      <c r="S657" s="298" t="str">
        <f>IF(A657="","",IF(E657="","非役職",VLOOKUP('従業員情報(給与以外)'!$E657,入力シート!$AH$37:$AO$62,5,0)))</f>
        <v/>
      </c>
      <c r="T657" s="299" t="str">
        <f>IF(OR(入力シート!$C$5&lt;&gt;入力リスト!$C$3,COUNTIF(入力シート!$J$16:$S$23,入力リスト!$H$9)=0),"",IF($A657="","",IF(ISERROR(AVERAGEIF(従業員の給与情報!$B:$B,$A657,従業員の給与情報!$C:$C)),0,IF(ISERROR(AVERAGEIF(従業員の給与情報!$B:$B,$A657,従業員の給与情報!$C:$C)),0,AVERAGEIF(従業員の給与情報!$B:$B,$A657,従業員の給与情報!$C:$C)))))</f>
        <v/>
      </c>
      <c r="U657" s="299" t="str">
        <f>IF(OR(入力シート!$C$5&lt;&gt;入力リスト!$C$3,COUNTIF(入力シート!$J$16:$S$23,入力リスト!$H$9)=0),"",IF(A657="","",IF(ISERROR(AVERAGEIF(従業員の給与情報!$B:$B,$A657,従業員の給与情報!$D:$D)),0,IF(ISERROR(AVERAGEIF(従業員の給与情報!$B:$B,$A657,従業員の給与情報!$D:$D)),0,AVERAGEIF(従業員の給与情報!$B:$B,$A657,従業員の給与情報!$D:$D)))))</f>
        <v/>
      </c>
      <c r="V657" s="299" t="str">
        <f>IF(OR(入力シート!$C$5&lt;&gt;入力リスト!$C$3,COUNTIF(入力シート!$J$16:$S$23,入力リスト!$H$9)=0),"",IF(A657="","",IF(ISERROR(AVERAGEIF(従業員の給与情報!$B:$B,$A657,従業員の給与情報!$E:$E)),0,IF(ISERROR(AVERAGEIF(従業員の給与情報!$B:$B,$A657,従業員の給与情報!$E:$E)),0,AVERAGEIF(従業員の給与情報!$B:$B,$A657,従業員の給与情報!$E:$E)))))</f>
        <v/>
      </c>
      <c r="W657" s="299" t="str">
        <f>IF(OR(入力シート!$C$5&lt;&gt;入力リスト!$C$3,COUNTIF(入力シート!$J$16:$S$23,入力リスト!$H$9)=0),"",IF(A657="","",IF(ISERROR(AVERAGEIF(従業員の給与情報!$B:$B,$A657,従業員の給与情報!$F:$F)),0,IF(ISERROR(AVERAGEIF(従業員の給与情報!$B:$B,$A657,従業員の給与情報!$F:$F)),0,AVERAGEIF(従業員の給与情報!$B:$B,$A657,従業員の給与情報!$F:$F)))))</f>
        <v/>
      </c>
      <c r="X657" s="581" t="s">
        <v>5396</v>
      </c>
    </row>
    <row r="658" spans="6:24">
      <c r="F658" s="297" t="str">
        <f>IF($G$1,"",IF(COUNTIF(A658:E658,"")=5,"",IF(G658,入力リスト!$K$28,IF(OR(A658="",B658="",IF(COUNTIF($C$3,"*不要*"),"",C658=""),D658=""),IF(A658="","従業員番号","")&amp;IF(B658="","「雇用形態」","")&amp;IF(OR(入力シート!$J$18=入力リスト!$H$9,入力シート!$J$22=入力リスト!$H$9),IF(C658="","「入社年月日」",""),"")&amp;IF(D658="","「性別」","")&amp;IF(IF(A658="","従業員番号","")&amp;IF(B658="","「雇用形態」","")&amp;IF(OR(入力シート!$J$18=入力リスト!$H$9,入力シート!$J$22=入力リスト!$H$9),IF(C658="","「入社年月日」",""),"")&amp;IF(D658="","「性別」","")="","",入力リスト!$K$29),IF(J658,入力リスト!$K$30,"")&amp;IF(I658,入力リスト!$K$31,"")&amp;IF(H658,"「雇用形態」","")&amp;IF(K658,"「性別」","")&amp;IF(L658,"「役職」","")&amp;IF(OR(H658,K658,L658),入力リスト!$K$32,"")))))</f>
        <v/>
      </c>
      <c r="G658" s="298" t="b">
        <f>COUNTIF($A$4:A657,$A658)&gt;0</f>
        <v>0</v>
      </c>
      <c r="H658" s="298" t="b">
        <f>IF($H$1,FALSE,COUNTIF(入力シート!$S$37:$V$62,B658)=0)</f>
        <v>0</v>
      </c>
      <c r="I658" s="298" t="b">
        <f t="shared" si="21"/>
        <v>0</v>
      </c>
      <c r="J658" s="298" t="b">
        <f>IF($J$1,FALSE,IF(I658=TRUE,FALSE,IF(I658,FALSE,C658&gt;入力シート!$J$24)))</f>
        <v>0</v>
      </c>
      <c r="K658" s="298" t="b">
        <f>IF($K$1,FALSE,COUNTIF(入力シート!$AW$37:$BB$38,D658)=0)</f>
        <v>0</v>
      </c>
      <c r="L658" s="298" t="b">
        <f>IF($L$1,FALSE,IF($L$3,FALSE,IF(E658="",FALSE,COUNTIF(入力シート!$AH$37:$AK$62,E658)=0)))</f>
        <v>0</v>
      </c>
      <c r="M658" s="298" t="str">
        <f t="shared" si="22"/>
        <v/>
      </c>
      <c r="N658" s="298" t="str">
        <f>IF(G658,"この従業員番号は、すでに他のセルで入力されています。",IF(入力シート!$C$5=入力リスト!$C$4,"",IF(AND(A658="",B658="",C658="",D658="",E658=""),"",IF(OR(A658="",B658="",C658="",D658=""),IF(A658="","従業員番号","")&amp;IF(AND(A658="",OR(B658="",C658="",D658="")),",","")&amp;IF(B658="","雇用形態","")&amp;IF(AND(B658="",OR(C658="",D658="")),",","")&amp;IF(OR(入力シート!$J$18=入力リスト!$H$9,入力シート!$J$22=入力リスト!$H$9),IF(C658="","入社年月日",""),"")&amp;IF(AND(C658="",D658=""),",","")&amp;IF(D658="","性別","")&amp;IF(IF(A658="","従業員番号","")&amp;IF(B658="","雇用形態","")&amp;IF(OR(入力シート!$J$18=入力リスト!$H$9,入力シート!$J$22=入力リスト!$H$9),IF(C658="","入社年月日",""),"")&amp;IF(D658="","性別","")="","","が空白です。"),IF(J658,"入社年月日に「基準日」の翌日以降の日付が入力されています。","")&amp;IF(I658,"入社年月日に数値以外（又は1900/1/1以前の日付）が入力されています。","")&amp;IF(H658,"雇用形態"&amp;IF(OR(K658,L658),",",""),"")&amp;IF(K658,"性別"&amp;IF(L658,",",""),"")&amp;IF(L658,"役職","")&amp;IF(OR(H658,K658,L658),"に、［入力シート］(4)「貴社」欄と異なる文言が入力されています。","")))))</f>
        <v/>
      </c>
      <c r="O658" s="298" t="str">
        <f>IF(B658="","",VLOOKUP('従業員情報(給与以外)'!$B658,入力シート!$S$37:$Z$62,5,0))</f>
        <v/>
      </c>
      <c r="P658" s="298" t="str">
        <f>IF(ISNUMBER(C658)=FALSE,"",IF(C658&gt;入力シート!$J$24,"",_xlfn.DAYS(入力シート!$J$24,'従業員情報(給与以外)'!$C658)/365))</f>
        <v/>
      </c>
      <c r="Q658" s="298" t="str">
        <f>IF(P658="","",VLOOKUP(_xlfn.DAYS(入力シート!$J$24,'従業員情報(給与以外)'!$C658)/365,入力リスト!$K$18:$L$26,2,2))</f>
        <v/>
      </c>
      <c r="R658" s="298" t="str">
        <f>IF(D658="","",VLOOKUP('従業員情報(給与以外)'!$D658,入力シート!$AW$37:$BB$38,4,0))</f>
        <v/>
      </c>
      <c r="S658" s="298" t="str">
        <f>IF(A658="","",IF(E658="","非役職",VLOOKUP('従業員情報(給与以外)'!$E658,入力シート!$AH$37:$AO$62,5,0)))</f>
        <v/>
      </c>
      <c r="T658" s="299" t="str">
        <f>IF(OR(入力シート!$C$5&lt;&gt;入力リスト!$C$3,COUNTIF(入力シート!$J$16:$S$23,入力リスト!$H$9)=0),"",IF($A658="","",IF(ISERROR(AVERAGEIF(従業員の給与情報!$B:$B,$A658,従業員の給与情報!$C:$C)),0,IF(ISERROR(AVERAGEIF(従業員の給与情報!$B:$B,$A658,従業員の給与情報!$C:$C)),0,AVERAGEIF(従業員の給与情報!$B:$B,$A658,従業員の給与情報!$C:$C)))))</f>
        <v/>
      </c>
      <c r="U658" s="299" t="str">
        <f>IF(OR(入力シート!$C$5&lt;&gt;入力リスト!$C$3,COUNTIF(入力シート!$J$16:$S$23,入力リスト!$H$9)=0),"",IF(A658="","",IF(ISERROR(AVERAGEIF(従業員の給与情報!$B:$B,$A658,従業員の給与情報!$D:$D)),0,IF(ISERROR(AVERAGEIF(従業員の給与情報!$B:$B,$A658,従業員の給与情報!$D:$D)),0,AVERAGEIF(従業員の給与情報!$B:$B,$A658,従業員の給与情報!$D:$D)))))</f>
        <v/>
      </c>
      <c r="V658" s="299" t="str">
        <f>IF(OR(入力シート!$C$5&lt;&gt;入力リスト!$C$3,COUNTIF(入力シート!$J$16:$S$23,入力リスト!$H$9)=0),"",IF(A658="","",IF(ISERROR(AVERAGEIF(従業員の給与情報!$B:$B,$A658,従業員の給与情報!$E:$E)),0,IF(ISERROR(AVERAGEIF(従業員の給与情報!$B:$B,$A658,従業員の給与情報!$E:$E)),0,AVERAGEIF(従業員の給与情報!$B:$B,$A658,従業員の給与情報!$E:$E)))))</f>
        <v/>
      </c>
      <c r="W658" s="299" t="str">
        <f>IF(OR(入力シート!$C$5&lt;&gt;入力リスト!$C$3,COUNTIF(入力シート!$J$16:$S$23,入力リスト!$H$9)=0),"",IF(A658="","",IF(ISERROR(AVERAGEIF(従業員の給与情報!$B:$B,$A658,従業員の給与情報!$F:$F)),0,IF(ISERROR(AVERAGEIF(従業員の給与情報!$B:$B,$A658,従業員の給与情報!$F:$F)),0,AVERAGEIF(従業員の給与情報!$B:$B,$A658,従業員の給与情報!$F:$F)))))</f>
        <v/>
      </c>
      <c r="X658" s="581" t="s">
        <v>5397</v>
      </c>
    </row>
    <row r="659" spans="6:24">
      <c r="F659" s="297" t="str">
        <f>IF($G$1,"",IF(COUNTIF(A659:E659,"")=5,"",IF(G659,入力リスト!$K$28,IF(OR(A659="",B659="",IF(COUNTIF($C$3,"*不要*"),"",C659=""),D659=""),IF(A659="","従業員番号","")&amp;IF(B659="","「雇用形態」","")&amp;IF(OR(入力シート!$J$18=入力リスト!$H$9,入力シート!$J$22=入力リスト!$H$9),IF(C659="","「入社年月日」",""),"")&amp;IF(D659="","「性別」","")&amp;IF(IF(A659="","従業員番号","")&amp;IF(B659="","「雇用形態」","")&amp;IF(OR(入力シート!$J$18=入力リスト!$H$9,入力シート!$J$22=入力リスト!$H$9),IF(C659="","「入社年月日」",""),"")&amp;IF(D659="","「性別」","")="","",入力リスト!$K$29),IF(J659,入力リスト!$K$30,"")&amp;IF(I659,入力リスト!$K$31,"")&amp;IF(H659,"「雇用形態」","")&amp;IF(K659,"「性別」","")&amp;IF(L659,"「役職」","")&amp;IF(OR(H659,K659,L659),入力リスト!$K$32,"")))))</f>
        <v/>
      </c>
      <c r="G659" s="298" t="b">
        <f>COUNTIF($A$4:A658,$A659)&gt;0</f>
        <v>0</v>
      </c>
      <c r="H659" s="298" t="b">
        <f>IF($H$1,FALSE,COUNTIF(入力シート!$S$37:$V$62,B659)=0)</f>
        <v>0</v>
      </c>
      <c r="I659" s="298" t="b">
        <f t="shared" si="21"/>
        <v>0</v>
      </c>
      <c r="J659" s="298" t="b">
        <f>IF($J$1,FALSE,IF(I659=TRUE,FALSE,IF(I659,FALSE,C659&gt;入力シート!$J$24)))</f>
        <v>0</v>
      </c>
      <c r="K659" s="298" t="b">
        <f>IF($K$1,FALSE,COUNTIF(入力シート!$AW$37:$BB$38,D659)=0)</f>
        <v>0</v>
      </c>
      <c r="L659" s="298" t="b">
        <f>IF($L$1,FALSE,IF($L$3,FALSE,IF(E659="",FALSE,COUNTIF(入力シート!$AH$37:$AK$62,E659)=0)))</f>
        <v>0</v>
      </c>
      <c r="M659" s="298" t="str">
        <f t="shared" si="22"/>
        <v/>
      </c>
      <c r="N659" s="298" t="str">
        <f>IF(G659,"この従業員番号は、すでに他のセルで入力されています。",IF(入力シート!$C$5=入力リスト!$C$4,"",IF(AND(A659="",B659="",C659="",D659="",E659=""),"",IF(OR(A659="",B659="",C659="",D659=""),IF(A659="","従業員番号","")&amp;IF(AND(A659="",OR(B659="",C659="",D659="")),",","")&amp;IF(B659="","雇用形態","")&amp;IF(AND(B659="",OR(C659="",D659="")),",","")&amp;IF(OR(入力シート!$J$18=入力リスト!$H$9,入力シート!$J$22=入力リスト!$H$9),IF(C659="","入社年月日",""),"")&amp;IF(AND(C659="",D659=""),",","")&amp;IF(D659="","性別","")&amp;IF(IF(A659="","従業員番号","")&amp;IF(B659="","雇用形態","")&amp;IF(OR(入力シート!$J$18=入力リスト!$H$9,入力シート!$J$22=入力リスト!$H$9),IF(C659="","入社年月日",""),"")&amp;IF(D659="","性別","")="","","が空白です。"),IF(J659,"入社年月日に「基準日」の翌日以降の日付が入力されています。","")&amp;IF(I659,"入社年月日に数値以外（又は1900/1/1以前の日付）が入力されています。","")&amp;IF(H659,"雇用形態"&amp;IF(OR(K659,L659),",",""),"")&amp;IF(K659,"性別"&amp;IF(L659,",",""),"")&amp;IF(L659,"役職","")&amp;IF(OR(H659,K659,L659),"に、［入力シート］(4)「貴社」欄と異なる文言が入力されています。","")))))</f>
        <v/>
      </c>
      <c r="O659" s="298" t="str">
        <f>IF(B659="","",VLOOKUP('従業員情報(給与以外)'!$B659,入力シート!$S$37:$Z$62,5,0))</f>
        <v/>
      </c>
      <c r="P659" s="298" t="str">
        <f>IF(ISNUMBER(C659)=FALSE,"",IF(C659&gt;入力シート!$J$24,"",_xlfn.DAYS(入力シート!$J$24,'従業員情報(給与以外)'!$C659)/365))</f>
        <v/>
      </c>
      <c r="Q659" s="298" t="str">
        <f>IF(P659="","",VLOOKUP(_xlfn.DAYS(入力シート!$J$24,'従業員情報(給与以外)'!$C659)/365,入力リスト!$K$18:$L$26,2,2))</f>
        <v/>
      </c>
      <c r="R659" s="298" t="str">
        <f>IF(D659="","",VLOOKUP('従業員情報(給与以外)'!$D659,入力シート!$AW$37:$BB$38,4,0))</f>
        <v/>
      </c>
      <c r="S659" s="298" t="str">
        <f>IF(A659="","",IF(E659="","非役職",VLOOKUP('従業員情報(給与以外)'!$E659,入力シート!$AH$37:$AO$62,5,0)))</f>
        <v/>
      </c>
      <c r="T659" s="299" t="str">
        <f>IF(OR(入力シート!$C$5&lt;&gt;入力リスト!$C$3,COUNTIF(入力シート!$J$16:$S$23,入力リスト!$H$9)=0),"",IF($A659="","",IF(ISERROR(AVERAGEIF(従業員の給与情報!$B:$B,$A659,従業員の給与情報!$C:$C)),0,IF(ISERROR(AVERAGEIF(従業員の給与情報!$B:$B,$A659,従業員の給与情報!$C:$C)),0,AVERAGEIF(従業員の給与情報!$B:$B,$A659,従業員の給与情報!$C:$C)))))</f>
        <v/>
      </c>
      <c r="U659" s="299" t="str">
        <f>IF(OR(入力シート!$C$5&lt;&gt;入力リスト!$C$3,COUNTIF(入力シート!$J$16:$S$23,入力リスト!$H$9)=0),"",IF(A659="","",IF(ISERROR(AVERAGEIF(従業員の給与情報!$B:$B,$A659,従業員の給与情報!$D:$D)),0,IF(ISERROR(AVERAGEIF(従業員の給与情報!$B:$B,$A659,従業員の給与情報!$D:$D)),0,AVERAGEIF(従業員の給与情報!$B:$B,$A659,従業員の給与情報!$D:$D)))))</f>
        <v/>
      </c>
      <c r="V659" s="299" t="str">
        <f>IF(OR(入力シート!$C$5&lt;&gt;入力リスト!$C$3,COUNTIF(入力シート!$J$16:$S$23,入力リスト!$H$9)=0),"",IF(A659="","",IF(ISERROR(AVERAGEIF(従業員の給与情報!$B:$B,$A659,従業員の給与情報!$E:$E)),0,IF(ISERROR(AVERAGEIF(従業員の給与情報!$B:$B,$A659,従業員の給与情報!$E:$E)),0,AVERAGEIF(従業員の給与情報!$B:$B,$A659,従業員の給与情報!$E:$E)))))</f>
        <v/>
      </c>
      <c r="W659" s="299" t="str">
        <f>IF(OR(入力シート!$C$5&lt;&gt;入力リスト!$C$3,COUNTIF(入力シート!$J$16:$S$23,入力リスト!$H$9)=0),"",IF(A659="","",IF(ISERROR(AVERAGEIF(従業員の給与情報!$B:$B,$A659,従業員の給与情報!$F:$F)),0,IF(ISERROR(AVERAGEIF(従業員の給与情報!$B:$B,$A659,従業員の給与情報!$F:$F)),0,AVERAGEIF(従業員の給与情報!$B:$B,$A659,従業員の給与情報!$F:$F)))))</f>
        <v/>
      </c>
      <c r="X659" s="581" t="s">
        <v>5398</v>
      </c>
    </row>
    <row r="660" spans="6:24">
      <c r="F660" s="297" t="str">
        <f>IF($G$1,"",IF(COUNTIF(A660:E660,"")=5,"",IF(G660,入力リスト!$K$28,IF(OR(A660="",B660="",IF(COUNTIF($C$3,"*不要*"),"",C660=""),D660=""),IF(A660="","従業員番号","")&amp;IF(B660="","「雇用形態」","")&amp;IF(OR(入力シート!$J$18=入力リスト!$H$9,入力シート!$J$22=入力リスト!$H$9),IF(C660="","「入社年月日」",""),"")&amp;IF(D660="","「性別」","")&amp;IF(IF(A660="","従業員番号","")&amp;IF(B660="","「雇用形態」","")&amp;IF(OR(入力シート!$J$18=入力リスト!$H$9,入力シート!$J$22=入力リスト!$H$9),IF(C660="","「入社年月日」",""),"")&amp;IF(D660="","「性別」","")="","",入力リスト!$K$29),IF(J660,入力リスト!$K$30,"")&amp;IF(I660,入力リスト!$K$31,"")&amp;IF(H660,"「雇用形態」","")&amp;IF(K660,"「性別」","")&amp;IF(L660,"「役職」","")&amp;IF(OR(H660,K660,L660),入力リスト!$K$32,"")))))</f>
        <v/>
      </c>
      <c r="G660" s="298" t="b">
        <f>COUNTIF($A$4:A659,$A660)&gt;0</f>
        <v>0</v>
      </c>
      <c r="H660" s="298" t="b">
        <f>IF($H$1,FALSE,COUNTIF(入力シート!$S$37:$V$62,B660)=0)</f>
        <v>0</v>
      </c>
      <c r="I660" s="298" t="b">
        <f t="shared" si="21"/>
        <v>0</v>
      </c>
      <c r="J660" s="298" t="b">
        <f>IF($J$1,FALSE,IF(I660=TRUE,FALSE,IF(I660,FALSE,C660&gt;入力シート!$J$24)))</f>
        <v>0</v>
      </c>
      <c r="K660" s="298" t="b">
        <f>IF($K$1,FALSE,COUNTIF(入力シート!$AW$37:$BB$38,D660)=0)</f>
        <v>0</v>
      </c>
      <c r="L660" s="298" t="b">
        <f>IF($L$1,FALSE,IF($L$3,FALSE,IF(E660="",FALSE,COUNTIF(入力シート!$AH$37:$AK$62,E660)=0)))</f>
        <v>0</v>
      </c>
      <c r="M660" s="298" t="str">
        <f t="shared" si="22"/>
        <v/>
      </c>
      <c r="N660" s="298" t="str">
        <f>IF(G660,"この従業員番号は、すでに他のセルで入力されています。",IF(入力シート!$C$5=入力リスト!$C$4,"",IF(AND(A660="",B660="",C660="",D660="",E660=""),"",IF(OR(A660="",B660="",C660="",D660=""),IF(A660="","従業員番号","")&amp;IF(AND(A660="",OR(B660="",C660="",D660="")),",","")&amp;IF(B660="","雇用形態","")&amp;IF(AND(B660="",OR(C660="",D660="")),",","")&amp;IF(OR(入力シート!$J$18=入力リスト!$H$9,入力シート!$J$22=入力リスト!$H$9),IF(C660="","入社年月日",""),"")&amp;IF(AND(C660="",D660=""),",","")&amp;IF(D660="","性別","")&amp;IF(IF(A660="","従業員番号","")&amp;IF(B660="","雇用形態","")&amp;IF(OR(入力シート!$J$18=入力リスト!$H$9,入力シート!$J$22=入力リスト!$H$9),IF(C660="","入社年月日",""),"")&amp;IF(D660="","性別","")="","","が空白です。"),IF(J660,"入社年月日に「基準日」の翌日以降の日付が入力されています。","")&amp;IF(I660,"入社年月日に数値以外（又は1900/1/1以前の日付）が入力されています。","")&amp;IF(H660,"雇用形態"&amp;IF(OR(K660,L660),",",""),"")&amp;IF(K660,"性別"&amp;IF(L660,",",""),"")&amp;IF(L660,"役職","")&amp;IF(OR(H660,K660,L660),"に、［入力シート］(4)「貴社」欄と異なる文言が入力されています。","")))))</f>
        <v/>
      </c>
      <c r="O660" s="298" t="str">
        <f>IF(B660="","",VLOOKUP('従業員情報(給与以外)'!$B660,入力シート!$S$37:$Z$62,5,0))</f>
        <v/>
      </c>
      <c r="P660" s="298" t="str">
        <f>IF(ISNUMBER(C660)=FALSE,"",IF(C660&gt;入力シート!$J$24,"",_xlfn.DAYS(入力シート!$J$24,'従業員情報(給与以外)'!$C660)/365))</f>
        <v/>
      </c>
      <c r="Q660" s="298" t="str">
        <f>IF(P660="","",VLOOKUP(_xlfn.DAYS(入力シート!$J$24,'従業員情報(給与以外)'!$C660)/365,入力リスト!$K$18:$L$26,2,2))</f>
        <v/>
      </c>
      <c r="R660" s="298" t="str">
        <f>IF(D660="","",VLOOKUP('従業員情報(給与以外)'!$D660,入力シート!$AW$37:$BB$38,4,0))</f>
        <v/>
      </c>
      <c r="S660" s="298" t="str">
        <f>IF(A660="","",IF(E660="","非役職",VLOOKUP('従業員情報(給与以外)'!$E660,入力シート!$AH$37:$AO$62,5,0)))</f>
        <v/>
      </c>
      <c r="T660" s="299" t="str">
        <f>IF(OR(入力シート!$C$5&lt;&gt;入力リスト!$C$3,COUNTIF(入力シート!$J$16:$S$23,入力リスト!$H$9)=0),"",IF($A660="","",IF(ISERROR(AVERAGEIF(従業員の給与情報!$B:$B,$A660,従業員の給与情報!$C:$C)),0,IF(ISERROR(AVERAGEIF(従業員の給与情報!$B:$B,$A660,従業員の給与情報!$C:$C)),0,AVERAGEIF(従業員の給与情報!$B:$B,$A660,従業員の給与情報!$C:$C)))))</f>
        <v/>
      </c>
      <c r="U660" s="299" t="str">
        <f>IF(OR(入力シート!$C$5&lt;&gt;入力リスト!$C$3,COUNTIF(入力シート!$J$16:$S$23,入力リスト!$H$9)=0),"",IF(A660="","",IF(ISERROR(AVERAGEIF(従業員の給与情報!$B:$B,$A660,従業員の給与情報!$D:$D)),0,IF(ISERROR(AVERAGEIF(従業員の給与情報!$B:$B,$A660,従業員の給与情報!$D:$D)),0,AVERAGEIF(従業員の給与情報!$B:$B,$A660,従業員の給与情報!$D:$D)))))</f>
        <v/>
      </c>
      <c r="V660" s="299" t="str">
        <f>IF(OR(入力シート!$C$5&lt;&gt;入力リスト!$C$3,COUNTIF(入力シート!$J$16:$S$23,入力リスト!$H$9)=0),"",IF(A660="","",IF(ISERROR(AVERAGEIF(従業員の給与情報!$B:$B,$A660,従業員の給与情報!$E:$E)),0,IF(ISERROR(AVERAGEIF(従業員の給与情報!$B:$B,$A660,従業員の給与情報!$E:$E)),0,AVERAGEIF(従業員の給与情報!$B:$B,$A660,従業員の給与情報!$E:$E)))))</f>
        <v/>
      </c>
      <c r="W660" s="299" t="str">
        <f>IF(OR(入力シート!$C$5&lt;&gt;入力リスト!$C$3,COUNTIF(入力シート!$J$16:$S$23,入力リスト!$H$9)=0),"",IF(A660="","",IF(ISERROR(AVERAGEIF(従業員の給与情報!$B:$B,$A660,従業員の給与情報!$F:$F)),0,IF(ISERROR(AVERAGEIF(従業員の給与情報!$B:$B,$A660,従業員の給与情報!$F:$F)),0,AVERAGEIF(従業員の給与情報!$B:$B,$A660,従業員の給与情報!$F:$F)))))</f>
        <v/>
      </c>
      <c r="X660" s="581" t="s">
        <v>5399</v>
      </c>
    </row>
    <row r="661" spans="6:24">
      <c r="F661" s="297" t="str">
        <f>IF($G$1,"",IF(COUNTIF(A661:E661,"")=5,"",IF(G661,入力リスト!$K$28,IF(OR(A661="",B661="",IF(COUNTIF($C$3,"*不要*"),"",C661=""),D661=""),IF(A661="","従業員番号","")&amp;IF(B661="","「雇用形態」","")&amp;IF(OR(入力シート!$J$18=入力リスト!$H$9,入力シート!$J$22=入力リスト!$H$9),IF(C661="","「入社年月日」",""),"")&amp;IF(D661="","「性別」","")&amp;IF(IF(A661="","従業員番号","")&amp;IF(B661="","「雇用形態」","")&amp;IF(OR(入力シート!$J$18=入力リスト!$H$9,入力シート!$J$22=入力リスト!$H$9),IF(C661="","「入社年月日」",""),"")&amp;IF(D661="","「性別」","")="","",入力リスト!$K$29),IF(J661,入力リスト!$K$30,"")&amp;IF(I661,入力リスト!$K$31,"")&amp;IF(H661,"「雇用形態」","")&amp;IF(K661,"「性別」","")&amp;IF(L661,"「役職」","")&amp;IF(OR(H661,K661,L661),入力リスト!$K$32,"")))))</f>
        <v/>
      </c>
      <c r="G661" s="298" t="b">
        <f>COUNTIF($A$4:A660,$A661)&gt;0</f>
        <v>0</v>
      </c>
      <c r="H661" s="298" t="b">
        <f>IF($H$1,FALSE,COUNTIF(入力シート!$S$37:$V$62,B661)=0)</f>
        <v>0</v>
      </c>
      <c r="I661" s="298" t="b">
        <f t="shared" si="21"/>
        <v>0</v>
      </c>
      <c r="J661" s="298" t="b">
        <f>IF($J$1,FALSE,IF(I661=TRUE,FALSE,IF(I661,FALSE,C661&gt;入力シート!$J$24)))</f>
        <v>0</v>
      </c>
      <c r="K661" s="298" t="b">
        <f>IF($K$1,FALSE,COUNTIF(入力シート!$AW$37:$BB$38,D661)=0)</f>
        <v>0</v>
      </c>
      <c r="L661" s="298" t="b">
        <f>IF($L$1,FALSE,IF($L$3,FALSE,IF(E661="",FALSE,COUNTIF(入力シート!$AH$37:$AK$62,E661)=0)))</f>
        <v>0</v>
      </c>
      <c r="M661" s="298" t="str">
        <f t="shared" si="22"/>
        <v/>
      </c>
      <c r="N661" s="298" t="str">
        <f>IF(G661,"この従業員番号は、すでに他のセルで入力されています。",IF(入力シート!$C$5=入力リスト!$C$4,"",IF(AND(A661="",B661="",C661="",D661="",E661=""),"",IF(OR(A661="",B661="",C661="",D661=""),IF(A661="","従業員番号","")&amp;IF(AND(A661="",OR(B661="",C661="",D661="")),",","")&amp;IF(B661="","雇用形態","")&amp;IF(AND(B661="",OR(C661="",D661="")),",","")&amp;IF(OR(入力シート!$J$18=入力リスト!$H$9,入力シート!$J$22=入力リスト!$H$9),IF(C661="","入社年月日",""),"")&amp;IF(AND(C661="",D661=""),",","")&amp;IF(D661="","性別","")&amp;IF(IF(A661="","従業員番号","")&amp;IF(B661="","雇用形態","")&amp;IF(OR(入力シート!$J$18=入力リスト!$H$9,入力シート!$J$22=入力リスト!$H$9),IF(C661="","入社年月日",""),"")&amp;IF(D661="","性別","")="","","が空白です。"),IF(J661,"入社年月日に「基準日」の翌日以降の日付が入力されています。","")&amp;IF(I661,"入社年月日に数値以外（又は1900/1/1以前の日付）が入力されています。","")&amp;IF(H661,"雇用形態"&amp;IF(OR(K661,L661),",",""),"")&amp;IF(K661,"性別"&amp;IF(L661,",",""),"")&amp;IF(L661,"役職","")&amp;IF(OR(H661,K661,L661),"に、［入力シート］(4)「貴社」欄と異なる文言が入力されています。","")))))</f>
        <v/>
      </c>
      <c r="O661" s="298" t="str">
        <f>IF(B661="","",VLOOKUP('従業員情報(給与以外)'!$B661,入力シート!$S$37:$Z$62,5,0))</f>
        <v/>
      </c>
      <c r="P661" s="298" t="str">
        <f>IF(ISNUMBER(C661)=FALSE,"",IF(C661&gt;入力シート!$J$24,"",_xlfn.DAYS(入力シート!$J$24,'従業員情報(給与以外)'!$C661)/365))</f>
        <v/>
      </c>
      <c r="Q661" s="298" t="str">
        <f>IF(P661="","",VLOOKUP(_xlfn.DAYS(入力シート!$J$24,'従業員情報(給与以外)'!$C661)/365,入力リスト!$K$18:$L$26,2,2))</f>
        <v/>
      </c>
      <c r="R661" s="298" t="str">
        <f>IF(D661="","",VLOOKUP('従業員情報(給与以外)'!$D661,入力シート!$AW$37:$BB$38,4,0))</f>
        <v/>
      </c>
      <c r="S661" s="298" t="str">
        <f>IF(A661="","",IF(E661="","非役職",VLOOKUP('従業員情報(給与以外)'!$E661,入力シート!$AH$37:$AO$62,5,0)))</f>
        <v/>
      </c>
      <c r="T661" s="299" t="str">
        <f>IF(OR(入力シート!$C$5&lt;&gt;入力リスト!$C$3,COUNTIF(入力シート!$J$16:$S$23,入力リスト!$H$9)=0),"",IF($A661="","",IF(ISERROR(AVERAGEIF(従業員の給与情報!$B:$B,$A661,従業員の給与情報!$C:$C)),0,IF(ISERROR(AVERAGEIF(従業員の給与情報!$B:$B,$A661,従業員の給与情報!$C:$C)),0,AVERAGEIF(従業員の給与情報!$B:$B,$A661,従業員の給与情報!$C:$C)))))</f>
        <v/>
      </c>
      <c r="U661" s="299" t="str">
        <f>IF(OR(入力シート!$C$5&lt;&gt;入力リスト!$C$3,COUNTIF(入力シート!$J$16:$S$23,入力リスト!$H$9)=0),"",IF(A661="","",IF(ISERROR(AVERAGEIF(従業員の給与情報!$B:$B,$A661,従業員の給与情報!$D:$D)),0,IF(ISERROR(AVERAGEIF(従業員の給与情報!$B:$B,$A661,従業員の給与情報!$D:$D)),0,AVERAGEIF(従業員の給与情報!$B:$B,$A661,従業員の給与情報!$D:$D)))))</f>
        <v/>
      </c>
      <c r="V661" s="299" t="str">
        <f>IF(OR(入力シート!$C$5&lt;&gt;入力リスト!$C$3,COUNTIF(入力シート!$J$16:$S$23,入力リスト!$H$9)=0),"",IF(A661="","",IF(ISERROR(AVERAGEIF(従業員の給与情報!$B:$B,$A661,従業員の給与情報!$E:$E)),0,IF(ISERROR(AVERAGEIF(従業員の給与情報!$B:$B,$A661,従業員の給与情報!$E:$E)),0,AVERAGEIF(従業員の給与情報!$B:$B,$A661,従業員の給与情報!$E:$E)))))</f>
        <v/>
      </c>
      <c r="W661" s="299" t="str">
        <f>IF(OR(入力シート!$C$5&lt;&gt;入力リスト!$C$3,COUNTIF(入力シート!$J$16:$S$23,入力リスト!$H$9)=0),"",IF(A661="","",IF(ISERROR(AVERAGEIF(従業員の給与情報!$B:$B,$A661,従業員の給与情報!$F:$F)),0,IF(ISERROR(AVERAGEIF(従業員の給与情報!$B:$B,$A661,従業員の給与情報!$F:$F)),0,AVERAGEIF(従業員の給与情報!$B:$B,$A661,従業員の給与情報!$F:$F)))))</f>
        <v/>
      </c>
      <c r="X661" s="581" t="s">
        <v>5400</v>
      </c>
    </row>
    <row r="662" spans="6:24">
      <c r="F662" s="297" t="str">
        <f>IF($G$1,"",IF(COUNTIF(A662:E662,"")=5,"",IF(G662,入力リスト!$K$28,IF(OR(A662="",B662="",IF(COUNTIF($C$3,"*不要*"),"",C662=""),D662=""),IF(A662="","従業員番号","")&amp;IF(B662="","「雇用形態」","")&amp;IF(OR(入力シート!$J$18=入力リスト!$H$9,入力シート!$J$22=入力リスト!$H$9),IF(C662="","「入社年月日」",""),"")&amp;IF(D662="","「性別」","")&amp;IF(IF(A662="","従業員番号","")&amp;IF(B662="","「雇用形態」","")&amp;IF(OR(入力シート!$J$18=入力リスト!$H$9,入力シート!$J$22=入力リスト!$H$9),IF(C662="","「入社年月日」",""),"")&amp;IF(D662="","「性別」","")="","",入力リスト!$K$29),IF(J662,入力リスト!$K$30,"")&amp;IF(I662,入力リスト!$K$31,"")&amp;IF(H662,"「雇用形態」","")&amp;IF(K662,"「性別」","")&amp;IF(L662,"「役職」","")&amp;IF(OR(H662,K662,L662),入力リスト!$K$32,"")))))</f>
        <v/>
      </c>
      <c r="G662" s="298" t="b">
        <f>COUNTIF($A$4:A661,$A662)&gt;0</f>
        <v>0</v>
      </c>
      <c r="H662" s="298" t="b">
        <f>IF($H$1,FALSE,COUNTIF(入力シート!$S$37:$V$62,B662)=0)</f>
        <v>0</v>
      </c>
      <c r="I662" s="298" t="b">
        <f t="shared" si="21"/>
        <v>0</v>
      </c>
      <c r="J662" s="298" t="b">
        <f>IF($J$1,FALSE,IF(I662=TRUE,FALSE,IF(I662,FALSE,C662&gt;入力シート!$J$24)))</f>
        <v>0</v>
      </c>
      <c r="K662" s="298" t="b">
        <f>IF($K$1,FALSE,COUNTIF(入力シート!$AW$37:$BB$38,D662)=0)</f>
        <v>0</v>
      </c>
      <c r="L662" s="298" t="b">
        <f>IF($L$1,FALSE,IF($L$3,FALSE,IF(E662="",FALSE,COUNTIF(入力シート!$AH$37:$AK$62,E662)=0)))</f>
        <v>0</v>
      </c>
      <c r="M662" s="298" t="str">
        <f t="shared" si="22"/>
        <v/>
      </c>
      <c r="N662" s="298" t="str">
        <f>IF(G662,"この従業員番号は、すでに他のセルで入力されています。",IF(入力シート!$C$5=入力リスト!$C$4,"",IF(AND(A662="",B662="",C662="",D662="",E662=""),"",IF(OR(A662="",B662="",C662="",D662=""),IF(A662="","従業員番号","")&amp;IF(AND(A662="",OR(B662="",C662="",D662="")),",","")&amp;IF(B662="","雇用形態","")&amp;IF(AND(B662="",OR(C662="",D662="")),",","")&amp;IF(OR(入力シート!$J$18=入力リスト!$H$9,入力シート!$J$22=入力リスト!$H$9),IF(C662="","入社年月日",""),"")&amp;IF(AND(C662="",D662=""),",","")&amp;IF(D662="","性別","")&amp;IF(IF(A662="","従業員番号","")&amp;IF(B662="","雇用形態","")&amp;IF(OR(入力シート!$J$18=入力リスト!$H$9,入力シート!$J$22=入力リスト!$H$9),IF(C662="","入社年月日",""),"")&amp;IF(D662="","性別","")="","","が空白です。"),IF(J662,"入社年月日に「基準日」の翌日以降の日付が入力されています。","")&amp;IF(I662,"入社年月日に数値以外（又は1900/1/1以前の日付）が入力されています。","")&amp;IF(H662,"雇用形態"&amp;IF(OR(K662,L662),",",""),"")&amp;IF(K662,"性別"&amp;IF(L662,",",""),"")&amp;IF(L662,"役職","")&amp;IF(OR(H662,K662,L662),"に、［入力シート］(4)「貴社」欄と異なる文言が入力されています。","")))))</f>
        <v/>
      </c>
      <c r="O662" s="298" t="str">
        <f>IF(B662="","",VLOOKUP('従業員情報(給与以外)'!$B662,入力シート!$S$37:$Z$62,5,0))</f>
        <v/>
      </c>
      <c r="P662" s="298" t="str">
        <f>IF(ISNUMBER(C662)=FALSE,"",IF(C662&gt;入力シート!$J$24,"",_xlfn.DAYS(入力シート!$J$24,'従業員情報(給与以外)'!$C662)/365))</f>
        <v/>
      </c>
      <c r="Q662" s="298" t="str">
        <f>IF(P662="","",VLOOKUP(_xlfn.DAYS(入力シート!$J$24,'従業員情報(給与以外)'!$C662)/365,入力リスト!$K$18:$L$26,2,2))</f>
        <v/>
      </c>
      <c r="R662" s="298" t="str">
        <f>IF(D662="","",VLOOKUP('従業員情報(給与以外)'!$D662,入力シート!$AW$37:$BB$38,4,0))</f>
        <v/>
      </c>
      <c r="S662" s="298" t="str">
        <f>IF(A662="","",IF(E662="","非役職",VLOOKUP('従業員情報(給与以外)'!$E662,入力シート!$AH$37:$AO$62,5,0)))</f>
        <v/>
      </c>
      <c r="T662" s="299" t="str">
        <f>IF(OR(入力シート!$C$5&lt;&gt;入力リスト!$C$3,COUNTIF(入力シート!$J$16:$S$23,入力リスト!$H$9)=0),"",IF($A662="","",IF(ISERROR(AVERAGEIF(従業員の給与情報!$B:$B,$A662,従業員の給与情報!$C:$C)),0,IF(ISERROR(AVERAGEIF(従業員の給与情報!$B:$B,$A662,従業員の給与情報!$C:$C)),0,AVERAGEIF(従業員の給与情報!$B:$B,$A662,従業員の給与情報!$C:$C)))))</f>
        <v/>
      </c>
      <c r="U662" s="299" t="str">
        <f>IF(OR(入力シート!$C$5&lt;&gt;入力リスト!$C$3,COUNTIF(入力シート!$J$16:$S$23,入力リスト!$H$9)=0),"",IF(A662="","",IF(ISERROR(AVERAGEIF(従業員の給与情報!$B:$B,$A662,従業員の給与情報!$D:$D)),0,IF(ISERROR(AVERAGEIF(従業員の給与情報!$B:$B,$A662,従業員の給与情報!$D:$D)),0,AVERAGEIF(従業員の給与情報!$B:$B,$A662,従業員の給与情報!$D:$D)))))</f>
        <v/>
      </c>
      <c r="V662" s="299" t="str">
        <f>IF(OR(入力シート!$C$5&lt;&gt;入力リスト!$C$3,COUNTIF(入力シート!$J$16:$S$23,入力リスト!$H$9)=0),"",IF(A662="","",IF(ISERROR(AVERAGEIF(従業員の給与情報!$B:$B,$A662,従業員の給与情報!$E:$E)),0,IF(ISERROR(AVERAGEIF(従業員の給与情報!$B:$B,$A662,従業員の給与情報!$E:$E)),0,AVERAGEIF(従業員の給与情報!$B:$B,$A662,従業員の給与情報!$E:$E)))))</f>
        <v/>
      </c>
      <c r="W662" s="299" t="str">
        <f>IF(OR(入力シート!$C$5&lt;&gt;入力リスト!$C$3,COUNTIF(入力シート!$J$16:$S$23,入力リスト!$H$9)=0),"",IF(A662="","",IF(ISERROR(AVERAGEIF(従業員の給与情報!$B:$B,$A662,従業員の給与情報!$F:$F)),0,IF(ISERROR(AVERAGEIF(従業員の給与情報!$B:$B,$A662,従業員の給与情報!$F:$F)),0,AVERAGEIF(従業員の給与情報!$B:$B,$A662,従業員の給与情報!$F:$F)))))</f>
        <v/>
      </c>
      <c r="X662" s="581" t="s">
        <v>5401</v>
      </c>
    </row>
    <row r="663" spans="6:24">
      <c r="F663" s="297" t="str">
        <f>IF($G$1,"",IF(COUNTIF(A663:E663,"")=5,"",IF(G663,入力リスト!$K$28,IF(OR(A663="",B663="",IF(COUNTIF($C$3,"*不要*"),"",C663=""),D663=""),IF(A663="","従業員番号","")&amp;IF(B663="","「雇用形態」","")&amp;IF(OR(入力シート!$J$18=入力リスト!$H$9,入力シート!$J$22=入力リスト!$H$9),IF(C663="","「入社年月日」",""),"")&amp;IF(D663="","「性別」","")&amp;IF(IF(A663="","従業員番号","")&amp;IF(B663="","「雇用形態」","")&amp;IF(OR(入力シート!$J$18=入力リスト!$H$9,入力シート!$J$22=入力リスト!$H$9),IF(C663="","「入社年月日」",""),"")&amp;IF(D663="","「性別」","")="","",入力リスト!$K$29),IF(J663,入力リスト!$K$30,"")&amp;IF(I663,入力リスト!$K$31,"")&amp;IF(H663,"「雇用形態」","")&amp;IF(K663,"「性別」","")&amp;IF(L663,"「役職」","")&amp;IF(OR(H663,K663,L663),入力リスト!$K$32,"")))))</f>
        <v/>
      </c>
      <c r="G663" s="298" t="b">
        <f>COUNTIF($A$4:A662,$A663)&gt;0</f>
        <v>0</v>
      </c>
      <c r="H663" s="298" t="b">
        <f>IF($H$1,FALSE,COUNTIF(入力シート!$S$37:$V$62,B663)=0)</f>
        <v>0</v>
      </c>
      <c r="I663" s="298" t="b">
        <f t="shared" si="21"/>
        <v>0</v>
      </c>
      <c r="J663" s="298" t="b">
        <f>IF($J$1,FALSE,IF(I663=TRUE,FALSE,IF(I663,FALSE,C663&gt;入力シート!$J$24)))</f>
        <v>0</v>
      </c>
      <c r="K663" s="298" t="b">
        <f>IF($K$1,FALSE,COUNTIF(入力シート!$AW$37:$BB$38,D663)=0)</f>
        <v>0</v>
      </c>
      <c r="L663" s="298" t="b">
        <f>IF($L$1,FALSE,IF($L$3,FALSE,IF(E663="",FALSE,COUNTIF(入力シート!$AH$37:$AK$62,E663)=0)))</f>
        <v>0</v>
      </c>
      <c r="M663" s="298" t="str">
        <f t="shared" si="22"/>
        <v/>
      </c>
      <c r="N663" s="298" t="str">
        <f>IF(G663,"この従業員番号は、すでに他のセルで入力されています。",IF(入力シート!$C$5=入力リスト!$C$4,"",IF(AND(A663="",B663="",C663="",D663="",E663=""),"",IF(OR(A663="",B663="",C663="",D663=""),IF(A663="","従業員番号","")&amp;IF(AND(A663="",OR(B663="",C663="",D663="")),",","")&amp;IF(B663="","雇用形態","")&amp;IF(AND(B663="",OR(C663="",D663="")),",","")&amp;IF(OR(入力シート!$J$18=入力リスト!$H$9,入力シート!$J$22=入力リスト!$H$9),IF(C663="","入社年月日",""),"")&amp;IF(AND(C663="",D663=""),",","")&amp;IF(D663="","性別","")&amp;IF(IF(A663="","従業員番号","")&amp;IF(B663="","雇用形態","")&amp;IF(OR(入力シート!$J$18=入力リスト!$H$9,入力シート!$J$22=入力リスト!$H$9),IF(C663="","入社年月日",""),"")&amp;IF(D663="","性別","")="","","が空白です。"),IF(J663,"入社年月日に「基準日」の翌日以降の日付が入力されています。","")&amp;IF(I663,"入社年月日に数値以外（又は1900/1/1以前の日付）が入力されています。","")&amp;IF(H663,"雇用形態"&amp;IF(OR(K663,L663),",",""),"")&amp;IF(K663,"性別"&amp;IF(L663,",",""),"")&amp;IF(L663,"役職","")&amp;IF(OR(H663,K663,L663),"に、［入力シート］(4)「貴社」欄と異なる文言が入力されています。","")))))</f>
        <v/>
      </c>
      <c r="O663" s="298" t="str">
        <f>IF(B663="","",VLOOKUP('従業員情報(給与以外)'!$B663,入力シート!$S$37:$Z$62,5,0))</f>
        <v/>
      </c>
      <c r="P663" s="298" t="str">
        <f>IF(ISNUMBER(C663)=FALSE,"",IF(C663&gt;入力シート!$J$24,"",_xlfn.DAYS(入力シート!$J$24,'従業員情報(給与以外)'!$C663)/365))</f>
        <v/>
      </c>
      <c r="Q663" s="298" t="str">
        <f>IF(P663="","",VLOOKUP(_xlfn.DAYS(入力シート!$J$24,'従業員情報(給与以外)'!$C663)/365,入力リスト!$K$18:$L$26,2,2))</f>
        <v/>
      </c>
      <c r="R663" s="298" t="str">
        <f>IF(D663="","",VLOOKUP('従業員情報(給与以外)'!$D663,入力シート!$AW$37:$BB$38,4,0))</f>
        <v/>
      </c>
      <c r="S663" s="298" t="str">
        <f>IF(A663="","",IF(E663="","非役職",VLOOKUP('従業員情報(給与以外)'!$E663,入力シート!$AH$37:$AO$62,5,0)))</f>
        <v/>
      </c>
      <c r="T663" s="299" t="str">
        <f>IF(OR(入力シート!$C$5&lt;&gt;入力リスト!$C$3,COUNTIF(入力シート!$J$16:$S$23,入力リスト!$H$9)=0),"",IF($A663="","",IF(ISERROR(AVERAGEIF(従業員の給与情報!$B:$B,$A663,従業員の給与情報!$C:$C)),0,IF(ISERROR(AVERAGEIF(従業員の給与情報!$B:$B,$A663,従業員の給与情報!$C:$C)),0,AVERAGEIF(従業員の給与情報!$B:$B,$A663,従業員の給与情報!$C:$C)))))</f>
        <v/>
      </c>
      <c r="U663" s="299" t="str">
        <f>IF(OR(入力シート!$C$5&lt;&gt;入力リスト!$C$3,COUNTIF(入力シート!$J$16:$S$23,入力リスト!$H$9)=0),"",IF(A663="","",IF(ISERROR(AVERAGEIF(従業員の給与情報!$B:$B,$A663,従業員の給与情報!$D:$D)),0,IF(ISERROR(AVERAGEIF(従業員の給与情報!$B:$B,$A663,従業員の給与情報!$D:$D)),0,AVERAGEIF(従業員の給与情報!$B:$B,$A663,従業員の給与情報!$D:$D)))))</f>
        <v/>
      </c>
      <c r="V663" s="299" t="str">
        <f>IF(OR(入力シート!$C$5&lt;&gt;入力リスト!$C$3,COUNTIF(入力シート!$J$16:$S$23,入力リスト!$H$9)=0),"",IF(A663="","",IF(ISERROR(AVERAGEIF(従業員の給与情報!$B:$B,$A663,従業員の給与情報!$E:$E)),0,IF(ISERROR(AVERAGEIF(従業員の給与情報!$B:$B,$A663,従業員の給与情報!$E:$E)),0,AVERAGEIF(従業員の給与情報!$B:$B,$A663,従業員の給与情報!$E:$E)))))</f>
        <v/>
      </c>
      <c r="W663" s="299" t="str">
        <f>IF(OR(入力シート!$C$5&lt;&gt;入力リスト!$C$3,COUNTIF(入力シート!$J$16:$S$23,入力リスト!$H$9)=0),"",IF(A663="","",IF(ISERROR(AVERAGEIF(従業員の給与情報!$B:$B,$A663,従業員の給与情報!$F:$F)),0,IF(ISERROR(AVERAGEIF(従業員の給与情報!$B:$B,$A663,従業員の給与情報!$F:$F)),0,AVERAGEIF(従業員の給与情報!$B:$B,$A663,従業員の給与情報!$F:$F)))))</f>
        <v/>
      </c>
      <c r="X663" s="581" t="s">
        <v>5402</v>
      </c>
    </row>
    <row r="664" spans="6:24">
      <c r="F664" s="297" t="str">
        <f>IF($G$1,"",IF(COUNTIF(A664:E664,"")=5,"",IF(G664,入力リスト!$K$28,IF(OR(A664="",B664="",IF(COUNTIF($C$3,"*不要*"),"",C664=""),D664=""),IF(A664="","従業員番号","")&amp;IF(B664="","「雇用形態」","")&amp;IF(OR(入力シート!$J$18=入力リスト!$H$9,入力シート!$J$22=入力リスト!$H$9),IF(C664="","「入社年月日」",""),"")&amp;IF(D664="","「性別」","")&amp;IF(IF(A664="","従業員番号","")&amp;IF(B664="","「雇用形態」","")&amp;IF(OR(入力シート!$J$18=入力リスト!$H$9,入力シート!$J$22=入力リスト!$H$9),IF(C664="","「入社年月日」",""),"")&amp;IF(D664="","「性別」","")="","",入力リスト!$K$29),IF(J664,入力リスト!$K$30,"")&amp;IF(I664,入力リスト!$K$31,"")&amp;IF(H664,"「雇用形態」","")&amp;IF(K664,"「性別」","")&amp;IF(L664,"「役職」","")&amp;IF(OR(H664,K664,L664),入力リスト!$K$32,"")))))</f>
        <v/>
      </c>
      <c r="G664" s="298" t="b">
        <f>COUNTIF($A$4:A663,$A664)&gt;0</f>
        <v>0</v>
      </c>
      <c r="H664" s="298" t="b">
        <f>IF($H$1,FALSE,COUNTIF(入力シート!$S$37:$V$62,B664)=0)</f>
        <v>0</v>
      </c>
      <c r="I664" s="298" t="b">
        <f t="shared" si="21"/>
        <v>0</v>
      </c>
      <c r="J664" s="298" t="b">
        <f>IF($J$1,FALSE,IF(I664=TRUE,FALSE,IF(I664,FALSE,C664&gt;入力シート!$J$24)))</f>
        <v>0</v>
      </c>
      <c r="K664" s="298" t="b">
        <f>IF($K$1,FALSE,COUNTIF(入力シート!$AW$37:$BB$38,D664)=0)</f>
        <v>0</v>
      </c>
      <c r="L664" s="298" t="b">
        <f>IF($L$1,FALSE,IF($L$3,FALSE,IF(E664="",FALSE,COUNTIF(入力シート!$AH$37:$AK$62,E664)=0)))</f>
        <v>0</v>
      </c>
      <c r="M664" s="298" t="str">
        <f t="shared" si="22"/>
        <v/>
      </c>
      <c r="N664" s="298" t="str">
        <f>IF(G664,"この従業員番号は、すでに他のセルで入力されています。",IF(入力シート!$C$5=入力リスト!$C$4,"",IF(AND(A664="",B664="",C664="",D664="",E664=""),"",IF(OR(A664="",B664="",C664="",D664=""),IF(A664="","従業員番号","")&amp;IF(AND(A664="",OR(B664="",C664="",D664="")),",","")&amp;IF(B664="","雇用形態","")&amp;IF(AND(B664="",OR(C664="",D664="")),",","")&amp;IF(OR(入力シート!$J$18=入力リスト!$H$9,入力シート!$J$22=入力リスト!$H$9),IF(C664="","入社年月日",""),"")&amp;IF(AND(C664="",D664=""),",","")&amp;IF(D664="","性別","")&amp;IF(IF(A664="","従業員番号","")&amp;IF(B664="","雇用形態","")&amp;IF(OR(入力シート!$J$18=入力リスト!$H$9,入力シート!$J$22=入力リスト!$H$9),IF(C664="","入社年月日",""),"")&amp;IF(D664="","性別","")="","","が空白です。"),IF(J664,"入社年月日に「基準日」の翌日以降の日付が入力されています。","")&amp;IF(I664,"入社年月日に数値以外（又は1900/1/1以前の日付）が入力されています。","")&amp;IF(H664,"雇用形態"&amp;IF(OR(K664,L664),",",""),"")&amp;IF(K664,"性別"&amp;IF(L664,",",""),"")&amp;IF(L664,"役職","")&amp;IF(OR(H664,K664,L664),"に、［入力シート］(4)「貴社」欄と異なる文言が入力されています。","")))))</f>
        <v/>
      </c>
      <c r="O664" s="298" t="str">
        <f>IF(B664="","",VLOOKUP('従業員情報(給与以外)'!$B664,入力シート!$S$37:$Z$62,5,0))</f>
        <v/>
      </c>
      <c r="P664" s="298" t="str">
        <f>IF(ISNUMBER(C664)=FALSE,"",IF(C664&gt;入力シート!$J$24,"",_xlfn.DAYS(入力シート!$J$24,'従業員情報(給与以外)'!$C664)/365))</f>
        <v/>
      </c>
      <c r="Q664" s="298" t="str">
        <f>IF(P664="","",VLOOKUP(_xlfn.DAYS(入力シート!$J$24,'従業員情報(給与以外)'!$C664)/365,入力リスト!$K$18:$L$26,2,2))</f>
        <v/>
      </c>
      <c r="R664" s="298" t="str">
        <f>IF(D664="","",VLOOKUP('従業員情報(給与以外)'!$D664,入力シート!$AW$37:$BB$38,4,0))</f>
        <v/>
      </c>
      <c r="S664" s="298" t="str">
        <f>IF(A664="","",IF(E664="","非役職",VLOOKUP('従業員情報(給与以外)'!$E664,入力シート!$AH$37:$AO$62,5,0)))</f>
        <v/>
      </c>
      <c r="T664" s="299" t="str">
        <f>IF(OR(入力シート!$C$5&lt;&gt;入力リスト!$C$3,COUNTIF(入力シート!$J$16:$S$23,入力リスト!$H$9)=0),"",IF($A664="","",IF(ISERROR(AVERAGEIF(従業員の給与情報!$B:$B,$A664,従業員の給与情報!$C:$C)),0,IF(ISERROR(AVERAGEIF(従業員の給与情報!$B:$B,$A664,従業員の給与情報!$C:$C)),0,AVERAGEIF(従業員の給与情報!$B:$B,$A664,従業員の給与情報!$C:$C)))))</f>
        <v/>
      </c>
      <c r="U664" s="299" t="str">
        <f>IF(OR(入力シート!$C$5&lt;&gt;入力リスト!$C$3,COUNTIF(入力シート!$J$16:$S$23,入力リスト!$H$9)=0),"",IF(A664="","",IF(ISERROR(AVERAGEIF(従業員の給与情報!$B:$B,$A664,従業員の給与情報!$D:$D)),0,IF(ISERROR(AVERAGEIF(従業員の給与情報!$B:$B,$A664,従業員の給与情報!$D:$D)),0,AVERAGEIF(従業員の給与情報!$B:$B,$A664,従業員の給与情報!$D:$D)))))</f>
        <v/>
      </c>
      <c r="V664" s="299" t="str">
        <f>IF(OR(入力シート!$C$5&lt;&gt;入力リスト!$C$3,COUNTIF(入力シート!$J$16:$S$23,入力リスト!$H$9)=0),"",IF(A664="","",IF(ISERROR(AVERAGEIF(従業員の給与情報!$B:$B,$A664,従業員の給与情報!$E:$E)),0,IF(ISERROR(AVERAGEIF(従業員の給与情報!$B:$B,$A664,従業員の給与情報!$E:$E)),0,AVERAGEIF(従業員の給与情報!$B:$B,$A664,従業員の給与情報!$E:$E)))))</f>
        <v/>
      </c>
      <c r="W664" s="299" t="str">
        <f>IF(OR(入力シート!$C$5&lt;&gt;入力リスト!$C$3,COUNTIF(入力シート!$J$16:$S$23,入力リスト!$H$9)=0),"",IF(A664="","",IF(ISERROR(AVERAGEIF(従業員の給与情報!$B:$B,$A664,従業員の給与情報!$F:$F)),0,IF(ISERROR(AVERAGEIF(従業員の給与情報!$B:$B,$A664,従業員の給与情報!$F:$F)),0,AVERAGEIF(従業員の給与情報!$B:$B,$A664,従業員の給与情報!$F:$F)))))</f>
        <v/>
      </c>
      <c r="X664" s="581" t="s">
        <v>5403</v>
      </c>
    </row>
    <row r="665" spans="6:24">
      <c r="F665" s="297" t="str">
        <f>IF($G$1,"",IF(COUNTIF(A665:E665,"")=5,"",IF(G665,入力リスト!$K$28,IF(OR(A665="",B665="",IF(COUNTIF($C$3,"*不要*"),"",C665=""),D665=""),IF(A665="","従業員番号","")&amp;IF(B665="","「雇用形態」","")&amp;IF(OR(入力シート!$J$18=入力リスト!$H$9,入力シート!$J$22=入力リスト!$H$9),IF(C665="","「入社年月日」",""),"")&amp;IF(D665="","「性別」","")&amp;IF(IF(A665="","従業員番号","")&amp;IF(B665="","「雇用形態」","")&amp;IF(OR(入力シート!$J$18=入力リスト!$H$9,入力シート!$J$22=入力リスト!$H$9),IF(C665="","「入社年月日」",""),"")&amp;IF(D665="","「性別」","")="","",入力リスト!$K$29),IF(J665,入力リスト!$K$30,"")&amp;IF(I665,入力リスト!$K$31,"")&amp;IF(H665,"「雇用形態」","")&amp;IF(K665,"「性別」","")&amp;IF(L665,"「役職」","")&amp;IF(OR(H665,K665,L665),入力リスト!$K$32,"")))))</f>
        <v/>
      </c>
      <c r="G665" s="298" t="b">
        <f>COUNTIF($A$4:A664,$A665)&gt;0</f>
        <v>0</v>
      </c>
      <c r="H665" s="298" t="b">
        <f>IF($H$1,FALSE,COUNTIF(入力シート!$S$37:$V$62,B665)=0)</f>
        <v>0</v>
      </c>
      <c r="I665" s="298" t="b">
        <f t="shared" si="21"/>
        <v>0</v>
      </c>
      <c r="J665" s="298" t="b">
        <f>IF($J$1,FALSE,IF(I665=TRUE,FALSE,IF(I665,FALSE,C665&gt;入力シート!$J$24)))</f>
        <v>0</v>
      </c>
      <c r="K665" s="298" t="b">
        <f>IF($K$1,FALSE,COUNTIF(入力シート!$AW$37:$BB$38,D665)=0)</f>
        <v>0</v>
      </c>
      <c r="L665" s="298" t="b">
        <f>IF($L$1,FALSE,IF($L$3,FALSE,IF(E665="",FALSE,COUNTIF(入力シート!$AH$37:$AK$62,E665)=0)))</f>
        <v>0</v>
      </c>
      <c r="M665" s="298" t="str">
        <f t="shared" si="22"/>
        <v/>
      </c>
      <c r="N665" s="298" t="str">
        <f>IF(G665,"この従業員番号は、すでに他のセルで入力されています。",IF(入力シート!$C$5=入力リスト!$C$4,"",IF(AND(A665="",B665="",C665="",D665="",E665=""),"",IF(OR(A665="",B665="",C665="",D665=""),IF(A665="","従業員番号","")&amp;IF(AND(A665="",OR(B665="",C665="",D665="")),",","")&amp;IF(B665="","雇用形態","")&amp;IF(AND(B665="",OR(C665="",D665="")),",","")&amp;IF(OR(入力シート!$J$18=入力リスト!$H$9,入力シート!$J$22=入力リスト!$H$9),IF(C665="","入社年月日",""),"")&amp;IF(AND(C665="",D665=""),",","")&amp;IF(D665="","性別","")&amp;IF(IF(A665="","従業員番号","")&amp;IF(B665="","雇用形態","")&amp;IF(OR(入力シート!$J$18=入力リスト!$H$9,入力シート!$J$22=入力リスト!$H$9),IF(C665="","入社年月日",""),"")&amp;IF(D665="","性別","")="","","が空白です。"),IF(J665,"入社年月日に「基準日」の翌日以降の日付が入力されています。","")&amp;IF(I665,"入社年月日に数値以外（又は1900/1/1以前の日付）が入力されています。","")&amp;IF(H665,"雇用形態"&amp;IF(OR(K665,L665),",",""),"")&amp;IF(K665,"性別"&amp;IF(L665,",",""),"")&amp;IF(L665,"役職","")&amp;IF(OR(H665,K665,L665),"に、［入力シート］(4)「貴社」欄と異なる文言が入力されています。","")))))</f>
        <v/>
      </c>
      <c r="O665" s="298" t="str">
        <f>IF(B665="","",VLOOKUP('従業員情報(給与以外)'!$B665,入力シート!$S$37:$Z$62,5,0))</f>
        <v/>
      </c>
      <c r="P665" s="298" t="str">
        <f>IF(ISNUMBER(C665)=FALSE,"",IF(C665&gt;入力シート!$J$24,"",_xlfn.DAYS(入力シート!$J$24,'従業員情報(給与以外)'!$C665)/365))</f>
        <v/>
      </c>
      <c r="Q665" s="298" t="str">
        <f>IF(P665="","",VLOOKUP(_xlfn.DAYS(入力シート!$J$24,'従業員情報(給与以外)'!$C665)/365,入力リスト!$K$18:$L$26,2,2))</f>
        <v/>
      </c>
      <c r="R665" s="298" t="str">
        <f>IF(D665="","",VLOOKUP('従業員情報(給与以外)'!$D665,入力シート!$AW$37:$BB$38,4,0))</f>
        <v/>
      </c>
      <c r="S665" s="298" t="str">
        <f>IF(A665="","",IF(E665="","非役職",VLOOKUP('従業員情報(給与以外)'!$E665,入力シート!$AH$37:$AO$62,5,0)))</f>
        <v/>
      </c>
      <c r="T665" s="299" t="str">
        <f>IF(OR(入力シート!$C$5&lt;&gt;入力リスト!$C$3,COUNTIF(入力シート!$J$16:$S$23,入力リスト!$H$9)=0),"",IF($A665="","",IF(ISERROR(AVERAGEIF(従業員の給与情報!$B:$B,$A665,従業員の給与情報!$C:$C)),0,IF(ISERROR(AVERAGEIF(従業員の給与情報!$B:$B,$A665,従業員の給与情報!$C:$C)),0,AVERAGEIF(従業員の給与情報!$B:$B,$A665,従業員の給与情報!$C:$C)))))</f>
        <v/>
      </c>
      <c r="U665" s="299" t="str">
        <f>IF(OR(入力シート!$C$5&lt;&gt;入力リスト!$C$3,COUNTIF(入力シート!$J$16:$S$23,入力リスト!$H$9)=0),"",IF(A665="","",IF(ISERROR(AVERAGEIF(従業員の給与情報!$B:$B,$A665,従業員の給与情報!$D:$D)),0,IF(ISERROR(AVERAGEIF(従業員の給与情報!$B:$B,$A665,従業員の給与情報!$D:$D)),0,AVERAGEIF(従業員の給与情報!$B:$B,$A665,従業員の給与情報!$D:$D)))))</f>
        <v/>
      </c>
      <c r="V665" s="299" t="str">
        <f>IF(OR(入力シート!$C$5&lt;&gt;入力リスト!$C$3,COUNTIF(入力シート!$J$16:$S$23,入力リスト!$H$9)=0),"",IF(A665="","",IF(ISERROR(AVERAGEIF(従業員の給与情報!$B:$B,$A665,従業員の給与情報!$E:$E)),0,IF(ISERROR(AVERAGEIF(従業員の給与情報!$B:$B,$A665,従業員の給与情報!$E:$E)),0,AVERAGEIF(従業員の給与情報!$B:$B,$A665,従業員の給与情報!$E:$E)))))</f>
        <v/>
      </c>
      <c r="W665" s="299" t="str">
        <f>IF(OR(入力シート!$C$5&lt;&gt;入力リスト!$C$3,COUNTIF(入力シート!$J$16:$S$23,入力リスト!$H$9)=0),"",IF(A665="","",IF(ISERROR(AVERAGEIF(従業員の給与情報!$B:$B,$A665,従業員の給与情報!$F:$F)),0,IF(ISERROR(AVERAGEIF(従業員の給与情報!$B:$B,$A665,従業員の給与情報!$F:$F)),0,AVERAGEIF(従業員の給与情報!$B:$B,$A665,従業員の給与情報!$F:$F)))))</f>
        <v/>
      </c>
      <c r="X665" s="581" t="s">
        <v>5404</v>
      </c>
    </row>
    <row r="666" spans="6:24">
      <c r="F666" s="297" t="str">
        <f>IF($G$1,"",IF(COUNTIF(A666:E666,"")=5,"",IF(G666,入力リスト!$K$28,IF(OR(A666="",B666="",IF(COUNTIF($C$3,"*不要*"),"",C666=""),D666=""),IF(A666="","従業員番号","")&amp;IF(B666="","「雇用形態」","")&amp;IF(OR(入力シート!$J$18=入力リスト!$H$9,入力シート!$J$22=入力リスト!$H$9),IF(C666="","「入社年月日」",""),"")&amp;IF(D666="","「性別」","")&amp;IF(IF(A666="","従業員番号","")&amp;IF(B666="","「雇用形態」","")&amp;IF(OR(入力シート!$J$18=入力リスト!$H$9,入力シート!$J$22=入力リスト!$H$9),IF(C666="","「入社年月日」",""),"")&amp;IF(D666="","「性別」","")="","",入力リスト!$K$29),IF(J666,入力リスト!$K$30,"")&amp;IF(I666,入力リスト!$K$31,"")&amp;IF(H666,"「雇用形態」","")&amp;IF(K666,"「性別」","")&amp;IF(L666,"「役職」","")&amp;IF(OR(H666,K666,L666),入力リスト!$K$32,"")))))</f>
        <v/>
      </c>
      <c r="G666" s="298" t="b">
        <f>COUNTIF($A$4:A665,$A666)&gt;0</f>
        <v>0</v>
      </c>
      <c r="H666" s="298" t="b">
        <f>IF($H$1,FALSE,COUNTIF(入力シート!$S$37:$V$62,B666)=0)</f>
        <v>0</v>
      </c>
      <c r="I666" s="298" t="b">
        <f t="shared" si="21"/>
        <v>0</v>
      </c>
      <c r="J666" s="298" t="b">
        <f>IF($J$1,FALSE,IF(I666=TRUE,FALSE,IF(I666,FALSE,C666&gt;入力シート!$J$24)))</f>
        <v>0</v>
      </c>
      <c r="K666" s="298" t="b">
        <f>IF($K$1,FALSE,COUNTIF(入力シート!$AW$37:$BB$38,D666)=0)</f>
        <v>0</v>
      </c>
      <c r="L666" s="298" t="b">
        <f>IF($L$1,FALSE,IF($L$3,FALSE,IF(E666="",FALSE,COUNTIF(入力シート!$AH$37:$AK$62,E666)=0)))</f>
        <v>0</v>
      </c>
      <c r="M666" s="298" t="str">
        <f t="shared" si="22"/>
        <v/>
      </c>
      <c r="N666" s="298" t="str">
        <f>IF(G666,"この従業員番号は、すでに他のセルで入力されています。",IF(入力シート!$C$5=入力リスト!$C$4,"",IF(AND(A666="",B666="",C666="",D666="",E666=""),"",IF(OR(A666="",B666="",C666="",D666=""),IF(A666="","従業員番号","")&amp;IF(AND(A666="",OR(B666="",C666="",D666="")),",","")&amp;IF(B666="","雇用形態","")&amp;IF(AND(B666="",OR(C666="",D666="")),",","")&amp;IF(OR(入力シート!$J$18=入力リスト!$H$9,入力シート!$J$22=入力リスト!$H$9),IF(C666="","入社年月日",""),"")&amp;IF(AND(C666="",D666=""),",","")&amp;IF(D666="","性別","")&amp;IF(IF(A666="","従業員番号","")&amp;IF(B666="","雇用形態","")&amp;IF(OR(入力シート!$J$18=入力リスト!$H$9,入力シート!$J$22=入力リスト!$H$9),IF(C666="","入社年月日",""),"")&amp;IF(D666="","性別","")="","","が空白です。"),IF(J666,"入社年月日に「基準日」の翌日以降の日付が入力されています。","")&amp;IF(I666,"入社年月日に数値以外（又は1900/1/1以前の日付）が入力されています。","")&amp;IF(H666,"雇用形態"&amp;IF(OR(K666,L666),",",""),"")&amp;IF(K666,"性別"&amp;IF(L666,",",""),"")&amp;IF(L666,"役職","")&amp;IF(OR(H666,K666,L666),"に、［入力シート］(4)「貴社」欄と異なる文言が入力されています。","")))))</f>
        <v/>
      </c>
      <c r="O666" s="298" t="str">
        <f>IF(B666="","",VLOOKUP('従業員情報(給与以外)'!$B666,入力シート!$S$37:$Z$62,5,0))</f>
        <v/>
      </c>
      <c r="P666" s="298" t="str">
        <f>IF(ISNUMBER(C666)=FALSE,"",IF(C666&gt;入力シート!$J$24,"",_xlfn.DAYS(入力シート!$J$24,'従業員情報(給与以外)'!$C666)/365))</f>
        <v/>
      </c>
      <c r="Q666" s="298" t="str">
        <f>IF(P666="","",VLOOKUP(_xlfn.DAYS(入力シート!$J$24,'従業員情報(給与以外)'!$C666)/365,入力リスト!$K$18:$L$26,2,2))</f>
        <v/>
      </c>
      <c r="R666" s="298" t="str">
        <f>IF(D666="","",VLOOKUP('従業員情報(給与以外)'!$D666,入力シート!$AW$37:$BB$38,4,0))</f>
        <v/>
      </c>
      <c r="S666" s="298" t="str">
        <f>IF(A666="","",IF(E666="","非役職",VLOOKUP('従業員情報(給与以外)'!$E666,入力シート!$AH$37:$AO$62,5,0)))</f>
        <v/>
      </c>
      <c r="T666" s="299" t="str">
        <f>IF(OR(入力シート!$C$5&lt;&gt;入力リスト!$C$3,COUNTIF(入力シート!$J$16:$S$23,入力リスト!$H$9)=0),"",IF($A666="","",IF(ISERROR(AVERAGEIF(従業員の給与情報!$B:$B,$A666,従業員の給与情報!$C:$C)),0,IF(ISERROR(AVERAGEIF(従業員の給与情報!$B:$B,$A666,従業員の給与情報!$C:$C)),0,AVERAGEIF(従業員の給与情報!$B:$B,$A666,従業員の給与情報!$C:$C)))))</f>
        <v/>
      </c>
      <c r="U666" s="299" t="str">
        <f>IF(OR(入力シート!$C$5&lt;&gt;入力リスト!$C$3,COUNTIF(入力シート!$J$16:$S$23,入力リスト!$H$9)=0),"",IF(A666="","",IF(ISERROR(AVERAGEIF(従業員の給与情報!$B:$B,$A666,従業員の給与情報!$D:$D)),0,IF(ISERROR(AVERAGEIF(従業員の給与情報!$B:$B,$A666,従業員の給与情報!$D:$D)),0,AVERAGEIF(従業員の給与情報!$B:$B,$A666,従業員の給与情報!$D:$D)))))</f>
        <v/>
      </c>
      <c r="V666" s="299" t="str">
        <f>IF(OR(入力シート!$C$5&lt;&gt;入力リスト!$C$3,COUNTIF(入力シート!$J$16:$S$23,入力リスト!$H$9)=0),"",IF(A666="","",IF(ISERROR(AVERAGEIF(従業員の給与情報!$B:$B,$A666,従業員の給与情報!$E:$E)),0,IF(ISERROR(AVERAGEIF(従業員の給与情報!$B:$B,$A666,従業員の給与情報!$E:$E)),0,AVERAGEIF(従業員の給与情報!$B:$B,$A666,従業員の給与情報!$E:$E)))))</f>
        <v/>
      </c>
      <c r="W666" s="299" t="str">
        <f>IF(OR(入力シート!$C$5&lt;&gt;入力リスト!$C$3,COUNTIF(入力シート!$J$16:$S$23,入力リスト!$H$9)=0),"",IF(A666="","",IF(ISERROR(AVERAGEIF(従業員の給与情報!$B:$B,$A666,従業員の給与情報!$F:$F)),0,IF(ISERROR(AVERAGEIF(従業員の給与情報!$B:$B,$A666,従業員の給与情報!$F:$F)),0,AVERAGEIF(従業員の給与情報!$B:$B,$A666,従業員の給与情報!$F:$F)))))</f>
        <v/>
      </c>
      <c r="X666" s="581" t="s">
        <v>5405</v>
      </c>
    </row>
    <row r="667" spans="6:24">
      <c r="F667" s="297" t="str">
        <f>IF($G$1,"",IF(COUNTIF(A667:E667,"")=5,"",IF(G667,入力リスト!$K$28,IF(OR(A667="",B667="",IF(COUNTIF($C$3,"*不要*"),"",C667=""),D667=""),IF(A667="","従業員番号","")&amp;IF(B667="","「雇用形態」","")&amp;IF(OR(入力シート!$J$18=入力リスト!$H$9,入力シート!$J$22=入力リスト!$H$9),IF(C667="","「入社年月日」",""),"")&amp;IF(D667="","「性別」","")&amp;IF(IF(A667="","従業員番号","")&amp;IF(B667="","「雇用形態」","")&amp;IF(OR(入力シート!$J$18=入力リスト!$H$9,入力シート!$J$22=入力リスト!$H$9),IF(C667="","「入社年月日」",""),"")&amp;IF(D667="","「性別」","")="","",入力リスト!$K$29),IF(J667,入力リスト!$K$30,"")&amp;IF(I667,入力リスト!$K$31,"")&amp;IF(H667,"「雇用形態」","")&amp;IF(K667,"「性別」","")&amp;IF(L667,"「役職」","")&amp;IF(OR(H667,K667,L667),入力リスト!$K$32,"")))))</f>
        <v/>
      </c>
      <c r="G667" s="298" t="b">
        <f>COUNTIF($A$4:A666,$A667)&gt;0</f>
        <v>0</v>
      </c>
      <c r="H667" s="298" t="b">
        <f>IF($H$1,FALSE,COUNTIF(入力シート!$S$37:$V$62,B667)=0)</f>
        <v>0</v>
      </c>
      <c r="I667" s="298" t="b">
        <f t="shared" si="21"/>
        <v>0</v>
      </c>
      <c r="J667" s="298" t="b">
        <f>IF($J$1,FALSE,IF(I667=TRUE,FALSE,IF(I667,FALSE,C667&gt;入力シート!$J$24)))</f>
        <v>0</v>
      </c>
      <c r="K667" s="298" t="b">
        <f>IF($K$1,FALSE,COUNTIF(入力シート!$AW$37:$BB$38,D667)=0)</f>
        <v>0</v>
      </c>
      <c r="L667" s="298" t="b">
        <f>IF($L$1,FALSE,IF($L$3,FALSE,IF(E667="",FALSE,COUNTIF(入力シート!$AH$37:$AK$62,E667)=0)))</f>
        <v>0</v>
      </c>
      <c r="M667" s="298" t="str">
        <f t="shared" si="22"/>
        <v/>
      </c>
      <c r="N667" s="298" t="str">
        <f>IF(G667,"この従業員番号は、すでに他のセルで入力されています。",IF(入力シート!$C$5=入力リスト!$C$4,"",IF(AND(A667="",B667="",C667="",D667="",E667=""),"",IF(OR(A667="",B667="",C667="",D667=""),IF(A667="","従業員番号","")&amp;IF(AND(A667="",OR(B667="",C667="",D667="")),",","")&amp;IF(B667="","雇用形態","")&amp;IF(AND(B667="",OR(C667="",D667="")),",","")&amp;IF(OR(入力シート!$J$18=入力リスト!$H$9,入力シート!$J$22=入力リスト!$H$9),IF(C667="","入社年月日",""),"")&amp;IF(AND(C667="",D667=""),",","")&amp;IF(D667="","性別","")&amp;IF(IF(A667="","従業員番号","")&amp;IF(B667="","雇用形態","")&amp;IF(OR(入力シート!$J$18=入力リスト!$H$9,入力シート!$J$22=入力リスト!$H$9),IF(C667="","入社年月日",""),"")&amp;IF(D667="","性別","")="","","が空白です。"),IF(J667,"入社年月日に「基準日」の翌日以降の日付が入力されています。","")&amp;IF(I667,"入社年月日に数値以外（又は1900/1/1以前の日付）が入力されています。","")&amp;IF(H667,"雇用形態"&amp;IF(OR(K667,L667),",",""),"")&amp;IF(K667,"性別"&amp;IF(L667,",",""),"")&amp;IF(L667,"役職","")&amp;IF(OR(H667,K667,L667),"に、［入力シート］(4)「貴社」欄と異なる文言が入力されています。","")))))</f>
        <v/>
      </c>
      <c r="O667" s="298" t="str">
        <f>IF(B667="","",VLOOKUP('従業員情報(給与以外)'!$B667,入力シート!$S$37:$Z$62,5,0))</f>
        <v/>
      </c>
      <c r="P667" s="298" t="str">
        <f>IF(ISNUMBER(C667)=FALSE,"",IF(C667&gt;入力シート!$J$24,"",_xlfn.DAYS(入力シート!$J$24,'従業員情報(給与以外)'!$C667)/365))</f>
        <v/>
      </c>
      <c r="Q667" s="298" t="str">
        <f>IF(P667="","",VLOOKUP(_xlfn.DAYS(入力シート!$J$24,'従業員情報(給与以外)'!$C667)/365,入力リスト!$K$18:$L$26,2,2))</f>
        <v/>
      </c>
      <c r="R667" s="298" t="str">
        <f>IF(D667="","",VLOOKUP('従業員情報(給与以外)'!$D667,入力シート!$AW$37:$BB$38,4,0))</f>
        <v/>
      </c>
      <c r="S667" s="298" t="str">
        <f>IF(A667="","",IF(E667="","非役職",VLOOKUP('従業員情報(給与以外)'!$E667,入力シート!$AH$37:$AO$62,5,0)))</f>
        <v/>
      </c>
      <c r="T667" s="299" t="str">
        <f>IF(OR(入力シート!$C$5&lt;&gt;入力リスト!$C$3,COUNTIF(入力シート!$J$16:$S$23,入力リスト!$H$9)=0),"",IF($A667="","",IF(ISERROR(AVERAGEIF(従業員の給与情報!$B:$B,$A667,従業員の給与情報!$C:$C)),0,IF(ISERROR(AVERAGEIF(従業員の給与情報!$B:$B,$A667,従業員の給与情報!$C:$C)),0,AVERAGEIF(従業員の給与情報!$B:$B,$A667,従業員の給与情報!$C:$C)))))</f>
        <v/>
      </c>
      <c r="U667" s="299" t="str">
        <f>IF(OR(入力シート!$C$5&lt;&gt;入力リスト!$C$3,COUNTIF(入力シート!$J$16:$S$23,入力リスト!$H$9)=0),"",IF(A667="","",IF(ISERROR(AVERAGEIF(従業員の給与情報!$B:$B,$A667,従業員の給与情報!$D:$D)),0,IF(ISERROR(AVERAGEIF(従業員の給与情報!$B:$B,$A667,従業員の給与情報!$D:$D)),0,AVERAGEIF(従業員の給与情報!$B:$B,$A667,従業員の給与情報!$D:$D)))))</f>
        <v/>
      </c>
      <c r="V667" s="299" t="str">
        <f>IF(OR(入力シート!$C$5&lt;&gt;入力リスト!$C$3,COUNTIF(入力シート!$J$16:$S$23,入力リスト!$H$9)=0),"",IF(A667="","",IF(ISERROR(AVERAGEIF(従業員の給与情報!$B:$B,$A667,従業員の給与情報!$E:$E)),0,IF(ISERROR(AVERAGEIF(従業員の給与情報!$B:$B,$A667,従業員の給与情報!$E:$E)),0,AVERAGEIF(従業員の給与情報!$B:$B,$A667,従業員の給与情報!$E:$E)))))</f>
        <v/>
      </c>
      <c r="W667" s="299" t="str">
        <f>IF(OR(入力シート!$C$5&lt;&gt;入力リスト!$C$3,COUNTIF(入力シート!$J$16:$S$23,入力リスト!$H$9)=0),"",IF(A667="","",IF(ISERROR(AVERAGEIF(従業員の給与情報!$B:$B,$A667,従業員の給与情報!$F:$F)),0,IF(ISERROR(AVERAGEIF(従業員の給与情報!$B:$B,$A667,従業員の給与情報!$F:$F)),0,AVERAGEIF(従業員の給与情報!$B:$B,$A667,従業員の給与情報!$F:$F)))))</f>
        <v/>
      </c>
      <c r="X667" s="581" t="s">
        <v>5406</v>
      </c>
    </row>
    <row r="668" spans="6:24">
      <c r="F668" s="297" t="str">
        <f>IF($G$1,"",IF(COUNTIF(A668:E668,"")=5,"",IF(G668,入力リスト!$K$28,IF(OR(A668="",B668="",IF(COUNTIF($C$3,"*不要*"),"",C668=""),D668=""),IF(A668="","従業員番号","")&amp;IF(B668="","「雇用形態」","")&amp;IF(OR(入力シート!$J$18=入力リスト!$H$9,入力シート!$J$22=入力リスト!$H$9),IF(C668="","「入社年月日」",""),"")&amp;IF(D668="","「性別」","")&amp;IF(IF(A668="","従業員番号","")&amp;IF(B668="","「雇用形態」","")&amp;IF(OR(入力シート!$J$18=入力リスト!$H$9,入力シート!$J$22=入力リスト!$H$9),IF(C668="","「入社年月日」",""),"")&amp;IF(D668="","「性別」","")="","",入力リスト!$K$29),IF(J668,入力リスト!$K$30,"")&amp;IF(I668,入力リスト!$K$31,"")&amp;IF(H668,"「雇用形態」","")&amp;IF(K668,"「性別」","")&amp;IF(L668,"「役職」","")&amp;IF(OR(H668,K668,L668),入力リスト!$K$32,"")))))</f>
        <v/>
      </c>
      <c r="G668" s="298" t="b">
        <f>COUNTIF($A$4:A667,$A668)&gt;0</f>
        <v>0</v>
      </c>
      <c r="H668" s="298" t="b">
        <f>IF($H$1,FALSE,COUNTIF(入力シート!$S$37:$V$62,B668)=0)</f>
        <v>0</v>
      </c>
      <c r="I668" s="298" t="b">
        <f t="shared" si="21"/>
        <v>0</v>
      </c>
      <c r="J668" s="298" t="b">
        <f>IF($J$1,FALSE,IF(I668=TRUE,FALSE,IF(I668,FALSE,C668&gt;入力シート!$J$24)))</f>
        <v>0</v>
      </c>
      <c r="K668" s="298" t="b">
        <f>IF($K$1,FALSE,COUNTIF(入力シート!$AW$37:$BB$38,D668)=0)</f>
        <v>0</v>
      </c>
      <c r="L668" s="298" t="b">
        <f>IF($L$1,FALSE,IF($L$3,FALSE,IF(E668="",FALSE,COUNTIF(入力シート!$AH$37:$AK$62,E668)=0)))</f>
        <v>0</v>
      </c>
      <c r="M668" s="298" t="str">
        <f t="shared" si="22"/>
        <v/>
      </c>
      <c r="N668" s="298" t="str">
        <f>IF(G668,"この従業員番号は、すでに他のセルで入力されています。",IF(入力シート!$C$5=入力リスト!$C$4,"",IF(AND(A668="",B668="",C668="",D668="",E668=""),"",IF(OR(A668="",B668="",C668="",D668=""),IF(A668="","従業員番号","")&amp;IF(AND(A668="",OR(B668="",C668="",D668="")),",","")&amp;IF(B668="","雇用形態","")&amp;IF(AND(B668="",OR(C668="",D668="")),",","")&amp;IF(OR(入力シート!$J$18=入力リスト!$H$9,入力シート!$J$22=入力リスト!$H$9),IF(C668="","入社年月日",""),"")&amp;IF(AND(C668="",D668=""),",","")&amp;IF(D668="","性別","")&amp;IF(IF(A668="","従業員番号","")&amp;IF(B668="","雇用形態","")&amp;IF(OR(入力シート!$J$18=入力リスト!$H$9,入力シート!$J$22=入力リスト!$H$9),IF(C668="","入社年月日",""),"")&amp;IF(D668="","性別","")="","","が空白です。"),IF(J668,"入社年月日に「基準日」の翌日以降の日付が入力されています。","")&amp;IF(I668,"入社年月日に数値以外（又は1900/1/1以前の日付）が入力されています。","")&amp;IF(H668,"雇用形態"&amp;IF(OR(K668,L668),",",""),"")&amp;IF(K668,"性別"&amp;IF(L668,",",""),"")&amp;IF(L668,"役職","")&amp;IF(OR(H668,K668,L668),"に、［入力シート］(4)「貴社」欄と異なる文言が入力されています。","")))))</f>
        <v/>
      </c>
      <c r="O668" s="298" t="str">
        <f>IF(B668="","",VLOOKUP('従業員情報(給与以外)'!$B668,入力シート!$S$37:$Z$62,5,0))</f>
        <v/>
      </c>
      <c r="P668" s="298" t="str">
        <f>IF(ISNUMBER(C668)=FALSE,"",IF(C668&gt;入力シート!$J$24,"",_xlfn.DAYS(入力シート!$J$24,'従業員情報(給与以外)'!$C668)/365))</f>
        <v/>
      </c>
      <c r="Q668" s="298" t="str">
        <f>IF(P668="","",VLOOKUP(_xlfn.DAYS(入力シート!$J$24,'従業員情報(給与以外)'!$C668)/365,入力リスト!$K$18:$L$26,2,2))</f>
        <v/>
      </c>
      <c r="R668" s="298" t="str">
        <f>IF(D668="","",VLOOKUP('従業員情報(給与以外)'!$D668,入力シート!$AW$37:$BB$38,4,0))</f>
        <v/>
      </c>
      <c r="S668" s="298" t="str">
        <f>IF(A668="","",IF(E668="","非役職",VLOOKUP('従業員情報(給与以外)'!$E668,入力シート!$AH$37:$AO$62,5,0)))</f>
        <v/>
      </c>
      <c r="T668" s="299" t="str">
        <f>IF(OR(入力シート!$C$5&lt;&gt;入力リスト!$C$3,COUNTIF(入力シート!$J$16:$S$23,入力リスト!$H$9)=0),"",IF($A668="","",IF(ISERROR(AVERAGEIF(従業員の給与情報!$B:$B,$A668,従業員の給与情報!$C:$C)),0,IF(ISERROR(AVERAGEIF(従業員の給与情報!$B:$B,$A668,従業員の給与情報!$C:$C)),0,AVERAGEIF(従業員の給与情報!$B:$B,$A668,従業員の給与情報!$C:$C)))))</f>
        <v/>
      </c>
      <c r="U668" s="299" t="str">
        <f>IF(OR(入力シート!$C$5&lt;&gt;入力リスト!$C$3,COUNTIF(入力シート!$J$16:$S$23,入力リスト!$H$9)=0),"",IF(A668="","",IF(ISERROR(AVERAGEIF(従業員の給与情報!$B:$B,$A668,従業員の給与情報!$D:$D)),0,IF(ISERROR(AVERAGEIF(従業員の給与情報!$B:$B,$A668,従業員の給与情報!$D:$D)),0,AVERAGEIF(従業員の給与情報!$B:$B,$A668,従業員の給与情報!$D:$D)))))</f>
        <v/>
      </c>
      <c r="V668" s="299" t="str">
        <f>IF(OR(入力シート!$C$5&lt;&gt;入力リスト!$C$3,COUNTIF(入力シート!$J$16:$S$23,入力リスト!$H$9)=0),"",IF(A668="","",IF(ISERROR(AVERAGEIF(従業員の給与情報!$B:$B,$A668,従業員の給与情報!$E:$E)),0,IF(ISERROR(AVERAGEIF(従業員の給与情報!$B:$B,$A668,従業員の給与情報!$E:$E)),0,AVERAGEIF(従業員の給与情報!$B:$B,$A668,従業員の給与情報!$E:$E)))))</f>
        <v/>
      </c>
      <c r="W668" s="299" t="str">
        <f>IF(OR(入力シート!$C$5&lt;&gt;入力リスト!$C$3,COUNTIF(入力シート!$J$16:$S$23,入力リスト!$H$9)=0),"",IF(A668="","",IF(ISERROR(AVERAGEIF(従業員の給与情報!$B:$B,$A668,従業員の給与情報!$F:$F)),0,IF(ISERROR(AVERAGEIF(従業員の給与情報!$B:$B,$A668,従業員の給与情報!$F:$F)),0,AVERAGEIF(従業員の給与情報!$B:$B,$A668,従業員の給与情報!$F:$F)))))</f>
        <v/>
      </c>
      <c r="X668" s="581" t="s">
        <v>5407</v>
      </c>
    </row>
    <row r="669" spans="6:24">
      <c r="F669" s="297" t="str">
        <f>IF($G$1,"",IF(COUNTIF(A669:E669,"")=5,"",IF(G669,入力リスト!$K$28,IF(OR(A669="",B669="",IF(COUNTIF($C$3,"*不要*"),"",C669=""),D669=""),IF(A669="","従業員番号","")&amp;IF(B669="","「雇用形態」","")&amp;IF(OR(入力シート!$J$18=入力リスト!$H$9,入力シート!$J$22=入力リスト!$H$9),IF(C669="","「入社年月日」",""),"")&amp;IF(D669="","「性別」","")&amp;IF(IF(A669="","従業員番号","")&amp;IF(B669="","「雇用形態」","")&amp;IF(OR(入力シート!$J$18=入力リスト!$H$9,入力シート!$J$22=入力リスト!$H$9),IF(C669="","「入社年月日」",""),"")&amp;IF(D669="","「性別」","")="","",入力リスト!$K$29),IF(J669,入力リスト!$K$30,"")&amp;IF(I669,入力リスト!$K$31,"")&amp;IF(H669,"「雇用形態」","")&amp;IF(K669,"「性別」","")&amp;IF(L669,"「役職」","")&amp;IF(OR(H669,K669,L669),入力リスト!$K$32,"")))))</f>
        <v/>
      </c>
      <c r="G669" s="298" t="b">
        <f>COUNTIF($A$4:A668,$A669)&gt;0</f>
        <v>0</v>
      </c>
      <c r="H669" s="298" t="b">
        <f>IF($H$1,FALSE,COUNTIF(入力シート!$S$37:$V$62,B669)=0)</f>
        <v>0</v>
      </c>
      <c r="I669" s="298" t="b">
        <f t="shared" si="21"/>
        <v>0</v>
      </c>
      <c r="J669" s="298" t="b">
        <f>IF($J$1,FALSE,IF(I669=TRUE,FALSE,IF(I669,FALSE,C669&gt;入力シート!$J$24)))</f>
        <v>0</v>
      </c>
      <c r="K669" s="298" t="b">
        <f>IF($K$1,FALSE,COUNTIF(入力シート!$AW$37:$BB$38,D669)=0)</f>
        <v>0</v>
      </c>
      <c r="L669" s="298" t="b">
        <f>IF($L$1,FALSE,IF($L$3,FALSE,IF(E669="",FALSE,COUNTIF(入力シート!$AH$37:$AK$62,E669)=0)))</f>
        <v>0</v>
      </c>
      <c r="M669" s="298" t="str">
        <f t="shared" si="22"/>
        <v/>
      </c>
      <c r="N669" s="298" t="str">
        <f>IF(G669,"この従業員番号は、すでに他のセルで入力されています。",IF(入力シート!$C$5=入力リスト!$C$4,"",IF(AND(A669="",B669="",C669="",D669="",E669=""),"",IF(OR(A669="",B669="",C669="",D669=""),IF(A669="","従業員番号","")&amp;IF(AND(A669="",OR(B669="",C669="",D669="")),",","")&amp;IF(B669="","雇用形態","")&amp;IF(AND(B669="",OR(C669="",D669="")),",","")&amp;IF(OR(入力シート!$J$18=入力リスト!$H$9,入力シート!$J$22=入力リスト!$H$9),IF(C669="","入社年月日",""),"")&amp;IF(AND(C669="",D669=""),",","")&amp;IF(D669="","性別","")&amp;IF(IF(A669="","従業員番号","")&amp;IF(B669="","雇用形態","")&amp;IF(OR(入力シート!$J$18=入力リスト!$H$9,入力シート!$J$22=入力リスト!$H$9),IF(C669="","入社年月日",""),"")&amp;IF(D669="","性別","")="","","が空白です。"),IF(J669,"入社年月日に「基準日」の翌日以降の日付が入力されています。","")&amp;IF(I669,"入社年月日に数値以外（又は1900/1/1以前の日付）が入力されています。","")&amp;IF(H669,"雇用形態"&amp;IF(OR(K669,L669),",",""),"")&amp;IF(K669,"性別"&amp;IF(L669,",",""),"")&amp;IF(L669,"役職","")&amp;IF(OR(H669,K669,L669),"に、［入力シート］(4)「貴社」欄と異なる文言が入力されています。","")))))</f>
        <v/>
      </c>
      <c r="O669" s="298" t="str">
        <f>IF(B669="","",VLOOKUP('従業員情報(給与以外)'!$B669,入力シート!$S$37:$Z$62,5,0))</f>
        <v/>
      </c>
      <c r="P669" s="298" t="str">
        <f>IF(ISNUMBER(C669)=FALSE,"",IF(C669&gt;入力シート!$J$24,"",_xlfn.DAYS(入力シート!$J$24,'従業員情報(給与以外)'!$C669)/365))</f>
        <v/>
      </c>
      <c r="Q669" s="298" t="str">
        <f>IF(P669="","",VLOOKUP(_xlfn.DAYS(入力シート!$J$24,'従業員情報(給与以外)'!$C669)/365,入力リスト!$K$18:$L$26,2,2))</f>
        <v/>
      </c>
      <c r="R669" s="298" t="str">
        <f>IF(D669="","",VLOOKUP('従業員情報(給与以外)'!$D669,入力シート!$AW$37:$BB$38,4,0))</f>
        <v/>
      </c>
      <c r="S669" s="298" t="str">
        <f>IF(A669="","",IF(E669="","非役職",VLOOKUP('従業員情報(給与以外)'!$E669,入力シート!$AH$37:$AO$62,5,0)))</f>
        <v/>
      </c>
      <c r="T669" s="299" t="str">
        <f>IF(OR(入力シート!$C$5&lt;&gt;入力リスト!$C$3,COUNTIF(入力シート!$J$16:$S$23,入力リスト!$H$9)=0),"",IF($A669="","",IF(ISERROR(AVERAGEIF(従業員の給与情報!$B:$B,$A669,従業員の給与情報!$C:$C)),0,IF(ISERROR(AVERAGEIF(従業員の給与情報!$B:$B,$A669,従業員の給与情報!$C:$C)),0,AVERAGEIF(従業員の給与情報!$B:$B,$A669,従業員の給与情報!$C:$C)))))</f>
        <v/>
      </c>
      <c r="U669" s="299" t="str">
        <f>IF(OR(入力シート!$C$5&lt;&gt;入力リスト!$C$3,COUNTIF(入力シート!$J$16:$S$23,入力リスト!$H$9)=0),"",IF(A669="","",IF(ISERROR(AVERAGEIF(従業員の給与情報!$B:$B,$A669,従業員の給与情報!$D:$D)),0,IF(ISERROR(AVERAGEIF(従業員の給与情報!$B:$B,$A669,従業員の給与情報!$D:$D)),0,AVERAGEIF(従業員の給与情報!$B:$B,$A669,従業員の給与情報!$D:$D)))))</f>
        <v/>
      </c>
      <c r="V669" s="299" t="str">
        <f>IF(OR(入力シート!$C$5&lt;&gt;入力リスト!$C$3,COUNTIF(入力シート!$J$16:$S$23,入力リスト!$H$9)=0),"",IF(A669="","",IF(ISERROR(AVERAGEIF(従業員の給与情報!$B:$B,$A669,従業員の給与情報!$E:$E)),0,IF(ISERROR(AVERAGEIF(従業員の給与情報!$B:$B,$A669,従業員の給与情報!$E:$E)),0,AVERAGEIF(従業員の給与情報!$B:$B,$A669,従業員の給与情報!$E:$E)))))</f>
        <v/>
      </c>
      <c r="W669" s="299" t="str">
        <f>IF(OR(入力シート!$C$5&lt;&gt;入力リスト!$C$3,COUNTIF(入力シート!$J$16:$S$23,入力リスト!$H$9)=0),"",IF(A669="","",IF(ISERROR(AVERAGEIF(従業員の給与情報!$B:$B,$A669,従業員の給与情報!$F:$F)),0,IF(ISERROR(AVERAGEIF(従業員の給与情報!$B:$B,$A669,従業員の給与情報!$F:$F)),0,AVERAGEIF(従業員の給与情報!$B:$B,$A669,従業員の給与情報!$F:$F)))))</f>
        <v/>
      </c>
      <c r="X669" s="581" t="s">
        <v>5408</v>
      </c>
    </row>
    <row r="670" spans="6:24">
      <c r="F670" s="297" t="str">
        <f>IF($G$1,"",IF(COUNTIF(A670:E670,"")=5,"",IF(G670,入力リスト!$K$28,IF(OR(A670="",B670="",IF(COUNTIF($C$3,"*不要*"),"",C670=""),D670=""),IF(A670="","従業員番号","")&amp;IF(B670="","「雇用形態」","")&amp;IF(OR(入力シート!$J$18=入力リスト!$H$9,入力シート!$J$22=入力リスト!$H$9),IF(C670="","「入社年月日」",""),"")&amp;IF(D670="","「性別」","")&amp;IF(IF(A670="","従業員番号","")&amp;IF(B670="","「雇用形態」","")&amp;IF(OR(入力シート!$J$18=入力リスト!$H$9,入力シート!$J$22=入力リスト!$H$9),IF(C670="","「入社年月日」",""),"")&amp;IF(D670="","「性別」","")="","",入力リスト!$K$29),IF(J670,入力リスト!$K$30,"")&amp;IF(I670,入力リスト!$K$31,"")&amp;IF(H670,"「雇用形態」","")&amp;IF(K670,"「性別」","")&amp;IF(L670,"「役職」","")&amp;IF(OR(H670,K670,L670),入力リスト!$K$32,"")))))</f>
        <v/>
      </c>
      <c r="G670" s="298" t="b">
        <f>COUNTIF($A$4:A669,$A670)&gt;0</f>
        <v>0</v>
      </c>
      <c r="H670" s="298" t="b">
        <f>IF($H$1,FALSE,COUNTIF(入力シート!$S$37:$V$62,B670)=0)</f>
        <v>0</v>
      </c>
      <c r="I670" s="298" t="b">
        <f t="shared" si="21"/>
        <v>0</v>
      </c>
      <c r="J670" s="298" t="b">
        <f>IF($J$1,FALSE,IF(I670=TRUE,FALSE,IF(I670,FALSE,C670&gt;入力シート!$J$24)))</f>
        <v>0</v>
      </c>
      <c r="K670" s="298" t="b">
        <f>IF($K$1,FALSE,COUNTIF(入力シート!$AW$37:$BB$38,D670)=0)</f>
        <v>0</v>
      </c>
      <c r="L670" s="298" t="b">
        <f>IF($L$1,FALSE,IF($L$3,FALSE,IF(E670="",FALSE,COUNTIF(入力シート!$AH$37:$AK$62,E670)=0)))</f>
        <v>0</v>
      </c>
      <c r="M670" s="298" t="str">
        <f t="shared" si="22"/>
        <v/>
      </c>
      <c r="N670" s="298" t="str">
        <f>IF(G670,"この従業員番号は、すでに他のセルで入力されています。",IF(入力シート!$C$5=入力リスト!$C$4,"",IF(AND(A670="",B670="",C670="",D670="",E670=""),"",IF(OR(A670="",B670="",C670="",D670=""),IF(A670="","従業員番号","")&amp;IF(AND(A670="",OR(B670="",C670="",D670="")),",","")&amp;IF(B670="","雇用形態","")&amp;IF(AND(B670="",OR(C670="",D670="")),",","")&amp;IF(OR(入力シート!$J$18=入力リスト!$H$9,入力シート!$J$22=入力リスト!$H$9),IF(C670="","入社年月日",""),"")&amp;IF(AND(C670="",D670=""),",","")&amp;IF(D670="","性別","")&amp;IF(IF(A670="","従業員番号","")&amp;IF(B670="","雇用形態","")&amp;IF(OR(入力シート!$J$18=入力リスト!$H$9,入力シート!$J$22=入力リスト!$H$9),IF(C670="","入社年月日",""),"")&amp;IF(D670="","性別","")="","","が空白です。"),IF(J670,"入社年月日に「基準日」の翌日以降の日付が入力されています。","")&amp;IF(I670,"入社年月日に数値以外（又は1900/1/1以前の日付）が入力されています。","")&amp;IF(H670,"雇用形態"&amp;IF(OR(K670,L670),",",""),"")&amp;IF(K670,"性別"&amp;IF(L670,",",""),"")&amp;IF(L670,"役職","")&amp;IF(OR(H670,K670,L670),"に、［入力シート］(4)「貴社」欄と異なる文言が入力されています。","")))))</f>
        <v/>
      </c>
      <c r="O670" s="298" t="str">
        <f>IF(B670="","",VLOOKUP('従業員情報(給与以外)'!$B670,入力シート!$S$37:$Z$62,5,0))</f>
        <v/>
      </c>
      <c r="P670" s="298" t="str">
        <f>IF(ISNUMBER(C670)=FALSE,"",IF(C670&gt;入力シート!$J$24,"",_xlfn.DAYS(入力シート!$J$24,'従業員情報(給与以外)'!$C670)/365))</f>
        <v/>
      </c>
      <c r="Q670" s="298" t="str">
        <f>IF(P670="","",VLOOKUP(_xlfn.DAYS(入力シート!$J$24,'従業員情報(給与以外)'!$C670)/365,入力リスト!$K$18:$L$26,2,2))</f>
        <v/>
      </c>
      <c r="R670" s="298" t="str">
        <f>IF(D670="","",VLOOKUP('従業員情報(給与以外)'!$D670,入力シート!$AW$37:$BB$38,4,0))</f>
        <v/>
      </c>
      <c r="S670" s="298" t="str">
        <f>IF(A670="","",IF(E670="","非役職",VLOOKUP('従業員情報(給与以外)'!$E670,入力シート!$AH$37:$AO$62,5,0)))</f>
        <v/>
      </c>
      <c r="T670" s="299" t="str">
        <f>IF(OR(入力シート!$C$5&lt;&gt;入力リスト!$C$3,COUNTIF(入力シート!$J$16:$S$23,入力リスト!$H$9)=0),"",IF($A670="","",IF(ISERROR(AVERAGEIF(従業員の給与情報!$B:$B,$A670,従業員の給与情報!$C:$C)),0,IF(ISERROR(AVERAGEIF(従業員の給与情報!$B:$B,$A670,従業員の給与情報!$C:$C)),0,AVERAGEIF(従業員の給与情報!$B:$B,$A670,従業員の給与情報!$C:$C)))))</f>
        <v/>
      </c>
      <c r="U670" s="299" t="str">
        <f>IF(OR(入力シート!$C$5&lt;&gt;入力リスト!$C$3,COUNTIF(入力シート!$J$16:$S$23,入力リスト!$H$9)=0),"",IF(A670="","",IF(ISERROR(AVERAGEIF(従業員の給与情報!$B:$B,$A670,従業員の給与情報!$D:$D)),0,IF(ISERROR(AVERAGEIF(従業員の給与情報!$B:$B,$A670,従業員の給与情報!$D:$D)),0,AVERAGEIF(従業員の給与情報!$B:$B,$A670,従業員の給与情報!$D:$D)))))</f>
        <v/>
      </c>
      <c r="V670" s="299" t="str">
        <f>IF(OR(入力シート!$C$5&lt;&gt;入力リスト!$C$3,COUNTIF(入力シート!$J$16:$S$23,入力リスト!$H$9)=0),"",IF(A670="","",IF(ISERROR(AVERAGEIF(従業員の給与情報!$B:$B,$A670,従業員の給与情報!$E:$E)),0,IF(ISERROR(AVERAGEIF(従業員の給与情報!$B:$B,$A670,従業員の給与情報!$E:$E)),0,AVERAGEIF(従業員の給与情報!$B:$B,$A670,従業員の給与情報!$E:$E)))))</f>
        <v/>
      </c>
      <c r="W670" s="299" t="str">
        <f>IF(OR(入力シート!$C$5&lt;&gt;入力リスト!$C$3,COUNTIF(入力シート!$J$16:$S$23,入力リスト!$H$9)=0),"",IF(A670="","",IF(ISERROR(AVERAGEIF(従業員の給与情報!$B:$B,$A670,従業員の給与情報!$F:$F)),0,IF(ISERROR(AVERAGEIF(従業員の給与情報!$B:$B,$A670,従業員の給与情報!$F:$F)),0,AVERAGEIF(従業員の給与情報!$B:$B,$A670,従業員の給与情報!$F:$F)))))</f>
        <v/>
      </c>
      <c r="X670" s="581" t="s">
        <v>5409</v>
      </c>
    </row>
    <row r="671" spans="6:24">
      <c r="F671" s="297" t="str">
        <f>IF($G$1,"",IF(COUNTIF(A671:E671,"")=5,"",IF(G671,入力リスト!$K$28,IF(OR(A671="",B671="",IF(COUNTIF($C$3,"*不要*"),"",C671=""),D671=""),IF(A671="","従業員番号","")&amp;IF(B671="","「雇用形態」","")&amp;IF(OR(入力シート!$J$18=入力リスト!$H$9,入力シート!$J$22=入力リスト!$H$9),IF(C671="","「入社年月日」",""),"")&amp;IF(D671="","「性別」","")&amp;IF(IF(A671="","従業員番号","")&amp;IF(B671="","「雇用形態」","")&amp;IF(OR(入力シート!$J$18=入力リスト!$H$9,入力シート!$J$22=入力リスト!$H$9),IF(C671="","「入社年月日」",""),"")&amp;IF(D671="","「性別」","")="","",入力リスト!$K$29),IF(J671,入力リスト!$K$30,"")&amp;IF(I671,入力リスト!$K$31,"")&amp;IF(H671,"「雇用形態」","")&amp;IF(K671,"「性別」","")&amp;IF(L671,"「役職」","")&amp;IF(OR(H671,K671,L671),入力リスト!$K$32,"")))))</f>
        <v/>
      </c>
      <c r="G671" s="298" t="b">
        <f>COUNTIF($A$4:A670,$A671)&gt;0</f>
        <v>0</v>
      </c>
      <c r="H671" s="298" t="b">
        <f>IF($H$1,FALSE,COUNTIF(入力シート!$S$37:$V$62,B671)=0)</f>
        <v>0</v>
      </c>
      <c r="I671" s="298" t="b">
        <f t="shared" si="21"/>
        <v>0</v>
      </c>
      <c r="J671" s="298" t="b">
        <f>IF($J$1,FALSE,IF(I671=TRUE,FALSE,IF(I671,FALSE,C671&gt;入力シート!$J$24)))</f>
        <v>0</v>
      </c>
      <c r="K671" s="298" t="b">
        <f>IF($K$1,FALSE,COUNTIF(入力シート!$AW$37:$BB$38,D671)=0)</f>
        <v>0</v>
      </c>
      <c r="L671" s="298" t="b">
        <f>IF($L$1,FALSE,IF($L$3,FALSE,IF(E671="",FALSE,COUNTIF(入力シート!$AH$37:$AK$62,E671)=0)))</f>
        <v>0</v>
      </c>
      <c r="M671" s="298" t="str">
        <f t="shared" si="22"/>
        <v/>
      </c>
      <c r="N671" s="298" t="str">
        <f>IF(G671,"この従業員番号は、すでに他のセルで入力されています。",IF(入力シート!$C$5=入力リスト!$C$4,"",IF(AND(A671="",B671="",C671="",D671="",E671=""),"",IF(OR(A671="",B671="",C671="",D671=""),IF(A671="","従業員番号","")&amp;IF(AND(A671="",OR(B671="",C671="",D671="")),",","")&amp;IF(B671="","雇用形態","")&amp;IF(AND(B671="",OR(C671="",D671="")),",","")&amp;IF(OR(入力シート!$J$18=入力リスト!$H$9,入力シート!$J$22=入力リスト!$H$9),IF(C671="","入社年月日",""),"")&amp;IF(AND(C671="",D671=""),",","")&amp;IF(D671="","性別","")&amp;IF(IF(A671="","従業員番号","")&amp;IF(B671="","雇用形態","")&amp;IF(OR(入力シート!$J$18=入力リスト!$H$9,入力シート!$J$22=入力リスト!$H$9),IF(C671="","入社年月日",""),"")&amp;IF(D671="","性別","")="","","が空白です。"),IF(J671,"入社年月日に「基準日」の翌日以降の日付が入力されています。","")&amp;IF(I671,"入社年月日に数値以外（又は1900/1/1以前の日付）が入力されています。","")&amp;IF(H671,"雇用形態"&amp;IF(OR(K671,L671),",",""),"")&amp;IF(K671,"性別"&amp;IF(L671,",",""),"")&amp;IF(L671,"役職","")&amp;IF(OR(H671,K671,L671),"に、［入力シート］(4)「貴社」欄と異なる文言が入力されています。","")))))</f>
        <v/>
      </c>
      <c r="O671" s="298" t="str">
        <f>IF(B671="","",VLOOKUP('従業員情報(給与以外)'!$B671,入力シート!$S$37:$Z$62,5,0))</f>
        <v/>
      </c>
      <c r="P671" s="298" t="str">
        <f>IF(ISNUMBER(C671)=FALSE,"",IF(C671&gt;入力シート!$J$24,"",_xlfn.DAYS(入力シート!$J$24,'従業員情報(給与以外)'!$C671)/365))</f>
        <v/>
      </c>
      <c r="Q671" s="298" t="str">
        <f>IF(P671="","",VLOOKUP(_xlfn.DAYS(入力シート!$J$24,'従業員情報(給与以外)'!$C671)/365,入力リスト!$K$18:$L$26,2,2))</f>
        <v/>
      </c>
      <c r="R671" s="298" t="str">
        <f>IF(D671="","",VLOOKUP('従業員情報(給与以外)'!$D671,入力シート!$AW$37:$BB$38,4,0))</f>
        <v/>
      </c>
      <c r="S671" s="298" t="str">
        <f>IF(A671="","",IF(E671="","非役職",VLOOKUP('従業員情報(給与以外)'!$E671,入力シート!$AH$37:$AO$62,5,0)))</f>
        <v/>
      </c>
      <c r="T671" s="299" t="str">
        <f>IF(OR(入力シート!$C$5&lt;&gt;入力リスト!$C$3,COUNTIF(入力シート!$J$16:$S$23,入力リスト!$H$9)=0),"",IF($A671="","",IF(ISERROR(AVERAGEIF(従業員の給与情報!$B:$B,$A671,従業員の給与情報!$C:$C)),0,IF(ISERROR(AVERAGEIF(従業員の給与情報!$B:$B,$A671,従業員の給与情報!$C:$C)),0,AVERAGEIF(従業員の給与情報!$B:$B,$A671,従業員の給与情報!$C:$C)))))</f>
        <v/>
      </c>
      <c r="U671" s="299" t="str">
        <f>IF(OR(入力シート!$C$5&lt;&gt;入力リスト!$C$3,COUNTIF(入力シート!$J$16:$S$23,入力リスト!$H$9)=0),"",IF(A671="","",IF(ISERROR(AVERAGEIF(従業員の給与情報!$B:$B,$A671,従業員の給与情報!$D:$D)),0,IF(ISERROR(AVERAGEIF(従業員の給与情報!$B:$B,$A671,従業員の給与情報!$D:$D)),0,AVERAGEIF(従業員の給与情報!$B:$B,$A671,従業員の給与情報!$D:$D)))))</f>
        <v/>
      </c>
      <c r="V671" s="299" t="str">
        <f>IF(OR(入力シート!$C$5&lt;&gt;入力リスト!$C$3,COUNTIF(入力シート!$J$16:$S$23,入力リスト!$H$9)=0),"",IF(A671="","",IF(ISERROR(AVERAGEIF(従業員の給与情報!$B:$B,$A671,従業員の給与情報!$E:$E)),0,IF(ISERROR(AVERAGEIF(従業員の給与情報!$B:$B,$A671,従業員の給与情報!$E:$E)),0,AVERAGEIF(従業員の給与情報!$B:$B,$A671,従業員の給与情報!$E:$E)))))</f>
        <v/>
      </c>
      <c r="W671" s="299" t="str">
        <f>IF(OR(入力シート!$C$5&lt;&gt;入力リスト!$C$3,COUNTIF(入力シート!$J$16:$S$23,入力リスト!$H$9)=0),"",IF(A671="","",IF(ISERROR(AVERAGEIF(従業員の給与情報!$B:$B,$A671,従業員の給与情報!$F:$F)),0,IF(ISERROR(AVERAGEIF(従業員の給与情報!$B:$B,$A671,従業員の給与情報!$F:$F)),0,AVERAGEIF(従業員の給与情報!$B:$B,$A671,従業員の給与情報!$F:$F)))))</f>
        <v/>
      </c>
      <c r="X671" s="581" t="s">
        <v>5410</v>
      </c>
    </row>
    <row r="672" spans="6:24">
      <c r="F672" s="297" t="str">
        <f>IF($G$1,"",IF(COUNTIF(A672:E672,"")=5,"",IF(G672,入力リスト!$K$28,IF(OR(A672="",B672="",IF(COUNTIF($C$3,"*不要*"),"",C672=""),D672=""),IF(A672="","従業員番号","")&amp;IF(B672="","「雇用形態」","")&amp;IF(OR(入力シート!$J$18=入力リスト!$H$9,入力シート!$J$22=入力リスト!$H$9),IF(C672="","「入社年月日」",""),"")&amp;IF(D672="","「性別」","")&amp;IF(IF(A672="","従業員番号","")&amp;IF(B672="","「雇用形態」","")&amp;IF(OR(入力シート!$J$18=入力リスト!$H$9,入力シート!$J$22=入力リスト!$H$9),IF(C672="","「入社年月日」",""),"")&amp;IF(D672="","「性別」","")="","",入力リスト!$K$29),IF(J672,入力リスト!$K$30,"")&amp;IF(I672,入力リスト!$K$31,"")&amp;IF(H672,"「雇用形態」","")&amp;IF(K672,"「性別」","")&amp;IF(L672,"「役職」","")&amp;IF(OR(H672,K672,L672),入力リスト!$K$32,"")))))</f>
        <v/>
      </c>
      <c r="G672" s="298" t="b">
        <f>COUNTIF($A$4:A671,$A672)&gt;0</f>
        <v>0</v>
      </c>
      <c r="H672" s="298" t="b">
        <f>IF($H$1,FALSE,COUNTIF(入力シート!$S$37:$V$62,B672)=0)</f>
        <v>0</v>
      </c>
      <c r="I672" s="298" t="b">
        <f t="shared" si="21"/>
        <v>0</v>
      </c>
      <c r="J672" s="298" t="b">
        <f>IF($J$1,FALSE,IF(I672=TRUE,FALSE,IF(I672,FALSE,C672&gt;入力シート!$J$24)))</f>
        <v>0</v>
      </c>
      <c r="K672" s="298" t="b">
        <f>IF($K$1,FALSE,COUNTIF(入力シート!$AW$37:$BB$38,D672)=0)</f>
        <v>0</v>
      </c>
      <c r="L672" s="298" t="b">
        <f>IF($L$1,FALSE,IF($L$3,FALSE,IF(E672="",FALSE,COUNTIF(入力シート!$AH$37:$AK$62,E672)=0)))</f>
        <v>0</v>
      </c>
      <c r="M672" s="298" t="str">
        <f t="shared" si="22"/>
        <v/>
      </c>
      <c r="N672" s="298" t="str">
        <f>IF(G672,"この従業員番号は、すでに他のセルで入力されています。",IF(入力シート!$C$5=入力リスト!$C$4,"",IF(AND(A672="",B672="",C672="",D672="",E672=""),"",IF(OR(A672="",B672="",C672="",D672=""),IF(A672="","従業員番号","")&amp;IF(AND(A672="",OR(B672="",C672="",D672="")),",","")&amp;IF(B672="","雇用形態","")&amp;IF(AND(B672="",OR(C672="",D672="")),",","")&amp;IF(OR(入力シート!$J$18=入力リスト!$H$9,入力シート!$J$22=入力リスト!$H$9),IF(C672="","入社年月日",""),"")&amp;IF(AND(C672="",D672=""),",","")&amp;IF(D672="","性別","")&amp;IF(IF(A672="","従業員番号","")&amp;IF(B672="","雇用形態","")&amp;IF(OR(入力シート!$J$18=入力リスト!$H$9,入力シート!$J$22=入力リスト!$H$9),IF(C672="","入社年月日",""),"")&amp;IF(D672="","性別","")="","","が空白です。"),IF(J672,"入社年月日に「基準日」の翌日以降の日付が入力されています。","")&amp;IF(I672,"入社年月日に数値以外（又は1900/1/1以前の日付）が入力されています。","")&amp;IF(H672,"雇用形態"&amp;IF(OR(K672,L672),",",""),"")&amp;IF(K672,"性別"&amp;IF(L672,",",""),"")&amp;IF(L672,"役職","")&amp;IF(OR(H672,K672,L672),"に、［入力シート］(4)「貴社」欄と異なる文言が入力されています。","")))))</f>
        <v/>
      </c>
      <c r="O672" s="298" t="str">
        <f>IF(B672="","",VLOOKUP('従業員情報(給与以外)'!$B672,入力シート!$S$37:$Z$62,5,0))</f>
        <v/>
      </c>
      <c r="P672" s="298" t="str">
        <f>IF(ISNUMBER(C672)=FALSE,"",IF(C672&gt;入力シート!$J$24,"",_xlfn.DAYS(入力シート!$J$24,'従業員情報(給与以外)'!$C672)/365))</f>
        <v/>
      </c>
      <c r="Q672" s="298" t="str">
        <f>IF(P672="","",VLOOKUP(_xlfn.DAYS(入力シート!$J$24,'従業員情報(給与以外)'!$C672)/365,入力リスト!$K$18:$L$26,2,2))</f>
        <v/>
      </c>
      <c r="R672" s="298" t="str">
        <f>IF(D672="","",VLOOKUP('従業員情報(給与以外)'!$D672,入力シート!$AW$37:$BB$38,4,0))</f>
        <v/>
      </c>
      <c r="S672" s="298" t="str">
        <f>IF(A672="","",IF(E672="","非役職",VLOOKUP('従業員情報(給与以外)'!$E672,入力シート!$AH$37:$AO$62,5,0)))</f>
        <v/>
      </c>
      <c r="T672" s="299" t="str">
        <f>IF(OR(入力シート!$C$5&lt;&gt;入力リスト!$C$3,COUNTIF(入力シート!$J$16:$S$23,入力リスト!$H$9)=0),"",IF($A672="","",IF(ISERROR(AVERAGEIF(従業員の給与情報!$B:$B,$A672,従業員の給与情報!$C:$C)),0,IF(ISERROR(AVERAGEIF(従業員の給与情報!$B:$B,$A672,従業員の給与情報!$C:$C)),0,AVERAGEIF(従業員の給与情報!$B:$B,$A672,従業員の給与情報!$C:$C)))))</f>
        <v/>
      </c>
      <c r="U672" s="299" t="str">
        <f>IF(OR(入力シート!$C$5&lt;&gt;入力リスト!$C$3,COUNTIF(入力シート!$J$16:$S$23,入力リスト!$H$9)=0),"",IF(A672="","",IF(ISERROR(AVERAGEIF(従業員の給与情報!$B:$B,$A672,従業員の給与情報!$D:$D)),0,IF(ISERROR(AVERAGEIF(従業員の給与情報!$B:$B,$A672,従業員の給与情報!$D:$D)),0,AVERAGEIF(従業員の給与情報!$B:$B,$A672,従業員の給与情報!$D:$D)))))</f>
        <v/>
      </c>
      <c r="V672" s="299" t="str">
        <f>IF(OR(入力シート!$C$5&lt;&gt;入力リスト!$C$3,COUNTIF(入力シート!$J$16:$S$23,入力リスト!$H$9)=0),"",IF(A672="","",IF(ISERROR(AVERAGEIF(従業員の給与情報!$B:$B,$A672,従業員の給与情報!$E:$E)),0,IF(ISERROR(AVERAGEIF(従業員の給与情報!$B:$B,$A672,従業員の給与情報!$E:$E)),0,AVERAGEIF(従業員の給与情報!$B:$B,$A672,従業員の給与情報!$E:$E)))))</f>
        <v/>
      </c>
      <c r="W672" s="299" t="str">
        <f>IF(OR(入力シート!$C$5&lt;&gt;入力リスト!$C$3,COUNTIF(入力シート!$J$16:$S$23,入力リスト!$H$9)=0),"",IF(A672="","",IF(ISERROR(AVERAGEIF(従業員の給与情報!$B:$B,$A672,従業員の給与情報!$F:$F)),0,IF(ISERROR(AVERAGEIF(従業員の給与情報!$B:$B,$A672,従業員の給与情報!$F:$F)),0,AVERAGEIF(従業員の給与情報!$B:$B,$A672,従業員の給与情報!$F:$F)))))</f>
        <v/>
      </c>
      <c r="X672" s="581" t="s">
        <v>5411</v>
      </c>
    </row>
    <row r="673" spans="6:24">
      <c r="F673" s="297" t="str">
        <f>IF($G$1,"",IF(COUNTIF(A673:E673,"")=5,"",IF(G673,入力リスト!$K$28,IF(OR(A673="",B673="",IF(COUNTIF($C$3,"*不要*"),"",C673=""),D673=""),IF(A673="","従業員番号","")&amp;IF(B673="","「雇用形態」","")&amp;IF(OR(入力シート!$J$18=入力リスト!$H$9,入力シート!$J$22=入力リスト!$H$9),IF(C673="","「入社年月日」",""),"")&amp;IF(D673="","「性別」","")&amp;IF(IF(A673="","従業員番号","")&amp;IF(B673="","「雇用形態」","")&amp;IF(OR(入力シート!$J$18=入力リスト!$H$9,入力シート!$J$22=入力リスト!$H$9),IF(C673="","「入社年月日」",""),"")&amp;IF(D673="","「性別」","")="","",入力リスト!$K$29),IF(J673,入力リスト!$K$30,"")&amp;IF(I673,入力リスト!$K$31,"")&amp;IF(H673,"「雇用形態」","")&amp;IF(K673,"「性別」","")&amp;IF(L673,"「役職」","")&amp;IF(OR(H673,K673,L673),入力リスト!$K$32,"")))))</f>
        <v/>
      </c>
      <c r="G673" s="298" t="b">
        <f>COUNTIF($A$4:A672,$A673)&gt;0</f>
        <v>0</v>
      </c>
      <c r="H673" s="298" t="b">
        <f>IF($H$1,FALSE,COUNTIF(入力シート!$S$37:$V$62,B673)=0)</f>
        <v>0</v>
      </c>
      <c r="I673" s="298" t="b">
        <f t="shared" si="21"/>
        <v>0</v>
      </c>
      <c r="J673" s="298" t="b">
        <f>IF($J$1,FALSE,IF(I673=TRUE,FALSE,IF(I673,FALSE,C673&gt;入力シート!$J$24)))</f>
        <v>0</v>
      </c>
      <c r="K673" s="298" t="b">
        <f>IF($K$1,FALSE,COUNTIF(入力シート!$AW$37:$BB$38,D673)=0)</f>
        <v>0</v>
      </c>
      <c r="L673" s="298" t="b">
        <f>IF($L$1,FALSE,IF($L$3,FALSE,IF(E673="",FALSE,COUNTIF(入力シート!$AH$37:$AK$62,E673)=0)))</f>
        <v>0</v>
      </c>
      <c r="M673" s="298" t="str">
        <f t="shared" si="22"/>
        <v/>
      </c>
      <c r="N673" s="298" t="str">
        <f>IF(G673,"この従業員番号は、すでに他のセルで入力されています。",IF(入力シート!$C$5=入力リスト!$C$4,"",IF(AND(A673="",B673="",C673="",D673="",E673=""),"",IF(OR(A673="",B673="",C673="",D673=""),IF(A673="","従業員番号","")&amp;IF(AND(A673="",OR(B673="",C673="",D673="")),",","")&amp;IF(B673="","雇用形態","")&amp;IF(AND(B673="",OR(C673="",D673="")),",","")&amp;IF(OR(入力シート!$J$18=入力リスト!$H$9,入力シート!$J$22=入力リスト!$H$9),IF(C673="","入社年月日",""),"")&amp;IF(AND(C673="",D673=""),",","")&amp;IF(D673="","性別","")&amp;IF(IF(A673="","従業員番号","")&amp;IF(B673="","雇用形態","")&amp;IF(OR(入力シート!$J$18=入力リスト!$H$9,入力シート!$J$22=入力リスト!$H$9),IF(C673="","入社年月日",""),"")&amp;IF(D673="","性別","")="","","が空白です。"),IF(J673,"入社年月日に「基準日」の翌日以降の日付が入力されています。","")&amp;IF(I673,"入社年月日に数値以外（又は1900/1/1以前の日付）が入力されています。","")&amp;IF(H673,"雇用形態"&amp;IF(OR(K673,L673),",",""),"")&amp;IF(K673,"性別"&amp;IF(L673,",",""),"")&amp;IF(L673,"役職","")&amp;IF(OR(H673,K673,L673),"に、［入力シート］(4)「貴社」欄と異なる文言が入力されています。","")))))</f>
        <v/>
      </c>
      <c r="O673" s="298" t="str">
        <f>IF(B673="","",VLOOKUP('従業員情報(給与以外)'!$B673,入力シート!$S$37:$Z$62,5,0))</f>
        <v/>
      </c>
      <c r="P673" s="298" t="str">
        <f>IF(ISNUMBER(C673)=FALSE,"",IF(C673&gt;入力シート!$J$24,"",_xlfn.DAYS(入力シート!$J$24,'従業員情報(給与以外)'!$C673)/365))</f>
        <v/>
      </c>
      <c r="Q673" s="298" t="str">
        <f>IF(P673="","",VLOOKUP(_xlfn.DAYS(入力シート!$J$24,'従業員情報(給与以外)'!$C673)/365,入力リスト!$K$18:$L$26,2,2))</f>
        <v/>
      </c>
      <c r="R673" s="298" t="str">
        <f>IF(D673="","",VLOOKUP('従業員情報(給与以外)'!$D673,入力シート!$AW$37:$BB$38,4,0))</f>
        <v/>
      </c>
      <c r="S673" s="298" t="str">
        <f>IF(A673="","",IF(E673="","非役職",VLOOKUP('従業員情報(給与以外)'!$E673,入力シート!$AH$37:$AO$62,5,0)))</f>
        <v/>
      </c>
      <c r="T673" s="299" t="str">
        <f>IF(OR(入力シート!$C$5&lt;&gt;入力リスト!$C$3,COUNTIF(入力シート!$J$16:$S$23,入力リスト!$H$9)=0),"",IF($A673="","",IF(ISERROR(AVERAGEIF(従業員の給与情報!$B:$B,$A673,従業員の給与情報!$C:$C)),0,IF(ISERROR(AVERAGEIF(従業員の給与情報!$B:$B,$A673,従業員の給与情報!$C:$C)),0,AVERAGEIF(従業員の給与情報!$B:$B,$A673,従業員の給与情報!$C:$C)))))</f>
        <v/>
      </c>
      <c r="U673" s="299" t="str">
        <f>IF(OR(入力シート!$C$5&lt;&gt;入力リスト!$C$3,COUNTIF(入力シート!$J$16:$S$23,入力リスト!$H$9)=0),"",IF(A673="","",IF(ISERROR(AVERAGEIF(従業員の給与情報!$B:$B,$A673,従業員の給与情報!$D:$D)),0,IF(ISERROR(AVERAGEIF(従業員の給与情報!$B:$B,$A673,従業員の給与情報!$D:$D)),0,AVERAGEIF(従業員の給与情報!$B:$B,$A673,従業員の給与情報!$D:$D)))))</f>
        <v/>
      </c>
      <c r="V673" s="299" t="str">
        <f>IF(OR(入力シート!$C$5&lt;&gt;入力リスト!$C$3,COUNTIF(入力シート!$J$16:$S$23,入力リスト!$H$9)=0),"",IF(A673="","",IF(ISERROR(AVERAGEIF(従業員の給与情報!$B:$B,$A673,従業員の給与情報!$E:$E)),0,IF(ISERROR(AVERAGEIF(従業員の給与情報!$B:$B,$A673,従業員の給与情報!$E:$E)),0,AVERAGEIF(従業員の給与情報!$B:$B,$A673,従業員の給与情報!$E:$E)))))</f>
        <v/>
      </c>
      <c r="W673" s="299" t="str">
        <f>IF(OR(入力シート!$C$5&lt;&gt;入力リスト!$C$3,COUNTIF(入力シート!$J$16:$S$23,入力リスト!$H$9)=0),"",IF(A673="","",IF(ISERROR(AVERAGEIF(従業員の給与情報!$B:$B,$A673,従業員の給与情報!$F:$F)),0,IF(ISERROR(AVERAGEIF(従業員の給与情報!$B:$B,$A673,従業員の給与情報!$F:$F)),0,AVERAGEIF(従業員の給与情報!$B:$B,$A673,従業員の給与情報!$F:$F)))))</f>
        <v/>
      </c>
      <c r="X673" s="581" t="s">
        <v>5412</v>
      </c>
    </row>
    <row r="674" spans="6:24">
      <c r="F674" s="297" t="str">
        <f>IF($G$1,"",IF(COUNTIF(A674:E674,"")=5,"",IF(G674,入力リスト!$K$28,IF(OR(A674="",B674="",IF(COUNTIF($C$3,"*不要*"),"",C674=""),D674=""),IF(A674="","従業員番号","")&amp;IF(B674="","「雇用形態」","")&amp;IF(OR(入力シート!$J$18=入力リスト!$H$9,入力シート!$J$22=入力リスト!$H$9),IF(C674="","「入社年月日」",""),"")&amp;IF(D674="","「性別」","")&amp;IF(IF(A674="","従業員番号","")&amp;IF(B674="","「雇用形態」","")&amp;IF(OR(入力シート!$J$18=入力リスト!$H$9,入力シート!$J$22=入力リスト!$H$9),IF(C674="","「入社年月日」",""),"")&amp;IF(D674="","「性別」","")="","",入力リスト!$K$29),IF(J674,入力リスト!$K$30,"")&amp;IF(I674,入力リスト!$K$31,"")&amp;IF(H674,"「雇用形態」","")&amp;IF(K674,"「性別」","")&amp;IF(L674,"「役職」","")&amp;IF(OR(H674,K674,L674),入力リスト!$K$32,"")))))</f>
        <v/>
      </c>
      <c r="G674" s="298" t="b">
        <f>COUNTIF($A$4:A673,$A674)&gt;0</f>
        <v>0</v>
      </c>
      <c r="H674" s="298" t="b">
        <f>IF($H$1,FALSE,COUNTIF(入力シート!$S$37:$V$62,B674)=0)</f>
        <v>0</v>
      </c>
      <c r="I674" s="298" t="b">
        <f t="shared" si="21"/>
        <v>0</v>
      </c>
      <c r="J674" s="298" t="b">
        <f>IF($J$1,FALSE,IF(I674=TRUE,FALSE,IF(I674,FALSE,C674&gt;入力シート!$J$24)))</f>
        <v>0</v>
      </c>
      <c r="K674" s="298" t="b">
        <f>IF($K$1,FALSE,COUNTIF(入力シート!$AW$37:$BB$38,D674)=0)</f>
        <v>0</v>
      </c>
      <c r="L674" s="298" t="b">
        <f>IF($L$1,FALSE,IF($L$3,FALSE,IF(E674="",FALSE,COUNTIF(入力シート!$AH$37:$AK$62,E674)=0)))</f>
        <v>0</v>
      </c>
      <c r="M674" s="298" t="str">
        <f t="shared" si="22"/>
        <v/>
      </c>
      <c r="N674" s="298" t="str">
        <f>IF(G674,"この従業員番号は、すでに他のセルで入力されています。",IF(入力シート!$C$5=入力リスト!$C$4,"",IF(AND(A674="",B674="",C674="",D674="",E674=""),"",IF(OR(A674="",B674="",C674="",D674=""),IF(A674="","従業員番号","")&amp;IF(AND(A674="",OR(B674="",C674="",D674="")),",","")&amp;IF(B674="","雇用形態","")&amp;IF(AND(B674="",OR(C674="",D674="")),",","")&amp;IF(OR(入力シート!$J$18=入力リスト!$H$9,入力シート!$J$22=入力リスト!$H$9),IF(C674="","入社年月日",""),"")&amp;IF(AND(C674="",D674=""),",","")&amp;IF(D674="","性別","")&amp;IF(IF(A674="","従業員番号","")&amp;IF(B674="","雇用形態","")&amp;IF(OR(入力シート!$J$18=入力リスト!$H$9,入力シート!$J$22=入力リスト!$H$9),IF(C674="","入社年月日",""),"")&amp;IF(D674="","性別","")="","","が空白です。"),IF(J674,"入社年月日に「基準日」の翌日以降の日付が入力されています。","")&amp;IF(I674,"入社年月日に数値以外（又は1900/1/1以前の日付）が入力されています。","")&amp;IF(H674,"雇用形態"&amp;IF(OR(K674,L674),",",""),"")&amp;IF(K674,"性別"&amp;IF(L674,",",""),"")&amp;IF(L674,"役職","")&amp;IF(OR(H674,K674,L674),"に、［入力シート］(4)「貴社」欄と異なる文言が入力されています。","")))))</f>
        <v/>
      </c>
      <c r="O674" s="298" t="str">
        <f>IF(B674="","",VLOOKUP('従業員情報(給与以外)'!$B674,入力シート!$S$37:$Z$62,5,0))</f>
        <v/>
      </c>
      <c r="P674" s="298" t="str">
        <f>IF(ISNUMBER(C674)=FALSE,"",IF(C674&gt;入力シート!$J$24,"",_xlfn.DAYS(入力シート!$J$24,'従業員情報(給与以外)'!$C674)/365))</f>
        <v/>
      </c>
      <c r="Q674" s="298" t="str">
        <f>IF(P674="","",VLOOKUP(_xlfn.DAYS(入力シート!$J$24,'従業員情報(給与以外)'!$C674)/365,入力リスト!$K$18:$L$26,2,2))</f>
        <v/>
      </c>
      <c r="R674" s="298" t="str">
        <f>IF(D674="","",VLOOKUP('従業員情報(給与以外)'!$D674,入力シート!$AW$37:$BB$38,4,0))</f>
        <v/>
      </c>
      <c r="S674" s="298" t="str">
        <f>IF(A674="","",IF(E674="","非役職",VLOOKUP('従業員情報(給与以外)'!$E674,入力シート!$AH$37:$AO$62,5,0)))</f>
        <v/>
      </c>
      <c r="T674" s="299" t="str">
        <f>IF(OR(入力シート!$C$5&lt;&gt;入力リスト!$C$3,COUNTIF(入力シート!$J$16:$S$23,入力リスト!$H$9)=0),"",IF($A674="","",IF(ISERROR(AVERAGEIF(従業員の給与情報!$B:$B,$A674,従業員の給与情報!$C:$C)),0,IF(ISERROR(AVERAGEIF(従業員の給与情報!$B:$B,$A674,従業員の給与情報!$C:$C)),0,AVERAGEIF(従業員の給与情報!$B:$B,$A674,従業員の給与情報!$C:$C)))))</f>
        <v/>
      </c>
      <c r="U674" s="299" t="str">
        <f>IF(OR(入力シート!$C$5&lt;&gt;入力リスト!$C$3,COUNTIF(入力シート!$J$16:$S$23,入力リスト!$H$9)=0),"",IF(A674="","",IF(ISERROR(AVERAGEIF(従業員の給与情報!$B:$B,$A674,従業員の給与情報!$D:$D)),0,IF(ISERROR(AVERAGEIF(従業員の給与情報!$B:$B,$A674,従業員の給与情報!$D:$D)),0,AVERAGEIF(従業員の給与情報!$B:$B,$A674,従業員の給与情報!$D:$D)))))</f>
        <v/>
      </c>
      <c r="V674" s="299" t="str">
        <f>IF(OR(入力シート!$C$5&lt;&gt;入力リスト!$C$3,COUNTIF(入力シート!$J$16:$S$23,入力リスト!$H$9)=0),"",IF(A674="","",IF(ISERROR(AVERAGEIF(従業員の給与情報!$B:$B,$A674,従業員の給与情報!$E:$E)),0,IF(ISERROR(AVERAGEIF(従業員の給与情報!$B:$B,$A674,従業員の給与情報!$E:$E)),0,AVERAGEIF(従業員の給与情報!$B:$B,$A674,従業員の給与情報!$E:$E)))))</f>
        <v/>
      </c>
      <c r="W674" s="299" t="str">
        <f>IF(OR(入力シート!$C$5&lt;&gt;入力リスト!$C$3,COUNTIF(入力シート!$J$16:$S$23,入力リスト!$H$9)=0),"",IF(A674="","",IF(ISERROR(AVERAGEIF(従業員の給与情報!$B:$B,$A674,従業員の給与情報!$F:$F)),0,IF(ISERROR(AVERAGEIF(従業員の給与情報!$B:$B,$A674,従業員の給与情報!$F:$F)),0,AVERAGEIF(従業員の給与情報!$B:$B,$A674,従業員の給与情報!$F:$F)))))</f>
        <v/>
      </c>
      <c r="X674" s="581" t="s">
        <v>5413</v>
      </c>
    </row>
    <row r="675" spans="6:24">
      <c r="F675" s="297" t="str">
        <f>IF($G$1,"",IF(COUNTIF(A675:E675,"")=5,"",IF(G675,入力リスト!$K$28,IF(OR(A675="",B675="",IF(COUNTIF($C$3,"*不要*"),"",C675=""),D675=""),IF(A675="","従業員番号","")&amp;IF(B675="","「雇用形態」","")&amp;IF(OR(入力シート!$J$18=入力リスト!$H$9,入力シート!$J$22=入力リスト!$H$9),IF(C675="","「入社年月日」",""),"")&amp;IF(D675="","「性別」","")&amp;IF(IF(A675="","従業員番号","")&amp;IF(B675="","「雇用形態」","")&amp;IF(OR(入力シート!$J$18=入力リスト!$H$9,入力シート!$J$22=入力リスト!$H$9),IF(C675="","「入社年月日」",""),"")&amp;IF(D675="","「性別」","")="","",入力リスト!$K$29),IF(J675,入力リスト!$K$30,"")&amp;IF(I675,入力リスト!$K$31,"")&amp;IF(H675,"「雇用形態」","")&amp;IF(K675,"「性別」","")&amp;IF(L675,"「役職」","")&amp;IF(OR(H675,K675,L675),入力リスト!$K$32,"")))))</f>
        <v/>
      </c>
      <c r="G675" s="298" t="b">
        <f>COUNTIF($A$4:A674,$A675)&gt;0</f>
        <v>0</v>
      </c>
      <c r="H675" s="298" t="b">
        <f>IF($H$1,FALSE,COUNTIF(入力シート!$S$37:$V$62,B675)=0)</f>
        <v>0</v>
      </c>
      <c r="I675" s="298" t="b">
        <f t="shared" si="21"/>
        <v>0</v>
      </c>
      <c r="J675" s="298" t="b">
        <f>IF($J$1,FALSE,IF(I675=TRUE,FALSE,IF(I675,FALSE,C675&gt;入力シート!$J$24)))</f>
        <v>0</v>
      </c>
      <c r="K675" s="298" t="b">
        <f>IF($K$1,FALSE,COUNTIF(入力シート!$AW$37:$BB$38,D675)=0)</f>
        <v>0</v>
      </c>
      <c r="L675" s="298" t="b">
        <f>IF($L$1,FALSE,IF($L$3,FALSE,IF(E675="",FALSE,COUNTIF(入力シート!$AH$37:$AK$62,E675)=0)))</f>
        <v>0</v>
      </c>
      <c r="M675" s="298" t="str">
        <f t="shared" si="22"/>
        <v/>
      </c>
      <c r="N675" s="298" t="str">
        <f>IF(G675,"この従業員番号は、すでに他のセルで入力されています。",IF(入力シート!$C$5=入力リスト!$C$4,"",IF(AND(A675="",B675="",C675="",D675="",E675=""),"",IF(OR(A675="",B675="",C675="",D675=""),IF(A675="","従業員番号","")&amp;IF(AND(A675="",OR(B675="",C675="",D675="")),",","")&amp;IF(B675="","雇用形態","")&amp;IF(AND(B675="",OR(C675="",D675="")),",","")&amp;IF(OR(入力シート!$J$18=入力リスト!$H$9,入力シート!$J$22=入力リスト!$H$9),IF(C675="","入社年月日",""),"")&amp;IF(AND(C675="",D675=""),",","")&amp;IF(D675="","性別","")&amp;IF(IF(A675="","従業員番号","")&amp;IF(B675="","雇用形態","")&amp;IF(OR(入力シート!$J$18=入力リスト!$H$9,入力シート!$J$22=入力リスト!$H$9),IF(C675="","入社年月日",""),"")&amp;IF(D675="","性別","")="","","が空白です。"),IF(J675,"入社年月日に「基準日」の翌日以降の日付が入力されています。","")&amp;IF(I675,"入社年月日に数値以外（又は1900/1/1以前の日付）が入力されています。","")&amp;IF(H675,"雇用形態"&amp;IF(OR(K675,L675),",",""),"")&amp;IF(K675,"性別"&amp;IF(L675,",",""),"")&amp;IF(L675,"役職","")&amp;IF(OR(H675,K675,L675),"に、［入力シート］(4)「貴社」欄と異なる文言が入力されています。","")))))</f>
        <v/>
      </c>
      <c r="O675" s="298" t="str">
        <f>IF(B675="","",VLOOKUP('従業員情報(給与以外)'!$B675,入力シート!$S$37:$Z$62,5,0))</f>
        <v/>
      </c>
      <c r="P675" s="298" t="str">
        <f>IF(ISNUMBER(C675)=FALSE,"",IF(C675&gt;入力シート!$J$24,"",_xlfn.DAYS(入力シート!$J$24,'従業員情報(給与以外)'!$C675)/365))</f>
        <v/>
      </c>
      <c r="Q675" s="298" t="str">
        <f>IF(P675="","",VLOOKUP(_xlfn.DAYS(入力シート!$J$24,'従業員情報(給与以外)'!$C675)/365,入力リスト!$K$18:$L$26,2,2))</f>
        <v/>
      </c>
      <c r="R675" s="298" t="str">
        <f>IF(D675="","",VLOOKUP('従業員情報(給与以外)'!$D675,入力シート!$AW$37:$BB$38,4,0))</f>
        <v/>
      </c>
      <c r="S675" s="298" t="str">
        <f>IF(A675="","",IF(E675="","非役職",VLOOKUP('従業員情報(給与以外)'!$E675,入力シート!$AH$37:$AO$62,5,0)))</f>
        <v/>
      </c>
      <c r="T675" s="299" t="str">
        <f>IF(OR(入力シート!$C$5&lt;&gt;入力リスト!$C$3,COUNTIF(入力シート!$J$16:$S$23,入力リスト!$H$9)=0),"",IF($A675="","",IF(ISERROR(AVERAGEIF(従業員の給与情報!$B:$B,$A675,従業員の給与情報!$C:$C)),0,IF(ISERROR(AVERAGEIF(従業員の給与情報!$B:$B,$A675,従業員の給与情報!$C:$C)),0,AVERAGEIF(従業員の給与情報!$B:$B,$A675,従業員の給与情報!$C:$C)))))</f>
        <v/>
      </c>
      <c r="U675" s="299" t="str">
        <f>IF(OR(入力シート!$C$5&lt;&gt;入力リスト!$C$3,COUNTIF(入力シート!$J$16:$S$23,入力リスト!$H$9)=0),"",IF(A675="","",IF(ISERROR(AVERAGEIF(従業員の給与情報!$B:$B,$A675,従業員の給与情報!$D:$D)),0,IF(ISERROR(AVERAGEIF(従業員の給与情報!$B:$B,$A675,従業員の給与情報!$D:$D)),0,AVERAGEIF(従業員の給与情報!$B:$B,$A675,従業員の給与情報!$D:$D)))))</f>
        <v/>
      </c>
      <c r="V675" s="299" t="str">
        <f>IF(OR(入力シート!$C$5&lt;&gt;入力リスト!$C$3,COUNTIF(入力シート!$J$16:$S$23,入力リスト!$H$9)=0),"",IF(A675="","",IF(ISERROR(AVERAGEIF(従業員の給与情報!$B:$B,$A675,従業員の給与情報!$E:$E)),0,IF(ISERROR(AVERAGEIF(従業員の給与情報!$B:$B,$A675,従業員の給与情報!$E:$E)),0,AVERAGEIF(従業員の給与情報!$B:$B,$A675,従業員の給与情報!$E:$E)))))</f>
        <v/>
      </c>
      <c r="W675" s="299" t="str">
        <f>IF(OR(入力シート!$C$5&lt;&gt;入力リスト!$C$3,COUNTIF(入力シート!$J$16:$S$23,入力リスト!$H$9)=0),"",IF(A675="","",IF(ISERROR(AVERAGEIF(従業員の給与情報!$B:$B,$A675,従業員の給与情報!$F:$F)),0,IF(ISERROR(AVERAGEIF(従業員の給与情報!$B:$B,$A675,従業員の給与情報!$F:$F)),0,AVERAGEIF(従業員の給与情報!$B:$B,$A675,従業員の給与情報!$F:$F)))))</f>
        <v/>
      </c>
      <c r="X675" s="581" t="s">
        <v>5414</v>
      </c>
    </row>
    <row r="676" spans="6:24">
      <c r="F676" s="297" t="str">
        <f>IF($G$1,"",IF(COUNTIF(A676:E676,"")=5,"",IF(G676,入力リスト!$K$28,IF(OR(A676="",B676="",IF(COUNTIF($C$3,"*不要*"),"",C676=""),D676=""),IF(A676="","従業員番号","")&amp;IF(B676="","「雇用形態」","")&amp;IF(OR(入力シート!$J$18=入力リスト!$H$9,入力シート!$J$22=入力リスト!$H$9),IF(C676="","「入社年月日」",""),"")&amp;IF(D676="","「性別」","")&amp;IF(IF(A676="","従業員番号","")&amp;IF(B676="","「雇用形態」","")&amp;IF(OR(入力シート!$J$18=入力リスト!$H$9,入力シート!$J$22=入力リスト!$H$9),IF(C676="","「入社年月日」",""),"")&amp;IF(D676="","「性別」","")="","",入力リスト!$K$29),IF(J676,入力リスト!$K$30,"")&amp;IF(I676,入力リスト!$K$31,"")&amp;IF(H676,"「雇用形態」","")&amp;IF(K676,"「性別」","")&amp;IF(L676,"「役職」","")&amp;IF(OR(H676,K676,L676),入力リスト!$K$32,"")))))</f>
        <v/>
      </c>
      <c r="G676" s="298" t="b">
        <f>COUNTIF($A$4:A675,$A676)&gt;0</f>
        <v>0</v>
      </c>
      <c r="H676" s="298" t="b">
        <f>IF($H$1,FALSE,COUNTIF(入力シート!$S$37:$V$62,B676)=0)</f>
        <v>0</v>
      </c>
      <c r="I676" s="298" t="b">
        <f t="shared" si="21"/>
        <v>0</v>
      </c>
      <c r="J676" s="298" t="b">
        <f>IF($J$1,FALSE,IF(I676=TRUE,FALSE,IF(I676,FALSE,C676&gt;入力シート!$J$24)))</f>
        <v>0</v>
      </c>
      <c r="K676" s="298" t="b">
        <f>IF($K$1,FALSE,COUNTIF(入力シート!$AW$37:$BB$38,D676)=0)</f>
        <v>0</v>
      </c>
      <c r="L676" s="298" t="b">
        <f>IF($L$1,FALSE,IF($L$3,FALSE,IF(E676="",FALSE,COUNTIF(入力シート!$AH$37:$AK$62,E676)=0)))</f>
        <v>0</v>
      </c>
      <c r="M676" s="298" t="str">
        <f t="shared" si="22"/>
        <v/>
      </c>
      <c r="N676" s="298" t="str">
        <f>IF(G676,"この従業員番号は、すでに他のセルで入力されています。",IF(入力シート!$C$5=入力リスト!$C$4,"",IF(AND(A676="",B676="",C676="",D676="",E676=""),"",IF(OR(A676="",B676="",C676="",D676=""),IF(A676="","従業員番号","")&amp;IF(AND(A676="",OR(B676="",C676="",D676="")),",","")&amp;IF(B676="","雇用形態","")&amp;IF(AND(B676="",OR(C676="",D676="")),",","")&amp;IF(OR(入力シート!$J$18=入力リスト!$H$9,入力シート!$J$22=入力リスト!$H$9),IF(C676="","入社年月日",""),"")&amp;IF(AND(C676="",D676=""),",","")&amp;IF(D676="","性別","")&amp;IF(IF(A676="","従業員番号","")&amp;IF(B676="","雇用形態","")&amp;IF(OR(入力シート!$J$18=入力リスト!$H$9,入力シート!$J$22=入力リスト!$H$9),IF(C676="","入社年月日",""),"")&amp;IF(D676="","性別","")="","","が空白です。"),IF(J676,"入社年月日に「基準日」の翌日以降の日付が入力されています。","")&amp;IF(I676,"入社年月日に数値以外（又は1900/1/1以前の日付）が入力されています。","")&amp;IF(H676,"雇用形態"&amp;IF(OR(K676,L676),",",""),"")&amp;IF(K676,"性別"&amp;IF(L676,",",""),"")&amp;IF(L676,"役職","")&amp;IF(OR(H676,K676,L676),"に、［入力シート］(4)「貴社」欄と異なる文言が入力されています。","")))))</f>
        <v/>
      </c>
      <c r="O676" s="298" t="str">
        <f>IF(B676="","",VLOOKUP('従業員情報(給与以外)'!$B676,入力シート!$S$37:$Z$62,5,0))</f>
        <v/>
      </c>
      <c r="P676" s="298" t="str">
        <f>IF(ISNUMBER(C676)=FALSE,"",IF(C676&gt;入力シート!$J$24,"",_xlfn.DAYS(入力シート!$J$24,'従業員情報(給与以外)'!$C676)/365))</f>
        <v/>
      </c>
      <c r="Q676" s="298" t="str">
        <f>IF(P676="","",VLOOKUP(_xlfn.DAYS(入力シート!$J$24,'従業員情報(給与以外)'!$C676)/365,入力リスト!$K$18:$L$26,2,2))</f>
        <v/>
      </c>
      <c r="R676" s="298" t="str">
        <f>IF(D676="","",VLOOKUP('従業員情報(給与以外)'!$D676,入力シート!$AW$37:$BB$38,4,0))</f>
        <v/>
      </c>
      <c r="S676" s="298" t="str">
        <f>IF(A676="","",IF(E676="","非役職",VLOOKUP('従業員情報(給与以外)'!$E676,入力シート!$AH$37:$AO$62,5,0)))</f>
        <v/>
      </c>
      <c r="T676" s="299" t="str">
        <f>IF(OR(入力シート!$C$5&lt;&gt;入力リスト!$C$3,COUNTIF(入力シート!$J$16:$S$23,入力リスト!$H$9)=0),"",IF($A676="","",IF(ISERROR(AVERAGEIF(従業員の給与情報!$B:$B,$A676,従業員の給与情報!$C:$C)),0,IF(ISERROR(AVERAGEIF(従業員の給与情報!$B:$B,$A676,従業員の給与情報!$C:$C)),0,AVERAGEIF(従業員の給与情報!$B:$B,$A676,従業員の給与情報!$C:$C)))))</f>
        <v/>
      </c>
      <c r="U676" s="299" t="str">
        <f>IF(OR(入力シート!$C$5&lt;&gt;入力リスト!$C$3,COUNTIF(入力シート!$J$16:$S$23,入力リスト!$H$9)=0),"",IF(A676="","",IF(ISERROR(AVERAGEIF(従業員の給与情報!$B:$B,$A676,従業員の給与情報!$D:$D)),0,IF(ISERROR(AVERAGEIF(従業員の給与情報!$B:$B,$A676,従業員の給与情報!$D:$D)),0,AVERAGEIF(従業員の給与情報!$B:$B,$A676,従業員の給与情報!$D:$D)))))</f>
        <v/>
      </c>
      <c r="V676" s="299" t="str">
        <f>IF(OR(入力シート!$C$5&lt;&gt;入力リスト!$C$3,COUNTIF(入力シート!$J$16:$S$23,入力リスト!$H$9)=0),"",IF(A676="","",IF(ISERROR(AVERAGEIF(従業員の給与情報!$B:$B,$A676,従業員の給与情報!$E:$E)),0,IF(ISERROR(AVERAGEIF(従業員の給与情報!$B:$B,$A676,従業員の給与情報!$E:$E)),0,AVERAGEIF(従業員の給与情報!$B:$B,$A676,従業員の給与情報!$E:$E)))))</f>
        <v/>
      </c>
      <c r="W676" s="299" t="str">
        <f>IF(OR(入力シート!$C$5&lt;&gt;入力リスト!$C$3,COUNTIF(入力シート!$J$16:$S$23,入力リスト!$H$9)=0),"",IF(A676="","",IF(ISERROR(AVERAGEIF(従業員の給与情報!$B:$B,$A676,従業員の給与情報!$F:$F)),0,IF(ISERROR(AVERAGEIF(従業員の給与情報!$B:$B,$A676,従業員の給与情報!$F:$F)),0,AVERAGEIF(従業員の給与情報!$B:$B,$A676,従業員の給与情報!$F:$F)))))</f>
        <v/>
      </c>
      <c r="X676" s="581" t="s">
        <v>5415</v>
      </c>
    </row>
    <row r="677" spans="6:24">
      <c r="F677" s="297" t="str">
        <f>IF($G$1,"",IF(COUNTIF(A677:E677,"")=5,"",IF(G677,入力リスト!$K$28,IF(OR(A677="",B677="",IF(COUNTIF($C$3,"*不要*"),"",C677=""),D677=""),IF(A677="","従業員番号","")&amp;IF(B677="","「雇用形態」","")&amp;IF(OR(入力シート!$J$18=入力リスト!$H$9,入力シート!$J$22=入力リスト!$H$9),IF(C677="","「入社年月日」",""),"")&amp;IF(D677="","「性別」","")&amp;IF(IF(A677="","従業員番号","")&amp;IF(B677="","「雇用形態」","")&amp;IF(OR(入力シート!$J$18=入力リスト!$H$9,入力シート!$J$22=入力リスト!$H$9),IF(C677="","「入社年月日」",""),"")&amp;IF(D677="","「性別」","")="","",入力リスト!$K$29),IF(J677,入力リスト!$K$30,"")&amp;IF(I677,入力リスト!$K$31,"")&amp;IF(H677,"「雇用形態」","")&amp;IF(K677,"「性別」","")&amp;IF(L677,"「役職」","")&amp;IF(OR(H677,K677,L677),入力リスト!$K$32,"")))))</f>
        <v/>
      </c>
      <c r="G677" s="298" t="b">
        <f>COUNTIF($A$4:A676,$A677)&gt;0</f>
        <v>0</v>
      </c>
      <c r="H677" s="298" t="b">
        <f>IF($H$1,FALSE,COUNTIF(入力シート!$S$37:$V$62,B677)=0)</f>
        <v>0</v>
      </c>
      <c r="I677" s="298" t="b">
        <f t="shared" si="21"/>
        <v>0</v>
      </c>
      <c r="J677" s="298" t="b">
        <f>IF($J$1,FALSE,IF(I677=TRUE,FALSE,IF(I677,FALSE,C677&gt;入力シート!$J$24)))</f>
        <v>0</v>
      </c>
      <c r="K677" s="298" t="b">
        <f>IF($K$1,FALSE,COUNTIF(入力シート!$AW$37:$BB$38,D677)=0)</f>
        <v>0</v>
      </c>
      <c r="L677" s="298" t="b">
        <f>IF($L$1,FALSE,IF($L$3,FALSE,IF(E677="",FALSE,COUNTIF(入力シート!$AH$37:$AK$62,E677)=0)))</f>
        <v>0</v>
      </c>
      <c r="M677" s="298" t="str">
        <f t="shared" si="22"/>
        <v/>
      </c>
      <c r="N677" s="298" t="str">
        <f>IF(G677,"この従業員番号は、すでに他のセルで入力されています。",IF(入力シート!$C$5=入力リスト!$C$4,"",IF(AND(A677="",B677="",C677="",D677="",E677=""),"",IF(OR(A677="",B677="",C677="",D677=""),IF(A677="","従業員番号","")&amp;IF(AND(A677="",OR(B677="",C677="",D677="")),",","")&amp;IF(B677="","雇用形態","")&amp;IF(AND(B677="",OR(C677="",D677="")),",","")&amp;IF(OR(入力シート!$J$18=入力リスト!$H$9,入力シート!$J$22=入力リスト!$H$9),IF(C677="","入社年月日",""),"")&amp;IF(AND(C677="",D677=""),",","")&amp;IF(D677="","性別","")&amp;IF(IF(A677="","従業員番号","")&amp;IF(B677="","雇用形態","")&amp;IF(OR(入力シート!$J$18=入力リスト!$H$9,入力シート!$J$22=入力リスト!$H$9),IF(C677="","入社年月日",""),"")&amp;IF(D677="","性別","")="","","が空白です。"),IF(J677,"入社年月日に「基準日」の翌日以降の日付が入力されています。","")&amp;IF(I677,"入社年月日に数値以外（又は1900/1/1以前の日付）が入力されています。","")&amp;IF(H677,"雇用形態"&amp;IF(OR(K677,L677),",",""),"")&amp;IF(K677,"性別"&amp;IF(L677,",",""),"")&amp;IF(L677,"役職","")&amp;IF(OR(H677,K677,L677),"に、［入力シート］(4)「貴社」欄と異なる文言が入力されています。","")))))</f>
        <v/>
      </c>
      <c r="O677" s="298" t="str">
        <f>IF(B677="","",VLOOKUP('従業員情報(給与以外)'!$B677,入力シート!$S$37:$Z$62,5,0))</f>
        <v/>
      </c>
      <c r="P677" s="298" t="str">
        <f>IF(ISNUMBER(C677)=FALSE,"",IF(C677&gt;入力シート!$J$24,"",_xlfn.DAYS(入力シート!$J$24,'従業員情報(給与以外)'!$C677)/365))</f>
        <v/>
      </c>
      <c r="Q677" s="298" t="str">
        <f>IF(P677="","",VLOOKUP(_xlfn.DAYS(入力シート!$J$24,'従業員情報(給与以外)'!$C677)/365,入力リスト!$K$18:$L$26,2,2))</f>
        <v/>
      </c>
      <c r="R677" s="298" t="str">
        <f>IF(D677="","",VLOOKUP('従業員情報(給与以外)'!$D677,入力シート!$AW$37:$BB$38,4,0))</f>
        <v/>
      </c>
      <c r="S677" s="298" t="str">
        <f>IF(A677="","",IF(E677="","非役職",VLOOKUP('従業員情報(給与以外)'!$E677,入力シート!$AH$37:$AO$62,5,0)))</f>
        <v/>
      </c>
      <c r="T677" s="299" t="str">
        <f>IF(OR(入力シート!$C$5&lt;&gt;入力リスト!$C$3,COUNTIF(入力シート!$J$16:$S$23,入力リスト!$H$9)=0),"",IF($A677="","",IF(ISERROR(AVERAGEIF(従業員の給与情報!$B:$B,$A677,従業員の給与情報!$C:$C)),0,IF(ISERROR(AVERAGEIF(従業員の給与情報!$B:$B,$A677,従業員の給与情報!$C:$C)),0,AVERAGEIF(従業員の給与情報!$B:$B,$A677,従業員の給与情報!$C:$C)))))</f>
        <v/>
      </c>
      <c r="U677" s="299" t="str">
        <f>IF(OR(入力シート!$C$5&lt;&gt;入力リスト!$C$3,COUNTIF(入力シート!$J$16:$S$23,入力リスト!$H$9)=0),"",IF(A677="","",IF(ISERROR(AVERAGEIF(従業員の給与情報!$B:$B,$A677,従業員の給与情報!$D:$D)),0,IF(ISERROR(AVERAGEIF(従業員の給与情報!$B:$B,$A677,従業員の給与情報!$D:$D)),0,AVERAGEIF(従業員の給与情報!$B:$B,$A677,従業員の給与情報!$D:$D)))))</f>
        <v/>
      </c>
      <c r="V677" s="299" t="str">
        <f>IF(OR(入力シート!$C$5&lt;&gt;入力リスト!$C$3,COUNTIF(入力シート!$J$16:$S$23,入力リスト!$H$9)=0),"",IF(A677="","",IF(ISERROR(AVERAGEIF(従業員の給与情報!$B:$B,$A677,従業員の給与情報!$E:$E)),0,IF(ISERROR(AVERAGEIF(従業員の給与情報!$B:$B,$A677,従業員の給与情報!$E:$E)),0,AVERAGEIF(従業員の給与情報!$B:$B,$A677,従業員の給与情報!$E:$E)))))</f>
        <v/>
      </c>
      <c r="W677" s="299" t="str">
        <f>IF(OR(入力シート!$C$5&lt;&gt;入力リスト!$C$3,COUNTIF(入力シート!$J$16:$S$23,入力リスト!$H$9)=0),"",IF(A677="","",IF(ISERROR(AVERAGEIF(従業員の給与情報!$B:$B,$A677,従業員の給与情報!$F:$F)),0,IF(ISERROR(AVERAGEIF(従業員の給与情報!$B:$B,$A677,従業員の給与情報!$F:$F)),0,AVERAGEIF(従業員の給与情報!$B:$B,$A677,従業員の給与情報!$F:$F)))))</f>
        <v/>
      </c>
      <c r="X677" s="581" t="s">
        <v>5416</v>
      </c>
    </row>
    <row r="678" spans="6:24">
      <c r="F678" s="297" t="str">
        <f>IF($G$1,"",IF(COUNTIF(A678:E678,"")=5,"",IF(G678,入力リスト!$K$28,IF(OR(A678="",B678="",IF(COUNTIF($C$3,"*不要*"),"",C678=""),D678=""),IF(A678="","従業員番号","")&amp;IF(B678="","「雇用形態」","")&amp;IF(OR(入力シート!$J$18=入力リスト!$H$9,入力シート!$J$22=入力リスト!$H$9),IF(C678="","「入社年月日」",""),"")&amp;IF(D678="","「性別」","")&amp;IF(IF(A678="","従業員番号","")&amp;IF(B678="","「雇用形態」","")&amp;IF(OR(入力シート!$J$18=入力リスト!$H$9,入力シート!$J$22=入力リスト!$H$9),IF(C678="","「入社年月日」",""),"")&amp;IF(D678="","「性別」","")="","",入力リスト!$K$29),IF(J678,入力リスト!$K$30,"")&amp;IF(I678,入力リスト!$K$31,"")&amp;IF(H678,"「雇用形態」","")&amp;IF(K678,"「性別」","")&amp;IF(L678,"「役職」","")&amp;IF(OR(H678,K678,L678),入力リスト!$K$32,"")))))</f>
        <v/>
      </c>
      <c r="G678" s="298" t="b">
        <f>COUNTIF($A$4:A677,$A678)&gt;0</f>
        <v>0</v>
      </c>
      <c r="H678" s="298" t="b">
        <f>IF($H$1,FALSE,COUNTIF(入力シート!$S$37:$V$62,B678)=0)</f>
        <v>0</v>
      </c>
      <c r="I678" s="298" t="b">
        <f t="shared" si="21"/>
        <v>0</v>
      </c>
      <c r="J678" s="298" t="b">
        <f>IF($J$1,FALSE,IF(I678=TRUE,FALSE,IF(I678,FALSE,C678&gt;入力シート!$J$24)))</f>
        <v>0</v>
      </c>
      <c r="K678" s="298" t="b">
        <f>IF($K$1,FALSE,COUNTIF(入力シート!$AW$37:$BB$38,D678)=0)</f>
        <v>0</v>
      </c>
      <c r="L678" s="298" t="b">
        <f>IF($L$1,FALSE,IF($L$3,FALSE,IF(E678="",FALSE,COUNTIF(入力シート!$AH$37:$AK$62,E678)=0)))</f>
        <v>0</v>
      </c>
      <c r="M678" s="298" t="str">
        <f t="shared" si="22"/>
        <v/>
      </c>
      <c r="N678" s="298" t="str">
        <f>IF(G678,"この従業員番号は、すでに他のセルで入力されています。",IF(入力シート!$C$5=入力リスト!$C$4,"",IF(AND(A678="",B678="",C678="",D678="",E678=""),"",IF(OR(A678="",B678="",C678="",D678=""),IF(A678="","従業員番号","")&amp;IF(AND(A678="",OR(B678="",C678="",D678="")),",","")&amp;IF(B678="","雇用形態","")&amp;IF(AND(B678="",OR(C678="",D678="")),",","")&amp;IF(OR(入力シート!$J$18=入力リスト!$H$9,入力シート!$J$22=入力リスト!$H$9),IF(C678="","入社年月日",""),"")&amp;IF(AND(C678="",D678=""),",","")&amp;IF(D678="","性別","")&amp;IF(IF(A678="","従業員番号","")&amp;IF(B678="","雇用形態","")&amp;IF(OR(入力シート!$J$18=入力リスト!$H$9,入力シート!$J$22=入力リスト!$H$9),IF(C678="","入社年月日",""),"")&amp;IF(D678="","性別","")="","","が空白です。"),IF(J678,"入社年月日に「基準日」の翌日以降の日付が入力されています。","")&amp;IF(I678,"入社年月日に数値以外（又は1900/1/1以前の日付）が入力されています。","")&amp;IF(H678,"雇用形態"&amp;IF(OR(K678,L678),",",""),"")&amp;IF(K678,"性別"&amp;IF(L678,",",""),"")&amp;IF(L678,"役職","")&amp;IF(OR(H678,K678,L678),"に、［入力シート］(4)「貴社」欄と異なる文言が入力されています。","")))))</f>
        <v/>
      </c>
      <c r="O678" s="298" t="str">
        <f>IF(B678="","",VLOOKUP('従業員情報(給与以外)'!$B678,入力シート!$S$37:$Z$62,5,0))</f>
        <v/>
      </c>
      <c r="P678" s="298" t="str">
        <f>IF(ISNUMBER(C678)=FALSE,"",IF(C678&gt;入力シート!$J$24,"",_xlfn.DAYS(入力シート!$J$24,'従業員情報(給与以外)'!$C678)/365))</f>
        <v/>
      </c>
      <c r="Q678" s="298" t="str">
        <f>IF(P678="","",VLOOKUP(_xlfn.DAYS(入力シート!$J$24,'従業員情報(給与以外)'!$C678)/365,入力リスト!$K$18:$L$26,2,2))</f>
        <v/>
      </c>
      <c r="R678" s="298" t="str">
        <f>IF(D678="","",VLOOKUP('従業員情報(給与以外)'!$D678,入力シート!$AW$37:$BB$38,4,0))</f>
        <v/>
      </c>
      <c r="S678" s="298" t="str">
        <f>IF(A678="","",IF(E678="","非役職",VLOOKUP('従業員情報(給与以外)'!$E678,入力シート!$AH$37:$AO$62,5,0)))</f>
        <v/>
      </c>
      <c r="T678" s="299" t="str">
        <f>IF(OR(入力シート!$C$5&lt;&gt;入力リスト!$C$3,COUNTIF(入力シート!$J$16:$S$23,入力リスト!$H$9)=0),"",IF($A678="","",IF(ISERROR(AVERAGEIF(従業員の給与情報!$B:$B,$A678,従業員の給与情報!$C:$C)),0,IF(ISERROR(AVERAGEIF(従業員の給与情報!$B:$B,$A678,従業員の給与情報!$C:$C)),0,AVERAGEIF(従業員の給与情報!$B:$B,$A678,従業員の給与情報!$C:$C)))))</f>
        <v/>
      </c>
      <c r="U678" s="299" t="str">
        <f>IF(OR(入力シート!$C$5&lt;&gt;入力リスト!$C$3,COUNTIF(入力シート!$J$16:$S$23,入力リスト!$H$9)=0),"",IF(A678="","",IF(ISERROR(AVERAGEIF(従業員の給与情報!$B:$B,$A678,従業員の給与情報!$D:$D)),0,IF(ISERROR(AVERAGEIF(従業員の給与情報!$B:$B,$A678,従業員の給与情報!$D:$D)),0,AVERAGEIF(従業員の給与情報!$B:$B,$A678,従業員の給与情報!$D:$D)))))</f>
        <v/>
      </c>
      <c r="V678" s="299" t="str">
        <f>IF(OR(入力シート!$C$5&lt;&gt;入力リスト!$C$3,COUNTIF(入力シート!$J$16:$S$23,入力リスト!$H$9)=0),"",IF(A678="","",IF(ISERROR(AVERAGEIF(従業員の給与情報!$B:$B,$A678,従業員の給与情報!$E:$E)),0,IF(ISERROR(AVERAGEIF(従業員の給与情報!$B:$B,$A678,従業員の給与情報!$E:$E)),0,AVERAGEIF(従業員の給与情報!$B:$B,$A678,従業員の給与情報!$E:$E)))))</f>
        <v/>
      </c>
      <c r="W678" s="299" t="str">
        <f>IF(OR(入力シート!$C$5&lt;&gt;入力リスト!$C$3,COUNTIF(入力シート!$J$16:$S$23,入力リスト!$H$9)=0),"",IF(A678="","",IF(ISERROR(AVERAGEIF(従業員の給与情報!$B:$B,$A678,従業員の給与情報!$F:$F)),0,IF(ISERROR(AVERAGEIF(従業員の給与情報!$B:$B,$A678,従業員の給与情報!$F:$F)),0,AVERAGEIF(従業員の給与情報!$B:$B,$A678,従業員の給与情報!$F:$F)))))</f>
        <v/>
      </c>
      <c r="X678" s="581" t="s">
        <v>5417</v>
      </c>
    </row>
    <row r="679" spans="6:24">
      <c r="F679" s="297" t="str">
        <f>IF($G$1,"",IF(COUNTIF(A679:E679,"")=5,"",IF(G679,入力リスト!$K$28,IF(OR(A679="",B679="",IF(COUNTIF($C$3,"*不要*"),"",C679=""),D679=""),IF(A679="","従業員番号","")&amp;IF(B679="","「雇用形態」","")&amp;IF(OR(入力シート!$J$18=入力リスト!$H$9,入力シート!$J$22=入力リスト!$H$9),IF(C679="","「入社年月日」",""),"")&amp;IF(D679="","「性別」","")&amp;IF(IF(A679="","従業員番号","")&amp;IF(B679="","「雇用形態」","")&amp;IF(OR(入力シート!$J$18=入力リスト!$H$9,入力シート!$J$22=入力リスト!$H$9),IF(C679="","「入社年月日」",""),"")&amp;IF(D679="","「性別」","")="","",入力リスト!$K$29),IF(J679,入力リスト!$K$30,"")&amp;IF(I679,入力リスト!$K$31,"")&amp;IF(H679,"「雇用形態」","")&amp;IF(K679,"「性別」","")&amp;IF(L679,"「役職」","")&amp;IF(OR(H679,K679,L679),入力リスト!$K$32,"")))))</f>
        <v/>
      </c>
      <c r="G679" s="298" t="b">
        <f>COUNTIF($A$4:A678,$A679)&gt;0</f>
        <v>0</v>
      </c>
      <c r="H679" s="298" t="b">
        <f>IF($H$1,FALSE,COUNTIF(入力シート!$S$37:$V$62,B679)=0)</f>
        <v>0</v>
      </c>
      <c r="I679" s="298" t="b">
        <f t="shared" si="21"/>
        <v>0</v>
      </c>
      <c r="J679" s="298" t="b">
        <f>IF($J$1,FALSE,IF(I679=TRUE,FALSE,IF(I679,FALSE,C679&gt;入力シート!$J$24)))</f>
        <v>0</v>
      </c>
      <c r="K679" s="298" t="b">
        <f>IF($K$1,FALSE,COUNTIF(入力シート!$AW$37:$BB$38,D679)=0)</f>
        <v>0</v>
      </c>
      <c r="L679" s="298" t="b">
        <f>IF($L$1,FALSE,IF($L$3,FALSE,IF(E679="",FALSE,COUNTIF(入力シート!$AH$37:$AK$62,E679)=0)))</f>
        <v>0</v>
      </c>
      <c r="M679" s="298" t="str">
        <f t="shared" si="22"/>
        <v/>
      </c>
      <c r="N679" s="298" t="str">
        <f>IF(G679,"この従業員番号は、すでに他のセルで入力されています。",IF(入力シート!$C$5=入力リスト!$C$4,"",IF(AND(A679="",B679="",C679="",D679="",E679=""),"",IF(OR(A679="",B679="",C679="",D679=""),IF(A679="","従業員番号","")&amp;IF(AND(A679="",OR(B679="",C679="",D679="")),",","")&amp;IF(B679="","雇用形態","")&amp;IF(AND(B679="",OR(C679="",D679="")),",","")&amp;IF(OR(入力シート!$J$18=入力リスト!$H$9,入力シート!$J$22=入力リスト!$H$9),IF(C679="","入社年月日",""),"")&amp;IF(AND(C679="",D679=""),",","")&amp;IF(D679="","性別","")&amp;IF(IF(A679="","従業員番号","")&amp;IF(B679="","雇用形態","")&amp;IF(OR(入力シート!$J$18=入力リスト!$H$9,入力シート!$J$22=入力リスト!$H$9),IF(C679="","入社年月日",""),"")&amp;IF(D679="","性別","")="","","が空白です。"),IF(J679,"入社年月日に「基準日」の翌日以降の日付が入力されています。","")&amp;IF(I679,"入社年月日に数値以外（又は1900/1/1以前の日付）が入力されています。","")&amp;IF(H679,"雇用形態"&amp;IF(OR(K679,L679),",",""),"")&amp;IF(K679,"性別"&amp;IF(L679,",",""),"")&amp;IF(L679,"役職","")&amp;IF(OR(H679,K679,L679),"に、［入力シート］(4)「貴社」欄と異なる文言が入力されています。","")))))</f>
        <v/>
      </c>
      <c r="O679" s="298" t="str">
        <f>IF(B679="","",VLOOKUP('従業員情報(給与以外)'!$B679,入力シート!$S$37:$Z$62,5,0))</f>
        <v/>
      </c>
      <c r="P679" s="298" t="str">
        <f>IF(ISNUMBER(C679)=FALSE,"",IF(C679&gt;入力シート!$J$24,"",_xlfn.DAYS(入力シート!$J$24,'従業員情報(給与以外)'!$C679)/365))</f>
        <v/>
      </c>
      <c r="Q679" s="298" t="str">
        <f>IF(P679="","",VLOOKUP(_xlfn.DAYS(入力シート!$J$24,'従業員情報(給与以外)'!$C679)/365,入力リスト!$K$18:$L$26,2,2))</f>
        <v/>
      </c>
      <c r="R679" s="298" t="str">
        <f>IF(D679="","",VLOOKUP('従業員情報(給与以外)'!$D679,入力シート!$AW$37:$BB$38,4,0))</f>
        <v/>
      </c>
      <c r="S679" s="298" t="str">
        <f>IF(A679="","",IF(E679="","非役職",VLOOKUP('従業員情報(給与以外)'!$E679,入力シート!$AH$37:$AO$62,5,0)))</f>
        <v/>
      </c>
      <c r="T679" s="299" t="str">
        <f>IF(OR(入力シート!$C$5&lt;&gt;入力リスト!$C$3,COUNTIF(入力シート!$J$16:$S$23,入力リスト!$H$9)=0),"",IF($A679="","",IF(ISERROR(AVERAGEIF(従業員の給与情報!$B:$B,$A679,従業員の給与情報!$C:$C)),0,IF(ISERROR(AVERAGEIF(従業員の給与情報!$B:$B,$A679,従業員の給与情報!$C:$C)),0,AVERAGEIF(従業員の給与情報!$B:$B,$A679,従業員の給与情報!$C:$C)))))</f>
        <v/>
      </c>
      <c r="U679" s="299" t="str">
        <f>IF(OR(入力シート!$C$5&lt;&gt;入力リスト!$C$3,COUNTIF(入力シート!$J$16:$S$23,入力リスト!$H$9)=0),"",IF(A679="","",IF(ISERROR(AVERAGEIF(従業員の給与情報!$B:$B,$A679,従業員の給与情報!$D:$D)),0,IF(ISERROR(AVERAGEIF(従業員の給与情報!$B:$B,$A679,従業員の給与情報!$D:$D)),0,AVERAGEIF(従業員の給与情報!$B:$B,$A679,従業員の給与情報!$D:$D)))))</f>
        <v/>
      </c>
      <c r="V679" s="299" t="str">
        <f>IF(OR(入力シート!$C$5&lt;&gt;入力リスト!$C$3,COUNTIF(入力シート!$J$16:$S$23,入力リスト!$H$9)=0),"",IF(A679="","",IF(ISERROR(AVERAGEIF(従業員の給与情報!$B:$B,$A679,従業員の給与情報!$E:$E)),0,IF(ISERROR(AVERAGEIF(従業員の給与情報!$B:$B,$A679,従業員の給与情報!$E:$E)),0,AVERAGEIF(従業員の給与情報!$B:$B,$A679,従業員の給与情報!$E:$E)))))</f>
        <v/>
      </c>
      <c r="W679" s="299" t="str">
        <f>IF(OR(入力シート!$C$5&lt;&gt;入力リスト!$C$3,COUNTIF(入力シート!$J$16:$S$23,入力リスト!$H$9)=0),"",IF(A679="","",IF(ISERROR(AVERAGEIF(従業員の給与情報!$B:$B,$A679,従業員の給与情報!$F:$F)),0,IF(ISERROR(AVERAGEIF(従業員の給与情報!$B:$B,$A679,従業員の給与情報!$F:$F)),0,AVERAGEIF(従業員の給与情報!$B:$B,$A679,従業員の給与情報!$F:$F)))))</f>
        <v/>
      </c>
      <c r="X679" s="581" t="s">
        <v>5418</v>
      </c>
    </row>
    <row r="680" spans="6:24">
      <c r="F680" s="297" t="str">
        <f>IF($G$1,"",IF(COUNTIF(A680:E680,"")=5,"",IF(G680,入力リスト!$K$28,IF(OR(A680="",B680="",IF(COUNTIF($C$3,"*不要*"),"",C680=""),D680=""),IF(A680="","従業員番号","")&amp;IF(B680="","「雇用形態」","")&amp;IF(OR(入力シート!$J$18=入力リスト!$H$9,入力シート!$J$22=入力リスト!$H$9),IF(C680="","「入社年月日」",""),"")&amp;IF(D680="","「性別」","")&amp;IF(IF(A680="","従業員番号","")&amp;IF(B680="","「雇用形態」","")&amp;IF(OR(入力シート!$J$18=入力リスト!$H$9,入力シート!$J$22=入力リスト!$H$9),IF(C680="","「入社年月日」",""),"")&amp;IF(D680="","「性別」","")="","",入力リスト!$K$29),IF(J680,入力リスト!$K$30,"")&amp;IF(I680,入力リスト!$K$31,"")&amp;IF(H680,"「雇用形態」","")&amp;IF(K680,"「性別」","")&amp;IF(L680,"「役職」","")&amp;IF(OR(H680,K680,L680),入力リスト!$K$32,"")))))</f>
        <v/>
      </c>
      <c r="G680" s="298" t="b">
        <f>COUNTIF($A$4:A679,$A680)&gt;0</f>
        <v>0</v>
      </c>
      <c r="H680" s="298" t="b">
        <f>IF($H$1,FALSE,COUNTIF(入力シート!$S$37:$V$62,B680)=0)</f>
        <v>0</v>
      </c>
      <c r="I680" s="298" t="b">
        <f t="shared" si="21"/>
        <v>0</v>
      </c>
      <c r="J680" s="298" t="b">
        <f>IF($J$1,FALSE,IF(I680=TRUE,FALSE,IF(I680,FALSE,C680&gt;入力シート!$J$24)))</f>
        <v>0</v>
      </c>
      <c r="K680" s="298" t="b">
        <f>IF($K$1,FALSE,COUNTIF(入力シート!$AW$37:$BB$38,D680)=0)</f>
        <v>0</v>
      </c>
      <c r="L680" s="298" t="b">
        <f>IF($L$1,FALSE,IF($L$3,FALSE,IF(E680="",FALSE,COUNTIF(入力シート!$AH$37:$AK$62,E680)=0)))</f>
        <v>0</v>
      </c>
      <c r="M680" s="298" t="str">
        <f t="shared" si="22"/>
        <v/>
      </c>
      <c r="N680" s="298" t="str">
        <f>IF(G680,"この従業員番号は、すでに他のセルで入力されています。",IF(入力シート!$C$5=入力リスト!$C$4,"",IF(AND(A680="",B680="",C680="",D680="",E680=""),"",IF(OR(A680="",B680="",C680="",D680=""),IF(A680="","従業員番号","")&amp;IF(AND(A680="",OR(B680="",C680="",D680="")),",","")&amp;IF(B680="","雇用形態","")&amp;IF(AND(B680="",OR(C680="",D680="")),",","")&amp;IF(OR(入力シート!$J$18=入力リスト!$H$9,入力シート!$J$22=入力リスト!$H$9),IF(C680="","入社年月日",""),"")&amp;IF(AND(C680="",D680=""),",","")&amp;IF(D680="","性別","")&amp;IF(IF(A680="","従業員番号","")&amp;IF(B680="","雇用形態","")&amp;IF(OR(入力シート!$J$18=入力リスト!$H$9,入力シート!$J$22=入力リスト!$H$9),IF(C680="","入社年月日",""),"")&amp;IF(D680="","性別","")="","","が空白です。"),IF(J680,"入社年月日に「基準日」の翌日以降の日付が入力されています。","")&amp;IF(I680,"入社年月日に数値以外（又は1900/1/1以前の日付）が入力されています。","")&amp;IF(H680,"雇用形態"&amp;IF(OR(K680,L680),",",""),"")&amp;IF(K680,"性別"&amp;IF(L680,",",""),"")&amp;IF(L680,"役職","")&amp;IF(OR(H680,K680,L680),"に、［入力シート］(4)「貴社」欄と異なる文言が入力されています。","")))))</f>
        <v/>
      </c>
      <c r="O680" s="298" t="str">
        <f>IF(B680="","",VLOOKUP('従業員情報(給与以外)'!$B680,入力シート!$S$37:$Z$62,5,0))</f>
        <v/>
      </c>
      <c r="P680" s="298" t="str">
        <f>IF(ISNUMBER(C680)=FALSE,"",IF(C680&gt;入力シート!$J$24,"",_xlfn.DAYS(入力シート!$J$24,'従業員情報(給与以外)'!$C680)/365))</f>
        <v/>
      </c>
      <c r="Q680" s="298" t="str">
        <f>IF(P680="","",VLOOKUP(_xlfn.DAYS(入力シート!$J$24,'従業員情報(給与以外)'!$C680)/365,入力リスト!$K$18:$L$26,2,2))</f>
        <v/>
      </c>
      <c r="R680" s="298" t="str">
        <f>IF(D680="","",VLOOKUP('従業員情報(給与以外)'!$D680,入力シート!$AW$37:$BB$38,4,0))</f>
        <v/>
      </c>
      <c r="S680" s="298" t="str">
        <f>IF(A680="","",IF(E680="","非役職",VLOOKUP('従業員情報(給与以外)'!$E680,入力シート!$AH$37:$AO$62,5,0)))</f>
        <v/>
      </c>
      <c r="T680" s="299" t="str">
        <f>IF(OR(入力シート!$C$5&lt;&gt;入力リスト!$C$3,COUNTIF(入力シート!$J$16:$S$23,入力リスト!$H$9)=0),"",IF($A680="","",IF(ISERROR(AVERAGEIF(従業員の給与情報!$B:$B,$A680,従業員の給与情報!$C:$C)),0,IF(ISERROR(AVERAGEIF(従業員の給与情報!$B:$B,$A680,従業員の給与情報!$C:$C)),0,AVERAGEIF(従業員の給与情報!$B:$B,$A680,従業員の給与情報!$C:$C)))))</f>
        <v/>
      </c>
      <c r="U680" s="299" t="str">
        <f>IF(OR(入力シート!$C$5&lt;&gt;入力リスト!$C$3,COUNTIF(入力シート!$J$16:$S$23,入力リスト!$H$9)=0),"",IF(A680="","",IF(ISERROR(AVERAGEIF(従業員の給与情報!$B:$B,$A680,従業員の給与情報!$D:$D)),0,IF(ISERROR(AVERAGEIF(従業員の給与情報!$B:$B,$A680,従業員の給与情報!$D:$D)),0,AVERAGEIF(従業員の給与情報!$B:$B,$A680,従業員の給与情報!$D:$D)))))</f>
        <v/>
      </c>
      <c r="V680" s="299" t="str">
        <f>IF(OR(入力シート!$C$5&lt;&gt;入力リスト!$C$3,COUNTIF(入力シート!$J$16:$S$23,入力リスト!$H$9)=0),"",IF(A680="","",IF(ISERROR(AVERAGEIF(従業員の給与情報!$B:$B,$A680,従業員の給与情報!$E:$E)),0,IF(ISERROR(AVERAGEIF(従業員の給与情報!$B:$B,$A680,従業員の給与情報!$E:$E)),0,AVERAGEIF(従業員の給与情報!$B:$B,$A680,従業員の給与情報!$E:$E)))))</f>
        <v/>
      </c>
      <c r="W680" s="299" t="str">
        <f>IF(OR(入力シート!$C$5&lt;&gt;入力リスト!$C$3,COUNTIF(入力シート!$J$16:$S$23,入力リスト!$H$9)=0),"",IF(A680="","",IF(ISERROR(AVERAGEIF(従業員の給与情報!$B:$B,$A680,従業員の給与情報!$F:$F)),0,IF(ISERROR(AVERAGEIF(従業員の給与情報!$B:$B,$A680,従業員の給与情報!$F:$F)),0,AVERAGEIF(従業員の給与情報!$B:$B,$A680,従業員の給与情報!$F:$F)))))</f>
        <v/>
      </c>
      <c r="X680" s="581" t="s">
        <v>5419</v>
      </c>
    </row>
    <row r="681" spans="6:24">
      <c r="F681" s="297" t="str">
        <f>IF($G$1,"",IF(COUNTIF(A681:E681,"")=5,"",IF(G681,入力リスト!$K$28,IF(OR(A681="",B681="",IF(COUNTIF($C$3,"*不要*"),"",C681=""),D681=""),IF(A681="","従業員番号","")&amp;IF(B681="","「雇用形態」","")&amp;IF(OR(入力シート!$J$18=入力リスト!$H$9,入力シート!$J$22=入力リスト!$H$9),IF(C681="","「入社年月日」",""),"")&amp;IF(D681="","「性別」","")&amp;IF(IF(A681="","従業員番号","")&amp;IF(B681="","「雇用形態」","")&amp;IF(OR(入力シート!$J$18=入力リスト!$H$9,入力シート!$J$22=入力リスト!$H$9),IF(C681="","「入社年月日」",""),"")&amp;IF(D681="","「性別」","")="","",入力リスト!$K$29),IF(J681,入力リスト!$K$30,"")&amp;IF(I681,入力リスト!$K$31,"")&amp;IF(H681,"「雇用形態」","")&amp;IF(K681,"「性別」","")&amp;IF(L681,"「役職」","")&amp;IF(OR(H681,K681,L681),入力リスト!$K$32,"")))))</f>
        <v/>
      </c>
      <c r="G681" s="298" t="b">
        <f>COUNTIF($A$4:A680,$A681)&gt;0</f>
        <v>0</v>
      </c>
      <c r="H681" s="298" t="b">
        <f>IF($H$1,FALSE,COUNTIF(入力シート!$S$37:$V$62,B681)=0)</f>
        <v>0</v>
      </c>
      <c r="I681" s="298" t="b">
        <f t="shared" si="21"/>
        <v>0</v>
      </c>
      <c r="J681" s="298" t="b">
        <f>IF($J$1,FALSE,IF(I681=TRUE,FALSE,IF(I681,FALSE,C681&gt;入力シート!$J$24)))</f>
        <v>0</v>
      </c>
      <c r="K681" s="298" t="b">
        <f>IF($K$1,FALSE,COUNTIF(入力シート!$AW$37:$BB$38,D681)=0)</f>
        <v>0</v>
      </c>
      <c r="L681" s="298" t="b">
        <f>IF($L$1,FALSE,IF($L$3,FALSE,IF(E681="",FALSE,COUNTIF(入力シート!$AH$37:$AK$62,E681)=0)))</f>
        <v>0</v>
      </c>
      <c r="M681" s="298" t="str">
        <f t="shared" si="22"/>
        <v/>
      </c>
      <c r="N681" s="298" t="str">
        <f>IF(G681,"この従業員番号は、すでに他のセルで入力されています。",IF(入力シート!$C$5=入力リスト!$C$4,"",IF(AND(A681="",B681="",C681="",D681="",E681=""),"",IF(OR(A681="",B681="",C681="",D681=""),IF(A681="","従業員番号","")&amp;IF(AND(A681="",OR(B681="",C681="",D681="")),",","")&amp;IF(B681="","雇用形態","")&amp;IF(AND(B681="",OR(C681="",D681="")),",","")&amp;IF(OR(入力シート!$J$18=入力リスト!$H$9,入力シート!$J$22=入力リスト!$H$9),IF(C681="","入社年月日",""),"")&amp;IF(AND(C681="",D681=""),",","")&amp;IF(D681="","性別","")&amp;IF(IF(A681="","従業員番号","")&amp;IF(B681="","雇用形態","")&amp;IF(OR(入力シート!$J$18=入力リスト!$H$9,入力シート!$J$22=入力リスト!$H$9),IF(C681="","入社年月日",""),"")&amp;IF(D681="","性別","")="","","が空白です。"),IF(J681,"入社年月日に「基準日」の翌日以降の日付が入力されています。","")&amp;IF(I681,"入社年月日に数値以外（又は1900/1/1以前の日付）が入力されています。","")&amp;IF(H681,"雇用形態"&amp;IF(OR(K681,L681),",",""),"")&amp;IF(K681,"性別"&amp;IF(L681,",",""),"")&amp;IF(L681,"役職","")&amp;IF(OR(H681,K681,L681),"に、［入力シート］(4)「貴社」欄と異なる文言が入力されています。","")))))</f>
        <v/>
      </c>
      <c r="O681" s="298" t="str">
        <f>IF(B681="","",VLOOKUP('従業員情報(給与以外)'!$B681,入力シート!$S$37:$Z$62,5,0))</f>
        <v/>
      </c>
      <c r="P681" s="298" t="str">
        <f>IF(ISNUMBER(C681)=FALSE,"",IF(C681&gt;入力シート!$J$24,"",_xlfn.DAYS(入力シート!$J$24,'従業員情報(給与以外)'!$C681)/365))</f>
        <v/>
      </c>
      <c r="Q681" s="298" t="str">
        <f>IF(P681="","",VLOOKUP(_xlfn.DAYS(入力シート!$J$24,'従業員情報(給与以外)'!$C681)/365,入力リスト!$K$18:$L$26,2,2))</f>
        <v/>
      </c>
      <c r="R681" s="298" t="str">
        <f>IF(D681="","",VLOOKUP('従業員情報(給与以外)'!$D681,入力シート!$AW$37:$BB$38,4,0))</f>
        <v/>
      </c>
      <c r="S681" s="298" t="str">
        <f>IF(A681="","",IF(E681="","非役職",VLOOKUP('従業員情報(給与以外)'!$E681,入力シート!$AH$37:$AO$62,5,0)))</f>
        <v/>
      </c>
      <c r="T681" s="299" t="str">
        <f>IF(OR(入力シート!$C$5&lt;&gt;入力リスト!$C$3,COUNTIF(入力シート!$J$16:$S$23,入力リスト!$H$9)=0),"",IF($A681="","",IF(ISERROR(AVERAGEIF(従業員の給与情報!$B:$B,$A681,従業員の給与情報!$C:$C)),0,IF(ISERROR(AVERAGEIF(従業員の給与情報!$B:$B,$A681,従業員の給与情報!$C:$C)),0,AVERAGEIF(従業員の給与情報!$B:$B,$A681,従業員の給与情報!$C:$C)))))</f>
        <v/>
      </c>
      <c r="U681" s="299" t="str">
        <f>IF(OR(入力シート!$C$5&lt;&gt;入力リスト!$C$3,COUNTIF(入力シート!$J$16:$S$23,入力リスト!$H$9)=0),"",IF(A681="","",IF(ISERROR(AVERAGEIF(従業員の給与情報!$B:$B,$A681,従業員の給与情報!$D:$D)),0,IF(ISERROR(AVERAGEIF(従業員の給与情報!$B:$B,$A681,従業員の給与情報!$D:$D)),0,AVERAGEIF(従業員の給与情報!$B:$B,$A681,従業員の給与情報!$D:$D)))))</f>
        <v/>
      </c>
      <c r="V681" s="299" t="str">
        <f>IF(OR(入力シート!$C$5&lt;&gt;入力リスト!$C$3,COUNTIF(入力シート!$J$16:$S$23,入力リスト!$H$9)=0),"",IF(A681="","",IF(ISERROR(AVERAGEIF(従業員の給与情報!$B:$B,$A681,従業員の給与情報!$E:$E)),0,IF(ISERROR(AVERAGEIF(従業員の給与情報!$B:$B,$A681,従業員の給与情報!$E:$E)),0,AVERAGEIF(従業員の給与情報!$B:$B,$A681,従業員の給与情報!$E:$E)))))</f>
        <v/>
      </c>
      <c r="W681" s="299" t="str">
        <f>IF(OR(入力シート!$C$5&lt;&gt;入力リスト!$C$3,COUNTIF(入力シート!$J$16:$S$23,入力リスト!$H$9)=0),"",IF(A681="","",IF(ISERROR(AVERAGEIF(従業員の給与情報!$B:$B,$A681,従業員の給与情報!$F:$F)),0,IF(ISERROR(AVERAGEIF(従業員の給与情報!$B:$B,$A681,従業員の給与情報!$F:$F)),0,AVERAGEIF(従業員の給与情報!$B:$B,$A681,従業員の給与情報!$F:$F)))))</f>
        <v/>
      </c>
      <c r="X681" s="581" t="s">
        <v>5420</v>
      </c>
    </row>
    <row r="682" spans="6:24">
      <c r="F682" s="297" t="str">
        <f>IF($G$1,"",IF(COUNTIF(A682:E682,"")=5,"",IF(G682,入力リスト!$K$28,IF(OR(A682="",B682="",IF(COUNTIF($C$3,"*不要*"),"",C682=""),D682=""),IF(A682="","従業員番号","")&amp;IF(B682="","「雇用形態」","")&amp;IF(OR(入力シート!$J$18=入力リスト!$H$9,入力シート!$J$22=入力リスト!$H$9),IF(C682="","「入社年月日」",""),"")&amp;IF(D682="","「性別」","")&amp;IF(IF(A682="","従業員番号","")&amp;IF(B682="","「雇用形態」","")&amp;IF(OR(入力シート!$J$18=入力リスト!$H$9,入力シート!$J$22=入力リスト!$H$9),IF(C682="","「入社年月日」",""),"")&amp;IF(D682="","「性別」","")="","",入力リスト!$K$29),IF(J682,入力リスト!$K$30,"")&amp;IF(I682,入力リスト!$K$31,"")&amp;IF(H682,"「雇用形態」","")&amp;IF(K682,"「性別」","")&amp;IF(L682,"「役職」","")&amp;IF(OR(H682,K682,L682),入力リスト!$K$32,"")))))</f>
        <v/>
      </c>
      <c r="G682" s="298" t="b">
        <f>COUNTIF($A$4:A681,$A682)&gt;0</f>
        <v>0</v>
      </c>
      <c r="H682" s="298" t="b">
        <f>IF($H$1,FALSE,COUNTIF(入力シート!$S$37:$V$62,B682)=0)</f>
        <v>0</v>
      </c>
      <c r="I682" s="298" t="b">
        <f t="shared" si="21"/>
        <v>0</v>
      </c>
      <c r="J682" s="298" t="b">
        <f>IF($J$1,FALSE,IF(I682=TRUE,FALSE,IF(I682,FALSE,C682&gt;入力シート!$J$24)))</f>
        <v>0</v>
      </c>
      <c r="K682" s="298" t="b">
        <f>IF($K$1,FALSE,COUNTIF(入力シート!$AW$37:$BB$38,D682)=0)</f>
        <v>0</v>
      </c>
      <c r="L682" s="298" t="b">
        <f>IF($L$1,FALSE,IF($L$3,FALSE,IF(E682="",FALSE,COUNTIF(入力シート!$AH$37:$AK$62,E682)=0)))</f>
        <v>0</v>
      </c>
      <c r="M682" s="298" t="str">
        <f t="shared" si="22"/>
        <v/>
      </c>
      <c r="N682" s="298" t="str">
        <f>IF(G682,"この従業員番号は、すでに他のセルで入力されています。",IF(入力シート!$C$5=入力リスト!$C$4,"",IF(AND(A682="",B682="",C682="",D682="",E682=""),"",IF(OR(A682="",B682="",C682="",D682=""),IF(A682="","従業員番号","")&amp;IF(AND(A682="",OR(B682="",C682="",D682="")),",","")&amp;IF(B682="","雇用形態","")&amp;IF(AND(B682="",OR(C682="",D682="")),",","")&amp;IF(OR(入力シート!$J$18=入力リスト!$H$9,入力シート!$J$22=入力リスト!$H$9),IF(C682="","入社年月日",""),"")&amp;IF(AND(C682="",D682=""),",","")&amp;IF(D682="","性別","")&amp;IF(IF(A682="","従業員番号","")&amp;IF(B682="","雇用形態","")&amp;IF(OR(入力シート!$J$18=入力リスト!$H$9,入力シート!$J$22=入力リスト!$H$9),IF(C682="","入社年月日",""),"")&amp;IF(D682="","性別","")="","","が空白です。"),IF(J682,"入社年月日に「基準日」の翌日以降の日付が入力されています。","")&amp;IF(I682,"入社年月日に数値以外（又は1900/1/1以前の日付）が入力されています。","")&amp;IF(H682,"雇用形態"&amp;IF(OR(K682,L682),",",""),"")&amp;IF(K682,"性別"&amp;IF(L682,",",""),"")&amp;IF(L682,"役職","")&amp;IF(OR(H682,K682,L682),"に、［入力シート］(4)「貴社」欄と異なる文言が入力されています。","")))))</f>
        <v/>
      </c>
      <c r="O682" s="298" t="str">
        <f>IF(B682="","",VLOOKUP('従業員情報(給与以外)'!$B682,入力シート!$S$37:$Z$62,5,0))</f>
        <v/>
      </c>
      <c r="P682" s="298" t="str">
        <f>IF(ISNUMBER(C682)=FALSE,"",IF(C682&gt;入力シート!$J$24,"",_xlfn.DAYS(入力シート!$J$24,'従業員情報(給与以外)'!$C682)/365))</f>
        <v/>
      </c>
      <c r="Q682" s="298" t="str">
        <f>IF(P682="","",VLOOKUP(_xlfn.DAYS(入力シート!$J$24,'従業員情報(給与以外)'!$C682)/365,入力リスト!$K$18:$L$26,2,2))</f>
        <v/>
      </c>
      <c r="R682" s="298" t="str">
        <f>IF(D682="","",VLOOKUP('従業員情報(給与以外)'!$D682,入力シート!$AW$37:$BB$38,4,0))</f>
        <v/>
      </c>
      <c r="S682" s="298" t="str">
        <f>IF(A682="","",IF(E682="","非役職",VLOOKUP('従業員情報(給与以外)'!$E682,入力シート!$AH$37:$AO$62,5,0)))</f>
        <v/>
      </c>
      <c r="T682" s="299" t="str">
        <f>IF(OR(入力シート!$C$5&lt;&gt;入力リスト!$C$3,COUNTIF(入力シート!$J$16:$S$23,入力リスト!$H$9)=0),"",IF($A682="","",IF(ISERROR(AVERAGEIF(従業員の給与情報!$B:$B,$A682,従業員の給与情報!$C:$C)),0,IF(ISERROR(AVERAGEIF(従業員の給与情報!$B:$B,$A682,従業員の給与情報!$C:$C)),0,AVERAGEIF(従業員の給与情報!$B:$B,$A682,従業員の給与情報!$C:$C)))))</f>
        <v/>
      </c>
      <c r="U682" s="299" t="str">
        <f>IF(OR(入力シート!$C$5&lt;&gt;入力リスト!$C$3,COUNTIF(入力シート!$J$16:$S$23,入力リスト!$H$9)=0),"",IF(A682="","",IF(ISERROR(AVERAGEIF(従業員の給与情報!$B:$B,$A682,従業員の給与情報!$D:$D)),0,IF(ISERROR(AVERAGEIF(従業員の給与情報!$B:$B,$A682,従業員の給与情報!$D:$D)),0,AVERAGEIF(従業員の給与情報!$B:$B,$A682,従業員の給与情報!$D:$D)))))</f>
        <v/>
      </c>
      <c r="V682" s="299" t="str">
        <f>IF(OR(入力シート!$C$5&lt;&gt;入力リスト!$C$3,COUNTIF(入力シート!$J$16:$S$23,入力リスト!$H$9)=0),"",IF(A682="","",IF(ISERROR(AVERAGEIF(従業員の給与情報!$B:$B,$A682,従業員の給与情報!$E:$E)),0,IF(ISERROR(AVERAGEIF(従業員の給与情報!$B:$B,$A682,従業員の給与情報!$E:$E)),0,AVERAGEIF(従業員の給与情報!$B:$B,$A682,従業員の給与情報!$E:$E)))))</f>
        <v/>
      </c>
      <c r="W682" s="299" t="str">
        <f>IF(OR(入力シート!$C$5&lt;&gt;入力リスト!$C$3,COUNTIF(入力シート!$J$16:$S$23,入力リスト!$H$9)=0),"",IF(A682="","",IF(ISERROR(AVERAGEIF(従業員の給与情報!$B:$B,$A682,従業員の給与情報!$F:$F)),0,IF(ISERROR(AVERAGEIF(従業員の給与情報!$B:$B,$A682,従業員の給与情報!$F:$F)),0,AVERAGEIF(従業員の給与情報!$B:$B,$A682,従業員の給与情報!$F:$F)))))</f>
        <v/>
      </c>
      <c r="X682" s="581" t="s">
        <v>5421</v>
      </c>
    </row>
    <row r="683" spans="6:24">
      <c r="F683" s="297" t="str">
        <f>IF($G$1,"",IF(COUNTIF(A683:E683,"")=5,"",IF(G683,入力リスト!$K$28,IF(OR(A683="",B683="",IF(COUNTIF($C$3,"*不要*"),"",C683=""),D683=""),IF(A683="","従業員番号","")&amp;IF(B683="","「雇用形態」","")&amp;IF(OR(入力シート!$J$18=入力リスト!$H$9,入力シート!$J$22=入力リスト!$H$9),IF(C683="","「入社年月日」",""),"")&amp;IF(D683="","「性別」","")&amp;IF(IF(A683="","従業員番号","")&amp;IF(B683="","「雇用形態」","")&amp;IF(OR(入力シート!$J$18=入力リスト!$H$9,入力シート!$J$22=入力リスト!$H$9),IF(C683="","「入社年月日」",""),"")&amp;IF(D683="","「性別」","")="","",入力リスト!$K$29),IF(J683,入力リスト!$K$30,"")&amp;IF(I683,入力リスト!$K$31,"")&amp;IF(H683,"「雇用形態」","")&amp;IF(K683,"「性別」","")&amp;IF(L683,"「役職」","")&amp;IF(OR(H683,K683,L683),入力リスト!$K$32,"")))))</f>
        <v/>
      </c>
      <c r="G683" s="298" t="b">
        <f>COUNTIF($A$4:A682,$A683)&gt;0</f>
        <v>0</v>
      </c>
      <c r="H683" s="298" t="b">
        <f>IF($H$1,FALSE,COUNTIF(入力シート!$S$37:$V$62,B683)=0)</f>
        <v>0</v>
      </c>
      <c r="I683" s="298" t="b">
        <f t="shared" si="21"/>
        <v>0</v>
      </c>
      <c r="J683" s="298" t="b">
        <f>IF($J$1,FALSE,IF(I683=TRUE,FALSE,IF(I683,FALSE,C683&gt;入力シート!$J$24)))</f>
        <v>0</v>
      </c>
      <c r="K683" s="298" t="b">
        <f>IF($K$1,FALSE,COUNTIF(入力シート!$AW$37:$BB$38,D683)=0)</f>
        <v>0</v>
      </c>
      <c r="L683" s="298" t="b">
        <f>IF($L$1,FALSE,IF($L$3,FALSE,IF(E683="",FALSE,COUNTIF(入力シート!$AH$37:$AK$62,E683)=0)))</f>
        <v>0</v>
      </c>
      <c r="M683" s="298" t="str">
        <f t="shared" si="22"/>
        <v/>
      </c>
      <c r="N683" s="298" t="str">
        <f>IF(G683,"この従業員番号は、すでに他のセルで入力されています。",IF(入力シート!$C$5=入力リスト!$C$4,"",IF(AND(A683="",B683="",C683="",D683="",E683=""),"",IF(OR(A683="",B683="",C683="",D683=""),IF(A683="","従業員番号","")&amp;IF(AND(A683="",OR(B683="",C683="",D683="")),",","")&amp;IF(B683="","雇用形態","")&amp;IF(AND(B683="",OR(C683="",D683="")),",","")&amp;IF(OR(入力シート!$J$18=入力リスト!$H$9,入力シート!$J$22=入力リスト!$H$9),IF(C683="","入社年月日",""),"")&amp;IF(AND(C683="",D683=""),",","")&amp;IF(D683="","性別","")&amp;IF(IF(A683="","従業員番号","")&amp;IF(B683="","雇用形態","")&amp;IF(OR(入力シート!$J$18=入力リスト!$H$9,入力シート!$J$22=入力リスト!$H$9),IF(C683="","入社年月日",""),"")&amp;IF(D683="","性別","")="","","が空白です。"),IF(J683,"入社年月日に「基準日」の翌日以降の日付が入力されています。","")&amp;IF(I683,"入社年月日に数値以外（又は1900/1/1以前の日付）が入力されています。","")&amp;IF(H683,"雇用形態"&amp;IF(OR(K683,L683),",",""),"")&amp;IF(K683,"性別"&amp;IF(L683,",",""),"")&amp;IF(L683,"役職","")&amp;IF(OR(H683,K683,L683),"に、［入力シート］(4)「貴社」欄と異なる文言が入力されています。","")))))</f>
        <v/>
      </c>
      <c r="O683" s="298" t="str">
        <f>IF(B683="","",VLOOKUP('従業員情報(給与以外)'!$B683,入力シート!$S$37:$Z$62,5,0))</f>
        <v/>
      </c>
      <c r="P683" s="298" t="str">
        <f>IF(ISNUMBER(C683)=FALSE,"",IF(C683&gt;入力シート!$J$24,"",_xlfn.DAYS(入力シート!$J$24,'従業員情報(給与以外)'!$C683)/365))</f>
        <v/>
      </c>
      <c r="Q683" s="298" t="str">
        <f>IF(P683="","",VLOOKUP(_xlfn.DAYS(入力シート!$J$24,'従業員情報(給与以外)'!$C683)/365,入力リスト!$K$18:$L$26,2,2))</f>
        <v/>
      </c>
      <c r="R683" s="298" t="str">
        <f>IF(D683="","",VLOOKUP('従業員情報(給与以外)'!$D683,入力シート!$AW$37:$BB$38,4,0))</f>
        <v/>
      </c>
      <c r="S683" s="298" t="str">
        <f>IF(A683="","",IF(E683="","非役職",VLOOKUP('従業員情報(給与以外)'!$E683,入力シート!$AH$37:$AO$62,5,0)))</f>
        <v/>
      </c>
      <c r="T683" s="299" t="str">
        <f>IF(OR(入力シート!$C$5&lt;&gt;入力リスト!$C$3,COUNTIF(入力シート!$J$16:$S$23,入力リスト!$H$9)=0),"",IF($A683="","",IF(ISERROR(AVERAGEIF(従業員の給与情報!$B:$B,$A683,従業員の給与情報!$C:$C)),0,IF(ISERROR(AVERAGEIF(従業員の給与情報!$B:$B,$A683,従業員の給与情報!$C:$C)),0,AVERAGEIF(従業員の給与情報!$B:$B,$A683,従業員の給与情報!$C:$C)))))</f>
        <v/>
      </c>
      <c r="U683" s="299" t="str">
        <f>IF(OR(入力シート!$C$5&lt;&gt;入力リスト!$C$3,COUNTIF(入力シート!$J$16:$S$23,入力リスト!$H$9)=0),"",IF(A683="","",IF(ISERROR(AVERAGEIF(従業員の給与情報!$B:$B,$A683,従業員の給与情報!$D:$D)),0,IF(ISERROR(AVERAGEIF(従業員の給与情報!$B:$B,$A683,従業員の給与情報!$D:$D)),0,AVERAGEIF(従業員の給与情報!$B:$B,$A683,従業員の給与情報!$D:$D)))))</f>
        <v/>
      </c>
      <c r="V683" s="299" t="str">
        <f>IF(OR(入力シート!$C$5&lt;&gt;入力リスト!$C$3,COUNTIF(入力シート!$J$16:$S$23,入力リスト!$H$9)=0),"",IF(A683="","",IF(ISERROR(AVERAGEIF(従業員の給与情報!$B:$B,$A683,従業員の給与情報!$E:$E)),0,IF(ISERROR(AVERAGEIF(従業員の給与情報!$B:$B,$A683,従業員の給与情報!$E:$E)),0,AVERAGEIF(従業員の給与情報!$B:$B,$A683,従業員の給与情報!$E:$E)))))</f>
        <v/>
      </c>
      <c r="W683" s="299" t="str">
        <f>IF(OR(入力シート!$C$5&lt;&gt;入力リスト!$C$3,COUNTIF(入力シート!$J$16:$S$23,入力リスト!$H$9)=0),"",IF(A683="","",IF(ISERROR(AVERAGEIF(従業員の給与情報!$B:$B,$A683,従業員の給与情報!$F:$F)),0,IF(ISERROR(AVERAGEIF(従業員の給与情報!$B:$B,$A683,従業員の給与情報!$F:$F)),0,AVERAGEIF(従業員の給与情報!$B:$B,$A683,従業員の給与情報!$F:$F)))))</f>
        <v/>
      </c>
      <c r="X683" s="581" t="s">
        <v>5422</v>
      </c>
    </row>
    <row r="684" spans="6:24">
      <c r="F684" s="297" t="str">
        <f>IF($G$1,"",IF(COUNTIF(A684:E684,"")=5,"",IF(G684,入力リスト!$K$28,IF(OR(A684="",B684="",IF(COUNTIF($C$3,"*不要*"),"",C684=""),D684=""),IF(A684="","従業員番号","")&amp;IF(B684="","「雇用形態」","")&amp;IF(OR(入力シート!$J$18=入力リスト!$H$9,入力シート!$J$22=入力リスト!$H$9),IF(C684="","「入社年月日」",""),"")&amp;IF(D684="","「性別」","")&amp;IF(IF(A684="","従業員番号","")&amp;IF(B684="","「雇用形態」","")&amp;IF(OR(入力シート!$J$18=入力リスト!$H$9,入力シート!$J$22=入力リスト!$H$9),IF(C684="","「入社年月日」",""),"")&amp;IF(D684="","「性別」","")="","",入力リスト!$K$29),IF(J684,入力リスト!$K$30,"")&amp;IF(I684,入力リスト!$K$31,"")&amp;IF(H684,"「雇用形態」","")&amp;IF(K684,"「性別」","")&amp;IF(L684,"「役職」","")&amp;IF(OR(H684,K684,L684),入力リスト!$K$32,"")))))</f>
        <v/>
      </c>
      <c r="G684" s="298" t="b">
        <f>COUNTIF($A$4:A683,$A684)&gt;0</f>
        <v>0</v>
      </c>
      <c r="H684" s="298" t="b">
        <f>IF($H$1,FALSE,COUNTIF(入力シート!$S$37:$V$62,B684)=0)</f>
        <v>0</v>
      </c>
      <c r="I684" s="298" t="b">
        <f t="shared" si="21"/>
        <v>0</v>
      </c>
      <c r="J684" s="298" t="b">
        <f>IF($J$1,FALSE,IF(I684=TRUE,FALSE,IF(I684,FALSE,C684&gt;入力シート!$J$24)))</f>
        <v>0</v>
      </c>
      <c r="K684" s="298" t="b">
        <f>IF($K$1,FALSE,COUNTIF(入力シート!$AW$37:$BB$38,D684)=0)</f>
        <v>0</v>
      </c>
      <c r="L684" s="298" t="b">
        <f>IF($L$1,FALSE,IF($L$3,FALSE,IF(E684="",FALSE,COUNTIF(入力シート!$AH$37:$AK$62,E684)=0)))</f>
        <v>0</v>
      </c>
      <c r="M684" s="298" t="str">
        <f t="shared" si="22"/>
        <v/>
      </c>
      <c r="N684" s="298" t="str">
        <f>IF(G684,"この従業員番号は、すでに他のセルで入力されています。",IF(入力シート!$C$5=入力リスト!$C$4,"",IF(AND(A684="",B684="",C684="",D684="",E684=""),"",IF(OR(A684="",B684="",C684="",D684=""),IF(A684="","従業員番号","")&amp;IF(AND(A684="",OR(B684="",C684="",D684="")),",","")&amp;IF(B684="","雇用形態","")&amp;IF(AND(B684="",OR(C684="",D684="")),",","")&amp;IF(OR(入力シート!$J$18=入力リスト!$H$9,入力シート!$J$22=入力リスト!$H$9),IF(C684="","入社年月日",""),"")&amp;IF(AND(C684="",D684=""),",","")&amp;IF(D684="","性別","")&amp;IF(IF(A684="","従業員番号","")&amp;IF(B684="","雇用形態","")&amp;IF(OR(入力シート!$J$18=入力リスト!$H$9,入力シート!$J$22=入力リスト!$H$9),IF(C684="","入社年月日",""),"")&amp;IF(D684="","性別","")="","","が空白です。"),IF(J684,"入社年月日に「基準日」の翌日以降の日付が入力されています。","")&amp;IF(I684,"入社年月日に数値以外（又は1900/1/1以前の日付）が入力されています。","")&amp;IF(H684,"雇用形態"&amp;IF(OR(K684,L684),",",""),"")&amp;IF(K684,"性別"&amp;IF(L684,",",""),"")&amp;IF(L684,"役職","")&amp;IF(OR(H684,K684,L684),"に、［入力シート］(4)「貴社」欄と異なる文言が入力されています。","")))))</f>
        <v/>
      </c>
      <c r="O684" s="298" t="str">
        <f>IF(B684="","",VLOOKUP('従業員情報(給与以外)'!$B684,入力シート!$S$37:$Z$62,5,0))</f>
        <v/>
      </c>
      <c r="P684" s="298" t="str">
        <f>IF(ISNUMBER(C684)=FALSE,"",IF(C684&gt;入力シート!$J$24,"",_xlfn.DAYS(入力シート!$J$24,'従業員情報(給与以外)'!$C684)/365))</f>
        <v/>
      </c>
      <c r="Q684" s="298" t="str">
        <f>IF(P684="","",VLOOKUP(_xlfn.DAYS(入力シート!$J$24,'従業員情報(給与以外)'!$C684)/365,入力リスト!$K$18:$L$26,2,2))</f>
        <v/>
      </c>
      <c r="R684" s="298" t="str">
        <f>IF(D684="","",VLOOKUP('従業員情報(給与以外)'!$D684,入力シート!$AW$37:$BB$38,4,0))</f>
        <v/>
      </c>
      <c r="S684" s="298" t="str">
        <f>IF(A684="","",IF(E684="","非役職",VLOOKUP('従業員情報(給与以外)'!$E684,入力シート!$AH$37:$AO$62,5,0)))</f>
        <v/>
      </c>
      <c r="T684" s="299" t="str">
        <f>IF(OR(入力シート!$C$5&lt;&gt;入力リスト!$C$3,COUNTIF(入力シート!$J$16:$S$23,入力リスト!$H$9)=0),"",IF($A684="","",IF(ISERROR(AVERAGEIF(従業員の給与情報!$B:$B,$A684,従業員の給与情報!$C:$C)),0,IF(ISERROR(AVERAGEIF(従業員の給与情報!$B:$B,$A684,従業員の給与情報!$C:$C)),0,AVERAGEIF(従業員の給与情報!$B:$B,$A684,従業員の給与情報!$C:$C)))))</f>
        <v/>
      </c>
      <c r="U684" s="299" t="str">
        <f>IF(OR(入力シート!$C$5&lt;&gt;入力リスト!$C$3,COUNTIF(入力シート!$J$16:$S$23,入力リスト!$H$9)=0),"",IF(A684="","",IF(ISERROR(AVERAGEIF(従業員の給与情報!$B:$B,$A684,従業員の給与情報!$D:$D)),0,IF(ISERROR(AVERAGEIF(従業員の給与情報!$B:$B,$A684,従業員の給与情報!$D:$D)),0,AVERAGEIF(従業員の給与情報!$B:$B,$A684,従業員の給与情報!$D:$D)))))</f>
        <v/>
      </c>
      <c r="V684" s="299" t="str">
        <f>IF(OR(入力シート!$C$5&lt;&gt;入力リスト!$C$3,COUNTIF(入力シート!$J$16:$S$23,入力リスト!$H$9)=0),"",IF(A684="","",IF(ISERROR(AVERAGEIF(従業員の給与情報!$B:$B,$A684,従業員の給与情報!$E:$E)),0,IF(ISERROR(AVERAGEIF(従業員の給与情報!$B:$B,$A684,従業員の給与情報!$E:$E)),0,AVERAGEIF(従業員の給与情報!$B:$B,$A684,従業員の給与情報!$E:$E)))))</f>
        <v/>
      </c>
      <c r="W684" s="299" t="str">
        <f>IF(OR(入力シート!$C$5&lt;&gt;入力リスト!$C$3,COUNTIF(入力シート!$J$16:$S$23,入力リスト!$H$9)=0),"",IF(A684="","",IF(ISERROR(AVERAGEIF(従業員の給与情報!$B:$B,$A684,従業員の給与情報!$F:$F)),0,IF(ISERROR(AVERAGEIF(従業員の給与情報!$B:$B,$A684,従業員の給与情報!$F:$F)),0,AVERAGEIF(従業員の給与情報!$B:$B,$A684,従業員の給与情報!$F:$F)))))</f>
        <v/>
      </c>
      <c r="X684" s="581" t="s">
        <v>5423</v>
      </c>
    </row>
    <row r="685" spans="6:24">
      <c r="F685" s="297" t="str">
        <f>IF($G$1,"",IF(COUNTIF(A685:E685,"")=5,"",IF(G685,入力リスト!$K$28,IF(OR(A685="",B685="",IF(COUNTIF($C$3,"*不要*"),"",C685=""),D685=""),IF(A685="","従業員番号","")&amp;IF(B685="","「雇用形態」","")&amp;IF(OR(入力シート!$J$18=入力リスト!$H$9,入力シート!$J$22=入力リスト!$H$9),IF(C685="","「入社年月日」",""),"")&amp;IF(D685="","「性別」","")&amp;IF(IF(A685="","従業員番号","")&amp;IF(B685="","「雇用形態」","")&amp;IF(OR(入力シート!$J$18=入力リスト!$H$9,入力シート!$J$22=入力リスト!$H$9),IF(C685="","「入社年月日」",""),"")&amp;IF(D685="","「性別」","")="","",入力リスト!$K$29),IF(J685,入力リスト!$K$30,"")&amp;IF(I685,入力リスト!$K$31,"")&amp;IF(H685,"「雇用形態」","")&amp;IF(K685,"「性別」","")&amp;IF(L685,"「役職」","")&amp;IF(OR(H685,K685,L685),入力リスト!$K$32,"")))))</f>
        <v/>
      </c>
      <c r="G685" s="298" t="b">
        <f>COUNTIF($A$4:A684,$A685)&gt;0</f>
        <v>0</v>
      </c>
      <c r="H685" s="298" t="b">
        <f>IF($H$1,FALSE,COUNTIF(入力シート!$S$37:$V$62,B685)=0)</f>
        <v>0</v>
      </c>
      <c r="I685" s="298" t="b">
        <f t="shared" si="21"/>
        <v>0</v>
      </c>
      <c r="J685" s="298" t="b">
        <f>IF($J$1,FALSE,IF(I685=TRUE,FALSE,IF(I685,FALSE,C685&gt;入力シート!$J$24)))</f>
        <v>0</v>
      </c>
      <c r="K685" s="298" t="b">
        <f>IF($K$1,FALSE,COUNTIF(入力シート!$AW$37:$BB$38,D685)=0)</f>
        <v>0</v>
      </c>
      <c r="L685" s="298" t="b">
        <f>IF($L$1,FALSE,IF($L$3,FALSE,IF(E685="",FALSE,COUNTIF(入力シート!$AH$37:$AK$62,E685)=0)))</f>
        <v>0</v>
      </c>
      <c r="M685" s="298" t="str">
        <f t="shared" si="22"/>
        <v/>
      </c>
      <c r="N685" s="298" t="str">
        <f>IF(G685,"この従業員番号は、すでに他のセルで入力されています。",IF(入力シート!$C$5=入力リスト!$C$4,"",IF(AND(A685="",B685="",C685="",D685="",E685=""),"",IF(OR(A685="",B685="",C685="",D685=""),IF(A685="","従業員番号","")&amp;IF(AND(A685="",OR(B685="",C685="",D685="")),",","")&amp;IF(B685="","雇用形態","")&amp;IF(AND(B685="",OR(C685="",D685="")),",","")&amp;IF(OR(入力シート!$J$18=入力リスト!$H$9,入力シート!$J$22=入力リスト!$H$9),IF(C685="","入社年月日",""),"")&amp;IF(AND(C685="",D685=""),",","")&amp;IF(D685="","性別","")&amp;IF(IF(A685="","従業員番号","")&amp;IF(B685="","雇用形態","")&amp;IF(OR(入力シート!$J$18=入力リスト!$H$9,入力シート!$J$22=入力リスト!$H$9),IF(C685="","入社年月日",""),"")&amp;IF(D685="","性別","")="","","が空白です。"),IF(J685,"入社年月日に「基準日」の翌日以降の日付が入力されています。","")&amp;IF(I685,"入社年月日に数値以外（又は1900/1/1以前の日付）が入力されています。","")&amp;IF(H685,"雇用形態"&amp;IF(OR(K685,L685),",",""),"")&amp;IF(K685,"性別"&amp;IF(L685,",",""),"")&amp;IF(L685,"役職","")&amp;IF(OR(H685,K685,L685),"に、［入力シート］(4)「貴社」欄と異なる文言が入力されています。","")))))</f>
        <v/>
      </c>
      <c r="O685" s="298" t="str">
        <f>IF(B685="","",VLOOKUP('従業員情報(給与以外)'!$B685,入力シート!$S$37:$Z$62,5,0))</f>
        <v/>
      </c>
      <c r="P685" s="298" t="str">
        <f>IF(ISNUMBER(C685)=FALSE,"",IF(C685&gt;入力シート!$J$24,"",_xlfn.DAYS(入力シート!$J$24,'従業員情報(給与以外)'!$C685)/365))</f>
        <v/>
      </c>
      <c r="Q685" s="298" t="str">
        <f>IF(P685="","",VLOOKUP(_xlfn.DAYS(入力シート!$J$24,'従業員情報(給与以外)'!$C685)/365,入力リスト!$K$18:$L$26,2,2))</f>
        <v/>
      </c>
      <c r="R685" s="298" t="str">
        <f>IF(D685="","",VLOOKUP('従業員情報(給与以外)'!$D685,入力シート!$AW$37:$BB$38,4,0))</f>
        <v/>
      </c>
      <c r="S685" s="298" t="str">
        <f>IF(A685="","",IF(E685="","非役職",VLOOKUP('従業員情報(給与以外)'!$E685,入力シート!$AH$37:$AO$62,5,0)))</f>
        <v/>
      </c>
      <c r="T685" s="299" t="str">
        <f>IF(OR(入力シート!$C$5&lt;&gt;入力リスト!$C$3,COUNTIF(入力シート!$J$16:$S$23,入力リスト!$H$9)=0),"",IF($A685="","",IF(ISERROR(AVERAGEIF(従業員の給与情報!$B:$B,$A685,従業員の給与情報!$C:$C)),0,IF(ISERROR(AVERAGEIF(従業員の給与情報!$B:$B,$A685,従業員の給与情報!$C:$C)),0,AVERAGEIF(従業員の給与情報!$B:$B,$A685,従業員の給与情報!$C:$C)))))</f>
        <v/>
      </c>
      <c r="U685" s="299" t="str">
        <f>IF(OR(入力シート!$C$5&lt;&gt;入力リスト!$C$3,COUNTIF(入力シート!$J$16:$S$23,入力リスト!$H$9)=0),"",IF(A685="","",IF(ISERROR(AVERAGEIF(従業員の給与情報!$B:$B,$A685,従業員の給与情報!$D:$D)),0,IF(ISERROR(AVERAGEIF(従業員の給与情報!$B:$B,$A685,従業員の給与情報!$D:$D)),0,AVERAGEIF(従業員の給与情報!$B:$B,$A685,従業員の給与情報!$D:$D)))))</f>
        <v/>
      </c>
      <c r="V685" s="299" t="str">
        <f>IF(OR(入力シート!$C$5&lt;&gt;入力リスト!$C$3,COUNTIF(入力シート!$J$16:$S$23,入力リスト!$H$9)=0),"",IF(A685="","",IF(ISERROR(AVERAGEIF(従業員の給与情報!$B:$B,$A685,従業員の給与情報!$E:$E)),0,IF(ISERROR(AVERAGEIF(従業員の給与情報!$B:$B,$A685,従業員の給与情報!$E:$E)),0,AVERAGEIF(従業員の給与情報!$B:$B,$A685,従業員の給与情報!$E:$E)))))</f>
        <v/>
      </c>
      <c r="W685" s="299" t="str">
        <f>IF(OR(入力シート!$C$5&lt;&gt;入力リスト!$C$3,COUNTIF(入力シート!$J$16:$S$23,入力リスト!$H$9)=0),"",IF(A685="","",IF(ISERROR(AVERAGEIF(従業員の給与情報!$B:$B,$A685,従業員の給与情報!$F:$F)),0,IF(ISERROR(AVERAGEIF(従業員の給与情報!$B:$B,$A685,従業員の給与情報!$F:$F)),0,AVERAGEIF(従業員の給与情報!$B:$B,$A685,従業員の給与情報!$F:$F)))))</f>
        <v/>
      </c>
      <c r="X685" s="581" t="s">
        <v>5424</v>
      </c>
    </row>
    <row r="686" spans="6:24">
      <c r="F686" s="297" t="str">
        <f>IF($G$1,"",IF(COUNTIF(A686:E686,"")=5,"",IF(G686,入力リスト!$K$28,IF(OR(A686="",B686="",IF(COUNTIF($C$3,"*不要*"),"",C686=""),D686=""),IF(A686="","従業員番号","")&amp;IF(B686="","「雇用形態」","")&amp;IF(OR(入力シート!$J$18=入力リスト!$H$9,入力シート!$J$22=入力リスト!$H$9),IF(C686="","「入社年月日」",""),"")&amp;IF(D686="","「性別」","")&amp;IF(IF(A686="","従業員番号","")&amp;IF(B686="","「雇用形態」","")&amp;IF(OR(入力シート!$J$18=入力リスト!$H$9,入力シート!$J$22=入力リスト!$H$9),IF(C686="","「入社年月日」",""),"")&amp;IF(D686="","「性別」","")="","",入力リスト!$K$29),IF(J686,入力リスト!$K$30,"")&amp;IF(I686,入力リスト!$K$31,"")&amp;IF(H686,"「雇用形態」","")&amp;IF(K686,"「性別」","")&amp;IF(L686,"「役職」","")&amp;IF(OR(H686,K686,L686),入力リスト!$K$32,"")))))</f>
        <v/>
      </c>
      <c r="G686" s="298" t="b">
        <f>COUNTIF($A$4:A685,$A686)&gt;0</f>
        <v>0</v>
      </c>
      <c r="H686" s="298" t="b">
        <f>IF($H$1,FALSE,COUNTIF(入力シート!$S$37:$V$62,B686)=0)</f>
        <v>0</v>
      </c>
      <c r="I686" s="298" t="b">
        <f t="shared" si="21"/>
        <v>0</v>
      </c>
      <c r="J686" s="298" t="b">
        <f>IF($J$1,FALSE,IF(I686=TRUE,FALSE,IF(I686,FALSE,C686&gt;入力シート!$J$24)))</f>
        <v>0</v>
      </c>
      <c r="K686" s="298" t="b">
        <f>IF($K$1,FALSE,COUNTIF(入力シート!$AW$37:$BB$38,D686)=0)</f>
        <v>0</v>
      </c>
      <c r="L686" s="298" t="b">
        <f>IF($L$1,FALSE,IF($L$3,FALSE,IF(E686="",FALSE,COUNTIF(入力シート!$AH$37:$AK$62,E686)=0)))</f>
        <v>0</v>
      </c>
      <c r="M686" s="298" t="str">
        <f t="shared" si="22"/>
        <v/>
      </c>
      <c r="N686" s="298" t="str">
        <f>IF(G686,"この従業員番号は、すでに他のセルで入力されています。",IF(入力シート!$C$5=入力リスト!$C$4,"",IF(AND(A686="",B686="",C686="",D686="",E686=""),"",IF(OR(A686="",B686="",C686="",D686=""),IF(A686="","従業員番号","")&amp;IF(AND(A686="",OR(B686="",C686="",D686="")),",","")&amp;IF(B686="","雇用形態","")&amp;IF(AND(B686="",OR(C686="",D686="")),",","")&amp;IF(OR(入力シート!$J$18=入力リスト!$H$9,入力シート!$J$22=入力リスト!$H$9),IF(C686="","入社年月日",""),"")&amp;IF(AND(C686="",D686=""),",","")&amp;IF(D686="","性別","")&amp;IF(IF(A686="","従業員番号","")&amp;IF(B686="","雇用形態","")&amp;IF(OR(入力シート!$J$18=入力リスト!$H$9,入力シート!$J$22=入力リスト!$H$9),IF(C686="","入社年月日",""),"")&amp;IF(D686="","性別","")="","","が空白です。"),IF(J686,"入社年月日に「基準日」の翌日以降の日付が入力されています。","")&amp;IF(I686,"入社年月日に数値以外（又は1900/1/1以前の日付）が入力されています。","")&amp;IF(H686,"雇用形態"&amp;IF(OR(K686,L686),",",""),"")&amp;IF(K686,"性別"&amp;IF(L686,",",""),"")&amp;IF(L686,"役職","")&amp;IF(OR(H686,K686,L686),"に、［入力シート］(4)「貴社」欄と異なる文言が入力されています。","")))))</f>
        <v/>
      </c>
      <c r="O686" s="298" t="str">
        <f>IF(B686="","",VLOOKUP('従業員情報(給与以外)'!$B686,入力シート!$S$37:$Z$62,5,0))</f>
        <v/>
      </c>
      <c r="P686" s="298" t="str">
        <f>IF(ISNUMBER(C686)=FALSE,"",IF(C686&gt;入力シート!$J$24,"",_xlfn.DAYS(入力シート!$J$24,'従業員情報(給与以外)'!$C686)/365))</f>
        <v/>
      </c>
      <c r="Q686" s="298" t="str">
        <f>IF(P686="","",VLOOKUP(_xlfn.DAYS(入力シート!$J$24,'従業員情報(給与以外)'!$C686)/365,入力リスト!$K$18:$L$26,2,2))</f>
        <v/>
      </c>
      <c r="R686" s="298" t="str">
        <f>IF(D686="","",VLOOKUP('従業員情報(給与以外)'!$D686,入力シート!$AW$37:$BB$38,4,0))</f>
        <v/>
      </c>
      <c r="S686" s="298" t="str">
        <f>IF(A686="","",IF(E686="","非役職",VLOOKUP('従業員情報(給与以外)'!$E686,入力シート!$AH$37:$AO$62,5,0)))</f>
        <v/>
      </c>
      <c r="T686" s="299" t="str">
        <f>IF(OR(入力シート!$C$5&lt;&gt;入力リスト!$C$3,COUNTIF(入力シート!$J$16:$S$23,入力リスト!$H$9)=0),"",IF($A686="","",IF(ISERROR(AVERAGEIF(従業員の給与情報!$B:$B,$A686,従業員の給与情報!$C:$C)),0,IF(ISERROR(AVERAGEIF(従業員の給与情報!$B:$B,$A686,従業員の給与情報!$C:$C)),0,AVERAGEIF(従業員の給与情報!$B:$B,$A686,従業員の給与情報!$C:$C)))))</f>
        <v/>
      </c>
      <c r="U686" s="299" t="str">
        <f>IF(OR(入力シート!$C$5&lt;&gt;入力リスト!$C$3,COUNTIF(入力シート!$J$16:$S$23,入力リスト!$H$9)=0),"",IF(A686="","",IF(ISERROR(AVERAGEIF(従業員の給与情報!$B:$B,$A686,従業員の給与情報!$D:$D)),0,IF(ISERROR(AVERAGEIF(従業員の給与情報!$B:$B,$A686,従業員の給与情報!$D:$D)),0,AVERAGEIF(従業員の給与情報!$B:$B,$A686,従業員の給与情報!$D:$D)))))</f>
        <v/>
      </c>
      <c r="V686" s="299" t="str">
        <f>IF(OR(入力シート!$C$5&lt;&gt;入力リスト!$C$3,COUNTIF(入力シート!$J$16:$S$23,入力リスト!$H$9)=0),"",IF(A686="","",IF(ISERROR(AVERAGEIF(従業員の給与情報!$B:$B,$A686,従業員の給与情報!$E:$E)),0,IF(ISERROR(AVERAGEIF(従業員の給与情報!$B:$B,$A686,従業員の給与情報!$E:$E)),0,AVERAGEIF(従業員の給与情報!$B:$B,$A686,従業員の給与情報!$E:$E)))))</f>
        <v/>
      </c>
      <c r="W686" s="299" t="str">
        <f>IF(OR(入力シート!$C$5&lt;&gt;入力リスト!$C$3,COUNTIF(入力シート!$J$16:$S$23,入力リスト!$H$9)=0),"",IF(A686="","",IF(ISERROR(AVERAGEIF(従業員の給与情報!$B:$B,$A686,従業員の給与情報!$F:$F)),0,IF(ISERROR(AVERAGEIF(従業員の給与情報!$B:$B,$A686,従業員の給与情報!$F:$F)),0,AVERAGEIF(従業員の給与情報!$B:$B,$A686,従業員の給与情報!$F:$F)))))</f>
        <v/>
      </c>
      <c r="X686" s="581" t="s">
        <v>5425</v>
      </c>
    </row>
    <row r="687" spans="6:24">
      <c r="F687" s="297" t="str">
        <f>IF($G$1,"",IF(COUNTIF(A687:E687,"")=5,"",IF(G687,入力リスト!$K$28,IF(OR(A687="",B687="",IF(COUNTIF($C$3,"*不要*"),"",C687=""),D687=""),IF(A687="","従業員番号","")&amp;IF(B687="","「雇用形態」","")&amp;IF(OR(入力シート!$J$18=入力リスト!$H$9,入力シート!$J$22=入力リスト!$H$9),IF(C687="","「入社年月日」",""),"")&amp;IF(D687="","「性別」","")&amp;IF(IF(A687="","従業員番号","")&amp;IF(B687="","「雇用形態」","")&amp;IF(OR(入力シート!$J$18=入力リスト!$H$9,入力シート!$J$22=入力リスト!$H$9),IF(C687="","「入社年月日」",""),"")&amp;IF(D687="","「性別」","")="","",入力リスト!$K$29),IF(J687,入力リスト!$K$30,"")&amp;IF(I687,入力リスト!$K$31,"")&amp;IF(H687,"「雇用形態」","")&amp;IF(K687,"「性別」","")&amp;IF(L687,"「役職」","")&amp;IF(OR(H687,K687,L687),入力リスト!$K$32,"")))))</f>
        <v/>
      </c>
      <c r="G687" s="298" t="b">
        <f>COUNTIF($A$4:A686,$A687)&gt;0</f>
        <v>0</v>
      </c>
      <c r="H687" s="298" t="b">
        <f>IF($H$1,FALSE,COUNTIF(入力シート!$S$37:$V$62,B687)=0)</f>
        <v>0</v>
      </c>
      <c r="I687" s="298" t="b">
        <f t="shared" si="21"/>
        <v>0</v>
      </c>
      <c r="J687" s="298" t="b">
        <f>IF($J$1,FALSE,IF(I687=TRUE,FALSE,IF(I687,FALSE,C687&gt;入力シート!$J$24)))</f>
        <v>0</v>
      </c>
      <c r="K687" s="298" t="b">
        <f>IF($K$1,FALSE,COUNTIF(入力シート!$AW$37:$BB$38,D687)=0)</f>
        <v>0</v>
      </c>
      <c r="L687" s="298" t="b">
        <f>IF($L$1,FALSE,IF($L$3,FALSE,IF(E687="",FALSE,COUNTIF(入力シート!$AH$37:$AK$62,E687)=0)))</f>
        <v>0</v>
      </c>
      <c r="M687" s="298" t="str">
        <f t="shared" si="22"/>
        <v/>
      </c>
      <c r="N687" s="298" t="str">
        <f>IF(G687,"この従業員番号は、すでに他のセルで入力されています。",IF(入力シート!$C$5=入力リスト!$C$4,"",IF(AND(A687="",B687="",C687="",D687="",E687=""),"",IF(OR(A687="",B687="",C687="",D687=""),IF(A687="","従業員番号","")&amp;IF(AND(A687="",OR(B687="",C687="",D687="")),",","")&amp;IF(B687="","雇用形態","")&amp;IF(AND(B687="",OR(C687="",D687="")),",","")&amp;IF(OR(入力シート!$J$18=入力リスト!$H$9,入力シート!$J$22=入力リスト!$H$9),IF(C687="","入社年月日",""),"")&amp;IF(AND(C687="",D687=""),",","")&amp;IF(D687="","性別","")&amp;IF(IF(A687="","従業員番号","")&amp;IF(B687="","雇用形態","")&amp;IF(OR(入力シート!$J$18=入力リスト!$H$9,入力シート!$J$22=入力リスト!$H$9),IF(C687="","入社年月日",""),"")&amp;IF(D687="","性別","")="","","が空白です。"),IF(J687,"入社年月日に「基準日」の翌日以降の日付が入力されています。","")&amp;IF(I687,"入社年月日に数値以外（又は1900/1/1以前の日付）が入力されています。","")&amp;IF(H687,"雇用形態"&amp;IF(OR(K687,L687),",",""),"")&amp;IF(K687,"性別"&amp;IF(L687,",",""),"")&amp;IF(L687,"役職","")&amp;IF(OR(H687,K687,L687),"に、［入力シート］(4)「貴社」欄と異なる文言が入力されています。","")))))</f>
        <v/>
      </c>
      <c r="O687" s="298" t="str">
        <f>IF(B687="","",VLOOKUP('従業員情報(給与以外)'!$B687,入力シート!$S$37:$Z$62,5,0))</f>
        <v/>
      </c>
      <c r="P687" s="298" t="str">
        <f>IF(ISNUMBER(C687)=FALSE,"",IF(C687&gt;入力シート!$J$24,"",_xlfn.DAYS(入力シート!$J$24,'従業員情報(給与以外)'!$C687)/365))</f>
        <v/>
      </c>
      <c r="Q687" s="298" t="str">
        <f>IF(P687="","",VLOOKUP(_xlfn.DAYS(入力シート!$J$24,'従業員情報(給与以外)'!$C687)/365,入力リスト!$K$18:$L$26,2,2))</f>
        <v/>
      </c>
      <c r="R687" s="298" t="str">
        <f>IF(D687="","",VLOOKUP('従業員情報(給与以外)'!$D687,入力シート!$AW$37:$BB$38,4,0))</f>
        <v/>
      </c>
      <c r="S687" s="298" t="str">
        <f>IF(A687="","",IF(E687="","非役職",VLOOKUP('従業員情報(給与以外)'!$E687,入力シート!$AH$37:$AO$62,5,0)))</f>
        <v/>
      </c>
      <c r="T687" s="299" t="str">
        <f>IF(OR(入力シート!$C$5&lt;&gt;入力リスト!$C$3,COUNTIF(入力シート!$J$16:$S$23,入力リスト!$H$9)=0),"",IF($A687="","",IF(ISERROR(AVERAGEIF(従業員の給与情報!$B:$B,$A687,従業員の給与情報!$C:$C)),0,IF(ISERROR(AVERAGEIF(従業員の給与情報!$B:$B,$A687,従業員の給与情報!$C:$C)),0,AVERAGEIF(従業員の給与情報!$B:$B,$A687,従業員の給与情報!$C:$C)))))</f>
        <v/>
      </c>
      <c r="U687" s="299" t="str">
        <f>IF(OR(入力シート!$C$5&lt;&gt;入力リスト!$C$3,COUNTIF(入力シート!$J$16:$S$23,入力リスト!$H$9)=0),"",IF(A687="","",IF(ISERROR(AVERAGEIF(従業員の給与情報!$B:$B,$A687,従業員の給与情報!$D:$D)),0,IF(ISERROR(AVERAGEIF(従業員の給与情報!$B:$B,$A687,従業員の給与情報!$D:$D)),0,AVERAGEIF(従業員の給与情報!$B:$B,$A687,従業員の給与情報!$D:$D)))))</f>
        <v/>
      </c>
      <c r="V687" s="299" t="str">
        <f>IF(OR(入力シート!$C$5&lt;&gt;入力リスト!$C$3,COUNTIF(入力シート!$J$16:$S$23,入力リスト!$H$9)=0),"",IF(A687="","",IF(ISERROR(AVERAGEIF(従業員の給与情報!$B:$B,$A687,従業員の給与情報!$E:$E)),0,IF(ISERROR(AVERAGEIF(従業員の給与情報!$B:$B,$A687,従業員の給与情報!$E:$E)),0,AVERAGEIF(従業員の給与情報!$B:$B,$A687,従業員の給与情報!$E:$E)))))</f>
        <v/>
      </c>
      <c r="W687" s="299" t="str">
        <f>IF(OR(入力シート!$C$5&lt;&gt;入力リスト!$C$3,COUNTIF(入力シート!$J$16:$S$23,入力リスト!$H$9)=0),"",IF(A687="","",IF(ISERROR(AVERAGEIF(従業員の給与情報!$B:$B,$A687,従業員の給与情報!$F:$F)),0,IF(ISERROR(AVERAGEIF(従業員の給与情報!$B:$B,$A687,従業員の給与情報!$F:$F)),0,AVERAGEIF(従業員の給与情報!$B:$B,$A687,従業員の給与情報!$F:$F)))))</f>
        <v/>
      </c>
      <c r="X687" s="581" t="s">
        <v>5426</v>
      </c>
    </row>
    <row r="688" spans="6:24">
      <c r="F688" s="297" t="str">
        <f>IF($G$1,"",IF(COUNTIF(A688:E688,"")=5,"",IF(G688,入力リスト!$K$28,IF(OR(A688="",B688="",IF(COUNTIF($C$3,"*不要*"),"",C688=""),D688=""),IF(A688="","従業員番号","")&amp;IF(B688="","「雇用形態」","")&amp;IF(OR(入力シート!$J$18=入力リスト!$H$9,入力シート!$J$22=入力リスト!$H$9),IF(C688="","「入社年月日」",""),"")&amp;IF(D688="","「性別」","")&amp;IF(IF(A688="","従業員番号","")&amp;IF(B688="","「雇用形態」","")&amp;IF(OR(入力シート!$J$18=入力リスト!$H$9,入力シート!$J$22=入力リスト!$H$9),IF(C688="","「入社年月日」",""),"")&amp;IF(D688="","「性別」","")="","",入力リスト!$K$29),IF(J688,入力リスト!$K$30,"")&amp;IF(I688,入力リスト!$K$31,"")&amp;IF(H688,"「雇用形態」","")&amp;IF(K688,"「性別」","")&amp;IF(L688,"「役職」","")&amp;IF(OR(H688,K688,L688),入力リスト!$K$32,"")))))</f>
        <v/>
      </c>
      <c r="G688" s="298" t="b">
        <f>COUNTIF($A$4:A687,$A688)&gt;0</f>
        <v>0</v>
      </c>
      <c r="H688" s="298" t="b">
        <f>IF($H$1,FALSE,COUNTIF(入力シート!$S$37:$V$62,B688)=0)</f>
        <v>0</v>
      </c>
      <c r="I688" s="298" t="b">
        <f t="shared" si="21"/>
        <v>0</v>
      </c>
      <c r="J688" s="298" t="b">
        <f>IF($J$1,FALSE,IF(I688=TRUE,FALSE,IF(I688,FALSE,C688&gt;入力シート!$J$24)))</f>
        <v>0</v>
      </c>
      <c r="K688" s="298" t="b">
        <f>IF($K$1,FALSE,COUNTIF(入力シート!$AW$37:$BB$38,D688)=0)</f>
        <v>0</v>
      </c>
      <c r="L688" s="298" t="b">
        <f>IF($L$1,FALSE,IF($L$3,FALSE,IF(E688="",FALSE,COUNTIF(入力シート!$AH$37:$AK$62,E688)=0)))</f>
        <v>0</v>
      </c>
      <c r="M688" s="298" t="str">
        <f t="shared" si="22"/>
        <v/>
      </c>
      <c r="N688" s="298" t="str">
        <f>IF(G688,"この従業員番号は、すでに他のセルで入力されています。",IF(入力シート!$C$5=入力リスト!$C$4,"",IF(AND(A688="",B688="",C688="",D688="",E688=""),"",IF(OR(A688="",B688="",C688="",D688=""),IF(A688="","従業員番号","")&amp;IF(AND(A688="",OR(B688="",C688="",D688="")),",","")&amp;IF(B688="","雇用形態","")&amp;IF(AND(B688="",OR(C688="",D688="")),",","")&amp;IF(OR(入力シート!$J$18=入力リスト!$H$9,入力シート!$J$22=入力リスト!$H$9),IF(C688="","入社年月日",""),"")&amp;IF(AND(C688="",D688=""),",","")&amp;IF(D688="","性別","")&amp;IF(IF(A688="","従業員番号","")&amp;IF(B688="","雇用形態","")&amp;IF(OR(入力シート!$J$18=入力リスト!$H$9,入力シート!$J$22=入力リスト!$H$9),IF(C688="","入社年月日",""),"")&amp;IF(D688="","性別","")="","","が空白です。"),IF(J688,"入社年月日に「基準日」の翌日以降の日付が入力されています。","")&amp;IF(I688,"入社年月日に数値以外（又は1900/1/1以前の日付）が入力されています。","")&amp;IF(H688,"雇用形態"&amp;IF(OR(K688,L688),",",""),"")&amp;IF(K688,"性別"&amp;IF(L688,",",""),"")&amp;IF(L688,"役職","")&amp;IF(OR(H688,K688,L688),"に、［入力シート］(4)「貴社」欄と異なる文言が入力されています。","")))))</f>
        <v/>
      </c>
      <c r="O688" s="298" t="str">
        <f>IF(B688="","",VLOOKUP('従業員情報(給与以外)'!$B688,入力シート!$S$37:$Z$62,5,0))</f>
        <v/>
      </c>
      <c r="P688" s="298" t="str">
        <f>IF(ISNUMBER(C688)=FALSE,"",IF(C688&gt;入力シート!$J$24,"",_xlfn.DAYS(入力シート!$J$24,'従業員情報(給与以外)'!$C688)/365))</f>
        <v/>
      </c>
      <c r="Q688" s="298" t="str">
        <f>IF(P688="","",VLOOKUP(_xlfn.DAYS(入力シート!$J$24,'従業員情報(給与以外)'!$C688)/365,入力リスト!$K$18:$L$26,2,2))</f>
        <v/>
      </c>
      <c r="R688" s="298" t="str">
        <f>IF(D688="","",VLOOKUP('従業員情報(給与以外)'!$D688,入力シート!$AW$37:$BB$38,4,0))</f>
        <v/>
      </c>
      <c r="S688" s="298" t="str">
        <f>IF(A688="","",IF(E688="","非役職",VLOOKUP('従業員情報(給与以外)'!$E688,入力シート!$AH$37:$AO$62,5,0)))</f>
        <v/>
      </c>
      <c r="T688" s="299" t="str">
        <f>IF(OR(入力シート!$C$5&lt;&gt;入力リスト!$C$3,COUNTIF(入力シート!$J$16:$S$23,入力リスト!$H$9)=0),"",IF($A688="","",IF(ISERROR(AVERAGEIF(従業員の給与情報!$B:$B,$A688,従業員の給与情報!$C:$C)),0,IF(ISERROR(AVERAGEIF(従業員の給与情報!$B:$B,$A688,従業員の給与情報!$C:$C)),0,AVERAGEIF(従業員の給与情報!$B:$B,$A688,従業員の給与情報!$C:$C)))))</f>
        <v/>
      </c>
      <c r="U688" s="299" t="str">
        <f>IF(OR(入力シート!$C$5&lt;&gt;入力リスト!$C$3,COUNTIF(入力シート!$J$16:$S$23,入力リスト!$H$9)=0),"",IF(A688="","",IF(ISERROR(AVERAGEIF(従業員の給与情報!$B:$B,$A688,従業員の給与情報!$D:$D)),0,IF(ISERROR(AVERAGEIF(従業員の給与情報!$B:$B,$A688,従業員の給与情報!$D:$D)),0,AVERAGEIF(従業員の給与情報!$B:$B,$A688,従業員の給与情報!$D:$D)))))</f>
        <v/>
      </c>
      <c r="V688" s="299" t="str">
        <f>IF(OR(入力シート!$C$5&lt;&gt;入力リスト!$C$3,COUNTIF(入力シート!$J$16:$S$23,入力リスト!$H$9)=0),"",IF(A688="","",IF(ISERROR(AVERAGEIF(従業員の給与情報!$B:$B,$A688,従業員の給与情報!$E:$E)),0,IF(ISERROR(AVERAGEIF(従業員の給与情報!$B:$B,$A688,従業員の給与情報!$E:$E)),0,AVERAGEIF(従業員の給与情報!$B:$B,$A688,従業員の給与情報!$E:$E)))))</f>
        <v/>
      </c>
      <c r="W688" s="299" t="str">
        <f>IF(OR(入力シート!$C$5&lt;&gt;入力リスト!$C$3,COUNTIF(入力シート!$J$16:$S$23,入力リスト!$H$9)=0),"",IF(A688="","",IF(ISERROR(AVERAGEIF(従業員の給与情報!$B:$B,$A688,従業員の給与情報!$F:$F)),0,IF(ISERROR(AVERAGEIF(従業員の給与情報!$B:$B,$A688,従業員の給与情報!$F:$F)),0,AVERAGEIF(従業員の給与情報!$B:$B,$A688,従業員の給与情報!$F:$F)))))</f>
        <v/>
      </c>
      <c r="X688" s="581" t="s">
        <v>5427</v>
      </c>
    </row>
    <row r="689" spans="6:24">
      <c r="F689" s="297" t="str">
        <f>IF($G$1,"",IF(COUNTIF(A689:E689,"")=5,"",IF(G689,入力リスト!$K$28,IF(OR(A689="",B689="",IF(COUNTIF($C$3,"*不要*"),"",C689=""),D689=""),IF(A689="","従業員番号","")&amp;IF(B689="","「雇用形態」","")&amp;IF(OR(入力シート!$J$18=入力リスト!$H$9,入力シート!$J$22=入力リスト!$H$9),IF(C689="","「入社年月日」",""),"")&amp;IF(D689="","「性別」","")&amp;IF(IF(A689="","従業員番号","")&amp;IF(B689="","「雇用形態」","")&amp;IF(OR(入力シート!$J$18=入力リスト!$H$9,入力シート!$J$22=入力リスト!$H$9),IF(C689="","「入社年月日」",""),"")&amp;IF(D689="","「性別」","")="","",入力リスト!$K$29),IF(J689,入力リスト!$K$30,"")&amp;IF(I689,入力リスト!$K$31,"")&amp;IF(H689,"「雇用形態」","")&amp;IF(K689,"「性別」","")&amp;IF(L689,"「役職」","")&amp;IF(OR(H689,K689,L689),入力リスト!$K$32,"")))))</f>
        <v/>
      </c>
      <c r="G689" s="298" t="b">
        <f>COUNTIF($A$4:A688,$A689)&gt;0</f>
        <v>0</v>
      </c>
      <c r="H689" s="298" t="b">
        <f>IF($H$1,FALSE,COUNTIF(入力シート!$S$37:$V$62,B689)=0)</f>
        <v>0</v>
      </c>
      <c r="I689" s="298" t="b">
        <f t="shared" si="21"/>
        <v>0</v>
      </c>
      <c r="J689" s="298" t="b">
        <f>IF($J$1,FALSE,IF(I689=TRUE,FALSE,IF(I689,FALSE,C689&gt;入力シート!$J$24)))</f>
        <v>0</v>
      </c>
      <c r="K689" s="298" t="b">
        <f>IF($K$1,FALSE,COUNTIF(入力シート!$AW$37:$BB$38,D689)=0)</f>
        <v>0</v>
      </c>
      <c r="L689" s="298" t="b">
        <f>IF($L$1,FALSE,IF($L$3,FALSE,IF(E689="",FALSE,COUNTIF(入力シート!$AH$37:$AK$62,E689)=0)))</f>
        <v>0</v>
      </c>
      <c r="M689" s="298" t="str">
        <f t="shared" si="22"/>
        <v/>
      </c>
      <c r="N689" s="298" t="str">
        <f>IF(G689,"この従業員番号は、すでに他のセルで入力されています。",IF(入力シート!$C$5=入力リスト!$C$4,"",IF(AND(A689="",B689="",C689="",D689="",E689=""),"",IF(OR(A689="",B689="",C689="",D689=""),IF(A689="","従業員番号","")&amp;IF(AND(A689="",OR(B689="",C689="",D689="")),",","")&amp;IF(B689="","雇用形態","")&amp;IF(AND(B689="",OR(C689="",D689="")),",","")&amp;IF(OR(入力シート!$J$18=入力リスト!$H$9,入力シート!$J$22=入力リスト!$H$9),IF(C689="","入社年月日",""),"")&amp;IF(AND(C689="",D689=""),",","")&amp;IF(D689="","性別","")&amp;IF(IF(A689="","従業員番号","")&amp;IF(B689="","雇用形態","")&amp;IF(OR(入力シート!$J$18=入力リスト!$H$9,入力シート!$J$22=入力リスト!$H$9),IF(C689="","入社年月日",""),"")&amp;IF(D689="","性別","")="","","が空白です。"),IF(J689,"入社年月日に「基準日」の翌日以降の日付が入力されています。","")&amp;IF(I689,"入社年月日に数値以外（又は1900/1/1以前の日付）が入力されています。","")&amp;IF(H689,"雇用形態"&amp;IF(OR(K689,L689),",",""),"")&amp;IF(K689,"性別"&amp;IF(L689,",",""),"")&amp;IF(L689,"役職","")&amp;IF(OR(H689,K689,L689),"に、［入力シート］(4)「貴社」欄と異なる文言が入力されています。","")))))</f>
        <v/>
      </c>
      <c r="O689" s="298" t="str">
        <f>IF(B689="","",VLOOKUP('従業員情報(給与以外)'!$B689,入力シート!$S$37:$Z$62,5,0))</f>
        <v/>
      </c>
      <c r="P689" s="298" t="str">
        <f>IF(ISNUMBER(C689)=FALSE,"",IF(C689&gt;入力シート!$J$24,"",_xlfn.DAYS(入力シート!$J$24,'従業員情報(給与以外)'!$C689)/365))</f>
        <v/>
      </c>
      <c r="Q689" s="298" t="str">
        <f>IF(P689="","",VLOOKUP(_xlfn.DAYS(入力シート!$J$24,'従業員情報(給与以外)'!$C689)/365,入力リスト!$K$18:$L$26,2,2))</f>
        <v/>
      </c>
      <c r="R689" s="298" t="str">
        <f>IF(D689="","",VLOOKUP('従業員情報(給与以外)'!$D689,入力シート!$AW$37:$BB$38,4,0))</f>
        <v/>
      </c>
      <c r="S689" s="298" t="str">
        <f>IF(A689="","",IF(E689="","非役職",VLOOKUP('従業員情報(給与以外)'!$E689,入力シート!$AH$37:$AO$62,5,0)))</f>
        <v/>
      </c>
      <c r="T689" s="299" t="str">
        <f>IF(OR(入力シート!$C$5&lt;&gt;入力リスト!$C$3,COUNTIF(入力シート!$J$16:$S$23,入力リスト!$H$9)=0),"",IF($A689="","",IF(ISERROR(AVERAGEIF(従業員の給与情報!$B:$B,$A689,従業員の給与情報!$C:$C)),0,IF(ISERROR(AVERAGEIF(従業員の給与情報!$B:$B,$A689,従業員の給与情報!$C:$C)),0,AVERAGEIF(従業員の給与情報!$B:$B,$A689,従業員の給与情報!$C:$C)))))</f>
        <v/>
      </c>
      <c r="U689" s="299" t="str">
        <f>IF(OR(入力シート!$C$5&lt;&gt;入力リスト!$C$3,COUNTIF(入力シート!$J$16:$S$23,入力リスト!$H$9)=0),"",IF(A689="","",IF(ISERROR(AVERAGEIF(従業員の給与情報!$B:$B,$A689,従業員の給与情報!$D:$D)),0,IF(ISERROR(AVERAGEIF(従業員の給与情報!$B:$B,$A689,従業員の給与情報!$D:$D)),0,AVERAGEIF(従業員の給与情報!$B:$B,$A689,従業員の給与情報!$D:$D)))))</f>
        <v/>
      </c>
      <c r="V689" s="299" t="str">
        <f>IF(OR(入力シート!$C$5&lt;&gt;入力リスト!$C$3,COUNTIF(入力シート!$J$16:$S$23,入力リスト!$H$9)=0),"",IF(A689="","",IF(ISERROR(AVERAGEIF(従業員の給与情報!$B:$B,$A689,従業員の給与情報!$E:$E)),0,IF(ISERROR(AVERAGEIF(従業員の給与情報!$B:$B,$A689,従業員の給与情報!$E:$E)),0,AVERAGEIF(従業員の給与情報!$B:$B,$A689,従業員の給与情報!$E:$E)))))</f>
        <v/>
      </c>
      <c r="W689" s="299" t="str">
        <f>IF(OR(入力シート!$C$5&lt;&gt;入力リスト!$C$3,COUNTIF(入力シート!$J$16:$S$23,入力リスト!$H$9)=0),"",IF(A689="","",IF(ISERROR(AVERAGEIF(従業員の給与情報!$B:$B,$A689,従業員の給与情報!$F:$F)),0,IF(ISERROR(AVERAGEIF(従業員の給与情報!$B:$B,$A689,従業員の給与情報!$F:$F)),0,AVERAGEIF(従業員の給与情報!$B:$B,$A689,従業員の給与情報!$F:$F)))))</f>
        <v/>
      </c>
      <c r="X689" s="581" t="s">
        <v>5428</v>
      </c>
    </row>
    <row r="690" spans="6:24">
      <c r="F690" s="297" t="str">
        <f>IF($G$1,"",IF(COUNTIF(A690:E690,"")=5,"",IF(G690,入力リスト!$K$28,IF(OR(A690="",B690="",IF(COUNTIF($C$3,"*不要*"),"",C690=""),D690=""),IF(A690="","従業員番号","")&amp;IF(B690="","「雇用形態」","")&amp;IF(OR(入力シート!$J$18=入力リスト!$H$9,入力シート!$J$22=入力リスト!$H$9),IF(C690="","「入社年月日」",""),"")&amp;IF(D690="","「性別」","")&amp;IF(IF(A690="","従業員番号","")&amp;IF(B690="","「雇用形態」","")&amp;IF(OR(入力シート!$J$18=入力リスト!$H$9,入力シート!$J$22=入力リスト!$H$9),IF(C690="","「入社年月日」",""),"")&amp;IF(D690="","「性別」","")="","",入力リスト!$K$29),IF(J690,入力リスト!$K$30,"")&amp;IF(I690,入力リスト!$K$31,"")&amp;IF(H690,"「雇用形態」","")&amp;IF(K690,"「性別」","")&amp;IF(L690,"「役職」","")&amp;IF(OR(H690,K690,L690),入力リスト!$K$32,"")))))</f>
        <v/>
      </c>
      <c r="G690" s="298" t="b">
        <f>COUNTIF($A$4:A689,$A690)&gt;0</f>
        <v>0</v>
      </c>
      <c r="H690" s="298" t="b">
        <f>IF($H$1,FALSE,COUNTIF(入力シート!$S$37:$V$62,B690)=0)</f>
        <v>0</v>
      </c>
      <c r="I690" s="298" t="b">
        <f t="shared" si="21"/>
        <v>0</v>
      </c>
      <c r="J690" s="298" t="b">
        <f>IF($J$1,FALSE,IF(I690=TRUE,FALSE,IF(I690,FALSE,C690&gt;入力シート!$J$24)))</f>
        <v>0</v>
      </c>
      <c r="K690" s="298" t="b">
        <f>IF($K$1,FALSE,COUNTIF(入力シート!$AW$37:$BB$38,D690)=0)</f>
        <v>0</v>
      </c>
      <c r="L690" s="298" t="b">
        <f>IF($L$1,FALSE,IF($L$3,FALSE,IF(E690="",FALSE,COUNTIF(入力シート!$AH$37:$AK$62,E690)=0)))</f>
        <v>0</v>
      </c>
      <c r="M690" s="298" t="str">
        <f t="shared" si="22"/>
        <v/>
      </c>
      <c r="N690" s="298" t="str">
        <f>IF(G690,"この従業員番号は、すでに他のセルで入力されています。",IF(入力シート!$C$5=入力リスト!$C$4,"",IF(AND(A690="",B690="",C690="",D690="",E690=""),"",IF(OR(A690="",B690="",C690="",D690=""),IF(A690="","従業員番号","")&amp;IF(AND(A690="",OR(B690="",C690="",D690="")),",","")&amp;IF(B690="","雇用形態","")&amp;IF(AND(B690="",OR(C690="",D690="")),",","")&amp;IF(OR(入力シート!$J$18=入力リスト!$H$9,入力シート!$J$22=入力リスト!$H$9),IF(C690="","入社年月日",""),"")&amp;IF(AND(C690="",D690=""),",","")&amp;IF(D690="","性別","")&amp;IF(IF(A690="","従業員番号","")&amp;IF(B690="","雇用形態","")&amp;IF(OR(入力シート!$J$18=入力リスト!$H$9,入力シート!$J$22=入力リスト!$H$9),IF(C690="","入社年月日",""),"")&amp;IF(D690="","性別","")="","","が空白です。"),IF(J690,"入社年月日に「基準日」の翌日以降の日付が入力されています。","")&amp;IF(I690,"入社年月日に数値以外（又は1900/1/1以前の日付）が入力されています。","")&amp;IF(H690,"雇用形態"&amp;IF(OR(K690,L690),",",""),"")&amp;IF(K690,"性別"&amp;IF(L690,",",""),"")&amp;IF(L690,"役職","")&amp;IF(OR(H690,K690,L690),"に、［入力シート］(4)「貴社」欄と異なる文言が入力されています。","")))))</f>
        <v/>
      </c>
      <c r="O690" s="298" t="str">
        <f>IF(B690="","",VLOOKUP('従業員情報(給与以外)'!$B690,入力シート!$S$37:$Z$62,5,0))</f>
        <v/>
      </c>
      <c r="P690" s="298" t="str">
        <f>IF(ISNUMBER(C690)=FALSE,"",IF(C690&gt;入力シート!$J$24,"",_xlfn.DAYS(入力シート!$J$24,'従業員情報(給与以外)'!$C690)/365))</f>
        <v/>
      </c>
      <c r="Q690" s="298" t="str">
        <f>IF(P690="","",VLOOKUP(_xlfn.DAYS(入力シート!$J$24,'従業員情報(給与以外)'!$C690)/365,入力リスト!$K$18:$L$26,2,2))</f>
        <v/>
      </c>
      <c r="R690" s="298" t="str">
        <f>IF(D690="","",VLOOKUP('従業員情報(給与以外)'!$D690,入力シート!$AW$37:$BB$38,4,0))</f>
        <v/>
      </c>
      <c r="S690" s="298" t="str">
        <f>IF(A690="","",IF(E690="","非役職",VLOOKUP('従業員情報(給与以外)'!$E690,入力シート!$AH$37:$AO$62,5,0)))</f>
        <v/>
      </c>
      <c r="T690" s="299" t="str">
        <f>IF(OR(入力シート!$C$5&lt;&gt;入力リスト!$C$3,COUNTIF(入力シート!$J$16:$S$23,入力リスト!$H$9)=0),"",IF($A690="","",IF(ISERROR(AVERAGEIF(従業員の給与情報!$B:$B,$A690,従業員の給与情報!$C:$C)),0,IF(ISERROR(AVERAGEIF(従業員の給与情報!$B:$B,$A690,従業員の給与情報!$C:$C)),0,AVERAGEIF(従業員の給与情報!$B:$B,$A690,従業員の給与情報!$C:$C)))))</f>
        <v/>
      </c>
      <c r="U690" s="299" t="str">
        <f>IF(OR(入力シート!$C$5&lt;&gt;入力リスト!$C$3,COUNTIF(入力シート!$J$16:$S$23,入力リスト!$H$9)=0),"",IF(A690="","",IF(ISERROR(AVERAGEIF(従業員の給与情報!$B:$B,$A690,従業員の給与情報!$D:$D)),0,IF(ISERROR(AVERAGEIF(従業員の給与情報!$B:$B,$A690,従業員の給与情報!$D:$D)),0,AVERAGEIF(従業員の給与情報!$B:$B,$A690,従業員の給与情報!$D:$D)))))</f>
        <v/>
      </c>
      <c r="V690" s="299" t="str">
        <f>IF(OR(入力シート!$C$5&lt;&gt;入力リスト!$C$3,COUNTIF(入力シート!$J$16:$S$23,入力リスト!$H$9)=0),"",IF(A690="","",IF(ISERROR(AVERAGEIF(従業員の給与情報!$B:$B,$A690,従業員の給与情報!$E:$E)),0,IF(ISERROR(AVERAGEIF(従業員の給与情報!$B:$B,$A690,従業員の給与情報!$E:$E)),0,AVERAGEIF(従業員の給与情報!$B:$B,$A690,従業員の給与情報!$E:$E)))))</f>
        <v/>
      </c>
      <c r="W690" s="299" t="str">
        <f>IF(OR(入力シート!$C$5&lt;&gt;入力リスト!$C$3,COUNTIF(入力シート!$J$16:$S$23,入力リスト!$H$9)=0),"",IF(A690="","",IF(ISERROR(AVERAGEIF(従業員の給与情報!$B:$B,$A690,従業員の給与情報!$F:$F)),0,IF(ISERROR(AVERAGEIF(従業員の給与情報!$B:$B,$A690,従業員の給与情報!$F:$F)),0,AVERAGEIF(従業員の給与情報!$B:$B,$A690,従業員の給与情報!$F:$F)))))</f>
        <v/>
      </c>
      <c r="X690" s="581" t="s">
        <v>5429</v>
      </c>
    </row>
    <row r="691" spans="6:24">
      <c r="F691" s="297" t="str">
        <f>IF($G$1,"",IF(COUNTIF(A691:E691,"")=5,"",IF(G691,入力リスト!$K$28,IF(OR(A691="",B691="",IF(COUNTIF($C$3,"*不要*"),"",C691=""),D691=""),IF(A691="","従業員番号","")&amp;IF(B691="","「雇用形態」","")&amp;IF(OR(入力シート!$J$18=入力リスト!$H$9,入力シート!$J$22=入力リスト!$H$9),IF(C691="","「入社年月日」",""),"")&amp;IF(D691="","「性別」","")&amp;IF(IF(A691="","従業員番号","")&amp;IF(B691="","「雇用形態」","")&amp;IF(OR(入力シート!$J$18=入力リスト!$H$9,入力シート!$J$22=入力リスト!$H$9),IF(C691="","「入社年月日」",""),"")&amp;IF(D691="","「性別」","")="","",入力リスト!$K$29),IF(J691,入力リスト!$K$30,"")&amp;IF(I691,入力リスト!$K$31,"")&amp;IF(H691,"「雇用形態」","")&amp;IF(K691,"「性別」","")&amp;IF(L691,"「役職」","")&amp;IF(OR(H691,K691,L691),入力リスト!$K$32,"")))))</f>
        <v/>
      </c>
      <c r="G691" s="298" t="b">
        <f>COUNTIF($A$4:A690,$A691)&gt;0</f>
        <v>0</v>
      </c>
      <c r="H691" s="298" t="b">
        <f>IF($H$1,FALSE,COUNTIF(入力シート!$S$37:$V$62,B691)=0)</f>
        <v>0</v>
      </c>
      <c r="I691" s="298" t="b">
        <f t="shared" si="21"/>
        <v>0</v>
      </c>
      <c r="J691" s="298" t="b">
        <f>IF($J$1,FALSE,IF(I691=TRUE,FALSE,IF(I691,FALSE,C691&gt;入力シート!$J$24)))</f>
        <v>0</v>
      </c>
      <c r="K691" s="298" t="b">
        <f>IF($K$1,FALSE,COUNTIF(入力シート!$AW$37:$BB$38,D691)=0)</f>
        <v>0</v>
      </c>
      <c r="L691" s="298" t="b">
        <f>IF($L$1,FALSE,IF($L$3,FALSE,IF(E691="",FALSE,COUNTIF(入力シート!$AH$37:$AK$62,E691)=0)))</f>
        <v>0</v>
      </c>
      <c r="M691" s="298" t="str">
        <f t="shared" si="22"/>
        <v/>
      </c>
      <c r="N691" s="298" t="str">
        <f>IF(G691,"この従業員番号は、すでに他のセルで入力されています。",IF(入力シート!$C$5=入力リスト!$C$4,"",IF(AND(A691="",B691="",C691="",D691="",E691=""),"",IF(OR(A691="",B691="",C691="",D691=""),IF(A691="","従業員番号","")&amp;IF(AND(A691="",OR(B691="",C691="",D691="")),",","")&amp;IF(B691="","雇用形態","")&amp;IF(AND(B691="",OR(C691="",D691="")),",","")&amp;IF(OR(入力シート!$J$18=入力リスト!$H$9,入力シート!$J$22=入力リスト!$H$9),IF(C691="","入社年月日",""),"")&amp;IF(AND(C691="",D691=""),",","")&amp;IF(D691="","性別","")&amp;IF(IF(A691="","従業員番号","")&amp;IF(B691="","雇用形態","")&amp;IF(OR(入力シート!$J$18=入力リスト!$H$9,入力シート!$J$22=入力リスト!$H$9),IF(C691="","入社年月日",""),"")&amp;IF(D691="","性別","")="","","が空白です。"),IF(J691,"入社年月日に「基準日」の翌日以降の日付が入力されています。","")&amp;IF(I691,"入社年月日に数値以外（又は1900/1/1以前の日付）が入力されています。","")&amp;IF(H691,"雇用形態"&amp;IF(OR(K691,L691),",",""),"")&amp;IF(K691,"性別"&amp;IF(L691,",",""),"")&amp;IF(L691,"役職","")&amp;IF(OR(H691,K691,L691),"に、［入力シート］(4)「貴社」欄と異なる文言が入力されています。","")))))</f>
        <v/>
      </c>
      <c r="O691" s="298" t="str">
        <f>IF(B691="","",VLOOKUP('従業員情報(給与以外)'!$B691,入力シート!$S$37:$Z$62,5,0))</f>
        <v/>
      </c>
      <c r="P691" s="298" t="str">
        <f>IF(ISNUMBER(C691)=FALSE,"",IF(C691&gt;入力シート!$J$24,"",_xlfn.DAYS(入力シート!$J$24,'従業員情報(給与以外)'!$C691)/365))</f>
        <v/>
      </c>
      <c r="Q691" s="298" t="str">
        <f>IF(P691="","",VLOOKUP(_xlfn.DAYS(入力シート!$J$24,'従業員情報(給与以外)'!$C691)/365,入力リスト!$K$18:$L$26,2,2))</f>
        <v/>
      </c>
      <c r="R691" s="298" t="str">
        <f>IF(D691="","",VLOOKUP('従業員情報(給与以外)'!$D691,入力シート!$AW$37:$BB$38,4,0))</f>
        <v/>
      </c>
      <c r="S691" s="298" t="str">
        <f>IF(A691="","",IF(E691="","非役職",VLOOKUP('従業員情報(給与以外)'!$E691,入力シート!$AH$37:$AO$62,5,0)))</f>
        <v/>
      </c>
      <c r="T691" s="299" t="str">
        <f>IF(OR(入力シート!$C$5&lt;&gt;入力リスト!$C$3,COUNTIF(入力シート!$J$16:$S$23,入力リスト!$H$9)=0),"",IF($A691="","",IF(ISERROR(AVERAGEIF(従業員の給与情報!$B:$B,$A691,従業員の給与情報!$C:$C)),0,IF(ISERROR(AVERAGEIF(従業員の給与情報!$B:$B,$A691,従業員の給与情報!$C:$C)),0,AVERAGEIF(従業員の給与情報!$B:$B,$A691,従業員の給与情報!$C:$C)))))</f>
        <v/>
      </c>
      <c r="U691" s="299" t="str">
        <f>IF(OR(入力シート!$C$5&lt;&gt;入力リスト!$C$3,COUNTIF(入力シート!$J$16:$S$23,入力リスト!$H$9)=0),"",IF(A691="","",IF(ISERROR(AVERAGEIF(従業員の給与情報!$B:$B,$A691,従業員の給与情報!$D:$D)),0,IF(ISERROR(AVERAGEIF(従業員の給与情報!$B:$B,$A691,従業員の給与情報!$D:$D)),0,AVERAGEIF(従業員の給与情報!$B:$B,$A691,従業員の給与情報!$D:$D)))))</f>
        <v/>
      </c>
      <c r="V691" s="299" t="str">
        <f>IF(OR(入力シート!$C$5&lt;&gt;入力リスト!$C$3,COUNTIF(入力シート!$J$16:$S$23,入力リスト!$H$9)=0),"",IF(A691="","",IF(ISERROR(AVERAGEIF(従業員の給与情報!$B:$B,$A691,従業員の給与情報!$E:$E)),0,IF(ISERROR(AVERAGEIF(従業員の給与情報!$B:$B,$A691,従業員の給与情報!$E:$E)),0,AVERAGEIF(従業員の給与情報!$B:$B,$A691,従業員の給与情報!$E:$E)))))</f>
        <v/>
      </c>
      <c r="W691" s="299" t="str">
        <f>IF(OR(入力シート!$C$5&lt;&gt;入力リスト!$C$3,COUNTIF(入力シート!$J$16:$S$23,入力リスト!$H$9)=0),"",IF(A691="","",IF(ISERROR(AVERAGEIF(従業員の給与情報!$B:$B,$A691,従業員の給与情報!$F:$F)),0,IF(ISERROR(AVERAGEIF(従業員の給与情報!$B:$B,$A691,従業員の給与情報!$F:$F)),0,AVERAGEIF(従業員の給与情報!$B:$B,$A691,従業員の給与情報!$F:$F)))))</f>
        <v/>
      </c>
      <c r="X691" s="581" t="s">
        <v>5430</v>
      </c>
    </row>
    <row r="692" spans="6:24">
      <c r="F692" s="297" t="str">
        <f>IF($G$1,"",IF(COUNTIF(A692:E692,"")=5,"",IF(G692,入力リスト!$K$28,IF(OR(A692="",B692="",IF(COUNTIF($C$3,"*不要*"),"",C692=""),D692=""),IF(A692="","従業員番号","")&amp;IF(B692="","「雇用形態」","")&amp;IF(OR(入力シート!$J$18=入力リスト!$H$9,入力シート!$J$22=入力リスト!$H$9),IF(C692="","「入社年月日」",""),"")&amp;IF(D692="","「性別」","")&amp;IF(IF(A692="","従業員番号","")&amp;IF(B692="","「雇用形態」","")&amp;IF(OR(入力シート!$J$18=入力リスト!$H$9,入力シート!$J$22=入力リスト!$H$9),IF(C692="","「入社年月日」",""),"")&amp;IF(D692="","「性別」","")="","",入力リスト!$K$29),IF(J692,入力リスト!$K$30,"")&amp;IF(I692,入力リスト!$K$31,"")&amp;IF(H692,"「雇用形態」","")&amp;IF(K692,"「性別」","")&amp;IF(L692,"「役職」","")&amp;IF(OR(H692,K692,L692),入力リスト!$K$32,"")))))</f>
        <v/>
      </c>
      <c r="G692" s="298" t="b">
        <f>COUNTIF($A$4:A691,$A692)&gt;0</f>
        <v>0</v>
      </c>
      <c r="H692" s="298" t="b">
        <f>IF($H$1,FALSE,COUNTIF(入力シート!$S$37:$V$62,B692)=0)</f>
        <v>0</v>
      </c>
      <c r="I692" s="298" t="b">
        <f t="shared" si="21"/>
        <v>0</v>
      </c>
      <c r="J692" s="298" t="b">
        <f>IF($J$1,FALSE,IF(I692=TRUE,FALSE,IF(I692,FALSE,C692&gt;入力シート!$J$24)))</f>
        <v>0</v>
      </c>
      <c r="K692" s="298" t="b">
        <f>IF($K$1,FALSE,COUNTIF(入力シート!$AW$37:$BB$38,D692)=0)</f>
        <v>0</v>
      </c>
      <c r="L692" s="298" t="b">
        <f>IF($L$1,FALSE,IF($L$3,FALSE,IF(E692="",FALSE,COUNTIF(入力シート!$AH$37:$AK$62,E692)=0)))</f>
        <v>0</v>
      </c>
      <c r="M692" s="298" t="str">
        <f t="shared" si="22"/>
        <v/>
      </c>
      <c r="N692" s="298" t="str">
        <f>IF(G692,"この従業員番号は、すでに他のセルで入力されています。",IF(入力シート!$C$5=入力リスト!$C$4,"",IF(AND(A692="",B692="",C692="",D692="",E692=""),"",IF(OR(A692="",B692="",C692="",D692=""),IF(A692="","従業員番号","")&amp;IF(AND(A692="",OR(B692="",C692="",D692="")),",","")&amp;IF(B692="","雇用形態","")&amp;IF(AND(B692="",OR(C692="",D692="")),",","")&amp;IF(OR(入力シート!$J$18=入力リスト!$H$9,入力シート!$J$22=入力リスト!$H$9),IF(C692="","入社年月日",""),"")&amp;IF(AND(C692="",D692=""),",","")&amp;IF(D692="","性別","")&amp;IF(IF(A692="","従業員番号","")&amp;IF(B692="","雇用形態","")&amp;IF(OR(入力シート!$J$18=入力リスト!$H$9,入力シート!$J$22=入力リスト!$H$9),IF(C692="","入社年月日",""),"")&amp;IF(D692="","性別","")="","","が空白です。"),IF(J692,"入社年月日に「基準日」の翌日以降の日付が入力されています。","")&amp;IF(I692,"入社年月日に数値以外（又は1900/1/1以前の日付）が入力されています。","")&amp;IF(H692,"雇用形態"&amp;IF(OR(K692,L692),",",""),"")&amp;IF(K692,"性別"&amp;IF(L692,",",""),"")&amp;IF(L692,"役職","")&amp;IF(OR(H692,K692,L692),"に、［入力シート］(4)「貴社」欄と異なる文言が入力されています。","")))))</f>
        <v/>
      </c>
      <c r="O692" s="298" t="str">
        <f>IF(B692="","",VLOOKUP('従業員情報(給与以外)'!$B692,入力シート!$S$37:$Z$62,5,0))</f>
        <v/>
      </c>
      <c r="P692" s="298" t="str">
        <f>IF(ISNUMBER(C692)=FALSE,"",IF(C692&gt;入力シート!$J$24,"",_xlfn.DAYS(入力シート!$J$24,'従業員情報(給与以外)'!$C692)/365))</f>
        <v/>
      </c>
      <c r="Q692" s="298" t="str">
        <f>IF(P692="","",VLOOKUP(_xlfn.DAYS(入力シート!$J$24,'従業員情報(給与以外)'!$C692)/365,入力リスト!$K$18:$L$26,2,2))</f>
        <v/>
      </c>
      <c r="R692" s="298" t="str">
        <f>IF(D692="","",VLOOKUP('従業員情報(給与以外)'!$D692,入力シート!$AW$37:$BB$38,4,0))</f>
        <v/>
      </c>
      <c r="S692" s="298" t="str">
        <f>IF(A692="","",IF(E692="","非役職",VLOOKUP('従業員情報(給与以外)'!$E692,入力シート!$AH$37:$AO$62,5,0)))</f>
        <v/>
      </c>
      <c r="T692" s="299" t="str">
        <f>IF(OR(入力シート!$C$5&lt;&gt;入力リスト!$C$3,COUNTIF(入力シート!$J$16:$S$23,入力リスト!$H$9)=0),"",IF($A692="","",IF(ISERROR(AVERAGEIF(従業員の給与情報!$B:$B,$A692,従業員の給与情報!$C:$C)),0,IF(ISERROR(AVERAGEIF(従業員の給与情報!$B:$B,$A692,従業員の給与情報!$C:$C)),0,AVERAGEIF(従業員の給与情報!$B:$B,$A692,従業員の給与情報!$C:$C)))))</f>
        <v/>
      </c>
      <c r="U692" s="299" t="str">
        <f>IF(OR(入力シート!$C$5&lt;&gt;入力リスト!$C$3,COUNTIF(入力シート!$J$16:$S$23,入力リスト!$H$9)=0),"",IF(A692="","",IF(ISERROR(AVERAGEIF(従業員の給与情報!$B:$B,$A692,従業員の給与情報!$D:$D)),0,IF(ISERROR(AVERAGEIF(従業員の給与情報!$B:$B,$A692,従業員の給与情報!$D:$D)),0,AVERAGEIF(従業員の給与情報!$B:$B,$A692,従業員の給与情報!$D:$D)))))</f>
        <v/>
      </c>
      <c r="V692" s="299" t="str">
        <f>IF(OR(入力シート!$C$5&lt;&gt;入力リスト!$C$3,COUNTIF(入力シート!$J$16:$S$23,入力リスト!$H$9)=0),"",IF(A692="","",IF(ISERROR(AVERAGEIF(従業員の給与情報!$B:$B,$A692,従業員の給与情報!$E:$E)),0,IF(ISERROR(AVERAGEIF(従業員の給与情報!$B:$B,$A692,従業員の給与情報!$E:$E)),0,AVERAGEIF(従業員の給与情報!$B:$B,$A692,従業員の給与情報!$E:$E)))))</f>
        <v/>
      </c>
      <c r="W692" s="299" t="str">
        <f>IF(OR(入力シート!$C$5&lt;&gt;入力リスト!$C$3,COUNTIF(入力シート!$J$16:$S$23,入力リスト!$H$9)=0),"",IF(A692="","",IF(ISERROR(AVERAGEIF(従業員の給与情報!$B:$B,$A692,従業員の給与情報!$F:$F)),0,IF(ISERROR(AVERAGEIF(従業員の給与情報!$B:$B,$A692,従業員の給与情報!$F:$F)),0,AVERAGEIF(従業員の給与情報!$B:$B,$A692,従業員の給与情報!$F:$F)))))</f>
        <v/>
      </c>
      <c r="X692" s="581" t="s">
        <v>5431</v>
      </c>
    </row>
    <row r="693" spans="6:24">
      <c r="F693" s="297" t="str">
        <f>IF($G$1,"",IF(COUNTIF(A693:E693,"")=5,"",IF(G693,入力リスト!$K$28,IF(OR(A693="",B693="",IF(COUNTIF($C$3,"*不要*"),"",C693=""),D693=""),IF(A693="","従業員番号","")&amp;IF(B693="","「雇用形態」","")&amp;IF(OR(入力シート!$J$18=入力リスト!$H$9,入力シート!$J$22=入力リスト!$H$9),IF(C693="","「入社年月日」",""),"")&amp;IF(D693="","「性別」","")&amp;IF(IF(A693="","従業員番号","")&amp;IF(B693="","「雇用形態」","")&amp;IF(OR(入力シート!$J$18=入力リスト!$H$9,入力シート!$J$22=入力リスト!$H$9),IF(C693="","「入社年月日」",""),"")&amp;IF(D693="","「性別」","")="","",入力リスト!$K$29),IF(J693,入力リスト!$K$30,"")&amp;IF(I693,入力リスト!$K$31,"")&amp;IF(H693,"「雇用形態」","")&amp;IF(K693,"「性別」","")&amp;IF(L693,"「役職」","")&amp;IF(OR(H693,K693,L693),入力リスト!$K$32,"")))))</f>
        <v/>
      </c>
      <c r="G693" s="298" t="b">
        <f>COUNTIF($A$4:A692,$A693)&gt;0</f>
        <v>0</v>
      </c>
      <c r="H693" s="298" t="b">
        <f>IF($H$1,FALSE,COUNTIF(入力シート!$S$37:$V$62,B693)=0)</f>
        <v>0</v>
      </c>
      <c r="I693" s="298" t="b">
        <f t="shared" si="21"/>
        <v>0</v>
      </c>
      <c r="J693" s="298" t="b">
        <f>IF($J$1,FALSE,IF(I693=TRUE,FALSE,IF(I693,FALSE,C693&gt;入力シート!$J$24)))</f>
        <v>0</v>
      </c>
      <c r="K693" s="298" t="b">
        <f>IF($K$1,FALSE,COUNTIF(入力シート!$AW$37:$BB$38,D693)=0)</f>
        <v>0</v>
      </c>
      <c r="L693" s="298" t="b">
        <f>IF($L$1,FALSE,IF($L$3,FALSE,IF(E693="",FALSE,COUNTIF(入力シート!$AH$37:$AK$62,E693)=0)))</f>
        <v>0</v>
      </c>
      <c r="M693" s="298" t="str">
        <f t="shared" si="22"/>
        <v/>
      </c>
      <c r="N693" s="298" t="str">
        <f>IF(G693,"この従業員番号は、すでに他のセルで入力されています。",IF(入力シート!$C$5=入力リスト!$C$4,"",IF(AND(A693="",B693="",C693="",D693="",E693=""),"",IF(OR(A693="",B693="",C693="",D693=""),IF(A693="","従業員番号","")&amp;IF(AND(A693="",OR(B693="",C693="",D693="")),",","")&amp;IF(B693="","雇用形態","")&amp;IF(AND(B693="",OR(C693="",D693="")),",","")&amp;IF(OR(入力シート!$J$18=入力リスト!$H$9,入力シート!$J$22=入力リスト!$H$9),IF(C693="","入社年月日",""),"")&amp;IF(AND(C693="",D693=""),",","")&amp;IF(D693="","性別","")&amp;IF(IF(A693="","従業員番号","")&amp;IF(B693="","雇用形態","")&amp;IF(OR(入力シート!$J$18=入力リスト!$H$9,入力シート!$J$22=入力リスト!$H$9),IF(C693="","入社年月日",""),"")&amp;IF(D693="","性別","")="","","が空白です。"),IF(J693,"入社年月日に「基準日」の翌日以降の日付が入力されています。","")&amp;IF(I693,"入社年月日に数値以外（又は1900/1/1以前の日付）が入力されています。","")&amp;IF(H693,"雇用形態"&amp;IF(OR(K693,L693),",",""),"")&amp;IF(K693,"性別"&amp;IF(L693,",",""),"")&amp;IF(L693,"役職","")&amp;IF(OR(H693,K693,L693),"に、［入力シート］(4)「貴社」欄と異なる文言が入力されています。","")))))</f>
        <v/>
      </c>
      <c r="O693" s="298" t="str">
        <f>IF(B693="","",VLOOKUP('従業員情報(給与以外)'!$B693,入力シート!$S$37:$Z$62,5,0))</f>
        <v/>
      </c>
      <c r="P693" s="298" t="str">
        <f>IF(ISNUMBER(C693)=FALSE,"",IF(C693&gt;入力シート!$J$24,"",_xlfn.DAYS(入力シート!$J$24,'従業員情報(給与以外)'!$C693)/365))</f>
        <v/>
      </c>
      <c r="Q693" s="298" t="str">
        <f>IF(P693="","",VLOOKUP(_xlfn.DAYS(入力シート!$J$24,'従業員情報(給与以外)'!$C693)/365,入力リスト!$K$18:$L$26,2,2))</f>
        <v/>
      </c>
      <c r="R693" s="298" t="str">
        <f>IF(D693="","",VLOOKUP('従業員情報(給与以外)'!$D693,入力シート!$AW$37:$BB$38,4,0))</f>
        <v/>
      </c>
      <c r="S693" s="298" t="str">
        <f>IF(A693="","",IF(E693="","非役職",VLOOKUP('従業員情報(給与以外)'!$E693,入力シート!$AH$37:$AO$62,5,0)))</f>
        <v/>
      </c>
      <c r="T693" s="299" t="str">
        <f>IF(OR(入力シート!$C$5&lt;&gt;入力リスト!$C$3,COUNTIF(入力シート!$J$16:$S$23,入力リスト!$H$9)=0),"",IF($A693="","",IF(ISERROR(AVERAGEIF(従業員の給与情報!$B:$B,$A693,従業員の給与情報!$C:$C)),0,IF(ISERROR(AVERAGEIF(従業員の給与情報!$B:$B,$A693,従業員の給与情報!$C:$C)),0,AVERAGEIF(従業員の給与情報!$B:$B,$A693,従業員の給与情報!$C:$C)))))</f>
        <v/>
      </c>
      <c r="U693" s="299" t="str">
        <f>IF(OR(入力シート!$C$5&lt;&gt;入力リスト!$C$3,COUNTIF(入力シート!$J$16:$S$23,入力リスト!$H$9)=0),"",IF(A693="","",IF(ISERROR(AVERAGEIF(従業員の給与情報!$B:$B,$A693,従業員の給与情報!$D:$D)),0,IF(ISERROR(AVERAGEIF(従業員の給与情報!$B:$B,$A693,従業員の給与情報!$D:$D)),0,AVERAGEIF(従業員の給与情報!$B:$B,$A693,従業員の給与情報!$D:$D)))))</f>
        <v/>
      </c>
      <c r="V693" s="299" t="str">
        <f>IF(OR(入力シート!$C$5&lt;&gt;入力リスト!$C$3,COUNTIF(入力シート!$J$16:$S$23,入力リスト!$H$9)=0),"",IF(A693="","",IF(ISERROR(AVERAGEIF(従業員の給与情報!$B:$B,$A693,従業員の給与情報!$E:$E)),0,IF(ISERROR(AVERAGEIF(従業員の給与情報!$B:$B,$A693,従業員の給与情報!$E:$E)),0,AVERAGEIF(従業員の給与情報!$B:$B,$A693,従業員の給与情報!$E:$E)))))</f>
        <v/>
      </c>
      <c r="W693" s="299" t="str">
        <f>IF(OR(入力シート!$C$5&lt;&gt;入力リスト!$C$3,COUNTIF(入力シート!$J$16:$S$23,入力リスト!$H$9)=0),"",IF(A693="","",IF(ISERROR(AVERAGEIF(従業員の給与情報!$B:$B,$A693,従業員の給与情報!$F:$F)),0,IF(ISERROR(AVERAGEIF(従業員の給与情報!$B:$B,$A693,従業員の給与情報!$F:$F)),0,AVERAGEIF(従業員の給与情報!$B:$B,$A693,従業員の給与情報!$F:$F)))))</f>
        <v/>
      </c>
      <c r="X693" s="581" t="s">
        <v>5432</v>
      </c>
    </row>
    <row r="694" spans="6:24">
      <c r="F694" s="297" t="str">
        <f>IF($G$1,"",IF(COUNTIF(A694:E694,"")=5,"",IF(G694,入力リスト!$K$28,IF(OR(A694="",B694="",IF(COUNTIF($C$3,"*不要*"),"",C694=""),D694=""),IF(A694="","従業員番号","")&amp;IF(B694="","「雇用形態」","")&amp;IF(OR(入力シート!$J$18=入力リスト!$H$9,入力シート!$J$22=入力リスト!$H$9),IF(C694="","「入社年月日」",""),"")&amp;IF(D694="","「性別」","")&amp;IF(IF(A694="","従業員番号","")&amp;IF(B694="","「雇用形態」","")&amp;IF(OR(入力シート!$J$18=入力リスト!$H$9,入力シート!$J$22=入力リスト!$H$9),IF(C694="","「入社年月日」",""),"")&amp;IF(D694="","「性別」","")="","",入力リスト!$K$29),IF(J694,入力リスト!$K$30,"")&amp;IF(I694,入力リスト!$K$31,"")&amp;IF(H694,"「雇用形態」","")&amp;IF(K694,"「性別」","")&amp;IF(L694,"「役職」","")&amp;IF(OR(H694,K694,L694),入力リスト!$K$32,"")))))</f>
        <v/>
      </c>
      <c r="G694" s="298" t="b">
        <f>COUNTIF($A$4:A693,$A694)&gt;0</f>
        <v>0</v>
      </c>
      <c r="H694" s="298" t="b">
        <f>IF($H$1,FALSE,COUNTIF(入力シート!$S$37:$V$62,B694)=0)</f>
        <v>0</v>
      </c>
      <c r="I694" s="298" t="b">
        <f t="shared" si="21"/>
        <v>0</v>
      </c>
      <c r="J694" s="298" t="b">
        <f>IF($J$1,FALSE,IF(I694=TRUE,FALSE,IF(I694,FALSE,C694&gt;入力シート!$J$24)))</f>
        <v>0</v>
      </c>
      <c r="K694" s="298" t="b">
        <f>IF($K$1,FALSE,COUNTIF(入力シート!$AW$37:$BB$38,D694)=0)</f>
        <v>0</v>
      </c>
      <c r="L694" s="298" t="b">
        <f>IF($L$1,FALSE,IF($L$3,FALSE,IF(E694="",FALSE,COUNTIF(入力シート!$AH$37:$AK$62,E694)=0)))</f>
        <v>0</v>
      </c>
      <c r="M694" s="298" t="str">
        <f t="shared" si="22"/>
        <v/>
      </c>
      <c r="N694" s="298" t="str">
        <f>IF(G694,"この従業員番号は、すでに他のセルで入力されています。",IF(入力シート!$C$5=入力リスト!$C$4,"",IF(AND(A694="",B694="",C694="",D694="",E694=""),"",IF(OR(A694="",B694="",C694="",D694=""),IF(A694="","従業員番号","")&amp;IF(AND(A694="",OR(B694="",C694="",D694="")),",","")&amp;IF(B694="","雇用形態","")&amp;IF(AND(B694="",OR(C694="",D694="")),",","")&amp;IF(OR(入力シート!$J$18=入力リスト!$H$9,入力シート!$J$22=入力リスト!$H$9),IF(C694="","入社年月日",""),"")&amp;IF(AND(C694="",D694=""),",","")&amp;IF(D694="","性別","")&amp;IF(IF(A694="","従業員番号","")&amp;IF(B694="","雇用形態","")&amp;IF(OR(入力シート!$J$18=入力リスト!$H$9,入力シート!$J$22=入力リスト!$H$9),IF(C694="","入社年月日",""),"")&amp;IF(D694="","性別","")="","","が空白です。"),IF(J694,"入社年月日に「基準日」の翌日以降の日付が入力されています。","")&amp;IF(I694,"入社年月日に数値以外（又は1900/1/1以前の日付）が入力されています。","")&amp;IF(H694,"雇用形態"&amp;IF(OR(K694,L694),",",""),"")&amp;IF(K694,"性別"&amp;IF(L694,",",""),"")&amp;IF(L694,"役職","")&amp;IF(OR(H694,K694,L694),"に、［入力シート］(4)「貴社」欄と異なる文言が入力されています。","")))))</f>
        <v/>
      </c>
      <c r="O694" s="298" t="str">
        <f>IF(B694="","",VLOOKUP('従業員情報(給与以外)'!$B694,入力シート!$S$37:$Z$62,5,0))</f>
        <v/>
      </c>
      <c r="P694" s="298" t="str">
        <f>IF(ISNUMBER(C694)=FALSE,"",IF(C694&gt;入力シート!$J$24,"",_xlfn.DAYS(入力シート!$J$24,'従業員情報(給与以外)'!$C694)/365))</f>
        <v/>
      </c>
      <c r="Q694" s="298" t="str">
        <f>IF(P694="","",VLOOKUP(_xlfn.DAYS(入力シート!$J$24,'従業員情報(給与以外)'!$C694)/365,入力リスト!$K$18:$L$26,2,2))</f>
        <v/>
      </c>
      <c r="R694" s="298" t="str">
        <f>IF(D694="","",VLOOKUP('従業員情報(給与以外)'!$D694,入力シート!$AW$37:$BB$38,4,0))</f>
        <v/>
      </c>
      <c r="S694" s="298" t="str">
        <f>IF(A694="","",IF(E694="","非役職",VLOOKUP('従業員情報(給与以外)'!$E694,入力シート!$AH$37:$AO$62,5,0)))</f>
        <v/>
      </c>
      <c r="T694" s="299" t="str">
        <f>IF(OR(入力シート!$C$5&lt;&gt;入力リスト!$C$3,COUNTIF(入力シート!$J$16:$S$23,入力リスト!$H$9)=0),"",IF($A694="","",IF(ISERROR(AVERAGEIF(従業員の給与情報!$B:$B,$A694,従業員の給与情報!$C:$C)),0,IF(ISERROR(AVERAGEIF(従業員の給与情報!$B:$B,$A694,従業員の給与情報!$C:$C)),0,AVERAGEIF(従業員の給与情報!$B:$B,$A694,従業員の給与情報!$C:$C)))))</f>
        <v/>
      </c>
      <c r="U694" s="299" t="str">
        <f>IF(OR(入力シート!$C$5&lt;&gt;入力リスト!$C$3,COUNTIF(入力シート!$J$16:$S$23,入力リスト!$H$9)=0),"",IF(A694="","",IF(ISERROR(AVERAGEIF(従業員の給与情報!$B:$B,$A694,従業員の給与情報!$D:$D)),0,IF(ISERROR(AVERAGEIF(従業員の給与情報!$B:$B,$A694,従業員の給与情報!$D:$D)),0,AVERAGEIF(従業員の給与情報!$B:$B,$A694,従業員の給与情報!$D:$D)))))</f>
        <v/>
      </c>
      <c r="V694" s="299" t="str">
        <f>IF(OR(入力シート!$C$5&lt;&gt;入力リスト!$C$3,COUNTIF(入力シート!$J$16:$S$23,入力リスト!$H$9)=0),"",IF(A694="","",IF(ISERROR(AVERAGEIF(従業員の給与情報!$B:$B,$A694,従業員の給与情報!$E:$E)),0,IF(ISERROR(AVERAGEIF(従業員の給与情報!$B:$B,$A694,従業員の給与情報!$E:$E)),0,AVERAGEIF(従業員の給与情報!$B:$B,$A694,従業員の給与情報!$E:$E)))))</f>
        <v/>
      </c>
      <c r="W694" s="299" t="str">
        <f>IF(OR(入力シート!$C$5&lt;&gt;入力リスト!$C$3,COUNTIF(入力シート!$J$16:$S$23,入力リスト!$H$9)=0),"",IF(A694="","",IF(ISERROR(AVERAGEIF(従業員の給与情報!$B:$B,$A694,従業員の給与情報!$F:$F)),0,IF(ISERROR(AVERAGEIF(従業員の給与情報!$B:$B,$A694,従業員の給与情報!$F:$F)),0,AVERAGEIF(従業員の給与情報!$B:$B,$A694,従業員の給与情報!$F:$F)))))</f>
        <v/>
      </c>
      <c r="X694" s="581" t="s">
        <v>5433</v>
      </c>
    </row>
    <row r="695" spans="6:24">
      <c r="F695" s="297" t="str">
        <f>IF($G$1,"",IF(COUNTIF(A695:E695,"")=5,"",IF(G695,入力リスト!$K$28,IF(OR(A695="",B695="",IF(COUNTIF($C$3,"*不要*"),"",C695=""),D695=""),IF(A695="","従業員番号","")&amp;IF(B695="","「雇用形態」","")&amp;IF(OR(入力シート!$J$18=入力リスト!$H$9,入力シート!$J$22=入力リスト!$H$9),IF(C695="","「入社年月日」",""),"")&amp;IF(D695="","「性別」","")&amp;IF(IF(A695="","従業員番号","")&amp;IF(B695="","「雇用形態」","")&amp;IF(OR(入力シート!$J$18=入力リスト!$H$9,入力シート!$J$22=入力リスト!$H$9),IF(C695="","「入社年月日」",""),"")&amp;IF(D695="","「性別」","")="","",入力リスト!$K$29),IF(J695,入力リスト!$K$30,"")&amp;IF(I695,入力リスト!$K$31,"")&amp;IF(H695,"「雇用形態」","")&amp;IF(K695,"「性別」","")&amp;IF(L695,"「役職」","")&amp;IF(OR(H695,K695,L695),入力リスト!$K$32,"")))))</f>
        <v/>
      </c>
      <c r="G695" s="298" t="b">
        <f>COUNTIF($A$4:A694,$A695)&gt;0</f>
        <v>0</v>
      </c>
      <c r="H695" s="298" t="b">
        <f>IF($H$1,FALSE,COUNTIF(入力シート!$S$37:$V$62,B695)=0)</f>
        <v>0</v>
      </c>
      <c r="I695" s="298" t="b">
        <f t="shared" ref="I695:I758" si="23">IF($I$1,IF(ISNUMBER(C695),FALSE,TRUE),FALSE)</f>
        <v>0</v>
      </c>
      <c r="J695" s="298" t="b">
        <f>IF($J$1,FALSE,IF(I695=TRUE,FALSE,IF(I695,FALSE,C695&gt;入力シート!$J$24)))</f>
        <v>0</v>
      </c>
      <c r="K695" s="298" t="b">
        <f>IF($K$1,FALSE,COUNTIF(入力シート!$AW$37:$BB$38,D695)=0)</f>
        <v>0</v>
      </c>
      <c r="L695" s="298" t="b">
        <f>IF($L$1,FALSE,IF($L$3,FALSE,IF(E695="",FALSE,COUNTIF(入力シート!$AH$37:$AK$62,E695)=0)))</f>
        <v>0</v>
      </c>
      <c r="M695" s="298" t="str">
        <f t="shared" ref="M695:M758" si="24">IF(COUNTIF(F695,"*入社年月日に数値以外*"),"※1900/0/0以前は数値として認識されません。","")</f>
        <v/>
      </c>
      <c r="N695" s="298" t="str">
        <f>IF(G695,"この従業員番号は、すでに他のセルで入力されています。",IF(入力シート!$C$5=入力リスト!$C$4,"",IF(AND(A695="",B695="",C695="",D695="",E695=""),"",IF(OR(A695="",B695="",C695="",D695=""),IF(A695="","従業員番号","")&amp;IF(AND(A695="",OR(B695="",C695="",D695="")),",","")&amp;IF(B695="","雇用形態","")&amp;IF(AND(B695="",OR(C695="",D695="")),",","")&amp;IF(OR(入力シート!$J$18=入力リスト!$H$9,入力シート!$J$22=入力リスト!$H$9),IF(C695="","入社年月日",""),"")&amp;IF(AND(C695="",D695=""),",","")&amp;IF(D695="","性別","")&amp;IF(IF(A695="","従業員番号","")&amp;IF(B695="","雇用形態","")&amp;IF(OR(入力シート!$J$18=入力リスト!$H$9,入力シート!$J$22=入力リスト!$H$9),IF(C695="","入社年月日",""),"")&amp;IF(D695="","性別","")="","","が空白です。"),IF(J695,"入社年月日に「基準日」の翌日以降の日付が入力されています。","")&amp;IF(I695,"入社年月日に数値以外（又は1900/1/1以前の日付）が入力されています。","")&amp;IF(H695,"雇用形態"&amp;IF(OR(K695,L695),",",""),"")&amp;IF(K695,"性別"&amp;IF(L695,",",""),"")&amp;IF(L695,"役職","")&amp;IF(OR(H695,K695,L695),"に、［入力シート］(4)「貴社」欄と異なる文言が入力されています。","")))))</f>
        <v/>
      </c>
      <c r="O695" s="298" t="str">
        <f>IF(B695="","",VLOOKUP('従業員情報(給与以外)'!$B695,入力シート!$S$37:$Z$62,5,0))</f>
        <v/>
      </c>
      <c r="P695" s="298" t="str">
        <f>IF(ISNUMBER(C695)=FALSE,"",IF(C695&gt;入力シート!$J$24,"",_xlfn.DAYS(入力シート!$J$24,'従業員情報(給与以外)'!$C695)/365))</f>
        <v/>
      </c>
      <c r="Q695" s="298" t="str">
        <f>IF(P695="","",VLOOKUP(_xlfn.DAYS(入力シート!$J$24,'従業員情報(給与以外)'!$C695)/365,入力リスト!$K$18:$L$26,2,2))</f>
        <v/>
      </c>
      <c r="R695" s="298" t="str">
        <f>IF(D695="","",VLOOKUP('従業員情報(給与以外)'!$D695,入力シート!$AW$37:$BB$38,4,0))</f>
        <v/>
      </c>
      <c r="S695" s="298" t="str">
        <f>IF(A695="","",IF(E695="","非役職",VLOOKUP('従業員情報(給与以外)'!$E695,入力シート!$AH$37:$AO$62,5,0)))</f>
        <v/>
      </c>
      <c r="T695" s="299" t="str">
        <f>IF(OR(入力シート!$C$5&lt;&gt;入力リスト!$C$3,COUNTIF(入力シート!$J$16:$S$23,入力リスト!$H$9)=0),"",IF($A695="","",IF(ISERROR(AVERAGEIF(従業員の給与情報!$B:$B,$A695,従業員の給与情報!$C:$C)),0,IF(ISERROR(AVERAGEIF(従業員の給与情報!$B:$B,$A695,従業員の給与情報!$C:$C)),0,AVERAGEIF(従業員の給与情報!$B:$B,$A695,従業員の給与情報!$C:$C)))))</f>
        <v/>
      </c>
      <c r="U695" s="299" t="str">
        <f>IF(OR(入力シート!$C$5&lt;&gt;入力リスト!$C$3,COUNTIF(入力シート!$J$16:$S$23,入力リスト!$H$9)=0),"",IF(A695="","",IF(ISERROR(AVERAGEIF(従業員の給与情報!$B:$B,$A695,従業員の給与情報!$D:$D)),0,IF(ISERROR(AVERAGEIF(従業員の給与情報!$B:$B,$A695,従業員の給与情報!$D:$D)),0,AVERAGEIF(従業員の給与情報!$B:$B,$A695,従業員の給与情報!$D:$D)))))</f>
        <v/>
      </c>
      <c r="V695" s="299" t="str">
        <f>IF(OR(入力シート!$C$5&lt;&gt;入力リスト!$C$3,COUNTIF(入力シート!$J$16:$S$23,入力リスト!$H$9)=0),"",IF(A695="","",IF(ISERROR(AVERAGEIF(従業員の給与情報!$B:$B,$A695,従業員の給与情報!$E:$E)),0,IF(ISERROR(AVERAGEIF(従業員の給与情報!$B:$B,$A695,従業員の給与情報!$E:$E)),0,AVERAGEIF(従業員の給与情報!$B:$B,$A695,従業員の給与情報!$E:$E)))))</f>
        <v/>
      </c>
      <c r="W695" s="299" t="str">
        <f>IF(OR(入力シート!$C$5&lt;&gt;入力リスト!$C$3,COUNTIF(入力シート!$J$16:$S$23,入力リスト!$H$9)=0),"",IF(A695="","",IF(ISERROR(AVERAGEIF(従業員の給与情報!$B:$B,$A695,従業員の給与情報!$F:$F)),0,IF(ISERROR(AVERAGEIF(従業員の給与情報!$B:$B,$A695,従業員の給与情報!$F:$F)),0,AVERAGEIF(従業員の給与情報!$B:$B,$A695,従業員の給与情報!$F:$F)))))</f>
        <v/>
      </c>
      <c r="X695" s="581" t="s">
        <v>5434</v>
      </c>
    </row>
    <row r="696" spans="6:24">
      <c r="F696" s="297" t="str">
        <f>IF($G$1,"",IF(COUNTIF(A696:E696,"")=5,"",IF(G696,入力リスト!$K$28,IF(OR(A696="",B696="",IF(COUNTIF($C$3,"*不要*"),"",C696=""),D696=""),IF(A696="","従業員番号","")&amp;IF(B696="","「雇用形態」","")&amp;IF(OR(入力シート!$J$18=入力リスト!$H$9,入力シート!$J$22=入力リスト!$H$9),IF(C696="","「入社年月日」",""),"")&amp;IF(D696="","「性別」","")&amp;IF(IF(A696="","従業員番号","")&amp;IF(B696="","「雇用形態」","")&amp;IF(OR(入力シート!$J$18=入力リスト!$H$9,入力シート!$J$22=入力リスト!$H$9),IF(C696="","「入社年月日」",""),"")&amp;IF(D696="","「性別」","")="","",入力リスト!$K$29),IF(J696,入力リスト!$K$30,"")&amp;IF(I696,入力リスト!$K$31,"")&amp;IF(H696,"「雇用形態」","")&amp;IF(K696,"「性別」","")&amp;IF(L696,"「役職」","")&amp;IF(OR(H696,K696,L696),入力リスト!$K$32,"")))))</f>
        <v/>
      </c>
      <c r="G696" s="298" t="b">
        <f>COUNTIF($A$4:A695,$A696)&gt;0</f>
        <v>0</v>
      </c>
      <c r="H696" s="298" t="b">
        <f>IF($H$1,FALSE,COUNTIF(入力シート!$S$37:$V$62,B696)=0)</f>
        <v>0</v>
      </c>
      <c r="I696" s="298" t="b">
        <f t="shared" si="23"/>
        <v>0</v>
      </c>
      <c r="J696" s="298" t="b">
        <f>IF($J$1,FALSE,IF(I696=TRUE,FALSE,IF(I696,FALSE,C696&gt;入力シート!$J$24)))</f>
        <v>0</v>
      </c>
      <c r="K696" s="298" t="b">
        <f>IF($K$1,FALSE,COUNTIF(入力シート!$AW$37:$BB$38,D696)=0)</f>
        <v>0</v>
      </c>
      <c r="L696" s="298" t="b">
        <f>IF($L$1,FALSE,IF($L$3,FALSE,IF(E696="",FALSE,COUNTIF(入力シート!$AH$37:$AK$62,E696)=0)))</f>
        <v>0</v>
      </c>
      <c r="M696" s="298" t="str">
        <f t="shared" si="24"/>
        <v/>
      </c>
      <c r="N696" s="298" t="str">
        <f>IF(G696,"この従業員番号は、すでに他のセルで入力されています。",IF(入力シート!$C$5=入力リスト!$C$4,"",IF(AND(A696="",B696="",C696="",D696="",E696=""),"",IF(OR(A696="",B696="",C696="",D696=""),IF(A696="","従業員番号","")&amp;IF(AND(A696="",OR(B696="",C696="",D696="")),",","")&amp;IF(B696="","雇用形態","")&amp;IF(AND(B696="",OR(C696="",D696="")),",","")&amp;IF(OR(入力シート!$J$18=入力リスト!$H$9,入力シート!$J$22=入力リスト!$H$9),IF(C696="","入社年月日",""),"")&amp;IF(AND(C696="",D696=""),",","")&amp;IF(D696="","性別","")&amp;IF(IF(A696="","従業員番号","")&amp;IF(B696="","雇用形態","")&amp;IF(OR(入力シート!$J$18=入力リスト!$H$9,入力シート!$J$22=入力リスト!$H$9),IF(C696="","入社年月日",""),"")&amp;IF(D696="","性別","")="","","が空白です。"),IF(J696,"入社年月日に「基準日」の翌日以降の日付が入力されています。","")&amp;IF(I696,"入社年月日に数値以外（又は1900/1/1以前の日付）が入力されています。","")&amp;IF(H696,"雇用形態"&amp;IF(OR(K696,L696),",",""),"")&amp;IF(K696,"性別"&amp;IF(L696,",",""),"")&amp;IF(L696,"役職","")&amp;IF(OR(H696,K696,L696),"に、［入力シート］(4)「貴社」欄と異なる文言が入力されています。","")))))</f>
        <v/>
      </c>
      <c r="O696" s="298" t="str">
        <f>IF(B696="","",VLOOKUP('従業員情報(給与以外)'!$B696,入力シート!$S$37:$Z$62,5,0))</f>
        <v/>
      </c>
      <c r="P696" s="298" t="str">
        <f>IF(ISNUMBER(C696)=FALSE,"",IF(C696&gt;入力シート!$J$24,"",_xlfn.DAYS(入力シート!$J$24,'従業員情報(給与以外)'!$C696)/365))</f>
        <v/>
      </c>
      <c r="Q696" s="298" t="str">
        <f>IF(P696="","",VLOOKUP(_xlfn.DAYS(入力シート!$J$24,'従業員情報(給与以外)'!$C696)/365,入力リスト!$K$18:$L$26,2,2))</f>
        <v/>
      </c>
      <c r="R696" s="298" t="str">
        <f>IF(D696="","",VLOOKUP('従業員情報(給与以外)'!$D696,入力シート!$AW$37:$BB$38,4,0))</f>
        <v/>
      </c>
      <c r="S696" s="298" t="str">
        <f>IF(A696="","",IF(E696="","非役職",VLOOKUP('従業員情報(給与以外)'!$E696,入力シート!$AH$37:$AO$62,5,0)))</f>
        <v/>
      </c>
      <c r="T696" s="299" t="str">
        <f>IF(OR(入力シート!$C$5&lt;&gt;入力リスト!$C$3,COUNTIF(入力シート!$J$16:$S$23,入力リスト!$H$9)=0),"",IF($A696="","",IF(ISERROR(AVERAGEIF(従業員の給与情報!$B:$B,$A696,従業員の給与情報!$C:$C)),0,IF(ISERROR(AVERAGEIF(従業員の給与情報!$B:$B,$A696,従業員の給与情報!$C:$C)),0,AVERAGEIF(従業員の給与情報!$B:$B,$A696,従業員の給与情報!$C:$C)))))</f>
        <v/>
      </c>
      <c r="U696" s="299" t="str">
        <f>IF(OR(入力シート!$C$5&lt;&gt;入力リスト!$C$3,COUNTIF(入力シート!$J$16:$S$23,入力リスト!$H$9)=0),"",IF(A696="","",IF(ISERROR(AVERAGEIF(従業員の給与情報!$B:$B,$A696,従業員の給与情報!$D:$D)),0,IF(ISERROR(AVERAGEIF(従業員の給与情報!$B:$B,$A696,従業員の給与情報!$D:$D)),0,AVERAGEIF(従業員の給与情報!$B:$B,$A696,従業員の給与情報!$D:$D)))))</f>
        <v/>
      </c>
      <c r="V696" s="299" t="str">
        <f>IF(OR(入力シート!$C$5&lt;&gt;入力リスト!$C$3,COUNTIF(入力シート!$J$16:$S$23,入力リスト!$H$9)=0),"",IF(A696="","",IF(ISERROR(AVERAGEIF(従業員の給与情報!$B:$B,$A696,従業員の給与情報!$E:$E)),0,IF(ISERROR(AVERAGEIF(従業員の給与情報!$B:$B,$A696,従業員の給与情報!$E:$E)),0,AVERAGEIF(従業員の給与情報!$B:$B,$A696,従業員の給与情報!$E:$E)))))</f>
        <v/>
      </c>
      <c r="W696" s="299" t="str">
        <f>IF(OR(入力シート!$C$5&lt;&gt;入力リスト!$C$3,COUNTIF(入力シート!$J$16:$S$23,入力リスト!$H$9)=0),"",IF(A696="","",IF(ISERROR(AVERAGEIF(従業員の給与情報!$B:$B,$A696,従業員の給与情報!$F:$F)),0,IF(ISERROR(AVERAGEIF(従業員の給与情報!$B:$B,$A696,従業員の給与情報!$F:$F)),0,AVERAGEIF(従業員の給与情報!$B:$B,$A696,従業員の給与情報!$F:$F)))))</f>
        <v/>
      </c>
      <c r="X696" s="581" t="s">
        <v>5435</v>
      </c>
    </row>
    <row r="697" spans="6:24">
      <c r="F697" s="297" t="str">
        <f>IF($G$1,"",IF(COUNTIF(A697:E697,"")=5,"",IF(G697,入力リスト!$K$28,IF(OR(A697="",B697="",IF(COUNTIF($C$3,"*不要*"),"",C697=""),D697=""),IF(A697="","従業員番号","")&amp;IF(B697="","「雇用形態」","")&amp;IF(OR(入力シート!$J$18=入力リスト!$H$9,入力シート!$J$22=入力リスト!$H$9),IF(C697="","「入社年月日」",""),"")&amp;IF(D697="","「性別」","")&amp;IF(IF(A697="","従業員番号","")&amp;IF(B697="","「雇用形態」","")&amp;IF(OR(入力シート!$J$18=入力リスト!$H$9,入力シート!$J$22=入力リスト!$H$9),IF(C697="","「入社年月日」",""),"")&amp;IF(D697="","「性別」","")="","",入力リスト!$K$29),IF(J697,入力リスト!$K$30,"")&amp;IF(I697,入力リスト!$K$31,"")&amp;IF(H697,"「雇用形態」","")&amp;IF(K697,"「性別」","")&amp;IF(L697,"「役職」","")&amp;IF(OR(H697,K697,L697),入力リスト!$K$32,"")))))</f>
        <v/>
      </c>
      <c r="G697" s="298" t="b">
        <f>COUNTIF($A$4:A696,$A697)&gt;0</f>
        <v>0</v>
      </c>
      <c r="H697" s="298" t="b">
        <f>IF($H$1,FALSE,COUNTIF(入力シート!$S$37:$V$62,B697)=0)</f>
        <v>0</v>
      </c>
      <c r="I697" s="298" t="b">
        <f t="shared" si="23"/>
        <v>0</v>
      </c>
      <c r="J697" s="298" t="b">
        <f>IF($J$1,FALSE,IF(I697=TRUE,FALSE,IF(I697,FALSE,C697&gt;入力シート!$J$24)))</f>
        <v>0</v>
      </c>
      <c r="K697" s="298" t="b">
        <f>IF($K$1,FALSE,COUNTIF(入力シート!$AW$37:$BB$38,D697)=0)</f>
        <v>0</v>
      </c>
      <c r="L697" s="298" t="b">
        <f>IF($L$1,FALSE,IF($L$3,FALSE,IF(E697="",FALSE,COUNTIF(入力シート!$AH$37:$AK$62,E697)=0)))</f>
        <v>0</v>
      </c>
      <c r="M697" s="298" t="str">
        <f t="shared" si="24"/>
        <v/>
      </c>
      <c r="N697" s="298" t="str">
        <f>IF(G697,"この従業員番号は、すでに他のセルで入力されています。",IF(入力シート!$C$5=入力リスト!$C$4,"",IF(AND(A697="",B697="",C697="",D697="",E697=""),"",IF(OR(A697="",B697="",C697="",D697=""),IF(A697="","従業員番号","")&amp;IF(AND(A697="",OR(B697="",C697="",D697="")),",","")&amp;IF(B697="","雇用形態","")&amp;IF(AND(B697="",OR(C697="",D697="")),",","")&amp;IF(OR(入力シート!$J$18=入力リスト!$H$9,入力シート!$J$22=入力リスト!$H$9),IF(C697="","入社年月日",""),"")&amp;IF(AND(C697="",D697=""),",","")&amp;IF(D697="","性別","")&amp;IF(IF(A697="","従業員番号","")&amp;IF(B697="","雇用形態","")&amp;IF(OR(入力シート!$J$18=入力リスト!$H$9,入力シート!$J$22=入力リスト!$H$9),IF(C697="","入社年月日",""),"")&amp;IF(D697="","性別","")="","","が空白です。"),IF(J697,"入社年月日に「基準日」の翌日以降の日付が入力されています。","")&amp;IF(I697,"入社年月日に数値以外（又は1900/1/1以前の日付）が入力されています。","")&amp;IF(H697,"雇用形態"&amp;IF(OR(K697,L697),",",""),"")&amp;IF(K697,"性別"&amp;IF(L697,",",""),"")&amp;IF(L697,"役職","")&amp;IF(OR(H697,K697,L697),"に、［入力シート］(4)「貴社」欄と異なる文言が入力されています。","")))))</f>
        <v/>
      </c>
      <c r="O697" s="298" t="str">
        <f>IF(B697="","",VLOOKUP('従業員情報(給与以外)'!$B697,入力シート!$S$37:$Z$62,5,0))</f>
        <v/>
      </c>
      <c r="P697" s="298" t="str">
        <f>IF(ISNUMBER(C697)=FALSE,"",IF(C697&gt;入力シート!$J$24,"",_xlfn.DAYS(入力シート!$J$24,'従業員情報(給与以外)'!$C697)/365))</f>
        <v/>
      </c>
      <c r="Q697" s="298" t="str">
        <f>IF(P697="","",VLOOKUP(_xlfn.DAYS(入力シート!$J$24,'従業員情報(給与以外)'!$C697)/365,入力リスト!$K$18:$L$26,2,2))</f>
        <v/>
      </c>
      <c r="R697" s="298" t="str">
        <f>IF(D697="","",VLOOKUP('従業員情報(給与以外)'!$D697,入力シート!$AW$37:$BB$38,4,0))</f>
        <v/>
      </c>
      <c r="S697" s="298" t="str">
        <f>IF(A697="","",IF(E697="","非役職",VLOOKUP('従業員情報(給与以外)'!$E697,入力シート!$AH$37:$AO$62,5,0)))</f>
        <v/>
      </c>
      <c r="T697" s="299" t="str">
        <f>IF(OR(入力シート!$C$5&lt;&gt;入力リスト!$C$3,COUNTIF(入力シート!$J$16:$S$23,入力リスト!$H$9)=0),"",IF($A697="","",IF(ISERROR(AVERAGEIF(従業員の給与情報!$B:$B,$A697,従業員の給与情報!$C:$C)),0,IF(ISERROR(AVERAGEIF(従業員の給与情報!$B:$B,$A697,従業員の給与情報!$C:$C)),0,AVERAGEIF(従業員の給与情報!$B:$B,$A697,従業員の給与情報!$C:$C)))))</f>
        <v/>
      </c>
      <c r="U697" s="299" t="str">
        <f>IF(OR(入力シート!$C$5&lt;&gt;入力リスト!$C$3,COUNTIF(入力シート!$J$16:$S$23,入力リスト!$H$9)=0),"",IF(A697="","",IF(ISERROR(AVERAGEIF(従業員の給与情報!$B:$B,$A697,従業員の給与情報!$D:$D)),0,IF(ISERROR(AVERAGEIF(従業員の給与情報!$B:$B,$A697,従業員の給与情報!$D:$D)),0,AVERAGEIF(従業員の給与情報!$B:$B,$A697,従業員の給与情報!$D:$D)))))</f>
        <v/>
      </c>
      <c r="V697" s="299" t="str">
        <f>IF(OR(入力シート!$C$5&lt;&gt;入力リスト!$C$3,COUNTIF(入力シート!$J$16:$S$23,入力リスト!$H$9)=0),"",IF(A697="","",IF(ISERROR(AVERAGEIF(従業員の給与情報!$B:$B,$A697,従業員の給与情報!$E:$E)),0,IF(ISERROR(AVERAGEIF(従業員の給与情報!$B:$B,$A697,従業員の給与情報!$E:$E)),0,AVERAGEIF(従業員の給与情報!$B:$B,$A697,従業員の給与情報!$E:$E)))))</f>
        <v/>
      </c>
      <c r="W697" s="299" t="str">
        <f>IF(OR(入力シート!$C$5&lt;&gt;入力リスト!$C$3,COUNTIF(入力シート!$J$16:$S$23,入力リスト!$H$9)=0),"",IF(A697="","",IF(ISERROR(AVERAGEIF(従業員の給与情報!$B:$B,$A697,従業員の給与情報!$F:$F)),0,IF(ISERROR(AVERAGEIF(従業員の給与情報!$B:$B,$A697,従業員の給与情報!$F:$F)),0,AVERAGEIF(従業員の給与情報!$B:$B,$A697,従業員の給与情報!$F:$F)))))</f>
        <v/>
      </c>
      <c r="X697" s="581" t="s">
        <v>5436</v>
      </c>
    </row>
    <row r="698" spans="6:24">
      <c r="F698" s="297" t="str">
        <f>IF($G$1,"",IF(COUNTIF(A698:E698,"")=5,"",IF(G698,入力リスト!$K$28,IF(OR(A698="",B698="",IF(COUNTIF($C$3,"*不要*"),"",C698=""),D698=""),IF(A698="","従業員番号","")&amp;IF(B698="","「雇用形態」","")&amp;IF(OR(入力シート!$J$18=入力リスト!$H$9,入力シート!$J$22=入力リスト!$H$9),IF(C698="","「入社年月日」",""),"")&amp;IF(D698="","「性別」","")&amp;IF(IF(A698="","従業員番号","")&amp;IF(B698="","「雇用形態」","")&amp;IF(OR(入力シート!$J$18=入力リスト!$H$9,入力シート!$J$22=入力リスト!$H$9),IF(C698="","「入社年月日」",""),"")&amp;IF(D698="","「性別」","")="","",入力リスト!$K$29),IF(J698,入力リスト!$K$30,"")&amp;IF(I698,入力リスト!$K$31,"")&amp;IF(H698,"「雇用形態」","")&amp;IF(K698,"「性別」","")&amp;IF(L698,"「役職」","")&amp;IF(OR(H698,K698,L698),入力リスト!$K$32,"")))))</f>
        <v/>
      </c>
      <c r="G698" s="298" t="b">
        <f>COUNTIF($A$4:A697,$A698)&gt;0</f>
        <v>0</v>
      </c>
      <c r="H698" s="298" t="b">
        <f>IF($H$1,FALSE,COUNTIF(入力シート!$S$37:$V$62,B698)=0)</f>
        <v>0</v>
      </c>
      <c r="I698" s="298" t="b">
        <f t="shared" si="23"/>
        <v>0</v>
      </c>
      <c r="J698" s="298" t="b">
        <f>IF($J$1,FALSE,IF(I698=TRUE,FALSE,IF(I698,FALSE,C698&gt;入力シート!$J$24)))</f>
        <v>0</v>
      </c>
      <c r="K698" s="298" t="b">
        <f>IF($K$1,FALSE,COUNTIF(入力シート!$AW$37:$BB$38,D698)=0)</f>
        <v>0</v>
      </c>
      <c r="L698" s="298" t="b">
        <f>IF($L$1,FALSE,IF($L$3,FALSE,IF(E698="",FALSE,COUNTIF(入力シート!$AH$37:$AK$62,E698)=0)))</f>
        <v>0</v>
      </c>
      <c r="M698" s="298" t="str">
        <f t="shared" si="24"/>
        <v/>
      </c>
      <c r="N698" s="298" t="str">
        <f>IF(G698,"この従業員番号は、すでに他のセルで入力されています。",IF(入力シート!$C$5=入力リスト!$C$4,"",IF(AND(A698="",B698="",C698="",D698="",E698=""),"",IF(OR(A698="",B698="",C698="",D698=""),IF(A698="","従業員番号","")&amp;IF(AND(A698="",OR(B698="",C698="",D698="")),",","")&amp;IF(B698="","雇用形態","")&amp;IF(AND(B698="",OR(C698="",D698="")),",","")&amp;IF(OR(入力シート!$J$18=入力リスト!$H$9,入力シート!$J$22=入力リスト!$H$9),IF(C698="","入社年月日",""),"")&amp;IF(AND(C698="",D698=""),",","")&amp;IF(D698="","性別","")&amp;IF(IF(A698="","従業員番号","")&amp;IF(B698="","雇用形態","")&amp;IF(OR(入力シート!$J$18=入力リスト!$H$9,入力シート!$J$22=入力リスト!$H$9),IF(C698="","入社年月日",""),"")&amp;IF(D698="","性別","")="","","が空白です。"),IF(J698,"入社年月日に「基準日」の翌日以降の日付が入力されています。","")&amp;IF(I698,"入社年月日に数値以外（又は1900/1/1以前の日付）が入力されています。","")&amp;IF(H698,"雇用形態"&amp;IF(OR(K698,L698),",",""),"")&amp;IF(K698,"性別"&amp;IF(L698,",",""),"")&amp;IF(L698,"役職","")&amp;IF(OR(H698,K698,L698),"に、［入力シート］(4)「貴社」欄と異なる文言が入力されています。","")))))</f>
        <v/>
      </c>
      <c r="O698" s="298" t="str">
        <f>IF(B698="","",VLOOKUP('従業員情報(給与以外)'!$B698,入力シート!$S$37:$Z$62,5,0))</f>
        <v/>
      </c>
      <c r="P698" s="298" t="str">
        <f>IF(ISNUMBER(C698)=FALSE,"",IF(C698&gt;入力シート!$J$24,"",_xlfn.DAYS(入力シート!$J$24,'従業員情報(給与以外)'!$C698)/365))</f>
        <v/>
      </c>
      <c r="Q698" s="298" t="str">
        <f>IF(P698="","",VLOOKUP(_xlfn.DAYS(入力シート!$J$24,'従業員情報(給与以外)'!$C698)/365,入力リスト!$K$18:$L$26,2,2))</f>
        <v/>
      </c>
      <c r="R698" s="298" t="str">
        <f>IF(D698="","",VLOOKUP('従業員情報(給与以外)'!$D698,入力シート!$AW$37:$BB$38,4,0))</f>
        <v/>
      </c>
      <c r="S698" s="298" t="str">
        <f>IF(A698="","",IF(E698="","非役職",VLOOKUP('従業員情報(給与以外)'!$E698,入力シート!$AH$37:$AO$62,5,0)))</f>
        <v/>
      </c>
      <c r="T698" s="299" t="str">
        <f>IF(OR(入力シート!$C$5&lt;&gt;入力リスト!$C$3,COUNTIF(入力シート!$J$16:$S$23,入力リスト!$H$9)=0),"",IF($A698="","",IF(ISERROR(AVERAGEIF(従業員の給与情報!$B:$B,$A698,従業員の給与情報!$C:$C)),0,IF(ISERROR(AVERAGEIF(従業員の給与情報!$B:$B,$A698,従業員の給与情報!$C:$C)),0,AVERAGEIF(従業員の給与情報!$B:$B,$A698,従業員の給与情報!$C:$C)))))</f>
        <v/>
      </c>
      <c r="U698" s="299" t="str">
        <f>IF(OR(入力シート!$C$5&lt;&gt;入力リスト!$C$3,COUNTIF(入力シート!$J$16:$S$23,入力リスト!$H$9)=0),"",IF(A698="","",IF(ISERROR(AVERAGEIF(従業員の給与情報!$B:$B,$A698,従業員の給与情報!$D:$D)),0,IF(ISERROR(AVERAGEIF(従業員の給与情報!$B:$B,$A698,従業員の給与情報!$D:$D)),0,AVERAGEIF(従業員の給与情報!$B:$B,$A698,従業員の給与情報!$D:$D)))))</f>
        <v/>
      </c>
      <c r="V698" s="299" t="str">
        <f>IF(OR(入力シート!$C$5&lt;&gt;入力リスト!$C$3,COUNTIF(入力シート!$J$16:$S$23,入力リスト!$H$9)=0),"",IF(A698="","",IF(ISERROR(AVERAGEIF(従業員の給与情報!$B:$B,$A698,従業員の給与情報!$E:$E)),0,IF(ISERROR(AVERAGEIF(従業員の給与情報!$B:$B,$A698,従業員の給与情報!$E:$E)),0,AVERAGEIF(従業員の給与情報!$B:$B,$A698,従業員の給与情報!$E:$E)))))</f>
        <v/>
      </c>
      <c r="W698" s="299" t="str">
        <f>IF(OR(入力シート!$C$5&lt;&gt;入力リスト!$C$3,COUNTIF(入力シート!$J$16:$S$23,入力リスト!$H$9)=0),"",IF(A698="","",IF(ISERROR(AVERAGEIF(従業員の給与情報!$B:$B,$A698,従業員の給与情報!$F:$F)),0,IF(ISERROR(AVERAGEIF(従業員の給与情報!$B:$B,$A698,従業員の給与情報!$F:$F)),0,AVERAGEIF(従業員の給与情報!$B:$B,$A698,従業員の給与情報!$F:$F)))))</f>
        <v/>
      </c>
      <c r="X698" s="581" t="s">
        <v>5437</v>
      </c>
    </row>
    <row r="699" spans="6:24">
      <c r="F699" s="297" t="str">
        <f>IF($G$1,"",IF(COUNTIF(A699:E699,"")=5,"",IF(G699,入力リスト!$K$28,IF(OR(A699="",B699="",IF(COUNTIF($C$3,"*不要*"),"",C699=""),D699=""),IF(A699="","従業員番号","")&amp;IF(B699="","「雇用形態」","")&amp;IF(OR(入力シート!$J$18=入力リスト!$H$9,入力シート!$J$22=入力リスト!$H$9),IF(C699="","「入社年月日」",""),"")&amp;IF(D699="","「性別」","")&amp;IF(IF(A699="","従業員番号","")&amp;IF(B699="","「雇用形態」","")&amp;IF(OR(入力シート!$J$18=入力リスト!$H$9,入力シート!$J$22=入力リスト!$H$9),IF(C699="","「入社年月日」",""),"")&amp;IF(D699="","「性別」","")="","",入力リスト!$K$29),IF(J699,入力リスト!$K$30,"")&amp;IF(I699,入力リスト!$K$31,"")&amp;IF(H699,"「雇用形態」","")&amp;IF(K699,"「性別」","")&amp;IF(L699,"「役職」","")&amp;IF(OR(H699,K699,L699),入力リスト!$K$32,"")))))</f>
        <v/>
      </c>
      <c r="G699" s="298" t="b">
        <f>COUNTIF($A$4:A698,$A699)&gt;0</f>
        <v>0</v>
      </c>
      <c r="H699" s="298" t="b">
        <f>IF($H$1,FALSE,COUNTIF(入力シート!$S$37:$V$62,B699)=0)</f>
        <v>0</v>
      </c>
      <c r="I699" s="298" t="b">
        <f t="shared" si="23"/>
        <v>0</v>
      </c>
      <c r="J699" s="298" t="b">
        <f>IF($J$1,FALSE,IF(I699=TRUE,FALSE,IF(I699,FALSE,C699&gt;入力シート!$J$24)))</f>
        <v>0</v>
      </c>
      <c r="K699" s="298" t="b">
        <f>IF($K$1,FALSE,COUNTIF(入力シート!$AW$37:$BB$38,D699)=0)</f>
        <v>0</v>
      </c>
      <c r="L699" s="298" t="b">
        <f>IF($L$1,FALSE,IF($L$3,FALSE,IF(E699="",FALSE,COUNTIF(入力シート!$AH$37:$AK$62,E699)=0)))</f>
        <v>0</v>
      </c>
      <c r="M699" s="298" t="str">
        <f t="shared" si="24"/>
        <v/>
      </c>
      <c r="N699" s="298" t="str">
        <f>IF(G699,"この従業員番号は、すでに他のセルで入力されています。",IF(入力シート!$C$5=入力リスト!$C$4,"",IF(AND(A699="",B699="",C699="",D699="",E699=""),"",IF(OR(A699="",B699="",C699="",D699=""),IF(A699="","従業員番号","")&amp;IF(AND(A699="",OR(B699="",C699="",D699="")),",","")&amp;IF(B699="","雇用形態","")&amp;IF(AND(B699="",OR(C699="",D699="")),",","")&amp;IF(OR(入力シート!$J$18=入力リスト!$H$9,入力シート!$J$22=入力リスト!$H$9),IF(C699="","入社年月日",""),"")&amp;IF(AND(C699="",D699=""),",","")&amp;IF(D699="","性別","")&amp;IF(IF(A699="","従業員番号","")&amp;IF(B699="","雇用形態","")&amp;IF(OR(入力シート!$J$18=入力リスト!$H$9,入力シート!$J$22=入力リスト!$H$9),IF(C699="","入社年月日",""),"")&amp;IF(D699="","性別","")="","","が空白です。"),IF(J699,"入社年月日に「基準日」の翌日以降の日付が入力されています。","")&amp;IF(I699,"入社年月日に数値以外（又は1900/1/1以前の日付）が入力されています。","")&amp;IF(H699,"雇用形態"&amp;IF(OR(K699,L699),",",""),"")&amp;IF(K699,"性別"&amp;IF(L699,",",""),"")&amp;IF(L699,"役職","")&amp;IF(OR(H699,K699,L699),"に、［入力シート］(4)「貴社」欄と異なる文言が入力されています。","")))))</f>
        <v/>
      </c>
      <c r="O699" s="298" t="str">
        <f>IF(B699="","",VLOOKUP('従業員情報(給与以外)'!$B699,入力シート!$S$37:$Z$62,5,0))</f>
        <v/>
      </c>
      <c r="P699" s="298" t="str">
        <f>IF(ISNUMBER(C699)=FALSE,"",IF(C699&gt;入力シート!$J$24,"",_xlfn.DAYS(入力シート!$J$24,'従業員情報(給与以外)'!$C699)/365))</f>
        <v/>
      </c>
      <c r="Q699" s="298" t="str">
        <f>IF(P699="","",VLOOKUP(_xlfn.DAYS(入力シート!$J$24,'従業員情報(給与以外)'!$C699)/365,入力リスト!$K$18:$L$26,2,2))</f>
        <v/>
      </c>
      <c r="R699" s="298" t="str">
        <f>IF(D699="","",VLOOKUP('従業員情報(給与以外)'!$D699,入力シート!$AW$37:$BB$38,4,0))</f>
        <v/>
      </c>
      <c r="S699" s="298" t="str">
        <f>IF(A699="","",IF(E699="","非役職",VLOOKUP('従業員情報(給与以外)'!$E699,入力シート!$AH$37:$AO$62,5,0)))</f>
        <v/>
      </c>
      <c r="T699" s="299" t="str">
        <f>IF(OR(入力シート!$C$5&lt;&gt;入力リスト!$C$3,COUNTIF(入力シート!$J$16:$S$23,入力リスト!$H$9)=0),"",IF($A699="","",IF(ISERROR(AVERAGEIF(従業員の給与情報!$B:$B,$A699,従業員の給与情報!$C:$C)),0,IF(ISERROR(AVERAGEIF(従業員の給与情報!$B:$B,$A699,従業員の給与情報!$C:$C)),0,AVERAGEIF(従業員の給与情報!$B:$B,$A699,従業員の給与情報!$C:$C)))))</f>
        <v/>
      </c>
      <c r="U699" s="299" t="str">
        <f>IF(OR(入力シート!$C$5&lt;&gt;入力リスト!$C$3,COUNTIF(入力シート!$J$16:$S$23,入力リスト!$H$9)=0),"",IF(A699="","",IF(ISERROR(AVERAGEIF(従業員の給与情報!$B:$B,$A699,従業員の給与情報!$D:$D)),0,IF(ISERROR(AVERAGEIF(従業員の給与情報!$B:$B,$A699,従業員の給与情報!$D:$D)),0,AVERAGEIF(従業員の給与情報!$B:$B,$A699,従業員の給与情報!$D:$D)))))</f>
        <v/>
      </c>
      <c r="V699" s="299" t="str">
        <f>IF(OR(入力シート!$C$5&lt;&gt;入力リスト!$C$3,COUNTIF(入力シート!$J$16:$S$23,入力リスト!$H$9)=0),"",IF(A699="","",IF(ISERROR(AVERAGEIF(従業員の給与情報!$B:$B,$A699,従業員の給与情報!$E:$E)),0,IF(ISERROR(AVERAGEIF(従業員の給与情報!$B:$B,$A699,従業員の給与情報!$E:$E)),0,AVERAGEIF(従業員の給与情報!$B:$B,$A699,従業員の給与情報!$E:$E)))))</f>
        <v/>
      </c>
      <c r="W699" s="299" t="str">
        <f>IF(OR(入力シート!$C$5&lt;&gt;入力リスト!$C$3,COUNTIF(入力シート!$J$16:$S$23,入力リスト!$H$9)=0),"",IF(A699="","",IF(ISERROR(AVERAGEIF(従業員の給与情報!$B:$B,$A699,従業員の給与情報!$F:$F)),0,IF(ISERROR(AVERAGEIF(従業員の給与情報!$B:$B,$A699,従業員の給与情報!$F:$F)),0,AVERAGEIF(従業員の給与情報!$B:$B,$A699,従業員の給与情報!$F:$F)))))</f>
        <v/>
      </c>
      <c r="X699" s="581" t="s">
        <v>5438</v>
      </c>
    </row>
    <row r="700" spans="6:24">
      <c r="F700" s="297" t="str">
        <f>IF($G$1,"",IF(COUNTIF(A700:E700,"")=5,"",IF(G700,入力リスト!$K$28,IF(OR(A700="",B700="",IF(COUNTIF($C$3,"*不要*"),"",C700=""),D700=""),IF(A700="","従業員番号","")&amp;IF(B700="","「雇用形態」","")&amp;IF(OR(入力シート!$J$18=入力リスト!$H$9,入力シート!$J$22=入力リスト!$H$9),IF(C700="","「入社年月日」",""),"")&amp;IF(D700="","「性別」","")&amp;IF(IF(A700="","従業員番号","")&amp;IF(B700="","「雇用形態」","")&amp;IF(OR(入力シート!$J$18=入力リスト!$H$9,入力シート!$J$22=入力リスト!$H$9),IF(C700="","「入社年月日」",""),"")&amp;IF(D700="","「性別」","")="","",入力リスト!$K$29),IF(J700,入力リスト!$K$30,"")&amp;IF(I700,入力リスト!$K$31,"")&amp;IF(H700,"「雇用形態」","")&amp;IF(K700,"「性別」","")&amp;IF(L700,"「役職」","")&amp;IF(OR(H700,K700,L700),入力リスト!$K$32,"")))))</f>
        <v/>
      </c>
      <c r="G700" s="298" t="b">
        <f>COUNTIF($A$4:A699,$A700)&gt;0</f>
        <v>0</v>
      </c>
      <c r="H700" s="298" t="b">
        <f>IF($H$1,FALSE,COUNTIF(入力シート!$S$37:$V$62,B700)=0)</f>
        <v>0</v>
      </c>
      <c r="I700" s="298" t="b">
        <f t="shared" si="23"/>
        <v>0</v>
      </c>
      <c r="J700" s="298" t="b">
        <f>IF($J$1,FALSE,IF(I700=TRUE,FALSE,IF(I700,FALSE,C700&gt;入力シート!$J$24)))</f>
        <v>0</v>
      </c>
      <c r="K700" s="298" t="b">
        <f>IF($K$1,FALSE,COUNTIF(入力シート!$AW$37:$BB$38,D700)=0)</f>
        <v>0</v>
      </c>
      <c r="L700" s="298" t="b">
        <f>IF($L$1,FALSE,IF($L$3,FALSE,IF(E700="",FALSE,COUNTIF(入力シート!$AH$37:$AK$62,E700)=0)))</f>
        <v>0</v>
      </c>
      <c r="M700" s="298" t="str">
        <f t="shared" si="24"/>
        <v/>
      </c>
      <c r="N700" s="298" t="str">
        <f>IF(G700,"この従業員番号は、すでに他のセルで入力されています。",IF(入力シート!$C$5=入力リスト!$C$4,"",IF(AND(A700="",B700="",C700="",D700="",E700=""),"",IF(OR(A700="",B700="",C700="",D700=""),IF(A700="","従業員番号","")&amp;IF(AND(A700="",OR(B700="",C700="",D700="")),",","")&amp;IF(B700="","雇用形態","")&amp;IF(AND(B700="",OR(C700="",D700="")),",","")&amp;IF(OR(入力シート!$J$18=入力リスト!$H$9,入力シート!$J$22=入力リスト!$H$9),IF(C700="","入社年月日",""),"")&amp;IF(AND(C700="",D700=""),",","")&amp;IF(D700="","性別","")&amp;IF(IF(A700="","従業員番号","")&amp;IF(B700="","雇用形態","")&amp;IF(OR(入力シート!$J$18=入力リスト!$H$9,入力シート!$J$22=入力リスト!$H$9),IF(C700="","入社年月日",""),"")&amp;IF(D700="","性別","")="","","が空白です。"),IF(J700,"入社年月日に「基準日」の翌日以降の日付が入力されています。","")&amp;IF(I700,"入社年月日に数値以外（又は1900/1/1以前の日付）が入力されています。","")&amp;IF(H700,"雇用形態"&amp;IF(OR(K700,L700),",",""),"")&amp;IF(K700,"性別"&amp;IF(L700,",",""),"")&amp;IF(L700,"役職","")&amp;IF(OR(H700,K700,L700),"に、［入力シート］(4)「貴社」欄と異なる文言が入力されています。","")))))</f>
        <v/>
      </c>
      <c r="O700" s="298" t="str">
        <f>IF(B700="","",VLOOKUP('従業員情報(給与以外)'!$B700,入力シート!$S$37:$Z$62,5,0))</f>
        <v/>
      </c>
      <c r="P700" s="298" t="str">
        <f>IF(ISNUMBER(C700)=FALSE,"",IF(C700&gt;入力シート!$J$24,"",_xlfn.DAYS(入力シート!$J$24,'従業員情報(給与以外)'!$C700)/365))</f>
        <v/>
      </c>
      <c r="Q700" s="298" t="str">
        <f>IF(P700="","",VLOOKUP(_xlfn.DAYS(入力シート!$J$24,'従業員情報(給与以外)'!$C700)/365,入力リスト!$K$18:$L$26,2,2))</f>
        <v/>
      </c>
      <c r="R700" s="298" t="str">
        <f>IF(D700="","",VLOOKUP('従業員情報(給与以外)'!$D700,入力シート!$AW$37:$BB$38,4,0))</f>
        <v/>
      </c>
      <c r="S700" s="298" t="str">
        <f>IF(A700="","",IF(E700="","非役職",VLOOKUP('従業員情報(給与以外)'!$E700,入力シート!$AH$37:$AO$62,5,0)))</f>
        <v/>
      </c>
      <c r="T700" s="299" t="str">
        <f>IF(OR(入力シート!$C$5&lt;&gt;入力リスト!$C$3,COUNTIF(入力シート!$J$16:$S$23,入力リスト!$H$9)=0),"",IF($A700="","",IF(ISERROR(AVERAGEIF(従業員の給与情報!$B:$B,$A700,従業員の給与情報!$C:$C)),0,IF(ISERROR(AVERAGEIF(従業員の給与情報!$B:$B,$A700,従業員の給与情報!$C:$C)),0,AVERAGEIF(従業員の給与情報!$B:$B,$A700,従業員の給与情報!$C:$C)))))</f>
        <v/>
      </c>
      <c r="U700" s="299" t="str">
        <f>IF(OR(入力シート!$C$5&lt;&gt;入力リスト!$C$3,COUNTIF(入力シート!$J$16:$S$23,入力リスト!$H$9)=0),"",IF(A700="","",IF(ISERROR(AVERAGEIF(従業員の給与情報!$B:$B,$A700,従業員の給与情報!$D:$D)),0,IF(ISERROR(AVERAGEIF(従業員の給与情報!$B:$B,$A700,従業員の給与情報!$D:$D)),0,AVERAGEIF(従業員の給与情報!$B:$B,$A700,従業員の給与情報!$D:$D)))))</f>
        <v/>
      </c>
      <c r="V700" s="299" t="str">
        <f>IF(OR(入力シート!$C$5&lt;&gt;入力リスト!$C$3,COUNTIF(入力シート!$J$16:$S$23,入力リスト!$H$9)=0),"",IF(A700="","",IF(ISERROR(AVERAGEIF(従業員の給与情報!$B:$B,$A700,従業員の給与情報!$E:$E)),0,IF(ISERROR(AVERAGEIF(従業員の給与情報!$B:$B,$A700,従業員の給与情報!$E:$E)),0,AVERAGEIF(従業員の給与情報!$B:$B,$A700,従業員の給与情報!$E:$E)))))</f>
        <v/>
      </c>
      <c r="W700" s="299" t="str">
        <f>IF(OR(入力シート!$C$5&lt;&gt;入力リスト!$C$3,COUNTIF(入力シート!$J$16:$S$23,入力リスト!$H$9)=0),"",IF(A700="","",IF(ISERROR(AVERAGEIF(従業員の給与情報!$B:$B,$A700,従業員の給与情報!$F:$F)),0,IF(ISERROR(AVERAGEIF(従業員の給与情報!$B:$B,$A700,従業員の給与情報!$F:$F)),0,AVERAGEIF(従業員の給与情報!$B:$B,$A700,従業員の給与情報!$F:$F)))))</f>
        <v/>
      </c>
      <c r="X700" s="581" t="s">
        <v>5439</v>
      </c>
    </row>
    <row r="701" spans="6:24">
      <c r="F701" s="297" t="str">
        <f>IF($G$1,"",IF(COUNTIF(A701:E701,"")=5,"",IF(G701,入力リスト!$K$28,IF(OR(A701="",B701="",IF(COUNTIF($C$3,"*不要*"),"",C701=""),D701=""),IF(A701="","従業員番号","")&amp;IF(B701="","「雇用形態」","")&amp;IF(OR(入力シート!$J$18=入力リスト!$H$9,入力シート!$J$22=入力リスト!$H$9),IF(C701="","「入社年月日」",""),"")&amp;IF(D701="","「性別」","")&amp;IF(IF(A701="","従業員番号","")&amp;IF(B701="","「雇用形態」","")&amp;IF(OR(入力シート!$J$18=入力リスト!$H$9,入力シート!$J$22=入力リスト!$H$9),IF(C701="","「入社年月日」",""),"")&amp;IF(D701="","「性別」","")="","",入力リスト!$K$29),IF(J701,入力リスト!$K$30,"")&amp;IF(I701,入力リスト!$K$31,"")&amp;IF(H701,"「雇用形態」","")&amp;IF(K701,"「性別」","")&amp;IF(L701,"「役職」","")&amp;IF(OR(H701,K701,L701),入力リスト!$K$32,"")))))</f>
        <v/>
      </c>
      <c r="G701" s="298" t="b">
        <f>COUNTIF($A$4:A700,$A701)&gt;0</f>
        <v>0</v>
      </c>
      <c r="H701" s="298" t="b">
        <f>IF($H$1,FALSE,COUNTIF(入力シート!$S$37:$V$62,B701)=0)</f>
        <v>0</v>
      </c>
      <c r="I701" s="298" t="b">
        <f t="shared" si="23"/>
        <v>0</v>
      </c>
      <c r="J701" s="298" t="b">
        <f>IF($J$1,FALSE,IF(I701=TRUE,FALSE,IF(I701,FALSE,C701&gt;入力シート!$J$24)))</f>
        <v>0</v>
      </c>
      <c r="K701" s="298" t="b">
        <f>IF($K$1,FALSE,COUNTIF(入力シート!$AW$37:$BB$38,D701)=0)</f>
        <v>0</v>
      </c>
      <c r="L701" s="298" t="b">
        <f>IF($L$1,FALSE,IF($L$3,FALSE,IF(E701="",FALSE,COUNTIF(入力シート!$AH$37:$AK$62,E701)=0)))</f>
        <v>0</v>
      </c>
      <c r="M701" s="298" t="str">
        <f t="shared" si="24"/>
        <v/>
      </c>
      <c r="N701" s="298" t="str">
        <f>IF(G701,"この従業員番号は、すでに他のセルで入力されています。",IF(入力シート!$C$5=入力リスト!$C$4,"",IF(AND(A701="",B701="",C701="",D701="",E701=""),"",IF(OR(A701="",B701="",C701="",D701=""),IF(A701="","従業員番号","")&amp;IF(AND(A701="",OR(B701="",C701="",D701="")),",","")&amp;IF(B701="","雇用形態","")&amp;IF(AND(B701="",OR(C701="",D701="")),",","")&amp;IF(OR(入力シート!$J$18=入力リスト!$H$9,入力シート!$J$22=入力リスト!$H$9),IF(C701="","入社年月日",""),"")&amp;IF(AND(C701="",D701=""),",","")&amp;IF(D701="","性別","")&amp;IF(IF(A701="","従業員番号","")&amp;IF(B701="","雇用形態","")&amp;IF(OR(入力シート!$J$18=入力リスト!$H$9,入力シート!$J$22=入力リスト!$H$9),IF(C701="","入社年月日",""),"")&amp;IF(D701="","性別","")="","","が空白です。"),IF(J701,"入社年月日に「基準日」の翌日以降の日付が入力されています。","")&amp;IF(I701,"入社年月日に数値以外（又は1900/1/1以前の日付）が入力されています。","")&amp;IF(H701,"雇用形態"&amp;IF(OR(K701,L701),",",""),"")&amp;IF(K701,"性別"&amp;IF(L701,",",""),"")&amp;IF(L701,"役職","")&amp;IF(OR(H701,K701,L701),"に、［入力シート］(4)「貴社」欄と異なる文言が入力されています。","")))))</f>
        <v/>
      </c>
      <c r="O701" s="298" t="str">
        <f>IF(B701="","",VLOOKUP('従業員情報(給与以外)'!$B701,入力シート!$S$37:$Z$62,5,0))</f>
        <v/>
      </c>
      <c r="P701" s="298" t="str">
        <f>IF(ISNUMBER(C701)=FALSE,"",IF(C701&gt;入力シート!$J$24,"",_xlfn.DAYS(入力シート!$J$24,'従業員情報(給与以外)'!$C701)/365))</f>
        <v/>
      </c>
      <c r="Q701" s="298" t="str">
        <f>IF(P701="","",VLOOKUP(_xlfn.DAYS(入力シート!$J$24,'従業員情報(給与以外)'!$C701)/365,入力リスト!$K$18:$L$26,2,2))</f>
        <v/>
      </c>
      <c r="R701" s="298" t="str">
        <f>IF(D701="","",VLOOKUP('従業員情報(給与以外)'!$D701,入力シート!$AW$37:$BB$38,4,0))</f>
        <v/>
      </c>
      <c r="S701" s="298" t="str">
        <f>IF(A701="","",IF(E701="","非役職",VLOOKUP('従業員情報(給与以外)'!$E701,入力シート!$AH$37:$AO$62,5,0)))</f>
        <v/>
      </c>
      <c r="T701" s="299" t="str">
        <f>IF(OR(入力シート!$C$5&lt;&gt;入力リスト!$C$3,COUNTIF(入力シート!$J$16:$S$23,入力リスト!$H$9)=0),"",IF($A701="","",IF(ISERROR(AVERAGEIF(従業員の給与情報!$B:$B,$A701,従業員の給与情報!$C:$C)),0,IF(ISERROR(AVERAGEIF(従業員の給与情報!$B:$B,$A701,従業員の給与情報!$C:$C)),0,AVERAGEIF(従業員の給与情報!$B:$B,$A701,従業員の給与情報!$C:$C)))))</f>
        <v/>
      </c>
      <c r="U701" s="299" t="str">
        <f>IF(OR(入力シート!$C$5&lt;&gt;入力リスト!$C$3,COUNTIF(入力シート!$J$16:$S$23,入力リスト!$H$9)=0),"",IF(A701="","",IF(ISERROR(AVERAGEIF(従業員の給与情報!$B:$B,$A701,従業員の給与情報!$D:$D)),0,IF(ISERROR(AVERAGEIF(従業員の給与情報!$B:$B,$A701,従業員の給与情報!$D:$D)),0,AVERAGEIF(従業員の給与情報!$B:$B,$A701,従業員の給与情報!$D:$D)))))</f>
        <v/>
      </c>
      <c r="V701" s="299" t="str">
        <f>IF(OR(入力シート!$C$5&lt;&gt;入力リスト!$C$3,COUNTIF(入力シート!$J$16:$S$23,入力リスト!$H$9)=0),"",IF(A701="","",IF(ISERROR(AVERAGEIF(従業員の給与情報!$B:$B,$A701,従業員の給与情報!$E:$E)),0,IF(ISERROR(AVERAGEIF(従業員の給与情報!$B:$B,$A701,従業員の給与情報!$E:$E)),0,AVERAGEIF(従業員の給与情報!$B:$B,$A701,従業員の給与情報!$E:$E)))))</f>
        <v/>
      </c>
      <c r="W701" s="299" t="str">
        <f>IF(OR(入力シート!$C$5&lt;&gt;入力リスト!$C$3,COUNTIF(入力シート!$J$16:$S$23,入力リスト!$H$9)=0),"",IF(A701="","",IF(ISERROR(AVERAGEIF(従業員の給与情報!$B:$B,$A701,従業員の給与情報!$F:$F)),0,IF(ISERROR(AVERAGEIF(従業員の給与情報!$B:$B,$A701,従業員の給与情報!$F:$F)),0,AVERAGEIF(従業員の給与情報!$B:$B,$A701,従業員の給与情報!$F:$F)))))</f>
        <v/>
      </c>
      <c r="X701" s="581" t="s">
        <v>5440</v>
      </c>
    </row>
    <row r="702" spans="6:24">
      <c r="F702" s="297" t="str">
        <f>IF($G$1,"",IF(COUNTIF(A702:E702,"")=5,"",IF(G702,入力リスト!$K$28,IF(OR(A702="",B702="",IF(COUNTIF($C$3,"*不要*"),"",C702=""),D702=""),IF(A702="","従業員番号","")&amp;IF(B702="","「雇用形態」","")&amp;IF(OR(入力シート!$J$18=入力リスト!$H$9,入力シート!$J$22=入力リスト!$H$9),IF(C702="","「入社年月日」",""),"")&amp;IF(D702="","「性別」","")&amp;IF(IF(A702="","従業員番号","")&amp;IF(B702="","「雇用形態」","")&amp;IF(OR(入力シート!$J$18=入力リスト!$H$9,入力シート!$J$22=入力リスト!$H$9),IF(C702="","「入社年月日」",""),"")&amp;IF(D702="","「性別」","")="","",入力リスト!$K$29),IF(J702,入力リスト!$K$30,"")&amp;IF(I702,入力リスト!$K$31,"")&amp;IF(H702,"「雇用形態」","")&amp;IF(K702,"「性別」","")&amp;IF(L702,"「役職」","")&amp;IF(OR(H702,K702,L702),入力リスト!$K$32,"")))))</f>
        <v/>
      </c>
      <c r="G702" s="298" t="b">
        <f>COUNTIF($A$4:A701,$A702)&gt;0</f>
        <v>0</v>
      </c>
      <c r="H702" s="298" t="b">
        <f>IF($H$1,FALSE,COUNTIF(入力シート!$S$37:$V$62,B702)=0)</f>
        <v>0</v>
      </c>
      <c r="I702" s="298" t="b">
        <f t="shared" si="23"/>
        <v>0</v>
      </c>
      <c r="J702" s="298" t="b">
        <f>IF($J$1,FALSE,IF(I702=TRUE,FALSE,IF(I702,FALSE,C702&gt;入力シート!$J$24)))</f>
        <v>0</v>
      </c>
      <c r="K702" s="298" t="b">
        <f>IF($K$1,FALSE,COUNTIF(入力シート!$AW$37:$BB$38,D702)=0)</f>
        <v>0</v>
      </c>
      <c r="L702" s="298" t="b">
        <f>IF($L$1,FALSE,IF($L$3,FALSE,IF(E702="",FALSE,COUNTIF(入力シート!$AH$37:$AK$62,E702)=0)))</f>
        <v>0</v>
      </c>
      <c r="M702" s="298" t="str">
        <f t="shared" si="24"/>
        <v/>
      </c>
      <c r="N702" s="298" t="str">
        <f>IF(G702,"この従業員番号は、すでに他のセルで入力されています。",IF(入力シート!$C$5=入力リスト!$C$4,"",IF(AND(A702="",B702="",C702="",D702="",E702=""),"",IF(OR(A702="",B702="",C702="",D702=""),IF(A702="","従業員番号","")&amp;IF(AND(A702="",OR(B702="",C702="",D702="")),",","")&amp;IF(B702="","雇用形態","")&amp;IF(AND(B702="",OR(C702="",D702="")),",","")&amp;IF(OR(入力シート!$J$18=入力リスト!$H$9,入力シート!$J$22=入力リスト!$H$9),IF(C702="","入社年月日",""),"")&amp;IF(AND(C702="",D702=""),",","")&amp;IF(D702="","性別","")&amp;IF(IF(A702="","従業員番号","")&amp;IF(B702="","雇用形態","")&amp;IF(OR(入力シート!$J$18=入力リスト!$H$9,入力シート!$J$22=入力リスト!$H$9),IF(C702="","入社年月日",""),"")&amp;IF(D702="","性別","")="","","が空白です。"),IF(J702,"入社年月日に「基準日」の翌日以降の日付が入力されています。","")&amp;IF(I702,"入社年月日に数値以外（又は1900/1/1以前の日付）が入力されています。","")&amp;IF(H702,"雇用形態"&amp;IF(OR(K702,L702),",",""),"")&amp;IF(K702,"性別"&amp;IF(L702,",",""),"")&amp;IF(L702,"役職","")&amp;IF(OR(H702,K702,L702),"に、［入力シート］(4)「貴社」欄と異なる文言が入力されています。","")))))</f>
        <v/>
      </c>
      <c r="O702" s="298" t="str">
        <f>IF(B702="","",VLOOKUP('従業員情報(給与以外)'!$B702,入力シート!$S$37:$Z$62,5,0))</f>
        <v/>
      </c>
      <c r="P702" s="298" t="str">
        <f>IF(ISNUMBER(C702)=FALSE,"",IF(C702&gt;入力シート!$J$24,"",_xlfn.DAYS(入力シート!$J$24,'従業員情報(給与以外)'!$C702)/365))</f>
        <v/>
      </c>
      <c r="Q702" s="298" t="str">
        <f>IF(P702="","",VLOOKUP(_xlfn.DAYS(入力シート!$J$24,'従業員情報(給与以外)'!$C702)/365,入力リスト!$K$18:$L$26,2,2))</f>
        <v/>
      </c>
      <c r="R702" s="298" t="str">
        <f>IF(D702="","",VLOOKUP('従業員情報(給与以外)'!$D702,入力シート!$AW$37:$BB$38,4,0))</f>
        <v/>
      </c>
      <c r="S702" s="298" t="str">
        <f>IF(A702="","",IF(E702="","非役職",VLOOKUP('従業員情報(給与以外)'!$E702,入力シート!$AH$37:$AO$62,5,0)))</f>
        <v/>
      </c>
      <c r="T702" s="299" t="str">
        <f>IF(OR(入力シート!$C$5&lt;&gt;入力リスト!$C$3,COUNTIF(入力シート!$J$16:$S$23,入力リスト!$H$9)=0),"",IF($A702="","",IF(ISERROR(AVERAGEIF(従業員の給与情報!$B:$B,$A702,従業員の給与情報!$C:$C)),0,IF(ISERROR(AVERAGEIF(従業員の給与情報!$B:$B,$A702,従業員の給与情報!$C:$C)),0,AVERAGEIF(従業員の給与情報!$B:$B,$A702,従業員の給与情報!$C:$C)))))</f>
        <v/>
      </c>
      <c r="U702" s="299" t="str">
        <f>IF(OR(入力シート!$C$5&lt;&gt;入力リスト!$C$3,COUNTIF(入力シート!$J$16:$S$23,入力リスト!$H$9)=0),"",IF(A702="","",IF(ISERROR(AVERAGEIF(従業員の給与情報!$B:$B,$A702,従業員の給与情報!$D:$D)),0,IF(ISERROR(AVERAGEIF(従業員の給与情報!$B:$B,$A702,従業員の給与情報!$D:$D)),0,AVERAGEIF(従業員の給与情報!$B:$B,$A702,従業員の給与情報!$D:$D)))))</f>
        <v/>
      </c>
      <c r="V702" s="299" t="str">
        <f>IF(OR(入力シート!$C$5&lt;&gt;入力リスト!$C$3,COUNTIF(入力シート!$J$16:$S$23,入力リスト!$H$9)=0),"",IF(A702="","",IF(ISERROR(AVERAGEIF(従業員の給与情報!$B:$B,$A702,従業員の給与情報!$E:$E)),0,IF(ISERROR(AVERAGEIF(従業員の給与情報!$B:$B,$A702,従業員の給与情報!$E:$E)),0,AVERAGEIF(従業員の給与情報!$B:$B,$A702,従業員の給与情報!$E:$E)))))</f>
        <v/>
      </c>
      <c r="W702" s="299" t="str">
        <f>IF(OR(入力シート!$C$5&lt;&gt;入力リスト!$C$3,COUNTIF(入力シート!$J$16:$S$23,入力リスト!$H$9)=0),"",IF(A702="","",IF(ISERROR(AVERAGEIF(従業員の給与情報!$B:$B,$A702,従業員の給与情報!$F:$F)),0,IF(ISERROR(AVERAGEIF(従業員の給与情報!$B:$B,$A702,従業員の給与情報!$F:$F)),0,AVERAGEIF(従業員の給与情報!$B:$B,$A702,従業員の給与情報!$F:$F)))))</f>
        <v/>
      </c>
      <c r="X702" s="581" t="s">
        <v>5441</v>
      </c>
    </row>
    <row r="703" spans="6:24">
      <c r="F703" s="297" t="str">
        <f>IF($G$1,"",IF(COUNTIF(A703:E703,"")=5,"",IF(G703,入力リスト!$K$28,IF(OR(A703="",B703="",IF(COUNTIF($C$3,"*不要*"),"",C703=""),D703=""),IF(A703="","従業員番号","")&amp;IF(B703="","「雇用形態」","")&amp;IF(OR(入力シート!$J$18=入力リスト!$H$9,入力シート!$J$22=入力リスト!$H$9),IF(C703="","「入社年月日」",""),"")&amp;IF(D703="","「性別」","")&amp;IF(IF(A703="","従業員番号","")&amp;IF(B703="","「雇用形態」","")&amp;IF(OR(入力シート!$J$18=入力リスト!$H$9,入力シート!$J$22=入力リスト!$H$9),IF(C703="","「入社年月日」",""),"")&amp;IF(D703="","「性別」","")="","",入力リスト!$K$29),IF(J703,入力リスト!$K$30,"")&amp;IF(I703,入力リスト!$K$31,"")&amp;IF(H703,"「雇用形態」","")&amp;IF(K703,"「性別」","")&amp;IF(L703,"「役職」","")&amp;IF(OR(H703,K703,L703),入力リスト!$K$32,"")))))</f>
        <v/>
      </c>
      <c r="G703" s="298" t="b">
        <f>COUNTIF($A$4:A702,$A703)&gt;0</f>
        <v>0</v>
      </c>
      <c r="H703" s="298" t="b">
        <f>IF($H$1,FALSE,COUNTIF(入力シート!$S$37:$V$62,B703)=0)</f>
        <v>0</v>
      </c>
      <c r="I703" s="298" t="b">
        <f t="shared" si="23"/>
        <v>0</v>
      </c>
      <c r="J703" s="298" t="b">
        <f>IF($J$1,FALSE,IF(I703=TRUE,FALSE,IF(I703,FALSE,C703&gt;入力シート!$J$24)))</f>
        <v>0</v>
      </c>
      <c r="K703" s="298" t="b">
        <f>IF($K$1,FALSE,COUNTIF(入力シート!$AW$37:$BB$38,D703)=0)</f>
        <v>0</v>
      </c>
      <c r="L703" s="298" t="b">
        <f>IF($L$1,FALSE,IF($L$3,FALSE,IF(E703="",FALSE,COUNTIF(入力シート!$AH$37:$AK$62,E703)=0)))</f>
        <v>0</v>
      </c>
      <c r="M703" s="298" t="str">
        <f t="shared" si="24"/>
        <v/>
      </c>
      <c r="N703" s="298" t="str">
        <f>IF(G703,"この従業員番号は、すでに他のセルで入力されています。",IF(入力シート!$C$5=入力リスト!$C$4,"",IF(AND(A703="",B703="",C703="",D703="",E703=""),"",IF(OR(A703="",B703="",C703="",D703=""),IF(A703="","従業員番号","")&amp;IF(AND(A703="",OR(B703="",C703="",D703="")),",","")&amp;IF(B703="","雇用形態","")&amp;IF(AND(B703="",OR(C703="",D703="")),",","")&amp;IF(OR(入力シート!$J$18=入力リスト!$H$9,入力シート!$J$22=入力リスト!$H$9),IF(C703="","入社年月日",""),"")&amp;IF(AND(C703="",D703=""),",","")&amp;IF(D703="","性別","")&amp;IF(IF(A703="","従業員番号","")&amp;IF(B703="","雇用形態","")&amp;IF(OR(入力シート!$J$18=入力リスト!$H$9,入力シート!$J$22=入力リスト!$H$9),IF(C703="","入社年月日",""),"")&amp;IF(D703="","性別","")="","","が空白です。"),IF(J703,"入社年月日に「基準日」の翌日以降の日付が入力されています。","")&amp;IF(I703,"入社年月日に数値以外（又は1900/1/1以前の日付）が入力されています。","")&amp;IF(H703,"雇用形態"&amp;IF(OR(K703,L703),",",""),"")&amp;IF(K703,"性別"&amp;IF(L703,",",""),"")&amp;IF(L703,"役職","")&amp;IF(OR(H703,K703,L703),"に、［入力シート］(4)「貴社」欄と異なる文言が入力されています。","")))))</f>
        <v/>
      </c>
      <c r="O703" s="298" t="str">
        <f>IF(B703="","",VLOOKUP('従業員情報(給与以外)'!$B703,入力シート!$S$37:$Z$62,5,0))</f>
        <v/>
      </c>
      <c r="P703" s="298" t="str">
        <f>IF(ISNUMBER(C703)=FALSE,"",IF(C703&gt;入力シート!$J$24,"",_xlfn.DAYS(入力シート!$J$24,'従業員情報(給与以外)'!$C703)/365))</f>
        <v/>
      </c>
      <c r="Q703" s="298" t="str">
        <f>IF(P703="","",VLOOKUP(_xlfn.DAYS(入力シート!$J$24,'従業員情報(給与以外)'!$C703)/365,入力リスト!$K$18:$L$26,2,2))</f>
        <v/>
      </c>
      <c r="R703" s="298" t="str">
        <f>IF(D703="","",VLOOKUP('従業員情報(給与以外)'!$D703,入力シート!$AW$37:$BB$38,4,0))</f>
        <v/>
      </c>
      <c r="S703" s="298" t="str">
        <f>IF(A703="","",IF(E703="","非役職",VLOOKUP('従業員情報(給与以外)'!$E703,入力シート!$AH$37:$AO$62,5,0)))</f>
        <v/>
      </c>
      <c r="T703" s="299" t="str">
        <f>IF(OR(入力シート!$C$5&lt;&gt;入力リスト!$C$3,COUNTIF(入力シート!$J$16:$S$23,入力リスト!$H$9)=0),"",IF($A703="","",IF(ISERROR(AVERAGEIF(従業員の給与情報!$B:$B,$A703,従業員の給与情報!$C:$C)),0,IF(ISERROR(AVERAGEIF(従業員の給与情報!$B:$B,$A703,従業員の給与情報!$C:$C)),0,AVERAGEIF(従業員の給与情報!$B:$B,$A703,従業員の給与情報!$C:$C)))))</f>
        <v/>
      </c>
      <c r="U703" s="299" t="str">
        <f>IF(OR(入力シート!$C$5&lt;&gt;入力リスト!$C$3,COUNTIF(入力シート!$J$16:$S$23,入力リスト!$H$9)=0),"",IF(A703="","",IF(ISERROR(AVERAGEIF(従業員の給与情報!$B:$B,$A703,従業員の給与情報!$D:$D)),0,IF(ISERROR(AVERAGEIF(従業員の給与情報!$B:$B,$A703,従業員の給与情報!$D:$D)),0,AVERAGEIF(従業員の給与情報!$B:$B,$A703,従業員の給与情報!$D:$D)))))</f>
        <v/>
      </c>
      <c r="V703" s="299" t="str">
        <f>IF(OR(入力シート!$C$5&lt;&gt;入力リスト!$C$3,COUNTIF(入力シート!$J$16:$S$23,入力リスト!$H$9)=0),"",IF(A703="","",IF(ISERROR(AVERAGEIF(従業員の給与情報!$B:$B,$A703,従業員の給与情報!$E:$E)),0,IF(ISERROR(AVERAGEIF(従業員の給与情報!$B:$B,$A703,従業員の給与情報!$E:$E)),0,AVERAGEIF(従業員の給与情報!$B:$B,$A703,従業員の給与情報!$E:$E)))))</f>
        <v/>
      </c>
      <c r="W703" s="299" t="str">
        <f>IF(OR(入力シート!$C$5&lt;&gt;入力リスト!$C$3,COUNTIF(入力シート!$J$16:$S$23,入力リスト!$H$9)=0),"",IF(A703="","",IF(ISERROR(AVERAGEIF(従業員の給与情報!$B:$B,$A703,従業員の給与情報!$F:$F)),0,IF(ISERROR(AVERAGEIF(従業員の給与情報!$B:$B,$A703,従業員の給与情報!$F:$F)),0,AVERAGEIF(従業員の給与情報!$B:$B,$A703,従業員の給与情報!$F:$F)))))</f>
        <v/>
      </c>
      <c r="X703" s="581" t="s">
        <v>5442</v>
      </c>
    </row>
    <row r="704" spans="6:24">
      <c r="F704" s="297" t="str">
        <f>IF($G$1,"",IF(COUNTIF(A704:E704,"")=5,"",IF(G704,入力リスト!$K$28,IF(OR(A704="",B704="",IF(COUNTIF($C$3,"*不要*"),"",C704=""),D704=""),IF(A704="","従業員番号","")&amp;IF(B704="","「雇用形態」","")&amp;IF(OR(入力シート!$J$18=入力リスト!$H$9,入力シート!$J$22=入力リスト!$H$9),IF(C704="","「入社年月日」",""),"")&amp;IF(D704="","「性別」","")&amp;IF(IF(A704="","従業員番号","")&amp;IF(B704="","「雇用形態」","")&amp;IF(OR(入力シート!$J$18=入力リスト!$H$9,入力シート!$J$22=入力リスト!$H$9),IF(C704="","「入社年月日」",""),"")&amp;IF(D704="","「性別」","")="","",入力リスト!$K$29),IF(J704,入力リスト!$K$30,"")&amp;IF(I704,入力リスト!$K$31,"")&amp;IF(H704,"「雇用形態」","")&amp;IF(K704,"「性別」","")&amp;IF(L704,"「役職」","")&amp;IF(OR(H704,K704,L704),入力リスト!$K$32,"")))))</f>
        <v/>
      </c>
      <c r="G704" s="298" t="b">
        <f>COUNTIF($A$4:A703,$A704)&gt;0</f>
        <v>0</v>
      </c>
      <c r="H704" s="298" t="b">
        <f>IF($H$1,FALSE,COUNTIF(入力シート!$S$37:$V$62,B704)=0)</f>
        <v>0</v>
      </c>
      <c r="I704" s="298" t="b">
        <f t="shared" si="23"/>
        <v>0</v>
      </c>
      <c r="J704" s="298" t="b">
        <f>IF($J$1,FALSE,IF(I704=TRUE,FALSE,IF(I704,FALSE,C704&gt;入力シート!$J$24)))</f>
        <v>0</v>
      </c>
      <c r="K704" s="298" t="b">
        <f>IF($K$1,FALSE,COUNTIF(入力シート!$AW$37:$BB$38,D704)=0)</f>
        <v>0</v>
      </c>
      <c r="L704" s="298" t="b">
        <f>IF($L$1,FALSE,IF($L$3,FALSE,IF(E704="",FALSE,COUNTIF(入力シート!$AH$37:$AK$62,E704)=0)))</f>
        <v>0</v>
      </c>
      <c r="M704" s="298" t="str">
        <f t="shared" si="24"/>
        <v/>
      </c>
      <c r="N704" s="298" t="str">
        <f>IF(G704,"この従業員番号は、すでに他のセルで入力されています。",IF(入力シート!$C$5=入力リスト!$C$4,"",IF(AND(A704="",B704="",C704="",D704="",E704=""),"",IF(OR(A704="",B704="",C704="",D704=""),IF(A704="","従業員番号","")&amp;IF(AND(A704="",OR(B704="",C704="",D704="")),",","")&amp;IF(B704="","雇用形態","")&amp;IF(AND(B704="",OR(C704="",D704="")),",","")&amp;IF(OR(入力シート!$J$18=入力リスト!$H$9,入力シート!$J$22=入力リスト!$H$9),IF(C704="","入社年月日",""),"")&amp;IF(AND(C704="",D704=""),",","")&amp;IF(D704="","性別","")&amp;IF(IF(A704="","従業員番号","")&amp;IF(B704="","雇用形態","")&amp;IF(OR(入力シート!$J$18=入力リスト!$H$9,入力シート!$J$22=入力リスト!$H$9),IF(C704="","入社年月日",""),"")&amp;IF(D704="","性別","")="","","が空白です。"),IF(J704,"入社年月日に「基準日」の翌日以降の日付が入力されています。","")&amp;IF(I704,"入社年月日に数値以外（又は1900/1/1以前の日付）が入力されています。","")&amp;IF(H704,"雇用形態"&amp;IF(OR(K704,L704),",",""),"")&amp;IF(K704,"性別"&amp;IF(L704,",",""),"")&amp;IF(L704,"役職","")&amp;IF(OR(H704,K704,L704),"に、［入力シート］(4)「貴社」欄と異なる文言が入力されています。","")))))</f>
        <v/>
      </c>
      <c r="O704" s="298" t="str">
        <f>IF(B704="","",VLOOKUP('従業員情報(給与以外)'!$B704,入力シート!$S$37:$Z$62,5,0))</f>
        <v/>
      </c>
      <c r="P704" s="298" t="str">
        <f>IF(ISNUMBER(C704)=FALSE,"",IF(C704&gt;入力シート!$J$24,"",_xlfn.DAYS(入力シート!$J$24,'従業員情報(給与以外)'!$C704)/365))</f>
        <v/>
      </c>
      <c r="Q704" s="298" t="str">
        <f>IF(P704="","",VLOOKUP(_xlfn.DAYS(入力シート!$J$24,'従業員情報(給与以外)'!$C704)/365,入力リスト!$K$18:$L$26,2,2))</f>
        <v/>
      </c>
      <c r="R704" s="298" t="str">
        <f>IF(D704="","",VLOOKUP('従業員情報(給与以外)'!$D704,入力シート!$AW$37:$BB$38,4,0))</f>
        <v/>
      </c>
      <c r="S704" s="298" t="str">
        <f>IF(A704="","",IF(E704="","非役職",VLOOKUP('従業員情報(給与以外)'!$E704,入力シート!$AH$37:$AO$62,5,0)))</f>
        <v/>
      </c>
      <c r="T704" s="299" t="str">
        <f>IF(OR(入力シート!$C$5&lt;&gt;入力リスト!$C$3,COUNTIF(入力シート!$J$16:$S$23,入力リスト!$H$9)=0),"",IF($A704="","",IF(ISERROR(AVERAGEIF(従業員の給与情報!$B:$B,$A704,従業員の給与情報!$C:$C)),0,IF(ISERROR(AVERAGEIF(従業員の給与情報!$B:$B,$A704,従業員の給与情報!$C:$C)),0,AVERAGEIF(従業員の給与情報!$B:$B,$A704,従業員の給与情報!$C:$C)))))</f>
        <v/>
      </c>
      <c r="U704" s="299" t="str">
        <f>IF(OR(入力シート!$C$5&lt;&gt;入力リスト!$C$3,COUNTIF(入力シート!$J$16:$S$23,入力リスト!$H$9)=0),"",IF(A704="","",IF(ISERROR(AVERAGEIF(従業員の給与情報!$B:$B,$A704,従業員の給与情報!$D:$D)),0,IF(ISERROR(AVERAGEIF(従業員の給与情報!$B:$B,$A704,従業員の給与情報!$D:$D)),0,AVERAGEIF(従業員の給与情報!$B:$B,$A704,従業員の給与情報!$D:$D)))))</f>
        <v/>
      </c>
      <c r="V704" s="299" t="str">
        <f>IF(OR(入力シート!$C$5&lt;&gt;入力リスト!$C$3,COUNTIF(入力シート!$J$16:$S$23,入力リスト!$H$9)=0),"",IF(A704="","",IF(ISERROR(AVERAGEIF(従業員の給与情報!$B:$B,$A704,従業員の給与情報!$E:$E)),0,IF(ISERROR(AVERAGEIF(従業員の給与情報!$B:$B,$A704,従業員の給与情報!$E:$E)),0,AVERAGEIF(従業員の給与情報!$B:$B,$A704,従業員の給与情報!$E:$E)))))</f>
        <v/>
      </c>
      <c r="W704" s="299" t="str">
        <f>IF(OR(入力シート!$C$5&lt;&gt;入力リスト!$C$3,COUNTIF(入力シート!$J$16:$S$23,入力リスト!$H$9)=0),"",IF(A704="","",IF(ISERROR(AVERAGEIF(従業員の給与情報!$B:$B,$A704,従業員の給与情報!$F:$F)),0,IF(ISERROR(AVERAGEIF(従業員の給与情報!$B:$B,$A704,従業員の給与情報!$F:$F)),0,AVERAGEIF(従業員の給与情報!$B:$B,$A704,従業員の給与情報!$F:$F)))))</f>
        <v/>
      </c>
      <c r="X704" s="581" t="s">
        <v>5443</v>
      </c>
    </row>
    <row r="705" spans="6:24">
      <c r="F705" s="297" t="str">
        <f>IF($G$1,"",IF(COUNTIF(A705:E705,"")=5,"",IF(G705,入力リスト!$K$28,IF(OR(A705="",B705="",IF(COUNTIF($C$3,"*不要*"),"",C705=""),D705=""),IF(A705="","従業員番号","")&amp;IF(B705="","「雇用形態」","")&amp;IF(OR(入力シート!$J$18=入力リスト!$H$9,入力シート!$J$22=入力リスト!$H$9),IF(C705="","「入社年月日」",""),"")&amp;IF(D705="","「性別」","")&amp;IF(IF(A705="","従業員番号","")&amp;IF(B705="","「雇用形態」","")&amp;IF(OR(入力シート!$J$18=入力リスト!$H$9,入力シート!$J$22=入力リスト!$H$9),IF(C705="","「入社年月日」",""),"")&amp;IF(D705="","「性別」","")="","",入力リスト!$K$29),IF(J705,入力リスト!$K$30,"")&amp;IF(I705,入力リスト!$K$31,"")&amp;IF(H705,"「雇用形態」","")&amp;IF(K705,"「性別」","")&amp;IF(L705,"「役職」","")&amp;IF(OR(H705,K705,L705),入力リスト!$K$32,"")))))</f>
        <v/>
      </c>
      <c r="G705" s="298" t="b">
        <f>COUNTIF($A$4:A704,$A705)&gt;0</f>
        <v>0</v>
      </c>
      <c r="H705" s="298" t="b">
        <f>IF($H$1,FALSE,COUNTIF(入力シート!$S$37:$V$62,B705)=0)</f>
        <v>0</v>
      </c>
      <c r="I705" s="298" t="b">
        <f t="shared" si="23"/>
        <v>0</v>
      </c>
      <c r="J705" s="298" t="b">
        <f>IF($J$1,FALSE,IF(I705=TRUE,FALSE,IF(I705,FALSE,C705&gt;入力シート!$J$24)))</f>
        <v>0</v>
      </c>
      <c r="K705" s="298" t="b">
        <f>IF($K$1,FALSE,COUNTIF(入力シート!$AW$37:$BB$38,D705)=0)</f>
        <v>0</v>
      </c>
      <c r="L705" s="298" t="b">
        <f>IF($L$1,FALSE,IF($L$3,FALSE,IF(E705="",FALSE,COUNTIF(入力シート!$AH$37:$AK$62,E705)=0)))</f>
        <v>0</v>
      </c>
      <c r="M705" s="298" t="str">
        <f t="shared" si="24"/>
        <v/>
      </c>
      <c r="N705" s="298" t="str">
        <f>IF(G705,"この従業員番号は、すでに他のセルで入力されています。",IF(入力シート!$C$5=入力リスト!$C$4,"",IF(AND(A705="",B705="",C705="",D705="",E705=""),"",IF(OR(A705="",B705="",C705="",D705=""),IF(A705="","従業員番号","")&amp;IF(AND(A705="",OR(B705="",C705="",D705="")),",","")&amp;IF(B705="","雇用形態","")&amp;IF(AND(B705="",OR(C705="",D705="")),",","")&amp;IF(OR(入力シート!$J$18=入力リスト!$H$9,入力シート!$J$22=入力リスト!$H$9),IF(C705="","入社年月日",""),"")&amp;IF(AND(C705="",D705=""),",","")&amp;IF(D705="","性別","")&amp;IF(IF(A705="","従業員番号","")&amp;IF(B705="","雇用形態","")&amp;IF(OR(入力シート!$J$18=入力リスト!$H$9,入力シート!$J$22=入力リスト!$H$9),IF(C705="","入社年月日",""),"")&amp;IF(D705="","性別","")="","","が空白です。"),IF(J705,"入社年月日に「基準日」の翌日以降の日付が入力されています。","")&amp;IF(I705,"入社年月日に数値以外（又は1900/1/1以前の日付）が入力されています。","")&amp;IF(H705,"雇用形態"&amp;IF(OR(K705,L705),",",""),"")&amp;IF(K705,"性別"&amp;IF(L705,",",""),"")&amp;IF(L705,"役職","")&amp;IF(OR(H705,K705,L705),"に、［入力シート］(4)「貴社」欄と異なる文言が入力されています。","")))))</f>
        <v/>
      </c>
      <c r="O705" s="298" t="str">
        <f>IF(B705="","",VLOOKUP('従業員情報(給与以外)'!$B705,入力シート!$S$37:$Z$62,5,0))</f>
        <v/>
      </c>
      <c r="P705" s="298" t="str">
        <f>IF(ISNUMBER(C705)=FALSE,"",IF(C705&gt;入力シート!$J$24,"",_xlfn.DAYS(入力シート!$J$24,'従業員情報(給与以外)'!$C705)/365))</f>
        <v/>
      </c>
      <c r="Q705" s="298" t="str">
        <f>IF(P705="","",VLOOKUP(_xlfn.DAYS(入力シート!$J$24,'従業員情報(給与以外)'!$C705)/365,入力リスト!$K$18:$L$26,2,2))</f>
        <v/>
      </c>
      <c r="R705" s="298" t="str">
        <f>IF(D705="","",VLOOKUP('従業員情報(給与以外)'!$D705,入力シート!$AW$37:$BB$38,4,0))</f>
        <v/>
      </c>
      <c r="S705" s="298" t="str">
        <f>IF(A705="","",IF(E705="","非役職",VLOOKUP('従業員情報(給与以外)'!$E705,入力シート!$AH$37:$AO$62,5,0)))</f>
        <v/>
      </c>
      <c r="T705" s="299" t="str">
        <f>IF(OR(入力シート!$C$5&lt;&gt;入力リスト!$C$3,COUNTIF(入力シート!$J$16:$S$23,入力リスト!$H$9)=0),"",IF($A705="","",IF(ISERROR(AVERAGEIF(従業員の給与情報!$B:$B,$A705,従業員の給与情報!$C:$C)),0,IF(ISERROR(AVERAGEIF(従業員の給与情報!$B:$B,$A705,従業員の給与情報!$C:$C)),0,AVERAGEIF(従業員の給与情報!$B:$B,$A705,従業員の給与情報!$C:$C)))))</f>
        <v/>
      </c>
      <c r="U705" s="299" t="str">
        <f>IF(OR(入力シート!$C$5&lt;&gt;入力リスト!$C$3,COUNTIF(入力シート!$J$16:$S$23,入力リスト!$H$9)=0),"",IF(A705="","",IF(ISERROR(AVERAGEIF(従業員の給与情報!$B:$B,$A705,従業員の給与情報!$D:$D)),0,IF(ISERROR(AVERAGEIF(従業員の給与情報!$B:$B,$A705,従業員の給与情報!$D:$D)),0,AVERAGEIF(従業員の給与情報!$B:$B,$A705,従業員の給与情報!$D:$D)))))</f>
        <v/>
      </c>
      <c r="V705" s="299" t="str">
        <f>IF(OR(入力シート!$C$5&lt;&gt;入力リスト!$C$3,COUNTIF(入力シート!$J$16:$S$23,入力リスト!$H$9)=0),"",IF(A705="","",IF(ISERROR(AVERAGEIF(従業員の給与情報!$B:$B,$A705,従業員の給与情報!$E:$E)),0,IF(ISERROR(AVERAGEIF(従業員の給与情報!$B:$B,$A705,従業員の給与情報!$E:$E)),0,AVERAGEIF(従業員の給与情報!$B:$B,$A705,従業員の給与情報!$E:$E)))))</f>
        <v/>
      </c>
      <c r="W705" s="299" t="str">
        <f>IF(OR(入力シート!$C$5&lt;&gt;入力リスト!$C$3,COUNTIF(入力シート!$J$16:$S$23,入力リスト!$H$9)=0),"",IF(A705="","",IF(ISERROR(AVERAGEIF(従業員の給与情報!$B:$B,$A705,従業員の給与情報!$F:$F)),0,IF(ISERROR(AVERAGEIF(従業員の給与情報!$B:$B,$A705,従業員の給与情報!$F:$F)),0,AVERAGEIF(従業員の給与情報!$B:$B,$A705,従業員の給与情報!$F:$F)))))</f>
        <v/>
      </c>
      <c r="X705" s="581" t="s">
        <v>5444</v>
      </c>
    </row>
    <row r="706" spans="6:24">
      <c r="F706" s="297" t="str">
        <f>IF($G$1,"",IF(COUNTIF(A706:E706,"")=5,"",IF(G706,入力リスト!$K$28,IF(OR(A706="",B706="",IF(COUNTIF($C$3,"*不要*"),"",C706=""),D706=""),IF(A706="","従業員番号","")&amp;IF(B706="","「雇用形態」","")&amp;IF(OR(入力シート!$J$18=入力リスト!$H$9,入力シート!$J$22=入力リスト!$H$9),IF(C706="","「入社年月日」",""),"")&amp;IF(D706="","「性別」","")&amp;IF(IF(A706="","従業員番号","")&amp;IF(B706="","「雇用形態」","")&amp;IF(OR(入力シート!$J$18=入力リスト!$H$9,入力シート!$J$22=入力リスト!$H$9),IF(C706="","「入社年月日」",""),"")&amp;IF(D706="","「性別」","")="","",入力リスト!$K$29),IF(J706,入力リスト!$K$30,"")&amp;IF(I706,入力リスト!$K$31,"")&amp;IF(H706,"「雇用形態」","")&amp;IF(K706,"「性別」","")&amp;IF(L706,"「役職」","")&amp;IF(OR(H706,K706,L706),入力リスト!$K$32,"")))))</f>
        <v/>
      </c>
      <c r="G706" s="298" t="b">
        <f>COUNTIF($A$4:A705,$A706)&gt;0</f>
        <v>0</v>
      </c>
      <c r="H706" s="298" t="b">
        <f>IF($H$1,FALSE,COUNTIF(入力シート!$S$37:$V$62,B706)=0)</f>
        <v>0</v>
      </c>
      <c r="I706" s="298" t="b">
        <f t="shared" si="23"/>
        <v>0</v>
      </c>
      <c r="J706" s="298" t="b">
        <f>IF($J$1,FALSE,IF(I706=TRUE,FALSE,IF(I706,FALSE,C706&gt;入力シート!$J$24)))</f>
        <v>0</v>
      </c>
      <c r="K706" s="298" t="b">
        <f>IF($K$1,FALSE,COUNTIF(入力シート!$AW$37:$BB$38,D706)=0)</f>
        <v>0</v>
      </c>
      <c r="L706" s="298" t="b">
        <f>IF($L$1,FALSE,IF($L$3,FALSE,IF(E706="",FALSE,COUNTIF(入力シート!$AH$37:$AK$62,E706)=0)))</f>
        <v>0</v>
      </c>
      <c r="M706" s="298" t="str">
        <f t="shared" si="24"/>
        <v/>
      </c>
      <c r="N706" s="298" t="str">
        <f>IF(G706,"この従業員番号は、すでに他のセルで入力されています。",IF(入力シート!$C$5=入力リスト!$C$4,"",IF(AND(A706="",B706="",C706="",D706="",E706=""),"",IF(OR(A706="",B706="",C706="",D706=""),IF(A706="","従業員番号","")&amp;IF(AND(A706="",OR(B706="",C706="",D706="")),",","")&amp;IF(B706="","雇用形態","")&amp;IF(AND(B706="",OR(C706="",D706="")),",","")&amp;IF(OR(入力シート!$J$18=入力リスト!$H$9,入力シート!$J$22=入力リスト!$H$9),IF(C706="","入社年月日",""),"")&amp;IF(AND(C706="",D706=""),",","")&amp;IF(D706="","性別","")&amp;IF(IF(A706="","従業員番号","")&amp;IF(B706="","雇用形態","")&amp;IF(OR(入力シート!$J$18=入力リスト!$H$9,入力シート!$J$22=入力リスト!$H$9),IF(C706="","入社年月日",""),"")&amp;IF(D706="","性別","")="","","が空白です。"),IF(J706,"入社年月日に「基準日」の翌日以降の日付が入力されています。","")&amp;IF(I706,"入社年月日に数値以外（又は1900/1/1以前の日付）が入力されています。","")&amp;IF(H706,"雇用形態"&amp;IF(OR(K706,L706),",",""),"")&amp;IF(K706,"性別"&amp;IF(L706,",",""),"")&amp;IF(L706,"役職","")&amp;IF(OR(H706,K706,L706),"に、［入力シート］(4)「貴社」欄と異なる文言が入力されています。","")))))</f>
        <v/>
      </c>
      <c r="O706" s="298" t="str">
        <f>IF(B706="","",VLOOKUP('従業員情報(給与以外)'!$B706,入力シート!$S$37:$Z$62,5,0))</f>
        <v/>
      </c>
      <c r="P706" s="298" t="str">
        <f>IF(ISNUMBER(C706)=FALSE,"",IF(C706&gt;入力シート!$J$24,"",_xlfn.DAYS(入力シート!$J$24,'従業員情報(給与以外)'!$C706)/365))</f>
        <v/>
      </c>
      <c r="Q706" s="298" t="str">
        <f>IF(P706="","",VLOOKUP(_xlfn.DAYS(入力シート!$J$24,'従業員情報(給与以外)'!$C706)/365,入力リスト!$K$18:$L$26,2,2))</f>
        <v/>
      </c>
      <c r="R706" s="298" t="str">
        <f>IF(D706="","",VLOOKUP('従業員情報(給与以外)'!$D706,入力シート!$AW$37:$BB$38,4,0))</f>
        <v/>
      </c>
      <c r="S706" s="298" t="str">
        <f>IF(A706="","",IF(E706="","非役職",VLOOKUP('従業員情報(給与以外)'!$E706,入力シート!$AH$37:$AO$62,5,0)))</f>
        <v/>
      </c>
      <c r="T706" s="299" t="str">
        <f>IF(OR(入力シート!$C$5&lt;&gt;入力リスト!$C$3,COUNTIF(入力シート!$J$16:$S$23,入力リスト!$H$9)=0),"",IF($A706="","",IF(ISERROR(AVERAGEIF(従業員の給与情報!$B:$B,$A706,従業員の給与情報!$C:$C)),0,IF(ISERROR(AVERAGEIF(従業員の給与情報!$B:$B,$A706,従業員の給与情報!$C:$C)),0,AVERAGEIF(従業員の給与情報!$B:$B,$A706,従業員の給与情報!$C:$C)))))</f>
        <v/>
      </c>
      <c r="U706" s="299" t="str">
        <f>IF(OR(入力シート!$C$5&lt;&gt;入力リスト!$C$3,COUNTIF(入力シート!$J$16:$S$23,入力リスト!$H$9)=0),"",IF(A706="","",IF(ISERROR(AVERAGEIF(従業員の給与情報!$B:$B,$A706,従業員の給与情報!$D:$D)),0,IF(ISERROR(AVERAGEIF(従業員の給与情報!$B:$B,$A706,従業員の給与情報!$D:$D)),0,AVERAGEIF(従業員の給与情報!$B:$B,$A706,従業員の給与情報!$D:$D)))))</f>
        <v/>
      </c>
      <c r="V706" s="299" t="str">
        <f>IF(OR(入力シート!$C$5&lt;&gt;入力リスト!$C$3,COUNTIF(入力シート!$J$16:$S$23,入力リスト!$H$9)=0),"",IF(A706="","",IF(ISERROR(AVERAGEIF(従業員の給与情報!$B:$B,$A706,従業員の給与情報!$E:$E)),0,IF(ISERROR(AVERAGEIF(従業員の給与情報!$B:$B,$A706,従業員の給与情報!$E:$E)),0,AVERAGEIF(従業員の給与情報!$B:$B,$A706,従業員の給与情報!$E:$E)))))</f>
        <v/>
      </c>
      <c r="W706" s="299" t="str">
        <f>IF(OR(入力シート!$C$5&lt;&gt;入力リスト!$C$3,COUNTIF(入力シート!$J$16:$S$23,入力リスト!$H$9)=0),"",IF(A706="","",IF(ISERROR(AVERAGEIF(従業員の給与情報!$B:$B,$A706,従業員の給与情報!$F:$F)),0,IF(ISERROR(AVERAGEIF(従業員の給与情報!$B:$B,$A706,従業員の給与情報!$F:$F)),0,AVERAGEIF(従業員の給与情報!$B:$B,$A706,従業員の給与情報!$F:$F)))))</f>
        <v/>
      </c>
      <c r="X706" s="581" t="s">
        <v>5445</v>
      </c>
    </row>
    <row r="707" spans="6:24">
      <c r="F707" s="297" t="str">
        <f>IF($G$1,"",IF(COUNTIF(A707:E707,"")=5,"",IF(G707,入力リスト!$K$28,IF(OR(A707="",B707="",IF(COUNTIF($C$3,"*不要*"),"",C707=""),D707=""),IF(A707="","従業員番号","")&amp;IF(B707="","「雇用形態」","")&amp;IF(OR(入力シート!$J$18=入力リスト!$H$9,入力シート!$J$22=入力リスト!$H$9),IF(C707="","「入社年月日」",""),"")&amp;IF(D707="","「性別」","")&amp;IF(IF(A707="","従業員番号","")&amp;IF(B707="","「雇用形態」","")&amp;IF(OR(入力シート!$J$18=入力リスト!$H$9,入力シート!$J$22=入力リスト!$H$9),IF(C707="","「入社年月日」",""),"")&amp;IF(D707="","「性別」","")="","",入力リスト!$K$29),IF(J707,入力リスト!$K$30,"")&amp;IF(I707,入力リスト!$K$31,"")&amp;IF(H707,"「雇用形態」","")&amp;IF(K707,"「性別」","")&amp;IF(L707,"「役職」","")&amp;IF(OR(H707,K707,L707),入力リスト!$K$32,"")))))</f>
        <v/>
      </c>
      <c r="G707" s="298" t="b">
        <f>COUNTIF($A$4:A706,$A707)&gt;0</f>
        <v>0</v>
      </c>
      <c r="H707" s="298" t="b">
        <f>IF($H$1,FALSE,COUNTIF(入力シート!$S$37:$V$62,B707)=0)</f>
        <v>0</v>
      </c>
      <c r="I707" s="298" t="b">
        <f t="shared" si="23"/>
        <v>0</v>
      </c>
      <c r="J707" s="298" t="b">
        <f>IF($J$1,FALSE,IF(I707=TRUE,FALSE,IF(I707,FALSE,C707&gt;入力シート!$J$24)))</f>
        <v>0</v>
      </c>
      <c r="K707" s="298" t="b">
        <f>IF($K$1,FALSE,COUNTIF(入力シート!$AW$37:$BB$38,D707)=0)</f>
        <v>0</v>
      </c>
      <c r="L707" s="298" t="b">
        <f>IF($L$1,FALSE,IF($L$3,FALSE,IF(E707="",FALSE,COUNTIF(入力シート!$AH$37:$AK$62,E707)=0)))</f>
        <v>0</v>
      </c>
      <c r="M707" s="298" t="str">
        <f t="shared" si="24"/>
        <v/>
      </c>
      <c r="N707" s="298" t="str">
        <f>IF(G707,"この従業員番号は、すでに他のセルで入力されています。",IF(入力シート!$C$5=入力リスト!$C$4,"",IF(AND(A707="",B707="",C707="",D707="",E707=""),"",IF(OR(A707="",B707="",C707="",D707=""),IF(A707="","従業員番号","")&amp;IF(AND(A707="",OR(B707="",C707="",D707="")),",","")&amp;IF(B707="","雇用形態","")&amp;IF(AND(B707="",OR(C707="",D707="")),",","")&amp;IF(OR(入力シート!$J$18=入力リスト!$H$9,入力シート!$J$22=入力リスト!$H$9),IF(C707="","入社年月日",""),"")&amp;IF(AND(C707="",D707=""),",","")&amp;IF(D707="","性別","")&amp;IF(IF(A707="","従業員番号","")&amp;IF(B707="","雇用形態","")&amp;IF(OR(入力シート!$J$18=入力リスト!$H$9,入力シート!$J$22=入力リスト!$H$9),IF(C707="","入社年月日",""),"")&amp;IF(D707="","性別","")="","","が空白です。"),IF(J707,"入社年月日に「基準日」の翌日以降の日付が入力されています。","")&amp;IF(I707,"入社年月日に数値以外（又は1900/1/1以前の日付）が入力されています。","")&amp;IF(H707,"雇用形態"&amp;IF(OR(K707,L707),",",""),"")&amp;IF(K707,"性別"&amp;IF(L707,",",""),"")&amp;IF(L707,"役職","")&amp;IF(OR(H707,K707,L707),"に、［入力シート］(4)「貴社」欄と異なる文言が入力されています。","")))))</f>
        <v/>
      </c>
      <c r="O707" s="298" t="str">
        <f>IF(B707="","",VLOOKUP('従業員情報(給与以外)'!$B707,入力シート!$S$37:$Z$62,5,0))</f>
        <v/>
      </c>
      <c r="P707" s="298" t="str">
        <f>IF(ISNUMBER(C707)=FALSE,"",IF(C707&gt;入力シート!$J$24,"",_xlfn.DAYS(入力シート!$J$24,'従業員情報(給与以外)'!$C707)/365))</f>
        <v/>
      </c>
      <c r="Q707" s="298" t="str">
        <f>IF(P707="","",VLOOKUP(_xlfn.DAYS(入力シート!$J$24,'従業員情報(給与以外)'!$C707)/365,入力リスト!$K$18:$L$26,2,2))</f>
        <v/>
      </c>
      <c r="R707" s="298" t="str">
        <f>IF(D707="","",VLOOKUP('従業員情報(給与以外)'!$D707,入力シート!$AW$37:$BB$38,4,0))</f>
        <v/>
      </c>
      <c r="S707" s="298" t="str">
        <f>IF(A707="","",IF(E707="","非役職",VLOOKUP('従業員情報(給与以外)'!$E707,入力シート!$AH$37:$AO$62,5,0)))</f>
        <v/>
      </c>
      <c r="T707" s="299" t="str">
        <f>IF(OR(入力シート!$C$5&lt;&gt;入力リスト!$C$3,COUNTIF(入力シート!$J$16:$S$23,入力リスト!$H$9)=0),"",IF($A707="","",IF(ISERROR(AVERAGEIF(従業員の給与情報!$B:$B,$A707,従業員の給与情報!$C:$C)),0,IF(ISERROR(AVERAGEIF(従業員の給与情報!$B:$B,$A707,従業員の給与情報!$C:$C)),0,AVERAGEIF(従業員の給与情報!$B:$B,$A707,従業員の給与情報!$C:$C)))))</f>
        <v/>
      </c>
      <c r="U707" s="299" t="str">
        <f>IF(OR(入力シート!$C$5&lt;&gt;入力リスト!$C$3,COUNTIF(入力シート!$J$16:$S$23,入力リスト!$H$9)=0),"",IF(A707="","",IF(ISERROR(AVERAGEIF(従業員の給与情報!$B:$B,$A707,従業員の給与情報!$D:$D)),0,IF(ISERROR(AVERAGEIF(従業員の給与情報!$B:$B,$A707,従業員の給与情報!$D:$D)),0,AVERAGEIF(従業員の給与情報!$B:$B,$A707,従業員の給与情報!$D:$D)))))</f>
        <v/>
      </c>
      <c r="V707" s="299" t="str">
        <f>IF(OR(入力シート!$C$5&lt;&gt;入力リスト!$C$3,COUNTIF(入力シート!$J$16:$S$23,入力リスト!$H$9)=0),"",IF(A707="","",IF(ISERROR(AVERAGEIF(従業員の給与情報!$B:$B,$A707,従業員の給与情報!$E:$E)),0,IF(ISERROR(AVERAGEIF(従業員の給与情報!$B:$B,$A707,従業員の給与情報!$E:$E)),0,AVERAGEIF(従業員の給与情報!$B:$B,$A707,従業員の給与情報!$E:$E)))))</f>
        <v/>
      </c>
      <c r="W707" s="299" t="str">
        <f>IF(OR(入力シート!$C$5&lt;&gt;入力リスト!$C$3,COUNTIF(入力シート!$J$16:$S$23,入力リスト!$H$9)=0),"",IF(A707="","",IF(ISERROR(AVERAGEIF(従業員の給与情報!$B:$B,$A707,従業員の給与情報!$F:$F)),0,IF(ISERROR(AVERAGEIF(従業員の給与情報!$B:$B,$A707,従業員の給与情報!$F:$F)),0,AVERAGEIF(従業員の給与情報!$B:$B,$A707,従業員の給与情報!$F:$F)))))</f>
        <v/>
      </c>
      <c r="X707" s="581" t="s">
        <v>5446</v>
      </c>
    </row>
    <row r="708" spans="6:24">
      <c r="F708" s="297" t="str">
        <f>IF($G$1,"",IF(COUNTIF(A708:E708,"")=5,"",IF(G708,入力リスト!$K$28,IF(OR(A708="",B708="",IF(COUNTIF($C$3,"*不要*"),"",C708=""),D708=""),IF(A708="","従業員番号","")&amp;IF(B708="","「雇用形態」","")&amp;IF(OR(入力シート!$J$18=入力リスト!$H$9,入力シート!$J$22=入力リスト!$H$9),IF(C708="","「入社年月日」",""),"")&amp;IF(D708="","「性別」","")&amp;IF(IF(A708="","従業員番号","")&amp;IF(B708="","「雇用形態」","")&amp;IF(OR(入力シート!$J$18=入力リスト!$H$9,入力シート!$J$22=入力リスト!$H$9),IF(C708="","「入社年月日」",""),"")&amp;IF(D708="","「性別」","")="","",入力リスト!$K$29),IF(J708,入力リスト!$K$30,"")&amp;IF(I708,入力リスト!$K$31,"")&amp;IF(H708,"「雇用形態」","")&amp;IF(K708,"「性別」","")&amp;IF(L708,"「役職」","")&amp;IF(OR(H708,K708,L708),入力リスト!$K$32,"")))))</f>
        <v/>
      </c>
      <c r="G708" s="298" t="b">
        <f>COUNTIF($A$4:A707,$A708)&gt;0</f>
        <v>0</v>
      </c>
      <c r="H708" s="298" t="b">
        <f>IF($H$1,FALSE,COUNTIF(入力シート!$S$37:$V$62,B708)=0)</f>
        <v>0</v>
      </c>
      <c r="I708" s="298" t="b">
        <f t="shared" si="23"/>
        <v>0</v>
      </c>
      <c r="J708" s="298" t="b">
        <f>IF($J$1,FALSE,IF(I708=TRUE,FALSE,IF(I708,FALSE,C708&gt;入力シート!$J$24)))</f>
        <v>0</v>
      </c>
      <c r="K708" s="298" t="b">
        <f>IF($K$1,FALSE,COUNTIF(入力シート!$AW$37:$BB$38,D708)=0)</f>
        <v>0</v>
      </c>
      <c r="L708" s="298" t="b">
        <f>IF($L$1,FALSE,IF($L$3,FALSE,IF(E708="",FALSE,COUNTIF(入力シート!$AH$37:$AK$62,E708)=0)))</f>
        <v>0</v>
      </c>
      <c r="M708" s="298" t="str">
        <f t="shared" si="24"/>
        <v/>
      </c>
      <c r="N708" s="298" t="str">
        <f>IF(G708,"この従業員番号は、すでに他のセルで入力されています。",IF(入力シート!$C$5=入力リスト!$C$4,"",IF(AND(A708="",B708="",C708="",D708="",E708=""),"",IF(OR(A708="",B708="",C708="",D708=""),IF(A708="","従業員番号","")&amp;IF(AND(A708="",OR(B708="",C708="",D708="")),",","")&amp;IF(B708="","雇用形態","")&amp;IF(AND(B708="",OR(C708="",D708="")),",","")&amp;IF(OR(入力シート!$J$18=入力リスト!$H$9,入力シート!$J$22=入力リスト!$H$9),IF(C708="","入社年月日",""),"")&amp;IF(AND(C708="",D708=""),",","")&amp;IF(D708="","性別","")&amp;IF(IF(A708="","従業員番号","")&amp;IF(B708="","雇用形態","")&amp;IF(OR(入力シート!$J$18=入力リスト!$H$9,入力シート!$J$22=入力リスト!$H$9),IF(C708="","入社年月日",""),"")&amp;IF(D708="","性別","")="","","が空白です。"),IF(J708,"入社年月日に「基準日」の翌日以降の日付が入力されています。","")&amp;IF(I708,"入社年月日に数値以外（又は1900/1/1以前の日付）が入力されています。","")&amp;IF(H708,"雇用形態"&amp;IF(OR(K708,L708),",",""),"")&amp;IF(K708,"性別"&amp;IF(L708,",",""),"")&amp;IF(L708,"役職","")&amp;IF(OR(H708,K708,L708),"に、［入力シート］(4)「貴社」欄と異なる文言が入力されています。","")))))</f>
        <v/>
      </c>
      <c r="O708" s="298" t="str">
        <f>IF(B708="","",VLOOKUP('従業員情報(給与以外)'!$B708,入力シート!$S$37:$Z$62,5,0))</f>
        <v/>
      </c>
      <c r="P708" s="298" t="str">
        <f>IF(ISNUMBER(C708)=FALSE,"",IF(C708&gt;入力シート!$J$24,"",_xlfn.DAYS(入力シート!$J$24,'従業員情報(給与以外)'!$C708)/365))</f>
        <v/>
      </c>
      <c r="Q708" s="298" t="str">
        <f>IF(P708="","",VLOOKUP(_xlfn.DAYS(入力シート!$J$24,'従業員情報(給与以外)'!$C708)/365,入力リスト!$K$18:$L$26,2,2))</f>
        <v/>
      </c>
      <c r="R708" s="298" t="str">
        <f>IF(D708="","",VLOOKUP('従業員情報(給与以外)'!$D708,入力シート!$AW$37:$BB$38,4,0))</f>
        <v/>
      </c>
      <c r="S708" s="298" t="str">
        <f>IF(A708="","",IF(E708="","非役職",VLOOKUP('従業員情報(給与以外)'!$E708,入力シート!$AH$37:$AO$62,5,0)))</f>
        <v/>
      </c>
      <c r="T708" s="299" t="str">
        <f>IF(OR(入力シート!$C$5&lt;&gt;入力リスト!$C$3,COUNTIF(入力シート!$J$16:$S$23,入力リスト!$H$9)=0),"",IF($A708="","",IF(ISERROR(AVERAGEIF(従業員の給与情報!$B:$B,$A708,従業員の給与情報!$C:$C)),0,IF(ISERROR(AVERAGEIF(従業員の給与情報!$B:$B,$A708,従業員の給与情報!$C:$C)),0,AVERAGEIF(従業員の給与情報!$B:$B,$A708,従業員の給与情報!$C:$C)))))</f>
        <v/>
      </c>
      <c r="U708" s="299" t="str">
        <f>IF(OR(入力シート!$C$5&lt;&gt;入力リスト!$C$3,COUNTIF(入力シート!$J$16:$S$23,入力リスト!$H$9)=0),"",IF(A708="","",IF(ISERROR(AVERAGEIF(従業員の給与情報!$B:$B,$A708,従業員の給与情報!$D:$D)),0,IF(ISERROR(AVERAGEIF(従業員の給与情報!$B:$B,$A708,従業員の給与情報!$D:$D)),0,AVERAGEIF(従業員の給与情報!$B:$B,$A708,従業員の給与情報!$D:$D)))))</f>
        <v/>
      </c>
      <c r="V708" s="299" t="str">
        <f>IF(OR(入力シート!$C$5&lt;&gt;入力リスト!$C$3,COUNTIF(入力シート!$J$16:$S$23,入力リスト!$H$9)=0),"",IF(A708="","",IF(ISERROR(AVERAGEIF(従業員の給与情報!$B:$B,$A708,従業員の給与情報!$E:$E)),0,IF(ISERROR(AVERAGEIF(従業員の給与情報!$B:$B,$A708,従業員の給与情報!$E:$E)),0,AVERAGEIF(従業員の給与情報!$B:$B,$A708,従業員の給与情報!$E:$E)))))</f>
        <v/>
      </c>
      <c r="W708" s="299" t="str">
        <f>IF(OR(入力シート!$C$5&lt;&gt;入力リスト!$C$3,COUNTIF(入力シート!$J$16:$S$23,入力リスト!$H$9)=0),"",IF(A708="","",IF(ISERROR(AVERAGEIF(従業員の給与情報!$B:$B,$A708,従業員の給与情報!$F:$F)),0,IF(ISERROR(AVERAGEIF(従業員の給与情報!$B:$B,$A708,従業員の給与情報!$F:$F)),0,AVERAGEIF(従業員の給与情報!$B:$B,$A708,従業員の給与情報!$F:$F)))))</f>
        <v/>
      </c>
      <c r="X708" s="581" t="s">
        <v>5447</v>
      </c>
    </row>
    <row r="709" spans="6:24">
      <c r="F709" s="297" t="str">
        <f>IF($G$1,"",IF(COUNTIF(A709:E709,"")=5,"",IF(G709,入力リスト!$K$28,IF(OR(A709="",B709="",IF(COUNTIF($C$3,"*不要*"),"",C709=""),D709=""),IF(A709="","従業員番号","")&amp;IF(B709="","「雇用形態」","")&amp;IF(OR(入力シート!$J$18=入力リスト!$H$9,入力シート!$J$22=入力リスト!$H$9),IF(C709="","「入社年月日」",""),"")&amp;IF(D709="","「性別」","")&amp;IF(IF(A709="","従業員番号","")&amp;IF(B709="","「雇用形態」","")&amp;IF(OR(入力シート!$J$18=入力リスト!$H$9,入力シート!$J$22=入力リスト!$H$9),IF(C709="","「入社年月日」",""),"")&amp;IF(D709="","「性別」","")="","",入力リスト!$K$29),IF(J709,入力リスト!$K$30,"")&amp;IF(I709,入力リスト!$K$31,"")&amp;IF(H709,"「雇用形態」","")&amp;IF(K709,"「性別」","")&amp;IF(L709,"「役職」","")&amp;IF(OR(H709,K709,L709),入力リスト!$K$32,"")))))</f>
        <v/>
      </c>
      <c r="G709" s="298" t="b">
        <f>COUNTIF($A$4:A708,$A709)&gt;0</f>
        <v>0</v>
      </c>
      <c r="H709" s="298" t="b">
        <f>IF($H$1,FALSE,COUNTIF(入力シート!$S$37:$V$62,B709)=0)</f>
        <v>0</v>
      </c>
      <c r="I709" s="298" t="b">
        <f t="shared" si="23"/>
        <v>0</v>
      </c>
      <c r="J709" s="298" t="b">
        <f>IF($J$1,FALSE,IF(I709=TRUE,FALSE,IF(I709,FALSE,C709&gt;入力シート!$J$24)))</f>
        <v>0</v>
      </c>
      <c r="K709" s="298" t="b">
        <f>IF($K$1,FALSE,COUNTIF(入力シート!$AW$37:$BB$38,D709)=0)</f>
        <v>0</v>
      </c>
      <c r="L709" s="298" t="b">
        <f>IF($L$1,FALSE,IF($L$3,FALSE,IF(E709="",FALSE,COUNTIF(入力シート!$AH$37:$AK$62,E709)=0)))</f>
        <v>0</v>
      </c>
      <c r="M709" s="298" t="str">
        <f t="shared" si="24"/>
        <v/>
      </c>
      <c r="N709" s="298" t="str">
        <f>IF(G709,"この従業員番号は、すでに他のセルで入力されています。",IF(入力シート!$C$5=入力リスト!$C$4,"",IF(AND(A709="",B709="",C709="",D709="",E709=""),"",IF(OR(A709="",B709="",C709="",D709=""),IF(A709="","従業員番号","")&amp;IF(AND(A709="",OR(B709="",C709="",D709="")),",","")&amp;IF(B709="","雇用形態","")&amp;IF(AND(B709="",OR(C709="",D709="")),",","")&amp;IF(OR(入力シート!$J$18=入力リスト!$H$9,入力シート!$J$22=入力リスト!$H$9),IF(C709="","入社年月日",""),"")&amp;IF(AND(C709="",D709=""),",","")&amp;IF(D709="","性別","")&amp;IF(IF(A709="","従業員番号","")&amp;IF(B709="","雇用形態","")&amp;IF(OR(入力シート!$J$18=入力リスト!$H$9,入力シート!$J$22=入力リスト!$H$9),IF(C709="","入社年月日",""),"")&amp;IF(D709="","性別","")="","","が空白です。"),IF(J709,"入社年月日に「基準日」の翌日以降の日付が入力されています。","")&amp;IF(I709,"入社年月日に数値以外（又は1900/1/1以前の日付）が入力されています。","")&amp;IF(H709,"雇用形態"&amp;IF(OR(K709,L709),",",""),"")&amp;IF(K709,"性別"&amp;IF(L709,",",""),"")&amp;IF(L709,"役職","")&amp;IF(OR(H709,K709,L709),"に、［入力シート］(4)「貴社」欄と異なる文言が入力されています。","")))))</f>
        <v/>
      </c>
      <c r="O709" s="298" t="str">
        <f>IF(B709="","",VLOOKUP('従業員情報(給与以外)'!$B709,入力シート!$S$37:$Z$62,5,0))</f>
        <v/>
      </c>
      <c r="P709" s="298" t="str">
        <f>IF(ISNUMBER(C709)=FALSE,"",IF(C709&gt;入力シート!$J$24,"",_xlfn.DAYS(入力シート!$J$24,'従業員情報(給与以外)'!$C709)/365))</f>
        <v/>
      </c>
      <c r="Q709" s="298" t="str">
        <f>IF(P709="","",VLOOKUP(_xlfn.DAYS(入力シート!$J$24,'従業員情報(給与以外)'!$C709)/365,入力リスト!$K$18:$L$26,2,2))</f>
        <v/>
      </c>
      <c r="R709" s="298" t="str">
        <f>IF(D709="","",VLOOKUP('従業員情報(給与以外)'!$D709,入力シート!$AW$37:$BB$38,4,0))</f>
        <v/>
      </c>
      <c r="S709" s="298" t="str">
        <f>IF(A709="","",IF(E709="","非役職",VLOOKUP('従業員情報(給与以外)'!$E709,入力シート!$AH$37:$AO$62,5,0)))</f>
        <v/>
      </c>
      <c r="T709" s="299" t="str">
        <f>IF(OR(入力シート!$C$5&lt;&gt;入力リスト!$C$3,COUNTIF(入力シート!$J$16:$S$23,入力リスト!$H$9)=0),"",IF($A709="","",IF(ISERROR(AVERAGEIF(従業員の給与情報!$B:$B,$A709,従業員の給与情報!$C:$C)),0,IF(ISERROR(AVERAGEIF(従業員の給与情報!$B:$B,$A709,従業員の給与情報!$C:$C)),0,AVERAGEIF(従業員の給与情報!$B:$B,$A709,従業員の給与情報!$C:$C)))))</f>
        <v/>
      </c>
      <c r="U709" s="299" t="str">
        <f>IF(OR(入力シート!$C$5&lt;&gt;入力リスト!$C$3,COUNTIF(入力シート!$J$16:$S$23,入力リスト!$H$9)=0),"",IF(A709="","",IF(ISERROR(AVERAGEIF(従業員の給与情報!$B:$B,$A709,従業員の給与情報!$D:$D)),0,IF(ISERROR(AVERAGEIF(従業員の給与情報!$B:$B,$A709,従業員の給与情報!$D:$D)),0,AVERAGEIF(従業員の給与情報!$B:$B,$A709,従業員の給与情報!$D:$D)))))</f>
        <v/>
      </c>
      <c r="V709" s="299" t="str">
        <f>IF(OR(入力シート!$C$5&lt;&gt;入力リスト!$C$3,COUNTIF(入力シート!$J$16:$S$23,入力リスト!$H$9)=0),"",IF(A709="","",IF(ISERROR(AVERAGEIF(従業員の給与情報!$B:$B,$A709,従業員の給与情報!$E:$E)),0,IF(ISERROR(AVERAGEIF(従業員の給与情報!$B:$B,$A709,従業員の給与情報!$E:$E)),0,AVERAGEIF(従業員の給与情報!$B:$B,$A709,従業員の給与情報!$E:$E)))))</f>
        <v/>
      </c>
      <c r="W709" s="299" t="str">
        <f>IF(OR(入力シート!$C$5&lt;&gt;入力リスト!$C$3,COUNTIF(入力シート!$J$16:$S$23,入力リスト!$H$9)=0),"",IF(A709="","",IF(ISERROR(AVERAGEIF(従業員の給与情報!$B:$B,$A709,従業員の給与情報!$F:$F)),0,IF(ISERROR(AVERAGEIF(従業員の給与情報!$B:$B,$A709,従業員の給与情報!$F:$F)),0,AVERAGEIF(従業員の給与情報!$B:$B,$A709,従業員の給与情報!$F:$F)))))</f>
        <v/>
      </c>
      <c r="X709" s="581" t="s">
        <v>5448</v>
      </c>
    </row>
    <row r="710" spans="6:24">
      <c r="F710" s="297" t="str">
        <f>IF($G$1,"",IF(COUNTIF(A710:E710,"")=5,"",IF(G710,入力リスト!$K$28,IF(OR(A710="",B710="",IF(COUNTIF($C$3,"*不要*"),"",C710=""),D710=""),IF(A710="","従業員番号","")&amp;IF(B710="","「雇用形態」","")&amp;IF(OR(入力シート!$J$18=入力リスト!$H$9,入力シート!$J$22=入力リスト!$H$9),IF(C710="","「入社年月日」",""),"")&amp;IF(D710="","「性別」","")&amp;IF(IF(A710="","従業員番号","")&amp;IF(B710="","「雇用形態」","")&amp;IF(OR(入力シート!$J$18=入力リスト!$H$9,入力シート!$J$22=入力リスト!$H$9),IF(C710="","「入社年月日」",""),"")&amp;IF(D710="","「性別」","")="","",入力リスト!$K$29),IF(J710,入力リスト!$K$30,"")&amp;IF(I710,入力リスト!$K$31,"")&amp;IF(H710,"「雇用形態」","")&amp;IF(K710,"「性別」","")&amp;IF(L710,"「役職」","")&amp;IF(OR(H710,K710,L710),入力リスト!$K$32,"")))))</f>
        <v/>
      </c>
      <c r="G710" s="298" t="b">
        <f>COUNTIF($A$4:A709,$A710)&gt;0</f>
        <v>0</v>
      </c>
      <c r="H710" s="298" t="b">
        <f>IF($H$1,FALSE,COUNTIF(入力シート!$S$37:$V$62,B710)=0)</f>
        <v>0</v>
      </c>
      <c r="I710" s="298" t="b">
        <f t="shared" si="23"/>
        <v>0</v>
      </c>
      <c r="J710" s="298" t="b">
        <f>IF($J$1,FALSE,IF(I710=TRUE,FALSE,IF(I710,FALSE,C710&gt;入力シート!$J$24)))</f>
        <v>0</v>
      </c>
      <c r="K710" s="298" t="b">
        <f>IF($K$1,FALSE,COUNTIF(入力シート!$AW$37:$BB$38,D710)=0)</f>
        <v>0</v>
      </c>
      <c r="L710" s="298" t="b">
        <f>IF($L$1,FALSE,IF($L$3,FALSE,IF(E710="",FALSE,COUNTIF(入力シート!$AH$37:$AK$62,E710)=0)))</f>
        <v>0</v>
      </c>
      <c r="M710" s="298" t="str">
        <f t="shared" si="24"/>
        <v/>
      </c>
      <c r="N710" s="298" t="str">
        <f>IF(G710,"この従業員番号は、すでに他のセルで入力されています。",IF(入力シート!$C$5=入力リスト!$C$4,"",IF(AND(A710="",B710="",C710="",D710="",E710=""),"",IF(OR(A710="",B710="",C710="",D710=""),IF(A710="","従業員番号","")&amp;IF(AND(A710="",OR(B710="",C710="",D710="")),",","")&amp;IF(B710="","雇用形態","")&amp;IF(AND(B710="",OR(C710="",D710="")),",","")&amp;IF(OR(入力シート!$J$18=入力リスト!$H$9,入力シート!$J$22=入力リスト!$H$9),IF(C710="","入社年月日",""),"")&amp;IF(AND(C710="",D710=""),",","")&amp;IF(D710="","性別","")&amp;IF(IF(A710="","従業員番号","")&amp;IF(B710="","雇用形態","")&amp;IF(OR(入力シート!$J$18=入力リスト!$H$9,入力シート!$J$22=入力リスト!$H$9),IF(C710="","入社年月日",""),"")&amp;IF(D710="","性別","")="","","が空白です。"),IF(J710,"入社年月日に「基準日」の翌日以降の日付が入力されています。","")&amp;IF(I710,"入社年月日に数値以外（又は1900/1/1以前の日付）が入力されています。","")&amp;IF(H710,"雇用形態"&amp;IF(OR(K710,L710),",",""),"")&amp;IF(K710,"性別"&amp;IF(L710,",",""),"")&amp;IF(L710,"役職","")&amp;IF(OR(H710,K710,L710),"に、［入力シート］(4)「貴社」欄と異なる文言が入力されています。","")))))</f>
        <v/>
      </c>
      <c r="O710" s="298" t="str">
        <f>IF(B710="","",VLOOKUP('従業員情報(給与以外)'!$B710,入力シート!$S$37:$Z$62,5,0))</f>
        <v/>
      </c>
      <c r="P710" s="298" t="str">
        <f>IF(ISNUMBER(C710)=FALSE,"",IF(C710&gt;入力シート!$J$24,"",_xlfn.DAYS(入力シート!$J$24,'従業員情報(給与以外)'!$C710)/365))</f>
        <v/>
      </c>
      <c r="Q710" s="298" t="str">
        <f>IF(P710="","",VLOOKUP(_xlfn.DAYS(入力シート!$J$24,'従業員情報(給与以外)'!$C710)/365,入力リスト!$K$18:$L$26,2,2))</f>
        <v/>
      </c>
      <c r="R710" s="298" t="str">
        <f>IF(D710="","",VLOOKUP('従業員情報(給与以外)'!$D710,入力シート!$AW$37:$BB$38,4,0))</f>
        <v/>
      </c>
      <c r="S710" s="298" t="str">
        <f>IF(A710="","",IF(E710="","非役職",VLOOKUP('従業員情報(給与以外)'!$E710,入力シート!$AH$37:$AO$62,5,0)))</f>
        <v/>
      </c>
      <c r="T710" s="299" t="str">
        <f>IF(OR(入力シート!$C$5&lt;&gt;入力リスト!$C$3,COUNTIF(入力シート!$J$16:$S$23,入力リスト!$H$9)=0),"",IF($A710="","",IF(ISERROR(AVERAGEIF(従業員の給与情報!$B:$B,$A710,従業員の給与情報!$C:$C)),0,IF(ISERROR(AVERAGEIF(従業員の給与情報!$B:$B,$A710,従業員の給与情報!$C:$C)),0,AVERAGEIF(従業員の給与情報!$B:$B,$A710,従業員の給与情報!$C:$C)))))</f>
        <v/>
      </c>
      <c r="U710" s="299" t="str">
        <f>IF(OR(入力シート!$C$5&lt;&gt;入力リスト!$C$3,COUNTIF(入力シート!$J$16:$S$23,入力リスト!$H$9)=0),"",IF(A710="","",IF(ISERROR(AVERAGEIF(従業員の給与情報!$B:$B,$A710,従業員の給与情報!$D:$D)),0,IF(ISERROR(AVERAGEIF(従業員の給与情報!$B:$B,$A710,従業員の給与情報!$D:$D)),0,AVERAGEIF(従業員の給与情報!$B:$B,$A710,従業員の給与情報!$D:$D)))))</f>
        <v/>
      </c>
      <c r="V710" s="299" t="str">
        <f>IF(OR(入力シート!$C$5&lt;&gt;入力リスト!$C$3,COUNTIF(入力シート!$J$16:$S$23,入力リスト!$H$9)=0),"",IF(A710="","",IF(ISERROR(AVERAGEIF(従業員の給与情報!$B:$B,$A710,従業員の給与情報!$E:$E)),0,IF(ISERROR(AVERAGEIF(従業員の給与情報!$B:$B,$A710,従業員の給与情報!$E:$E)),0,AVERAGEIF(従業員の給与情報!$B:$B,$A710,従業員の給与情報!$E:$E)))))</f>
        <v/>
      </c>
      <c r="W710" s="299" t="str">
        <f>IF(OR(入力シート!$C$5&lt;&gt;入力リスト!$C$3,COUNTIF(入力シート!$J$16:$S$23,入力リスト!$H$9)=0),"",IF(A710="","",IF(ISERROR(AVERAGEIF(従業員の給与情報!$B:$B,$A710,従業員の給与情報!$F:$F)),0,IF(ISERROR(AVERAGEIF(従業員の給与情報!$B:$B,$A710,従業員の給与情報!$F:$F)),0,AVERAGEIF(従業員の給与情報!$B:$B,$A710,従業員の給与情報!$F:$F)))))</f>
        <v/>
      </c>
      <c r="X710" s="581" t="s">
        <v>5449</v>
      </c>
    </row>
    <row r="711" spans="6:24">
      <c r="F711" s="297" t="str">
        <f>IF($G$1,"",IF(COUNTIF(A711:E711,"")=5,"",IF(G711,入力リスト!$K$28,IF(OR(A711="",B711="",IF(COUNTIF($C$3,"*不要*"),"",C711=""),D711=""),IF(A711="","従業員番号","")&amp;IF(B711="","「雇用形態」","")&amp;IF(OR(入力シート!$J$18=入力リスト!$H$9,入力シート!$J$22=入力リスト!$H$9),IF(C711="","「入社年月日」",""),"")&amp;IF(D711="","「性別」","")&amp;IF(IF(A711="","従業員番号","")&amp;IF(B711="","「雇用形態」","")&amp;IF(OR(入力シート!$J$18=入力リスト!$H$9,入力シート!$J$22=入力リスト!$H$9),IF(C711="","「入社年月日」",""),"")&amp;IF(D711="","「性別」","")="","",入力リスト!$K$29),IF(J711,入力リスト!$K$30,"")&amp;IF(I711,入力リスト!$K$31,"")&amp;IF(H711,"「雇用形態」","")&amp;IF(K711,"「性別」","")&amp;IF(L711,"「役職」","")&amp;IF(OR(H711,K711,L711),入力リスト!$K$32,"")))))</f>
        <v/>
      </c>
      <c r="G711" s="298" t="b">
        <f>COUNTIF($A$4:A710,$A711)&gt;0</f>
        <v>0</v>
      </c>
      <c r="H711" s="298" t="b">
        <f>IF($H$1,FALSE,COUNTIF(入力シート!$S$37:$V$62,B711)=0)</f>
        <v>0</v>
      </c>
      <c r="I711" s="298" t="b">
        <f t="shared" si="23"/>
        <v>0</v>
      </c>
      <c r="J711" s="298" t="b">
        <f>IF($J$1,FALSE,IF(I711=TRUE,FALSE,IF(I711,FALSE,C711&gt;入力シート!$J$24)))</f>
        <v>0</v>
      </c>
      <c r="K711" s="298" t="b">
        <f>IF($K$1,FALSE,COUNTIF(入力シート!$AW$37:$BB$38,D711)=0)</f>
        <v>0</v>
      </c>
      <c r="L711" s="298" t="b">
        <f>IF($L$1,FALSE,IF($L$3,FALSE,IF(E711="",FALSE,COUNTIF(入力シート!$AH$37:$AK$62,E711)=0)))</f>
        <v>0</v>
      </c>
      <c r="M711" s="298" t="str">
        <f t="shared" si="24"/>
        <v/>
      </c>
      <c r="N711" s="298" t="str">
        <f>IF(G711,"この従業員番号は、すでに他のセルで入力されています。",IF(入力シート!$C$5=入力リスト!$C$4,"",IF(AND(A711="",B711="",C711="",D711="",E711=""),"",IF(OR(A711="",B711="",C711="",D711=""),IF(A711="","従業員番号","")&amp;IF(AND(A711="",OR(B711="",C711="",D711="")),",","")&amp;IF(B711="","雇用形態","")&amp;IF(AND(B711="",OR(C711="",D711="")),",","")&amp;IF(OR(入力シート!$J$18=入力リスト!$H$9,入力シート!$J$22=入力リスト!$H$9),IF(C711="","入社年月日",""),"")&amp;IF(AND(C711="",D711=""),",","")&amp;IF(D711="","性別","")&amp;IF(IF(A711="","従業員番号","")&amp;IF(B711="","雇用形態","")&amp;IF(OR(入力シート!$J$18=入力リスト!$H$9,入力シート!$J$22=入力リスト!$H$9),IF(C711="","入社年月日",""),"")&amp;IF(D711="","性別","")="","","が空白です。"),IF(J711,"入社年月日に「基準日」の翌日以降の日付が入力されています。","")&amp;IF(I711,"入社年月日に数値以外（又は1900/1/1以前の日付）が入力されています。","")&amp;IF(H711,"雇用形態"&amp;IF(OR(K711,L711),",",""),"")&amp;IF(K711,"性別"&amp;IF(L711,",",""),"")&amp;IF(L711,"役職","")&amp;IF(OR(H711,K711,L711),"に、［入力シート］(4)「貴社」欄と異なる文言が入力されています。","")))))</f>
        <v/>
      </c>
      <c r="O711" s="298" t="str">
        <f>IF(B711="","",VLOOKUP('従業員情報(給与以外)'!$B711,入力シート!$S$37:$Z$62,5,0))</f>
        <v/>
      </c>
      <c r="P711" s="298" t="str">
        <f>IF(ISNUMBER(C711)=FALSE,"",IF(C711&gt;入力シート!$J$24,"",_xlfn.DAYS(入力シート!$J$24,'従業員情報(給与以外)'!$C711)/365))</f>
        <v/>
      </c>
      <c r="Q711" s="298" t="str">
        <f>IF(P711="","",VLOOKUP(_xlfn.DAYS(入力シート!$J$24,'従業員情報(給与以外)'!$C711)/365,入力リスト!$K$18:$L$26,2,2))</f>
        <v/>
      </c>
      <c r="R711" s="298" t="str">
        <f>IF(D711="","",VLOOKUP('従業員情報(給与以外)'!$D711,入力シート!$AW$37:$BB$38,4,0))</f>
        <v/>
      </c>
      <c r="S711" s="298" t="str">
        <f>IF(A711="","",IF(E711="","非役職",VLOOKUP('従業員情報(給与以外)'!$E711,入力シート!$AH$37:$AO$62,5,0)))</f>
        <v/>
      </c>
      <c r="T711" s="299" t="str">
        <f>IF(OR(入力シート!$C$5&lt;&gt;入力リスト!$C$3,COUNTIF(入力シート!$J$16:$S$23,入力リスト!$H$9)=0),"",IF($A711="","",IF(ISERROR(AVERAGEIF(従業員の給与情報!$B:$B,$A711,従業員の給与情報!$C:$C)),0,IF(ISERROR(AVERAGEIF(従業員の給与情報!$B:$B,$A711,従業員の給与情報!$C:$C)),0,AVERAGEIF(従業員の給与情報!$B:$B,$A711,従業員の給与情報!$C:$C)))))</f>
        <v/>
      </c>
      <c r="U711" s="299" t="str">
        <f>IF(OR(入力シート!$C$5&lt;&gt;入力リスト!$C$3,COUNTIF(入力シート!$J$16:$S$23,入力リスト!$H$9)=0),"",IF(A711="","",IF(ISERROR(AVERAGEIF(従業員の給与情報!$B:$B,$A711,従業員の給与情報!$D:$D)),0,IF(ISERROR(AVERAGEIF(従業員の給与情報!$B:$B,$A711,従業員の給与情報!$D:$D)),0,AVERAGEIF(従業員の給与情報!$B:$B,$A711,従業員の給与情報!$D:$D)))))</f>
        <v/>
      </c>
      <c r="V711" s="299" t="str">
        <f>IF(OR(入力シート!$C$5&lt;&gt;入力リスト!$C$3,COUNTIF(入力シート!$J$16:$S$23,入力リスト!$H$9)=0),"",IF(A711="","",IF(ISERROR(AVERAGEIF(従業員の給与情報!$B:$B,$A711,従業員の給与情報!$E:$E)),0,IF(ISERROR(AVERAGEIF(従業員の給与情報!$B:$B,$A711,従業員の給与情報!$E:$E)),0,AVERAGEIF(従業員の給与情報!$B:$B,$A711,従業員の給与情報!$E:$E)))))</f>
        <v/>
      </c>
      <c r="W711" s="299" t="str">
        <f>IF(OR(入力シート!$C$5&lt;&gt;入力リスト!$C$3,COUNTIF(入力シート!$J$16:$S$23,入力リスト!$H$9)=0),"",IF(A711="","",IF(ISERROR(AVERAGEIF(従業員の給与情報!$B:$B,$A711,従業員の給与情報!$F:$F)),0,IF(ISERROR(AVERAGEIF(従業員の給与情報!$B:$B,$A711,従業員の給与情報!$F:$F)),0,AVERAGEIF(従業員の給与情報!$B:$B,$A711,従業員の給与情報!$F:$F)))))</f>
        <v/>
      </c>
      <c r="X711" s="581" t="s">
        <v>5450</v>
      </c>
    </row>
    <row r="712" spans="6:24">
      <c r="F712" s="297" t="str">
        <f>IF($G$1,"",IF(COUNTIF(A712:E712,"")=5,"",IF(G712,入力リスト!$K$28,IF(OR(A712="",B712="",IF(COUNTIF($C$3,"*不要*"),"",C712=""),D712=""),IF(A712="","従業員番号","")&amp;IF(B712="","「雇用形態」","")&amp;IF(OR(入力シート!$J$18=入力リスト!$H$9,入力シート!$J$22=入力リスト!$H$9),IF(C712="","「入社年月日」",""),"")&amp;IF(D712="","「性別」","")&amp;IF(IF(A712="","従業員番号","")&amp;IF(B712="","「雇用形態」","")&amp;IF(OR(入力シート!$J$18=入力リスト!$H$9,入力シート!$J$22=入力リスト!$H$9),IF(C712="","「入社年月日」",""),"")&amp;IF(D712="","「性別」","")="","",入力リスト!$K$29),IF(J712,入力リスト!$K$30,"")&amp;IF(I712,入力リスト!$K$31,"")&amp;IF(H712,"「雇用形態」","")&amp;IF(K712,"「性別」","")&amp;IF(L712,"「役職」","")&amp;IF(OR(H712,K712,L712),入力リスト!$K$32,"")))))</f>
        <v/>
      </c>
      <c r="G712" s="298" t="b">
        <f>COUNTIF($A$4:A711,$A712)&gt;0</f>
        <v>0</v>
      </c>
      <c r="H712" s="298" t="b">
        <f>IF($H$1,FALSE,COUNTIF(入力シート!$S$37:$V$62,B712)=0)</f>
        <v>0</v>
      </c>
      <c r="I712" s="298" t="b">
        <f t="shared" si="23"/>
        <v>0</v>
      </c>
      <c r="J712" s="298" t="b">
        <f>IF($J$1,FALSE,IF(I712=TRUE,FALSE,IF(I712,FALSE,C712&gt;入力シート!$J$24)))</f>
        <v>0</v>
      </c>
      <c r="K712" s="298" t="b">
        <f>IF($K$1,FALSE,COUNTIF(入力シート!$AW$37:$BB$38,D712)=0)</f>
        <v>0</v>
      </c>
      <c r="L712" s="298" t="b">
        <f>IF($L$1,FALSE,IF($L$3,FALSE,IF(E712="",FALSE,COUNTIF(入力シート!$AH$37:$AK$62,E712)=0)))</f>
        <v>0</v>
      </c>
      <c r="M712" s="298" t="str">
        <f t="shared" si="24"/>
        <v/>
      </c>
      <c r="N712" s="298" t="str">
        <f>IF(G712,"この従業員番号は、すでに他のセルで入力されています。",IF(入力シート!$C$5=入力リスト!$C$4,"",IF(AND(A712="",B712="",C712="",D712="",E712=""),"",IF(OR(A712="",B712="",C712="",D712=""),IF(A712="","従業員番号","")&amp;IF(AND(A712="",OR(B712="",C712="",D712="")),",","")&amp;IF(B712="","雇用形態","")&amp;IF(AND(B712="",OR(C712="",D712="")),",","")&amp;IF(OR(入力シート!$J$18=入力リスト!$H$9,入力シート!$J$22=入力リスト!$H$9),IF(C712="","入社年月日",""),"")&amp;IF(AND(C712="",D712=""),",","")&amp;IF(D712="","性別","")&amp;IF(IF(A712="","従業員番号","")&amp;IF(B712="","雇用形態","")&amp;IF(OR(入力シート!$J$18=入力リスト!$H$9,入力シート!$J$22=入力リスト!$H$9),IF(C712="","入社年月日",""),"")&amp;IF(D712="","性別","")="","","が空白です。"),IF(J712,"入社年月日に「基準日」の翌日以降の日付が入力されています。","")&amp;IF(I712,"入社年月日に数値以外（又は1900/1/1以前の日付）が入力されています。","")&amp;IF(H712,"雇用形態"&amp;IF(OR(K712,L712),",",""),"")&amp;IF(K712,"性別"&amp;IF(L712,",",""),"")&amp;IF(L712,"役職","")&amp;IF(OR(H712,K712,L712),"に、［入力シート］(4)「貴社」欄と異なる文言が入力されています。","")))))</f>
        <v/>
      </c>
      <c r="O712" s="298" t="str">
        <f>IF(B712="","",VLOOKUP('従業員情報(給与以外)'!$B712,入力シート!$S$37:$Z$62,5,0))</f>
        <v/>
      </c>
      <c r="P712" s="298" t="str">
        <f>IF(ISNUMBER(C712)=FALSE,"",IF(C712&gt;入力シート!$J$24,"",_xlfn.DAYS(入力シート!$J$24,'従業員情報(給与以外)'!$C712)/365))</f>
        <v/>
      </c>
      <c r="Q712" s="298" t="str">
        <f>IF(P712="","",VLOOKUP(_xlfn.DAYS(入力シート!$J$24,'従業員情報(給与以外)'!$C712)/365,入力リスト!$K$18:$L$26,2,2))</f>
        <v/>
      </c>
      <c r="R712" s="298" t="str">
        <f>IF(D712="","",VLOOKUP('従業員情報(給与以外)'!$D712,入力シート!$AW$37:$BB$38,4,0))</f>
        <v/>
      </c>
      <c r="S712" s="298" t="str">
        <f>IF(A712="","",IF(E712="","非役職",VLOOKUP('従業員情報(給与以外)'!$E712,入力シート!$AH$37:$AO$62,5,0)))</f>
        <v/>
      </c>
      <c r="T712" s="299" t="str">
        <f>IF(OR(入力シート!$C$5&lt;&gt;入力リスト!$C$3,COUNTIF(入力シート!$J$16:$S$23,入力リスト!$H$9)=0),"",IF($A712="","",IF(ISERROR(AVERAGEIF(従業員の給与情報!$B:$B,$A712,従業員の給与情報!$C:$C)),0,IF(ISERROR(AVERAGEIF(従業員の給与情報!$B:$B,$A712,従業員の給与情報!$C:$C)),0,AVERAGEIF(従業員の給与情報!$B:$B,$A712,従業員の給与情報!$C:$C)))))</f>
        <v/>
      </c>
      <c r="U712" s="299" t="str">
        <f>IF(OR(入力シート!$C$5&lt;&gt;入力リスト!$C$3,COUNTIF(入力シート!$J$16:$S$23,入力リスト!$H$9)=0),"",IF(A712="","",IF(ISERROR(AVERAGEIF(従業員の給与情報!$B:$B,$A712,従業員の給与情報!$D:$D)),0,IF(ISERROR(AVERAGEIF(従業員の給与情報!$B:$B,$A712,従業員の給与情報!$D:$D)),0,AVERAGEIF(従業員の給与情報!$B:$B,$A712,従業員の給与情報!$D:$D)))))</f>
        <v/>
      </c>
      <c r="V712" s="299" t="str">
        <f>IF(OR(入力シート!$C$5&lt;&gt;入力リスト!$C$3,COUNTIF(入力シート!$J$16:$S$23,入力リスト!$H$9)=0),"",IF(A712="","",IF(ISERROR(AVERAGEIF(従業員の給与情報!$B:$B,$A712,従業員の給与情報!$E:$E)),0,IF(ISERROR(AVERAGEIF(従業員の給与情報!$B:$B,$A712,従業員の給与情報!$E:$E)),0,AVERAGEIF(従業員の給与情報!$B:$B,$A712,従業員の給与情報!$E:$E)))))</f>
        <v/>
      </c>
      <c r="W712" s="299" t="str">
        <f>IF(OR(入力シート!$C$5&lt;&gt;入力リスト!$C$3,COUNTIF(入力シート!$J$16:$S$23,入力リスト!$H$9)=0),"",IF(A712="","",IF(ISERROR(AVERAGEIF(従業員の給与情報!$B:$B,$A712,従業員の給与情報!$F:$F)),0,IF(ISERROR(AVERAGEIF(従業員の給与情報!$B:$B,$A712,従業員の給与情報!$F:$F)),0,AVERAGEIF(従業員の給与情報!$B:$B,$A712,従業員の給与情報!$F:$F)))))</f>
        <v/>
      </c>
      <c r="X712" s="581" t="s">
        <v>5451</v>
      </c>
    </row>
    <row r="713" spans="6:24">
      <c r="F713" s="297" t="str">
        <f>IF($G$1,"",IF(COUNTIF(A713:E713,"")=5,"",IF(G713,入力リスト!$K$28,IF(OR(A713="",B713="",IF(COUNTIF($C$3,"*不要*"),"",C713=""),D713=""),IF(A713="","従業員番号","")&amp;IF(B713="","「雇用形態」","")&amp;IF(OR(入力シート!$J$18=入力リスト!$H$9,入力シート!$J$22=入力リスト!$H$9),IF(C713="","「入社年月日」",""),"")&amp;IF(D713="","「性別」","")&amp;IF(IF(A713="","従業員番号","")&amp;IF(B713="","「雇用形態」","")&amp;IF(OR(入力シート!$J$18=入力リスト!$H$9,入力シート!$J$22=入力リスト!$H$9),IF(C713="","「入社年月日」",""),"")&amp;IF(D713="","「性別」","")="","",入力リスト!$K$29),IF(J713,入力リスト!$K$30,"")&amp;IF(I713,入力リスト!$K$31,"")&amp;IF(H713,"「雇用形態」","")&amp;IF(K713,"「性別」","")&amp;IF(L713,"「役職」","")&amp;IF(OR(H713,K713,L713),入力リスト!$K$32,"")))))</f>
        <v/>
      </c>
      <c r="G713" s="298" t="b">
        <f>COUNTIF($A$4:A712,$A713)&gt;0</f>
        <v>0</v>
      </c>
      <c r="H713" s="298" t="b">
        <f>IF($H$1,FALSE,COUNTIF(入力シート!$S$37:$V$62,B713)=0)</f>
        <v>0</v>
      </c>
      <c r="I713" s="298" t="b">
        <f t="shared" si="23"/>
        <v>0</v>
      </c>
      <c r="J713" s="298" t="b">
        <f>IF($J$1,FALSE,IF(I713=TRUE,FALSE,IF(I713,FALSE,C713&gt;入力シート!$J$24)))</f>
        <v>0</v>
      </c>
      <c r="K713" s="298" t="b">
        <f>IF($K$1,FALSE,COUNTIF(入力シート!$AW$37:$BB$38,D713)=0)</f>
        <v>0</v>
      </c>
      <c r="L713" s="298" t="b">
        <f>IF($L$1,FALSE,IF($L$3,FALSE,IF(E713="",FALSE,COUNTIF(入力シート!$AH$37:$AK$62,E713)=0)))</f>
        <v>0</v>
      </c>
      <c r="M713" s="298" t="str">
        <f t="shared" si="24"/>
        <v/>
      </c>
      <c r="N713" s="298" t="str">
        <f>IF(G713,"この従業員番号は、すでに他のセルで入力されています。",IF(入力シート!$C$5=入力リスト!$C$4,"",IF(AND(A713="",B713="",C713="",D713="",E713=""),"",IF(OR(A713="",B713="",C713="",D713=""),IF(A713="","従業員番号","")&amp;IF(AND(A713="",OR(B713="",C713="",D713="")),",","")&amp;IF(B713="","雇用形態","")&amp;IF(AND(B713="",OR(C713="",D713="")),",","")&amp;IF(OR(入力シート!$J$18=入力リスト!$H$9,入力シート!$J$22=入力リスト!$H$9),IF(C713="","入社年月日",""),"")&amp;IF(AND(C713="",D713=""),",","")&amp;IF(D713="","性別","")&amp;IF(IF(A713="","従業員番号","")&amp;IF(B713="","雇用形態","")&amp;IF(OR(入力シート!$J$18=入力リスト!$H$9,入力シート!$J$22=入力リスト!$H$9),IF(C713="","入社年月日",""),"")&amp;IF(D713="","性別","")="","","が空白です。"),IF(J713,"入社年月日に「基準日」の翌日以降の日付が入力されています。","")&amp;IF(I713,"入社年月日に数値以外（又は1900/1/1以前の日付）が入力されています。","")&amp;IF(H713,"雇用形態"&amp;IF(OR(K713,L713),",",""),"")&amp;IF(K713,"性別"&amp;IF(L713,",",""),"")&amp;IF(L713,"役職","")&amp;IF(OR(H713,K713,L713),"に、［入力シート］(4)「貴社」欄と異なる文言が入力されています。","")))))</f>
        <v/>
      </c>
      <c r="O713" s="298" t="str">
        <f>IF(B713="","",VLOOKUP('従業員情報(給与以外)'!$B713,入力シート!$S$37:$Z$62,5,0))</f>
        <v/>
      </c>
      <c r="P713" s="298" t="str">
        <f>IF(ISNUMBER(C713)=FALSE,"",IF(C713&gt;入力シート!$J$24,"",_xlfn.DAYS(入力シート!$J$24,'従業員情報(給与以外)'!$C713)/365))</f>
        <v/>
      </c>
      <c r="Q713" s="298" t="str">
        <f>IF(P713="","",VLOOKUP(_xlfn.DAYS(入力シート!$J$24,'従業員情報(給与以外)'!$C713)/365,入力リスト!$K$18:$L$26,2,2))</f>
        <v/>
      </c>
      <c r="R713" s="298" t="str">
        <f>IF(D713="","",VLOOKUP('従業員情報(給与以外)'!$D713,入力シート!$AW$37:$BB$38,4,0))</f>
        <v/>
      </c>
      <c r="S713" s="298" t="str">
        <f>IF(A713="","",IF(E713="","非役職",VLOOKUP('従業員情報(給与以外)'!$E713,入力シート!$AH$37:$AO$62,5,0)))</f>
        <v/>
      </c>
      <c r="T713" s="299" t="str">
        <f>IF(OR(入力シート!$C$5&lt;&gt;入力リスト!$C$3,COUNTIF(入力シート!$J$16:$S$23,入力リスト!$H$9)=0),"",IF($A713="","",IF(ISERROR(AVERAGEIF(従業員の給与情報!$B:$B,$A713,従業員の給与情報!$C:$C)),0,IF(ISERROR(AVERAGEIF(従業員の給与情報!$B:$B,$A713,従業員の給与情報!$C:$C)),0,AVERAGEIF(従業員の給与情報!$B:$B,$A713,従業員の給与情報!$C:$C)))))</f>
        <v/>
      </c>
      <c r="U713" s="299" t="str">
        <f>IF(OR(入力シート!$C$5&lt;&gt;入力リスト!$C$3,COUNTIF(入力シート!$J$16:$S$23,入力リスト!$H$9)=0),"",IF(A713="","",IF(ISERROR(AVERAGEIF(従業員の給与情報!$B:$B,$A713,従業員の給与情報!$D:$D)),0,IF(ISERROR(AVERAGEIF(従業員の給与情報!$B:$B,$A713,従業員の給与情報!$D:$D)),0,AVERAGEIF(従業員の給与情報!$B:$B,$A713,従業員の給与情報!$D:$D)))))</f>
        <v/>
      </c>
      <c r="V713" s="299" t="str">
        <f>IF(OR(入力シート!$C$5&lt;&gt;入力リスト!$C$3,COUNTIF(入力シート!$J$16:$S$23,入力リスト!$H$9)=0),"",IF(A713="","",IF(ISERROR(AVERAGEIF(従業員の給与情報!$B:$B,$A713,従業員の給与情報!$E:$E)),0,IF(ISERROR(AVERAGEIF(従業員の給与情報!$B:$B,$A713,従業員の給与情報!$E:$E)),0,AVERAGEIF(従業員の給与情報!$B:$B,$A713,従業員の給与情報!$E:$E)))))</f>
        <v/>
      </c>
      <c r="W713" s="299" t="str">
        <f>IF(OR(入力シート!$C$5&lt;&gt;入力リスト!$C$3,COUNTIF(入力シート!$J$16:$S$23,入力リスト!$H$9)=0),"",IF(A713="","",IF(ISERROR(AVERAGEIF(従業員の給与情報!$B:$B,$A713,従業員の給与情報!$F:$F)),0,IF(ISERROR(AVERAGEIF(従業員の給与情報!$B:$B,$A713,従業員の給与情報!$F:$F)),0,AVERAGEIF(従業員の給与情報!$B:$B,$A713,従業員の給与情報!$F:$F)))))</f>
        <v/>
      </c>
      <c r="X713" s="581" t="s">
        <v>5452</v>
      </c>
    </row>
    <row r="714" spans="6:24">
      <c r="F714" s="297" t="str">
        <f>IF($G$1,"",IF(COUNTIF(A714:E714,"")=5,"",IF(G714,入力リスト!$K$28,IF(OR(A714="",B714="",IF(COUNTIF($C$3,"*不要*"),"",C714=""),D714=""),IF(A714="","従業員番号","")&amp;IF(B714="","「雇用形態」","")&amp;IF(OR(入力シート!$J$18=入力リスト!$H$9,入力シート!$J$22=入力リスト!$H$9),IF(C714="","「入社年月日」",""),"")&amp;IF(D714="","「性別」","")&amp;IF(IF(A714="","従業員番号","")&amp;IF(B714="","「雇用形態」","")&amp;IF(OR(入力シート!$J$18=入力リスト!$H$9,入力シート!$J$22=入力リスト!$H$9),IF(C714="","「入社年月日」",""),"")&amp;IF(D714="","「性別」","")="","",入力リスト!$K$29),IF(J714,入力リスト!$K$30,"")&amp;IF(I714,入力リスト!$K$31,"")&amp;IF(H714,"「雇用形態」","")&amp;IF(K714,"「性別」","")&amp;IF(L714,"「役職」","")&amp;IF(OR(H714,K714,L714),入力リスト!$K$32,"")))))</f>
        <v/>
      </c>
      <c r="G714" s="298" t="b">
        <f>COUNTIF($A$4:A713,$A714)&gt;0</f>
        <v>0</v>
      </c>
      <c r="H714" s="298" t="b">
        <f>IF($H$1,FALSE,COUNTIF(入力シート!$S$37:$V$62,B714)=0)</f>
        <v>0</v>
      </c>
      <c r="I714" s="298" t="b">
        <f t="shared" si="23"/>
        <v>0</v>
      </c>
      <c r="J714" s="298" t="b">
        <f>IF($J$1,FALSE,IF(I714=TRUE,FALSE,IF(I714,FALSE,C714&gt;入力シート!$J$24)))</f>
        <v>0</v>
      </c>
      <c r="K714" s="298" t="b">
        <f>IF($K$1,FALSE,COUNTIF(入力シート!$AW$37:$BB$38,D714)=0)</f>
        <v>0</v>
      </c>
      <c r="L714" s="298" t="b">
        <f>IF($L$1,FALSE,IF($L$3,FALSE,IF(E714="",FALSE,COUNTIF(入力シート!$AH$37:$AK$62,E714)=0)))</f>
        <v>0</v>
      </c>
      <c r="M714" s="298" t="str">
        <f t="shared" si="24"/>
        <v/>
      </c>
      <c r="N714" s="298" t="str">
        <f>IF(G714,"この従業員番号は、すでに他のセルで入力されています。",IF(入力シート!$C$5=入力リスト!$C$4,"",IF(AND(A714="",B714="",C714="",D714="",E714=""),"",IF(OR(A714="",B714="",C714="",D714=""),IF(A714="","従業員番号","")&amp;IF(AND(A714="",OR(B714="",C714="",D714="")),",","")&amp;IF(B714="","雇用形態","")&amp;IF(AND(B714="",OR(C714="",D714="")),",","")&amp;IF(OR(入力シート!$J$18=入力リスト!$H$9,入力シート!$J$22=入力リスト!$H$9),IF(C714="","入社年月日",""),"")&amp;IF(AND(C714="",D714=""),",","")&amp;IF(D714="","性別","")&amp;IF(IF(A714="","従業員番号","")&amp;IF(B714="","雇用形態","")&amp;IF(OR(入力シート!$J$18=入力リスト!$H$9,入力シート!$J$22=入力リスト!$H$9),IF(C714="","入社年月日",""),"")&amp;IF(D714="","性別","")="","","が空白です。"),IF(J714,"入社年月日に「基準日」の翌日以降の日付が入力されています。","")&amp;IF(I714,"入社年月日に数値以外（又は1900/1/1以前の日付）が入力されています。","")&amp;IF(H714,"雇用形態"&amp;IF(OR(K714,L714),",",""),"")&amp;IF(K714,"性別"&amp;IF(L714,",",""),"")&amp;IF(L714,"役職","")&amp;IF(OR(H714,K714,L714),"に、［入力シート］(4)「貴社」欄と異なる文言が入力されています。","")))))</f>
        <v/>
      </c>
      <c r="O714" s="298" t="str">
        <f>IF(B714="","",VLOOKUP('従業員情報(給与以外)'!$B714,入力シート!$S$37:$Z$62,5,0))</f>
        <v/>
      </c>
      <c r="P714" s="298" t="str">
        <f>IF(ISNUMBER(C714)=FALSE,"",IF(C714&gt;入力シート!$J$24,"",_xlfn.DAYS(入力シート!$J$24,'従業員情報(給与以外)'!$C714)/365))</f>
        <v/>
      </c>
      <c r="Q714" s="298" t="str">
        <f>IF(P714="","",VLOOKUP(_xlfn.DAYS(入力シート!$J$24,'従業員情報(給与以外)'!$C714)/365,入力リスト!$K$18:$L$26,2,2))</f>
        <v/>
      </c>
      <c r="R714" s="298" t="str">
        <f>IF(D714="","",VLOOKUP('従業員情報(給与以外)'!$D714,入力シート!$AW$37:$BB$38,4,0))</f>
        <v/>
      </c>
      <c r="S714" s="298" t="str">
        <f>IF(A714="","",IF(E714="","非役職",VLOOKUP('従業員情報(給与以外)'!$E714,入力シート!$AH$37:$AO$62,5,0)))</f>
        <v/>
      </c>
      <c r="T714" s="299" t="str">
        <f>IF(OR(入力シート!$C$5&lt;&gt;入力リスト!$C$3,COUNTIF(入力シート!$J$16:$S$23,入力リスト!$H$9)=0),"",IF($A714="","",IF(ISERROR(AVERAGEIF(従業員の給与情報!$B:$B,$A714,従業員の給与情報!$C:$C)),0,IF(ISERROR(AVERAGEIF(従業員の給与情報!$B:$B,$A714,従業員の給与情報!$C:$C)),0,AVERAGEIF(従業員の給与情報!$B:$B,$A714,従業員の給与情報!$C:$C)))))</f>
        <v/>
      </c>
      <c r="U714" s="299" t="str">
        <f>IF(OR(入力シート!$C$5&lt;&gt;入力リスト!$C$3,COUNTIF(入力シート!$J$16:$S$23,入力リスト!$H$9)=0),"",IF(A714="","",IF(ISERROR(AVERAGEIF(従業員の給与情報!$B:$B,$A714,従業員の給与情報!$D:$D)),0,IF(ISERROR(AVERAGEIF(従業員の給与情報!$B:$B,$A714,従業員の給与情報!$D:$D)),0,AVERAGEIF(従業員の給与情報!$B:$B,$A714,従業員の給与情報!$D:$D)))))</f>
        <v/>
      </c>
      <c r="V714" s="299" t="str">
        <f>IF(OR(入力シート!$C$5&lt;&gt;入力リスト!$C$3,COUNTIF(入力シート!$J$16:$S$23,入力リスト!$H$9)=0),"",IF(A714="","",IF(ISERROR(AVERAGEIF(従業員の給与情報!$B:$B,$A714,従業員の給与情報!$E:$E)),0,IF(ISERROR(AVERAGEIF(従業員の給与情報!$B:$B,$A714,従業員の給与情報!$E:$E)),0,AVERAGEIF(従業員の給与情報!$B:$B,$A714,従業員の給与情報!$E:$E)))))</f>
        <v/>
      </c>
      <c r="W714" s="299" t="str">
        <f>IF(OR(入力シート!$C$5&lt;&gt;入力リスト!$C$3,COUNTIF(入力シート!$J$16:$S$23,入力リスト!$H$9)=0),"",IF(A714="","",IF(ISERROR(AVERAGEIF(従業員の給与情報!$B:$B,$A714,従業員の給与情報!$F:$F)),0,IF(ISERROR(AVERAGEIF(従業員の給与情報!$B:$B,$A714,従業員の給与情報!$F:$F)),0,AVERAGEIF(従業員の給与情報!$B:$B,$A714,従業員の給与情報!$F:$F)))))</f>
        <v/>
      </c>
      <c r="X714" s="581" t="s">
        <v>5453</v>
      </c>
    </row>
    <row r="715" spans="6:24">
      <c r="F715" s="297" t="str">
        <f>IF($G$1,"",IF(COUNTIF(A715:E715,"")=5,"",IF(G715,入力リスト!$K$28,IF(OR(A715="",B715="",IF(COUNTIF($C$3,"*不要*"),"",C715=""),D715=""),IF(A715="","従業員番号","")&amp;IF(B715="","「雇用形態」","")&amp;IF(OR(入力シート!$J$18=入力リスト!$H$9,入力シート!$J$22=入力リスト!$H$9),IF(C715="","「入社年月日」",""),"")&amp;IF(D715="","「性別」","")&amp;IF(IF(A715="","従業員番号","")&amp;IF(B715="","「雇用形態」","")&amp;IF(OR(入力シート!$J$18=入力リスト!$H$9,入力シート!$J$22=入力リスト!$H$9),IF(C715="","「入社年月日」",""),"")&amp;IF(D715="","「性別」","")="","",入力リスト!$K$29),IF(J715,入力リスト!$K$30,"")&amp;IF(I715,入力リスト!$K$31,"")&amp;IF(H715,"「雇用形態」","")&amp;IF(K715,"「性別」","")&amp;IF(L715,"「役職」","")&amp;IF(OR(H715,K715,L715),入力リスト!$K$32,"")))))</f>
        <v/>
      </c>
      <c r="G715" s="298" t="b">
        <f>COUNTIF($A$4:A714,$A715)&gt;0</f>
        <v>0</v>
      </c>
      <c r="H715" s="298" t="b">
        <f>IF($H$1,FALSE,COUNTIF(入力シート!$S$37:$V$62,B715)=0)</f>
        <v>0</v>
      </c>
      <c r="I715" s="298" t="b">
        <f t="shared" si="23"/>
        <v>0</v>
      </c>
      <c r="J715" s="298" t="b">
        <f>IF($J$1,FALSE,IF(I715=TRUE,FALSE,IF(I715,FALSE,C715&gt;入力シート!$J$24)))</f>
        <v>0</v>
      </c>
      <c r="K715" s="298" t="b">
        <f>IF($K$1,FALSE,COUNTIF(入力シート!$AW$37:$BB$38,D715)=0)</f>
        <v>0</v>
      </c>
      <c r="L715" s="298" t="b">
        <f>IF($L$1,FALSE,IF($L$3,FALSE,IF(E715="",FALSE,COUNTIF(入力シート!$AH$37:$AK$62,E715)=0)))</f>
        <v>0</v>
      </c>
      <c r="M715" s="298" t="str">
        <f t="shared" si="24"/>
        <v/>
      </c>
      <c r="N715" s="298" t="str">
        <f>IF(G715,"この従業員番号は、すでに他のセルで入力されています。",IF(入力シート!$C$5=入力リスト!$C$4,"",IF(AND(A715="",B715="",C715="",D715="",E715=""),"",IF(OR(A715="",B715="",C715="",D715=""),IF(A715="","従業員番号","")&amp;IF(AND(A715="",OR(B715="",C715="",D715="")),",","")&amp;IF(B715="","雇用形態","")&amp;IF(AND(B715="",OR(C715="",D715="")),",","")&amp;IF(OR(入力シート!$J$18=入力リスト!$H$9,入力シート!$J$22=入力リスト!$H$9),IF(C715="","入社年月日",""),"")&amp;IF(AND(C715="",D715=""),",","")&amp;IF(D715="","性別","")&amp;IF(IF(A715="","従業員番号","")&amp;IF(B715="","雇用形態","")&amp;IF(OR(入力シート!$J$18=入力リスト!$H$9,入力シート!$J$22=入力リスト!$H$9),IF(C715="","入社年月日",""),"")&amp;IF(D715="","性別","")="","","が空白です。"),IF(J715,"入社年月日に「基準日」の翌日以降の日付が入力されています。","")&amp;IF(I715,"入社年月日に数値以外（又は1900/1/1以前の日付）が入力されています。","")&amp;IF(H715,"雇用形態"&amp;IF(OR(K715,L715),",",""),"")&amp;IF(K715,"性別"&amp;IF(L715,",",""),"")&amp;IF(L715,"役職","")&amp;IF(OR(H715,K715,L715),"に、［入力シート］(4)「貴社」欄と異なる文言が入力されています。","")))))</f>
        <v/>
      </c>
      <c r="O715" s="298" t="str">
        <f>IF(B715="","",VLOOKUP('従業員情報(給与以外)'!$B715,入力シート!$S$37:$Z$62,5,0))</f>
        <v/>
      </c>
      <c r="P715" s="298" t="str">
        <f>IF(ISNUMBER(C715)=FALSE,"",IF(C715&gt;入力シート!$J$24,"",_xlfn.DAYS(入力シート!$J$24,'従業員情報(給与以外)'!$C715)/365))</f>
        <v/>
      </c>
      <c r="Q715" s="298" t="str">
        <f>IF(P715="","",VLOOKUP(_xlfn.DAYS(入力シート!$J$24,'従業員情報(給与以外)'!$C715)/365,入力リスト!$K$18:$L$26,2,2))</f>
        <v/>
      </c>
      <c r="R715" s="298" t="str">
        <f>IF(D715="","",VLOOKUP('従業員情報(給与以外)'!$D715,入力シート!$AW$37:$BB$38,4,0))</f>
        <v/>
      </c>
      <c r="S715" s="298" t="str">
        <f>IF(A715="","",IF(E715="","非役職",VLOOKUP('従業員情報(給与以外)'!$E715,入力シート!$AH$37:$AO$62,5,0)))</f>
        <v/>
      </c>
      <c r="T715" s="299" t="str">
        <f>IF(OR(入力シート!$C$5&lt;&gt;入力リスト!$C$3,COUNTIF(入力シート!$J$16:$S$23,入力リスト!$H$9)=0),"",IF($A715="","",IF(ISERROR(AVERAGEIF(従業員の給与情報!$B:$B,$A715,従業員の給与情報!$C:$C)),0,IF(ISERROR(AVERAGEIF(従業員の給与情報!$B:$B,$A715,従業員の給与情報!$C:$C)),0,AVERAGEIF(従業員の給与情報!$B:$B,$A715,従業員の給与情報!$C:$C)))))</f>
        <v/>
      </c>
      <c r="U715" s="299" t="str">
        <f>IF(OR(入力シート!$C$5&lt;&gt;入力リスト!$C$3,COUNTIF(入力シート!$J$16:$S$23,入力リスト!$H$9)=0),"",IF(A715="","",IF(ISERROR(AVERAGEIF(従業員の給与情報!$B:$B,$A715,従業員の給与情報!$D:$D)),0,IF(ISERROR(AVERAGEIF(従業員の給与情報!$B:$B,$A715,従業員の給与情報!$D:$D)),0,AVERAGEIF(従業員の給与情報!$B:$B,$A715,従業員の給与情報!$D:$D)))))</f>
        <v/>
      </c>
      <c r="V715" s="299" t="str">
        <f>IF(OR(入力シート!$C$5&lt;&gt;入力リスト!$C$3,COUNTIF(入力シート!$J$16:$S$23,入力リスト!$H$9)=0),"",IF(A715="","",IF(ISERROR(AVERAGEIF(従業員の給与情報!$B:$B,$A715,従業員の給与情報!$E:$E)),0,IF(ISERROR(AVERAGEIF(従業員の給与情報!$B:$B,$A715,従業員の給与情報!$E:$E)),0,AVERAGEIF(従業員の給与情報!$B:$B,$A715,従業員の給与情報!$E:$E)))))</f>
        <v/>
      </c>
      <c r="W715" s="299" t="str">
        <f>IF(OR(入力シート!$C$5&lt;&gt;入力リスト!$C$3,COUNTIF(入力シート!$J$16:$S$23,入力リスト!$H$9)=0),"",IF(A715="","",IF(ISERROR(AVERAGEIF(従業員の給与情報!$B:$B,$A715,従業員の給与情報!$F:$F)),0,IF(ISERROR(AVERAGEIF(従業員の給与情報!$B:$B,$A715,従業員の給与情報!$F:$F)),0,AVERAGEIF(従業員の給与情報!$B:$B,$A715,従業員の給与情報!$F:$F)))))</f>
        <v/>
      </c>
      <c r="X715" s="581" t="s">
        <v>5454</v>
      </c>
    </row>
    <row r="716" spans="6:24">
      <c r="F716" s="297" t="str">
        <f>IF($G$1,"",IF(COUNTIF(A716:E716,"")=5,"",IF(G716,入力リスト!$K$28,IF(OR(A716="",B716="",IF(COUNTIF($C$3,"*不要*"),"",C716=""),D716=""),IF(A716="","従業員番号","")&amp;IF(B716="","「雇用形態」","")&amp;IF(OR(入力シート!$J$18=入力リスト!$H$9,入力シート!$J$22=入力リスト!$H$9),IF(C716="","「入社年月日」",""),"")&amp;IF(D716="","「性別」","")&amp;IF(IF(A716="","従業員番号","")&amp;IF(B716="","「雇用形態」","")&amp;IF(OR(入力シート!$J$18=入力リスト!$H$9,入力シート!$J$22=入力リスト!$H$9),IF(C716="","「入社年月日」",""),"")&amp;IF(D716="","「性別」","")="","",入力リスト!$K$29),IF(J716,入力リスト!$K$30,"")&amp;IF(I716,入力リスト!$K$31,"")&amp;IF(H716,"「雇用形態」","")&amp;IF(K716,"「性別」","")&amp;IF(L716,"「役職」","")&amp;IF(OR(H716,K716,L716),入力リスト!$K$32,"")))))</f>
        <v/>
      </c>
      <c r="G716" s="298" t="b">
        <f>COUNTIF($A$4:A715,$A716)&gt;0</f>
        <v>0</v>
      </c>
      <c r="H716" s="298" t="b">
        <f>IF($H$1,FALSE,COUNTIF(入力シート!$S$37:$V$62,B716)=0)</f>
        <v>0</v>
      </c>
      <c r="I716" s="298" t="b">
        <f t="shared" si="23"/>
        <v>0</v>
      </c>
      <c r="J716" s="298" t="b">
        <f>IF($J$1,FALSE,IF(I716=TRUE,FALSE,IF(I716,FALSE,C716&gt;入力シート!$J$24)))</f>
        <v>0</v>
      </c>
      <c r="K716" s="298" t="b">
        <f>IF($K$1,FALSE,COUNTIF(入力シート!$AW$37:$BB$38,D716)=0)</f>
        <v>0</v>
      </c>
      <c r="L716" s="298" t="b">
        <f>IF($L$1,FALSE,IF($L$3,FALSE,IF(E716="",FALSE,COUNTIF(入力シート!$AH$37:$AK$62,E716)=0)))</f>
        <v>0</v>
      </c>
      <c r="M716" s="298" t="str">
        <f t="shared" si="24"/>
        <v/>
      </c>
      <c r="N716" s="298" t="str">
        <f>IF(G716,"この従業員番号は、すでに他のセルで入力されています。",IF(入力シート!$C$5=入力リスト!$C$4,"",IF(AND(A716="",B716="",C716="",D716="",E716=""),"",IF(OR(A716="",B716="",C716="",D716=""),IF(A716="","従業員番号","")&amp;IF(AND(A716="",OR(B716="",C716="",D716="")),",","")&amp;IF(B716="","雇用形態","")&amp;IF(AND(B716="",OR(C716="",D716="")),",","")&amp;IF(OR(入力シート!$J$18=入力リスト!$H$9,入力シート!$J$22=入力リスト!$H$9),IF(C716="","入社年月日",""),"")&amp;IF(AND(C716="",D716=""),",","")&amp;IF(D716="","性別","")&amp;IF(IF(A716="","従業員番号","")&amp;IF(B716="","雇用形態","")&amp;IF(OR(入力シート!$J$18=入力リスト!$H$9,入力シート!$J$22=入力リスト!$H$9),IF(C716="","入社年月日",""),"")&amp;IF(D716="","性別","")="","","が空白です。"),IF(J716,"入社年月日に「基準日」の翌日以降の日付が入力されています。","")&amp;IF(I716,"入社年月日に数値以外（又は1900/1/1以前の日付）が入力されています。","")&amp;IF(H716,"雇用形態"&amp;IF(OR(K716,L716),",",""),"")&amp;IF(K716,"性別"&amp;IF(L716,",",""),"")&amp;IF(L716,"役職","")&amp;IF(OR(H716,K716,L716),"に、［入力シート］(4)「貴社」欄と異なる文言が入力されています。","")))))</f>
        <v/>
      </c>
      <c r="O716" s="298" t="str">
        <f>IF(B716="","",VLOOKUP('従業員情報(給与以外)'!$B716,入力シート!$S$37:$Z$62,5,0))</f>
        <v/>
      </c>
      <c r="P716" s="298" t="str">
        <f>IF(ISNUMBER(C716)=FALSE,"",IF(C716&gt;入力シート!$J$24,"",_xlfn.DAYS(入力シート!$J$24,'従業員情報(給与以外)'!$C716)/365))</f>
        <v/>
      </c>
      <c r="Q716" s="298" t="str">
        <f>IF(P716="","",VLOOKUP(_xlfn.DAYS(入力シート!$J$24,'従業員情報(給与以外)'!$C716)/365,入力リスト!$K$18:$L$26,2,2))</f>
        <v/>
      </c>
      <c r="R716" s="298" t="str">
        <f>IF(D716="","",VLOOKUP('従業員情報(給与以外)'!$D716,入力シート!$AW$37:$BB$38,4,0))</f>
        <v/>
      </c>
      <c r="S716" s="298" t="str">
        <f>IF(A716="","",IF(E716="","非役職",VLOOKUP('従業員情報(給与以外)'!$E716,入力シート!$AH$37:$AO$62,5,0)))</f>
        <v/>
      </c>
      <c r="T716" s="299" t="str">
        <f>IF(OR(入力シート!$C$5&lt;&gt;入力リスト!$C$3,COUNTIF(入力シート!$J$16:$S$23,入力リスト!$H$9)=0),"",IF($A716="","",IF(ISERROR(AVERAGEIF(従業員の給与情報!$B:$B,$A716,従業員の給与情報!$C:$C)),0,IF(ISERROR(AVERAGEIF(従業員の給与情報!$B:$B,$A716,従業員の給与情報!$C:$C)),0,AVERAGEIF(従業員の給与情報!$B:$B,$A716,従業員の給与情報!$C:$C)))))</f>
        <v/>
      </c>
      <c r="U716" s="299" t="str">
        <f>IF(OR(入力シート!$C$5&lt;&gt;入力リスト!$C$3,COUNTIF(入力シート!$J$16:$S$23,入力リスト!$H$9)=0),"",IF(A716="","",IF(ISERROR(AVERAGEIF(従業員の給与情報!$B:$B,$A716,従業員の給与情報!$D:$D)),0,IF(ISERROR(AVERAGEIF(従業員の給与情報!$B:$B,$A716,従業員の給与情報!$D:$D)),0,AVERAGEIF(従業員の給与情報!$B:$B,$A716,従業員の給与情報!$D:$D)))))</f>
        <v/>
      </c>
      <c r="V716" s="299" t="str">
        <f>IF(OR(入力シート!$C$5&lt;&gt;入力リスト!$C$3,COUNTIF(入力シート!$J$16:$S$23,入力リスト!$H$9)=0),"",IF(A716="","",IF(ISERROR(AVERAGEIF(従業員の給与情報!$B:$B,$A716,従業員の給与情報!$E:$E)),0,IF(ISERROR(AVERAGEIF(従業員の給与情報!$B:$B,$A716,従業員の給与情報!$E:$E)),0,AVERAGEIF(従業員の給与情報!$B:$B,$A716,従業員の給与情報!$E:$E)))))</f>
        <v/>
      </c>
      <c r="W716" s="299" t="str">
        <f>IF(OR(入力シート!$C$5&lt;&gt;入力リスト!$C$3,COUNTIF(入力シート!$J$16:$S$23,入力リスト!$H$9)=0),"",IF(A716="","",IF(ISERROR(AVERAGEIF(従業員の給与情報!$B:$B,$A716,従業員の給与情報!$F:$F)),0,IF(ISERROR(AVERAGEIF(従業員の給与情報!$B:$B,$A716,従業員の給与情報!$F:$F)),0,AVERAGEIF(従業員の給与情報!$B:$B,$A716,従業員の給与情報!$F:$F)))))</f>
        <v/>
      </c>
      <c r="X716" s="581" t="s">
        <v>5455</v>
      </c>
    </row>
    <row r="717" spans="6:24">
      <c r="F717" s="297" t="str">
        <f>IF($G$1,"",IF(COUNTIF(A717:E717,"")=5,"",IF(G717,入力リスト!$K$28,IF(OR(A717="",B717="",IF(COUNTIF($C$3,"*不要*"),"",C717=""),D717=""),IF(A717="","従業員番号","")&amp;IF(B717="","「雇用形態」","")&amp;IF(OR(入力シート!$J$18=入力リスト!$H$9,入力シート!$J$22=入力リスト!$H$9),IF(C717="","「入社年月日」",""),"")&amp;IF(D717="","「性別」","")&amp;IF(IF(A717="","従業員番号","")&amp;IF(B717="","「雇用形態」","")&amp;IF(OR(入力シート!$J$18=入力リスト!$H$9,入力シート!$J$22=入力リスト!$H$9),IF(C717="","「入社年月日」",""),"")&amp;IF(D717="","「性別」","")="","",入力リスト!$K$29),IF(J717,入力リスト!$K$30,"")&amp;IF(I717,入力リスト!$K$31,"")&amp;IF(H717,"「雇用形態」","")&amp;IF(K717,"「性別」","")&amp;IF(L717,"「役職」","")&amp;IF(OR(H717,K717,L717),入力リスト!$K$32,"")))))</f>
        <v/>
      </c>
      <c r="G717" s="298" t="b">
        <f>COUNTIF($A$4:A716,$A717)&gt;0</f>
        <v>0</v>
      </c>
      <c r="H717" s="298" t="b">
        <f>IF($H$1,FALSE,COUNTIF(入力シート!$S$37:$V$62,B717)=0)</f>
        <v>0</v>
      </c>
      <c r="I717" s="298" t="b">
        <f t="shared" si="23"/>
        <v>0</v>
      </c>
      <c r="J717" s="298" t="b">
        <f>IF($J$1,FALSE,IF(I717=TRUE,FALSE,IF(I717,FALSE,C717&gt;入力シート!$J$24)))</f>
        <v>0</v>
      </c>
      <c r="K717" s="298" t="b">
        <f>IF($K$1,FALSE,COUNTIF(入力シート!$AW$37:$BB$38,D717)=0)</f>
        <v>0</v>
      </c>
      <c r="L717" s="298" t="b">
        <f>IF($L$1,FALSE,IF($L$3,FALSE,IF(E717="",FALSE,COUNTIF(入力シート!$AH$37:$AK$62,E717)=0)))</f>
        <v>0</v>
      </c>
      <c r="M717" s="298" t="str">
        <f t="shared" si="24"/>
        <v/>
      </c>
      <c r="N717" s="298" t="str">
        <f>IF(G717,"この従業員番号は、すでに他のセルで入力されています。",IF(入力シート!$C$5=入力リスト!$C$4,"",IF(AND(A717="",B717="",C717="",D717="",E717=""),"",IF(OR(A717="",B717="",C717="",D717=""),IF(A717="","従業員番号","")&amp;IF(AND(A717="",OR(B717="",C717="",D717="")),",","")&amp;IF(B717="","雇用形態","")&amp;IF(AND(B717="",OR(C717="",D717="")),",","")&amp;IF(OR(入力シート!$J$18=入力リスト!$H$9,入力シート!$J$22=入力リスト!$H$9),IF(C717="","入社年月日",""),"")&amp;IF(AND(C717="",D717=""),",","")&amp;IF(D717="","性別","")&amp;IF(IF(A717="","従業員番号","")&amp;IF(B717="","雇用形態","")&amp;IF(OR(入力シート!$J$18=入力リスト!$H$9,入力シート!$J$22=入力リスト!$H$9),IF(C717="","入社年月日",""),"")&amp;IF(D717="","性別","")="","","が空白です。"),IF(J717,"入社年月日に「基準日」の翌日以降の日付が入力されています。","")&amp;IF(I717,"入社年月日に数値以外（又は1900/1/1以前の日付）が入力されています。","")&amp;IF(H717,"雇用形態"&amp;IF(OR(K717,L717),",",""),"")&amp;IF(K717,"性別"&amp;IF(L717,",",""),"")&amp;IF(L717,"役職","")&amp;IF(OR(H717,K717,L717),"に、［入力シート］(4)「貴社」欄と異なる文言が入力されています。","")))))</f>
        <v/>
      </c>
      <c r="O717" s="298" t="str">
        <f>IF(B717="","",VLOOKUP('従業員情報(給与以外)'!$B717,入力シート!$S$37:$Z$62,5,0))</f>
        <v/>
      </c>
      <c r="P717" s="298" t="str">
        <f>IF(ISNUMBER(C717)=FALSE,"",IF(C717&gt;入力シート!$J$24,"",_xlfn.DAYS(入力シート!$J$24,'従業員情報(給与以外)'!$C717)/365))</f>
        <v/>
      </c>
      <c r="Q717" s="298" t="str">
        <f>IF(P717="","",VLOOKUP(_xlfn.DAYS(入力シート!$J$24,'従業員情報(給与以外)'!$C717)/365,入力リスト!$K$18:$L$26,2,2))</f>
        <v/>
      </c>
      <c r="R717" s="298" t="str">
        <f>IF(D717="","",VLOOKUP('従業員情報(給与以外)'!$D717,入力シート!$AW$37:$BB$38,4,0))</f>
        <v/>
      </c>
      <c r="S717" s="298" t="str">
        <f>IF(A717="","",IF(E717="","非役職",VLOOKUP('従業員情報(給与以外)'!$E717,入力シート!$AH$37:$AO$62,5,0)))</f>
        <v/>
      </c>
      <c r="T717" s="299" t="str">
        <f>IF(OR(入力シート!$C$5&lt;&gt;入力リスト!$C$3,COUNTIF(入力シート!$J$16:$S$23,入力リスト!$H$9)=0),"",IF($A717="","",IF(ISERROR(AVERAGEIF(従業員の給与情報!$B:$B,$A717,従業員の給与情報!$C:$C)),0,IF(ISERROR(AVERAGEIF(従業員の給与情報!$B:$B,$A717,従業員の給与情報!$C:$C)),0,AVERAGEIF(従業員の給与情報!$B:$B,$A717,従業員の給与情報!$C:$C)))))</f>
        <v/>
      </c>
      <c r="U717" s="299" t="str">
        <f>IF(OR(入力シート!$C$5&lt;&gt;入力リスト!$C$3,COUNTIF(入力シート!$J$16:$S$23,入力リスト!$H$9)=0),"",IF(A717="","",IF(ISERROR(AVERAGEIF(従業員の給与情報!$B:$B,$A717,従業員の給与情報!$D:$D)),0,IF(ISERROR(AVERAGEIF(従業員の給与情報!$B:$B,$A717,従業員の給与情報!$D:$D)),0,AVERAGEIF(従業員の給与情報!$B:$B,$A717,従業員の給与情報!$D:$D)))))</f>
        <v/>
      </c>
      <c r="V717" s="299" t="str">
        <f>IF(OR(入力シート!$C$5&lt;&gt;入力リスト!$C$3,COUNTIF(入力シート!$J$16:$S$23,入力リスト!$H$9)=0),"",IF(A717="","",IF(ISERROR(AVERAGEIF(従業員の給与情報!$B:$B,$A717,従業員の給与情報!$E:$E)),0,IF(ISERROR(AVERAGEIF(従業員の給与情報!$B:$B,$A717,従業員の給与情報!$E:$E)),0,AVERAGEIF(従業員の給与情報!$B:$B,$A717,従業員の給与情報!$E:$E)))))</f>
        <v/>
      </c>
      <c r="W717" s="299" t="str">
        <f>IF(OR(入力シート!$C$5&lt;&gt;入力リスト!$C$3,COUNTIF(入力シート!$J$16:$S$23,入力リスト!$H$9)=0),"",IF(A717="","",IF(ISERROR(AVERAGEIF(従業員の給与情報!$B:$B,$A717,従業員の給与情報!$F:$F)),0,IF(ISERROR(AVERAGEIF(従業員の給与情報!$B:$B,$A717,従業員の給与情報!$F:$F)),0,AVERAGEIF(従業員の給与情報!$B:$B,$A717,従業員の給与情報!$F:$F)))))</f>
        <v/>
      </c>
      <c r="X717" s="581" t="s">
        <v>5456</v>
      </c>
    </row>
    <row r="718" spans="6:24">
      <c r="F718" s="297" t="str">
        <f>IF($G$1,"",IF(COUNTIF(A718:E718,"")=5,"",IF(G718,入力リスト!$K$28,IF(OR(A718="",B718="",IF(COUNTIF($C$3,"*不要*"),"",C718=""),D718=""),IF(A718="","従業員番号","")&amp;IF(B718="","「雇用形態」","")&amp;IF(OR(入力シート!$J$18=入力リスト!$H$9,入力シート!$J$22=入力リスト!$H$9),IF(C718="","「入社年月日」",""),"")&amp;IF(D718="","「性別」","")&amp;IF(IF(A718="","従業員番号","")&amp;IF(B718="","「雇用形態」","")&amp;IF(OR(入力シート!$J$18=入力リスト!$H$9,入力シート!$J$22=入力リスト!$H$9),IF(C718="","「入社年月日」",""),"")&amp;IF(D718="","「性別」","")="","",入力リスト!$K$29),IF(J718,入力リスト!$K$30,"")&amp;IF(I718,入力リスト!$K$31,"")&amp;IF(H718,"「雇用形態」","")&amp;IF(K718,"「性別」","")&amp;IF(L718,"「役職」","")&amp;IF(OR(H718,K718,L718),入力リスト!$K$32,"")))))</f>
        <v/>
      </c>
      <c r="G718" s="298" t="b">
        <f>COUNTIF($A$4:A717,$A718)&gt;0</f>
        <v>0</v>
      </c>
      <c r="H718" s="298" t="b">
        <f>IF($H$1,FALSE,COUNTIF(入力シート!$S$37:$V$62,B718)=0)</f>
        <v>0</v>
      </c>
      <c r="I718" s="298" t="b">
        <f t="shared" si="23"/>
        <v>0</v>
      </c>
      <c r="J718" s="298" t="b">
        <f>IF($J$1,FALSE,IF(I718=TRUE,FALSE,IF(I718,FALSE,C718&gt;入力シート!$J$24)))</f>
        <v>0</v>
      </c>
      <c r="K718" s="298" t="b">
        <f>IF($K$1,FALSE,COUNTIF(入力シート!$AW$37:$BB$38,D718)=0)</f>
        <v>0</v>
      </c>
      <c r="L718" s="298" t="b">
        <f>IF($L$1,FALSE,IF($L$3,FALSE,IF(E718="",FALSE,COUNTIF(入力シート!$AH$37:$AK$62,E718)=0)))</f>
        <v>0</v>
      </c>
      <c r="M718" s="298" t="str">
        <f t="shared" si="24"/>
        <v/>
      </c>
      <c r="N718" s="298" t="str">
        <f>IF(G718,"この従業員番号は、すでに他のセルで入力されています。",IF(入力シート!$C$5=入力リスト!$C$4,"",IF(AND(A718="",B718="",C718="",D718="",E718=""),"",IF(OR(A718="",B718="",C718="",D718=""),IF(A718="","従業員番号","")&amp;IF(AND(A718="",OR(B718="",C718="",D718="")),",","")&amp;IF(B718="","雇用形態","")&amp;IF(AND(B718="",OR(C718="",D718="")),",","")&amp;IF(OR(入力シート!$J$18=入力リスト!$H$9,入力シート!$J$22=入力リスト!$H$9),IF(C718="","入社年月日",""),"")&amp;IF(AND(C718="",D718=""),",","")&amp;IF(D718="","性別","")&amp;IF(IF(A718="","従業員番号","")&amp;IF(B718="","雇用形態","")&amp;IF(OR(入力シート!$J$18=入力リスト!$H$9,入力シート!$J$22=入力リスト!$H$9),IF(C718="","入社年月日",""),"")&amp;IF(D718="","性別","")="","","が空白です。"),IF(J718,"入社年月日に「基準日」の翌日以降の日付が入力されています。","")&amp;IF(I718,"入社年月日に数値以外（又は1900/1/1以前の日付）が入力されています。","")&amp;IF(H718,"雇用形態"&amp;IF(OR(K718,L718),",",""),"")&amp;IF(K718,"性別"&amp;IF(L718,",",""),"")&amp;IF(L718,"役職","")&amp;IF(OR(H718,K718,L718),"に、［入力シート］(4)「貴社」欄と異なる文言が入力されています。","")))))</f>
        <v/>
      </c>
      <c r="O718" s="298" t="str">
        <f>IF(B718="","",VLOOKUP('従業員情報(給与以外)'!$B718,入力シート!$S$37:$Z$62,5,0))</f>
        <v/>
      </c>
      <c r="P718" s="298" t="str">
        <f>IF(ISNUMBER(C718)=FALSE,"",IF(C718&gt;入力シート!$J$24,"",_xlfn.DAYS(入力シート!$J$24,'従業員情報(給与以外)'!$C718)/365))</f>
        <v/>
      </c>
      <c r="Q718" s="298" t="str">
        <f>IF(P718="","",VLOOKUP(_xlfn.DAYS(入力シート!$J$24,'従業員情報(給与以外)'!$C718)/365,入力リスト!$K$18:$L$26,2,2))</f>
        <v/>
      </c>
      <c r="R718" s="298" t="str">
        <f>IF(D718="","",VLOOKUP('従業員情報(給与以外)'!$D718,入力シート!$AW$37:$BB$38,4,0))</f>
        <v/>
      </c>
      <c r="S718" s="298" t="str">
        <f>IF(A718="","",IF(E718="","非役職",VLOOKUP('従業員情報(給与以外)'!$E718,入力シート!$AH$37:$AO$62,5,0)))</f>
        <v/>
      </c>
      <c r="T718" s="299" t="str">
        <f>IF(OR(入力シート!$C$5&lt;&gt;入力リスト!$C$3,COUNTIF(入力シート!$J$16:$S$23,入力リスト!$H$9)=0),"",IF($A718="","",IF(ISERROR(AVERAGEIF(従業員の給与情報!$B:$B,$A718,従業員の給与情報!$C:$C)),0,IF(ISERROR(AVERAGEIF(従業員の給与情報!$B:$B,$A718,従業員の給与情報!$C:$C)),0,AVERAGEIF(従業員の給与情報!$B:$B,$A718,従業員の給与情報!$C:$C)))))</f>
        <v/>
      </c>
      <c r="U718" s="299" t="str">
        <f>IF(OR(入力シート!$C$5&lt;&gt;入力リスト!$C$3,COUNTIF(入力シート!$J$16:$S$23,入力リスト!$H$9)=0),"",IF(A718="","",IF(ISERROR(AVERAGEIF(従業員の給与情報!$B:$B,$A718,従業員の給与情報!$D:$D)),0,IF(ISERROR(AVERAGEIF(従業員の給与情報!$B:$B,$A718,従業員の給与情報!$D:$D)),0,AVERAGEIF(従業員の給与情報!$B:$B,$A718,従業員の給与情報!$D:$D)))))</f>
        <v/>
      </c>
      <c r="V718" s="299" t="str">
        <f>IF(OR(入力シート!$C$5&lt;&gt;入力リスト!$C$3,COUNTIF(入力シート!$J$16:$S$23,入力リスト!$H$9)=0),"",IF(A718="","",IF(ISERROR(AVERAGEIF(従業員の給与情報!$B:$B,$A718,従業員の給与情報!$E:$E)),0,IF(ISERROR(AVERAGEIF(従業員の給与情報!$B:$B,$A718,従業員の給与情報!$E:$E)),0,AVERAGEIF(従業員の給与情報!$B:$B,$A718,従業員の給与情報!$E:$E)))))</f>
        <v/>
      </c>
      <c r="W718" s="299" t="str">
        <f>IF(OR(入力シート!$C$5&lt;&gt;入力リスト!$C$3,COUNTIF(入力シート!$J$16:$S$23,入力リスト!$H$9)=0),"",IF(A718="","",IF(ISERROR(AVERAGEIF(従業員の給与情報!$B:$B,$A718,従業員の給与情報!$F:$F)),0,IF(ISERROR(AVERAGEIF(従業員の給与情報!$B:$B,$A718,従業員の給与情報!$F:$F)),0,AVERAGEIF(従業員の給与情報!$B:$B,$A718,従業員の給与情報!$F:$F)))))</f>
        <v/>
      </c>
      <c r="X718" s="581" t="s">
        <v>5457</v>
      </c>
    </row>
    <row r="719" spans="6:24">
      <c r="F719" s="297" t="str">
        <f>IF($G$1,"",IF(COUNTIF(A719:E719,"")=5,"",IF(G719,入力リスト!$K$28,IF(OR(A719="",B719="",IF(COUNTIF($C$3,"*不要*"),"",C719=""),D719=""),IF(A719="","従業員番号","")&amp;IF(B719="","「雇用形態」","")&amp;IF(OR(入力シート!$J$18=入力リスト!$H$9,入力シート!$J$22=入力リスト!$H$9),IF(C719="","「入社年月日」",""),"")&amp;IF(D719="","「性別」","")&amp;IF(IF(A719="","従業員番号","")&amp;IF(B719="","「雇用形態」","")&amp;IF(OR(入力シート!$J$18=入力リスト!$H$9,入力シート!$J$22=入力リスト!$H$9),IF(C719="","「入社年月日」",""),"")&amp;IF(D719="","「性別」","")="","",入力リスト!$K$29),IF(J719,入力リスト!$K$30,"")&amp;IF(I719,入力リスト!$K$31,"")&amp;IF(H719,"「雇用形態」","")&amp;IF(K719,"「性別」","")&amp;IF(L719,"「役職」","")&amp;IF(OR(H719,K719,L719),入力リスト!$K$32,"")))))</f>
        <v/>
      </c>
      <c r="G719" s="298" t="b">
        <f>COUNTIF($A$4:A718,$A719)&gt;0</f>
        <v>0</v>
      </c>
      <c r="H719" s="298" t="b">
        <f>IF($H$1,FALSE,COUNTIF(入力シート!$S$37:$V$62,B719)=0)</f>
        <v>0</v>
      </c>
      <c r="I719" s="298" t="b">
        <f t="shared" si="23"/>
        <v>0</v>
      </c>
      <c r="J719" s="298" t="b">
        <f>IF($J$1,FALSE,IF(I719=TRUE,FALSE,IF(I719,FALSE,C719&gt;入力シート!$J$24)))</f>
        <v>0</v>
      </c>
      <c r="K719" s="298" t="b">
        <f>IF($K$1,FALSE,COUNTIF(入力シート!$AW$37:$BB$38,D719)=0)</f>
        <v>0</v>
      </c>
      <c r="L719" s="298" t="b">
        <f>IF($L$1,FALSE,IF($L$3,FALSE,IF(E719="",FALSE,COUNTIF(入力シート!$AH$37:$AK$62,E719)=0)))</f>
        <v>0</v>
      </c>
      <c r="M719" s="298" t="str">
        <f t="shared" si="24"/>
        <v/>
      </c>
      <c r="N719" s="298" t="str">
        <f>IF(G719,"この従業員番号は、すでに他のセルで入力されています。",IF(入力シート!$C$5=入力リスト!$C$4,"",IF(AND(A719="",B719="",C719="",D719="",E719=""),"",IF(OR(A719="",B719="",C719="",D719=""),IF(A719="","従業員番号","")&amp;IF(AND(A719="",OR(B719="",C719="",D719="")),",","")&amp;IF(B719="","雇用形態","")&amp;IF(AND(B719="",OR(C719="",D719="")),",","")&amp;IF(OR(入力シート!$J$18=入力リスト!$H$9,入力シート!$J$22=入力リスト!$H$9),IF(C719="","入社年月日",""),"")&amp;IF(AND(C719="",D719=""),",","")&amp;IF(D719="","性別","")&amp;IF(IF(A719="","従業員番号","")&amp;IF(B719="","雇用形態","")&amp;IF(OR(入力シート!$J$18=入力リスト!$H$9,入力シート!$J$22=入力リスト!$H$9),IF(C719="","入社年月日",""),"")&amp;IF(D719="","性別","")="","","が空白です。"),IF(J719,"入社年月日に「基準日」の翌日以降の日付が入力されています。","")&amp;IF(I719,"入社年月日に数値以外（又は1900/1/1以前の日付）が入力されています。","")&amp;IF(H719,"雇用形態"&amp;IF(OR(K719,L719),",",""),"")&amp;IF(K719,"性別"&amp;IF(L719,",",""),"")&amp;IF(L719,"役職","")&amp;IF(OR(H719,K719,L719),"に、［入力シート］(4)「貴社」欄と異なる文言が入力されています。","")))))</f>
        <v/>
      </c>
      <c r="O719" s="298" t="str">
        <f>IF(B719="","",VLOOKUP('従業員情報(給与以外)'!$B719,入力シート!$S$37:$Z$62,5,0))</f>
        <v/>
      </c>
      <c r="P719" s="298" t="str">
        <f>IF(ISNUMBER(C719)=FALSE,"",IF(C719&gt;入力シート!$J$24,"",_xlfn.DAYS(入力シート!$J$24,'従業員情報(給与以外)'!$C719)/365))</f>
        <v/>
      </c>
      <c r="Q719" s="298" t="str">
        <f>IF(P719="","",VLOOKUP(_xlfn.DAYS(入力シート!$J$24,'従業員情報(給与以外)'!$C719)/365,入力リスト!$K$18:$L$26,2,2))</f>
        <v/>
      </c>
      <c r="R719" s="298" t="str">
        <f>IF(D719="","",VLOOKUP('従業員情報(給与以外)'!$D719,入力シート!$AW$37:$BB$38,4,0))</f>
        <v/>
      </c>
      <c r="S719" s="298" t="str">
        <f>IF(A719="","",IF(E719="","非役職",VLOOKUP('従業員情報(給与以外)'!$E719,入力シート!$AH$37:$AO$62,5,0)))</f>
        <v/>
      </c>
      <c r="T719" s="299" t="str">
        <f>IF(OR(入力シート!$C$5&lt;&gt;入力リスト!$C$3,COUNTIF(入力シート!$J$16:$S$23,入力リスト!$H$9)=0),"",IF($A719="","",IF(ISERROR(AVERAGEIF(従業員の給与情報!$B:$B,$A719,従業員の給与情報!$C:$C)),0,IF(ISERROR(AVERAGEIF(従業員の給与情報!$B:$B,$A719,従業員の給与情報!$C:$C)),0,AVERAGEIF(従業員の給与情報!$B:$B,$A719,従業員の給与情報!$C:$C)))))</f>
        <v/>
      </c>
      <c r="U719" s="299" t="str">
        <f>IF(OR(入力シート!$C$5&lt;&gt;入力リスト!$C$3,COUNTIF(入力シート!$J$16:$S$23,入力リスト!$H$9)=0),"",IF(A719="","",IF(ISERROR(AVERAGEIF(従業員の給与情報!$B:$B,$A719,従業員の給与情報!$D:$D)),0,IF(ISERROR(AVERAGEIF(従業員の給与情報!$B:$B,$A719,従業員の給与情報!$D:$D)),0,AVERAGEIF(従業員の給与情報!$B:$B,$A719,従業員の給与情報!$D:$D)))))</f>
        <v/>
      </c>
      <c r="V719" s="299" t="str">
        <f>IF(OR(入力シート!$C$5&lt;&gt;入力リスト!$C$3,COUNTIF(入力シート!$J$16:$S$23,入力リスト!$H$9)=0),"",IF(A719="","",IF(ISERROR(AVERAGEIF(従業員の給与情報!$B:$B,$A719,従業員の給与情報!$E:$E)),0,IF(ISERROR(AVERAGEIF(従業員の給与情報!$B:$B,$A719,従業員の給与情報!$E:$E)),0,AVERAGEIF(従業員の給与情報!$B:$B,$A719,従業員の給与情報!$E:$E)))))</f>
        <v/>
      </c>
      <c r="W719" s="299" t="str">
        <f>IF(OR(入力シート!$C$5&lt;&gt;入力リスト!$C$3,COUNTIF(入力シート!$J$16:$S$23,入力リスト!$H$9)=0),"",IF(A719="","",IF(ISERROR(AVERAGEIF(従業員の給与情報!$B:$B,$A719,従業員の給与情報!$F:$F)),0,IF(ISERROR(AVERAGEIF(従業員の給与情報!$B:$B,$A719,従業員の給与情報!$F:$F)),0,AVERAGEIF(従業員の給与情報!$B:$B,$A719,従業員の給与情報!$F:$F)))))</f>
        <v/>
      </c>
      <c r="X719" s="581" t="s">
        <v>5458</v>
      </c>
    </row>
    <row r="720" spans="6:24">
      <c r="F720" s="297" t="str">
        <f>IF($G$1,"",IF(COUNTIF(A720:E720,"")=5,"",IF(G720,入力リスト!$K$28,IF(OR(A720="",B720="",IF(COUNTIF($C$3,"*不要*"),"",C720=""),D720=""),IF(A720="","従業員番号","")&amp;IF(B720="","「雇用形態」","")&amp;IF(OR(入力シート!$J$18=入力リスト!$H$9,入力シート!$J$22=入力リスト!$H$9),IF(C720="","「入社年月日」",""),"")&amp;IF(D720="","「性別」","")&amp;IF(IF(A720="","従業員番号","")&amp;IF(B720="","「雇用形態」","")&amp;IF(OR(入力シート!$J$18=入力リスト!$H$9,入力シート!$J$22=入力リスト!$H$9),IF(C720="","「入社年月日」",""),"")&amp;IF(D720="","「性別」","")="","",入力リスト!$K$29),IF(J720,入力リスト!$K$30,"")&amp;IF(I720,入力リスト!$K$31,"")&amp;IF(H720,"「雇用形態」","")&amp;IF(K720,"「性別」","")&amp;IF(L720,"「役職」","")&amp;IF(OR(H720,K720,L720),入力リスト!$K$32,"")))))</f>
        <v/>
      </c>
      <c r="G720" s="298" t="b">
        <f>COUNTIF($A$4:A719,$A720)&gt;0</f>
        <v>0</v>
      </c>
      <c r="H720" s="298" t="b">
        <f>IF($H$1,FALSE,COUNTIF(入力シート!$S$37:$V$62,B720)=0)</f>
        <v>0</v>
      </c>
      <c r="I720" s="298" t="b">
        <f t="shared" si="23"/>
        <v>0</v>
      </c>
      <c r="J720" s="298" t="b">
        <f>IF($J$1,FALSE,IF(I720=TRUE,FALSE,IF(I720,FALSE,C720&gt;入力シート!$J$24)))</f>
        <v>0</v>
      </c>
      <c r="K720" s="298" t="b">
        <f>IF($K$1,FALSE,COUNTIF(入力シート!$AW$37:$BB$38,D720)=0)</f>
        <v>0</v>
      </c>
      <c r="L720" s="298" t="b">
        <f>IF($L$1,FALSE,IF($L$3,FALSE,IF(E720="",FALSE,COUNTIF(入力シート!$AH$37:$AK$62,E720)=0)))</f>
        <v>0</v>
      </c>
      <c r="M720" s="298" t="str">
        <f t="shared" si="24"/>
        <v/>
      </c>
      <c r="N720" s="298" t="str">
        <f>IF(G720,"この従業員番号は、すでに他のセルで入力されています。",IF(入力シート!$C$5=入力リスト!$C$4,"",IF(AND(A720="",B720="",C720="",D720="",E720=""),"",IF(OR(A720="",B720="",C720="",D720=""),IF(A720="","従業員番号","")&amp;IF(AND(A720="",OR(B720="",C720="",D720="")),",","")&amp;IF(B720="","雇用形態","")&amp;IF(AND(B720="",OR(C720="",D720="")),",","")&amp;IF(OR(入力シート!$J$18=入力リスト!$H$9,入力シート!$J$22=入力リスト!$H$9),IF(C720="","入社年月日",""),"")&amp;IF(AND(C720="",D720=""),",","")&amp;IF(D720="","性別","")&amp;IF(IF(A720="","従業員番号","")&amp;IF(B720="","雇用形態","")&amp;IF(OR(入力シート!$J$18=入力リスト!$H$9,入力シート!$J$22=入力リスト!$H$9),IF(C720="","入社年月日",""),"")&amp;IF(D720="","性別","")="","","が空白です。"),IF(J720,"入社年月日に「基準日」の翌日以降の日付が入力されています。","")&amp;IF(I720,"入社年月日に数値以外（又は1900/1/1以前の日付）が入力されています。","")&amp;IF(H720,"雇用形態"&amp;IF(OR(K720,L720),",",""),"")&amp;IF(K720,"性別"&amp;IF(L720,",",""),"")&amp;IF(L720,"役職","")&amp;IF(OR(H720,K720,L720),"に、［入力シート］(4)「貴社」欄と異なる文言が入力されています。","")))))</f>
        <v/>
      </c>
      <c r="O720" s="298" t="str">
        <f>IF(B720="","",VLOOKUP('従業員情報(給与以外)'!$B720,入力シート!$S$37:$Z$62,5,0))</f>
        <v/>
      </c>
      <c r="P720" s="298" t="str">
        <f>IF(ISNUMBER(C720)=FALSE,"",IF(C720&gt;入力シート!$J$24,"",_xlfn.DAYS(入力シート!$J$24,'従業員情報(給与以外)'!$C720)/365))</f>
        <v/>
      </c>
      <c r="Q720" s="298" t="str">
        <f>IF(P720="","",VLOOKUP(_xlfn.DAYS(入力シート!$J$24,'従業員情報(給与以外)'!$C720)/365,入力リスト!$K$18:$L$26,2,2))</f>
        <v/>
      </c>
      <c r="R720" s="298" t="str">
        <f>IF(D720="","",VLOOKUP('従業員情報(給与以外)'!$D720,入力シート!$AW$37:$BB$38,4,0))</f>
        <v/>
      </c>
      <c r="S720" s="298" t="str">
        <f>IF(A720="","",IF(E720="","非役職",VLOOKUP('従業員情報(給与以外)'!$E720,入力シート!$AH$37:$AO$62,5,0)))</f>
        <v/>
      </c>
      <c r="T720" s="299" t="str">
        <f>IF(OR(入力シート!$C$5&lt;&gt;入力リスト!$C$3,COUNTIF(入力シート!$J$16:$S$23,入力リスト!$H$9)=0),"",IF($A720="","",IF(ISERROR(AVERAGEIF(従業員の給与情報!$B:$B,$A720,従業員の給与情報!$C:$C)),0,IF(ISERROR(AVERAGEIF(従業員の給与情報!$B:$B,$A720,従業員の給与情報!$C:$C)),0,AVERAGEIF(従業員の給与情報!$B:$B,$A720,従業員の給与情報!$C:$C)))))</f>
        <v/>
      </c>
      <c r="U720" s="299" t="str">
        <f>IF(OR(入力シート!$C$5&lt;&gt;入力リスト!$C$3,COUNTIF(入力シート!$J$16:$S$23,入力リスト!$H$9)=0),"",IF(A720="","",IF(ISERROR(AVERAGEIF(従業員の給与情報!$B:$B,$A720,従業員の給与情報!$D:$D)),0,IF(ISERROR(AVERAGEIF(従業員の給与情報!$B:$B,$A720,従業員の給与情報!$D:$D)),0,AVERAGEIF(従業員の給与情報!$B:$B,$A720,従業員の給与情報!$D:$D)))))</f>
        <v/>
      </c>
      <c r="V720" s="299" t="str">
        <f>IF(OR(入力シート!$C$5&lt;&gt;入力リスト!$C$3,COUNTIF(入力シート!$J$16:$S$23,入力リスト!$H$9)=0),"",IF(A720="","",IF(ISERROR(AVERAGEIF(従業員の給与情報!$B:$B,$A720,従業員の給与情報!$E:$E)),0,IF(ISERROR(AVERAGEIF(従業員の給与情報!$B:$B,$A720,従業員の給与情報!$E:$E)),0,AVERAGEIF(従業員の給与情報!$B:$B,$A720,従業員の給与情報!$E:$E)))))</f>
        <v/>
      </c>
      <c r="W720" s="299" t="str">
        <f>IF(OR(入力シート!$C$5&lt;&gt;入力リスト!$C$3,COUNTIF(入力シート!$J$16:$S$23,入力リスト!$H$9)=0),"",IF(A720="","",IF(ISERROR(AVERAGEIF(従業員の給与情報!$B:$B,$A720,従業員の給与情報!$F:$F)),0,IF(ISERROR(AVERAGEIF(従業員の給与情報!$B:$B,$A720,従業員の給与情報!$F:$F)),0,AVERAGEIF(従業員の給与情報!$B:$B,$A720,従業員の給与情報!$F:$F)))))</f>
        <v/>
      </c>
      <c r="X720" s="581" t="s">
        <v>5459</v>
      </c>
    </row>
    <row r="721" spans="6:24">
      <c r="F721" s="297" t="str">
        <f>IF($G$1,"",IF(COUNTIF(A721:E721,"")=5,"",IF(G721,入力リスト!$K$28,IF(OR(A721="",B721="",IF(COUNTIF($C$3,"*不要*"),"",C721=""),D721=""),IF(A721="","従業員番号","")&amp;IF(B721="","「雇用形態」","")&amp;IF(OR(入力シート!$J$18=入力リスト!$H$9,入力シート!$J$22=入力リスト!$H$9),IF(C721="","「入社年月日」",""),"")&amp;IF(D721="","「性別」","")&amp;IF(IF(A721="","従業員番号","")&amp;IF(B721="","「雇用形態」","")&amp;IF(OR(入力シート!$J$18=入力リスト!$H$9,入力シート!$J$22=入力リスト!$H$9),IF(C721="","「入社年月日」",""),"")&amp;IF(D721="","「性別」","")="","",入力リスト!$K$29),IF(J721,入力リスト!$K$30,"")&amp;IF(I721,入力リスト!$K$31,"")&amp;IF(H721,"「雇用形態」","")&amp;IF(K721,"「性別」","")&amp;IF(L721,"「役職」","")&amp;IF(OR(H721,K721,L721),入力リスト!$K$32,"")))))</f>
        <v/>
      </c>
      <c r="G721" s="298" t="b">
        <f>COUNTIF($A$4:A720,$A721)&gt;0</f>
        <v>0</v>
      </c>
      <c r="H721" s="298" t="b">
        <f>IF($H$1,FALSE,COUNTIF(入力シート!$S$37:$V$62,B721)=0)</f>
        <v>0</v>
      </c>
      <c r="I721" s="298" t="b">
        <f t="shared" si="23"/>
        <v>0</v>
      </c>
      <c r="J721" s="298" t="b">
        <f>IF($J$1,FALSE,IF(I721=TRUE,FALSE,IF(I721,FALSE,C721&gt;入力シート!$J$24)))</f>
        <v>0</v>
      </c>
      <c r="K721" s="298" t="b">
        <f>IF($K$1,FALSE,COUNTIF(入力シート!$AW$37:$BB$38,D721)=0)</f>
        <v>0</v>
      </c>
      <c r="L721" s="298" t="b">
        <f>IF($L$1,FALSE,IF($L$3,FALSE,IF(E721="",FALSE,COUNTIF(入力シート!$AH$37:$AK$62,E721)=0)))</f>
        <v>0</v>
      </c>
      <c r="M721" s="298" t="str">
        <f t="shared" si="24"/>
        <v/>
      </c>
      <c r="N721" s="298" t="str">
        <f>IF(G721,"この従業員番号は、すでに他のセルで入力されています。",IF(入力シート!$C$5=入力リスト!$C$4,"",IF(AND(A721="",B721="",C721="",D721="",E721=""),"",IF(OR(A721="",B721="",C721="",D721=""),IF(A721="","従業員番号","")&amp;IF(AND(A721="",OR(B721="",C721="",D721="")),",","")&amp;IF(B721="","雇用形態","")&amp;IF(AND(B721="",OR(C721="",D721="")),",","")&amp;IF(OR(入力シート!$J$18=入力リスト!$H$9,入力シート!$J$22=入力リスト!$H$9),IF(C721="","入社年月日",""),"")&amp;IF(AND(C721="",D721=""),",","")&amp;IF(D721="","性別","")&amp;IF(IF(A721="","従業員番号","")&amp;IF(B721="","雇用形態","")&amp;IF(OR(入力シート!$J$18=入力リスト!$H$9,入力シート!$J$22=入力リスト!$H$9),IF(C721="","入社年月日",""),"")&amp;IF(D721="","性別","")="","","が空白です。"),IF(J721,"入社年月日に「基準日」の翌日以降の日付が入力されています。","")&amp;IF(I721,"入社年月日に数値以外（又は1900/1/1以前の日付）が入力されています。","")&amp;IF(H721,"雇用形態"&amp;IF(OR(K721,L721),",",""),"")&amp;IF(K721,"性別"&amp;IF(L721,",",""),"")&amp;IF(L721,"役職","")&amp;IF(OR(H721,K721,L721),"に、［入力シート］(4)「貴社」欄と異なる文言が入力されています。","")))))</f>
        <v/>
      </c>
      <c r="O721" s="298" t="str">
        <f>IF(B721="","",VLOOKUP('従業員情報(給与以外)'!$B721,入力シート!$S$37:$Z$62,5,0))</f>
        <v/>
      </c>
      <c r="P721" s="298" t="str">
        <f>IF(ISNUMBER(C721)=FALSE,"",IF(C721&gt;入力シート!$J$24,"",_xlfn.DAYS(入力シート!$J$24,'従業員情報(給与以外)'!$C721)/365))</f>
        <v/>
      </c>
      <c r="Q721" s="298" t="str">
        <f>IF(P721="","",VLOOKUP(_xlfn.DAYS(入力シート!$J$24,'従業員情報(給与以外)'!$C721)/365,入力リスト!$K$18:$L$26,2,2))</f>
        <v/>
      </c>
      <c r="R721" s="298" t="str">
        <f>IF(D721="","",VLOOKUP('従業員情報(給与以外)'!$D721,入力シート!$AW$37:$BB$38,4,0))</f>
        <v/>
      </c>
      <c r="S721" s="298" t="str">
        <f>IF(A721="","",IF(E721="","非役職",VLOOKUP('従業員情報(給与以外)'!$E721,入力シート!$AH$37:$AO$62,5,0)))</f>
        <v/>
      </c>
      <c r="T721" s="299" t="str">
        <f>IF(OR(入力シート!$C$5&lt;&gt;入力リスト!$C$3,COUNTIF(入力シート!$J$16:$S$23,入力リスト!$H$9)=0),"",IF($A721="","",IF(ISERROR(AVERAGEIF(従業員の給与情報!$B:$B,$A721,従業員の給与情報!$C:$C)),0,IF(ISERROR(AVERAGEIF(従業員の給与情報!$B:$B,$A721,従業員の給与情報!$C:$C)),0,AVERAGEIF(従業員の給与情報!$B:$B,$A721,従業員の給与情報!$C:$C)))))</f>
        <v/>
      </c>
      <c r="U721" s="299" t="str">
        <f>IF(OR(入力シート!$C$5&lt;&gt;入力リスト!$C$3,COUNTIF(入力シート!$J$16:$S$23,入力リスト!$H$9)=0),"",IF(A721="","",IF(ISERROR(AVERAGEIF(従業員の給与情報!$B:$B,$A721,従業員の給与情報!$D:$D)),0,IF(ISERROR(AVERAGEIF(従業員の給与情報!$B:$B,$A721,従業員の給与情報!$D:$D)),0,AVERAGEIF(従業員の給与情報!$B:$B,$A721,従業員の給与情報!$D:$D)))))</f>
        <v/>
      </c>
      <c r="V721" s="299" t="str">
        <f>IF(OR(入力シート!$C$5&lt;&gt;入力リスト!$C$3,COUNTIF(入力シート!$J$16:$S$23,入力リスト!$H$9)=0),"",IF(A721="","",IF(ISERROR(AVERAGEIF(従業員の給与情報!$B:$B,$A721,従業員の給与情報!$E:$E)),0,IF(ISERROR(AVERAGEIF(従業員の給与情報!$B:$B,$A721,従業員の給与情報!$E:$E)),0,AVERAGEIF(従業員の給与情報!$B:$B,$A721,従業員の給与情報!$E:$E)))))</f>
        <v/>
      </c>
      <c r="W721" s="299" t="str">
        <f>IF(OR(入力シート!$C$5&lt;&gt;入力リスト!$C$3,COUNTIF(入力シート!$J$16:$S$23,入力リスト!$H$9)=0),"",IF(A721="","",IF(ISERROR(AVERAGEIF(従業員の給与情報!$B:$B,$A721,従業員の給与情報!$F:$F)),0,IF(ISERROR(AVERAGEIF(従業員の給与情報!$B:$B,$A721,従業員の給与情報!$F:$F)),0,AVERAGEIF(従業員の給与情報!$B:$B,$A721,従業員の給与情報!$F:$F)))))</f>
        <v/>
      </c>
      <c r="X721" s="581" t="s">
        <v>5460</v>
      </c>
    </row>
    <row r="722" spans="6:24">
      <c r="F722" s="297" t="str">
        <f>IF($G$1,"",IF(COUNTIF(A722:E722,"")=5,"",IF(G722,入力リスト!$K$28,IF(OR(A722="",B722="",IF(COUNTIF($C$3,"*不要*"),"",C722=""),D722=""),IF(A722="","従業員番号","")&amp;IF(B722="","「雇用形態」","")&amp;IF(OR(入力シート!$J$18=入力リスト!$H$9,入力シート!$J$22=入力リスト!$H$9),IF(C722="","「入社年月日」",""),"")&amp;IF(D722="","「性別」","")&amp;IF(IF(A722="","従業員番号","")&amp;IF(B722="","「雇用形態」","")&amp;IF(OR(入力シート!$J$18=入力リスト!$H$9,入力シート!$J$22=入力リスト!$H$9),IF(C722="","「入社年月日」",""),"")&amp;IF(D722="","「性別」","")="","",入力リスト!$K$29),IF(J722,入力リスト!$K$30,"")&amp;IF(I722,入力リスト!$K$31,"")&amp;IF(H722,"「雇用形態」","")&amp;IF(K722,"「性別」","")&amp;IF(L722,"「役職」","")&amp;IF(OR(H722,K722,L722),入力リスト!$K$32,"")))))</f>
        <v/>
      </c>
      <c r="G722" s="298" t="b">
        <f>COUNTIF($A$4:A721,$A722)&gt;0</f>
        <v>0</v>
      </c>
      <c r="H722" s="298" t="b">
        <f>IF($H$1,FALSE,COUNTIF(入力シート!$S$37:$V$62,B722)=0)</f>
        <v>0</v>
      </c>
      <c r="I722" s="298" t="b">
        <f t="shared" si="23"/>
        <v>0</v>
      </c>
      <c r="J722" s="298" t="b">
        <f>IF($J$1,FALSE,IF(I722=TRUE,FALSE,IF(I722,FALSE,C722&gt;入力シート!$J$24)))</f>
        <v>0</v>
      </c>
      <c r="K722" s="298" t="b">
        <f>IF($K$1,FALSE,COUNTIF(入力シート!$AW$37:$BB$38,D722)=0)</f>
        <v>0</v>
      </c>
      <c r="L722" s="298" t="b">
        <f>IF($L$1,FALSE,IF($L$3,FALSE,IF(E722="",FALSE,COUNTIF(入力シート!$AH$37:$AK$62,E722)=0)))</f>
        <v>0</v>
      </c>
      <c r="M722" s="298" t="str">
        <f t="shared" si="24"/>
        <v/>
      </c>
      <c r="N722" s="298" t="str">
        <f>IF(G722,"この従業員番号は、すでに他のセルで入力されています。",IF(入力シート!$C$5=入力リスト!$C$4,"",IF(AND(A722="",B722="",C722="",D722="",E722=""),"",IF(OR(A722="",B722="",C722="",D722=""),IF(A722="","従業員番号","")&amp;IF(AND(A722="",OR(B722="",C722="",D722="")),",","")&amp;IF(B722="","雇用形態","")&amp;IF(AND(B722="",OR(C722="",D722="")),",","")&amp;IF(OR(入力シート!$J$18=入力リスト!$H$9,入力シート!$J$22=入力リスト!$H$9),IF(C722="","入社年月日",""),"")&amp;IF(AND(C722="",D722=""),",","")&amp;IF(D722="","性別","")&amp;IF(IF(A722="","従業員番号","")&amp;IF(B722="","雇用形態","")&amp;IF(OR(入力シート!$J$18=入力リスト!$H$9,入力シート!$J$22=入力リスト!$H$9),IF(C722="","入社年月日",""),"")&amp;IF(D722="","性別","")="","","が空白です。"),IF(J722,"入社年月日に「基準日」の翌日以降の日付が入力されています。","")&amp;IF(I722,"入社年月日に数値以外（又は1900/1/1以前の日付）が入力されています。","")&amp;IF(H722,"雇用形態"&amp;IF(OR(K722,L722),",",""),"")&amp;IF(K722,"性別"&amp;IF(L722,",",""),"")&amp;IF(L722,"役職","")&amp;IF(OR(H722,K722,L722),"に、［入力シート］(4)「貴社」欄と異なる文言が入力されています。","")))))</f>
        <v/>
      </c>
      <c r="O722" s="298" t="str">
        <f>IF(B722="","",VLOOKUP('従業員情報(給与以外)'!$B722,入力シート!$S$37:$Z$62,5,0))</f>
        <v/>
      </c>
      <c r="P722" s="298" t="str">
        <f>IF(ISNUMBER(C722)=FALSE,"",IF(C722&gt;入力シート!$J$24,"",_xlfn.DAYS(入力シート!$J$24,'従業員情報(給与以外)'!$C722)/365))</f>
        <v/>
      </c>
      <c r="Q722" s="298" t="str">
        <f>IF(P722="","",VLOOKUP(_xlfn.DAYS(入力シート!$J$24,'従業員情報(給与以外)'!$C722)/365,入力リスト!$K$18:$L$26,2,2))</f>
        <v/>
      </c>
      <c r="R722" s="298" t="str">
        <f>IF(D722="","",VLOOKUP('従業員情報(給与以外)'!$D722,入力シート!$AW$37:$BB$38,4,0))</f>
        <v/>
      </c>
      <c r="S722" s="298" t="str">
        <f>IF(A722="","",IF(E722="","非役職",VLOOKUP('従業員情報(給与以外)'!$E722,入力シート!$AH$37:$AO$62,5,0)))</f>
        <v/>
      </c>
      <c r="T722" s="299" t="str">
        <f>IF(OR(入力シート!$C$5&lt;&gt;入力リスト!$C$3,COUNTIF(入力シート!$J$16:$S$23,入力リスト!$H$9)=0),"",IF($A722="","",IF(ISERROR(AVERAGEIF(従業員の給与情報!$B:$B,$A722,従業員の給与情報!$C:$C)),0,IF(ISERROR(AVERAGEIF(従業員の給与情報!$B:$B,$A722,従業員の給与情報!$C:$C)),0,AVERAGEIF(従業員の給与情報!$B:$B,$A722,従業員の給与情報!$C:$C)))))</f>
        <v/>
      </c>
      <c r="U722" s="299" t="str">
        <f>IF(OR(入力シート!$C$5&lt;&gt;入力リスト!$C$3,COUNTIF(入力シート!$J$16:$S$23,入力リスト!$H$9)=0),"",IF(A722="","",IF(ISERROR(AVERAGEIF(従業員の給与情報!$B:$B,$A722,従業員の給与情報!$D:$D)),0,IF(ISERROR(AVERAGEIF(従業員の給与情報!$B:$B,$A722,従業員の給与情報!$D:$D)),0,AVERAGEIF(従業員の給与情報!$B:$B,$A722,従業員の給与情報!$D:$D)))))</f>
        <v/>
      </c>
      <c r="V722" s="299" t="str">
        <f>IF(OR(入力シート!$C$5&lt;&gt;入力リスト!$C$3,COUNTIF(入力シート!$J$16:$S$23,入力リスト!$H$9)=0),"",IF(A722="","",IF(ISERROR(AVERAGEIF(従業員の給与情報!$B:$B,$A722,従業員の給与情報!$E:$E)),0,IF(ISERROR(AVERAGEIF(従業員の給与情報!$B:$B,$A722,従業員の給与情報!$E:$E)),0,AVERAGEIF(従業員の給与情報!$B:$B,$A722,従業員の給与情報!$E:$E)))))</f>
        <v/>
      </c>
      <c r="W722" s="299" t="str">
        <f>IF(OR(入力シート!$C$5&lt;&gt;入力リスト!$C$3,COUNTIF(入力シート!$J$16:$S$23,入力リスト!$H$9)=0),"",IF(A722="","",IF(ISERROR(AVERAGEIF(従業員の給与情報!$B:$B,$A722,従業員の給与情報!$F:$F)),0,IF(ISERROR(AVERAGEIF(従業員の給与情報!$B:$B,$A722,従業員の給与情報!$F:$F)),0,AVERAGEIF(従業員の給与情報!$B:$B,$A722,従業員の給与情報!$F:$F)))))</f>
        <v/>
      </c>
      <c r="X722" s="581" t="s">
        <v>5461</v>
      </c>
    </row>
    <row r="723" spans="6:24">
      <c r="F723" s="297" t="str">
        <f>IF($G$1,"",IF(COUNTIF(A723:E723,"")=5,"",IF(G723,入力リスト!$K$28,IF(OR(A723="",B723="",IF(COUNTIF($C$3,"*不要*"),"",C723=""),D723=""),IF(A723="","従業員番号","")&amp;IF(B723="","「雇用形態」","")&amp;IF(OR(入力シート!$J$18=入力リスト!$H$9,入力シート!$J$22=入力リスト!$H$9),IF(C723="","「入社年月日」",""),"")&amp;IF(D723="","「性別」","")&amp;IF(IF(A723="","従業員番号","")&amp;IF(B723="","「雇用形態」","")&amp;IF(OR(入力シート!$J$18=入力リスト!$H$9,入力シート!$J$22=入力リスト!$H$9),IF(C723="","「入社年月日」",""),"")&amp;IF(D723="","「性別」","")="","",入力リスト!$K$29),IF(J723,入力リスト!$K$30,"")&amp;IF(I723,入力リスト!$K$31,"")&amp;IF(H723,"「雇用形態」","")&amp;IF(K723,"「性別」","")&amp;IF(L723,"「役職」","")&amp;IF(OR(H723,K723,L723),入力リスト!$K$32,"")))))</f>
        <v/>
      </c>
      <c r="G723" s="298" t="b">
        <f>COUNTIF($A$4:A722,$A723)&gt;0</f>
        <v>0</v>
      </c>
      <c r="H723" s="298" t="b">
        <f>IF($H$1,FALSE,COUNTIF(入力シート!$S$37:$V$62,B723)=0)</f>
        <v>0</v>
      </c>
      <c r="I723" s="298" t="b">
        <f t="shared" si="23"/>
        <v>0</v>
      </c>
      <c r="J723" s="298" t="b">
        <f>IF($J$1,FALSE,IF(I723=TRUE,FALSE,IF(I723,FALSE,C723&gt;入力シート!$J$24)))</f>
        <v>0</v>
      </c>
      <c r="K723" s="298" t="b">
        <f>IF($K$1,FALSE,COUNTIF(入力シート!$AW$37:$BB$38,D723)=0)</f>
        <v>0</v>
      </c>
      <c r="L723" s="298" t="b">
        <f>IF($L$1,FALSE,IF($L$3,FALSE,IF(E723="",FALSE,COUNTIF(入力シート!$AH$37:$AK$62,E723)=0)))</f>
        <v>0</v>
      </c>
      <c r="M723" s="298" t="str">
        <f t="shared" si="24"/>
        <v/>
      </c>
      <c r="N723" s="298" t="str">
        <f>IF(G723,"この従業員番号は、すでに他のセルで入力されています。",IF(入力シート!$C$5=入力リスト!$C$4,"",IF(AND(A723="",B723="",C723="",D723="",E723=""),"",IF(OR(A723="",B723="",C723="",D723=""),IF(A723="","従業員番号","")&amp;IF(AND(A723="",OR(B723="",C723="",D723="")),",","")&amp;IF(B723="","雇用形態","")&amp;IF(AND(B723="",OR(C723="",D723="")),",","")&amp;IF(OR(入力シート!$J$18=入力リスト!$H$9,入力シート!$J$22=入力リスト!$H$9),IF(C723="","入社年月日",""),"")&amp;IF(AND(C723="",D723=""),",","")&amp;IF(D723="","性別","")&amp;IF(IF(A723="","従業員番号","")&amp;IF(B723="","雇用形態","")&amp;IF(OR(入力シート!$J$18=入力リスト!$H$9,入力シート!$J$22=入力リスト!$H$9),IF(C723="","入社年月日",""),"")&amp;IF(D723="","性別","")="","","が空白です。"),IF(J723,"入社年月日に「基準日」の翌日以降の日付が入力されています。","")&amp;IF(I723,"入社年月日に数値以外（又は1900/1/1以前の日付）が入力されています。","")&amp;IF(H723,"雇用形態"&amp;IF(OR(K723,L723),",",""),"")&amp;IF(K723,"性別"&amp;IF(L723,",",""),"")&amp;IF(L723,"役職","")&amp;IF(OR(H723,K723,L723),"に、［入力シート］(4)「貴社」欄と異なる文言が入力されています。","")))))</f>
        <v/>
      </c>
      <c r="O723" s="298" t="str">
        <f>IF(B723="","",VLOOKUP('従業員情報(給与以外)'!$B723,入力シート!$S$37:$Z$62,5,0))</f>
        <v/>
      </c>
      <c r="P723" s="298" t="str">
        <f>IF(ISNUMBER(C723)=FALSE,"",IF(C723&gt;入力シート!$J$24,"",_xlfn.DAYS(入力シート!$J$24,'従業員情報(給与以外)'!$C723)/365))</f>
        <v/>
      </c>
      <c r="Q723" s="298" t="str">
        <f>IF(P723="","",VLOOKUP(_xlfn.DAYS(入力シート!$J$24,'従業員情報(給与以外)'!$C723)/365,入力リスト!$K$18:$L$26,2,2))</f>
        <v/>
      </c>
      <c r="R723" s="298" t="str">
        <f>IF(D723="","",VLOOKUP('従業員情報(給与以外)'!$D723,入力シート!$AW$37:$BB$38,4,0))</f>
        <v/>
      </c>
      <c r="S723" s="298" t="str">
        <f>IF(A723="","",IF(E723="","非役職",VLOOKUP('従業員情報(給与以外)'!$E723,入力シート!$AH$37:$AO$62,5,0)))</f>
        <v/>
      </c>
      <c r="T723" s="299" t="str">
        <f>IF(OR(入力シート!$C$5&lt;&gt;入力リスト!$C$3,COUNTIF(入力シート!$J$16:$S$23,入力リスト!$H$9)=0),"",IF($A723="","",IF(ISERROR(AVERAGEIF(従業員の給与情報!$B:$B,$A723,従業員の給与情報!$C:$C)),0,IF(ISERROR(AVERAGEIF(従業員の給与情報!$B:$B,$A723,従業員の給与情報!$C:$C)),0,AVERAGEIF(従業員の給与情報!$B:$B,$A723,従業員の給与情報!$C:$C)))))</f>
        <v/>
      </c>
      <c r="U723" s="299" t="str">
        <f>IF(OR(入力シート!$C$5&lt;&gt;入力リスト!$C$3,COUNTIF(入力シート!$J$16:$S$23,入力リスト!$H$9)=0),"",IF(A723="","",IF(ISERROR(AVERAGEIF(従業員の給与情報!$B:$B,$A723,従業員の給与情報!$D:$D)),0,IF(ISERROR(AVERAGEIF(従業員の給与情報!$B:$B,$A723,従業員の給与情報!$D:$D)),0,AVERAGEIF(従業員の給与情報!$B:$B,$A723,従業員の給与情報!$D:$D)))))</f>
        <v/>
      </c>
      <c r="V723" s="299" t="str">
        <f>IF(OR(入力シート!$C$5&lt;&gt;入力リスト!$C$3,COUNTIF(入力シート!$J$16:$S$23,入力リスト!$H$9)=0),"",IF(A723="","",IF(ISERROR(AVERAGEIF(従業員の給与情報!$B:$B,$A723,従業員の給与情報!$E:$E)),0,IF(ISERROR(AVERAGEIF(従業員の給与情報!$B:$B,$A723,従業員の給与情報!$E:$E)),0,AVERAGEIF(従業員の給与情報!$B:$B,$A723,従業員の給与情報!$E:$E)))))</f>
        <v/>
      </c>
      <c r="W723" s="299" t="str">
        <f>IF(OR(入力シート!$C$5&lt;&gt;入力リスト!$C$3,COUNTIF(入力シート!$J$16:$S$23,入力リスト!$H$9)=0),"",IF(A723="","",IF(ISERROR(AVERAGEIF(従業員の給与情報!$B:$B,$A723,従業員の給与情報!$F:$F)),0,IF(ISERROR(AVERAGEIF(従業員の給与情報!$B:$B,$A723,従業員の給与情報!$F:$F)),0,AVERAGEIF(従業員の給与情報!$B:$B,$A723,従業員の給与情報!$F:$F)))))</f>
        <v/>
      </c>
      <c r="X723" s="581" t="s">
        <v>5462</v>
      </c>
    </row>
    <row r="724" spans="6:24">
      <c r="F724" s="297" t="str">
        <f>IF($G$1,"",IF(COUNTIF(A724:E724,"")=5,"",IF(G724,入力リスト!$K$28,IF(OR(A724="",B724="",IF(COUNTIF($C$3,"*不要*"),"",C724=""),D724=""),IF(A724="","従業員番号","")&amp;IF(B724="","「雇用形態」","")&amp;IF(OR(入力シート!$J$18=入力リスト!$H$9,入力シート!$J$22=入力リスト!$H$9),IF(C724="","「入社年月日」",""),"")&amp;IF(D724="","「性別」","")&amp;IF(IF(A724="","従業員番号","")&amp;IF(B724="","「雇用形態」","")&amp;IF(OR(入力シート!$J$18=入力リスト!$H$9,入力シート!$J$22=入力リスト!$H$9),IF(C724="","「入社年月日」",""),"")&amp;IF(D724="","「性別」","")="","",入力リスト!$K$29),IF(J724,入力リスト!$K$30,"")&amp;IF(I724,入力リスト!$K$31,"")&amp;IF(H724,"「雇用形態」","")&amp;IF(K724,"「性別」","")&amp;IF(L724,"「役職」","")&amp;IF(OR(H724,K724,L724),入力リスト!$K$32,"")))))</f>
        <v/>
      </c>
      <c r="G724" s="298" t="b">
        <f>COUNTIF($A$4:A723,$A724)&gt;0</f>
        <v>0</v>
      </c>
      <c r="H724" s="298" t="b">
        <f>IF($H$1,FALSE,COUNTIF(入力シート!$S$37:$V$62,B724)=0)</f>
        <v>0</v>
      </c>
      <c r="I724" s="298" t="b">
        <f t="shared" si="23"/>
        <v>0</v>
      </c>
      <c r="J724" s="298" t="b">
        <f>IF($J$1,FALSE,IF(I724=TRUE,FALSE,IF(I724,FALSE,C724&gt;入力シート!$J$24)))</f>
        <v>0</v>
      </c>
      <c r="K724" s="298" t="b">
        <f>IF($K$1,FALSE,COUNTIF(入力シート!$AW$37:$BB$38,D724)=0)</f>
        <v>0</v>
      </c>
      <c r="L724" s="298" t="b">
        <f>IF($L$1,FALSE,IF($L$3,FALSE,IF(E724="",FALSE,COUNTIF(入力シート!$AH$37:$AK$62,E724)=0)))</f>
        <v>0</v>
      </c>
      <c r="M724" s="298" t="str">
        <f t="shared" si="24"/>
        <v/>
      </c>
      <c r="N724" s="298" t="str">
        <f>IF(G724,"この従業員番号は、すでに他のセルで入力されています。",IF(入力シート!$C$5=入力リスト!$C$4,"",IF(AND(A724="",B724="",C724="",D724="",E724=""),"",IF(OR(A724="",B724="",C724="",D724=""),IF(A724="","従業員番号","")&amp;IF(AND(A724="",OR(B724="",C724="",D724="")),",","")&amp;IF(B724="","雇用形態","")&amp;IF(AND(B724="",OR(C724="",D724="")),",","")&amp;IF(OR(入力シート!$J$18=入力リスト!$H$9,入力シート!$J$22=入力リスト!$H$9),IF(C724="","入社年月日",""),"")&amp;IF(AND(C724="",D724=""),",","")&amp;IF(D724="","性別","")&amp;IF(IF(A724="","従業員番号","")&amp;IF(B724="","雇用形態","")&amp;IF(OR(入力シート!$J$18=入力リスト!$H$9,入力シート!$J$22=入力リスト!$H$9),IF(C724="","入社年月日",""),"")&amp;IF(D724="","性別","")="","","が空白です。"),IF(J724,"入社年月日に「基準日」の翌日以降の日付が入力されています。","")&amp;IF(I724,"入社年月日に数値以外（又は1900/1/1以前の日付）が入力されています。","")&amp;IF(H724,"雇用形態"&amp;IF(OR(K724,L724),",",""),"")&amp;IF(K724,"性別"&amp;IF(L724,",",""),"")&amp;IF(L724,"役職","")&amp;IF(OR(H724,K724,L724),"に、［入力シート］(4)「貴社」欄と異なる文言が入力されています。","")))))</f>
        <v/>
      </c>
      <c r="O724" s="298" t="str">
        <f>IF(B724="","",VLOOKUP('従業員情報(給与以外)'!$B724,入力シート!$S$37:$Z$62,5,0))</f>
        <v/>
      </c>
      <c r="P724" s="298" t="str">
        <f>IF(ISNUMBER(C724)=FALSE,"",IF(C724&gt;入力シート!$J$24,"",_xlfn.DAYS(入力シート!$J$24,'従業員情報(給与以外)'!$C724)/365))</f>
        <v/>
      </c>
      <c r="Q724" s="298" t="str">
        <f>IF(P724="","",VLOOKUP(_xlfn.DAYS(入力シート!$J$24,'従業員情報(給与以外)'!$C724)/365,入力リスト!$K$18:$L$26,2,2))</f>
        <v/>
      </c>
      <c r="R724" s="298" t="str">
        <f>IF(D724="","",VLOOKUP('従業員情報(給与以外)'!$D724,入力シート!$AW$37:$BB$38,4,0))</f>
        <v/>
      </c>
      <c r="S724" s="298" t="str">
        <f>IF(A724="","",IF(E724="","非役職",VLOOKUP('従業員情報(給与以外)'!$E724,入力シート!$AH$37:$AO$62,5,0)))</f>
        <v/>
      </c>
      <c r="T724" s="299" t="str">
        <f>IF(OR(入力シート!$C$5&lt;&gt;入力リスト!$C$3,COUNTIF(入力シート!$J$16:$S$23,入力リスト!$H$9)=0),"",IF($A724="","",IF(ISERROR(AVERAGEIF(従業員の給与情報!$B:$B,$A724,従業員の給与情報!$C:$C)),0,IF(ISERROR(AVERAGEIF(従業員の給与情報!$B:$B,$A724,従業員の給与情報!$C:$C)),0,AVERAGEIF(従業員の給与情報!$B:$B,$A724,従業員の給与情報!$C:$C)))))</f>
        <v/>
      </c>
      <c r="U724" s="299" t="str">
        <f>IF(OR(入力シート!$C$5&lt;&gt;入力リスト!$C$3,COUNTIF(入力シート!$J$16:$S$23,入力リスト!$H$9)=0),"",IF(A724="","",IF(ISERROR(AVERAGEIF(従業員の給与情報!$B:$B,$A724,従業員の給与情報!$D:$D)),0,IF(ISERROR(AVERAGEIF(従業員の給与情報!$B:$B,$A724,従業員の給与情報!$D:$D)),0,AVERAGEIF(従業員の給与情報!$B:$B,$A724,従業員の給与情報!$D:$D)))))</f>
        <v/>
      </c>
      <c r="V724" s="299" t="str">
        <f>IF(OR(入力シート!$C$5&lt;&gt;入力リスト!$C$3,COUNTIF(入力シート!$J$16:$S$23,入力リスト!$H$9)=0),"",IF(A724="","",IF(ISERROR(AVERAGEIF(従業員の給与情報!$B:$B,$A724,従業員の給与情報!$E:$E)),0,IF(ISERROR(AVERAGEIF(従業員の給与情報!$B:$B,$A724,従業員の給与情報!$E:$E)),0,AVERAGEIF(従業員の給与情報!$B:$B,$A724,従業員の給与情報!$E:$E)))))</f>
        <v/>
      </c>
      <c r="W724" s="299" t="str">
        <f>IF(OR(入力シート!$C$5&lt;&gt;入力リスト!$C$3,COUNTIF(入力シート!$J$16:$S$23,入力リスト!$H$9)=0),"",IF(A724="","",IF(ISERROR(AVERAGEIF(従業員の給与情報!$B:$B,$A724,従業員の給与情報!$F:$F)),0,IF(ISERROR(AVERAGEIF(従業員の給与情報!$B:$B,$A724,従業員の給与情報!$F:$F)),0,AVERAGEIF(従業員の給与情報!$B:$B,$A724,従業員の給与情報!$F:$F)))))</f>
        <v/>
      </c>
      <c r="X724" s="581" t="s">
        <v>5463</v>
      </c>
    </row>
    <row r="725" spans="6:24">
      <c r="F725" s="297" t="str">
        <f>IF($G$1,"",IF(COUNTIF(A725:E725,"")=5,"",IF(G725,入力リスト!$K$28,IF(OR(A725="",B725="",IF(COUNTIF($C$3,"*不要*"),"",C725=""),D725=""),IF(A725="","従業員番号","")&amp;IF(B725="","「雇用形態」","")&amp;IF(OR(入力シート!$J$18=入力リスト!$H$9,入力シート!$J$22=入力リスト!$H$9),IF(C725="","「入社年月日」",""),"")&amp;IF(D725="","「性別」","")&amp;IF(IF(A725="","従業員番号","")&amp;IF(B725="","「雇用形態」","")&amp;IF(OR(入力シート!$J$18=入力リスト!$H$9,入力シート!$J$22=入力リスト!$H$9),IF(C725="","「入社年月日」",""),"")&amp;IF(D725="","「性別」","")="","",入力リスト!$K$29),IF(J725,入力リスト!$K$30,"")&amp;IF(I725,入力リスト!$K$31,"")&amp;IF(H725,"「雇用形態」","")&amp;IF(K725,"「性別」","")&amp;IF(L725,"「役職」","")&amp;IF(OR(H725,K725,L725),入力リスト!$K$32,"")))))</f>
        <v/>
      </c>
      <c r="G725" s="298" t="b">
        <f>COUNTIF($A$4:A724,$A725)&gt;0</f>
        <v>0</v>
      </c>
      <c r="H725" s="298" t="b">
        <f>IF($H$1,FALSE,COUNTIF(入力シート!$S$37:$V$62,B725)=0)</f>
        <v>0</v>
      </c>
      <c r="I725" s="298" t="b">
        <f t="shared" si="23"/>
        <v>0</v>
      </c>
      <c r="J725" s="298" t="b">
        <f>IF($J$1,FALSE,IF(I725=TRUE,FALSE,IF(I725,FALSE,C725&gt;入力シート!$J$24)))</f>
        <v>0</v>
      </c>
      <c r="K725" s="298" t="b">
        <f>IF($K$1,FALSE,COUNTIF(入力シート!$AW$37:$BB$38,D725)=0)</f>
        <v>0</v>
      </c>
      <c r="L725" s="298" t="b">
        <f>IF($L$1,FALSE,IF($L$3,FALSE,IF(E725="",FALSE,COUNTIF(入力シート!$AH$37:$AK$62,E725)=0)))</f>
        <v>0</v>
      </c>
      <c r="M725" s="298" t="str">
        <f t="shared" si="24"/>
        <v/>
      </c>
      <c r="N725" s="298" t="str">
        <f>IF(G725,"この従業員番号は、すでに他のセルで入力されています。",IF(入力シート!$C$5=入力リスト!$C$4,"",IF(AND(A725="",B725="",C725="",D725="",E725=""),"",IF(OR(A725="",B725="",C725="",D725=""),IF(A725="","従業員番号","")&amp;IF(AND(A725="",OR(B725="",C725="",D725="")),",","")&amp;IF(B725="","雇用形態","")&amp;IF(AND(B725="",OR(C725="",D725="")),",","")&amp;IF(OR(入力シート!$J$18=入力リスト!$H$9,入力シート!$J$22=入力リスト!$H$9),IF(C725="","入社年月日",""),"")&amp;IF(AND(C725="",D725=""),",","")&amp;IF(D725="","性別","")&amp;IF(IF(A725="","従業員番号","")&amp;IF(B725="","雇用形態","")&amp;IF(OR(入力シート!$J$18=入力リスト!$H$9,入力シート!$J$22=入力リスト!$H$9),IF(C725="","入社年月日",""),"")&amp;IF(D725="","性別","")="","","が空白です。"),IF(J725,"入社年月日に「基準日」の翌日以降の日付が入力されています。","")&amp;IF(I725,"入社年月日に数値以外（又は1900/1/1以前の日付）が入力されています。","")&amp;IF(H725,"雇用形態"&amp;IF(OR(K725,L725),",",""),"")&amp;IF(K725,"性別"&amp;IF(L725,",",""),"")&amp;IF(L725,"役職","")&amp;IF(OR(H725,K725,L725),"に、［入力シート］(4)「貴社」欄と異なる文言が入力されています。","")))))</f>
        <v/>
      </c>
      <c r="O725" s="298" t="str">
        <f>IF(B725="","",VLOOKUP('従業員情報(給与以外)'!$B725,入力シート!$S$37:$Z$62,5,0))</f>
        <v/>
      </c>
      <c r="P725" s="298" t="str">
        <f>IF(ISNUMBER(C725)=FALSE,"",IF(C725&gt;入力シート!$J$24,"",_xlfn.DAYS(入力シート!$J$24,'従業員情報(給与以外)'!$C725)/365))</f>
        <v/>
      </c>
      <c r="Q725" s="298" t="str">
        <f>IF(P725="","",VLOOKUP(_xlfn.DAYS(入力シート!$J$24,'従業員情報(給与以外)'!$C725)/365,入力リスト!$K$18:$L$26,2,2))</f>
        <v/>
      </c>
      <c r="R725" s="298" t="str">
        <f>IF(D725="","",VLOOKUP('従業員情報(給与以外)'!$D725,入力シート!$AW$37:$BB$38,4,0))</f>
        <v/>
      </c>
      <c r="S725" s="298" t="str">
        <f>IF(A725="","",IF(E725="","非役職",VLOOKUP('従業員情報(給与以外)'!$E725,入力シート!$AH$37:$AO$62,5,0)))</f>
        <v/>
      </c>
      <c r="T725" s="299" t="str">
        <f>IF(OR(入力シート!$C$5&lt;&gt;入力リスト!$C$3,COUNTIF(入力シート!$J$16:$S$23,入力リスト!$H$9)=0),"",IF($A725="","",IF(ISERROR(AVERAGEIF(従業員の給与情報!$B:$B,$A725,従業員の給与情報!$C:$C)),0,IF(ISERROR(AVERAGEIF(従業員の給与情報!$B:$B,$A725,従業員の給与情報!$C:$C)),0,AVERAGEIF(従業員の給与情報!$B:$B,$A725,従業員の給与情報!$C:$C)))))</f>
        <v/>
      </c>
      <c r="U725" s="299" t="str">
        <f>IF(OR(入力シート!$C$5&lt;&gt;入力リスト!$C$3,COUNTIF(入力シート!$J$16:$S$23,入力リスト!$H$9)=0),"",IF(A725="","",IF(ISERROR(AVERAGEIF(従業員の給与情報!$B:$B,$A725,従業員の給与情報!$D:$D)),0,IF(ISERROR(AVERAGEIF(従業員の給与情報!$B:$B,$A725,従業員の給与情報!$D:$D)),0,AVERAGEIF(従業員の給与情報!$B:$B,$A725,従業員の給与情報!$D:$D)))))</f>
        <v/>
      </c>
      <c r="V725" s="299" t="str">
        <f>IF(OR(入力シート!$C$5&lt;&gt;入力リスト!$C$3,COUNTIF(入力シート!$J$16:$S$23,入力リスト!$H$9)=0),"",IF(A725="","",IF(ISERROR(AVERAGEIF(従業員の給与情報!$B:$B,$A725,従業員の給与情報!$E:$E)),0,IF(ISERROR(AVERAGEIF(従業員の給与情報!$B:$B,$A725,従業員の給与情報!$E:$E)),0,AVERAGEIF(従業員の給与情報!$B:$B,$A725,従業員の給与情報!$E:$E)))))</f>
        <v/>
      </c>
      <c r="W725" s="299" t="str">
        <f>IF(OR(入力シート!$C$5&lt;&gt;入力リスト!$C$3,COUNTIF(入力シート!$J$16:$S$23,入力リスト!$H$9)=0),"",IF(A725="","",IF(ISERROR(AVERAGEIF(従業員の給与情報!$B:$B,$A725,従業員の給与情報!$F:$F)),0,IF(ISERROR(AVERAGEIF(従業員の給与情報!$B:$B,$A725,従業員の給与情報!$F:$F)),0,AVERAGEIF(従業員の給与情報!$B:$B,$A725,従業員の給与情報!$F:$F)))))</f>
        <v/>
      </c>
      <c r="X725" s="581" t="s">
        <v>5464</v>
      </c>
    </row>
    <row r="726" spans="6:24">
      <c r="F726" s="297" t="str">
        <f>IF($G$1,"",IF(COUNTIF(A726:E726,"")=5,"",IF(G726,入力リスト!$K$28,IF(OR(A726="",B726="",IF(COUNTIF($C$3,"*不要*"),"",C726=""),D726=""),IF(A726="","従業員番号","")&amp;IF(B726="","「雇用形態」","")&amp;IF(OR(入力シート!$J$18=入力リスト!$H$9,入力シート!$J$22=入力リスト!$H$9),IF(C726="","「入社年月日」",""),"")&amp;IF(D726="","「性別」","")&amp;IF(IF(A726="","従業員番号","")&amp;IF(B726="","「雇用形態」","")&amp;IF(OR(入力シート!$J$18=入力リスト!$H$9,入力シート!$J$22=入力リスト!$H$9),IF(C726="","「入社年月日」",""),"")&amp;IF(D726="","「性別」","")="","",入力リスト!$K$29),IF(J726,入力リスト!$K$30,"")&amp;IF(I726,入力リスト!$K$31,"")&amp;IF(H726,"「雇用形態」","")&amp;IF(K726,"「性別」","")&amp;IF(L726,"「役職」","")&amp;IF(OR(H726,K726,L726),入力リスト!$K$32,"")))))</f>
        <v/>
      </c>
      <c r="G726" s="298" t="b">
        <f>COUNTIF($A$4:A725,$A726)&gt;0</f>
        <v>0</v>
      </c>
      <c r="H726" s="298" t="b">
        <f>IF($H$1,FALSE,COUNTIF(入力シート!$S$37:$V$62,B726)=0)</f>
        <v>0</v>
      </c>
      <c r="I726" s="298" t="b">
        <f t="shared" si="23"/>
        <v>0</v>
      </c>
      <c r="J726" s="298" t="b">
        <f>IF($J$1,FALSE,IF(I726=TRUE,FALSE,IF(I726,FALSE,C726&gt;入力シート!$J$24)))</f>
        <v>0</v>
      </c>
      <c r="K726" s="298" t="b">
        <f>IF($K$1,FALSE,COUNTIF(入力シート!$AW$37:$BB$38,D726)=0)</f>
        <v>0</v>
      </c>
      <c r="L726" s="298" t="b">
        <f>IF($L$1,FALSE,IF($L$3,FALSE,IF(E726="",FALSE,COUNTIF(入力シート!$AH$37:$AK$62,E726)=0)))</f>
        <v>0</v>
      </c>
      <c r="M726" s="298" t="str">
        <f t="shared" si="24"/>
        <v/>
      </c>
      <c r="N726" s="298" t="str">
        <f>IF(G726,"この従業員番号は、すでに他のセルで入力されています。",IF(入力シート!$C$5=入力リスト!$C$4,"",IF(AND(A726="",B726="",C726="",D726="",E726=""),"",IF(OR(A726="",B726="",C726="",D726=""),IF(A726="","従業員番号","")&amp;IF(AND(A726="",OR(B726="",C726="",D726="")),",","")&amp;IF(B726="","雇用形態","")&amp;IF(AND(B726="",OR(C726="",D726="")),",","")&amp;IF(OR(入力シート!$J$18=入力リスト!$H$9,入力シート!$J$22=入力リスト!$H$9),IF(C726="","入社年月日",""),"")&amp;IF(AND(C726="",D726=""),",","")&amp;IF(D726="","性別","")&amp;IF(IF(A726="","従業員番号","")&amp;IF(B726="","雇用形態","")&amp;IF(OR(入力シート!$J$18=入力リスト!$H$9,入力シート!$J$22=入力リスト!$H$9),IF(C726="","入社年月日",""),"")&amp;IF(D726="","性別","")="","","が空白です。"),IF(J726,"入社年月日に「基準日」の翌日以降の日付が入力されています。","")&amp;IF(I726,"入社年月日に数値以外（又は1900/1/1以前の日付）が入力されています。","")&amp;IF(H726,"雇用形態"&amp;IF(OR(K726,L726),",",""),"")&amp;IF(K726,"性別"&amp;IF(L726,",",""),"")&amp;IF(L726,"役職","")&amp;IF(OR(H726,K726,L726),"に、［入力シート］(4)「貴社」欄と異なる文言が入力されています。","")))))</f>
        <v/>
      </c>
      <c r="O726" s="298" t="str">
        <f>IF(B726="","",VLOOKUP('従業員情報(給与以外)'!$B726,入力シート!$S$37:$Z$62,5,0))</f>
        <v/>
      </c>
      <c r="P726" s="298" t="str">
        <f>IF(ISNUMBER(C726)=FALSE,"",IF(C726&gt;入力シート!$J$24,"",_xlfn.DAYS(入力シート!$J$24,'従業員情報(給与以外)'!$C726)/365))</f>
        <v/>
      </c>
      <c r="Q726" s="298" t="str">
        <f>IF(P726="","",VLOOKUP(_xlfn.DAYS(入力シート!$J$24,'従業員情報(給与以外)'!$C726)/365,入力リスト!$K$18:$L$26,2,2))</f>
        <v/>
      </c>
      <c r="R726" s="298" t="str">
        <f>IF(D726="","",VLOOKUP('従業員情報(給与以外)'!$D726,入力シート!$AW$37:$BB$38,4,0))</f>
        <v/>
      </c>
      <c r="S726" s="298" t="str">
        <f>IF(A726="","",IF(E726="","非役職",VLOOKUP('従業員情報(給与以外)'!$E726,入力シート!$AH$37:$AO$62,5,0)))</f>
        <v/>
      </c>
      <c r="T726" s="299" t="str">
        <f>IF(OR(入力シート!$C$5&lt;&gt;入力リスト!$C$3,COUNTIF(入力シート!$J$16:$S$23,入力リスト!$H$9)=0),"",IF($A726="","",IF(ISERROR(AVERAGEIF(従業員の給与情報!$B:$B,$A726,従業員の給与情報!$C:$C)),0,IF(ISERROR(AVERAGEIF(従業員の給与情報!$B:$B,$A726,従業員の給与情報!$C:$C)),0,AVERAGEIF(従業員の給与情報!$B:$B,$A726,従業員の給与情報!$C:$C)))))</f>
        <v/>
      </c>
      <c r="U726" s="299" t="str">
        <f>IF(OR(入力シート!$C$5&lt;&gt;入力リスト!$C$3,COUNTIF(入力シート!$J$16:$S$23,入力リスト!$H$9)=0),"",IF(A726="","",IF(ISERROR(AVERAGEIF(従業員の給与情報!$B:$B,$A726,従業員の給与情報!$D:$D)),0,IF(ISERROR(AVERAGEIF(従業員の給与情報!$B:$B,$A726,従業員の給与情報!$D:$D)),0,AVERAGEIF(従業員の給与情報!$B:$B,$A726,従業員の給与情報!$D:$D)))))</f>
        <v/>
      </c>
      <c r="V726" s="299" t="str">
        <f>IF(OR(入力シート!$C$5&lt;&gt;入力リスト!$C$3,COUNTIF(入力シート!$J$16:$S$23,入力リスト!$H$9)=0),"",IF(A726="","",IF(ISERROR(AVERAGEIF(従業員の給与情報!$B:$B,$A726,従業員の給与情報!$E:$E)),0,IF(ISERROR(AVERAGEIF(従業員の給与情報!$B:$B,$A726,従業員の給与情報!$E:$E)),0,AVERAGEIF(従業員の給与情報!$B:$B,$A726,従業員の給与情報!$E:$E)))))</f>
        <v/>
      </c>
      <c r="W726" s="299" t="str">
        <f>IF(OR(入力シート!$C$5&lt;&gt;入力リスト!$C$3,COUNTIF(入力シート!$J$16:$S$23,入力リスト!$H$9)=0),"",IF(A726="","",IF(ISERROR(AVERAGEIF(従業員の給与情報!$B:$B,$A726,従業員の給与情報!$F:$F)),0,IF(ISERROR(AVERAGEIF(従業員の給与情報!$B:$B,$A726,従業員の給与情報!$F:$F)),0,AVERAGEIF(従業員の給与情報!$B:$B,$A726,従業員の給与情報!$F:$F)))))</f>
        <v/>
      </c>
      <c r="X726" s="581" t="s">
        <v>5465</v>
      </c>
    </row>
    <row r="727" spans="6:24">
      <c r="F727" s="297" t="str">
        <f>IF($G$1,"",IF(COUNTIF(A727:E727,"")=5,"",IF(G727,入力リスト!$K$28,IF(OR(A727="",B727="",IF(COUNTIF($C$3,"*不要*"),"",C727=""),D727=""),IF(A727="","従業員番号","")&amp;IF(B727="","「雇用形態」","")&amp;IF(OR(入力シート!$J$18=入力リスト!$H$9,入力シート!$J$22=入力リスト!$H$9),IF(C727="","「入社年月日」",""),"")&amp;IF(D727="","「性別」","")&amp;IF(IF(A727="","従業員番号","")&amp;IF(B727="","「雇用形態」","")&amp;IF(OR(入力シート!$J$18=入力リスト!$H$9,入力シート!$J$22=入力リスト!$H$9),IF(C727="","「入社年月日」",""),"")&amp;IF(D727="","「性別」","")="","",入力リスト!$K$29),IF(J727,入力リスト!$K$30,"")&amp;IF(I727,入力リスト!$K$31,"")&amp;IF(H727,"「雇用形態」","")&amp;IF(K727,"「性別」","")&amp;IF(L727,"「役職」","")&amp;IF(OR(H727,K727,L727),入力リスト!$K$32,"")))))</f>
        <v/>
      </c>
      <c r="G727" s="298" t="b">
        <f>COUNTIF($A$4:A726,$A727)&gt;0</f>
        <v>0</v>
      </c>
      <c r="H727" s="298" t="b">
        <f>IF($H$1,FALSE,COUNTIF(入力シート!$S$37:$V$62,B727)=0)</f>
        <v>0</v>
      </c>
      <c r="I727" s="298" t="b">
        <f t="shared" si="23"/>
        <v>0</v>
      </c>
      <c r="J727" s="298" t="b">
        <f>IF($J$1,FALSE,IF(I727=TRUE,FALSE,IF(I727,FALSE,C727&gt;入力シート!$J$24)))</f>
        <v>0</v>
      </c>
      <c r="K727" s="298" t="b">
        <f>IF($K$1,FALSE,COUNTIF(入力シート!$AW$37:$BB$38,D727)=0)</f>
        <v>0</v>
      </c>
      <c r="L727" s="298" t="b">
        <f>IF($L$1,FALSE,IF($L$3,FALSE,IF(E727="",FALSE,COUNTIF(入力シート!$AH$37:$AK$62,E727)=0)))</f>
        <v>0</v>
      </c>
      <c r="M727" s="298" t="str">
        <f t="shared" si="24"/>
        <v/>
      </c>
      <c r="N727" s="298" t="str">
        <f>IF(G727,"この従業員番号は、すでに他のセルで入力されています。",IF(入力シート!$C$5=入力リスト!$C$4,"",IF(AND(A727="",B727="",C727="",D727="",E727=""),"",IF(OR(A727="",B727="",C727="",D727=""),IF(A727="","従業員番号","")&amp;IF(AND(A727="",OR(B727="",C727="",D727="")),",","")&amp;IF(B727="","雇用形態","")&amp;IF(AND(B727="",OR(C727="",D727="")),",","")&amp;IF(OR(入力シート!$J$18=入力リスト!$H$9,入力シート!$J$22=入力リスト!$H$9),IF(C727="","入社年月日",""),"")&amp;IF(AND(C727="",D727=""),",","")&amp;IF(D727="","性別","")&amp;IF(IF(A727="","従業員番号","")&amp;IF(B727="","雇用形態","")&amp;IF(OR(入力シート!$J$18=入力リスト!$H$9,入力シート!$J$22=入力リスト!$H$9),IF(C727="","入社年月日",""),"")&amp;IF(D727="","性別","")="","","が空白です。"),IF(J727,"入社年月日に「基準日」の翌日以降の日付が入力されています。","")&amp;IF(I727,"入社年月日に数値以外（又は1900/1/1以前の日付）が入力されています。","")&amp;IF(H727,"雇用形態"&amp;IF(OR(K727,L727),",",""),"")&amp;IF(K727,"性別"&amp;IF(L727,",",""),"")&amp;IF(L727,"役職","")&amp;IF(OR(H727,K727,L727),"に、［入力シート］(4)「貴社」欄と異なる文言が入力されています。","")))))</f>
        <v/>
      </c>
      <c r="O727" s="298" t="str">
        <f>IF(B727="","",VLOOKUP('従業員情報(給与以外)'!$B727,入力シート!$S$37:$Z$62,5,0))</f>
        <v/>
      </c>
      <c r="P727" s="298" t="str">
        <f>IF(ISNUMBER(C727)=FALSE,"",IF(C727&gt;入力シート!$J$24,"",_xlfn.DAYS(入力シート!$J$24,'従業員情報(給与以外)'!$C727)/365))</f>
        <v/>
      </c>
      <c r="Q727" s="298" t="str">
        <f>IF(P727="","",VLOOKUP(_xlfn.DAYS(入力シート!$J$24,'従業員情報(給与以外)'!$C727)/365,入力リスト!$K$18:$L$26,2,2))</f>
        <v/>
      </c>
      <c r="R727" s="298" t="str">
        <f>IF(D727="","",VLOOKUP('従業員情報(給与以外)'!$D727,入力シート!$AW$37:$BB$38,4,0))</f>
        <v/>
      </c>
      <c r="S727" s="298" t="str">
        <f>IF(A727="","",IF(E727="","非役職",VLOOKUP('従業員情報(給与以外)'!$E727,入力シート!$AH$37:$AO$62,5,0)))</f>
        <v/>
      </c>
      <c r="T727" s="299" t="str">
        <f>IF(OR(入力シート!$C$5&lt;&gt;入力リスト!$C$3,COUNTIF(入力シート!$J$16:$S$23,入力リスト!$H$9)=0),"",IF($A727="","",IF(ISERROR(AVERAGEIF(従業員の給与情報!$B:$B,$A727,従業員の給与情報!$C:$C)),0,IF(ISERROR(AVERAGEIF(従業員の給与情報!$B:$B,$A727,従業員の給与情報!$C:$C)),0,AVERAGEIF(従業員の給与情報!$B:$B,$A727,従業員の給与情報!$C:$C)))))</f>
        <v/>
      </c>
      <c r="U727" s="299" t="str">
        <f>IF(OR(入力シート!$C$5&lt;&gt;入力リスト!$C$3,COUNTIF(入力シート!$J$16:$S$23,入力リスト!$H$9)=0),"",IF(A727="","",IF(ISERROR(AVERAGEIF(従業員の給与情報!$B:$B,$A727,従業員の給与情報!$D:$D)),0,IF(ISERROR(AVERAGEIF(従業員の給与情報!$B:$B,$A727,従業員の給与情報!$D:$D)),0,AVERAGEIF(従業員の給与情報!$B:$B,$A727,従業員の給与情報!$D:$D)))))</f>
        <v/>
      </c>
      <c r="V727" s="299" t="str">
        <f>IF(OR(入力シート!$C$5&lt;&gt;入力リスト!$C$3,COUNTIF(入力シート!$J$16:$S$23,入力リスト!$H$9)=0),"",IF(A727="","",IF(ISERROR(AVERAGEIF(従業員の給与情報!$B:$B,$A727,従業員の給与情報!$E:$E)),0,IF(ISERROR(AVERAGEIF(従業員の給与情報!$B:$B,$A727,従業員の給与情報!$E:$E)),0,AVERAGEIF(従業員の給与情報!$B:$B,$A727,従業員の給与情報!$E:$E)))))</f>
        <v/>
      </c>
      <c r="W727" s="299" t="str">
        <f>IF(OR(入力シート!$C$5&lt;&gt;入力リスト!$C$3,COUNTIF(入力シート!$J$16:$S$23,入力リスト!$H$9)=0),"",IF(A727="","",IF(ISERROR(AVERAGEIF(従業員の給与情報!$B:$B,$A727,従業員の給与情報!$F:$F)),0,IF(ISERROR(AVERAGEIF(従業員の給与情報!$B:$B,$A727,従業員の給与情報!$F:$F)),0,AVERAGEIF(従業員の給与情報!$B:$B,$A727,従業員の給与情報!$F:$F)))))</f>
        <v/>
      </c>
      <c r="X727" s="581" t="s">
        <v>5466</v>
      </c>
    </row>
    <row r="728" spans="6:24">
      <c r="F728" s="297" t="str">
        <f>IF($G$1,"",IF(COUNTIF(A728:E728,"")=5,"",IF(G728,入力リスト!$K$28,IF(OR(A728="",B728="",IF(COUNTIF($C$3,"*不要*"),"",C728=""),D728=""),IF(A728="","従業員番号","")&amp;IF(B728="","「雇用形態」","")&amp;IF(OR(入力シート!$J$18=入力リスト!$H$9,入力シート!$J$22=入力リスト!$H$9),IF(C728="","「入社年月日」",""),"")&amp;IF(D728="","「性別」","")&amp;IF(IF(A728="","従業員番号","")&amp;IF(B728="","「雇用形態」","")&amp;IF(OR(入力シート!$J$18=入力リスト!$H$9,入力シート!$J$22=入力リスト!$H$9),IF(C728="","「入社年月日」",""),"")&amp;IF(D728="","「性別」","")="","",入力リスト!$K$29),IF(J728,入力リスト!$K$30,"")&amp;IF(I728,入力リスト!$K$31,"")&amp;IF(H728,"「雇用形態」","")&amp;IF(K728,"「性別」","")&amp;IF(L728,"「役職」","")&amp;IF(OR(H728,K728,L728),入力リスト!$K$32,"")))))</f>
        <v/>
      </c>
      <c r="G728" s="298" t="b">
        <f>COUNTIF($A$4:A727,$A728)&gt;0</f>
        <v>0</v>
      </c>
      <c r="H728" s="298" t="b">
        <f>IF($H$1,FALSE,COUNTIF(入力シート!$S$37:$V$62,B728)=0)</f>
        <v>0</v>
      </c>
      <c r="I728" s="298" t="b">
        <f t="shared" si="23"/>
        <v>0</v>
      </c>
      <c r="J728" s="298" t="b">
        <f>IF($J$1,FALSE,IF(I728=TRUE,FALSE,IF(I728,FALSE,C728&gt;入力シート!$J$24)))</f>
        <v>0</v>
      </c>
      <c r="K728" s="298" t="b">
        <f>IF($K$1,FALSE,COUNTIF(入力シート!$AW$37:$BB$38,D728)=0)</f>
        <v>0</v>
      </c>
      <c r="L728" s="298" t="b">
        <f>IF($L$1,FALSE,IF($L$3,FALSE,IF(E728="",FALSE,COUNTIF(入力シート!$AH$37:$AK$62,E728)=0)))</f>
        <v>0</v>
      </c>
      <c r="M728" s="298" t="str">
        <f t="shared" si="24"/>
        <v/>
      </c>
      <c r="N728" s="298" t="str">
        <f>IF(G728,"この従業員番号は、すでに他のセルで入力されています。",IF(入力シート!$C$5=入力リスト!$C$4,"",IF(AND(A728="",B728="",C728="",D728="",E728=""),"",IF(OR(A728="",B728="",C728="",D728=""),IF(A728="","従業員番号","")&amp;IF(AND(A728="",OR(B728="",C728="",D728="")),",","")&amp;IF(B728="","雇用形態","")&amp;IF(AND(B728="",OR(C728="",D728="")),",","")&amp;IF(OR(入力シート!$J$18=入力リスト!$H$9,入力シート!$J$22=入力リスト!$H$9),IF(C728="","入社年月日",""),"")&amp;IF(AND(C728="",D728=""),",","")&amp;IF(D728="","性別","")&amp;IF(IF(A728="","従業員番号","")&amp;IF(B728="","雇用形態","")&amp;IF(OR(入力シート!$J$18=入力リスト!$H$9,入力シート!$J$22=入力リスト!$H$9),IF(C728="","入社年月日",""),"")&amp;IF(D728="","性別","")="","","が空白です。"),IF(J728,"入社年月日に「基準日」の翌日以降の日付が入力されています。","")&amp;IF(I728,"入社年月日に数値以外（又は1900/1/1以前の日付）が入力されています。","")&amp;IF(H728,"雇用形態"&amp;IF(OR(K728,L728),",",""),"")&amp;IF(K728,"性別"&amp;IF(L728,",",""),"")&amp;IF(L728,"役職","")&amp;IF(OR(H728,K728,L728),"に、［入力シート］(4)「貴社」欄と異なる文言が入力されています。","")))))</f>
        <v/>
      </c>
      <c r="O728" s="298" t="str">
        <f>IF(B728="","",VLOOKUP('従業員情報(給与以外)'!$B728,入力シート!$S$37:$Z$62,5,0))</f>
        <v/>
      </c>
      <c r="P728" s="298" t="str">
        <f>IF(ISNUMBER(C728)=FALSE,"",IF(C728&gt;入力シート!$J$24,"",_xlfn.DAYS(入力シート!$J$24,'従業員情報(給与以外)'!$C728)/365))</f>
        <v/>
      </c>
      <c r="Q728" s="298" t="str">
        <f>IF(P728="","",VLOOKUP(_xlfn.DAYS(入力シート!$J$24,'従業員情報(給与以外)'!$C728)/365,入力リスト!$K$18:$L$26,2,2))</f>
        <v/>
      </c>
      <c r="R728" s="298" t="str">
        <f>IF(D728="","",VLOOKUP('従業員情報(給与以外)'!$D728,入力シート!$AW$37:$BB$38,4,0))</f>
        <v/>
      </c>
      <c r="S728" s="298" t="str">
        <f>IF(A728="","",IF(E728="","非役職",VLOOKUP('従業員情報(給与以外)'!$E728,入力シート!$AH$37:$AO$62,5,0)))</f>
        <v/>
      </c>
      <c r="T728" s="299" t="str">
        <f>IF(OR(入力シート!$C$5&lt;&gt;入力リスト!$C$3,COUNTIF(入力シート!$J$16:$S$23,入力リスト!$H$9)=0),"",IF($A728="","",IF(ISERROR(AVERAGEIF(従業員の給与情報!$B:$B,$A728,従業員の給与情報!$C:$C)),0,IF(ISERROR(AVERAGEIF(従業員の給与情報!$B:$B,$A728,従業員の給与情報!$C:$C)),0,AVERAGEIF(従業員の給与情報!$B:$B,$A728,従業員の給与情報!$C:$C)))))</f>
        <v/>
      </c>
      <c r="U728" s="299" t="str">
        <f>IF(OR(入力シート!$C$5&lt;&gt;入力リスト!$C$3,COUNTIF(入力シート!$J$16:$S$23,入力リスト!$H$9)=0),"",IF(A728="","",IF(ISERROR(AVERAGEIF(従業員の給与情報!$B:$B,$A728,従業員の給与情報!$D:$D)),0,IF(ISERROR(AVERAGEIF(従業員の給与情報!$B:$B,$A728,従業員の給与情報!$D:$D)),0,AVERAGEIF(従業員の給与情報!$B:$B,$A728,従業員の給与情報!$D:$D)))))</f>
        <v/>
      </c>
      <c r="V728" s="299" t="str">
        <f>IF(OR(入力シート!$C$5&lt;&gt;入力リスト!$C$3,COUNTIF(入力シート!$J$16:$S$23,入力リスト!$H$9)=0),"",IF(A728="","",IF(ISERROR(AVERAGEIF(従業員の給与情報!$B:$B,$A728,従業員の給与情報!$E:$E)),0,IF(ISERROR(AVERAGEIF(従業員の給与情報!$B:$B,$A728,従業員の給与情報!$E:$E)),0,AVERAGEIF(従業員の給与情報!$B:$B,$A728,従業員の給与情報!$E:$E)))))</f>
        <v/>
      </c>
      <c r="W728" s="299" t="str">
        <f>IF(OR(入力シート!$C$5&lt;&gt;入力リスト!$C$3,COUNTIF(入力シート!$J$16:$S$23,入力リスト!$H$9)=0),"",IF(A728="","",IF(ISERROR(AVERAGEIF(従業員の給与情報!$B:$B,$A728,従業員の給与情報!$F:$F)),0,IF(ISERROR(AVERAGEIF(従業員の給与情報!$B:$B,$A728,従業員の給与情報!$F:$F)),0,AVERAGEIF(従業員の給与情報!$B:$B,$A728,従業員の給与情報!$F:$F)))))</f>
        <v/>
      </c>
      <c r="X728" s="581" t="s">
        <v>5467</v>
      </c>
    </row>
    <row r="729" spans="6:24">
      <c r="F729" s="297" t="str">
        <f>IF($G$1,"",IF(COUNTIF(A729:E729,"")=5,"",IF(G729,入力リスト!$K$28,IF(OR(A729="",B729="",IF(COUNTIF($C$3,"*不要*"),"",C729=""),D729=""),IF(A729="","従業員番号","")&amp;IF(B729="","「雇用形態」","")&amp;IF(OR(入力シート!$J$18=入力リスト!$H$9,入力シート!$J$22=入力リスト!$H$9),IF(C729="","「入社年月日」",""),"")&amp;IF(D729="","「性別」","")&amp;IF(IF(A729="","従業員番号","")&amp;IF(B729="","「雇用形態」","")&amp;IF(OR(入力シート!$J$18=入力リスト!$H$9,入力シート!$J$22=入力リスト!$H$9),IF(C729="","「入社年月日」",""),"")&amp;IF(D729="","「性別」","")="","",入力リスト!$K$29),IF(J729,入力リスト!$K$30,"")&amp;IF(I729,入力リスト!$K$31,"")&amp;IF(H729,"「雇用形態」","")&amp;IF(K729,"「性別」","")&amp;IF(L729,"「役職」","")&amp;IF(OR(H729,K729,L729),入力リスト!$K$32,"")))))</f>
        <v/>
      </c>
      <c r="G729" s="298" t="b">
        <f>COUNTIF($A$4:A728,$A729)&gt;0</f>
        <v>0</v>
      </c>
      <c r="H729" s="298" t="b">
        <f>IF($H$1,FALSE,COUNTIF(入力シート!$S$37:$V$62,B729)=0)</f>
        <v>0</v>
      </c>
      <c r="I729" s="298" t="b">
        <f t="shared" si="23"/>
        <v>0</v>
      </c>
      <c r="J729" s="298" t="b">
        <f>IF($J$1,FALSE,IF(I729=TRUE,FALSE,IF(I729,FALSE,C729&gt;入力シート!$J$24)))</f>
        <v>0</v>
      </c>
      <c r="K729" s="298" t="b">
        <f>IF($K$1,FALSE,COUNTIF(入力シート!$AW$37:$BB$38,D729)=0)</f>
        <v>0</v>
      </c>
      <c r="L729" s="298" t="b">
        <f>IF($L$1,FALSE,IF($L$3,FALSE,IF(E729="",FALSE,COUNTIF(入力シート!$AH$37:$AK$62,E729)=0)))</f>
        <v>0</v>
      </c>
      <c r="M729" s="298" t="str">
        <f t="shared" si="24"/>
        <v/>
      </c>
      <c r="N729" s="298" t="str">
        <f>IF(G729,"この従業員番号は、すでに他のセルで入力されています。",IF(入力シート!$C$5=入力リスト!$C$4,"",IF(AND(A729="",B729="",C729="",D729="",E729=""),"",IF(OR(A729="",B729="",C729="",D729=""),IF(A729="","従業員番号","")&amp;IF(AND(A729="",OR(B729="",C729="",D729="")),",","")&amp;IF(B729="","雇用形態","")&amp;IF(AND(B729="",OR(C729="",D729="")),",","")&amp;IF(OR(入力シート!$J$18=入力リスト!$H$9,入力シート!$J$22=入力リスト!$H$9),IF(C729="","入社年月日",""),"")&amp;IF(AND(C729="",D729=""),",","")&amp;IF(D729="","性別","")&amp;IF(IF(A729="","従業員番号","")&amp;IF(B729="","雇用形態","")&amp;IF(OR(入力シート!$J$18=入力リスト!$H$9,入力シート!$J$22=入力リスト!$H$9),IF(C729="","入社年月日",""),"")&amp;IF(D729="","性別","")="","","が空白です。"),IF(J729,"入社年月日に「基準日」の翌日以降の日付が入力されています。","")&amp;IF(I729,"入社年月日に数値以外（又は1900/1/1以前の日付）が入力されています。","")&amp;IF(H729,"雇用形態"&amp;IF(OR(K729,L729),",",""),"")&amp;IF(K729,"性別"&amp;IF(L729,",",""),"")&amp;IF(L729,"役職","")&amp;IF(OR(H729,K729,L729),"に、［入力シート］(4)「貴社」欄と異なる文言が入力されています。","")))))</f>
        <v/>
      </c>
      <c r="O729" s="298" t="str">
        <f>IF(B729="","",VLOOKUP('従業員情報(給与以外)'!$B729,入力シート!$S$37:$Z$62,5,0))</f>
        <v/>
      </c>
      <c r="P729" s="298" t="str">
        <f>IF(ISNUMBER(C729)=FALSE,"",IF(C729&gt;入力シート!$J$24,"",_xlfn.DAYS(入力シート!$J$24,'従業員情報(給与以外)'!$C729)/365))</f>
        <v/>
      </c>
      <c r="Q729" s="298" t="str">
        <f>IF(P729="","",VLOOKUP(_xlfn.DAYS(入力シート!$J$24,'従業員情報(給与以外)'!$C729)/365,入力リスト!$K$18:$L$26,2,2))</f>
        <v/>
      </c>
      <c r="R729" s="298" t="str">
        <f>IF(D729="","",VLOOKUP('従業員情報(給与以外)'!$D729,入力シート!$AW$37:$BB$38,4,0))</f>
        <v/>
      </c>
      <c r="S729" s="298" t="str">
        <f>IF(A729="","",IF(E729="","非役職",VLOOKUP('従業員情報(給与以外)'!$E729,入力シート!$AH$37:$AO$62,5,0)))</f>
        <v/>
      </c>
      <c r="T729" s="299" t="str">
        <f>IF(OR(入力シート!$C$5&lt;&gt;入力リスト!$C$3,COUNTIF(入力シート!$J$16:$S$23,入力リスト!$H$9)=0),"",IF($A729="","",IF(ISERROR(AVERAGEIF(従業員の給与情報!$B:$B,$A729,従業員の給与情報!$C:$C)),0,IF(ISERROR(AVERAGEIF(従業員の給与情報!$B:$B,$A729,従業員の給与情報!$C:$C)),0,AVERAGEIF(従業員の給与情報!$B:$B,$A729,従業員の給与情報!$C:$C)))))</f>
        <v/>
      </c>
      <c r="U729" s="299" t="str">
        <f>IF(OR(入力シート!$C$5&lt;&gt;入力リスト!$C$3,COUNTIF(入力シート!$J$16:$S$23,入力リスト!$H$9)=0),"",IF(A729="","",IF(ISERROR(AVERAGEIF(従業員の給与情報!$B:$B,$A729,従業員の給与情報!$D:$D)),0,IF(ISERROR(AVERAGEIF(従業員の給与情報!$B:$B,$A729,従業員の給与情報!$D:$D)),0,AVERAGEIF(従業員の給与情報!$B:$B,$A729,従業員の給与情報!$D:$D)))))</f>
        <v/>
      </c>
      <c r="V729" s="299" t="str">
        <f>IF(OR(入力シート!$C$5&lt;&gt;入力リスト!$C$3,COUNTIF(入力シート!$J$16:$S$23,入力リスト!$H$9)=0),"",IF(A729="","",IF(ISERROR(AVERAGEIF(従業員の給与情報!$B:$B,$A729,従業員の給与情報!$E:$E)),0,IF(ISERROR(AVERAGEIF(従業員の給与情報!$B:$B,$A729,従業員の給与情報!$E:$E)),0,AVERAGEIF(従業員の給与情報!$B:$B,$A729,従業員の給与情報!$E:$E)))))</f>
        <v/>
      </c>
      <c r="W729" s="299" t="str">
        <f>IF(OR(入力シート!$C$5&lt;&gt;入力リスト!$C$3,COUNTIF(入力シート!$J$16:$S$23,入力リスト!$H$9)=0),"",IF(A729="","",IF(ISERROR(AVERAGEIF(従業員の給与情報!$B:$B,$A729,従業員の給与情報!$F:$F)),0,IF(ISERROR(AVERAGEIF(従業員の給与情報!$B:$B,$A729,従業員の給与情報!$F:$F)),0,AVERAGEIF(従業員の給与情報!$B:$B,$A729,従業員の給与情報!$F:$F)))))</f>
        <v/>
      </c>
      <c r="X729" s="581" t="s">
        <v>5468</v>
      </c>
    </row>
    <row r="730" spans="6:24">
      <c r="F730" s="297" t="str">
        <f>IF($G$1,"",IF(COUNTIF(A730:E730,"")=5,"",IF(G730,入力リスト!$K$28,IF(OR(A730="",B730="",IF(COUNTIF($C$3,"*不要*"),"",C730=""),D730=""),IF(A730="","従業員番号","")&amp;IF(B730="","「雇用形態」","")&amp;IF(OR(入力シート!$J$18=入力リスト!$H$9,入力シート!$J$22=入力リスト!$H$9),IF(C730="","「入社年月日」",""),"")&amp;IF(D730="","「性別」","")&amp;IF(IF(A730="","従業員番号","")&amp;IF(B730="","「雇用形態」","")&amp;IF(OR(入力シート!$J$18=入力リスト!$H$9,入力シート!$J$22=入力リスト!$H$9),IF(C730="","「入社年月日」",""),"")&amp;IF(D730="","「性別」","")="","",入力リスト!$K$29),IF(J730,入力リスト!$K$30,"")&amp;IF(I730,入力リスト!$K$31,"")&amp;IF(H730,"「雇用形態」","")&amp;IF(K730,"「性別」","")&amp;IF(L730,"「役職」","")&amp;IF(OR(H730,K730,L730),入力リスト!$K$32,"")))))</f>
        <v/>
      </c>
      <c r="G730" s="298" t="b">
        <f>COUNTIF($A$4:A729,$A730)&gt;0</f>
        <v>0</v>
      </c>
      <c r="H730" s="298" t="b">
        <f>IF($H$1,FALSE,COUNTIF(入力シート!$S$37:$V$62,B730)=0)</f>
        <v>0</v>
      </c>
      <c r="I730" s="298" t="b">
        <f t="shared" si="23"/>
        <v>0</v>
      </c>
      <c r="J730" s="298" t="b">
        <f>IF($J$1,FALSE,IF(I730=TRUE,FALSE,IF(I730,FALSE,C730&gt;入力シート!$J$24)))</f>
        <v>0</v>
      </c>
      <c r="K730" s="298" t="b">
        <f>IF($K$1,FALSE,COUNTIF(入力シート!$AW$37:$BB$38,D730)=0)</f>
        <v>0</v>
      </c>
      <c r="L730" s="298" t="b">
        <f>IF($L$1,FALSE,IF($L$3,FALSE,IF(E730="",FALSE,COUNTIF(入力シート!$AH$37:$AK$62,E730)=0)))</f>
        <v>0</v>
      </c>
      <c r="M730" s="298" t="str">
        <f t="shared" si="24"/>
        <v/>
      </c>
      <c r="N730" s="298" t="str">
        <f>IF(G730,"この従業員番号は、すでに他のセルで入力されています。",IF(入力シート!$C$5=入力リスト!$C$4,"",IF(AND(A730="",B730="",C730="",D730="",E730=""),"",IF(OR(A730="",B730="",C730="",D730=""),IF(A730="","従業員番号","")&amp;IF(AND(A730="",OR(B730="",C730="",D730="")),",","")&amp;IF(B730="","雇用形態","")&amp;IF(AND(B730="",OR(C730="",D730="")),",","")&amp;IF(OR(入力シート!$J$18=入力リスト!$H$9,入力シート!$J$22=入力リスト!$H$9),IF(C730="","入社年月日",""),"")&amp;IF(AND(C730="",D730=""),",","")&amp;IF(D730="","性別","")&amp;IF(IF(A730="","従業員番号","")&amp;IF(B730="","雇用形態","")&amp;IF(OR(入力シート!$J$18=入力リスト!$H$9,入力シート!$J$22=入力リスト!$H$9),IF(C730="","入社年月日",""),"")&amp;IF(D730="","性別","")="","","が空白です。"),IF(J730,"入社年月日に「基準日」の翌日以降の日付が入力されています。","")&amp;IF(I730,"入社年月日に数値以外（又は1900/1/1以前の日付）が入力されています。","")&amp;IF(H730,"雇用形態"&amp;IF(OR(K730,L730),",",""),"")&amp;IF(K730,"性別"&amp;IF(L730,",",""),"")&amp;IF(L730,"役職","")&amp;IF(OR(H730,K730,L730),"に、［入力シート］(4)「貴社」欄と異なる文言が入力されています。","")))))</f>
        <v/>
      </c>
      <c r="O730" s="298" t="str">
        <f>IF(B730="","",VLOOKUP('従業員情報(給与以外)'!$B730,入力シート!$S$37:$Z$62,5,0))</f>
        <v/>
      </c>
      <c r="P730" s="298" t="str">
        <f>IF(ISNUMBER(C730)=FALSE,"",IF(C730&gt;入力シート!$J$24,"",_xlfn.DAYS(入力シート!$J$24,'従業員情報(給与以外)'!$C730)/365))</f>
        <v/>
      </c>
      <c r="Q730" s="298" t="str">
        <f>IF(P730="","",VLOOKUP(_xlfn.DAYS(入力シート!$J$24,'従業員情報(給与以外)'!$C730)/365,入力リスト!$K$18:$L$26,2,2))</f>
        <v/>
      </c>
      <c r="R730" s="298" t="str">
        <f>IF(D730="","",VLOOKUP('従業員情報(給与以外)'!$D730,入力シート!$AW$37:$BB$38,4,0))</f>
        <v/>
      </c>
      <c r="S730" s="298" t="str">
        <f>IF(A730="","",IF(E730="","非役職",VLOOKUP('従業員情報(給与以外)'!$E730,入力シート!$AH$37:$AO$62,5,0)))</f>
        <v/>
      </c>
      <c r="T730" s="299" t="str">
        <f>IF(OR(入力シート!$C$5&lt;&gt;入力リスト!$C$3,COUNTIF(入力シート!$J$16:$S$23,入力リスト!$H$9)=0),"",IF($A730="","",IF(ISERROR(AVERAGEIF(従業員の給与情報!$B:$B,$A730,従業員の給与情報!$C:$C)),0,IF(ISERROR(AVERAGEIF(従業員の給与情報!$B:$B,$A730,従業員の給与情報!$C:$C)),0,AVERAGEIF(従業員の給与情報!$B:$B,$A730,従業員の給与情報!$C:$C)))))</f>
        <v/>
      </c>
      <c r="U730" s="299" t="str">
        <f>IF(OR(入力シート!$C$5&lt;&gt;入力リスト!$C$3,COUNTIF(入力シート!$J$16:$S$23,入力リスト!$H$9)=0),"",IF(A730="","",IF(ISERROR(AVERAGEIF(従業員の給与情報!$B:$B,$A730,従業員の給与情報!$D:$D)),0,IF(ISERROR(AVERAGEIF(従業員の給与情報!$B:$B,$A730,従業員の給与情報!$D:$D)),0,AVERAGEIF(従業員の給与情報!$B:$B,$A730,従業員の給与情報!$D:$D)))))</f>
        <v/>
      </c>
      <c r="V730" s="299" t="str">
        <f>IF(OR(入力シート!$C$5&lt;&gt;入力リスト!$C$3,COUNTIF(入力シート!$J$16:$S$23,入力リスト!$H$9)=0),"",IF(A730="","",IF(ISERROR(AVERAGEIF(従業員の給与情報!$B:$B,$A730,従業員の給与情報!$E:$E)),0,IF(ISERROR(AVERAGEIF(従業員の給与情報!$B:$B,$A730,従業員の給与情報!$E:$E)),0,AVERAGEIF(従業員の給与情報!$B:$B,$A730,従業員の給与情報!$E:$E)))))</f>
        <v/>
      </c>
      <c r="W730" s="299" t="str">
        <f>IF(OR(入力シート!$C$5&lt;&gt;入力リスト!$C$3,COUNTIF(入力シート!$J$16:$S$23,入力リスト!$H$9)=0),"",IF(A730="","",IF(ISERROR(AVERAGEIF(従業員の給与情報!$B:$B,$A730,従業員の給与情報!$F:$F)),0,IF(ISERROR(AVERAGEIF(従業員の給与情報!$B:$B,$A730,従業員の給与情報!$F:$F)),0,AVERAGEIF(従業員の給与情報!$B:$B,$A730,従業員の給与情報!$F:$F)))))</f>
        <v/>
      </c>
      <c r="X730" s="581" t="s">
        <v>5469</v>
      </c>
    </row>
    <row r="731" spans="6:24">
      <c r="F731" s="297" t="str">
        <f>IF($G$1,"",IF(COUNTIF(A731:E731,"")=5,"",IF(G731,入力リスト!$K$28,IF(OR(A731="",B731="",IF(COUNTIF($C$3,"*不要*"),"",C731=""),D731=""),IF(A731="","従業員番号","")&amp;IF(B731="","「雇用形態」","")&amp;IF(OR(入力シート!$J$18=入力リスト!$H$9,入力シート!$J$22=入力リスト!$H$9),IF(C731="","「入社年月日」",""),"")&amp;IF(D731="","「性別」","")&amp;IF(IF(A731="","従業員番号","")&amp;IF(B731="","「雇用形態」","")&amp;IF(OR(入力シート!$J$18=入力リスト!$H$9,入力シート!$J$22=入力リスト!$H$9),IF(C731="","「入社年月日」",""),"")&amp;IF(D731="","「性別」","")="","",入力リスト!$K$29),IF(J731,入力リスト!$K$30,"")&amp;IF(I731,入力リスト!$K$31,"")&amp;IF(H731,"「雇用形態」","")&amp;IF(K731,"「性別」","")&amp;IF(L731,"「役職」","")&amp;IF(OR(H731,K731,L731),入力リスト!$K$32,"")))))</f>
        <v/>
      </c>
      <c r="G731" s="298" t="b">
        <f>COUNTIF($A$4:A730,$A731)&gt;0</f>
        <v>0</v>
      </c>
      <c r="H731" s="298" t="b">
        <f>IF($H$1,FALSE,COUNTIF(入力シート!$S$37:$V$62,B731)=0)</f>
        <v>0</v>
      </c>
      <c r="I731" s="298" t="b">
        <f t="shared" si="23"/>
        <v>0</v>
      </c>
      <c r="J731" s="298" t="b">
        <f>IF($J$1,FALSE,IF(I731=TRUE,FALSE,IF(I731,FALSE,C731&gt;入力シート!$J$24)))</f>
        <v>0</v>
      </c>
      <c r="K731" s="298" t="b">
        <f>IF($K$1,FALSE,COUNTIF(入力シート!$AW$37:$BB$38,D731)=0)</f>
        <v>0</v>
      </c>
      <c r="L731" s="298" t="b">
        <f>IF($L$1,FALSE,IF($L$3,FALSE,IF(E731="",FALSE,COUNTIF(入力シート!$AH$37:$AK$62,E731)=0)))</f>
        <v>0</v>
      </c>
      <c r="M731" s="298" t="str">
        <f t="shared" si="24"/>
        <v/>
      </c>
      <c r="N731" s="298" t="str">
        <f>IF(G731,"この従業員番号は、すでに他のセルで入力されています。",IF(入力シート!$C$5=入力リスト!$C$4,"",IF(AND(A731="",B731="",C731="",D731="",E731=""),"",IF(OR(A731="",B731="",C731="",D731=""),IF(A731="","従業員番号","")&amp;IF(AND(A731="",OR(B731="",C731="",D731="")),",","")&amp;IF(B731="","雇用形態","")&amp;IF(AND(B731="",OR(C731="",D731="")),",","")&amp;IF(OR(入力シート!$J$18=入力リスト!$H$9,入力シート!$J$22=入力リスト!$H$9),IF(C731="","入社年月日",""),"")&amp;IF(AND(C731="",D731=""),",","")&amp;IF(D731="","性別","")&amp;IF(IF(A731="","従業員番号","")&amp;IF(B731="","雇用形態","")&amp;IF(OR(入力シート!$J$18=入力リスト!$H$9,入力シート!$J$22=入力リスト!$H$9),IF(C731="","入社年月日",""),"")&amp;IF(D731="","性別","")="","","が空白です。"),IF(J731,"入社年月日に「基準日」の翌日以降の日付が入力されています。","")&amp;IF(I731,"入社年月日に数値以外（又は1900/1/1以前の日付）が入力されています。","")&amp;IF(H731,"雇用形態"&amp;IF(OR(K731,L731),",",""),"")&amp;IF(K731,"性別"&amp;IF(L731,",",""),"")&amp;IF(L731,"役職","")&amp;IF(OR(H731,K731,L731),"に、［入力シート］(4)「貴社」欄と異なる文言が入力されています。","")))))</f>
        <v/>
      </c>
      <c r="O731" s="298" t="str">
        <f>IF(B731="","",VLOOKUP('従業員情報(給与以外)'!$B731,入力シート!$S$37:$Z$62,5,0))</f>
        <v/>
      </c>
      <c r="P731" s="298" t="str">
        <f>IF(ISNUMBER(C731)=FALSE,"",IF(C731&gt;入力シート!$J$24,"",_xlfn.DAYS(入力シート!$J$24,'従業員情報(給与以外)'!$C731)/365))</f>
        <v/>
      </c>
      <c r="Q731" s="298" t="str">
        <f>IF(P731="","",VLOOKUP(_xlfn.DAYS(入力シート!$J$24,'従業員情報(給与以外)'!$C731)/365,入力リスト!$K$18:$L$26,2,2))</f>
        <v/>
      </c>
      <c r="R731" s="298" t="str">
        <f>IF(D731="","",VLOOKUP('従業員情報(給与以外)'!$D731,入力シート!$AW$37:$BB$38,4,0))</f>
        <v/>
      </c>
      <c r="S731" s="298" t="str">
        <f>IF(A731="","",IF(E731="","非役職",VLOOKUP('従業員情報(給与以外)'!$E731,入力シート!$AH$37:$AO$62,5,0)))</f>
        <v/>
      </c>
      <c r="T731" s="299" t="str">
        <f>IF(OR(入力シート!$C$5&lt;&gt;入力リスト!$C$3,COUNTIF(入力シート!$J$16:$S$23,入力リスト!$H$9)=0),"",IF($A731="","",IF(ISERROR(AVERAGEIF(従業員の給与情報!$B:$B,$A731,従業員の給与情報!$C:$C)),0,IF(ISERROR(AVERAGEIF(従業員の給与情報!$B:$B,$A731,従業員の給与情報!$C:$C)),0,AVERAGEIF(従業員の給与情報!$B:$B,$A731,従業員の給与情報!$C:$C)))))</f>
        <v/>
      </c>
      <c r="U731" s="299" t="str">
        <f>IF(OR(入力シート!$C$5&lt;&gt;入力リスト!$C$3,COUNTIF(入力シート!$J$16:$S$23,入力リスト!$H$9)=0),"",IF(A731="","",IF(ISERROR(AVERAGEIF(従業員の給与情報!$B:$B,$A731,従業員の給与情報!$D:$D)),0,IF(ISERROR(AVERAGEIF(従業員の給与情報!$B:$B,$A731,従業員の給与情報!$D:$D)),0,AVERAGEIF(従業員の給与情報!$B:$B,$A731,従業員の給与情報!$D:$D)))))</f>
        <v/>
      </c>
      <c r="V731" s="299" t="str">
        <f>IF(OR(入力シート!$C$5&lt;&gt;入力リスト!$C$3,COUNTIF(入力シート!$J$16:$S$23,入力リスト!$H$9)=0),"",IF(A731="","",IF(ISERROR(AVERAGEIF(従業員の給与情報!$B:$B,$A731,従業員の給与情報!$E:$E)),0,IF(ISERROR(AVERAGEIF(従業員の給与情報!$B:$B,$A731,従業員の給与情報!$E:$E)),0,AVERAGEIF(従業員の給与情報!$B:$B,$A731,従業員の給与情報!$E:$E)))))</f>
        <v/>
      </c>
      <c r="W731" s="299" t="str">
        <f>IF(OR(入力シート!$C$5&lt;&gt;入力リスト!$C$3,COUNTIF(入力シート!$J$16:$S$23,入力リスト!$H$9)=0),"",IF(A731="","",IF(ISERROR(AVERAGEIF(従業員の給与情報!$B:$B,$A731,従業員の給与情報!$F:$F)),0,IF(ISERROR(AVERAGEIF(従業員の給与情報!$B:$B,$A731,従業員の給与情報!$F:$F)),0,AVERAGEIF(従業員の給与情報!$B:$B,$A731,従業員の給与情報!$F:$F)))))</f>
        <v/>
      </c>
      <c r="X731" s="581" t="s">
        <v>5470</v>
      </c>
    </row>
    <row r="732" spans="6:24">
      <c r="F732" s="297" t="str">
        <f>IF($G$1,"",IF(COUNTIF(A732:E732,"")=5,"",IF(G732,入力リスト!$K$28,IF(OR(A732="",B732="",IF(COUNTIF($C$3,"*不要*"),"",C732=""),D732=""),IF(A732="","従業員番号","")&amp;IF(B732="","「雇用形態」","")&amp;IF(OR(入力シート!$J$18=入力リスト!$H$9,入力シート!$J$22=入力リスト!$H$9),IF(C732="","「入社年月日」",""),"")&amp;IF(D732="","「性別」","")&amp;IF(IF(A732="","従業員番号","")&amp;IF(B732="","「雇用形態」","")&amp;IF(OR(入力シート!$J$18=入力リスト!$H$9,入力シート!$J$22=入力リスト!$H$9),IF(C732="","「入社年月日」",""),"")&amp;IF(D732="","「性別」","")="","",入力リスト!$K$29),IF(J732,入力リスト!$K$30,"")&amp;IF(I732,入力リスト!$K$31,"")&amp;IF(H732,"「雇用形態」","")&amp;IF(K732,"「性別」","")&amp;IF(L732,"「役職」","")&amp;IF(OR(H732,K732,L732),入力リスト!$K$32,"")))))</f>
        <v/>
      </c>
      <c r="G732" s="298" t="b">
        <f>COUNTIF($A$4:A731,$A732)&gt;0</f>
        <v>0</v>
      </c>
      <c r="H732" s="298" t="b">
        <f>IF($H$1,FALSE,COUNTIF(入力シート!$S$37:$V$62,B732)=0)</f>
        <v>0</v>
      </c>
      <c r="I732" s="298" t="b">
        <f t="shared" si="23"/>
        <v>0</v>
      </c>
      <c r="J732" s="298" t="b">
        <f>IF($J$1,FALSE,IF(I732=TRUE,FALSE,IF(I732,FALSE,C732&gt;入力シート!$J$24)))</f>
        <v>0</v>
      </c>
      <c r="K732" s="298" t="b">
        <f>IF($K$1,FALSE,COUNTIF(入力シート!$AW$37:$BB$38,D732)=0)</f>
        <v>0</v>
      </c>
      <c r="L732" s="298" t="b">
        <f>IF($L$1,FALSE,IF($L$3,FALSE,IF(E732="",FALSE,COUNTIF(入力シート!$AH$37:$AK$62,E732)=0)))</f>
        <v>0</v>
      </c>
      <c r="M732" s="298" t="str">
        <f t="shared" si="24"/>
        <v/>
      </c>
      <c r="N732" s="298" t="str">
        <f>IF(G732,"この従業員番号は、すでに他のセルで入力されています。",IF(入力シート!$C$5=入力リスト!$C$4,"",IF(AND(A732="",B732="",C732="",D732="",E732=""),"",IF(OR(A732="",B732="",C732="",D732=""),IF(A732="","従業員番号","")&amp;IF(AND(A732="",OR(B732="",C732="",D732="")),",","")&amp;IF(B732="","雇用形態","")&amp;IF(AND(B732="",OR(C732="",D732="")),",","")&amp;IF(OR(入力シート!$J$18=入力リスト!$H$9,入力シート!$J$22=入力リスト!$H$9),IF(C732="","入社年月日",""),"")&amp;IF(AND(C732="",D732=""),",","")&amp;IF(D732="","性別","")&amp;IF(IF(A732="","従業員番号","")&amp;IF(B732="","雇用形態","")&amp;IF(OR(入力シート!$J$18=入力リスト!$H$9,入力シート!$J$22=入力リスト!$H$9),IF(C732="","入社年月日",""),"")&amp;IF(D732="","性別","")="","","が空白です。"),IF(J732,"入社年月日に「基準日」の翌日以降の日付が入力されています。","")&amp;IF(I732,"入社年月日に数値以外（又は1900/1/1以前の日付）が入力されています。","")&amp;IF(H732,"雇用形態"&amp;IF(OR(K732,L732),",",""),"")&amp;IF(K732,"性別"&amp;IF(L732,",",""),"")&amp;IF(L732,"役職","")&amp;IF(OR(H732,K732,L732),"に、［入力シート］(4)「貴社」欄と異なる文言が入力されています。","")))))</f>
        <v/>
      </c>
      <c r="O732" s="298" t="str">
        <f>IF(B732="","",VLOOKUP('従業員情報(給与以外)'!$B732,入力シート!$S$37:$Z$62,5,0))</f>
        <v/>
      </c>
      <c r="P732" s="298" t="str">
        <f>IF(ISNUMBER(C732)=FALSE,"",IF(C732&gt;入力シート!$J$24,"",_xlfn.DAYS(入力シート!$J$24,'従業員情報(給与以外)'!$C732)/365))</f>
        <v/>
      </c>
      <c r="Q732" s="298" t="str">
        <f>IF(P732="","",VLOOKUP(_xlfn.DAYS(入力シート!$J$24,'従業員情報(給与以外)'!$C732)/365,入力リスト!$K$18:$L$26,2,2))</f>
        <v/>
      </c>
      <c r="R732" s="298" t="str">
        <f>IF(D732="","",VLOOKUP('従業員情報(給与以外)'!$D732,入力シート!$AW$37:$BB$38,4,0))</f>
        <v/>
      </c>
      <c r="S732" s="298" t="str">
        <f>IF(A732="","",IF(E732="","非役職",VLOOKUP('従業員情報(給与以外)'!$E732,入力シート!$AH$37:$AO$62,5,0)))</f>
        <v/>
      </c>
      <c r="T732" s="299" t="str">
        <f>IF(OR(入力シート!$C$5&lt;&gt;入力リスト!$C$3,COUNTIF(入力シート!$J$16:$S$23,入力リスト!$H$9)=0),"",IF($A732="","",IF(ISERROR(AVERAGEIF(従業員の給与情報!$B:$B,$A732,従業員の給与情報!$C:$C)),0,IF(ISERROR(AVERAGEIF(従業員の給与情報!$B:$B,$A732,従業員の給与情報!$C:$C)),0,AVERAGEIF(従業員の給与情報!$B:$B,$A732,従業員の給与情報!$C:$C)))))</f>
        <v/>
      </c>
      <c r="U732" s="299" t="str">
        <f>IF(OR(入力シート!$C$5&lt;&gt;入力リスト!$C$3,COUNTIF(入力シート!$J$16:$S$23,入力リスト!$H$9)=0),"",IF(A732="","",IF(ISERROR(AVERAGEIF(従業員の給与情報!$B:$B,$A732,従業員の給与情報!$D:$D)),0,IF(ISERROR(AVERAGEIF(従業員の給与情報!$B:$B,$A732,従業員の給与情報!$D:$D)),0,AVERAGEIF(従業員の給与情報!$B:$B,$A732,従業員の給与情報!$D:$D)))))</f>
        <v/>
      </c>
      <c r="V732" s="299" t="str">
        <f>IF(OR(入力シート!$C$5&lt;&gt;入力リスト!$C$3,COUNTIF(入力シート!$J$16:$S$23,入力リスト!$H$9)=0),"",IF(A732="","",IF(ISERROR(AVERAGEIF(従業員の給与情報!$B:$B,$A732,従業員の給与情報!$E:$E)),0,IF(ISERROR(AVERAGEIF(従業員の給与情報!$B:$B,$A732,従業員の給与情報!$E:$E)),0,AVERAGEIF(従業員の給与情報!$B:$B,$A732,従業員の給与情報!$E:$E)))))</f>
        <v/>
      </c>
      <c r="W732" s="299" t="str">
        <f>IF(OR(入力シート!$C$5&lt;&gt;入力リスト!$C$3,COUNTIF(入力シート!$J$16:$S$23,入力リスト!$H$9)=0),"",IF(A732="","",IF(ISERROR(AVERAGEIF(従業員の給与情報!$B:$B,$A732,従業員の給与情報!$F:$F)),0,IF(ISERROR(AVERAGEIF(従業員の給与情報!$B:$B,$A732,従業員の給与情報!$F:$F)),0,AVERAGEIF(従業員の給与情報!$B:$B,$A732,従業員の給与情報!$F:$F)))))</f>
        <v/>
      </c>
      <c r="X732" s="581" t="s">
        <v>5471</v>
      </c>
    </row>
    <row r="733" spans="6:24">
      <c r="F733" s="297" t="str">
        <f>IF($G$1,"",IF(COUNTIF(A733:E733,"")=5,"",IF(G733,入力リスト!$K$28,IF(OR(A733="",B733="",IF(COUNTIF($C$3,"*不要*"),"",C733=""),D733=""),IF(A733="","従業員番号","")&amp;IF(B733="","「雇用形態」","")&amp;IF(OR(入力シート!$J$18=入力リスト!$H$9,入力シート!$J$22=入力リスト!$H$9),IF(C733="","「入社年月日」",""),"")&amp;IF(D733="","「性別」","")&amp;IF(IF(A733="","従業員番号","")&amp;IF(B733="","「雇用形態」","")&amp;IF(OR(入力シート!$J$18=入力リスト!$H$9,入力シート!$J$22=入力リスト!$H$9),IF(C733="","「入社年月日」",""),"")&amp;IF(D733="","「性別」","")="","",入力リスト!$K$29),IF(J733,入力リスト!$K$30,"")&amp;IF(I733,入力リスト!$K$31,"")&amp;IF(H733,"「雇用形態」","")&amp;IF(K733,"「性別」","")&amp;IF(L733,"「役職」","")&amp;IF(OR(H733,K733,L733),入力リスト!$K$32,"")))))</f>
        <v/>
      </c>
      <c r="G733" s="298" t="b">
        <f>COUNTIF($A$4:A732,$A733)&gt;0</f>
        <v>0</v>
      </c>
      <c r="H733" s="298" t="b">
        <f>IF($H$1,FALSE,COUNTIF(入力シート!$S$37:$V$62,B733)=0)</f>
        <v>0</v>
      </c>
      <c r="I733" s="298" t="b">
        <f t="shared" si="23"/>
        <v>0</v>
      </c>
      <c r="J733" s="298" t="b">
        <f>IF($J$1,FALSE,IF(I733=TRUE,FALSE,IF(I733,FALSE,C733&gt;入力シート!$J$24)))</f>
        <v>0</v>
      </c>
      <c r="K733" s="298" t="b">
        <f>IF($K$1,FALSE,COUNTIF(入力シート!$AW$37:$BB$38,D733)=0)</f>
        <v>0</v>
      </c>
      <c r="L733" s="298" t="b">
        <f>IF($L$1,FALSE,IF($L$3,FALSE,IF(E733="",FALSE,COUNTIF(入力シート!$AH$37:$AK$62,E733)=0)))</f>
        <v>0</v>
      </c>
      <c r="M733" s="298" t="str">
        <f t="shared" si="24"/>
        <v/>
      </c>
      <c r="N733" s="298" t="str">
        <f>IF(G733,"この従業員番号は、すでに他のセルで入力されています。",IF(入力シート!$C$5=入力リスト!$C$4,"",IF(AND(A733="",B733="",C733="",D733="",E733=""),"",IF(OR(A733="",B733="",C733="",D733=""),IF(A733="","従業員番号","")&amp;IF(AND(A733="",OR(B733="",C733="",D733="")),",","")&amp;IF(B733="","雇用形態","")&amp;IF(AND(B733="",OR(C733="",D733="")),",","")&amp;IF(OR(入力シート!$J$18=入力リスト!$H$9,入力シート!$J$22=入力リスト!$H$9),IF(C733="","入社年月日",""),"")&amp;IF(AND(C733="",D733=""),",","")&amp;IF(D733="","性別","")&amp;IF(IF(A733="","従業員番号","")&amp;IF(B733="","雇用形態","")&amp;IF(OR(入力シート!$J$18=入力リスト!$H$9,入力シート!$J$22=入力リスト!$H$9),IF(C733="","入社年月日",""),"")&amp;IF(D733="","性別","")="","","が空白です。"),IF(J733,"入社年月日に「基準日」の翌日以降の日付が入力されています。","")&amp;IF(I733,"入社年月日に数値以外（又は1900/1/1以前の日付）が入力されています。","")&amp;IF(H733,"雇用形態"&amp;IF(OR(K733,L733),",",""),"")&amp;IF(K733,"性別"&amp;IF(L733,",",""),"")&amp;IF(L733,"役職","")&amp;IF(OR(H733,K733,L733),"に、［入力シート］(4)「貴社」欄と異なる文言が入力されています。","")))))</f>
        <v/>
      </c>
      <c r="O733" s="298" t="str">
        <f>IF(B733="","",VLOOKUP('従業員情報(給与以外)'!$B733,入力シート!$S$37:$Z$62,5,0))</f>
        <v/>
      </c>
      <c r="P733" s="298" t="str">
        <f>IF(ISNUMBER(C733)=FALSE,"",IF(C733&gt;入力シート!$J$24,"",_xlfn.DAYS(入力シート!$J$24,'従業員情報(給与以外)'!$C733)/365))</f>
        <v/>
      </c>
      <c r="Q733" s="298" t="str">
        <f>IF(P733="","",VLOOKUP(_xlfn.DAYS(入力シート!$J$24,'従業員情報(給与以外)'!$C733)/365,入力リスト!$K$18:$L$26,2,2))</f>
        <v/>
      </c>
      <c r="R733" s="298" t="str">
        <f>IF(D733="","",VLOOKUP('従業員情報(給与以外)'!$D733,入力シート!$AW$37:$BB$38,4,0))</f>
        <v/>
      </c>
      <c r="S733" s="298" t="str">
        <f>IF(A733="","",IF(E733="","非役職",VLOOKUP('従業員情報(給与以外)'!$E733,入力シート!$AH$37:$AO$62,5,0)))</f>
        <v/>
      </c>
      <c r="T733" s="299" t="str">
        <f>IF(OR(入力シート!$C$5&lt;&gt;入力リスト!$C$3,COUNTIF(入力シート!$J$16:$S$23,入力リスト!$H$9)=0),"",IF($A733="","",IF(ISERROR(AVERAGEIF(従業員の給与情報!$B:$B,$A733,従業員の給与情報!$C:$C)),0,IF(ISERROR(AVERAGEIF(従業員の給与情報!$B:$B,$A733,従業員の給与情報!$C:$C)),0,AVERAGEIF(従業員の給与情報!$B:$B,$A733,従業員の給与情報!$C:$C)))))</f>
        <v/>
      </c>
      <c r="U733" s="299" t="str">
        <f>IF(OR(入力シート!$C$5&lt;&gt;入力リスト!$C$3,COUNTIF(入力シート!$J$16:$S$23,入力リスト!$H$9)=0),"",IF(A733="","",IF(ISERROR(AVERAGEIF(従業員の給与情報!$B:$B,$A733,従業員の給与情報!$D:$D)),0,IF(ISERROR(AVERAGEIF(従業員の給与情報!$B:$B,$A733,従業員の給与情報!$D:$D)),0,AVERAGEIF(従業員の給与情報!$B:$B,$A733,従業員の給与情報!$D:$D)))))</f>
        <v/>
      </c>
      <c r="V733" s="299" t="str">
        <f>IF(OR(入力シート!$C$5&lt;&gt;入力リスト!$C$3,COUNTIF(入力シート!$J$16:$S$23,入力リスト!$H$9)=0),"",IF(A733="","",IF(ISERROR(AVERAGEIF(従業員の給与情報!$B:$B,$A733,従業員の給与情報!$E:$E)),0,IF(ISERROR(AVERAGEIF(従業員の給与情報!$B:$B,$A733,従業員の給与情報!$E:$E)),0,AVERAGEIF(従業員の給与情報!$B:$B,$A733,従業員の給与情報!$E:$E)))))</f>
        <v/>
      </c>
      <c r="W733" s="299" t="str">
        <f>IF(OR(入力シート!$C$5&lt;&gt;入力リスト!$C$3,COUNTIF(入力シート!$J$16:$S$23,入力リスト!$H$9)=0),"",IF(A733="","",IF(ISERROR(AVERAGEIF(従業員の給与情報!$B:$B,$A733,従業員の給与情報!$F:$F)),0,IF(ISERROR(AVERAGEIF(従業員の給与情報!$B:$B,$A733,従業員の給与情報!$F:$F)),0,AVERAGEIF(従業員の給与情報!$B:$B,$A733,従業員の給与情報!$F:$F)))))</f>
        <v/>
      </c>
      <c r="X733" s="581" t="s">
        <v>5472</v>
      </c>
    </row>
    <row r="734" spans="6:24">
      <c r="F734" s="297" t="str">
        <f>IF($G$1,"",IF(COUNTIF(A734:E734,"")=5,"",IF(G734,入力リスト!$K$28,IF(OR(A734="",B734="",IF(COUNTIF($C$3,"*不要*"),"",C734=""),D734=""),IF(A734="","従業員番号","")&amp;IF(B734="","「雇用形態」","")&amp;IF(OR(入力シート!$J$18=入力リスト!$H$9,入力シート!$J$22=入力リスト!$H$9),IF(C734="","「入社年月日」",""),"")&amp;IF(D734="","「性別」","")&amp;IF(IF(A734="","従業員番号","")&amp;IF(B734="","「雇用形態」","")&amp;IF(OR(入力シート!$J$18=入力リスト!$H$9,入力シート!$J$22=入力リスト!$H$9),IF(C734="","「入社年月日」",""),"")&amp;IF(D734="","「性別」","")="","",入力リスト!$K$29),IF(J734,入力リスト!$K$30,"")&amp;IF(I734,入力リスト!$K$31,"")&amp;IF(H734,"「雇用形態」","")&amp;IF(K734,"「性別」","")&amp;IF(L734,"「役職」","")&amp;IF(OR(H734,K734,L734),入力リスト!$K$32,"")))))</f>
        <v/>
      </c>
      <c r="G734" s="298" t="b">
        <f>COUNTIF($A$4:A733,$A734)&gt;0</f>
        <v>0</v>
      </c>
      <c r="H734" s="298" t="b">
        <f>IF($H$1,FALSE,COUNTIF(入力シート!$S$37:$V$62,B734)=0)</f>
        <v>0</v>
      </c>
      <c r="I734" s="298" t="b">
        <f t="shared" si="23"/>
        <v>0</v>
      </c>
      <c r="J734" s="298" t="b">
        <f>IF($J$1,FALSE,IF(I734=TRUE,FALSE,IF(I734,FALSE,C734&gt;入力シート!$J$24)))</f>
        <v>0</v>
      </c>
      <c r="K734" s="298" t="b">
        <f>IF($K$1,FALSE,COUNTIF(入力シート!$AW$37:$BB$38,D734)=0)</f>
        <v>0</v>
      </c>
      <c r="L734" s="298" t="b">
        <f>IF($L$1,FALSE,IF($L$3,FALSE,IF(E734="",FALSE,COUNTIF(入力シート!$AH$37:$AK$62,E734)=0)))</f>
        <v>0</v>
      </c>
      <c r="M734" s="298" t="str">
        <f t="shared" si="24"/>
        <v/>
      </c>
      <c r="N734" s="298" t="str">
        <f>IF(G734,"この従業員番号は、すでに他のセルで入力されています。",IF(入力シート!$C$5=入力リスト!$C$4,"",IF(AND(A734="",B734="",C734="",D734="",E734=""),"",IF(OR(A734="",B734="",C734="",D734=""),IF(A734="","従業員番号","")&amp;IF(AND(A734="",OR(B734="",C734="",D734="")),",","")&amp;IF(B734="","雇用形態","")&amp;IF(AND(B734="",OR(C734="",D734="")),",","")&amp;IF(OR(入力シート!$J$18=入力リスト!$H$9,入力シート!$J$22=入力リスト!$H$9),IF(C734="","入社年月日",""),"")&amp;IF(AND(C734="",D734=""),",","")&amp;IF(D734="","性別","")&amp;IF(IF(A734="","従業員番号","")&amp;IF(B734="","雇用形態","")&amp;IF(OR(入力シート!$J$18=入力リスト!$H$9,入力シート!$J$22=入力リスト!$H$9),IF(C734="","入社年月日",""),"")&amp;IF(D734="","性別","")="","","が空白です。"),IF(J734,"入社年月日に「基準日」の翌日以降の日付が入力されています。","")&amp;IF(I734,"入社年月日に数値以外（又は1900/1/1以前の日付）が入力されています。","")&amp;IF(H734,"雇用形態"&amp;IF(OR(K734,L734),",",""),"")&amp;IF(K734,"性別"&amp;IF(L734,",",""),"")&amp;IF(L734,"役職","")&amp;IF(OR(H734,K734,L734),"に、［入力シート］(4)「貴社」欄と異なる文言が入力されています。","")))))</f>
        <v/>
      </c>
      <c r="O734" s="298" t="str">
        <f>IF(B734="","",VLOOKUP('従業員情報(給与以外)'!$B734,入力シート!$S$37:$Z$62,5,0))</f>
        <v/>
      </c>
      <c r="P734" s="298" t="str">
        <f>IF(ISNUMBER(C734)=FALSE,"",IF(C734&gt;入力シート!$J$24,"",_xlfn.DAYS(入力シート!$J$24,'従業員情報(給与以外)'!$C734)/365))</f>
        <v/>
      </c>
      <c r="Q734" s="298" t="str">
        <f>IF(P734="","",VLOOKUP(_xlfn.DAYS(入力シート!$J$24,'従業員情報(給与以外)'!$C734)/365,入力リスト!$K$18:$L$26,2,2))</f>
        <v/>
      </c>
      <c r="R734" s="298" t="str">
        <f>IF(D734="","",VLOOKUP('従業員情報(給与以外)'!$D734,入力シート!$AW$37:$BB$38,4,0))</f>
        <v/>
      </c>
      <c r="S734" s="298" t="str">
        <f>IF(A734="","",IF(E734="","非役職",VLOOKUP('従業員情報(給与以外)'!$E734,入力シート!$AH$37:$AO$62,5,0)))</f>
        <v/>
      </c>
      <c r="T734" s="299" t="str">
        <f>IF(OR(入力シート!$C$5&lt;&gt;入力リスト!$C$3,COUNTIF(入力シート!$J$16:$S$23,入力リスト!$H$9)=0),"",IF($A734="","",IF(ISERROR(AVERAGEIF(従業員の給与情報!$B:$B,$A734,従業員の給与情報!$C:$C)),0,IF(ISERROR(AVERAGEIF(従業員の給与情報!$B:$B,$A734,従業員の給与情報!$C:$C)),0,AVERAGEIF(従業員の給与情報!$B:$B,$A734,従業員の給与情報!$C:$C)))))</f>
        <v/>
      </c>
      <c r="U734" s="299" t="str">
        <f>IF(OR(入力シート!$C$5&lt;&gt;入力リスト!$C$3,COUNTIF(入力シート!$J$16:$S$23,入力リスト!$H$9)=0),"",IF(A734="","",IF(ISERROR(AVERAGEIF(従業員の給与情報!$B:$B,$A734,従業員の給与情報!$D:$D)),0,IF(ISERROR(AVERAGEIF(従業員の給与情報!$B:$B,$A734,従業員の給与情報!$D:$D)),0,AVERAGEIF(従業員の給与情報!$B:$B,$A734,従業員の給与情報!$D:$D)))))</f>
        <v/>
      </c>
      <c r="V734" s="299" t="str">
        <f>IF(OR(入力シート!$C$5&lt;&gt;入力リスト!$C$3,COUNTIF(入力シート!$J$16:$S$23,入力リスト!$H$9)=0),"",IF(A734="","",IF(ISERROR(AVERAGEIF(従業員の給与情報!$B:$B,$A734,従業員の給与情報!$E:$E)),0,IF(ISERROR(AVERAGEIF(従業員の給与情報!$B:$B,$A734,従業員の給与情報!$E:$E)),0,AVERAGEIF(従業員の給与情報!$B:$B,$A734,従業員の給与情報!$E:$E)))))</f>
        <v/>
      </c>
      <c r="W734" s="299" t="str">
        <f>IF(OR(入力シート!$C$5&lt;&gt;入力リスト!$C$3,COUNTIF(入力シート!$J$16:$S$23,入力リスト!$H$9)=0),"",IF(A734="","",IF(ISERROR(AVERAGEIF(従業員の給与情報!$B:$B,$A734,従業員の給与情報!$F:$F)),0,IF(ISERROR(AVERAGEIF(従業員の給与情報!$B:$B,$A734,従業員の給与情報!$F:$F)),0,AVERAGEIF(従業員の給与情報!$B:$B,$A734,従業員の給与情報!$F:$F)))))</f>
        <v/>
      </c>
      <c r="X734" s="581" t="s">
        <v>5473</v>
      </c>
    </row>
    <row r="735" spans="6:24">
      <c r="F735" s="297" t="str">
        <f>IF($G$1,"",IF(COUNTIF(A735:E735,"")=5,"",IF(G735,入力リスト!$K$28,IF(OR(A735="",B735="",IF(COUNTIF($C$3,"*不要*"),"",C735=""),D735=""),IF(A735="","従業員番号","")&amp;IF(B735="","「雇用形態」","")&amp;IF(OR(入力シート!$J$18=入力リスト!$H$9,入力シート!$J$22=入力リスト!$H$9),IF(C735="","「入社年月日」",""),"")&amp;IF(D735="","「性別」","")&amp;IF(IF(A735="","従業員番号","")&amp;IF(B735="","「雇用形態」","")&amp;IF(OR(入力シート!$J$18=入力リスト!$H$9,入力シート!$J$22=入力リスト!$H$9),IF(C735="","「入社年月日」",""),"")&amp;IF(D735="","「性別」","")="","",入力リスト!$K$29),IF(J735,入力リスト!$K$30,"")&amp;IF(I735,入力リスト!$K$31,"")&amp;IF(H735,"「雇用形態」","")&amp;IF(K735,"「性別」","")&amp;IF(L735,"「役職」","")&amp;IF(OR(H735,K735,L735),入力リスト!$K$32,"")))))</f>
        <v/>
      </c>
      <c r="G735" s="298" t="b">
        <f>COUNTIF($A$4:A734,$A735)&gt;0</f>
        <v>0</v>
      </c>
      <c r="H735" s="298" t="b">
        <f>IF($H$1,FALSE,COUNTIF(入力シート!$S$37:$V$62,B735)=0)</f>
        <v>0</v>
      </c>
      <c r="I735" s="298" t="b">
        <f t="shared" si="23"/>
        <v>0</v>
      </c>
      <c r="J735" s="298" t="b">
        <f>IF($J$1,FALSE,IF(I735=TRUE,FALSE,IF(I735,FALSE,C735&gt;入力シート!$J$24)))</f>
        <v>0</v>
      </c>
      <c r="K735" s="298" t="b">
        <f>IF($K$1,FALSE,COUNTIF(入力シート!$AW$37:$BB$38,D735)=0)</f>
        <v>0</v>
      </c>
      <c r="L735" s="298" t="b">
        <f>IF($L$1,FALSE,IF($L$3,FALSE,IF(E735="",FALSE,COUNTIF(入力シート!$AH$37:$AK$62,E735)=0)))</f>
        <v>0</v>
      </c>
      <c r="M735" s="298" t="str">
        <f t="shared" si="24"/>
        <v/>
      </c>
      <c r="N735" s="298" t="str">
        <f>IF(G735,"この従業員番号は、すでに他のセルで入力されています。",IF(入力シート!$C$5=入力リスト!$C$4,"",IF(AND(A735="",B735="",C735="",D735="",E735=""),"",IF(OR(A735="",B735="",C735="",D735=""),IF(A735="","従業員番号","")&amp;IF(AND(A735="",OR(B735="",C735="",D735="")),",","")&amp;IF(B735="","雇用形態","")&amp;IF(AND(B735="",OR(C735="",D735="")),",","")&amp;IF(OR(入力シート!$J$18=入力リスト!$H$9,入力シート!$J$22=入力リスト!$H$9),IF(C735="","入社年月日",""),"")&amp;IF(AND(C735="",D735=""),",","")&amp;IF(D735="","性別","")&amp;IF(IF(A735="","従業員番号","")&amp;IF(B735="","雇用形態","")&amp;IF(OR(入力シート!$J$18=入力リスト!$H$9,入力シート!$J$22=入力リスト!$H$9),IF(C735="","入社年月日",""),"")&amp;IF(D735="","性別","")="","","が空白です。"),IF(J735,"入社年月日に「基準日」の翌日以降の日付が入力されています。","")&amp;IF(I735,"入社年月日に数値以外（又は1900/1/1以前の日付）が入力されています。","")&amp;IF(H735,"雇用形態"&amp;IF(OR(K735,L735),",",""),"")&amp;IF(K735,"性別"&amp;IF(L735,",",""),"")&amp;IF(L735,"役職","")&amp;IF(OR(H735,K735,L735),"に、［入力シート］(4)「貴社」欄と異なる文言が入力されています。","")))))</f>
        <v/>
      </c>
      <c r="O735" s="298" t="str">
        <f>IF(B735="","",VLOOKUP('従業員情報(給与以外)'!$B735,入力シート!$S$37:$Z$62,5,0))</f>
        <v/>
      </c>
      <c r="P735" s="298" t="str">
        <f>IF(ISNUMBER(C735)=FALSE,"",IF(C735&gt;入力シート!$J$24,"",_xlfn.DAYS(入力シート!$J$24,'従業員情報(給与以外)'!$C735)/365))</f>
        <v/>
      </c>
      <c r="Q735" s="298" t="str">
        <f>IF(P735="","",VLOOKUP(_xlfn.DAYS(入力シート!$J$24,'従業員情報(給与以外)'!$C735)/365,入力リスト!$K$18:$L$26,2,2))</f>
        <v/>
      </c>
      <c r="R735" s="298" t="str">
        <f>IF(D735="","",VLOOKUP('従業員情報(給与以外)'!$D735,入力シート!$AW$37:$BB$38,4,0))</f>
        <v/>
      </c>
      <c r="S735" s="298" t="str">
        <f>IF(A735="","",IF(E735="","非役職",VLOOKUP('従業員情報(給与以外)'!$E735,入力シート!$AH$37:$AO$62,5,0)))</f>
        <v/>
      </c>
      <c r="T735" s="299" t="str">
        <f>IF(OR(入力シート!$C$5&lt;&gt;入力リスト!$C$3,COUNTIF(入力シート!$J$16:$S$23,入力リスト!$H$9)=0),"",IF($A735="","",IF(ISERROR(AVERAGEIF(従業員の給与情報!$B:$B,$A735,従業員の給与情報!$C:$C)),0,IF(ISERROR(AVERAGEIF(従業員の給与情報!$B:$B,$A735,従業員の給与情報!$C:$C)),0,AVERAGEIF(従業員の給与情報!$B:$B,$A735,従業員の給与情報!$C:$C)))))</f>
        <v/>
      </c>
      <c r="U735" s="299" t="str">
        <f>IF(OR(入力シート!$C$5&lt;&gt;入力リスト!$C$3,COUNTIF(入力シート!$J$16:$S$23,入力リスト!$H$9)=0),"",IF(A735="","",IF(ISERROR(AVERAGEIF(従業員の給与情報!$B:$B,$A735,従業員の給与情報!$D:$D)),0,IF(ISERROR(AVERAGEIF(従業員の給与情報!$B:$B,$A735,従業員の給与情報!$D:$D)),0,AVERAGEIF(従業員の給与情報!$B:$B,$A735,従業員の給与情報!$D:$D)))))</f>
        <v/>
      </c>
      <c r="V735" s="299" t="str">
        <f>IF(OR(入力シート!$C$5&lt;&gt;入力リスト!$C$3,COUNTIF(入力シート!$J$16:$S$23,入力リスト!$H$9)=0),"",IF(A735="","",IF(ISERROR(AVERAGEIF(従業員の給与情報!$B:$B,$A735,従業員の給与情報!$E:$E)),0,IF(ISERROR(AVERAGEIF(従業員の給与情報!$B:$B,$A735,従業員の給与情報!$E:$E)),0,AVERAGEIF(従業員の給与情報!$B:$B,$A735,従業員の給与情報!$E:$E)))))</f>
        <v/>
      </c>
      <c r="W735" s="299" t="str">
        <f>IF(OR(入力シート!$C$5&lt;&gt;入力リスト!$C$3,COUNTIF(入力シート!$J$16:$S$23,入力リスト!$H$9)=0),"",IF(A735="","",IF(ISERROR(AVERAGEIF(従業員の給与情報!$B:$B,$A735,従業員の給与情報!$F:$F)),0,IF(ISERROR(AVERAGEIF(従業員の給与情報!$B:$B,$A735,従業員の給与情報!$F:$F)),0,AVERAGEIF(従業員の給与情報!$B:$B,$A735,従業員の給与情報!$F:$F)))))</f>
        <v/>
      </c>
      <c r="X735" s="581" t="s">
        <v>5474</v>
      </c>
    </row>
    <row r="736" spans="6:24">
      <c r="F736" s="297" t="str">
        <f>IF($G$1,"",IF(COUNTIF(A736:E736,"")=5,"",IF(G736,入力リスト!$K$28,IF(OR(A736="",B736="",IF(COUNTIF($C$3,"*不要*"),"",C736=""),D736=""),IF(A736="","従業員番号","")&amp;IF(B736="","「雇用形態」","")&amp;IF(OR(入力シート!$J$18=入力リスト!$H$9,入力シート!$J$22=入力リスト!$H$9),IF(C736="","「入社年月日」",""),"")&amp;IF(D736="","「性別」","")&amp;IF(IF(A736="","従業員番号","")&amp;IF(B736="","「雇用形態」","")&amp;IF(OR(入力シート!$J$18=入力リスト!$H$9,入力シート!$J$22=入力リスト!$H$9),IF(C736="","「入社年月日」",""),"")&amp;IF(D736="","「性別」","")="","",入力リスト!$K$29),IF(J736,入力リスト!$K$30,"")&amp;IF(I736,入力リスト!$K$31,"")&amp;IF(H736,"「雇用形態」","")&amp;IF(K736,"「性別」","")&amp;IF(L736,"「役職」","")&amp;IF(OR(H736,K736,L736),入力リスト!$K$32,"")))))</f>
        <v/>
      </c>
      <c r="G736" s="298" t="b">
        <f>COUNTIF($A$4:A735,$A736)&gt;0</f>
        <v>0</v>
      </c>
      <c r="H736" s="298" t="b">
        <f>IF($H$1,FALSE,COUNTIF(入力シート!$S$37:$V$62,B736)=0)</f>
        <v>0</v>
      </c>
      <c r="I736" s="298" t="b">
        <f t="shared" si="23"/>
        <v>0</v>
      </c>
      <c r="J736" s="298" t="b">
        <f>IF($J$1,FALSE,IF(I736=TRUE,FALSE,IF(I736,FALSE,C736&gt;入力シート!$J$24)))</f>
        <v>0</v>
      </c>
      <c r="K736" s="298" t="b">
        <f>IF($K$1,FALSE,COUNTIF(入力シート!$AW$37:$BB$38,D736)=0)</f>
        <v>0</v>
      </c>
      <c r="L736" s="298" t="b">
        <f>IF($L$1,FALSE,IF($L$3,FALSE,IF(E736="",FALSE,COUNTIF(入力シート!$AH$37:$AK$62,E736)=0)))</f>
        <v>0</v>
      </c>
      <c r="M736" s="298" t="str">
        <f t="shared" si="24"/>
        <v/>
      </c>
      <c r="N736" s="298" t="str">
        <f>IF(G736,"この従業員番号は、すでに他のセルで入力されています。",IF(入力シート!$C$5=入力リスト!$C$4,"",IF(AND(A736="",B736="",C736="",D736="",E736=""),"",IF(OR(A736="",B736="",C736="",D736=""),IF(A736="","従業員番号","")&amp;IF(AND(A736="",OR(B736="",C736="",D736="")),",","")&amp;IF(B736="","雇用形態","")&amp;IF(AND(B736="",OR(C736="",D736="")),",","")&amp;IF(OR(入力シート!$J$18=入力リスト!$H$9,入力シート!$J$22=入力リスト!$H$9),IF(C736="","入社年月日",""),"")&amp;IF(AND(C736="",D736=""),",","")&amp;IF(D736="","性別","")&amp;IF(IF(A736="","従業員番号","")&amp;IF(B736="","雇用形態","")&amp;IF(OR(入力シート!$J$18=入力リスト!$H$9,入力シート!$J$22=入力リスト!$H$9),IF(C736="","入社年月日",""),"")&amp;IF(D736="","性別","")="","","が空白です。"),IF(J736,"入社年月日に「基準日」の翌日以降の日付が入力されています。","")&amp;IF(I736,"入社年月日に数値以外（又は1900/1/1以前の日付）が入力されています。","")&amp;IF(H736,"雇用形態"&amp;IF(OR(K736,L736),",",""),"")&amp;IF(K736,"性別"&amp;IF(L736,",",""),"")&amp;IF(L736,"役職","")&amp;IF(OR(H736,K736,L736),"に、［入力シート］(4)「貴社」欄と異なる文言が入力されています。","")))))</f>
        <v/>
      </c>
      <c r="O736" s="298" t="str">
        <f>IF(B736="","",VLOOKUP('従業員情報(給与以外)'!$B736,入力シート!$S$37:$Z$62,5,0))</f>
        <v/>
      </c>
      <c r="P736" s="298" t="str">
        <f>IF(ISNUMBER(C736)=FALSE,"",IF(C736&gt;入力シート!$J$24,"",_xlfn.DAYS(入力シート!$J$24,'従業員情報(給与以外)'!$C736)/365))</f>
        <v/>
      </c>
      <c r="Q736" s="298" t="str">
        <f>IF(P736="","",VLOOKUP(_xlfn.DAYS(入力シート!$J$24,'従業員情報(給与以外)'!$C736)/365,入力リスト!$K$18:$L$26,2,2))</f>
        <v/>
      </c>
      <c r="R736" s="298" t="str">
        <f>IF(D736="","",VLOOKUP('従業員情報(給与以外)'!$D736,入力シート!$AW$37:$BB$38,4,0))</f>
        <v/>
      </c>
      <c r="S736" s="298" t="str">
        <f>IF(A736="","",IF(E736="","非役職",VLOOKUP('従業員情報(給与以外)'!$E736,入力シート!$AH$37:$AO$62,5,0)))</f>
        <v/>
      </c>
      <c r="T736" s="299" t="str">
        <f>IF(OR(入力シート!$C$5&lt;&gt;入力リスト!$C$3,COUNTIF(入力シート!$J$16:$S$23,入力リスト!$H$9)=0),"",IF($A736="","",IF(ISERROR(AVERAGEIF(従業員の給与情報!$B:$B,$A736,従業員の給与情報!$C:$C)),0,IF(ISERROR(AVERAGEIF(従業員の給与情報!$B:$B,$A736,従業員の給与情報!$C:$C)),0,AVERAGEIF(従業員の給与情報!$B:$B,$A736,従業員の給与情報!$C:$C)))))</f>
        <v/>
      </c>
      <c r="U736" s="299" t="str">
        <f>IF(OR(入力シート!$C$5&lt;&gt;入力リスト!$C$3,COUNTIF(入力シート!$J$16:$S$23,入力リスト!$H$9)=0),"",IF(A736="","",IF(ISERROR(AVERAGEIF(従業員の給与情報!$B:$B,$A736,従業員の給与情報!$D:$D)),0,IF(ISERROR(AVERAGEIF(従業員の給与情報!$B:$B,$A736,従業員の給与情報!$D:$D)),0,AVERAGEIF(従業員の給与情報!$B:$B,$A736,従業員の給与情報!$D:$D)))))</f>
        <v/>
      </c>
      <c r="V736" s="299" t="str">
        <f>IF(OR(入力シート!$C$5&lt;&gt;入力リスト!$C$3,COUNTIF(入力シート!$J$16:$S$23,入力リスト!$H$9)=0),"",IF(A736="","",IF(ISERROR(AVERAGEIF(従業員の給与情報!$B:$B,$A736,従業員の給与情報!$E:$E)),0,IF(ISERROR(AVERAGEIF(従業員の給与情報!$B:$B,$A736,従業員の給与情報!$E:$E)),0,AVERAGEIF(従業員の給与情報!$B:$B,$A736,従業員の給与情報!$E:$E)))))</f>
        <v/>
      </c>
      <c r="W736" s="299" t="str">
        <f>IF(OR(入力シート!$C$5&lt;&gt;入力リスト!$C$3,COUNTIF(入力シート!$J$16:$S$23,入力リスト!$H$9)=0),"",IF(A736="","",IF(ISERROR(AVERAGEIF(従業員の給与情報!$B:$B,$A736,従業員の給与情報!$F:$F)),0,IF(ISERROR(AVERAGEIF(従業員の給与情報!$B:$B,$A736,従業員の給与情報!$F:$F)),0,AVERAGEIF(従業員の給与情報!$B:$B,$A736,従業員の給与情報!$F:$F)))))</f>
        <v/>
      </c>
      <c r="X736" s="581" t="s">
        <v>5475</v>
      </c>
    </row>
    <row r="737" spans="6:24">
      <c r="F737" s="297" t="str">
        <f>IF($G$1,"",IF(COUNTIF(A737:E737,"")=5,"",IF(G737,入力リスト!$K$28,IF(OR(A737="",B737="",IF(COUNTIF($C$3,"*不要*"),"",C737=""),D737=""),IF(A737="","従業員番号","")&amp;IF(B737="","「雇用形態」","")&amp;IF(OR(入力シート!$J$18=入力リスト!$H$9,入力シート!$J$22=入力リスト!$H$9),IF(C737="","「入社年月日」",""),"")&amp;IF(D737="","「性別」","")&amp;IF(IF(A737="","従業員番号","")&amp;IF(B737="","「雇用形態」","")&amp;IF(OR(入力シート!$J$18=入力リスト!$H$9,入力シート!$J$22=入力リスト!$H$9),IF(C737="","「入社年月日」",""),"")&amp;IF(D737="","「性別」","")="","",入力リスト!$K$29),IF(J737,入力リスト!$K$30,"")&amp;IF(I737,入力リスト!$K$31,"")&amp;IF(H737,"「雇用形態」","")&amp;IF(K737,"「性別」","")&amp;IF(L737,"「役職」","")&amp;IF(OR(H737,K737,L737),入力リスト!$K$32,"")))))</f>
        <v/>
      </c>
      <c r="G737" s="298" t="b">
        <f>COUNTIF($A$4:A736,$A737)&gt;0</f>
        <v>0</v>
      </c>
      <c r="H737" s="298" t="b">
        <f>IF($H$1,FALSE,COUNTIF(入力シート!$S$37:$V$62,B737)=0)</f>
        <v>0</v>
      </c>
      <c r="I737" s="298" t="b">
        <f t="shared" si="23"/>
        <v>0</v>
      </c>
      <c r="J737" s="298" t="b">
        <f>IF($J$1,FALSE,IF(I737=TRUE,FALSE,IF(I737,FALSE,C737&gt;入力シート!$J$24)))</f>
        <v>0</v>
      </c>
      <c r="K737" s="298" t="b">
        <f>IF($K$1,FALSE,COUNTIF(入力シート!$AW$37:$BB$38,D737)=0)</f>
        <v>0</v>
      </c>
      <c r="L737" s="298" t="b">
        <f>IF($L$1,FALSE,IF($L$3,FALSE,IF(E737="",FALSE,COUNTIF(入力シート!$AH$37:$AK$62,E737)=0)))</f>
        <v>0</v>
      </c>
      <c r="M737" s="298" t="str">
        <f t="shared" si="24"/>
        <v/>
      </c>
      <c r="N737" s="298" t="str">
        <f>IF(G737,"この従業員番号は、すでに他のセルで入力されています。",IF(入力シート!$C$5=入力リスト!$C$4,"",IF(AND(A737="",B737="",C737="",D737="",E737=""),"",IF(OR(A737="",B737="",C737="",D737=""),IF(A737="","従業員番号","")&amp;IF(AND(A737="",OR(B737="",C737="",D737="")),",","")&amp;IF(B737="","雇用形態","")&amp;IF(AND(B737="",OR(C737="",D737="")),",","")&amp;IF(OR(入力シート!$J$18=入力リスト!$H$9,入力シート!$J$22=入力リスト!$H$9),IF(C737="","入社年月日",""),"")&amp;IF(AND(C737="",D737=""),",","")&amp;IF(D737="","性別","")&amp;IF(IF(A737="","従業員番号","")&amp;IF(B737="","雇用形態","")&amp;IF(OR(入力シート!$J$18=入力リスト!$H$9,入力シート!$J$22=入力リスト!$H$9),IF(C737="","入社年月日",""),"")&amp;IF(D737="","性別","")="","","が空白です。"),IF(J737,"入社年月日に「基準日」の翌日以降の日付が入力されています。","")&amp;IF(I737,"入社年月日に数値以外（又は1900/1/1以前の日付）が入力されています。","")&amp;IF(H737,"雇用形態"&amp;IF(OR(K737,L737),",",""),"")&amp;IF(K737,"性別"&amp;IF(L737,",",""),"")&amp;IF(L737,"役職","")&amp;IF(OR(H737,K737,L737),"に、［入力シート］(4)「貴社」欄と異なる文言が入力されています。","")))))</f>
        <v/>
      </c>
      <c r="O737" s="298" t="str">
        <f>IF(B737="","",VLOOKUP('従業員情報(給与以外)'!$B737,入力シート!$S$37:$Z$62,5,0))</f>
        <v/>
      </c>
      <c r="P737" s="298" t="str">
        <f>IF(ISNUMBER(C737)=FALSE,"",IF(C737&gt;入力シート!$J$24,"",_xlfn.DAYS(入力シート!$J$24,'従業員情報(給与以外)'!$C737)/365))</f>
        <v/>
      </c>
      <c r="Q737" s="298" t="str">
        <f>IF(P737="","",VLOOKUP(_xlfn.DAYS(入力シート!$J$24,'従業員情報(給与以外)'!$C737)/365,入力リスト!$K$18:$L$26,2,2))</f>
        <v/>
      </c>
      <c r="R737" s="298" t="str">
        <f>IF(D737="","",VLOOKUP('従業員情報(給与以外)'!$D737,入力シート!$AW$37:$BB$38,4,0))</f>
        <v/>
      </c>
      <c r="S737" s="298" t="str">
        <f>IF(A737="","",IF(E737="","非役職",VLOOKUP('従業員情報(給与以外)'!$E737,入力シート!$AH$37:$AO$62,5,0)))</f>
        <v/>
      </c>
      <c r="T737" s="299" t="str">
        <f>IF(OR(入力シート!$C$5&lt;&gt;入力リスト!$C$3,COUNTIF(入力シート!$J$16:$S$23,入力リスト!$H$9)=0),"",IF($A737="","",IF(ISERROR(AVERAGEIF(従業員の給与情報!$B:$B,$A737,従業員の給与情報!$C:$C)),0,IF(ISERROR(AVERAGEIF(従業員の給与情報!$B:$B,$A737,従業員の給与情報!$C:$C)),0,AVERAGEIF(従業員の給与情報!$B:$B,$A737,従業員の給与情報!$C:$C)))))</f>
        <v/>
      </c>
      <c r="U737" s="299" t="str">
        <f>IF(OR(入力シート!$C$5&lt;&gt;入力リスト!$C$3,COUNTIF(入力シート!$J$16:$S$23,入力リスト!$H$9)=0),"",IF(A737="","",IF(ISERROR(AVERAGEIF(従業員の給与情報!$B:$B,$A737,従業員の給与情報!$D:$D)),0,IF(ISERROR(AVERAGEIF(従業員の給与情報!$B:$B,$A737,従業員の給与情報!$D:$D)),0,AVERAGEIF(従業員の給与情報!$B:$B,$A737,従業員の給与情報!$D:$D)))))</f>
        <v/>
      </c>
      <c r="V737" s="299" t="str">
        <f>IF(OR(入力シート!$C$5&lt;&gt;入力リスト!$C$3,COUNTIF(入力シート!$J$16:$S$23,入力リスト!$H$9)=0),"",IF(A737="","",IF(ISERROR(AVERAGEIF(従業員の給与情報!$B:$B,$A737,従業員の給与情報!$E:$E)),0,IF(ISERROR(AVERAGEIF(従業員の給与情報!$B:$B,$A737,従業員の給与情報!$E:$E)),0,AVERAGEIF(従業員の給与情報!$B:$B,$A737,従業員の給与情報!$E:$E)))))</f>
        <v/>
      </c>
      <c r="W737" s="299" t="str">
        <f>IF(OR(入力シート!$C$5&lt;&gt;入力リスト!$C$3,COUNTIF(入力シート!$J$16:$S$23,入力リスト!$H$9)=0),"",IF(A737="","",IF(ISERROR(AVERAGEIF(従業員の給与情報!$B:$B,$A737,従業員の給与情報!$F:$F)),0,IF(ISERROR(AVERAGEIF(従業員の給与情報!$B:$B,$A737,従業員の給与情報!$F:$F)),0,AVERAGEIF(従業員の給与情報!$B:$B,$A737,従業員の給与情報!$F:$F)))))</f>
        <v/>
      </c>
      <c r="X737" s="581" t="s">
        <v>5476</v>
      </c>
    </row>
    <row r="738" spans="6:24">
      <c r="F738" s="297" t="str">
        <f>IF($G$1,"",IF(COUNTIF(A738:E738,"")=5,"",IF(G738,入力リスト!$K$28,IF(OR(A738="",B738="",IF(COUNTIF($C$3,"*不要*"),"",C738=""),D738=""),IF(A738="","従業員番号","")&amp;IF(B738="","「雇用形態」","")&amp;IF(OR(入力シート!$J$18=入力リスト!$H$9,入力シート!$J$22=入力リスト!$H$9),IF(C738="","「入社年月日」",""),"")&amp;IF(D738="","「性別」","")&amp;IF(IF(A738="","従業員番号","")&amp;IF(B738="","「雇用形態」","")&amp;IF(OR(入力シート!$J$18=入力リスト!$H$9,入力シート!$J$22=入力リスト!$H$9),IF(C738="","「入社年月日」",""),"")&amp;IF(D738="","「性別」","")="","",入力リスト!$K$29),IF(J738,入力リスト!$K$30,"")&amp;IF(I738,入力リスト!$K$31,"")&amp;IF(H738,"「雇用形態」","")&amp;IF(K738,"「性別」","")&amp;IF(L738,"「役職」","")&amp;IF(OR(H738,K738,L738),入力リスト!$K$32,"")))))</f>
        <v/>
      </c>
      <c r="G738" s="298" t="b">
        <f>COUNTIF($A$4:A737,$A738)&gt;0</f>
        <v>0</v>
      </c>
      <c r="H738" s="298" t="b">
        <f>IF($H$1,FALSE,COUNTIF(入力シート!$S$37:$V$62,B738)=0)</f>
        <v>0</v>
      </c>
      <c r="I738" s="298" t="b">
        <f t="shared" si="23"/>
        <v>0</v>
      </c>
      <c r="J738" s="298" t="b">
        <f>IF($J$1,FALSE,IF(I738=TRUE,FALSE,IF(I738,FALSE,C738&gt;入力シート!$J$24)))</f>
        <v>0</v>
      </c>
      <c r="K738" s="298" t="b">
        <f>IF($K$1,FALSE,COUNTIF(入力シート!$AW$37:$BB$38,D738)=0)</f>
        <v>0</v>
      </c>
      <c r="L738" s="298" t="b">
        <f>IF($L$1,FALSE,IF($L$3,FALSE,IF(E738="",FALSE,COUNTIF(入力シート!$AH$37:$AK$62,E738)=0)))</f>
        <v>0</v>
      </c>
      <c r="M738" s="298" t="str">
        <f t="shared" si="24"/>
        <v/>
      </c>
      <c r="N738" s="298" t="str">
        <f>IF(G738,"この従業員番号は、すでに他のセルで入力されています。",IF(入力シート!$C$5=入力リスト!$C$4,"",IF(AND(A738="",B738="",C738="",D738="",E738=""),"",IF(OR(A738="",B738="",C738="",D738=""),IF(A738="","従業員番号","")&amp;IF(AND(A738="",OR(B738="",C738="",D738="")),",","")&amp;IF(B738="","雇用形態","")&amp;IF(AND(B738="",OR(C738="",D738="")),",","")&amp;IF(OR(入力シート!$J$18=入力リスト!$H$9,入力シート!$J$22=入力リスト!$H$9),IF(C738="","入社年月日",""),"")&amp;IF(AND(C738="",D738=""),",","")&amp;IF(D738="","性別","")&amp;IF(IF(A738="","従業員番号","")&amp;IF(B738="","雇用形態","")&amp;IF(OR(入力シート!$J$18=入力リスト!$H$9,入力シート!$J$22=入力リスト!$H$9),IF(C738="","入社年月日",""),"")&amp;IF(D738="","性別","")="","","が空白です。"),IF(J738,"入社年月日に「基準日」の翌日以降の日付が入力されています。","")&amp;IF(I738,"入社年月日に数値以外（又は1900/1/1以前の日付）が入力されています。","")&amp;IF(H738,"雇用形態"&amp;IF(OR(K738,L738),",",""),"")&amp;IF(K738,"性別"&amp;IF(L738,",",""),"")&amp;IF(L738,"役職","")&amp;IF(OR(H738,K738,L738),"に、［入力シート］(4)「貴社」欄と異なる文言が入力されています。","")))))</f>
        <v/>
      </c>
      <c r="O738" s="298" t="str">
        <f>IF(B738="","",VLOOKUP('従業員情報(給与以外)'!$B738,入力シート!$S$37:$Z$62,5,0))</f>
        <v/>
      </c>
      <c r="P738" s="298" t="str">
        <f>IF(ISNUMBER(C738)=FALSE,"",IF(C738&gt;入力シート!$J$24,"",_xlfn.DAYS(入力シート!$J$24,'従業員情報(給与以外)'!$C738)/365))</f>
        <v/>
      </c>
      <c r="Q738" s="298" t="str">
        <f>IF(P738="","",VLOOKUP(_xlfn.DAYS(入力シート!$J$24,'従業員情報(給与以外)'!$C738)/365,入力リスト!$K$18:$L$26,2,2))</f>
        <v/>
      </c>
      <c r="R738" s="298" t="str">
        <f>IF(D738="","",VLOOKUP('従業員情報(給与以外)'!$D738,入力シート!$AW$37:$BB$38,4,0))</f>
        <v/>
      </c>
      <c r="S738" s="298" t="str">
        <f>IF(A738="","",IF(E738="","非役職",VLOOKUP('従業員情報(給与以外)'!$E738,入力シート!$AH$37:$AO$62,5,0)))</f>
        <v/>
      </c>
      <c r="T738" s="299" t="str">
        <f>IF(OR(入力シート!$C$5&lt;&gt;入力リスト!$C$3,COUNTIF(入力シート!$J$16:$S$23,入力リスト!$H$9)=0),"",IF($A738="","",IF(ISERROR(AVERAGEIF(従業員の給与情報!$B:$B,$A738,従業員の給与情報!$C:$C)),0,IF(ISERROR(AVERAGEIF(従業員の給与情報!$B:$B,$A738,従業員の給与情報!$C:$C)),0,AVERAGEIF(従業員の給与情報!$B:$B,$A738,従業員の給与情報!$C:$C)))))</f>
        <v/>
      </c>
      <c r="U738" s="299" t="str">
        <f>IF(OR(入力シート!$C$5&lt;&gt;入力リスト!$C$3,COUNTIF(入力シート!$J$16:$S$23,入力リスト!$H$9)=0),"",IF(A738="","",IF(ISERROR(AVERAGEIF(従業員の給与情報!$B:$B,$A738,従業員の給与情報!$D:$D)),0,IF(ISERROR(AVERAGEIF(従業員の給与情報!$B:$B,$A738,従業員の給与情報!$D:$D)),0,AVERAGEIF(従業員の給与情報!$B:$B,$A738,従業員の給与情報!$D:$D)))))</f>
        <v/>
      </c>
      <c r="V738" s="299" t="str">
        <f>IF(OR(入力シート!$C$5&lt;&gt;入力リスト!$C$3,COUNTIF(入力シート!$J$16:$S$23,入力リスト!$H$9)=0),"",IF(A738="","",IF(ISERROR(AVERAGEIF(従業員の給与情報!$B:$B,$A738,従業員の給与情報!$E:$E)),0,IF(ISERROR(AVERAGEIF(従業員の給与情報!$B:$B,$A738,従業員の給与情報!$E:$E)),0,AVERAGEIF(従業員の給与情報!$B:$B,$A738,従業員の給与情報!$E:$E)))))</f>
        <v/>
      </c>
      <c r="W738" s="299" t="str">
        <f>IF(OR(入力シート!$C$5&lt;&gt;入力リスト!$C$3,COUNTIF(入力シート!$J$16:$S$23,入力リスト!$H$9)=0),"",IF(A738="","",IF(ISERROR(AVERAGEIF(従業員の給与情報!$B:$B,$A738,従業員の給与情報!$F:$F)),0,IF(ISERROR(AVERAGEIF(従業員の給与情報!$B:$B,$A738,従業員の給与情報!$F:$F)),0,AVERAGEIF(従業員の給与情報!$B:$B,$A738,従業員の給与情報!$F:$F)))))</f>
        <v/>
      </c>
      <c r="X738" s="581" t="s">
        <v>5477</v>
      </c>
    </row>
    <row r="739" spans="6:24">
      <c r="F739" s="297" t="str">
        <f>IF($G$1,"",IF(COUNTIF(A739:E739,"")=5,"",IF(G739,入力リスト!$K$28,IF(OR(A739="",B739="",IF(COUNTIF($C$3,"*不要*"),"",C739=""),D739=""),IF(A739="","従業員番号","")&amp;IF(B739="","「雇用形態」","")&amp;IF(OR(入力シート!$J$18=入力リスト!$H$9,入力シート!$J$22=入力リスト!$H$9),IF(C739="","「入社年月日」",""),"")&amp;IF(D739="","「性別」","")&amp;IF(IF(A739="","従業員番号","")&amp;IF(B739="","「雇用形態」","")&amp;IF(OR(入力シート!$J$18=入力リスト!$H$9,入力シート!$J$22=入力リスト!$H$9),IF(C739="","「入社年月日」",""),"")&amp;IF(D739="","「性別」","")="","",入力リスト!$K$29),IF(J739,入力リスト!$K$30,"")&amp;IF(I739,入力リスト!$K$31,"")&amp;IF(H739,"「雇用形態」","")&amp;IF(K739,"「性別」","")&amp;IF(L739,"「役職」","")&amp;IF(OR(H739,K739,L739),入力リスト!$K$32,"")))))</f>
        <v/>
      </c>
      <c r="G739" s="298" t="b">
        <f>COUNTIF($A$4:A738,$A739)&gt;0</f>
        <v>0</v>
      </c>
      <c r="H739" s="298" t="b">
        <f>IF($H$1,FALSE,COUNTIF(入力シート!$S$37:$V$62,B739)=0)</f>
        <v>0</v>
      </c>
      <c r="I739" s="298" t="b">
        <f t="shared" si="23"/>
        <v>0</v>
      </c>
      <c r="J739" s="298" t="b">
        <f>IF($J$1,FALSE,IF(I739=TRUE,FALSE,IF(I739,FALSE,C739&gt;入力シート!$J$24)))</f>
        <v>0</v>
      </c>
      <c r="K739" s="298" t="b">
        <f>IF($K$1,FALSE,COUNTIF(入力シート!$AW$37:$BB$38,D739)=0)</f>
        <v>0</v>
      </c>
      <c r="L739" s="298" t="b">
        <f>IF($L$1,FALSE,IF($L$3,FALSE,IF(E739="",FALSE,COUNTIF(入力シート!$AH$37:$AK$62,E739)=0)))</f>
        <v>0</v>
      </c>
      <c r="M739" s="298" t="str">
        <f t="shared" si="24"/>
        <v/>
      </c>
      <c r="N739" s="298" t="str">
        <f>IF(G739,"この従業員番号は、すでに他のセルで入力されています。",IF(入力シート!$C$5=入力リスト!$C$4,"",IF(AND(A739="",B739="",C739="",D739="",E739=""),"",IF(OR(A739="",B739="",C739="",D739=""),IF(A739="","従業員番号","")&amp;IF(AND(A739="",OR(B739="",C739="",D739="")),",","")&amp;IF(B739="","雇用形態","")&amp;IF(AND(B739="",OR(C739="",D739="")),",","")&amp;IF(OR(入力シート!$J$18=入力リスト!$H$9,入力シート!$J$22=入力リスト!$H$9),IF(C739="","入社年月日",""),"")&amp;IF(AND(C739="",D739=""),",","")&amp;IF(D739="","性別","")&amp;IF(IF(A739="","従業員番号","")&amp;IF(B739="","雇用形態","")&amp;IF(OR(入力シート!$J$18=入力リスト!$H$9,入力シート!$J$22=入力リスト!$H$9),IF(C739="","入社年月日",""),"")&amp;IF(D739="","性別","")="","","が空白です。"),IF(J739,"入社年月日に「基準日」の翌日以降の日付が入力されています。","")&amp;IF(I739,"入社年月日に数値以外（又は1900/1/1以前の日付）が入力されています。","")&amp;IF(H739,"雇用形態"&amp;IF(OR(K739,L739),",",""),"")&amp;IF(K739,"性別"&amp;IF(L739,",",""),"")&amp;IF(L739,"役職","")&amp;IF(OR(H739,K739,L739),"に、［入力シート］(4)「貴社」欄と異なる文言が入力されています。","")))))</f>
        <v/>
      </c>
      <c r="O739" s="298" t="str">
        <f>IF(B739="","",VLOOKUP('従業員情報(給与以外)'!$B739,入力シート!$S$37:$Z$62,5,0))</f>
        <v/>
      </c>
      <c r="P739" s="298" t="str">
        <f>IF(ISNUMBER(C739)=FALSE,"",IF(C739&gt;入力シート!$J$24,"",_xlfn.DAYS(入力シート!$J$24,'従業員情報(給与以外)'!$C739)/365))</f>
        <v/>
      </c>
      <c r="Q739" s="298" t="str">
        <f>IF(P739="","",VLOOKUP(_xlfn.DAYS(入力シート!$J$24,'従業員情報(給与以外)'!$C739)/365,入力リスト!$K$18:$L$26,2,2))</f>
        <v/>
      </c>
      <c r="R739" s="298" t="str">
        <f>IF(D739="","",VLOOKUP('従業員情報(給与以外)'!$D739,入力シート!$AW$37:$BB$38,4,0))</f>
        <v/>
      </c>
      <c r="S739" s="298" t="str">
        <f>IF(A739="","",IF(E739="","非役職",VLOOKUP('従業員情報(給与以外)'!$E739,入力シート!$AH$37:$AO$62,5,0)))</f>
        <v/>
      </c>
      <c r="T739" s="299" t="str">
        <f>IF(OR(入力シート!$C$5&lt;&gt;入力リスト!$C$3,COUNTIF(入力シート!$J$16:$S$23,入力リスト!$H$9)=0),"",IF($A739="","",IF(ISERROR(AVERAGEIF(従業員の給与情報!$B:$B,$A739,従業員の給与情報!$C:$C)),0,IF(ISERROR(AVERAGEIF(従業員の給与情報!$B:$B,$A739,従業員の給与情報!$C:$C)),0,AVERAGEIF(従業員の給与情報!$B:$B,$A739,従業員の給与情報!$C:$C)))))</f>
        <v/>
      </c>
      <c r="U739" s="299" t="str">
        <f>IF(OR(入力シート!$C$5&lt;&gt;入力リスト!$C$3,COUNTIF(入力シート!$J$16:$S$23,入力リスト!$H$9)=0),"",IF(A739="","",IF(ISERROR(AVERAGEIF(従業員の給与情報!$B:$B,$A739,従業員の給与情報!$D:$D)),0,IF(ISERROR(AVERAGEIF(従業員の給与情報!$B:$B,$A739,従業員の給与情報!$D:$D)),0,AVERAGEIF(従業員の給与情報!$B:$B,$A739,従業員の給与情報!$D:$D)))))</f>
        <v/>
      </c>
      <c r="V739" s="299" t="str">
        <f>IF(OR(入力シート!$C$5&lt;&gt;入力リスト!$C$3,COUNTIF(入力シート!$J$16:$S$23,入力リスト!$H$9)=0),"",IF(A739="","",IF(ISERROR(AVERAGEIF(従業員の給与情報!$B:$B,$A739,従業員の給与情報!$E:$E)),0,IF(ISERROR(AVERAGEIF(従業員の給与情報!$B:$B,$A739,従業員の給与情報!$E:$E)),0,AVERAGEIF(従業員の給与情報!$B:$B,$A739,従業員の給与情報!$E:$E)))))</f>
        <v/>
      </c>
      <c r="W739" s="299" t="str">
        <f>IF(OR(入力シート!$C$5&lt;&gt;入力リスト!$C$3,COUNTIF(入力シート!$J$16:$S$23,入力リスト!$H$9)=0),"",IF(A739="","",IF(ISERROR(AVERAGEIF(従業員の給与情報!$B:$B,$A739,従業員の給与情報!$F:$F)),0,IF(ISERROR(AVERAGEIF(従業員の給与情報!$B:$B,$A739,従業員の給与情報!$F:$F)),0,AVERAGEIF(従業員の給与情報!$B:$B,$A739,従業員の給与情報!$F:$F)))))</f>
        <v/>
      </c>
      <c r="X739" s="581" t="s">
        <v>5478</v>
      </c>
    </row>
    <row r="740" spans="6:24">
      <c r="F740" s="297" t="str">
        <f>IF($G$1,"",IF(COUNTIF(A740:E740,"")=5,"",IF(G740,入力リスト!$K$28,IF(OR(A740="",B740="",IF(COUNTIF($C$3,"*不要*"),"",C740=""),D740=""),IF(A740="","従業員番号","")&amp;IF(B740="","「雇用形態」","")&amp;IF(OR(入力シート!$J$18=入力リスト!$H$9,入力シート!$J$22=入力リスト!$H$9),IF(C740="","「入社年月日」",""),"")&amp;IF(D740="","「性別」","")&amp;IF(IF(A740="","従業員番号","")&amp;IF(B740="","「雇用形態」","")&amp;IF(OR(入力シート!$J$18=入力リスト!$H$9,入力シート!$J$22=入力リスト!$H$9),IF(C740="","「入社年月日」",""),"")&amp;IF(D740="","「性別」","")="","",入力リスト!$K$29),IF(J740,入力リスト!$K$30,"")&amp;IF(I740,入力リスト!$K$31,"")&amp;IF(H740,"「雇用形態」","")&amp;IF(K740,"「性別」","")&amp;IF(L740,"「役職」","")&amp;IF(OR(H740,K740,L740),入力リスト!$K$32,"")))))</f>
        <v/>
      </c>
      <c r="G740" s="298" t="b">
        <f>COUNTIF($A$4:A739,$A740)&gt;0</f>
        <v>0</v>
      </c>
      <c r="H740" s="298" t="b">
        <f>IF($H$1,FALSE,COUNTIF(入力シート!$S$37:$V$62,B740)=0)</f>
        <v>0</v>
      </c>
      <c r="I740" s="298" t="b">
        <f t="shared" si="23"/>
        <v>0</v>
      </c>
      <c r="J740" s="298" t="b">
        <f>IF($J$1,FALSE,IF(I740=TRUE,FALSE,IF(I740,FALSE,C740&gt;入力シート!$J$24)))</f>
        <v>0</v>
      </c>
      <c r="K740" s="298" t="b">
        <f>IF($K$1,FALSE,COUNTIF(入力シート!$AW$37:$BB$38,D740)=0)</f>
        <v>0</v>
      </c>
      <c r="L740" s="298" t="b">
        <f>IF($L$1,FALSE,IF($L$3,FALSE,IF(E740="",FALSE,COUNTIF(入力シート!$AH$37:$AK$62,E740)=0)))</f>
        <v>0</v>
      </c>
      <c r="M740" s="298" t="str">
        <f t="shared" si="24"/>
        <v/>
      </c>
      <c r="N740" s="298" t="str">
        <f>IF(G740,"この従業員番号は、すでに他のセルで入力されています。",IF(入力シート!$C$5=入力リスト!$C$4,"",IF(AND(A740="",B740="",C740="",D740="",E740=""),"",IF(OR(A740="",B740="",C740="",D740=""),IF(A740="","従業員番号","")&amp;IF(AND(A740="",OR(B740="",C740="",D740="")),",","")&amp;IF(B740="","雇用形態","")&amp;IF(AND(B740="",OR(C740="",D740="")),",","")&amp;IF(OR(入力シート!$J$18=入力リスト!$H$9,入力シート!$J$22=入力リスト!$H$9),IF(C740="","入社年月日",""),"")&amp;IF(AND(C740="",D740=""),",","")&amp;IF(D740="","性別","")&amp;IF(IF(A740="","従業員番号","")&amp;IF(B740="","雇用形態","")&amp;IF(OR(入力シート!$J$18=入力リスト!$H$9,入力シート!$J$22=入力リスト!$H$9),IF(C740="","入社年月日",""),"")&amp;IF(D740="","性別","")="","","が空白です。"),IF(J740,"入社年月日に「基準日」の翌日以降の日付が入力されています。","")&amp;IF(I740,"入社年月日に数値以外（又は1900/1/1以前の日付）が入力されています。","")&amp;IF(H740,"雇用形態"&amp;IF(OR(K740,L740),",",""),"")&amp;IF(K740,"性別"&amp;IF(L740,",",""),"")&amp;IF(L740,"役職","")&amp;IF(OR(H740,K740,L740),"に、［入力シート］(4)「貴社」欄と異なる文言が入力されています。","")))))</f>
        <v/>
      </c>
      <c r="O740" s="298" t="str">
        <f>IF(B740="","",VLOOKUP('従業員情報(給与以外)'!$B740,入力シート!$S$37:$Z$62,5,0))</f>
        <v/>
      </c>
      <c r="P740" s="298" t="str">
        <f>IF(ISNUMBER(C740)=FALSE,"",IF(C740&gt;入力シート!$J$24,"",_xlfn.DAYS(入力シート!$J$24,'従業員情報(給与以外)'!$C740)/365))</f>
        <v/>
      </c>
      <c r="Q740" s="298" t="str">
        <f>IF(P740="","",VLOOKUP(_xlfn.DAYS(入力シート!$J$24,'従業員情報(給与以外)'!$C740)/365,入力リスト!$K$18:$L$26,2,2))</f>
        <v/>
      </c>
      <c r="R740" s="298" t="str">
        <f>IF(D740="","",VLOOKUP('従業員情報(給与以外)'!$D740,入力シート!$AW$37:$BB$38,4,0))</f>
        <v/>
      </c>
      <c r="S740" s="298" t="str">
        <f>IF(A740="","",IF(E740="","非役職",VLOOKUP('従業員情報(給与以外)'!$E740,入力シート!$AH$37:$AO$62,5,0)))</f>
        <v/>
      </c>
      <c r="T740" s="299" t="str">
        <f>IF(OR(入力シート!$C$5&lt;&gt;入力リスト!$C$3,COUNTIF(入力シート!$J$16:$S$23,入力リスト!$H$9)=0),"",IF($A740="","",IF(ISERROR(AVERAGEIF(従業員の給与情報!$B:$B,$A740,従業員の給与情報!$C:$C)),0,IF(ISERROR(AVERAGEIF(従業員の給与情報!$B:$B,$A740,従業員の給与情報!$C:$C)),0,AVERAGEIF(従業員の給与情報!$B:$B,$A740,従業員の給与情報!$C:$C)))))</f>
        <v/>
      </c>
      <c r="U740" s="299" t="str">
        <f>IF(OR(入力シート!$C$5&lt;&gt;入力リスト!$C$3,COUNTIF(入力シート!$J$16:$S$23,入力リスト!$H$9)=0),"",IF(A740="","",IF(ISERROR(AVERAGEIF(従業員の給与情報!$B:$B,$A740,従業員の給与情報!$D:$D)),0,IF(ISERROR(AVERAGEIF(従業員の給与情報!$B:$B,$A740,従業員の給与情報!$D:$D)),0,AVERAGEIF(従業員の給与情報!$B:$B,$A740,従業員の給与情報!$D:$D)))))</f>
        <v/>
      </c>
      <c r="V740" s="299" t="str">
        <f>IF(OR(入力シート!$C$5&lt;&gt;入力リスト!$C$3,COUNTIF(入力シート!$J$16:$S$23,入力リスト!$H$9)=0),"",IF(A740="","",IF(ISERROR(AVERAGEIF(従業員の給与情報!$B:$B,$A740,従業員の給与情報!$E:$E)),0,IF(ISERROR(AVERAGEIF(従業員の給与情報!$B:$B,$A740,従業員の給与情報!$E:$E)),0,AVERAGEIF(従業員の給与情報!$B:$B,$A740,従業員の給与情報!$E:$E)))))</f>
        <v/>
      </c>
      <c r="W740" s="299" t="str">
        <f>IF(OR(入力シート!$C$5&lt;&gt;入力リスト!$C$3,COUNTIF(入力シート!$J$16:$S$23,入力リスト!$H$9)=0),"",IF(A740="","",IF(ISERROR(AVERAGEIF(従業員の給与情報!$B:$B,$A740,従業員の給与情報!$F:$F)),0,IF(ISERROR(AVERAGEIF(従業員の給与情報!$B:$B,$A740,従業員の給与情報!$F:$F)),0,AVERAGEIF(従業員の給与情報!$B:$B,$A740,従業員の給与情報!$F:$F)))))</f>
        <v/>
      </c>
      <c r="X740" s="581" t="s">
        <v>5479</v>
      </c>
    </row>
    <row r="741" spans="6:24">
      <c r="F741" s="297" t="str">
        <f>IF($G$1,"",IF(COUNTIF(A741:E741,"")=5,"",IF(G741,入力リスト!$K$28,IF(OR(A741="",B741="",IF(COUNTIF($C$3,"*不要*"),"",C741=""),D741=""),IF(A741="","従業員番号","")&amp;IF(B741="","「雇用形態」","")&amp;IF(OR(入力シート!$J$18=入力リスト!$H$9,入力シート!$J$22=入力リスト!$H$9),IF(C741="","「入社年月日」",""),"")&amp;IF(D741="","「性別」","")&amp;IF(IF(A741="","従業員番号","")&amp;IF(B741="","「雇用形態」","")&amp;IF(OR(入力シート!$J$18=入力リスト!$H$9,入力シート!$J$22=入力リスト!$H$9),IF(C741="","「入社年月日」",""),"")&amp;IF(D741="","「性別」","")="","",入力リスト!$K$29),IF(J741,入力リスト!$K$30,"")&amp;IF(I741,入力リスト!$K$31,"")&amp;IF(H741,"「雇用形態」","")&amp;IF(K741,"「性別」","")&amp;IF(L741,"「役職」","")&amp;IF(OR(H741,K741,L741),入力リスト!$K$32,"")))))</f>
        <v/>
      </c>
      <c r="G741" s="298" t="b">
        <f>COUNTIF($A$4:A740,$A741)&gt;0</f>
        <v>0</v>
      </c>
      <c r="H741" s="298" t="b">
        <f>IF($H$1,FALSE,COUNTIF(入力シート!$S$37:$V$62,B741)=0)</f>
        <v>0</v>
      </c>
      <c r="I741" s="298" t="b">
        <f t="shared" si="23"/>
        <v>0</v>
      </c>
      <c r="J741" s="298" t="b">
        <f>IF($J$1,FALSE,IF(I741=TRUE,FALSE,IF(I741,FALSE,C741&gt;入力シート!$J$24)))</f>
        <v>0</v>
      </c>
      <c r="K741" s="298" t="b">
        <f>IF($K$1,FALSE,COUNTIF(入力シート!$AW$37:$BB$38,D741)=0)</f>
        <v>0</v>
      </c>
      <c r="L741" s="298" t="b">
        <f>IF($L$1,FALSE,IF($L$3,FALSE,IF(E741="",FALSE,COUNTIF(入力シート!$AH$37:$AK$62,E741)=0)))</f>
        <v>0</v>
      </c>
      <c r="M741" s="298" t="str">
        <f t="shared" si="24"/>
        <v/>
      </c>
      <c r="N741" s="298" t="str">
        <f>IF(G741,"この従業員番号は、すでに他のセルで入力されています。",IF(入力シート!$C$5=入力リスト!$C$4,"",IF(AND(A741="",B741="",C741="",D741="",E741=""),"",IF(OR(A741="",B741="",C741="",D741=""),IF(A741="","従業員番号","")&amp;IF(AND(A741="",OR(B741="",C741="",D741="")),",","")&amp;IF(B741="","雇用形態","")&amp;IF(AND(B741="",OR(C741="",D741="")),",","")&amp;IF(OR(入力シート!$J$18=入力リスト!$H$9,入力シート!$J$22=入力リスト!$H$9),IF(C741="","入社年月日",""),"")&amp;IF(AND(C741="",D741=""),",","")&amp;IF(D741="","性別","")&amp;IF(IF(A741="","従業員番号","")&amp;IF(B741="","雇用形態","")&amp;IF(OR(入力シート!$J$18=入力リスト!$H$9,入力シート!$J$22=入力リスト!$H$9),IF(C741="","入社年月日",""),"")&amp;IF(D741="","性別","")="","","が空白です。"),IF(J741,"入社年月日に「基準日」の翌日以降の日付が入力されています。","")&amp;IF(I741,"入社年月日に数値以外（又は1900/1/1以前の日付）が入力されています。","")&amp;IF(H741,"雇用形態"&amp;IF(OR(K741,L741),",",""),"")&amp;IF(K741,"性別"&amp;IF(L741,",",""),"")&amp;IF(L741,"役職","")&amp;IF(OR(H741,K741,L741),"に、［入力シート］(4)「貴社」欄と異なる文言が入力されています。","")))))</f>
        <v/>
      </c>
      <c r="O741" s="298" t="str">
        <f>IF(B741="","",VLOOKUP('従業員情報(給与以外)'!$B741,入力シート!$S$37:$Z$62,5,0))</f>
        <v/>
      </c>
      <c r="P741" s="298" t="str">
        <f>IF(ISNUMBER(C741)=FALSE,"",IF(C741&gt;入力シート!$J$24,"",_xlfn.DAYS(入力シート!$J$24,'従業員情報(給与以外)'!$C741)/365))</f>
        <v/>
      </c>
      <c r="Q741" s="298" t="str">
        <f>IF(P741="","",VLOOKUP(_xlfn.DAYS(入力シート!$J$24,'従業員情報(給与以外)'!$C741)/365,入力リスト!$K$18:$L$26,2,2))</f>
        <v/>
      </c>
      <c r="R741" s="298" t="str">
        <f>IF(D741="","",VLOOKUP('従業員情報(給与以外)'!$D741,入力シート!$AW$37:$BB$38,4,0))</f>
        <v/>
      </c>
      <c r="S741" s="298" t="str">
        <f>IF(A741="","",IF(E741="","非役職",VLOOKUP('従業員情報(給与以外)'!$E741,入力シート!$AH$37:$AO$62,5,0)))</f>
        <v/>
      </c>
      <c r="T741" s="299" t="str">
        <f>IF(OR(入力シート!$C$5&lt;&gt;入力リスト!$C$3,COUNTIF(入力シート!$J$16:$S$23,入力リスト!$H$9)=0),"",IF($A741="","",IF(ISERROR(AVERAGEIF(従業員の給与情報!$B:$B,$A741,従業員の給与情報!$C:$C)),0,IF(ISERROR(AVERAGEIF(従業員の給与情報!$B:$B,$A741,従業員の給与情報!$C:$C)),0,AVERAGEIF(従業員の給与情報!$B:$B,$A741,従業員の給与情報!$C:$C)))))</f>
        <v/>
      </c>
      <c r="U741" s="299" t="str">
        <f>IF(OR(入力シート!$C$5&lt;&gt;入力リスト!$C$3,COUNTIF(入力シート!$J$16:$S$23,入力リスト!$H$9)=0),"",IF(A741="","",IF(ISERROR(AVERAGEIF(従業員の給与情報!$B:$B,$A741,従業員の給与情報!$D:$D)),0,IF(ISERROR(AVERAGEIF(従業員の給与情報!$B:$B,$A741,従業員の給与情報!$D:$D)),0,AVERAGEIF(従業員の給与情報!$B:$B,$A741,従業員の給与情報!$D:$D)))))</f>
        <v/>
      </c>
      <c r="V741" s="299" t="str">
        <f>IF(OR(入力シート!$C$5&lt;&gt;入力リスト!$C$3,COUNTIF(入力シート!$J$16:$S$23,入力リスト!$H$9)=0),"",IF(A741="","",IF(ISERROR(AVERAGEIF(従業員の給与情報!$B:$B,$A741,従業員の給与情報!$E:$E)),0,IF(ISERROR(AVERAGEIF(従業員の給与情報!$B:$B,$A741,従業員の給与情報!$E:$E)),0,AVERAGEIF(従業員の給与情報!$B:$B,$A741,従業員の給与情報!$E:$E)))))</f>
        <v/>
      </c>
      <c r="W741" s="299" t="str">
        <f>IF(OR(入力シート!$C$5&lt;&gt;入力リスト!$C$3,COUNTIF(入力シート!$J$16:$S$23,入力リスト!$H$9)=0),"",IF(A741="","",IF(ISERROR(AVERAGEIF(従業員の給与情報!$B:$B,$A741,従業員の給与情報!$F:$F)),0,IF(ISERROR(AVERAGEIF(従業員の給与情報!$B:$B,$A741,従業員の給与情報!$F:$F)),0,AVERAGEIF(従業員の給与情報!$B:$B,$A741,従業員の給与情報!$F:$F)))))</f>
        <v/>
      </c>
      <c r="X741" s="581" t="s">
        <v>5480</v>
      </c>
    </row>
    <row r="742" spans="6:24">
      <c r="F742" s="297" t="str">
        <f>IF($G$1,"",IF(COUNTIF(A742:E742,"")=5,"",IF(G742,入力リスト!$K$28,IF(OR(A742="",B742="",IF(COUNTIF($C$3,"*不要*"),"",C742=""),D742=""),IF(A742="","従業員番号","")&amp;IF(B742="","「雇用形態」","")&amp;IF(OR(入力シート!$J$18=入力リスト!$H$9,入力シート!$J$22=入力リスト!$H$9),IF(C742="","「入社年月日」",""),"")&amp;IF(D742="","「性別」","")&amp;IF(IF(A742="","従業員番号","")&amp;IF(B742="","「雇用形態」","")&amp;IF(OR(入力シート!$J$18=入力リスト!$H$9,入力シート!$J$22=入力リスト!$H$9),IF(C742="","「入社年月日」",""),"")&amp;IF(D742="","「性別」","")="","",入力リスト!$K$29),IF(J742,入力リスト!$K$30,"")&amp;IF(I742,入力リスト!$K$31,"")&amp;IF(H742,"「雇用形態」","")&amp;IF(K742,"「性別」","")&amp;IF(L742,"「役職」","")&amp;IF(OR(H742,K742,L742),入力リスト!$K$32,"")))))</f>
        <v/>
      </c>
      <c r="G742" s="298" t="b">
        <f>COUNTIF($A$4:A741,$A742)&gt;0</f>
        <v>0</v>
      </c>
      <c r="H742" s="298" t="b">
        <f>IF($H$1,FALSE,COUNTIF(入力シート!$S$37:$V$62,B742)=0)</f>
        <v>0</v>
      </c>
      <c r="I742" s="298" t="b">
        <f t="shared" si="23"/>
        <v>0</v>
      </c>
      <c r="J742" s="298" t="b">
        <f>IF($J$1,FALSE,IF(I742=TRUE,FALSE,IF(I742,FALSE,C742&gt;入力シート!$J$24)))</f>
        <v>0</v>
      </c>
      <c r="K742" s="298" t="b">
        <f>IF($K$1,FALSE,COUNTIF(入力シート!$AW$37:$BB$38,D742)=0)</f>
        <v>0</v>
      </c>
      <c r="L742" s="298" t="b">
        <f>IF($L$1,FALSE,IF($L$3,FALSE,IF(E742="",FALSE,COUNTIF(入力シート!$AH$37:$AK$62,E742)=0)))</f>
        <v>0</v>
      </c>
      <c r="M742" s="298" t="str">
        <f t="shared" si="24"/>
        <v/>
      </c>
      <c r="N742" s="298" t="str">
        <f>IF(G742,"この従業員番号は、すでに他のセルで入力されています。",IF(入力シート!$C$5=入力リスト!$C$4,"",IF(AND(A742="",B742="",C742="",D742="",E742=""),"",IF(OR(A742="",B742="",C742="",D742=""),IF(A742="","従業員番号","")&amp;IF(AND(A742="",OR(B742="",C742="",D742="")),",","")&amp;IF(B742="","雇用形態","")&amp;IF(AND(B742="",OR(C742="",D742="")),",","")&amp;IF(OR(入力シート!$J$18=入力リスト!$H$9,入力シート!$J$22=入力リスト!$H$9),IF(C742="","入社年月日",""),"")&amp;IF(AND(C742="",D742=""),",","")&amp;IF(D742="","性別","")&amp;IF(IF(A742="","従業員番号","")&amp;IF(B742="","雇用形態","")&amp;IF(OR(入力シート!$J$18=入力リスト!$H$9,入力シート!$J$22=入力リスト!$H$9),IF(C742="","入社年月日",""),"")&amp;IF(D742="","性別","")="","","が空白です。"),IF(J742,"入社年月日に「基準日」の翌日以降の日付が入力されています。","")&amp;IF(I742,"入社年月日に数値以外（又は1900/1/1以前の日付）が入力されています。","")&amp;IF(H742,"雇用形態"&amp;IF(OR(K742,L742),",",""),"")&amp;IF(K742,"性別"&amp;IF(L742,",",""),"")&amp;IF(L742,"役職","")&amp;IF(OR(H742,K742,L742),"に、［入力シート］(4)「貴社」欄と異なる文言が入力されています。","")))))</f>
        <v/>
      </c>
      <c r="O742" s="298" t="str">
        <f>IF(B742="","",VLOOKUP('従業員情報(給与以外)'!$B742,入力シート!$S$37:$Z$62,5,0))</f>
        <v/>
      </c>
      <c r="P742" s="298" t="str">
        <f>IF(ISNUMBER(C742)=FALSE,"",IF(C742&gt;入力シート!$J$24,"",_xlfn.DAYS(入力シート!$J$24,'従業員情報(給与以外)'!$C742)/365))</f>
        <v/>
      </c>
      <c r="Q742" s="298" t="str">
        <f>IF(P742="","",VLOOKUP(_xlfn.DAYS(入力シート!$J$24,'従業員情報(給与以外)'!$C742)/365,入力リスト!$K$18:$L$26,2,2))</f>
        <v/>
      </c>
      <c r="R742" s="298" t="str">
        <f>IF(D742="","",VLOOKUP('従業員情報(給与以外)'!$D742,入力シート!$AW$37:$BB$38,4,0))</f>
        <v/>
      </c>
      <c r="S742" s="298" t="str">
        <f>IF(A742="","",IF(E742="","非役職",VLOOKUP('従業員情報(給与以外)'!$E742,入力シート!$AH$37:$AO$62,5,0)))</f>
        <v/>
      </c>
      <c r="T742" s="299" t="str">
        <f>IF(OR(入力シート!$C$5&lt;&gt;入力リスト!$C$3,COUNTIF(入力シート!$J$16:$S$23,入力リスト!$H$9)=0),"",IF($A742="","",IF(ISERROR(AVERAGEIF(従業員の給与情報!$B:$B,$A742,従業員の給与情報!$C:$C)),0,IF(ISERROR(AVERAGEIF(従業員の給与情報!$B:$B,$A742,従業員の給与情報!$C:$C)),0,AVERAGEIF(従業員の給与情報!$B:$B,$A742,従業員の給与情報!$C:$C)))))</f>
        <v/>
      </c>
      <c r="U742" s="299" t="str">
        <f>IF(OR(入力シート!$C$5&lt;&gt;入力リスト!$C$3,COUNTIF(入力シート!$J$16:$S$23,入力リスト!$H$9)=0),"",IF(A742="","",IF(ISERROR(AVERAGEIF(従業員の給与情報!$B:$B,$A742,従業員の給与情報!$D:$D)),0,IF(ISERROR(AVERAGEIF(従業員の給与情報!$B:$B,$A742,従業員の給与情報!$D:$D)),0,AVERAGEIF(従業員の給与情報!$B:$B,$A742,従業員の給与情報!$D:$D)))))</f>
        <v/>
      </c>
      <c r="V742" s="299" t="str">
        <f>IF(OR(入力シート!$C$5&lt;&gt;入力リスト!$C$3,COUNTIF(入力シート!$J$16:$S$23,入力リスト!$H$9)=0),"",IF(A742="","",IF(ISERROR(AVERAGEIF(従業員の給与情報!$B:$B,$A742,従業員の給与情報!$E:$E)),0,IF(ISERROR(AVERAGEIF(従業員の給与情報!$B:$B,$A742,従業員の給与情報!$E:$E)),0,AVERAGEIF(従業員の給与情報!$B:$B,$A742,従業員の給与情報!$E:$E)))))</f>
        <v/>
      </c>
      <c r="W742" s="299" t="str">
        <f>IF(OR(入力シート!$C$5&lt;&gt;入力リスト!$C$3,COUNTIF(入力シート!$J$16:$S$23,入力リスト!$H$9)=0),"",IF(A742="","",IF(ISERROR(AVERAGEIF(従業員の給与情報!$B:$B,$A742,従業員の給与情報!$F:$F)),0,IF(ISERROR(AVERAGEIF(従業員の給与情報!$B:$B,$A742,従業員の給与情報!$F:$F)),0,AVERAGEIF(従業員の給与情報!$B:$B,$A742,従業員の給与情報!$F:$F)))))</f>
        <v/>
      </c>
      <c r="X742" s="581" t="s">
        <v>5481</v>
      </c>
    </row>
    <row r="743" spans="6:24">
      <c r="F743" s="297" t="str">
        <f>IF($G$1,"",IF(COUNTIF(A743:E743,"")=5,"",IF(G743,入力リスト!$K$28,IF(OR(A743="",B743="",IF(COUNTIF($C$3,"*不要*"),"",C743=""),D743=""),IF(A743="","従業員番号","")&amp;IF(B743="","「雇用形態」","")&amp;IF(OR(入力シート!$J$18=入力リスト!$H$9,入力シート!$J$22=入力リスト!$H$9),IF(C743="","「入社年月日」",""),"")&amp;IF(D743="","「性別」","")&amp;IF(IF(A743="","従業員番号","")&amp;IF(B743="","「雇用形態」","")&amp;IF(OR(入力シート!$J$18=入力リスト!$H$9,入力シート!$J$22=入力リスト!$H$9),IF(C743="","「入社年月日」",""),"")&amp;IF(D743="","「性別」","")="","",入力リスト!$K$29),IF(J743,入力リスト!$K$30,"")&amp;IF(I743,入力リスト!$K$31,"")&amp;IF(H743,"「雇用形態」","")&amp;IF(K743,"「性別」","")&amp;IF(L743,"「役職」","")&amp;IF(OR(H743,K743,L743),入力リスト!$K$32,"")))))</f>
        <v/>
      </c>
      <c r="G743" s="298" t="b">
        <f>COUNTIF($A$4:A742,$A743)&gt;0</f>
        <v>0</v>
      </c>
      <c r="H743" s="298" t="b">
        <f>IF($H$1,FALSE,COUNTIF(入力シート!$S$37:$V$62,B743)=0)</f>
        <v>0</v>
      </c>
      <c r="I743" s="298" t="b">
        <f t="shared" si="23"/>
        <v>0</v>
      </c>
      <c r="J743" s="298" t="b">
        <f>IF($J$1,FALSE,IF(I743=TRUE,FALSE,IF(I743,FALSE,C743&gt;入力シート!$J$24)))</f>
        <v>0</v>
      </c>
      <c r="K743" s="298" t="b">
        <f>IF($K$1,FALSE,COUNTIF(入力シート!$AW$37:$BB$38,D743)=0)</f>
        <v>0</v>
      </c>
      <c r="L743" s="298" t="b">
        <f>IF($L$1,FALSE,IF($L$3,FALSE,IF(E743="",FALSE,COUNTIF(入力シート!$AH$37:$AK$62,E743)=0)))</f>
        <v>0</v>
      </c>
      <c r="M743" s="298" t="str">
        <f t="shared" si="24"/>
        <v/>
      </c>
      <c r="N743" s="298" t="str">
        <f>IF(G743,"この従業員番号は、すでに他のセルで入力されています。",IF(入力シート!$C$5=入力リスト!$C$4,"",IF(AND(A743="",B743="",C743="",D743="",E743=""),"",IF(OR(A743="",B743="",C743="",D743=""),IF(A743="","従業員番号","")&amp;IF(AND(A743="",OR(B743="",C743="",D743="")),",","")&amp;IF(B743="","雇用形態","")&amp;IF(AND(B743="",OR(C743="",D743="")),",","")&amp;IF(OR(入力シート!$J$18=入力リスト!$H$9,入力シート!$J$22=入力リスト!$H$9),IF(C743="","入社年月日",""),"")&amp;IF(AND(C743="",D743=""),",","")&amp;IF(D743="","性別","")&amp;IF(IF(A743="","従業員番号","")&amp;IF(B743="","雇用形態","")&amp;IF(OR(入力シート!$J$18=入力リスト!$H$9,入力シート!$J$22=入力リスト!$H$9),IF(C743="","入社年月日",""),"")&amp;IF(D743="","性別","")="","","が空白です。"),IF(J743,"入社年月日に「基準日」の翌日以降の日付が入力されています。","")&amp;IF(I743,"入社年月日に数値以外（又は1900/1/1以前の日付）が入力されています。","")&amp;IF(H743,"雇用形態"&amp;IF(OR(K743,L743),",",""),"")&amp;IF(K743,"性別"&amp;IF(L743,",",""),"")&amp;IF(L743,"役職","")&amp;IF(OR(H743,K743,L743),"に、［入力シート］(4)「貴社」欄と異なる文言が入力されています。","")))))</f>
        <v/>
      </c>
      <c r="O743" s="298" t="str">
        <f>IF(B743="","",VLOOKUP('従業員情報(給与以外)'!$B743,入力シート!$S$37:$Z$62,5,0))</f>
        <v/>
      </c>
      <c r="P743" s="298" t="str">
        <f>IF(ISNUMBER(C743)=FALSE,"",IF(C743&gt;入力シート!$J$24,"",_xlfn.DAYS(入力シート!$J$24,'従業員情報(給与以外)'!$C743)/365))</f>
        <v/>
      </c>
      <c r="Q743" s="298" t="str">
        <f>IF(P743="","",VLOOKUP(_xlfn.DAYS(入力シート!$J$24,'従業員情報(給与以外)'!$C743)/365,入力リスト!$K$18:$L$26,2,2))</f>
        <v/>
      </c>
      <c r="R743" s="298" t="str">
        <f>IF(D743="","",VLOOKUP('従業員情報(給与以外)'!$D743,入力シート!$AW$37:$BB$38,4,0))</f>
        <v/>
      </c>
      <c r="S743" s="298" t="str">
        <f>IF(A743="","",IF(E743="","非役職",VLOOKUP('従業員情報(給与以外)'!$E743,入力シート!$AH$37:$AO$62,5,0)))</f>
        <v/>
      </c>
      <c r="T743" s="299" t="str">
        <f>IF(OR(入力シート!$C$5&lt;&gt;入力リスト!$C$3,COUNTIF(入力シート!$J$16:$S$23,入力リスト!$H$9)=0),"",IF($A743="","",IF(ISERROR(AVERAGEIF(従業員の給与情報!$B:$B,$A743,従業員の給与情報!$C:$C)),0,IF(ISERROR(AVERAGEIF(従業員の給与情報!$B:$B,$A743,従業員の給与情報!$C:$C)),0,AVERAGEIF(従業員の給与情報!$B:$B,$A743,従業員の給与情報!$C:$C)))))</f>
        <v/>
      </c>
      <c r="U743" s="299" t="str">
        <f>IF(OR(入力シート!$C$5&lt;&gt;入力リスト!$C$3,COUNTIF(入力シート!$J$16:$S$23,入力リスト!$H$9)=0),"",IF(A743="","",IF(ISERROR(AVERAGEIF(従業員の給与情報!$B:$B,$A743,従業員の給与情報!$D:$D)),0,IF(ISERROR(AVERAGEIF(従業員の給与情報!$B:$B,$A743,従業員の給与情報!$D:$D)),0,AVERAGEIF(従業員の給与情報!$B:$B,$A743,従業員の給与情報!$D:$D)))))</f>
        <v/>
      </c>
      <c r="V743" s="299" t="str">
        <f>IF(OR(入力シート!$C$5&lt;&gt;入力リスト!$C$3,COUNTIF(入力シート!$J$16:$S$23,入力リスト!$H$9)=0),"",IF(A743="","",IF(ISERROR(AVERAGEIF(従業員の給与情報!$B:$B,$A743,従業員の給与情報!$E:$E)),0,IF(ISERROR(AVERAGEIF(従業員の給与情報!$B:$B,$A743,従業員の給与情報!$E:$E)),0,AVERAGEIF(従業員の給与情報!$B:$B,$A743,従業員の給与情報!$E:$E)))))</f>
        <v/>
      </c>
      <c r="W743" s="299" t="str">
        <f>IF(OR(入力シート!$C$5&lt;&gt;入力リスト!$C$3,COUNTIF(入力シート!$J$16:$S$23,入力リスト!$H$9)=0),"",IF(A743="","",IF(ISERROR(AVERAGEIF(従業員の給与情報!$B:$B,$A743,従業員の給与情報!$F:$F)),0,IF(ISERROR(AVERAGEIF(従業員の給与情報!$B:$B,$A743,従業員の給与情報!$F:$F)),0,AVERAGEIF(従業員の給与情報!$B:$B,$A743,従業員の給与情報!$F:$F)))))</f>
        <v/>
      </c>
      <c r="X743" s="581" t="s">
        <v>5482</v>
      </c>
    </row>
    <row r="744" spans="6:24">
      <c r="F744" s="297" t="str">
        <f>IF($G$1,"",IF(COUNTIF(A744:E744,"")=5,"",IF(G744,入力リスト!$K$28,IF(OR(A744="",B744="",IF(COUNTIF($C$3,"*不要*"),"",C744=""),D744=""),IF(A744="","従業員番号","")&amp;IF(B744="","「雇用形態」","")&amp;IF(OR(入力シート!$J$18=入力リスト!$H$9,入力シート!$J$22=入力リスト!$H$9),IF(C744="","「入社年月日」",""),"")&amp;IF(D744="","「性別」","")&amp;IF(IF(A744="","従業員番号","")&amp;IF(B744="","「雇用形態」","")&amp;IF(OR(入力シート!$J$18=入力リスト!$H$9,入力シート!$J$22=入力リスト!$H$9),IF(C744="","「入社年月日」",""),"")&amp;IF(D744="","「性別」","")="","",入力リスト!$K$29),IF(J744,入力リスト!$K$30,"")&amp;IF(I744,入力リスト!$K$31,"")&amp;IF(H744,"「雇用形態」","")&amp;IF(K744,"「性別」","")&amp;IF(L744,"「役職」","")&amp;IF(OR(H744,K744,L744),入力リスト!$K$32,"")))))</f>
        <v/>
      </c>
      <c r="G744" s="298" t="b">
        <f>COUNTIF($A$4:A743,$A744)&gt;0</f>
        <v>0</v>
      </c>
      <c r="H744" s="298" t="b">
        <f>IF($H$1,FALSE,COUNTIF(入力シート!$S$37:$V$62,B744)=0)</f>
        <v>0</v>
      </c>
      <c r="I744" s="298" t="b">
        <f t="shared" si="23"/>
        <v>0</v>
      </c>
      <c r="J744" s="298" t="b">
        <f>IF($J$1,FALSE,IF(I744=TRUE,FALSE,IF(I744,FALSE,C744&gt;入力シート!$J$24)))</f>
        <v>0</v>
      </c>
      <c r="K744" s="298" t="b">
        <f>IF($K$1,FALSE,COUNTIF(入力シート!$AW$37:$BB$38,D744)=0)</f>
        <v>0</v>
      </c>
      <c r="L744" s="298" t="b">
        <f>IF($L$1,FALSE,IF($L$3,FALSE,IF(E744="",FALSE,COUNTIF(入力シート!$AH$37:$AK$62,E744)=0)))</f>
        <v>0</v>
      </c>
      <c r="M744" s="298" t="str">
        <f t="shared" si="24"/>
        <v/>
      </c>
      <c r="N744" s="298" t="str">
        <f>IF(G744,"この従業員番号は、すでに他のセルで入力されています。",IF(入力シート!$C$5=入力リスト!$C$4,"",IF(AND(A744="",B744="",C744="",D744="",E744=""),"",IF(OR(A744="",B744="",C744="",D744=""),IF(A744="","従業員番号","")&amp;IF(AND(A744="",OR(B744="",C744="",D744="")),",","")&amp;IF(B744="","雇用形態","")&amp;IF(AND(B744="",OR(C744="",D744="")),",","")&amp;IF(OR(入力シート!$J$18=入力リスト!$H$9,入力シート!$J$22=入力リスト!$H$9),IF(C744="","入社年月日",""),"")&amp;IF(AND(C744="",D744=""),",","")&amp;IF(D744="","性別","")&amp;IF(IF(A744="","従業員番号","")&amp;IF(B744="","雇用形態","")&amp;IF(OR(入力シート!$J$18=入力リスト!$H$9,入力シート!$J$22=入力リスト!$H$9),IF(C744="","入社年月日",""),"")&amp;IF(D744="","性別","")="","","が空白です。"),IF(J744,"入社年月日に「基準日」の翌日以降の日付が入力されています。","")&amp;IF(I744,"入社年月日に数値以外（又は1900/1/1以前の日付）が入力されています。","")&amp;IF(H744,"雇用形態"&amp;IF(OR(K744,L744),",",""),"")&amp;IF(K744,"性別"&amp;IF(L744,",",""),"")&amp;IF(L744,"役職","")&amp;IF(OR(H744,K744,L744),"に、［入力シート］(4)「貴社」欄と異なる文言が入力されています。","")))))</f>
        <v/>
      </c>
      <c r="O744" s="298" t="str">
        <f>IF(B744="","",VLOOKUP('従業員情報(給与以外)'!$B744,入力シート!$S$37:$Z$62,5,0))</f>
        <v/>
      </c>
      <c r="P744" s="298" t="str">
        <f>IF(ISNUMBER(C744)=FALSE,"",IF(C744&gt;入力シート!$J$24,"",_xlfn.DAYS(入力シート!$J$24,'従業員情報(給与以外)'!$C744)/365))</f>
        <v/>
      </c>
      <c r="Q744" s="298" t="str">
        <f>IF(P744="","",VLOOKUP(_xlfn.DAYS(入力シート!$J$24,'従業員情報(給与以外)'!$C744)/365,入力リスト!$K$18:$L$26,2,2))</f>
        <v/>
      </c>
      <c r="R744" s="298" t="str">
        <f>IF(D744="","",VLOOKUP('従業員情報(給与以外)'!$D744,入力シート!$AW$37:$BB$38,4,0))</f>
        <v/>
      </c>
      <c r="S744" s="298" t="str">
        <f>IF(A744="","",IF(E744="","非役職",VLOOKUP('従業員情報(給与以外)'!$E744,入力シート!$AH$37:$AO$62,5,0)))</f>
        <v/>
      </c>
      <c r="T744" s="299" t="str">
        <f>IF(OR(入力シート!$C$5&lt;&gt;入力リスト!$C$3,COUNTIF(入力シート!$J$16:$S$23,入力リスト!$H$9)=0),"",IF($A744="","",IF(ISERROR(AVERAGEIF(従業員の給与情報!$B:$B,$A744,従業員の給与情報!$C:$C)),0,IF(ISERROR(AVERAGEIF(従業員の給与情報!$B:$B,$A744,従業員の給与情報!$C:$C)),0,AVERAGEIF(従業員の給与情報!$B:$B,$A744,従業員の給与情報!$C:$C)))))</f>
        <v/>
      </c>
      <c r="U744" s="299" t="str">
        <f>IF(OR(入力シート!$C$5&lt;&gt;入力リスト!$C$3,COUNTIF(入力シート!$J$16:$S$23,入力リスト!$H$9)=0),"",IF(A744="","",IF(ISERROR(AVERAGEIF(従業員の給与情報!$B:$B,$A744,従業員の給与情報!$D:$D)),0,IF(ISERROR(AVERAGEIF(従業員の給与情報!$B:$B,$A744,従業員の給与情報!$D:$D)),0,AVERAGEIF(従業員の給与情報!$B:$B,$A744,従業員の給与情報!$D:$D)))))</f>
        <v/>
      </c>
      <c r="V744" s="299" t="str">
        <f>IF(OR(入力シート!$C$5&lt;&gt;入力リスト!$C$3,COUNTIF(入力シート!$J$16:$S$23,入力リスト!$H$9)=0),"",IF(A744="","",IF(ISERROR(AVERAGEIF(従業員の給与情報!$B:$B,$A744,従業員の給与情報!$E:$E)),0,IF(ISERROR(AVERAGEIF(従業員の給与情報!$B:$B,$A744,従業員の給与情報!$E:$E)),0,AVERAGEIF(従業員の給与情報!$B:$B,$A744,従業員の給与情報!$E:$E)))))</f>
        <v/>
      </c>
      <c r="W744" s="299" t="str">
        <f>IF(OR(入力シート!$C$5&lt;&gt;入力リスト!$C$3,COUNTIF(入力シート!$J$16:$S$23,入力リスト!$H$9)=0),"",IF(A744="","",IF(ISERROR(AVERAGEIF(従業員の給与情報!$B:$B,$A744,従業員の給与情報!$F:$F)),0,IF(ISERROR(AVERAGEIF(従業員の給与情報!$B:$B,$A744,従業員の給与情報!$F:$F)),0,AVERAGEIF(従業員の給与情報!$B:$B,$A744,従業員の給与情報!$F:$F)))))</f>
        <v/>
      </c>
      <c r="X744" s="581" t="s">
        <v>5483</v>
      </c>
    </row>
    <row r="745" spans="6:24">
      <c r="F745" s="297" t="str">
        <f>IF($G$1,"",IF(COUNTIF(A745:E745,"")=5,"",IF(G745,入力リスト!$K$28,IF(OR(A745="",B745="",IF(COUNTIF($C$3,"*不要*"),"",C745=""),D745=""),IF(A745="","従業員番号","")&amp;IF(B745="","「雇用形態」","")&amp;IF(OR(入力シート!$J$18=入力リスト!$H$9,入力シート!$J$22=入力リスト!$H$9),IF(C745="","「入社年月日」",""),"")&amp;IF(D745="","「性別」","")&amp;IF(IF(A745="","従業員番号","")&amp;IF(B745="","「雇用形態」","")&amp;IF(OR(入力シート!$J$18=入力リスト!$H$9,入力シート!$J$22=入力リスト!$H$9),IF(C745="","「入社年月日」",""),"")&amp;IF(D745="","「性別」","")="","",入力リスト!$K$29),IF(J745,入力リスト!$K$30,"")&amp;IF(I745,入力リスト!$K$31,"")&amp;IF(H745,"「雇用形態」","")&amp;IF(K745,"「性別」","")&amp;IF(L745,"「役職」","")&amp;IF(OR(H745,K745,L745),入力リスト!$K$32,"")))))</f>
        <v/>
      </c>
      <c r="G745" s="298" t="b">
        <f>COUNTIF($A$4:A744,$A745)&gt;0</f>
        <v>0</v>
      </c>
      <c r="H745" s="298" t="b">
        <f>IF($H$1,FALSE,COUNTIF(入力シート!$S$37:$V$62,B745)=0)</f>
        <v>0</v>
      </c>
      <c r="I745" s="298" t="b">
        <f t="shared" si="23"/>
        <v>0</v>
      </c>
      <c r="J745" s="298" t="b">
        <f>IF($J$1,FALSE,IF(I745=TRUE,FALSE,IF(I745,FALSE,C745&gt;入力シート!$J$24)))</f>
        <v>0</v>
      </c>
      <c r="K745" s="298" t="b">
        <f>IF($K$1,FALSE,COUNTIF(入力シート!$AW$37:$BB$38,D745)=0)</f>
        <v>0</v>
      </c>
      <c r="L745" s="298" t="b">
        <f>IF($L$1,FALSE,IF($L$3,FALSE,IF(E745="",FALSE,COUNTIF(入力シート!$AH$37:$AK$62,E745)=0)))</f>
        <v>0</v>
      </c>
      <c r="M745" s="298" t="str">
        <f t="shared" si="24"/>
        <v/>
      </c>
      <c r="N745" s="298" t="str">
        <f>IF(G745,"この従業員番号は、すでに他のセルで入力されています。",IF(入力シート!$C$5=入力リスト!$C$4,"",IF(AND(A745="",B745="",C745="",D745="",E745=""),"",IF(OR(A745="",B745="",C745="",D745=""),IF(A745="","従業員番号","")&amp;IF(AND(A745="",OR(B745="",C745="",D745="")),",","")&amp;IF(B745="","雇用形態","")&amp;IF(AND(B745="",OR(C745="",D745="")),",","")&amp;IF(OR(入力シート!$J$18=入力リスト!$H$9,入力シート!$J$22=入力リスト!$H$9),IF(C745="","入社年月日",""),"")&amp;IF(AND(C745="",D745=""),",","")&amp;IF(D745="","性別","")&amp;IF(IF(A745="","従業員番号","")&amp;IF(B745="","雇用形態","")&amp;IF(OR(入力シート!$J$18=入力リスト!$H$9,入力シート!$J$22=入力リスト!$H$9),IF(C745="","入社年月日",""),"")&amp;IF(D745="","性別","")="","","が空白です。"),IF(J745,"入社年月日に「基準日」の翌日以降の日付が入力されています。","")&amp;IF(I745,"入社年月日に数値以外（又は1900/1/1以前の日付）が入力されています。","")&amp;IF(H745,"雇用形態"&amp;IF(OR(K745,L745),",",""),"")&amp;IF(K745,"性別"&amp;IF(L745,",",""),"")&amp;IF(L745,"役職","")&amp;IF(OR(H745,K745,L745),"に、［入力シート］(4)「貴社」欄と異なる文言が入力されています。","")))))</f>
        <v/>
      </c>
      <c r="O745" s="298" t="str">
        <f>IF(B745="","",VLOOKUP('従業員情報(給与以外)'!$B745,入力シート!$S$37:$Z$62,5,0))</f>
        <v/>
      </c>
      <c r="P745" s="298" t="str">
        <f>IF(ISNUMBER(C745)=FALSE,"",IF(C745&gt;入力シート!$J$24,"",_xlfn.DAYS(入力シート!$J$24,'従業員情報(給与以外)'!$C745)/365))</f>
        <v/>
      </c>
      <c r="Q745" s="298" t="str">
        <f>IF(P745="","",VLOOKUP(_xlfn.DAYS(入力シート!$J$24,'従業員情報(給与以外)'!$C745)/365,入力リスト!$K$18:$L$26,2,2))</f>
        <v/>
      </c>
      <c r="R745" s="298" t="str">
        <f>IF(D745="","",VLOOKUP('従業員情報(給与以外)'!$D745,入力シート!$AW$37:$BB$38,4,0))</f>
        <v/>
      </c>
      <c r="S745" s="298" t="str">
        <f>IF(A745="","",IF(E745="","非役職",VLOOKUP('従業員情報(給与以外)'!$E745,入力シート!$AH$37:$AO$62,5,0)))</f>
        <v/>
      </c>
      <c r="T745" s="299" t="str">
        <f>IF(OR(入力シート!$C$5&lt;&gt;入力リスト!$C$3,COUNTIF(入力シート!$J$16:$S$23,入力リスト!$H$9)=0),"",IF($A745="","",IF(ISERROR(AVERAGEIF(従業員の給与情報!$B:$B,$A745,従業員の給与情報!$C:$C)),0,IF(ISERROR(AVERAGEIF(従業員の給与情報!$B:$B,$A745,従業員の給与情報!$C:$C)),0,AVERAGEIF(従業員の給与情報!$B:$B,$A745,従業員の給与情報!$C:$C)))))</f>
        <v/>
      </c>
      <c r="U745" s="299" t="str">
        <f>IF(OR(入力シート!$C$5&lt;&gt;入力リスト!$C$3,COUNTIF(入力シート!$J$16:$S$23,入力リスト!$H$9)=0),"",IF(A745="","",IF(ISERROR(AVERAGEIF(従業員の給与情報!$B:$B,$A745,従業員の給与情報!$D:$D)),0,IF(ISERROR(AVERAGEIF(従業員の給与情報!$B:$B,$A745,従業員の給与情報!$D:$D)),0,AVERAGEIF(従業員の給与情報!$B:$B,$A745,従業員の給与情報!$D:$D)))))</f>
        <v/>
      </c>
      <c r="V745" s="299" t="str">
        <f>IF(OR(入力シート!$C$5&lt;&gt;入力リスト!$C$3,COUNTIF(入力シート!$J$16:$S$23,入力リスト!$H$9)=0),"",IF(A745="","",IF(ISERROR(AVERAGEIF(従業員の給与情報!$B:$B,$A745,従業員の給与情報!$E:$E)),0,IF(ISERROR(AVERAGEIF(従業員の給与情報!$B:$B,$A745,従業員の給与情報!$E:$E)),0,AVERAGEIF(従業員の給与情報!$B:$B,$A745,従業員の給与情報!$E:$E)))))</f>
        <v/>
      </c>
      <c r="W745" s="299" t="str">
        <f>IF(OR(入力シート!$C$5&lt;&gt;入力リスト!$C$3,COUNTIF(入力シート!$J$16:$S$23,入力リスト!$H$9)=0),"",IF(A745="","",IF(ISERROR(AVERAGEIF(従業員の給与情報!$B:$B,$A745,従業員の給与情報!$F:$F)),0,IF(ISERROR(AVERAGEIF(従業員の給与情報!$B:$B,$A745,従業員の給与情報!$F:$F)),0,AVERAGEIF(従業員の給与情報!$B:$B,$A745,従業員の給与情報!$F:$F)))))</f>
        <v/>
      </c>
      <c r="X745" s="581" t="s">
        <v>5484</v>
      </c>
    </row>
    <row r="746" spans="6:24">
      <c r="F746" s="297" t="str">
        <f>IF($G$1,"",IF(COUNTIF(A746:E746,"")=5,"",IF(G746,入力リスト!$K$28,IF(OR(A746="",B746="",IF(COUNTIF($C$3,"*不要*"),"",C746=""),D746=""),IF(A746="","従業員番号","")&amp;IF(B746="","「雇用形態」","")&amp;IF(OR(入力シート!$J$18=入力リスト!$H$9,入力シート!$J$22=入力リスト!$H$9),IF(C746="","「入社年月日」",""),"")&amp;IF(D746="","「性別」","")&amp;IF(IF(A746="","従業員番号","")&amp;IF(B746="","「雇用形態」","")&amp;IF(OR(入力シート!$J$18=入力リスト!$H$9,入力シート!$J$22=入力リスト!$H$9),IF(C746="","「入社年月日」",""),"")&amp;IF(D746="","「性別」","")="","",入力リスト!$K$29),IF(J746,入力リスト!$K$30,"")&amp;IF(I746,入力リスト!$K$31,"")&amp;IF(H746,"「雇用形態」","")&amp;IF(K746,"「性別」","")&amp;IF(L746,"「役職」","")&amp;IF(OR(H746,K746,L746),入力リスト!$K$32,"")))))</f>
        <v/>
      </c>
      <c r="G746" s="298" t="b">
        <f>COUNTIF($A$4:A745,$A746)&gt;0</f>
        <v>0</v>
      </c>
      <c r="H746" s="298" t="b">
        <f>IF($H$1,FALSE,COUNTIF(入力シート!$S$37:$V$62,B746)=0)</f>
        <v>0</v>
      </c>
      <c r="I746" s="298" t="b">
        <f t="shared" si="23"/>
        <v>0</v>
      </c>
      <c r="J746" s="298" t="b">
        <f>IF($J$1,FALSE,IF(I746=TRUE,FALSE,IF(I746,FALSE,C746&gt;入力シート!$J$24)))</f>
        <v>0</v>
      </c>
      <c r="K746" s="298" t="b">
        <f>IF($K$1,FALSE,COUNTIF(入力シート!$AW$37:$BB$38,D746)=0)</f>
        <v>0</v>
      </c>
      <c r="L746" s="298" t="b">
        <f>IF($L$1,FALSE,IF($L$3,FALSE,IF(E746="",FALSE,COUNTIF(入力シート!$AH$37:$AK$62,E746)=0)))</f>
        <v>0</v>
      </c>
      <c r="M746" s="298" t="str">
        <f t="shared" si="24"/>
        <v/>
      </c>
      <c r="N746" s="298" t="str">
        <f>IF(G746,"この従業員番号は、すでに他のセルで入力されています。",IF(入力シート!$C$5=入力リスト!$C$4,"",IF(AND(A746="",B746="",C746="",D746="",E746=""),"",IF(OR(A746="",B746="",C746="",D746=""),IF(A746="","従業員番号","")&amp;IF(AND(A746="",OR(B746="",C746="",D746="")),",","")&amp;IF(B746="","雇用形態","")&amp;IF(AND(B746="",OR(C746="",D746="")),",","")&amp;IF(OR(入力シート!$J$18=入力リスト!$H$9,入力シート!$J$22=入力リスト!$H$9),IF(C746="","入社年月日",""),"")&amp;IF(AND(C746="",D746=""),",","")&amp;IF(D746="","性別","")&amp;IF(IF(A746="","従業員番号","")&amp;IF(B746="","雇用形態","")&amp;IF(OR(入力シート!$J$18=入力リスト!$H$9,入力シート!$J$22=入力リスト!$H$9),IF(C746="","入社年月日",""),"")&amp;IF(D746="","性別","")="","","が空白です。"),IF(J746,"入社年月日に「基準日」の翌日以降の日付が入力されています。","")&amp;IF(I746,"入社年月日に数値以外（又は1900/1/1以前の日付）が入力されています。","")&amp;IF(H746,"雇用形態"&amp;IF(OR(K746,L746),",",""),"")&amp;IF(K746,"性別"&amp;IF(L746,",",""),"")&amp;IF(L746,"役職","")&amp;IF(OR(H746,K746,L746),"に、［入力シート］(4)「貴社」欄と異なる文言が入力されています。","")))))</f>
        <v/>
      </c>
      <c r="O746" s="298" t="str">
        <f>IF(B746="","",VLOOKUP('従業員情報(給与以外)'!$B746,入力シート!$S$37:$Z$62,5,0))</f>
        <v/>
      </c>
      <c r="P746" s="298" t="str">
        <f>IF(ISNUMBER(C746)=FALSE,"",IF(C746&gt;入力シート!$J$24,"",_xlfn.DAYS(入力シート!$J$24,'従業員情報(給与以外)'!$C746)/365))</f>
        <v/>
      </c>
      <c r="Q746" s="298" t="str">
        <f>IF(P746="","",VLOOKUP(_xlfn.DAYS(入力シート!$J$24,'従業員情報(給与以外)'!$C746)/365,入力リスト!$K$18:$L$26,2,2))</f>
        <v/>
      </c>
      <c r="R746" s="298" t="str">
        <f>IF(D746="","",VLOOKUP('従業員情報(給与以外)'!$D746,入力シート!$AW$37:$BB$38,4,0))</f>
        <v/>
      </c>
      <c r="S746" s="298" t="str">
        <f>IF(A746="","",IF(E746="","非役職",VLOOKUP('従業員情報(給与以外)'!$E746,入力シート!$AH$37:$AO$62,5,0)))</f>
        <v/>
      </c>
      <c r="T746" s="299" t="str">
        <f>IF(OR(入力シート!$C$5&lt;&gt;入力リスト!$C$3,COUNTIF(入力シート!$J$16:$S$23,入力リスト!$H$9)=0),"",IF($A746="","",IF(ISERROR(AVERAGEIF(従業員の給与情報!$B:$B,$A746,従業員の給与情報!$C:$C)),0,IF(ISERROR(AVERAGEIF(従業員の給与情報!$B:$B,$A746,従業員の給与情報!$C:$C)),0,AVERAGEIF(従業員の給与情報!$B:$B,$A746,従業員の給与情報!$C:$C)))))</f>
        <v/>
      </c>
      <c r="U746" s="299" t="str">
        <f>IF(OR(入力シート!$C$5&lt;&gt;入力リスト!$C$3,COUNTIF(入力シート!$J$16:$S$23,入力リスト!$H$9)=0),"",IF(A746="","",IF(ISERROR(AVERAGEIF(従業員の給与情報!$B:$B,$A746,従業員の給与情報!$D:$D)),0,IF(ISERROR(AVERAGEIF(従業員の給与情報!$B:$B,$A746,従業員の給与情報!$D:$D)),0,AVERAGEIF(従業員の給与情報!$B:$B,$A746,従業員の給与情報!$D:$D)))))</f>
        <v/>
      </c>
      <c r="V746" s="299" t="str">
        <f>IF(OR(入力シート!$C$5&lt;&gt;入力リスト!$C$3,COUNTIF(入力シート!$J$16:$S$23,入力リスト!$H$9)=0),"",IF(A746="","",IF(ISERROR(AVERAGEIF(従業員の給与情報!$B:$B,$A746,従業員の給与情報!$E:$E)),0,IF(ISERROR(AVERAGEIF(従業員の給与情報!$B:$B,$A746,従業員の給与情報!$E:$E)),0,AVERAGEIF(従業員の給与情報!$B:$B,$A746,従業員の給与情報!$E:$E)))))</f>
        <v/>
      </c>
      <c r="W746" s="299" t="str">
        <f>IF(OR(入力シート!$C$5&lt;&gt;入力リスト!$C$3,COUNTIF(入力シート!$J$16:$S$23,入力リスト!$H$9)=0),"",IF(A746="","",IF(ISERROR(AVERAGEIF(従業員の給与情報!$B:$B,$A746,従業員の給与情報!$F:$F)),0,IF(ISERROR(AVERAGEIF(従業員の給与情報!$B:$B,$A746,従業員の給与情報!$F:$F)),0,AVERAGEIF(従業員の給与情報!$B:$B,$A746,従業員の給与情報!$F:$F)))))</f>
        <v/>
      </c>
      <c r="X746" s="581" t="s">
        <v>5485</v>
      </c>
    </row>
    <row r="747" spans="6:24">
      <c r="F747" s="297" t="str">
        <f>IF($G$1,"",IF(COUNTIF(A747:E747,"")=5,"",IF(G747,入力リスト!$K$28,IF(OR(A747="",B747="",IF(COUNTIF($C$3,"*不要*"),"",C747=""),D747=""),IF(A747="","従業員番号","")&amp;IF(B747="","「雇用形態」","")&amp;IF(OR(入力シート!$J$18=入力リスト!$H$9,入力シート!$J$22=入力リスト!$H$9),IF(C747="","「入社年月日」",""),"")&amp;IF(D747="","「性別」","")&amp;IF(IF(A747="","従業員番号","")&amp;IF(B747="","「雇用形態」","")&amp;IF(OR(入力シート!$J$18=入力リスト!$H$9,入力シート!$J$22=入力リスト!$H$9),IF(C747="","「入社年月日」",""),"")&amp;IF(D747="","「性別」","")="","",入力リスト!$K$29),IF(J747,入力リスト!$K$30,"")&amp;IF(I747,入力リスト!$K$31,"")&amp;IF(H747,"「雇用形態」","")&amp;IF(K747,"「性別」","")&amp;IF(L747,"「役職」","")&amp;IF(OR(H747,K747,L747),入力リスト!$K$32,"")))))</f>
        <v/>
      </c>
      <c r="G747" s="298" t="b">
        <f>COUNTIF($A$4:A746,$A747)&gt;0</f>
        <v>0</v>
      </c>
      <c r="H747" s="298" t="b">
        <f>IF($H$1,FALSE,COUNTIF(入力シート!$S$37:$V$62,B747)=0)</f>
        <v>0</v>
      </c>
      <c r="I747" s="298" t="b">
        <f t="shared" si="23"/>
        <v>0</v>
      </c>
      <c r="J747" s="298" t="b">
        <f>IF($J$1,FALSE,IF(I747=TRUE,FALSE,IF(I747,FALSE,C747&gt;入力シート!$J$24)))</f>
        <v>0</v>
      </c>
      <c r="K747" s="298" t="b">
        <f>IF($K$1,FALSE,COUNTIF(入力シート!$AW$37:$BB$38,D747)=0)</f>
        <v>0</v>
      </c>
      <c r="L747" s="298" t="b">
        <f>IF($L$1,FALSE,IF($L$3,FALSE,IF(E747="",FALSE,COUNTIF(入力シート!$AH$37:$AK$62,E747)=0)))</f>
        <v>0</v>
      </c>
      <c r="M747" s="298" t="str">
        <f t="shared" si="24"/>
        <v/>
      </c>
      <c r="N747" s="298" t="str">
        <f>IF(G747,"この従業員番号は、すでに他のセルで入力されています。",IF(入力シート!$C$5=入力リスト!$C$4,"",IF(AND(A747="",B747="",C747="",D747="",E747=""),"",IF(OR(A747="",B747="",C747="",D747=""),IF(A747="","従業員番号","")&amp;IF(AND(A747="",OR(B747="",C747="",D747="")),",","")&amp;IF(B747="","雇用形態","")&amp;IF(AND(B747="",OR(C747="",D747="")),",","")&amp;IF(OR(入力シート!$J$18=入力リスト!$H$9,入力シート!$J$22=入力リスト!$H$9),IF(C747="","入社年月日",""),"")&amp;IF(AND(C747="",D747=""),",","")&amp;IF(D747="","性別","")&amp;IF(IF(A747="","従業員番号","")&amp;IF(B747="","雇用形態","")&amp;IF(OR(入力シート!$J$18=入力リスト!$H$9,入力シート!$J$22=入力リスト!$H$9),IF(C747="","入社年月日",""),"")&amp;IF(D747="","性別","")="","","が空白です。"),IF(J747,"入社年月日に「基準日」の翌日以降の日付が入力されています。","")&amp;IF(I747,"入社年月日に数値以外（又は1900/1/1以前の日付）が入力されています。","")&amp;IF(H747,"雇用形態"&amp;IF(OR(K747,L747),",",""),"")&amp;IF(K747,"性別"&amp;IF(L747,",",""),"")&amp;IF(L747,"役職","")&amp;IF(OR(H747,K747,L747),"に、［入力シート］(4)「貴社」欄と異なる文言が入力されています。","")))))</f>
        <v/>
      </c>
      <c r="O747" s="298" t="str">
        <f>IF(B747="","",VLOOKUP('従業員情報(給与以外)'!$B747,入力シート!$S$37:$Z$62,5,0))</f>
        <v/>
      </c>
      <c r="P747" s="298" t="str">
        <f>IF(ISNUMBER(C747)=FALSE,"",IF(C747&gt;入力シート!$J$24,"",_xlfn.DAYS(入力シート!$J$24,'従業員情報(給与以外)'!$C747)/365))</f>
        <v/>
      </c>
      <c r="Q747" s="298" t="str">
        <f>IF(P747="","",VLOOKUP(_xlfn.DAYS(入力シート!$J$24,'従業員情報(給与以外)'!$C747)/365,入力リスト!$K$18:$L$26,2,2))</f>
        <v/>
      </c>
      <c r="R747" s="298" t="str">
        <f>IF(D747="","",VLOOKUP('従業員情報(給与以外)'!$D747,入力シート!$AW$37:$BB$38,4,0))</f>
        <v/>
      </c>
      <c r="S747" s="298" t="str">
        <f>IF(A747="","",IF(E747="","非役職",VLOOKUP('従業員情報(給与以外)'!$E747,入力シート!$AH$37:$AO$62,5,0)))</f>
        <v/>
      </c>
      <c r="T747" s="299" t="str">
        <f>IF(OR(入力シート!$C$5&lt;&gt;入力リスト!$C$3,COUNTIF(入力シート!$J$16:$S$23,入力リスト!$H$9)=0),"",IF($A747="","",IF(ISERROR(AVERAGEIF(従業員の給与情報!$B:$B,$A747,従業員の給与情報!$C:$C)),0,IF(ISERROR(AVERAGEIF(従業員の給与情報!$B:$B,$A747,従業員の給与情報!$C:$C)),0,AVERAGEIF(従業員の給与情報!$B:$B,$A747,従業員の給与情報!$C:$C)))))</f>
        <v/>
      </c>
      <c r="U747" s="299" t="str">
        <f>IF(OR(入力シート!$C$5&lt;&gt;入力リスト!$C$3,COUNTIF(入力シート!$J$16:$S$23,入力リスト!$H$9)=0),"",IF(A747="","",IF(ISERROR(AVERAGEIF(従業員の給与情報!$B:$B,$A747,従業員の給与情報!$D:$D)),0,IF(ISERROR(AVERAGEIF(従業員の給与情報!$B:$B,$A747,従業員の給与情報!$D:$D)),0,AVERAGEIF(従業員の給与情報!$B:$B,$A747,従業員の給与情報!$D:$D)))))</f>
        <v/>
      </c>
      <c r="V747" s="299" t="str">
        <f>IF(OR(入力シート!$C$5&lt;&gt;入力リスト!$C$3,COUNTIF(入力シート!$J$16:$S$23,入力リスト!$H$9)=0),"",IF(A747="","",IF(ISERROR(AVERAGEIF(従業員の給与情報!$B:$B,$A747,従業員の給与情報!$E:$E)),0,IF(ISERROR(AVERAGEIF(従業員の給与情報!$B:$B,$A747,従業員の給与情報!$E:$E)),0,AVERAGEIF(従業員の給与情報!$B:$B,$A747,従業員の給与情報!$E:$E)))))</f>
        <v/>
      </c>
      <c r="W747" s="299" t="str">
        <f>IF(OR(入力シート!$C$5&lt;&gt;入力リスト!$C$3,COUNTIF(入力シート!$J$16:$S$23,入力リスト!$H$9)=0),"",IF(A747="","",IF(ISERROR(AVERAGEIF(従業員の給与情報!$B:$B,$A747,従業員の給与情報!$F:$F)),0,IF(ISERROR(AVERAGEIF(従業員の給与情報!$B:$B,$A747,従業員の給与情報!$F:$F)),0,AVERAGEIF(従業員の給与情報!$B:$B,$A747,従業員の給与情報!$F:$F)))))</f>
        <v/>
      </c>
      <c r="X747" s="581" t="s">
        <v>5486</v>
      </c>
    </row>
    <row r="748" spans="6:24">
      <c r="F748" s="297" t="str">
        <f>IF($G$1,"",IF(COUNTIF(A748:E748,"")=5,"",IF(G748,入力リスト!$K$28,IF(OR(A748="",B748="",IF(COUNTIF($C$3,"*不要*"),"",C748=""),D748=""),IF(A748="","従業員番号","")&amp;IF(B748="","「雇用形態」","")&amp;IF(OR(入力シート!$J$18=入力リスト!$H$9,入力シート!$J$22=入力リスト!$H$9),IF(C748="","「入社年月日」",""),"")&amp;IF(D748="","「性別」","")&amp;IF(IF(A748="","従業員番号","")&amp;IF(B748="","「雇用形態」","")&amp;IF(OR(入力シート!$J$18=入力リスト!$H$9,入力シート!$J$22=入力リスト!$H$9),IF(C748="","「入社年月日」",""),"")&amp;IF(D748="","「性別」","")="","",入力リスト!$K$29),IF(J748,入力リスト!$K$30,"")&amp;IF(I748,入力リスト!$K$31,"")&amp;IF(H748,"「雇用形態」","")&amp;IF(K748,"「性別」","")&amp;IF(L748,"「役職」","")&amp;IF(OR(H748,K748,L748),入力リスト!$K$32,"")))))</f>
        <v/>
      </c>
      <c r="G748" s="298" t="b">
        <f>COUNTIF($A$4:A747,$A748)&gt;0</f>
        <v>0</v>
      </c>
      <c r="H748" s="298" t="b">
        <f>IF($H$1,FALSE,COUNTIF(入力シート!$S$37:$V$62,B748)=0)</f>
        <v>0</v>
      </c>
      <c r="I748" s="298" t="b">
        <f t="shared" si="23"/>
        <v>0</v>
      </c>
      <c r="J748" s="298" t="b">
        <f>IF($J$1,FALSE,IF(I748=TRUE,FALSE,IF(I748,FALSE,C748&gt;入力シート!$J$24)))</f>
        <v>0</v>
      </c>
      <c r="K748" s="298" t="b">
        <f>IF($K$1,FALSE,COUNTIF(入力シート!$AW$37:$BB$38,D748)=0)</f>
        <v>0</v>
      </c>
      <c r="L748" s="298" t="b">
        <f>IF($L$1,FALSE,IF($L$3,FALSE,IF(E748="",FALSE,COUNTIF(入力シート!$AH$37:$AK$62,E748)=0)))</f>
        <v>0</v>
      </c>
      <c r="M748" s="298" t="str">
        <f t="shared" si="24"/>
        <v/>
      </c>
      <c r="N748" s="298" t="str">
        <f>IF(G748,"この従業員番号は、すでに他のセルで入力されています。",IF(入力シート!$C$5=入力リスト!$C$4,"",IF(AND(A748="",B748="",C748="",D748="",E748=""),"",IF(OR(A748="",B748="",C748="",D748=""),IF(A748="","従業員番号","")&amp;IF(AND(A748="",OR(B748="",C748="",D748="")),",","")&amp;IF(B748="","雇用形態","")&amp;IF(AND(B748="",OR(C748="",D748="")),",","")&amp;IF(OR(入力シート!$J$18=入力リスト!$H$9,入力シート!$J$22=入力リスト!$H$9),IF(C748="","入社年月日",""),"")&amp;IF(AND(C748="",D748=""),",","")&amp;IF(D748="","性別","")&amp;IF(IF(A748="","従業員番号","")&amp;IF(B748="","雇用形態","")&amp;IF(OR(入力シート!$J$18=入力リスト!$H$9,入力シート!$J$22=入力リスト!$H$9),IF(C748="","入社年月日",""),"")&amp;IF(D748="","性別","")="","","が空白です。"),IF(J748,"入社年月日に「基準日」の翌日以降の日付が入力されています。","")&amp;IF(I748,"入社年月日に数値以外（又は1900/1/1以前の日付）が入力されています。","")&amp;IF(H748,"雇用形態"&amp;IF(OR(K748,L748),",",""),"")&amp;IF(K748,"性別"&amp;IF(L748,",",""),"")&amp;IF(L748,"役職","")&amp;IF(OR(H748,K748,L748),"に、［入力シート］(4)「貴社」欄と異なる文言が入力されています。","")))))</f>
        <v/>
      </c>
      <c r="O748" s="298" t="str">
        <f>IF(B748="","",VLOOKUP('従業員情報(給与以外)'!$B748,入力シート!$S$37:$Z$62,5,0))</f>
        <v/>
      </c>
      <c r="P748" s="298" t="str">
        <f>IF(ISNUMBER(C748)=FALSE,"",IF(C748&gt;入力シート!$J$24,"",_xlfn.DAYS(入力シート!$J$24,'従業員情報(給与以外)'!$C748)/365))</f>
        <v/>
      </c>
      <c r="Q748" s="298" t="str">
        <f>IF(P748="","",VLOOKUP(_xlfn.DAYS(入力シート!$J$24,'従業員情報(給与以外)'!$C748)/365,入力リスト!$K$18:$L$26,2,2))</f>
        <v/>
      </c>
      <c r="R748" s="298" t="str">
        <f>IF(D748="","",VLOOKUP('従業員情報(給与以外)'!$D748,入力シート!$AW$37:$BB$38,4,0))</f>
        <v/>
      </c>
      <c r="S748" s="298" t="str">
        <f>IF(A748="","",IF(E748="","非役職",VLOOKUP('従業員情報(給与以外)'!$E748,入力シート!$AH$37:$AO$62,5,0)))</f>
        <v/>
      </c>
      <c r="T748" s="299" t="str">
        <f>IF(OR(入力シート!$C$5&lt;&gt;入力リスト!$C$3,COUNTIF(入力シート!$J$16:$S$23,入力リスト!$H$9)=0),"",IF($A748="","",IF(ISERROR(AVERAGEIF(従業員の給与情報!$B:$B,$A748,従業員の給与情報!$C:$C)),0,IF(ISERROR(AVERAGEIF(従業員の給与情報!$B:$B,$A748,従業員の給与情報!$C:$C)),0,AVERAGEIF(従業員の給与情報!$B:$B,$A748,従業員の給与情報!$C:$C)))))</f>
        <v/>
      </c>
      <c r="U748" s="299" t="str">
        <f>IF(OR(入力シート!$C$5&lt;&gt;入力リスト!$C$3,COUNTIF(入力シート!$J$16:$S$23,入力リスト!$H$9)=0),"",IF(A748="","",IF(ISERROR(AVERAGEIF(従業員の給与情報!$B:$B,$A748,従業員の給与情報!$D:$D)),0,IF(ISERROR(AVERAGEIF(従業員の給与情報!$B:$B,$A748,従業員の給与情報!$D:$D)),0,AVERAGEIF(従業員の給与情報!$B:$B,$A748,従業員の給与情報!$D:$D)))))</f>
        <v/>
      </c>
      <c r="V748" s="299" t="str">
        <f>IF(OR(入力シート!$C$5&lt;&gt;入力リスト!$C$3,COUNTIF(入力シート!$J$16:$S$23,入力リスト!$H$9)=0),"",IF(A748="","",IF(ISERROR(AVERAGEIF(従業員の給与情報!$B:$B,$A748,従業員の給与情報!$E:$E)),0,IF(ISERROR(AVERAGEIF(従業員の給与情報!$B:$B,$A748,従業員の給与情報!$E:$E)),0,AVERAGEIF(従業員の給与情報!$B:$B,$A748,従業員の給与情報!$E:$E)))))</f>
        <v/>
      </c>
      <c r="W748" s="299" t="str">
        <f>IF(OR(入力シート!$C$5&lt;&gt;入力リスト!$C$3,COUNTIF(入力シート!$J$16:$S$23,入力リスト!$H$9)=0),"",IF(A748="","",IF(ISERROR(AVERAGEIF(従業員の給与情報!$B:$B,$A748,従業員の給与情報!$F:$F)),0,IF(ISERROR(AVERAGEIF(従業員の給与情報!$B:$B,$A748,従業員の給与情報!$F:$F)),0,AVERAGEIF(従業員の給与情報!$B:$B,$A748,従業員の給与情報!$F:$F)))))</f>
        <v/>
      </c>
      <c r="X748" s="581" t="s">
        <v>5487</v>
      </c>
    </row>
    <row r="749" spans="6:24">
      <c r="F749" s="297" t="str">
        <f>IF($G$1,"",IF(COUNTIF(A749:E749,"")=5,"",IF(G749,入力リスト!$K$28,IF(OR(A749="",B749="",IF(COUNTIF($C$3,"*不要*"),"",C749=""),D749=""),IF(A749="","従業員番号","")&amp;IF(B749="","「雇用形態」","")&amp;IF(OR(入力シート!$J$18=入力リスト!$H$9,入力シート!$J$22=入力リスト!$H$9),IF(C749="","「入社年月日」",""),"")&amp;IF(D749="","「性別」","")&amp;IF(IF(A749="","従業員番号","")&amp;IF(B749="","「雇用形態」","")&amp;IF(OR(入力シート!$J$18=入力リスト!$H$9,入力シート!$J$22=入力リスト!$H$9),IF(C749="","「入社年月日」",""),"")&amp;IF(D749="","「性別」","")="","",入力リスト!$K$29),IF(J749,入力リスト!$K$30,"")&amp;IF(I749,入力リスト!$K$31,"")&amp;IF(H749,"「雇用形態」","")&amp;IF(K749,"「性別」","")&amp;IF(L749,"「役職」","")&amp;IF(OR(H749,K749,L749),入力リスト!$K$32,"")))))</f>
        <v/>
      </c>
      <c r="G749" s="298" t="b">
        <f>COUNTIF($A$4:A748,$A749)&gt;0</f>
        <v>0</v>
      </c>
      <c r="H749" s="298" t="b">
        <f>IF($H$1,FALSE,COUNTIF(入力シート!$S$37:$V$62,B749)=0)</f>
        <v>0</v>
      </c>
      <c r="I749" s="298" t="b">
        <f t="shared" si="23"/>
        <v>0</v>
      </c>
      <c r="J749" s="298" t="b">
        <f>IF($J$1,FALSE,IF(I749=TRUE,FALSE,IF(I749,FALSE,C749&gt;入力シート!$J$24)))</f>
        <v>0</v>
      </c>
      <c r="K749" s="298" t="b">
        <f>IF($K$1,FALSE,COUNTIF(入力シート!$AW$37:$BB$38,D749)=0)</f>
        <v>0</v>
      </c>
      <c r="L749" s="298" t="b">
        <f>IF($L$1,FALSE,IF($L$3,FALSE,IF(E749="",FALSE,COUNTIF(入力シート!$AH$37:$AK$62,E749)=0)))</f>
        <v>0</v>
      </c>
      <c r="M749" s="298" t="str">
        <f t="shared" si="24"/>
        <v/>
      </c>
      <c r="N749" s="298" t="str">
        <f>IF(G749,"この従業員番号は、すでに他のセルで入力されています。",IF(入力シート!$C$5=入力リスト!$C$4,"",IF(AND(A749="",B749="",C749="",D749="",E749=""),"",IF(OR(A749="",B749="",C749="",D749=""),IF(A749="","従業員番号","")&amp;IF(AND(A749="",OR(B749="",C749="",D749="")),",","")&amp;IF(B749="","雇用形態","")&amp;IF(AND(B749="",OR(C749="",D749="")),",","")&amp;IF(OR(入力シート!$J$18=入力リスト!$H$9,入力シート!$J$22=入力リスト!$H$9),IF(C749="","入社年月日",""),"")&amp;IF(AND(C749="",D749=""),",","")&amp;IF(D749="","性別","")&amp;IF(IF(A749="","従業員番号","")&amp;IF(B749="","雇用形態","")&amp;IF(OR(入力シート!$J$18=入力リスト!$H$9,入力シート!$J$22=入力リスト!$H$9),IF(C749="","入社年月日",""),"")&amp;IF(D749="","性別","")="","","が空白です。"),IF(J749,"入社年月日に「基準日」の翌日以降の日付が入力されています。","")&amp;IF(I749,"入社年月日に数値以外（又は1900/1/1以前の日付）が入力されています。","")&amp;IF(H749,"雇用形態"&amp;IF(OR(K749,L749),",",""),"")&amp;IF(K749,"性別"&amp;IF(L749,",",""),"")&amp;IF(L749,"役職","")&amp;IF(OR(H749,K749,L749),"に、［入力シート］(4)「貴社」欄と異なる文言が入力されています。","")))))</f>
        <v/>
      </c>
      <c r="O749" s="298" t="str">
        <f>IF(B749="","",VLOOKUP('従業員情報(給与以外)'!$B749,入力シート!$S$37:$Z$62,5,0))</f>
        <v/>
      </c>
      <c r="P749" s="298" t="str">
        <f>IF(ISNUMBER(C749)=FALSE,"",IF(C749&gt;入力シート!$J$24,"",_xlfn.DAYS(入力シート!$J$24,'従業員情報(給与以外)'!$C749)/365))</f>
        <v/>
      </c>
      <c r="Q749" s="298" t="str">
        <f>IF(P749="","",VLOOKUP(_xlfn.DAYS(入力シート!$J$24,'従業員情報(給与以外)'!$C749)/365,入力リスト!$K$18:$L$26,2,2))</f>
        <v/>
      </c>
      <c r="R749" s="298" t="str">
        <f>IF(D749="","",VLOOKUP('従業員情報(給与以外)'!$D749,入力シート!$AW$37:$BB$38,4,0))</f>
        <v/>
      </c>
      <c r="S749" s="298" t="str">
        <f>IF(A749="","",IF(E749="","非役職",VLOOKUP('従業員情報(給与以外)'!$E749,入力シート!$AH$37:$AO$62,5,0)))</f>
        <v/>
      </c>
      <c r="T749" s="299" t="str">
        <f>IF(OR(入力シート!$C$5&lt;&gt;入力リスト!$C$3,COUNTIF(入力シート!$J$16:$S$23,入力リスト!$H$9)=0),"",IF($A749="","",IF(ISERROR(AVERAGEIF(従業員の給与情報!$B:$B,$A749,従業員の給与情報!$C:$C)),0,IF(ISERROR(AVERAGEIF(従業員の給与情報!$B:$B,$A749,従業員の給与情報!$C:$C)),0,AVERAGEIF(従業員の給与情報!$B:$B,$A749,従業員の給与情報!$C:$C)))))</f>
        <v/>
      </c>
      <c r="U749" s="299" t="str">
        <f>IF(OR(入力シート!$C$5&lt;&gt;入力リスト!$C$3,COUNTIF(入力シート!$J$16:$S$23,入力リスト!$H$9)=0),"",IF(A749="","",IF(ISERROR(AVERAGEIF(従業員の給与情報!$B:$B,$A749,従業員の給与情報!$D:$D)),0,IF(ISERROR(AVERAGEIF(従業員の給与情報!$B:$B,$A749,従業員の給与情報!$D:$D)),0,AVERAGEIF(従業員の給与情報!$B:$B,$A749,従業員の給与情報!$D:$D)))))</f>
        <v/>
      </c>
      <c r="V749" s="299" t="str">
        <f>IF(OR(入力シート!$C$5&lt;&gt;入力リスト!$C$3,COUNTIF(入力シート!$J$16:$S$23,入力リスト!$H$9)=0),"",IF(A749="","",IF(ISERROR(AVERAGEIF(従業員の給与情報!$B:$B,$A749,従業員の給与情報!$E:$E)),0,IF(ISERROR(AVERAGEIF(従業員の給与情報!$B:$B,$A749,従業員の給与情報!$E:$E)),0,AVERAGEIF(従業員の給与情報!$B:$B,$A749,従業員の給与情報!$E:$E)))))</f>
        <v/>
      </c>
      <c r="W749" s="299" t="str">
        <f>IF(OR(入力シート!$C$5&lt;&gt;入力リスト!$C$3,COUNTIF(入力シート!$J$16:$S$23,入力リスト!$H$9)=0),"",IF(A749="","",IF(ISERROR(AVERAGEIF(従業員の給与情報!$B:$B,$A749,従業員の給与情報!$F:$F)),0,IF(ISERROR(AVERAGEIF(従業員の給与情報!$B:$B,$A749,従業員の給与情報!$F:$F)),0,AVERAGEIF(従業員の給与情報!$B:$B,$A749,従業員の給与情報!$F:$F)))))</f>
        <v/>
      </c>
      <c r="X749" s="581" t="s">
        <v>5488</v>
      </c>
    </row>
    <row r="750" spans="6:24">
      <c r="F750" s="297" t="str">
        <f>IF($G$1,"",IF(COUNTIF(A750:E750,"")=5,"",IF(G750,入力リスト!$K$28,IF(OR(A750="",B750="",IF(COUNTIF($C$3,"*不要*"),"",C750=""),D750=""),IF(A750="","従業員番号","")&amp;IF(B750="","「雇用形態」","")&amp;IF(OR(入力シート!$J$18=入力リスト!$H$9,入力シート!$J$22=入力リスト!$H$9),IF(C750="","「入社年月日」",""),"")&amp;IF(D750="","「性別」","")&amp;IF(IF(A750="","従業員番号","")&amp;IF(B750="","「雇用形態」","")&amp;IF(OR(入力シート!$J$18=入力リスト!$H$9,入力シート!$J$22=入力リスト!$H$9),IF(C750="","「入社年月日」",""),"")&amp;IF(D750="","「性別」","")="","",入力リスト!$K$29),IF(J750,入力リスト!$K$30,"")&amp;IF(I750,入力リスト!$K$31,"")&amp;IF(H750,"「雇用形態」","")&amp;IF(K750,"「性別」","")&amp;IF(L750,"「役職」","")&amp;IF(OR(H750,K750,L750),入力リスト!$K$32,"")))))</f>
        <v/>
      </c>
      <c r="G750" s="298" t="b">
        <f>COUNTIF($A$4:A749,$A750)&gt;0</f>
        <v>0</v>
      </c>
      <c r="H750" s="298" t="b">
        <f>IF($H$1,FALSE,COUNTIF(入力シート!$S$37:$V$62,B750)=0)</f>
        <v>0</v>
      </c>
      <c r="I750" s="298" t="b">
        <f t="shared" si="23"/>
        <v>0</v>
      </c>
      <c r="J750" s="298" t="b">
        <f>IF($J$1,FALSE,IF(I750=TRUE,FALSE,IF(I750,FALSE,C750&gt;入力シート!$J$24)))</f>
        <v>0</v>
      </c>
      <c r="K750" s="298" t="b">
        <f>IF($K$1,FALSE,COUNTIF(入力シート!$AW$37:$BB$38,D750)=0)</f>
        <v>0</v>
      </c>
      <c r="L750" s="298" t="b">
        <f>IF($L$1,FALSE,IF($L$3,FALSE,IF(E750="",FALSE,COUNTIF(入力シート!$AH$37:$AK$62,E750)=0)))</f>
        <v>0</v>
      </c>
      <c r="M750" s="298" t="str">
        <f t="shared" si="24"/>
        <v/>
      </c>
      <c r="N750" s="298" t="str">
        <f>IF(G750,"この従業員番号は、すでに他のセルで入力されています。",IF(入力シート!$C$5=入力リスト!$C$4,"",IF(AND(A750="",B750="",C750="",D750="",E750=""),"",IF(OR(A750="",B750="",C750="",D750=""),IF(A750="","従業員番号","")&amp;IF(AND(A750="",OR(B750="",C750="",D750="")),",","")&amp;IF(B750="","雇用形態","")&amp;IF(AND(B750="",OR(C750="",D750="")),",","")&amp;IF(OR(入力シート!$J$18=入力リスト!$H$9,入力シート!$J$22=入力リスト!$H$9),IF(C750="","入社年月日",""),"")&amp;IF(AND(C750="",D750=""),",","")&amp;IF(D750="","性別","")&amp;IF(IF(A750="","従業員番号","")&amp;IF(B750="","雇用形態","")&amp;IF(OR(入力シート!$J$18=入力リスト!$H$9,入力シート!$J$22=入力リスト!$H$9),IF(C750="","入社年月日",""),"")&amp;IF(D750="","性別","")="","","が空白です。"),IF(J750,"入社年月日に「基準日」の翌日以降の日付が入力されています。","")&amp;IF(I750,"入社年月日に数値以外（又は1900/1/1以前の日付）が入力されています。","")&amp;IF(H750,"雇用形態"&amp;IF(OR(K750,L750),",",""),"")&amp;IF(K750,"性別"&amp;IF(L750,",",""),"")&amp;IF(L750,"役職","")&amp;IF(OR(H750,K750,L750),"に、［入力シート］(4)「貴社」欄と異なる文言が入力されています。","")))))</f>
        <v/>
      </c>
      <c r="O750" s="298" t="str">
        <f>IF(B750="","",VLOOKUP('従業員情報(給与以外)'!$B750,入力シート!$S$37:$Z$62,5,0))</f>
        <v/>
      </c>
      <c r="P750" s="298" t="str">
        <f>IF(ISNUMBER(C750)=FALSE,"",IF(C750&gt;入力シート!$J$24,"",_xlfn.DAYS(入力シート!$J$24,'従業員情報(給与以外)'!$C750)/365))</f>
        <v/>
      </c>
      <c r="Q750" s="298" t="str">
        <f>IF(P750="","",VLOOKUP(_xlfn.DAYS(入力シート!$J$24,'従業員情報(給与以外)'!$C750)/365,入力リスト!$K$18:$L$26,2,2))</f>
        <v/>
      </c>
      <c r="R750" s="298" t="str">
        <f>IF(D750="","",VLOOKUP('従業員情報(給与以外)'!$D750,入力シート!$AW$37:$BB$38,4,0))</f>
        <v/>
      </c>
      <c r="S750" s="298" t="str">
        <f>IF(A750="","",IF(E750="","非役職",VLOOKUP('従業員情報(給与以外)'!$E750,入力シート!$AH$37:$AO$62,5,0)))</f>
        <v/>
      </c>
      <c r="T750" s="299" t="str">
        <f>IF(OR(入力シート!$C$5&lt;&gt;入力リスト!$C$3,COUNTIF(入力シート!$J$16:$S$23,入力リスト!$H$9)=0),"",IF($A750="","",IF(ISERROR(AVERAGEIF(従業員の給与情報!$B:$B,$A750,従業員の給与情報!$C:$C)),0,IF(ISERROR(AVERAGEIF(従業員の給与情報!$B:$B,$A750,従業員の給与情報!$C:$C)),0,AVERAGEIF(従業員の給与情報!$B:$B,$A750,従業員の給与情報!$C:$C)))))</f>
        <v/>
      </c>
      <c r="U750" s="299" t="str">
        <f>IF(OR(入力シート!$C$5&lt;&gt;入力リスト!$C$3,COUNTIF(入力シート!$J$16:$S$23,入力リスト!$H$9)=0),"",IF(A750="","",IF(ISERROR(AVERAGEIF(従業員の給与情報!$B:$B,$A750,従業員の給与情報!$D:$D)),0,IF(ISERROR(AVERAGEIF(従業員の給与情報!$B:$B,$A750,従業員の給与情報!$D:$D)),0,AVERAGEIF(従業員の給与情報!$B:$B,$A750,従業員の給与情報!$D:$D)))))</f>
        <v/>
      </c>
      <c r="V750" s="299" t="str">
        <f>IF(OR(入力シート!$C$5&lt;&gt;入力リスト!$C$3,COUNTIF(入力シート!$J$16:$S$23,入力リスト!$H$9)=0),"",IF(A750="","",IF(ISERROR(AVERAGEIF(従業員の給与情報!$B:$B,$A750,従業員の給与情報!$E:$E)),0,IF(ISERROR(AVERAGEIF(従業員の給与情報!$B:$B,$A750,従業員の給与情報!$E:$E)),0,AVERAGEIF(従業員の給与情報!$B:$B,$A750,従業員の給与情報!$E:$E)))))</f>
        <v/>
      </c>
      <c r="W750" s="299" t="str">
        <f>IF(OR(入力シート!$C$5&lt;&gt;入力リスト!$C$3,COUNTIF(入力シート!$J$16:$S$23,入力リスト!$H$9)=0),"",IF(A750="","",IF(ISERROR(AVERAGEIF(従業員の給与情報!$B:$B,$A750,従業員の給与情報!$F:$F)),0,IF(ISERROR(AVERAGEIF(従業員の給与情報!$B:$B,$A750,従業員の給与情報!$F:$F)),0,AVERAGEIF(従業員の給与情報!$B:$B,$A750,従業員の給与情報!$F:$F)))))</f>
        <v/>
      </c>
      <c r="X750" s="581" t="s">
        <v>5489</v>
      </c>
    </row>
    <row r="751" spans="6:24">
      <c r="F751" s="297" t="str">
        <f>IF($G$1,"",IF(COUNTIF(A751:E751,"")=5,"",IF(G751,入力リスト!$K$28,IF(OR(A751="",B751="",IF(COUNTIF($C$3,"*不要*"),"",C751=""),D751=""),IF(A751="","従業員番号","")&amp;IF(B751="","「雇用形態」","")&amp;IF(OR(入力シート!$J$18=入力リスト!$H$9,入力シート!$J$22=入力リスト!$H$9),IF(C751="","「入社年月日」",""),"")&amp;IF(D751="","「性別」","")&amp;IF(IF(A751="","従業員番号","")&amp;IF(B751="","「雇用形態」","")&amp;IF(OR(入力シート!$J$18=入力リスト!$H$9,入力シート!$J$22=入力リスト!$H$9),IF(C751="","「入社年月日」",""),"")&amp;IF(D751="","「性別」","")="","",入力リスト!$K$29),IF(J751,入力リスト!$K$30,"")&amp;IF(I751,入力リスト!$K$31,"")&amp;IF(H751,"「雇用形態」","")&amp;IF(K751,"「性別」","")&amp;IF(L751,"「役職」","")&amp;IF(OR(H751,K751,L751),入力リスト!$K$32,"")))))</f>
        <v/>
      </c>
      <c r="G751" s="298" t="b">
        <f>COUNTIF($A$4:A750,$A751)&gt;0</f>
        <v>0</v>
      </c>
      <c r="H751" s="298" t="b">
        <f>IF($H$1,FALSE,COUNTIF(入力シート!$S$37:$V$62,B751)=0)</f>
        <v>0</v>
      </c>
      <c r="I751" s="298" t="b">
        <f t="shared" si="23"/>
        <v>0</v>
      </c>
      <c r="J751" s="298" t="b">
        <f>IF($J$1,FALSE,IF(I751=TRUE,FALSE,IF(I751,FALSE,C751&gt;入力シート!$J$24)))</f>
        <v>0</v>
      </c>
      <c r="K751" s="298" t="b">
        <f>IF($K$1,FALSE,COUNTIF(入力シート!$AW$37:$BB$38,D751)=0)</f>
        <v>0</v>
      </c>
      <c r="L751" s="298" t="b">
        <f>IF($L$1,FALSE,IF($L$3,FALSE,IF(E751="",FALSE,COUNTIF(入力シート!$AH$37:$AK$62,E751)=0)))</f>
        <v>0</v>
      </c>
      <c r="M751" s="298" t="str">
        <f t="shared" si="24"/>
        <v/>
      </c>
      <c r="N751" s="298" t="str">
        <f>IF(G751,"この従業員番号は、すでに他のセルで入力されています。",IF(入力シート!$C$5=入力リスト!$C$4,"",IF(AND(A751="",B751="",C751="",D751="",E751=""),"",IF(OR(A751="",B751="",C751="",D751=""),IF(A751="","従業員番号","")&amp;IF(AND(A751="",OR(B751="",C751="",D751="")),",","")&amp;IF(B751="","雇用形態","")&amp;IF(AND(B751="",OR(C751="",D751="")),",","")&amp;IF(OR(入力シート!$J$18=入力リスト!$H$9,入力シート!$J$22=入力リスト!$H$9),IF(C751="","入社年月日",""),"")&amp;IF(AND(C751="",D751=""),",","")&amp;IF(D751="","性別","")&amp;IF(IF(A751="","従業員番号","")&amp;IF(B751="","雇用形態","")&amp;IF(OR(入力シート!$J$18=入力リスト!$H$9,入力シート!$J$22=入力リスト!$H$9),IF(C751="","入社年月日",""),"")&amp;IF(D751="","性別","")="","","が空白です。"),IF(J751,"入社年月日に「基準日」の翌日以降の日付が入力されています。","")&amp;IF(I751,"入社年月日に数値以外（又は1900/1/1以前の日付）が入力されています。","")&amp;IF(H751,"雇用形態"&amp;IF(OR(K751,L751),",",""),"")&amp;IF(K751,"性別"&amp;IF(L751,",",""),"")&amp;IF(L751,"役職","")&amp;IF(OR(H751,K751,L751),"に、［入力シート］(4)「貴社」欄と異なる文言が入力されています。","")))))</f>
        <v/>
      </c>
      <c r="O751" s="298" t="str">
        <f>IF(B751="","",VLOOKUP('従業員情報(給与以外)'!$B751,入力シート!$S$37:$Z$62,5,0))</f>
        <v/>
      </c>
      <c r="P751" s="298" t="str">
        <f>IF(ISNUMBER(C751)=FALSE,"",IF(C751&gt;入力シート!$J$24,"",_xlfn.DAYS(入力シート!$J$24,'従業員情報(給与以外)'!$C751)/365))</f>
        <v/>
      </c>
      <c r="Q751" s="298" t="str">
        <f>IF(P751="","",VLOOKUP(_xlfn.DAYS(入力シート!$J$24,'従業員情報(給与以外)'!$C751)/365,入力リスト!$K$18:$L$26,2,2))</f>
        <v/>
      </c>
      <c r="R751" s="298" t="str">
        <f>IF(D751="","",VLOOKUP('従業員情報(給与以外)'!$D751,入力シート!$AW$37:$BB$38,4,0))</f>
        <v/>
      </c>
      <c r="S751" s="298" t="str">
        <f>IF(A751="","",IF(E751="","非役職",VLOOKUP('従業員情報(給与以外)'!$E751,入力シート!$AH$37:$AO$62,5,0)))</f>
        <v/>
      </c>
      <c r="T751" s="299" t="str">
        <f>IF(OR(入力シート!$C$5&lt;&gt;入力リスト!$C$3,COUNTIF(入力シート!$J$16:$S$23,入力リスト!$H$9)=0),"",IF($A751="","",IF(ISERROR(AVERAGEIF(従業員の給与情報!$B:$B,$A751,従業員の給与情報!$C:$C)),0,IF(ISERROR(AVERAGEIF(従業員の給与情報!$B:$B,$A751,従業員の給与情報!$C:$C)),0,AVERAGEIF(従業員の給与情報!$B:$B,$A751,従業員の給与情報!$C:$C)))))</f>
        <v/>
      </c>
      <c r="U751" s="299" t="str">
        <f>IF(OR(入力シート!$C$5&lt;&gt;入力リスト!$C$3,COUNTIF(入力シート!$J$16:$S$23,入力リスト!$H$9)=0),"",IF(A751="","",IF(ISERROR(AVERAGEIF(従業員の給与情報!$B:$B,$A751,従業員の給与情報!$D:$D)),0,IF(ISERROR(AVERAGEIF(従業員の給与情報!$B:$B,$A751,従業員の給与情報!$D:$D)),0,AVERAGEIF(従業員の給与情報!$B:$B,$A751,従業員の給与情報!$D:$D)))))</f>
        <v/>
      </c>
      <c r="V751" s="299" t="str">
        <f>IF(OR(入力シート!$C$5&lt;&gt;入力リスト!$C$3,COUNTIF(入力シート!$J$16:$S$23,入力リスト!$H$9)=0),"",IF(A751="","",IF(ISERROR(AVERAGEIF(従業員の給与情報!$B:$B,$A751,従業員の給与情報!$E:$E)),0,IF(ISERROR(AVERAGEIF(従業員の給与情報!$B:$B,$A751,従業員の給与情報!$E:$E)),0,AVERAGEIF(従業員の給与情報!$B:$B,$A751,従業員の給与情報!$E:$E)))))</f>
        <v/>
      </c>
      <c r="W751" s="299" t="str">
        <f>IF(OR(入力シート!$C$5&lt;&gt;入力リスト!$C$3,COUNTIF(入力シート!$J$16:$S$23,入力リスト!$H$9)=0),"",IF(A751="","",IF(ISERROR(AVERAGEIF(従業員の給与情報!$B:$B,$A751,従業員の給与情報!$F:$F)),0,IF(ISERROR(AVERAGEIF(従業員の給与情報!$B:$B,$A751,従業員の給与情報!$F:$F)),0,AVERAGEIF(従業員の給与情報!$B:$B,$A751,従業員の給与情報!$F:$F)))))</f>
        <v/>
      </c>
      <c r="X751" s="581" t="s">
        <v>5490</v>
      </c>
    </row>
    <row r="752" spans="6:24">
      <c r="F752" s="297" t="str">
        <f>IF($G$1,"",IF(COUNTIF(A752:E752,"")=5,"",IF(G752,入力リスト!$K$28,IF(OR(A752="",B752="",IF(COUNTIF($C$3,"*不要*"),"",C752=""),D752=""),IF(A752="","従業員番号","")&amp;IF(B752="","「雇用形態」","")&amp;IF(OR(入力シート!$J$18=入力リスト!$H$9,入力シート!$J$22=入力リスト!$H$9),IF(C752="","「入社年月日」",""),"")&amp;IF(D752="","「性別」","")&amp;IF(IF(A752="","従業員番号","")&amp;IF(B752="","「雇用形態」","")&amp;IF(OR(入力シート!$J$18=入力リスト!$H$9,入力シート!$J$22=入力リスト!$H$9),IF(C752="","「入社年月日」",""),"")&amp;IF(D752="","「性別」","")="","",入力リスト!$K$29),IF(J752,入力リスト!$K$30,"")&amp;IF(I752,入力リスト!$K$31,"")&amp;IF(H752,"「雇用形態」","")&amp;IF(K752,"「性別」","")&amp;IF(L752,"「役職」","")&amp;IF(OR(H752,K752,L752),入力リスト!$K$32,"")))))</f>
        <v/>
      </c>
      <c r="G752" s="298" t="b">
        <f>COUNTIF($A$4:A751,$A752)&gt;0</f>
        <v>0</v>
      </c>
      <c r="H752" s="298" t="b">
        <f>IF($H$1,FALSE,COUNTIF(入力シート!$S$37:$V$62,B752)=0)</f>
        <v>0</v>
      </c>
      <c r="I752" s="298" t="b">
        <f t="shared" si="23"/>
        <v>0</v>
      </c>
      <c r="J752" s="298" t="b">
        <f>IF($J$1,FALSE,IF(I752=TRUE,FALSE,IF(I752,FALSE,C752&gt;入力シート!$J$24)))</f>
        <v>0</v>
      </c>
      <c r="K752" s="298" t="b">
        <f>IF($K$1,FALSE,COUNTIF(入力シート!$AW$37:$BB$38,D752)=0)</f>
        <v>0</v>
      </c>
      <c r="L752" s="298" t="b">
        <f>IF($L$1,FALSE,IF($L$3,FALSE,IF(E752="",FALSE,COUNTIF(入力シート!$AH$37:$AK$62,E752)=0)))</f>
        <v>0</v>
      </c>
      <c r="M752" s="298" t="str">
        <f t="shared" si="24"/>
        <v/>
      </c>
      <c r="N752" s="298" t="str">
        <f>IF(G752,"この従業員番号は、すでに他のセルで入力されています。",IF(入力シート!$C$5=入力リスト!$C$4,"",IF(AND(A752="",B752="",C752="",D752="",E752=""),"",IF(OR(A752="",B752="",C752="",D752=""),IF(A752="","従業員番号","")&amp;IF(AND(A752="",OR(B752="",C752="",D752="")),",","")&amp;IF(B752="","雇用形態","")&amp;IF(AND(B752="",OR(C752="",D752="")),",","")&amp;IF(OR(入力シート!$J$18=入力リスト!$H$9,入力シート!$J$22=入力リスト!$H$9),IF(C752="","入社年月日",""),"")&amp;IF(AND(C752="",D752=""),",","")&amp;IF(D752="","性別","")&amp;IF(IF(A752="","従業員番号","")&amp;IF(B752="","雇用形態","")&amp;IF(OR(入力シート!$J$18=入力リスト!$H$9,入力シート!$J$22=入力リスト!$H$9),IF(C752="","入社年月日",""),"")&amp;IF(D752="","性別","")="","","が空白です。"),IF(J752,"入社年月日に「基準日」の翌日以降の日付が入力されています。","")&amp;IF(I752,"入社年月日に数値以外（又は1900/1/1以前の日付）が入力されています。","")&amp;IF(H752,"雇用形態"&amp;IF(OR(K752,L752),",",""),"")&amp;IF(K752,"性別"&amp;IF(L752,",",""),"")&amp;IF(L752,"役職","")&amp;IF(OR(H752,K752,L752),"に、［入力シート］(4)「貴社」欄と異なる文言が入力されています。","")))))</f>
        <v/>
      </c>
      <c r="O752" s="298" t="str">
        <f>IF(B752="","",VLOOKUP('従業員情報(給与以外)'!$B752,入力シート!$S$37:$Z$62,5,0))</f>
        <v/>
      </c>
      <c r="P752" s="298" t="str">
        <f>IF(ISNUMBER(C752)=FALSE,"",IF(C752&gt;入力シート!$J$24,"",_xlfn.DAYS(入力シート!$J$24,'従業員情報(給与以外)'!$C752)/365))</f>
        <v/>
      </c>
      <c r="Q752" s="298" t="str">
        <f>IF(P752="","",VLOOKUP(_xlfn.DAYS(入力シート!$J$24,'従業員情報(給与以外)'!$C752)/365,入力リスト!$K$18:$L$26,2,2))</f>
        <v/>
      </c>
      <c r="R752" s="298" t="str">
        <f>IF(D752="","",VLOOKUP('従業員情報(給与以外)'!$D752,入力シート!$AW$37:$BB$38,4,0))</f>
        <v/>
      </c>
      <c r="S752" s="298" t="str">
        <f>IF(A752="","",IF(E752="","非役職",VLOOKUP('従業員情報(給与以外)'!$E752,入力シート!$AH$37:$AO$62,5,0)))</f>
        <v/>
      </c>
      <c r="T752" s="299" t="str">
        <f>IF(OR(入力シート!$C$5&lt;&gt;入力リスト!$C$3,COUNTIF(入力シート!$J$16:$S$23,入力リスト!$H$9)=0),"",IF($A752="","",IF(ISERROR(AVERAGEIF(従業員の給与情報!$B:$B,$A752,従業員の給与情報!$C:$C)),0,IF(ISERROR(AVERAGEIF(従業員の給与情報!$B:$B,$A752,従業員の給与情報!$C:$C)),0,AVERAGEIF(従業員の給与情報!$B:$B,$A752,従業員の給与情報!$C:$C)))))</f>
        <v/>
      </c>
      <c r="U752" s="299" t="str">
        <f>IF(OR(入力シート!$C$5&lt;&gt;入力リスト!$C$3,COUNTIF(入力シート!$J$16:$S$23,入力リスト!$H$9)=0),"",IF(A752="","",IF(ISERROR(AVERAGEIF(従業員の給与情報!$B:$B,$A752,従業員の給与情報!$D:$D)),0,IF(ISERROR(AVERAGEIF(従業員の給与情報!$B:$B,$A752,従業員の給与情報!$D:$D)),0,AVERAGEIF(従業員の給与情報!$B:$B,$A752,従業員の給与情報!$D:$D)))))</f>
        <v/>
      </c>
      <c r="V752" s="299" t="str">
        <f>IF(OR(入力シート!$C$5&lt;&gt;入力リスト!$C$3,COUNTIF(入力シート!$J$16:$S$23,入力リスト!$H$9)=0),"",IF(A752="","",IF(ISERROR(AVERAGEIF(従業員の給与情報!$B:$B,$A752,従業員の給与情報!$E:$E)),0,IF(ISERROR(AVERAGEIF(従業員の給与情報!$B:$B,$A752,従業員の給与情報!$E:$E)),0,AVERAGEIF(従業員の給与情報!$B:$B,$A752,従業員の給与情報!$E:$E)))))</f>
        <v/>
      </c>
      <c r="W752" s="299" t="str">
        <f>IF(OR(入力シート!$C$5&lt;&gt;入力リスト!$C$3,COUNTIF(入力シート!$J$16:$S$23,入力リスト!$H$9)=0),"",IF(A752="","",IF(ISERROR(AVERAGEIF(従業員の給与情報!$B:$B,$A752,従業員の給与情報!$F:$F)),0,IF(ISERROR(AVERAGEIF(従業員の給与情報!$B:$B,$A752,従業員の給与情報!$F:$F)),0,AVERAGEIF(従業員の給与情報!$B:$B,$A752,従業員の給与情報!$F:$F)))))</f>
        <v/>
      </c>
      <c r="X752" s="581" t="s">
        <v>5491</v>
      </c>
    </row>
    <row r="753" spans="6:24">
      <c r="F753" s="297" t="str">
        <f>IF($G$1,"",IF(COUNTIF(A753:E753,"")=5,"",IF(G753,入力リスト!$K$28,IF(OR(A753="",B753="",IF(COUNTIF($C$3,"*不要*"),"",C753=""),D753=""),IF(A753="","従業員番号","")&amp;IF(B753="","「雇用形態」","")&amp;IF(OR(入力シート!$J$18=入力リスト!$H$9,入力シート!$J$22=入力リスト!$H$9),IF(C753="","「入社年月日」",""),"")&amp;IF(D753="","「性別」","")&amp;IF(IF(A753="","従業員番号","")&amp;IF(B753="","「雇用形態」","")&amp;IF(OR(入力シート!$J$18=入力リスト!$H$9,入力シート!$J$22=入力リスト!$H$9),IF(C753="","「入社年月日」",""),"")&amp;IF(D753="","「性別」","")="","",入力リスト!$K$29),IF(J753,入力リスト!$K$30,"")&amp;IF(I753,入力リスト!$K$31,"")&amp;IF(H753,"「雇用形態」","")&amp;IF(K753,"「性別」","")&amp;IF(L753,"「役職」","")&amp;IF(OR(H753,K753,L753),入力リスト!$K$32,"")))))</f>
        <v/>
      </c>
      <c r="G753" s="298" t="b">
        <f>COUNTIF($A$4:A752,$A753)&gt;0</f>
        <v>0</v>
      </c>
      <c r="H753" s="298" t="b">
        <f>IF($H$1,FALSE,COUNTIF(入力シート!$S$37:$V$62,B753)=0)</f>
        <v>0</v>
      </c>
      <c r="I753" s="298" t="b">
        <f t="shared" si="23"/>
        <v>0</v>
      </c>
      <c r="J753" s="298" t="b">
        <f>IF($J$1,FALSE,IF(I753=TRUE,FALSE,IF(I753,FALSE,C753&gt;入力シート!$J$24)))</f>
        <v>0</v>
      </c>
      <c r="K753" s="298" t="b">
        <f>IF($K$1,FALSE,COUNTIF(入力シート!$AW$37:$BB$38,D753)=0)</f>
        <v>0</v>
      </c>
      <c r="L753" s="298" t="b">
        <f>IF($L$1,FALSE,IF($L$3,FALSE,IF(E753="",FALSE,COUNTIF(入力シート!$AH$37:$AK$62,E753)=0)))</f>
        <v>0</v>
      </c>
      <c r="M753" s="298" t="str">
        <f t="shared" si="24"/>
        <v/>
      </c>
      <c r="N753" s="298" t="str">
        <f>IF(G753,"この従業員番号は、すでに他のセルで入力されています。",IF(入力シート!$C$5=入力リスト!$C$4,"",IF(AND(A753="",B753="",C753="",D753="",E753=""),"",IF(OR(A753="",B753="",C753="",D753=""),IF(A753="","従業員番号","")&amp;IF(AND(A753="",OR(B753="",C753="",D753="")),",","")&amp;IF(B753="","雇用形態","")&amp;IF(AND(B753="",OR(C753="",D753="")),",","")&amp;IF(OR(入力シート!$J$18=入力リスト!$H$9,入力シート!$J$22=入力リスト!$H$9),IF(C753="","入社年月日",""),"")&amp;IF(AND(C753="",D753=""),",","")&amp;IF(D753="","性別","")&amp;IF(IF(A753="","従業員番号","")&amp;IF(B753="","雇用形態","")&amp;IF(OR(入力シート!$J$18=入力リスト!$H$9,入力シート!$J$22=入力リスト!$H$9),IF(C753="","入社年月日",""),"")&amp;IF(D753="","性別","")="","","が空白です。"),IF(J753,"入社年月日に「基準日」の翌日以降の日付が入力されています。","")&amp;IF(I753,"入社年月日に数値以外（又は1900/1/1以前の日付）が入力されています。","")&amp;IF(H753,"雇用形態"&amp;IF(OR(K753,L753),",",""),"")&amp;IF(K753,"性別"&amp;IF(L753,",",""),"")&amp;IF(L753,"役職","")&amp;IF(OR(H753,K753,L753),"に、［入力シート］(4)「貴社」欄と異なる文言が入力されています。","")))))</f>
        <v/>
      </c>
      <c r="O753" s="298" t="str">
        <f>IF(B753="","",VLOOKUP('従業員情報(給与以外)'!$B753,入力シート!$S$37:$Z$62,5,0))</f>
        <v/>
      </c>
      <c r="P753" s="298" t="str">
        <f>IF(ISNUMBER(C753)=FALSE,"",IF(C753&gt;入力シート!$J$24,"",_xlfn.DAYS(入力シート!$J$24,'従業員情報(給与以外)'!$C753)/365))</f>
        <v/>
      </c>
      <c r="Q753" s="298" t="str">
        <f>IF(P753="","",VLOOKUP(_xlfn.DAYS(入力シート!$J$24,'従業員情報(給与以外)'!$C753)/365,入力リスト!$K$18:$L$26,2,2))</f>
        <v/>
      </c>
      <c r="R753" s="298" t="str">
        <f>IF(D753="","",VLOOKUP('従業員情報(給与以外)'!$D753,入力シート!$AW$37:$BB$38,4,0))</f>
        <v/>
      </c>
      <c r="S753" s="298" t="str">
        <f>IF(A753="","",IF(E753="","非役職",VLOOKUP('従業員情報(給与以外)'!$E753,入力シート!$AH$37:$AO$62,5,0)))</f>
        <v/>
      </c>
      <c r="T753" s="299" t="str">
        <f>IF(OR(入力シート!$C$5&lt;&gt;入力リスト!$C$3,COUNTIF(入力シート!$J$16:$S$23,入力リスト!$H$9)=0),"",IF($A753="","",IF(ISERROR(AVERAGEIF(従業員の給与情報!$B:$B,$A753,従業員の給与情報!$C:$C)),0,IF(ISERROR(AVERAGEIF(従業員の給与情報!$B:$B,$A753,従業員の給与情報!$C:$C)),0,AVERAGEIF(従業員の給与情報!$B:$B,$A753,従業員の給与情報!$C:$C)))))</f>
        <v/>
      </c>
      <c r="U753" s="299" t="str">
        <f>IF(OR(入力シート!$C$5&lt;&gt;入力リスト!$C$3,COUNTIF(入力シート!$J$16:$S$23,入力リスト!$H$9)=0),"",IF(A753="","",IF(ISERROR(AVERAGEIF(従業員の給与情報!$B:$B,$A753,従業員の給与情報!$D:$D)),0,IF(ISERROR(AVERAGEIF(従業員の給与情報!$B:$B,$A753,従業員の給与情報!$D:$D)),0,AVERAGEIF(従業員の給与情報!$B:$B,$A753,従業員の給与情報!$D:$D)))))</f>
        <v/>
      </c>
      <c r="V753" s="299" t="str">
        <f>IF(OR(入力シート!$C$5&lt;&gt;入力リスト!$C$3,COUNTIF(入力シート!$J$16:$S$23,入力リスト!$H$9)=0),"",IF(A753="","",IF(ISERROR(AVERAGEIF(従業員の給与情報!$B:$B,$A753,従業員の給与情報!$E:$E)),0,IF(ISERROR(AVERAGEIF(従業員の給与情報!$B:$B,$A753,従業員の給与情報!$E:$E)),0,AVERAGEIF(従業員の給与情報!$B:$B,$A753,従業員の給与情報!$E:$E)))))</f>
        <v/>
      </c>
      <c r="W753" s="299" t="str">
        <f>IF(OR(入力シート!$C$5&lt;&gt;入力リスト!$C$3,COUNTIF(入力シート!$J$16:$S$23,入力リスト!$H$9)=0),"",IF(A753="","",IF(ISERROR(AVERAGEIF(従業員の給与情報!$B:$B,$A753,従業員の給与情報!$F:$F)),0,IF(ISERROR(AVERAGEIF(従業員の給与情報!$B:$B,$A753,従業員の給与情報!$F:$F)),0,AVERAGEIF(従業員の給与情報!$B:$B,$A753,従業員の給与情報!$F:$F)))))</f>
        <v/>
      </c>
      <c r="X753" s="581" t="s">
        <v>5492</v>
      </c>
    </row>
    <row r="754" spans="6:24">
      <c r="F754" s="297" t="str">
        <f>IF($G$1,"",IF(COUNTIF(A754:E754,"")=5,"",IF(G754,入力リスト!$K$28,IF(OR(A754="",B754="",IF(COUNTIF($C$3,"*不要*"),"",C754=""),D754=""),IF(A754="","従業員番号","")&amp;IF(B754="","「雇用形態」","")&amp;IF(OR(入力シート!$J$18=入力リスト!$H$9,入力シート!$J$22=入力リスト!$H$9),IF(C754="","「入社年月日」",""),"")&amp;IF(D754="","「性別」","")&amp;IF(IF(A754="","従業員番号","")&amp;IF(B754="","「雇用形態」","")&amp;IF(OR(入力シート!$J$18=入力リスト!$H$9,入力シート!$J$22=入力リスト!$H$9),IF(C754="","「入社年月日」",""),"")&amp;IF(D754="","「性別」","")="","",入力リスト!$K$29),IF(J754,入力リスト!$K$30,"")&amp;IF(I754,入力リスト!$K$31,"")&amp;IF(H754,"「雇用形態」","")&amp;IF(K754,"「性別」","")&amp;IF(L754,"「役職」","")&amp;IF(OR(H754,K754,L754),入力リスト!$K$32,"")))))</f>
        <v/>
      </c>
      <c r="G754" s="298" t="b">
        <f>COUNTIF($A$4:A753,$A754)&gt;0</f>
        <v>0</v>
      </c>
      <c r="H754" s="298" t="b">
        <f>IF($H$1,FALSE,COUNTIF(入力シート!$S$37:$V$62,B754)=0)</f>
        <v>0</v>
      </c>
      <c r="I754" s="298" t="b">
        <f t="shared" si="23"/>
        <v>0</v>
      </c>
      <c r="J754" s="298" t="b">
        <f>IF($J$1,FALSE,IF(I754=TRUE,FALSE,IF(I754,FALSE,C754&gt;入力シート!$J$24)))</f>
        <v>0</v>
      </c>
      <c r="K754" s="298" t="b">
        <f>IF($K$1,FALSE,COUNTIF(入力シート!$AW$37:$BB$38,D754)=0)</f>
        <v>0</v>
      </c>
      <c r="L754" s="298" t="b">
        <f>IF($L$1,FALSE,IF($L$3,FALSE,IF(E754="",FALSE,COUNTIF(入力シート!$AH$37:$AK$62,E754)=0)))</f>
        <v>0</v>
      </c>
      <c r="M754" s="298" t="str">
        <f t="shared" si="24"/>
        <v/>
      </c>
      <c r="N754" s="298" t="str">
        <f>IF(G754,"この従業員番号は、すでに他のセルで入力されています。",IF(入力シート!$C$5=入力リスト!$C$4,"",IF(AND(A754="",B754="",C754="",D754="",E754=""),"",IF(OR(A754="",B754="",C754="",D754=""),IF(A754="","従業員番号","")&amp;IF(AND(A754="",OR(B754="",C754="",D754="")),",","")&amp;IF(B754="","雇用形態","")&amp;IF(AND(B754="",OR(C754="",D754="")),",","")&amp;IF(OR(入力シート!$J$18=入力リスト!$H$9,入力シート!$J$22=入力リスト!$H$9),IF(C754="","入社年月日",""),"")&amp;IF(AND(C754="",D754=""),",","")&amp;IF(D754="","性別","")&amp;IF(IF(A754="","従業員番号","")&amp;IF(B754="","雇用形態","")&amp;IF(OR(入力シート!$J$18=入力リスト!$H$9,入力シート!$J$22=入力リスト!$H$9),IF(C754="","入社年月日",""),"")&amp;IF(D754="","性別","")="","","が空白です。"),IF(J754,"入社年月日に「基準日」の翌日以降の日付が入力されています。","")&amp;IF(I754,"入社年月日に数値以外（又は1900/1/1以前の日付）が入力されています。","")&amp;IF(H754,"雇用形態"&amp;IF(OR(K754,L754),",",""),"")&amp;IF(K754,"性別"&amp;IF(L754,",",""),"")&amp;IF(L754,"役職","")&amp;IF(OR(H754,K754,L754),"に、［入力シート］(4)「貴社」欄と異なる文言が入力されています。","")))))</f>
        <v/>
      </c>
      <c r="O754" s="298" t="str">
        <f>IF(B754="","",VLOOKUP('従業員情報(給与以外)'!$B754,入力シート!$S$37:$Z$62,5,0))</f>
        <v/>
      </c>
      <c r="P754" s="298" t="str">
        <f>IF(ISNUMBER(C754)=FALSE,"",IF(C754&gt;入力シート!$J$24,"",_xlfn.DAYS(入力シート!$J$24,'従業員情報(給与以外)'!$C754)/365))</f>
        <v/>
      </c>
      <c r="Q754" s="298" t="str">
        <f>IF(P754="","",VLOOKUP(_xlfn.DAYS(入力シート!$J$24,'従業員情報(給与以外)'!$C754)/365,入力リスト!$K$18:$L$26,2,2))</f>
        <v/>
      </c>
      <c r="R754" s="298" t="str">
        <f>IF(D754="","",VLOOKUP('従業員情報(給与以外)'!$D754,入力シート!$AW$37:$BB$38,4,0))</f>
        <v/>
      </c>
      <c r="S754" s="298" t="str">
        <f>IF(A754="","",IF(E754="","非役職",VLOOKUP('従業員情報(給与以外)'!$E754,入力シート!$AH$37:$AO$62,5,0)))</f>
        <v/>
      </c>
      <c r="T754" s="299" t="str">
        <f>IF(OR(入力シート!$C$5&lt;&gt;入力リスト!$C$3,COUNTIF(入力シート!$J$16:$S$23,入力リスト!$H$9)=0),"",IF($A754="","",IF(ISERROR(AVERAGEIF(従業員の給与情報!$B:$B,$A754,従業員の給与情報!$C:$C)),0,IF(ISERROR(AVERAGEIF(従業員の給与情報!$B:$B,$A754,従業員の給与情報!$C:$C)),0,AVERAGEIF(従業員の給与情報!$B:$B,$A754,従業員の給与情報!$C:$C)))))</f>
        <v/>
      </c>
      <c r="U754" s="299" t="str">
        <f>IF(OR(入力シート!$C$5&lt;&gt;入力リスト!$C$3,COUNTIF(入力シート!$J$16:$S$23,入力リスト!$H$9)=0),"",IF(A754="","",IF(ISERROR(AVERAGEIF(従業員の給与情報!$B:$B,$A754,従業員の給与情報!$D:$D)),0,IF(ISERROR(AVERAGEIF(従業員の給与情報!$B:$B,$A754,従業員の給与情報!$D:$D)),0,AVERAGEIF(従業員の給与情報!$B:$B,$A754,従業員の給与情報!$D:$D)))))</f>
        <v/>
      </c>
      <c r="V754" s="299" t="str">
        <f>IF(OR(入力シート!$C$5&lt;&gt;入力リスト!$C$3,COUNTIF(入力シート!$J$16:$S$23,入力リスト!$H$9)=0),"",IF(A754="","",IF(ISERROR(AVERAGEIF(従業員の給与情報!$B:$B,$A754,従業員の給与情報!$E:$E)),0,IF(ISERROR(AVERAGEIF(従業員の給与情報!$B:$B,$A754,従業員の給与情報!$E:$E)),0,AVERAGEIF(従業員の給与情報!$B:$B,$A754,従業員の給与情報!$E:$E)))))</f>
        <v/>
      </c>
      <c r="W754" s="299" t="str">
        <f>IF(OR(入力シート!$C$5&lt;&gt;入力リスト!$C$3,COUNTIF(入力シート!$J$16:$S$23,入力リスト!$H$9)=0),"",IF(A754="","",IF(ISERROR(AVERAGEIF(従業員の給与情報!$B:$B,$A754,従業員の給与情報!$F:$F)),0,IF(ISERROR(AVERAGEIF(従業員の給与情報!$B:$B,$A754,従業員の給与情報!$F:$F)),0,AVERAGEIF(従業員の給与情報!$B:$B,$A754,従業員の給与情報!$F:$F)))))</f>
        <v/>
      </c>
      <c r="X754" s="581" t="s">
        <v>5493</v>
      </c>
    </row>
    <row r="755" spans="6:24">
      <c r="F755" s="297" t="str">
        <f>IF($G$1,"",IF(COUNTIF(A755:E755,"")=5,"",IF(G755,入力リスト!$K$28,IF(OR(A755="",B755="",IF(COUNTIF($C$3,"*不要*"),"",C755=""),D755=""),IF(A755="","従業員番号","")&amp;IF(B755="","「雇用形態」","")&amp;IF(OR(入力シート!$J$18=入力リスト!$H$9,入力シート!$J$22=入力リスト!$H$9),IF(C755="","「入社年月日」",""),"")&amp;IF(D755="","「性別」","")&amp;IF(IF(A755="","従業員番号","")&amp;IF(B755="","「雇用形態」","")&amp;IF(OR(入力シート!$J$18=入力リスト!$H$9,入力シート!$J$22=入力リスト!$H$9),IF(C755="","「入社年月日」",""),"")&amp;IF(D755="","「性別」","")="","",入力リスト!$K$29),IF(J755,入力リスト!$K$30,"")&amp;IF(I755,入力リスト!$K$31,"")&amp;IF(H755,"「雇用形態」","")&amp;IF(K755,"「性別」","")&amp;IF(L755,"「役職」","")&amp;IF(OR(H755,K755,L755),入力リスト!$K$32,"")))))</f>
        <v/>
      </c>
      <c r="G755" s="298" t="b">
        <f>COUNTIF($A$4:A754,$A755)&gt;0</f>
        <v>0</v>
      </c>
      <c r="H755" s="298" t="b">
        <f>IF($H$1,FALSE,COUNTIF(入力シート!$S$37:$V$62,B755)=0)</f>
        <v>0</v>
      </c>
      <c r="I755" s="298" t="b">
        <f t="shared" si="23"/>
        <v>0</v>
      </c>
      <c r="J755" s="298" t="b">
        <f>IF($J$1,FALSE,IF(I755=TRUE,FALSE,IF(I755,FALSE,C755&gt;入力シート!$J$24)))</f>
        <v>0</v>
      </c>
      <c r="K755" s="298" t="b">
        <f>IF($K$1,FALSE,COUNTIF(入力シート!$AW$37:$BB$38,D755)=0)</f>
        <v>0</v>
      </c>
      <c r="L755" s="298" t="b">
        <f>IF($L$1,FALSE,IF($L$3,FALSE,IF(E755="",FALSE,COUNTIF(入力シート!$AH$37:$AK$62,E755)=0)))</f>
        <v>0</v>
      </c>
      <c r="M755" s="298" t="str">
        <f t="shared" si="24"/>
        <v/>
      </c>
      <c r="N755" s="298" t="str">
        <f>IF(G755,"この従業員番号は、すでに他のセルで入力されています。",IF(入力シート!$C$5=入力リスト!$C$4,"",IF(AND(A755="",B755="",C755="",D755="",E755=""),"",IF(OR(A755="",B755="",C755="",D755=""),IF(A755="","従業員番号","")&amp;IF(AND(A755="",OR(B755="",C755="",D755="")),",","")&amp;IF(B755="","雇用形態","")&amp;IF(AND(B755="",OR(C755="",D755="")),",","")&amp;IF(OR(入力シート!$J$18=入力リスト!$H$9,入力シート!$J$22=入力リスト!$H$9),IF(C755="","入社年月日",""),"")&amp;IF(AND(C755="",D755=""),",","")&amp;IF(D755="","性別","")&amp;IF(IF(A755="","従業員番号","")&amp;IF(B755="","雇用形態","")&amp;IF(OR(入力シート!$J$18=入力リスト!$H$9,入力シート!$J$22=入力リスト!$H$9),IF(C755="","入社年月日",""),"")&amp;IF(D755="","性別","")="","","が空白です。"),IF(J755,"入社年月日に「基準日」の翌日以降の日付が入力されています。","")&amp;IF(I755,"入社年月日に数値以外（又は1900/1/1以前の日付）が入力されています。","")&amp;IF(H755,"雇用形態"&amp;IF(OR(K755,L755),",",""),"")&amp;IF(K755,"性別"&amp;IF(L755,",",""),"")&amp;IF(L755,"役職","")&amp;IF(OR(H755,K755,L755),"に、［入力シート］(4)「貴社」欄と異なる文言が入力されています。","")))))</f>
        <v/>
      </c>
      <c r="O755" s="298" t="str">
        <f>IF(B755="","",VLOOKUP('従業員情報(給与以外)'!$B755,入力シート!$S$37:$Z$62,5,0))</f>
        <v/>
      </c>
      <c r="P755" s="298" t="str">
        <f>IF(ISNUMBER(C755)=FALSE,"",IF(C755&gt;入力シート!$J$24,"",_xlfn.DAYS(入力シート!$J$24,'従業員情報(給与以外)'!$C755)/365))</f>
        <v/>
      </c>
      <c r="Q755" s="298" t="str">
        <f>IF(P755="","",VLOOKUP(_xlfn.DAYS(入力シート!$J$24,'従業員情報(給与以外)'!$C755)/365,入力リスト!$K$18:$L$26,2,2))</f>
        <v/>
      </c>
      <c r="R755" s="298" t="str">
        <f>IF(D755="","",VLOOKUP('従業員情報(給与以外)'!$D755,入力シート!$AW$37:$BB$38,4,0))</f>
        <v/>
      </c>
      <c r="S755" s="298" t="str">
        <f>IF(A755="","",IF(E755="","非役職",VLOOKUP('従業員情報(給与以外)'!$E755,入力シート!$AH$37:$AO$62,5,0)))</f>
        <v/>
      </c>
      <c r="T755" s="299" t="str">
        <f>IF(OR(入力シート!$C$5&lt;&gt;入力リスト!$C$3,COUNTIF(入力シート!$J$16:$S$23,入力リスト!$H$9)=0),"",IF($A755="","",IF(ISERROR(AVERAGEIF(従業員の給与情報!$B:$B,$A755,従業員の給与情報!$C:$C)),0,IF(ISERROR(AVERAGEIF(従業員の給与情報!$B:$B,$A755,従業員の給与情報!$C:$C)),0,AVERAGEIF(従業員の給与情報!$B:$B,$A755,従業員の給与情報!$C:$C)))))</f>
        <v/>
      </c>
      <c r="U755" s="299" t="str">
        <f>IF(OR(入力シート!$C$5&lt;&gt;入力リスト!$C$3,COUNTIF(入力シート!$J$16:$S$23,入力リスト!$H$9)=0),"",IF(A755="","",IF(ISERROR(AVERAGEIF(従業員の給与情報!$B:$B,$A755,従業員の給与情報!$D:$D)),0,IF(ISERROR(AVERAGEIF(従業員の給与情報!$B:$B,$A755,従業員の給与情報!$D:$D)),0,AVERAGEIF(従業員の給与情報!$B:$B,$A755,従業員の給与情報!$D:$D)))))</f>
        <v/>
      </c>
      <c r="V755" s="299" t="str">
        <f>IF(OR(入力シート!$C$5&lt;&gt;入力リスト!$C$3,COUNTIF(入力シート!$J$16:$S$23,入力リスト!$H$9)=0),"",IF(A755="","",IF(ISERROR(AVERAGEIF(従業員の給与情報!$B:$B,$A755,従業員の給与情報!$E:$E)),0,IF(ISERROR(AVERAGEIF(従業員の給与情報!$B:$B,$A755,従業員の給与情報!$E:$E)),0,AVERAGEIF(従業員の給与情報!$B:$B,$A755,従業員の給与情報!$E:$E)))))</f>
        <v/>
      </c>
      <c r="W755" s="299" t="str">
        <f>IF(OR(入力シート!$C$5&lt;&gt;入力リスト!$C$3,COUNTIF(入力シート!$J$16:$S$23,入力リスト!$H$9)=0),"",IF(A755="","",IF(ISERROR(AVERAGEIF(従業員の給与情報!$B:$B,$A755,従業員の給与情報!$F:$F)),0,IF(ISERROR(AVERAGEIF(従業員の給与情報!$B:$B,$A755,従業員の給与情報!$F:$F)),0,AVERAGEIF(従業員の給与情報!$B:$B,$A755,従業員の給与情報!$F:$F)))))</f>
        <v/>
      </c>
      <c r="X755" s="581" t="s">
        <v>5494</v>
      </c>
    </row>
    <row r="756" spans="6:24">
      <c r="F756" s="297" t="str">
        <f>IF($G$1,"",IF(COUNTIF(A756:E756,"")=5,"",IF(G756,入力リスト!$K$28,IF(OR(A756="",B756="",IF(COUNTIF($C$3,"*不要*"),"",C756=""),D756=""),IF(A756="","従業員番号","")&amp;IF(B756="","「雇用形態」","")&amp;IF(OR(入力シート!$J$18=入力リスト!$H$9,入力シート!$J$22=入力リスト!$H$9),IF(C756="","「入社年月日」",""),"")&amp;IF(D756="","「性別」","")&amp;IF(IF(A756="","従業員番号","")&amp;IF(B756="","「雇用形態」","")&amp;IF(OR(入力シート!$J$18=入力リスト!$H$9,入力シート!$J$22=入力リスト!$H$9),IF(C756="","「入社年月日」",""),"")&amp;IF(D756="","「性別」","")="","",入力リスト!$K$29),IF(J756,入力リスト!$K$30,"")&amp;IF(I756,入力リスト!$K$31,"")&amp;IF(H756,"「雇用形態」","")&amp;IF(K756,"「性別」","")&amp;IF(L756,"「役職」","")&amp;IF(OR(H756,K756,L756),入力リスト!$K$32,"")))))</f>
        <v/>
      </c>
      <c r="G756" s="298" t="b">
        <f>COUNTIF($A$4:A755,$A756)&gt;0</f>
        <v>0</v>
      </c>
      <c r="H756" s="298" t="b">
        <f>IF($H$1,FALSE,COUNTIF(入力シート!$S$37:$V$62,B756)=0)</f>
        <v>0</v>
      </c>
      <c r="I756" s="298" t="b">
        <f t="shared" si="23"/>
        <v>0</v>
      </c>
      <c r="J756" s="298" t="b">
        <f>IF($J$1,FALSE,IF(I756=TRUE,FALSE,IF(I756,FALSE,C756&gt;入力シート!$J$24)))</f>
        <v>0</v>
      </c>
      <c r="K756" s="298" t="b">
        <f>IF($K$1,FALSE,COUNTIF(入力シート!$AW$37:$BB$38,D756)=0)</f>
        <v>0</v>
      </c>
      <c r="L756" s="298" t="b">
        <f>IF($L$1,FALSE,IF($L$3,FALSE,IF(E756="",FALSE,COUNTIF(入力シート!$AH$37:$AK$62,E756)=0)))</f>
        <v>0</v>
      </c>
      <c r="M756" s="298" t="str">
        <f t="shared" si="24"/>
        <v/>
      </c>
      <c r="N756" s="298" t="str">
        <f>IF(G756,"この従業員番号は、すでに他のセルで入力されています。",IF(入力シート!$C$5=入力リスト!$C$4,"",IF(AND(A756="",B756="",C756="",D756="",E756=""),"",IF(OR(A756="",B756="",C756="",D756=""),IF(A756="","従業員番号","")&amp;IF(AND(A756="",OR(B756="",C756="",D756="")),",","")&amp;IF(B756="","雇用形態","")&amp;IF(AND(B756="",OR(C756="",D756="")),",","")&amp;IF(OR(入力シート!$J$18=入力リスト!$H$9,入力シート!$J$22=入力リスト!$H$9),IF(C756="","入社年月日",""),"")&amp;IF(AND(C756="",D756=""),",","")&amp;IF(D756="","性別","")&amp;IF(IF(A756="","従業員番号","")&amp;IF(B756="","雇用形態","")&amp;IF(OR(入力シート!$J$18=入力リスト!$H$9,入力シート!$J$22=入力リスト!$H$9),IF(C756="","入社年月日",""),"")&amp;IF(D756="","性別","")="","","が空白です。"),IF(J756,"入社年月日に「基準日」の翌日以降の日付が入力されています。","")&amp;IF(I756,"入社年月日に数値以外（又は1900/1/1以前の日付）が入力されています。","")&amp;IF(H756,"雇用形態"&amp;IF(OR(K756,L756),",",""),"")&amp;IF(K756,"性別"&amp;IF(L756,",",""),"")&amp;IF(L756,"役職","")&amp;IF(OR(H756,K756,L756),"に、［入力シート］(4)「貴社」欄と異なる文言が入力されています。","")))))</f>
        <v/>
      </c>
      <c r="O756" s="298" t="str">
        <f>IF(B756="","",VLOOKUP('従業員情報(給与以外)'!$B756,入力シート!$S$37:$Z$62,5,0))</f>
        <v/>
      </c>
      <c r="P756" s="298" t="str">
        <f>IF(ISNUMBER(C756)=FALSE,"",IF(C756&gt;入力シート!$J$24,"",_xlfn.DAYS(入力シート!$J$24,'従業員情報(給与以外)'!$C756)/365))</f>
        <v/>
      </c>
      <c r="Q756" s="298" t="str">
        <f>IF(P756="","",VLOOKUP(_xlfn.DAYS(入力シート!$J$24,'従業員情報(給与以外)'!$C756)/365,入力リスト!$K$18:$L$26,2,2))</f>
        <v/>
      </c>
      <c r="R756" s="298" t="str">
        <f>IF(D756="","",VLOOKUP('従業員情報(給与以外)'!$D756,入力シート!$AW$37:$BB$38,4,0))</f>
        <v/>
      </c>
      <c r="S756" s="298" t="str">
        <f>IF(A756="","",IF(E756="","非役職",VLOOKUP('従業員情報(給与以外)'!$E756,入力シート!$AH$37:$AO$62,5,0)))</f>
        <v/>
      </c>
      <c r="T756" s="299" t="str">
        <f>IF(OR(入力シート!$C$5&lt;&gt;入力リスト!$C$3,COUNTIF(入力シート!$J$16:$S$23,入力リスト!$H$9)=0),"",IF($A756="","",IF(ISERROR(AVERAGEIF(従業員の給与情報!$B:$B,$A756,従業員の給与情報!$C:$C)),0,IF(ISERROR(AVERAGEIF(従業員の給与情報!$B:$B,$A756,従業員の給与情報!$C:$C)),0,AVERAGEIF(従業員の給与情報!$B:$B,$A756,従業員の給与情報!$C:$C)))))</f>
        <v/>
      </c>
      <c r="U756" s="299" t="str">
        <f>IF(OR(入力シート!$C$5&lt;&gt;入力リスト!$C$3,COUNTIF(入力シート!$J$16:$S$23,入力リスト!$H$9)=0),"",IF(A756="","",IF(ISERROR(AVERAGEIF(従業員の給与情報!$B:$B,$A756,従業員の給与情報!$D:$D)),0,IF(ISERROR(AVERAGEIF(従業員の給与情報!$B:$B,$A756,従業員の給与情報!$D:$D)),0,AVERAGEIF(従業員の給与情報!$B:$B,$A756,従業員の給与情報!$D:$D)))))</f>
        <v/>
      </c>
      <c r="V756" s="299" t="str">
        <f>IF(OR(入力シート!$C$5&lt;&gt;入力リスト!$C$3,COUNTIF(入力シート!$J$16:$S$23,入力リスト!$H$9)=0),"",IF(A756="","",IF(ISERROR(AVERAGEIF(従業員の給与情報!$B:$B,$A756,従業員の給与情報!$E:$E)),0,IF(ISERROR(AVERAGEIF(従業員の給与情報!$B:$B,$A756,従業員の給与情報!$E:$E)),0,AVERAGEIF(従業員の給与情報!$B:$B,$A756,従業員の給与情報!$E:$E)))))</f>
        <v/>
      </c>
      <c r="W756" s="299" t="str">
        <f>IF(OR(入力シート!$C$5&lt;&gt;入力リスト!$C$3,COUNTIF(入力シート!$J$16:$S$23,入力リスト!$H$9)=0),"",IF(A756="","",IF(ISERROR(AVERAGEIF(従業員の給与情報!$B:$B,$A756,従業員の給与情報!$F:$F)),0,IF(ISERROR(AVERAGEIF(従業員の給与情報!$B:$B,$A756,従業員の給与情報!$F:$F)),0,AVERAGEIF(従業員の給与情報!$B:$B,$A756,従業員の給与情報!$F:$F)))))</f>
        <v/>
      </c>
      <c r="X756" s="581" t="s">
        <v>5495</v>
      </c>
    </row>
    <row r="757" spans="6:24">
      <c r="F757" s="297" t="str">
        <f>IF($G$1,"",IF(COUNTIF(A757:E757,"")=5,"",IF(G757,入力リスト!$K$28,IF(OR(A757="",B757="",IF(COUNTIF($C$3,"*不要*"),"",C757=""),D757=""),IF(A757="","従業員番号","")&amp;IF(B757="","「雇用形態」","")&amp;IF(OR(入力シート!$J$18=入力リスト!$H$9,入力シート!$J$22=入力リスト!$H$9),IF(C757="","「入社年月日」",""),"")&amp;IF(D757="","「性別」","")&amp;IF(IF(A757="","従業員番号","")&amp;IF(B757="","「雇用形態」","")&amp;IF(OR(入力シート!$J$18=入力リスト!$H$9,入力シート!$J$22=入力リスト!$H$9),IF(C757="","「入社年月日」",""),"")&amp;IF(D757="","「性別」","")="","",入力リスト!$K$29),IF(J757,入力リスト!$K$30,"")&amp;IF(I757,入力リスト!$K$31,"")&amp;IF(H757,"「雇用形態」","")&amp;IF(K757,"「性別」","")&amp;IF(L757,"「役職」","")&amp;IF(OR(H757,K757,L757),入力リスト!$K$32,"")))))</f>
        <v/>
      </c>
      <c r="G757" s="298" t="b">
        <f>COUNTIF($A$4:A756,$A757)&gt;0</f>
        <v>0</v>
      </c>
      <c r="H757" s="298" t="b">
        <f>IF($H$1,FALSE,COUNTIF(入力シート!$S$37:$V$62,B757)=0)</f>
        <v>0</v>
      </c>
      <c r="I757" s="298" t="b">
        <f t="shared" si="23"/>
        <v>0</v>
      </c>
      <c r="J757" s="298" t="b">
        <f>IF($J$1,FALSE,IF(I757=TRUE,FALSE,IF(I757,FALSE,C757&gt;入力シート!$J$24)))</f>
        <v>0</v>
      </c>
      <c r="K757" s="298" t="b">
        <f>IF($K$1,FALSE,COUNTIF(入力シート!$AW$37:$BB$38,D757)=0)</f>
        <v>0</v>
      </c>
      <c r="L757" s="298" t="b">
        <f>IF($L$1,FALSE,IF($L$3,FALSE,IF(E757="",FALSE,COUNTIF(入力シート!$AH$37:$AK$62,E757)=0)))</f>
        <v>0</v>
      </c>
      <c r="M757" s="298" t="str">
        <f t="shared" si="24"/>
        <v/>
      </c>
      <c r="N757" s="298" t="str">
        <f>IF(G757,"この従業員番号は、すでに他のセルで入力されています。",IF(入力シート!$C$5=入力リスト!$C$4,"",IF(AND(A757="",B757="",C757="",D757="",E757=""),"",IF(OR(A757="",B757="",C757="",D757=""),IF(A757="","従業員番号","")&amp;IF(AND(A757="",OR(B757="",C757="",D757="")),",","")&amp;IF(B757="","雇用形態","")&amp;IF(AND(B757="",OR(C757="",D757="")),",","")&amp;IF(OR(入力シート!$J$18=入力リスト!$H$9,入力シート!$J$22=入力リスト!$H$9),IF(C757="","入社年月日",""),"")&amp;IF(AND(C757="",D757=""),",","")&amp;IF(D757="","性別","")&amp;IF(IF(A757="","従業員番号","")&amp;IF(B757="","雇用形態","")&amp;IF(OR(入力シート!$J$18=入力リスト!$H$9,入力シート!$J$22=入力リスト!$H$9),IF(C757="","入社年月日",""),"")&amp;IF(D757="","性別","")="","","が空白です。"),IF(J757,"入社年月日に「基準日」の翌日以降の日付が入力されています。","")&amp;IF(I757,"入社年月日に数値以外（又は1900/1/1以前の日付）が入力されています。","")&amp;IF(H757,"雇用形態"&amp;IF(OR(K757,L757),",",""),"")&amp;IF(K757,"性別"&amp;IF(L757,",",""),"")&amp;IF(L757,"役職","")&amp;IF(OR(H757,K757,L757),"に、［入力シート］(4)「貴社」欄と異なる文言が入力されています。","")))))</f>
        <v/>
      </c>
      <c r="O757" s="298" t="str">
        <f>IF(B757="","",VLOOKUP('従業員情報(給与以外)'!$B757,入力シート!$S$37:$Z$62,5,0))</f>
        <v/>
      </c>
      <c r="P757" s="298" t="str">
        <f>IF(ISNUMBER(C757)=FALSE,"",IF(C757&gt;入力シート!$J$24,"",_xlfn.DAYS(入力シート!$J$24,'従業員情報(給与以外)'!$C757)/365))</f>
        <v/>
      </c>
      <c r="Q757" s="298" t="str">
        <f>IF(P757="","",VLOOKUP(_xlfn.DAYS(入力シート!$J$24,'従業員情報(給与以外)'!$C757)/365,入力リスト!$K$18:$L$26,2,2))</f>
        <v/>
      </c>
      <c r="R757" s="298" t="str">
        <f>IF(D757="","",VLOOKUP('従業員情報(給与以外)'!$D757,入力シート!$AW$37:$BB$38,4,0))</f>
        <v/>
      </c>
      <c r="S757" s="298" t="str">
        <f>IF(A757="","",IF(E757="","非役職",VLOOKUP('従業員情報(給与以外)'!$E757,入力シート!$AH$37:$AO$62,5,0)))</f>
        <v/>
      </c>
      <c r="T757" s="299" t="str">
        <f>IF(OR(入力シート!$C$5&lt;&gt;入力リスト!$C$3,COUNTIF(入力シート!$J$16:$S$23,入力リスト!$H$9)=0),"",IF($A757="","",IF(ISERROR(AVERAGEIF(従業員の給与情報!$B:$B,$A757,従業員の給与情報!$C:$C)),0,IF(ISERROR(AVERAGEIF(従業員の給与情報!$B:$B,$A757,従業員の給与情報!$C:$C)),0,AVERAGEIF(従業員の給与情報!$B:$B,$A757,従業員の給与情報!$C:$C)))))</f>
        <v/>
      </c>
      <c r="U757" s="299" t="str">
        <f>IF(OR(入力シート!$C$5&lt;&gt;入力リスト!$C$3,COUNTIF(入力シート!$J$16:$S$23,入力リスト!$H$9)=0),"",IF(A757="","",IF(ISERROR(AVERAGEIF(従業員の給与情報!$B:$B,$A757,従業員の給与情報!$D:$D)),0,IF(ISERROR(AVERAGEIF(従業員の給与情報!$B:$B,$A757,従業員の給与情報!$D:$D)),0,AVERAGEIF(従業員の給与情報!$B:$B,$A757,従業員の給与情報!$D:$D)))))</f>
        <v/>
      </c>
      <c r="V757" s="299" t="str">
        <f>IF(OR(入力シート!$C$5&lt;&gt;入力リスト!$C$3,COUNTIF(入力シート!$J$16:$S$23,入力リスト!$H$9)=0),"",IF(A757="","",IF(ISERROR(AVERAGEIF(従業員の給与情報!$B:$B,$A757,従業員の給与情報!$E:$E)),0,IF(ISERROR(AVERAGEIF(従業員の給与情報!$B:$B,$A757,従業員の給与情報!$E:$E)),0,AVERAGEIF(従業員の給与情報!$B:$B,$A757,従業員の給与情報!$E:$E)))))</f>
        <v/>
      </c>
      <c r="W757" s="299" t="str">
        <f>IF(OR(入力シート!$C$5&lt;&gt;入力リスト!$C$3,COUNTIF(入力シート!$J$16:$S$23,入力リスト!$H$9)=0),"",IF(A757="","",IF(ISERROR(AVERAGEIF(従業員の給与情報!$B:$B,$A757,従業員の給与情報!$F:$F)),0,IF(ISERROR(AVERAGEIF(従業員の給与情報!$B:$B,$A757,従業員の給与情報!$F:$F)),0,AVERAGEIF(従業員の給与情報!$B:$B,$A757,従業員の給与情報!$F:$F)))))</f>
        <v/>
      </c>
      <c r="X757" s="581" t="s">
        <v>5496</v>
      </c>
    </row>
    <row r="758" spans="6:24">
      <c r="F758" s="297" t="str">
        <f>IF($G$1,"",IF(COUNTIF(A758:E758,"")=5,"",IF(G758,入力リスト!$K$28,IF(OR(A758="",B758="",IF(COUNTIF($C$3,"*不要*"),"",C758=""),D758=""),IF(A758="","従業員番号","")&amp;IF(B758="","「雇用形態」","")&amp;IF(OR(入力シート!$J$18=入力リスト!$H$9,入力シート!$J$22=入力リスト!$H$9),IF(C758="","「入社年月日」",""),"")&amp;IF(D758="","「性別」","")&amp;IF(IF(A758="","従業員番号","")&amp;IF(B758="","「雇用形態」","")&amp;IF(OR(入力シート!$J$18=入力リスト!$H$9,入力シート!$J$22=入力リスト!$H$9),IF(C758="","「入社年月日」",""),"")&amp;IF(D758="","「性別」","")="","",入力リスト!$K$29),IF(J758,入力リスト!$K$30,"")&amp;IF(I758,入力リスト!$K$31,"")&amp;IF(H758,"「雇用形態」","")&amp;IF(K758,"「性別」","")&amp;IF(L758,"「役職」","")&amp;IF(OR(H758,K758,L758),入力リスト!$K$32,"")))))</f>
        <v/>
      </c>
      <c r="G758" s="298" t="b">
        <f>COUNTIF($A$4:A757,$A758)&gt;0</f>
        <v>0</v>
      </c>
      <c r="H758" s="298" t="b">
        <f>IF($H$1,FALSE,COUNTIF(入力シート!$S$37:$V$62,B758)=0)</f>
        <v>0</v>
      </c>
      <c r="I758" s="298" t="b">
        <f t="shared" si="23"/>
        <v>0</v>
      </c>
      <c r="J758" s="298" t="b">
        <f>IF($J$1,FALSE,IF(I758=TRUE,FALSE,IF(I758,FALSE,C758&gt;入力シート!$J$24)))</f>
        <v>0</v>
      </c>
      <c r="K758" s="298" t="b">
        <f>IF($K$1,FALSE,COUNTIF(入力シート!$AW$37:$BB$38,D758)=0)</f>
        <v>0</v>
      </c>
      <c r="L758" s="298" t="b">
        <f>IF($L$1,FALSE,IF($L$3,FALSE,IF(E758="",FALSE,COUNTIF(入力シート!$AH$37:$AK$62,E758)=0)))</f>
        <v>0</v>
      </c>
      <c r="M758" s="298" t="str">
        <f t="shared" si="24"/>
        <v/>
      </c>
      <c r="N758" s="298" t="str">
        <f>IF(G758,"この従業員番号は、すでに他のセルで入力されています。",IF(入力シート!$C$5=入力リスト!$C$4,"",IF(AND(A758="",B758="",C758="",D758="",E758=""),"",IF(OR(A758="",B758="",C758="",D758=""),IF(A758="","従業員番号","")&amp;IF(AND(A758="",OR(B758="",C758="",D758="")),",","")&amp;IF(B758="","雇用形態","")&amp;IF(AND(B758="",OR(C758="",D758="")),",","")&amp;IF(OR(入力シート!$J$18=入力リスト!$H$9,入力シート!$J$22=入力リスト!$H$9),IF(C758="","入社年月日",""),"")&amp;IF(AND(C758="",D758=""),",","")&amp;IF(D758="","性別","")&amp;IF(IF(A758="","従業員番号","")&amp;IF(B758="","雇用形態","")&amp;IF(OR(入力シート!$J$18=入力リスト!$H$9,入力シート!$J$22=入力リスト!$H$9),IF(C758="","入社年月日",""),"")&amp;IF(D758="","性別","")="","","が空白です。"),IF(J758,"入社年月日に「基準日」の翌日以降の日付が入力されています。","")&amp;IF(I758,"入社年月日に数値以外（又は1900/1/1以前の日付）が入力されています。","")&amp;IF(H758,"雇用形態"&amp;IF(OR(K758,L758),",",""),"")&amp;IF(K758,"性別"&amp;IF(L758,",",""),"")&amp;IF(L758,"役職","")&amp;IF(OR(H758,K758,L758),"に、［入力シート］(4)「貴社」欄と異なる文言が入力されています。","")))))</f>
        <v/>
      </c>
      <c r="O758" s="298" t="str">
        <f>IF(B758="","",VLOOKUP('従業員情報(給与以外)'!$B758,入力シート!$S$37:$Z$62,5,0))</f>
        <v/>
      </c>
      <c r="P758" s="298" t="str">
        <f>IF(ISNUMBER(C758)=FALSE,"",IF(C758&gt;入力シート!$J$24,"",_xlfn.DAYS(入力シート!$J$24,'従業員情報(給与以外)'!$C758)/365))</f>
        <v/>
      </c>
      <c r="Q758" s="298" t="str">
        <f>IF(P758="","",VLOOKUP(_xlfn.DAYS(入力シート!$J$24,'従業員情報(給与以外)'!$C758)/365,入力リスト!$K$18:$L$26,2,2))</f>
        <v/>
      </c>
      <c r="R758" s="298" t="str">
        <f>IF(D758="","",VLOOKUP('従業員情報(給与以外)'!$D758,入力シート!$AW$37:$BB$38,4,0))</f>
        <v/>
      </c>
      <c r="S758" s="298" t="str">
        <f>IF(A758="","",IF(E758="","非役職",VLOOKUP('従業員情報(給与以外)'!$E758,入力シート!$AH$37:$AO$62,5,0)))</f>
        <v/>
      </c>
      <c r="T758" s="299" t="str">
        <f>IF(OR(入力シート!$C$5&lt;&gt;入力リスト!$C$3,COUNTIF(入力シート!$J$16:$S$23,入力リスト!$H$9)=0),"",IF($A758="","",IF(ISERROR(AVERAGEIF(従業員の給与情報!$B:$B,$A758,従業員の給与情報!$C:$C)),0,IF(ISERROR(AVERAGEIF(従業員の給与情報!$B:$B,$A758,従業員の給与情報!$C:$C)),0,AVERAGEIF(従業員の給与情報!$B:$B,$A758,従業員の給与情報!$C:$C)))))</f>
        <v/>
      </c>
      <c r="U758" s="299" t="str">
        <f>IF(OR(入力シート!$C$5&lt;&gt;入力リスト!$C$3,COUNTIF(入力シート!$J$16:$S$23,入力リスト!$H$9)=0),"",IF(A758="","",IF(ISERROR(AVERAGEIF(従業員の給与情報!$B:$B,$A758,従業員の給与情報!$D:$D)),0,IF(ISERROR(AVERAGEIF(従業員の給与情報!$B:$B,$A758,従業員の給与情報!$D:$D)),0,AVERAGEIF(従業員の給与情報!$B:$B,$A758,従業員の給与情報!$D:$D)))))</f>
        <v/>
      </c>
      <c r="V758" s="299" t="str">
        <f>IF(OR(入力シート!$C$5&lt;&gt;入力リスト!$C$3,COUNTIF(入力シート!$J$16:$S$23,入力リスト!$H$9)=0),"",IF(A758="","",IF(ISERROR(AVERAGEIF(従業員の給与情報!$B:$B,$A758,従業員の給与情報!$E:$E)),0,IF(ISERROR(AVERAGEIF(従業員の給与情報!$B:$B,$A758,従業員の給与情報!$E:$E)),0,AVERAGEIF(従業員の給与情報!$B:$B,$A758,従業員の給与情報!$E:$E)))))</f>
        <v/>
      </c>
      <c r="W758" s="299" t="str">
        <f>IF(OR(入力シート!$C$5&lt;&gt;入力リスト!$C$3,COUNTIF(入力シート!$J$16:$S$23,入力リスト!$H$9)=0),"",IF(A758="","",IF(ISERROR(AVERAGEIF(従業員の給与情報!$B:$B,$A758,従業員の給与情報!$F:$F)),0,IF(ISERROR(AVERAGEIF(従業員の給与情報!$B:$B,$A758,従業員の給与情報!$F:$F)),0,AVERAGEIF(従業員の給与情報!$B:$B,$A758,従業員の給与情報!$F:$F)))))</f>
        <v/>
      </c>
      <c r="X758" s="581" t="s">
        <v>5497</v>
      </c>
    </row>
    <row r="759" spans="6:24">
      <c r="F759" s="297" t="str">
        <f>IF($G$1,"",IF(COUNTIF(A759:E759,"")=5,"",IF(G759,入力リスト!$K$28,IF(OR(A759="",B759="",IF(COUNTIF($C$3,"*不要*"),"",C759=""),D759=""),IF(A759="","従業員番号","")&amp;IF(B759="","「雇用形態」","")&amp;IF(OR(入力シート!$J$18=入力リスト!$H$9,入力シート!$J$22=入力リスト!$H$9),IF(C759="","「入社年月日」",""),"")&amp;IF(D759="","「性別」","")&amp;IF(IF(A759="","従業員番号","")&amp;IF(B759="","「雇用形態」","")&amp;IF(OR(入力シート!$J$18=入力リスト!$H$9,入力シート!$J$22=入力リスト!$H$9),IF(C759="","「入社年月日」",""),"")&amp;IF(D759="","「性別」","")="","",入力リスト!$K$29),IF(J759,入力リスト!$K$30,"")&amp;IF(I759,入力リスト!$K$31,"")&amp;IF(H759,"「雇用形態」","")&amp;IF(K759,"「性別」","")&amp;IF(L759,"「役職」","")&amp;IF(OR(H759,K759,L759),入力リスト!$K$32,"")))))</f>
        <v/>
      </c>
      <c r="G759" s="298" t="b">
        <f>COUNTIF($A$4:A758,$A759)&gt;0</f>
        <v>0</v>
      </c>
      <c r="H759" s="298" t="b">
        <f>IF($H$1,FALSE,COUNTIF(入力シート!$S$37:$V$62,B759)=0)</f>
        <v>0</v>
      </c>
      <c r="I759" s="298" t="b">
        <f t="shared" ref="I759:I822" si="25">IF($I$1,IF(ISNUMBER(C759),FALSE,TRUE),FALSE)</f>
        <v>0</v>
      </c>
      <c r="J759" s="298" t="b">
        <f>IF($J$1,FALSE,IF(I759=TRUE,FALSE,IF(I759,FALSE,C759&gt;入力シート!$J$24)))</f>
        <v>0</v>
      </c>
      <c r="K759" s="298" t="b">
        <f>IF($K$1,FALSE,COUNTIF(入力シート!$AW$37:$BB$38,D759)=0)</f>
        <v>0</v>
      </c>
      <c r="L759" s="298" t="b">
        <f>IF($L$1,FALSE,IF($L$3,FALSE,IF(E759="",FALSE,COUNTIF(入力シート!$AH$37:$AK$62,E759)=0)))</f>
        <v>0</v>
      </c>
      <c r="M759" s="298" t="str">
        <f t="shared" ref="M759:M822" si="26">IF(COUNTIF(F759,"*入社年月日に数値以外*"),"※1900/0/0以前は数値として認識されません。","")</f>
        <v/>
      </c>
      <c r="N759" s="298" t="str">
        <f>IF(G759,"この従業員番号は、すでに他のセルで入力されています。",IF(入力シート!$C$5=入力リスト!$C$4,"",IF(AND(A759="",B759="",C759="",D759="",E759=""),"",IF(OR(A759="",B759="",C759="",D759=""),IF(A759="","従業員番号","")&amp;IF(AND(A759="",OR(B759="",C759="",D759="")),",","")&amp;IF(B759="","雇用形態","")&amp;IF(AND(B759="",OR(C759="",D759="")),",","")&amp;IF(OR(入力シート!$J$18=入力リスト!$H$9,入力シート!$J$22=入力リスト!$H$9),IF(C759="","入社年月日",""),"")&amp;IF(AND(C759="",D759=""),",","")&amp;IF(D759="","性別","")&amp;IF(IF(A759="","従業員番号","")&amp;IF(B759="","雇用形態","")&amp;IF(OR(入力シート!$J$18=入力リスト!$H$9,入力シート!$J$22=入力リスト!$H$9),IF(C759="","入社年月日",""),"")&amp;IF(D759="","性別","")="","","が空白です。"),IF(J759,"入社年月日に「基準日」の翌日以降の日付が入力されています。","")&amp;IF(I759,"入社年月日に数値以外（又は1900/1/1以前の日付）が入力されています。","")&amp;IF(H759,"雇用形態"&amp;IF(OR(K759,L759),",",""),"")&amp;IF(K759,"性別"&amp;IF(L759,",",""),"")&amp;IF(L759,"役職","")&amp;IF(OR(H759,K759,L759),"に、［入力シート］(4)「貴社」欄と異なる文言が入力されています。","")))))</f>
        <v/>
      </c>
      <c r="O759" s="298" t="str">
        <f>IF(B759="","",VLOOKUP('従業員情報(給与以外)'!$B759,入力シート!$S$37:$Z$62,5,0))</f>
        <v/>
      </c>
      <c r="P759" s="298" t="str">
        <f>IF(ISNUMBER(C759)=FALSE,"",IF(C759&gt;入力シート!$J$24,"",_xlfn.DAYS(入力シート!$J$24,'従業員情報(給与以外)'!$C759)/365))</f>
        <v/>
      </c>
      <c r="Q759" s="298" t="str">
        <f>IF(P759="","",VLOOKUP(_xlfn.DAYS(入力シート!$J$24,'従業員情報(給与以外)'!$C759)/365,入力リスト!$K$18:$L$26,2,2))</f>
        <v/>
      </c>
      <c r="R759" s="298" t="str">
        <f>IF(D759="","",VLOOKUP('従業員情報(給与以外)'!$D759,入力シート!$AW$37:$BB$38,4,0))</f>
        <v/>
      </c>
      <c r="S759" s="298" t="str">
        <f>IF(A759="","",IF(E759="","非役職",VLOOKUP('従業員情報(給与以外)'!$E759,入力シート!$AH$37:$AO$62,5,0)))</f>
        <v/>
      </c>
      <c r="T759" s="299" t="str">
        <f>IF(OR(入力シート!$C$5&lt;&gt;入力リスト!$C$3,COUNTIF(入力シート!$J$16:$S$23,入力リスト!$H$9)=0),"",IF($A759="","",IF(ISERROR(AVERAGEIF(従業員の給与情報!$B:$B,$A759,従業員の給与情報!$C:$C)),0,IF(ISERROR(AVERAGEIF(従業員の給与情報!$B:$B,$A759,従業員の給与情報!$C:$C)),0,AVERAGEIF(従業員の給与情報!$B:$B,$A759,従業員の給与情報!$C:$C)))))</f>
        <v/>
      </c>
      <c r="U759" s="299" t="str">
        <f>IF(OR(入力シート!$C$5&lt;&gt;入力リスト!$C$3,COUNTIF(入力シート!$J$16:$S$23,入力リスト!$H$9)=0),"",IF(A759="","",IF(ISERROR(AVERAGEIF(従業員の給与情報!$B:$B,$A759,従業員の給与情報!$D:$D)),0,IF(ISERROR(AVERAGEIF(従業員の給与情報!$B:$B,$A759,従業員の給与情報!$D:$D)),0,AVERAGEIF(従業員の給与情報!$B:$B,$A759,従業員の給与情報!$D:$D)))))</f>
        <v/>
      </c>
      <c r="V759" s="299" t="str">
        <f>IF(OR(入力シート!$C$5&lt;&gt;入力リスト!$C$3,COUNTIF(入力シート!$J$16:$S$23,入力リスト!$H$9)=0),"",IF(A759="","",IF(ISERROR(AVERAGEIF(従業員の給与情報!$B:$B,$A759,従業員の給与情報!$E:$E)),0,IF(ISERROR(AVERAGEIF(従業員の給与情報!$B:$B,$A759,従業員の給与情報!$E:$E)),0,AVERAGEIF(従業員の給与情報!$B:$B,$A759,従業員の給与情報!$E:$E)))))</f>
        <v/>
      </c>
      <c r="W759" s="299" t="str">
        <f>IF(OR(入力シート!$C$5&lt;&gt;入力リスト!$C$3,COUNTIF(入力シート!$J$16:$S$23,入力リスト!$H$9)=0),"",IF(A759="","",IF(ISERROR(AVERAGEIF(従業員の給与情報!$B:$B,$A759,従業員の給与情報!$F:$F)),0,IF(ISERROR(AVERAGEIF(従業員の給与情報!$B:$B,$A759,従業員の給与情報!$F:$F)),0,AVERAGEIF(従業員の給与情報!$B:$B,$A759,従業員の給与情報!$F:$F)))))</f>
        <v/>
      </c>
      <c r="X759" s="581" t="s">
        <v>5498</v>
      </c>
    </row>
    <row r="760" spans="6:24">
      <c r="F760" s="297" t="str">
        <f>IF($G$1,"",IF(COUNTIF(A760:E760,"")=5,"",IF(G760,入力リスト!$K$28,IF(OR(A760="",B760="",IF(COUNTIF($C$3,"*不要*"),"",C760=""),D760=""),IF(A760="","従業員番号","")&amp;IF(B760="","「雇用形態」","")&amp;IF(OR(入力シート!$J$18=入力リスト!$H$9,入力シート!$J$22=入力リスト!$H$9),IF(C760="","「入社年月日」",""),"")&amp;IF(D760="","「性別」","")&amp;IF(IF(A760="","従業員番号","")&amp;IF(B760="","「雇用形態」","")&amp;IF(OR(入力シート!$J$18=入力リスト!$H$9,入力シート!$J$22=入力リスト!$H$9),IF(C760="","「入社年月日」",""),"")&amp;IF(D760="","「性別」","")="","",入力リスト!$K$29),IF(J760,入力リスト!$K$30,"")&amp;IF(I760,入力リスト!$K$31,"")&amp;IF(H760,"「雇用形態」","")&amp;IF(K760,"「性別」","")&amp;IF(L760,"「役職」","")&amp;IF(OR(H760,K760,L760),入力リスト!$K$32,"")))))</f>
        <v/>
      </c>
      <c r="G760" s="298" t="b">
        <f>COUNTIF($A$4:A759,$A760)&gt;0</f>
        <v>0</v>
      </c>
      <c r="H760" s="298" t="b">
        <f>IF($H$1,FALSE,COUNTIF(入力シート!$S$37:$V$62,B760)=0)</f>
        <v>0</v>
      </c>
      <c r="I760" s="298" t="b">
        <f t="shared" si="25"/>
        <v>0</v>
      </c>
      <c r="J760" s="298" t="b">
        <f>IF($J$1,FALSE,IF(I760=TRUE,FALSE,IF(I760,FALSE,C760&gt;入力シート!$J$24)))</f>
        <v>0</v>
      </c>
      <c r="K760" s="298" t="b">
        <f>IF($K$1,FALSE,COUNTIF(入力シート!$AW$37:$BB$38,D760)=0)</f>
        <v>0</v>
      </c>
      <c r="L760" s="298" t="b">
        <f>IF($L$1,FALSE,IF($L$3,FALSE,IF(E760="",FALSE,COUNTIF(入力シート!$AH$37:$AK$62,E760)=0)))</f>
        <v>0</v>
      </c>
      <c r="M760" s="298" t="str">
        <f t="shared" si="26"/>
        <v/>
      </c>
      <c r="N760" s="298" t="str">
        <f>IF(G760,"この従業員番号は、すでに他のセルで入力されています。",IF(入力シート!$C$5=入力リスト!$C$4,"",IF(AND(A760="",B760="",C760="",D760="",E760=""),"",IF(OR(A760="",B760="",C760="",D760=""),IF(A760="","従業員番号","")&amp;IF(AND(A760="",OR(B760="",C760="",D760="")),",","")&amp;IF(B760="","雇用形態","")&amp;IF(AND(B760="",OR(C760="",D760="")),",","")&amp;IF(OR(入力シート!$J$18=入力リスト!$H$9,入力シート!$J$22=入力リスト!$H$9),IF(C760="","入社年月日",""),"")&amp;IF(AND(C760="",D760=""),",","")&amp;IF(D760="","性別","")&amp;IF(IF(A760="","従業員番号","")&amp;IF(B760="","雇用形態","")&amp;IF(OR(入力シート!$J$18=入力リスト!$H$9,入力シート!$J$22=入力リスト!$H$9),IF(C760="","入社年月日",""),"")&amp;IF(D760="","性別","")="","","が空白です。"),IF(J760,"入社年月日に「基準日」の翌日以降の日付が入力されています。","")&amp;IF(I760,"入社年月日に数値以外（又は1900/1/1以前の日付）が入力されています。","")&amp;IF(H760,"雇用形態"&amp;IF(OR(K760,L760),",",""),"")&amp;IF(K760,"性別"&amp;IF(L760,",",""),"")&amp;IF(L760,"役職","")&amp;IF(OR(H760,K760,L760),"に、［入力シート］(4)「貴社」欄と異なる文言が入力されています。","")))))</f>
        <v/>
      </c>
      <c r="O760" s="298" t="str">
        <f>IF(B760="","",VLOOKUP('従業員情報(給与以外)'!$B760,入力シート!$S$37:$Z$62,5,0))</f>
        <v/>
      </c>
      <c r="P760" s="298" t="str">
        <f>IF(ISNUMBER(C760)=FALSE,"",IF(C760&gt;入力シート!$J$24,"",_xlfn.DAYS(入力シート!$J$24,'従業員情報(給与以外)'!$C760)/365))</f>
        <v/>
      </c>
      <c r="Q760" s="298" t="str">
        <f>IF(P760="","",VLOOKUP(_xlfn.DAYS(入力シート!$J$24,'従業員情報(給与以外)'!$C760)/365,入力リスト!$K$18:$L$26,2,2))</f>
        <v/>
      </c>
      <c r="R760" s="298" t="str">
        <f>IF(D760="","",VLOOKUP('従業員情報(給与以外)'!$D760,入力シート!$AW$37:$BB$38,4,0))</f>
        <v/>
      </c>
      <c r="S760" s="298" t="str">
        <f>IF(A760="","",IF(E760="","非役職",VLOOKUP('従業員情報(給与以外)'!$E760,入力シート!$AH$37:$AO$62,5,0)))</f>
        <v/>
      </c>
      <c r="T760" s="299" t="str">
        <f>IF(OR(入力シート!$C$5&lt;&gt;入力リスト!$C$3,COUNTIF(入力シート!$J$16:$S$23,入力リスト!$H$9)=0),"",IF($A760="","",IF(ISERROR(AVERAGEIF(従業員の給与情報!$B:$B,$A760,従業員の給与情報!$C:$C)),0,IF(ISERROR(AVERAGEIF(従業員の給与情報!$B:$B,$A760,従業員の給与情報!$C:$C)),0,AVERAGEIF(従業員の給与情報!$B:$B,$A760,従業員の給与情報!$C:$C)))))</f>
        <v/>
      </c>
      <c r="U760" s="299" t="str">
        <f>IF(OR(入力シート!$C$5&lt;&gt;入力リスト!$C$3,COUNTIF(入力シート!$J$16:$S$23,入力リスト!$H$9)=0),"",IF(A760="","",IF(ISERROR(AVERAGEIF(従業員の給与情報!$B:$B,$A760,従業員の給与情報!$D:$D)),0,IF(ISERROR(AVERAGEIF(従業員の給与情報!$B:$B,$A760,従業員の給与情報!$D:$D)),0,AVERAGEIF(従業員の給与情報!$B:$B,$A760,従業員の給与情報!$D:$D)))))</f>
        <v/>
      </c>
      <c r="V760" s="299" t="str">
        <f>IF(OR(入力シート!$C$5&lt;&gt;入力リスト!$C$3,COUNTIF(入力シート!$J$16:$S$23,入力リスト!$H$9)=0),"",IF(A760="","",IF(ISERROR(AVERAGEIF(従業員の給与情報!$B:$B,$A760,従業員の給与情報!$E:$E)),0,IF(ISERROR(AVERAGEIF(従業員の給与情報!$B:$B,$A760,従業員の給与情報!$E:$E)),0,AVERAGEIF(従業員の給与情報!$B:$B,$A760,従業員の給与情報!$E:$E)))))</f>
        <v/>
      </c>
      <c r="W760" s="299" t="str">
        <f>IF(OR(入力シート!$C$5&lt;&gt;入力リスト!$C$3,COUNTIF(入力シート!$J$16:$S$23,入力リスト!$H$9)=0),"",IF(A760="","",IF(ISERROR(AVERAGEIF(従業員の給与情報!$B:$B,$A760,従業員の給与情報!$F:$F)),0,IF(ISERROR(AVERAGEIF(従業員の給与情報!$B:$B,$A760,従業員の給与情報!$F:$F)),0,AVERAGEIF(従業員の給与情報!$B:$B,$A760,従業員の給与情報!$F:$F)))))</f>
        <v/>
      </c>
      <c r="X760" s="581" t="s">
        <v>5499</v>
      </c>
    </row>
    <row r="761" spans="6:24">
      <c r="F761" s="297" t="str">
        <f>IF($G$1,"",IF(COUNTIF(A761:E761,"")=5,"",IF(G761,入力リスト!$K$28,IF(OR(A761="",B761="",IF(COUNTIF($C$3,"*不要*"),"",C761=""),D761=""),IF(A761="","従業員番号","")&amp;IF(B761="","「雇用形態」","")&amp;IF(OR(入力シート!$J$18=入力リスト!$H$9,入力シート!$J$22=入力リスト!$H$9),IF(C761="","「入社年月日」",""),"")&amp;IF(D761="","「性別」","")&amp;IF(IF(A761="","従業員番号","")&amp;IF(B761="","「雇用形態」","")&amp;IF(OR(入力シート!$J$18=入力リスト!$H$9,入力シート!$J$22=入力リスト!$H$9),IF(C761="","「入社年月日」",""),"")&amp;IF(D761="","「性別」","")="","",入力リスト!$K$29),IF(J761,入力リスト!$K$30,"")&amp;IF(I761,入力リスト!$K$31,"")&amp;IF(H761,"「雇用形態」","")&amp;IF(K761,"「性別」","")&amp;IF(L761,"「役職」","")&amp;IF(OR(H761,K761,L761),入力リスト!$K$32,"")))))</f>
        <v/>
      </c>
      <c r="G761" s="298" t="b">
        <f>COUNTIF($A$4:A760,$A761)&gt;0</f>
        <v>0</v>
      </c>
      <c r="H761" s="298" t="b">
        <f>IF($H$1,FALSE,COUNTIF(入力シート!$S$37:$V$62,B761)=0)</f>
        <v>0</v>
      </c>
      <c r="I761" s="298" t="b">
        <f t="shared" si="25"/>
        <v>0</v>
      </c>
      <c r="J761" s="298" t="b">
        <f>IF($J$1,FALSE,IF(I761=TRUE,FALSE,IF(I761,FALSE,C761&gt;入力シート!$J$24)))</f>
        <v>0</v>
      </c>
      <c r="K761" s="298" t="b">
        <f>IF($K$1,FALSE,COUNTIF(入力シート!$AW$37:$BB$38,D761)=0)</f>
        <v>0</v>
      </c>
      <c r="L761" s="298" t="b">
        <f>IF($L$1,FALSE,IF($L$3,FALSE,IF(E761="",FALSE,COUNTIF(入力シート!$AH$37:$AK$62,E761)=0)))</f>
        <v>0</v>
      </c>
      <c r="M761" s="298" t="str">
        <f t="shared" si="26"/>
        <v/>
      </c>
      <c r="N761" s="298" t="str">
        <f>IF(G761,"この従業員番号は、すでに他のセルで入力されています。",IF(入力シート!$C$5=入力リスト!$C$4,"",IF(AND(A761="",B761="",C761="",D761="",E761=""),"",IF(OR(A761="",B761="",C761="",D761=""),IF(A761="","従業員番号","")&amp;IF(AND(A761="",OR(B761="",C761="",D761="")),",","")&amp;IF(B761="","雇用形態","")&amp;IF(AND(B761="",OR(C761="",D761="")),",","")&amp;IF(OR(入力シート!$J$18=入力リスト!$H$9,入力シート!$J$22=入力リスト!$H$9),IF(C761="","入社年月日",""),"")&amp;IF(AND(C761="",D761=""),",","")&amp;IF(D761="","性別","")&amp;IF(IF(A761="","従業員番号","")&amp;IF(B761="","雇用形態","")&amp;IF(OR(入力シート!$J$18=入力リスト!$H$9,入力シート!$J$22=入力リスト!$H$9),IF(C761="","入社年月日",""),"")&amp;IF(D761="","性別","")="","","が空白です。"),IF(J761,"入社年月日に「基準日」の翌日以降の日付が入力されています。","")&amp;IF(I761,"入社年月日に数値以外（又は1900/1/1以前の日付）が入力されています。","")&amp;IF(H761,"雇用形態"&amp;IF(OR(K761,L761),",",""),"")&amp;IF(K761,"性別"&amp;IF(L761,",",""),"")&amp;IF(L761,"役職","")&amp;IF(OR(H761,K761,L761),"に、［入力シート］(4)「貴社」欄と異なる文言が入力されています。","")))))</f>
        <v/>
      </c>
      <c r="O761" s="298" t="str">
        <f>IF(B761="","",VLOOKUP('従業員情報(給与以外)'!$B761,入力シート!$S$37:$Z$62,5,0))</f>
        <v/>
      </c>
      <c r="P761" s="298" t="str">
        <f>IF(ISNUMBER(C761)=FALSE,"",IF(C761&gt;入力シート!$J$24,"",_xlfn.DAYS(入力シート!$J$24,'従業員情報(給与以外)'!$C761)/365))</f>
        <v/>
      </c>
      <c r="Q761" s="298" t="str">
        <f>IF(P761="","",VLOOKUP(_xlfn.DAYS(入力シート!$J$24,'従業員情報(給与以外)'!$C761)/365,入力リスト!$K$18:$L$26,2,2))</f>
        <v/>
      </c>
      <c r="R761" s="298" t="str">
        <f>IF(D761="","",VLOOKUP('従業員情報(給与以外)'!$D761,入力シート!$AW$37:$BB$38,4,0))</f>
        <v/>
      </c>
      <c r="S761" s="298" t="str">
        <f>IF(A761="","",IF(E761="","非役職",VLOOKUP('従業員情報(給与以外)'!$E761,入力シート!$AH$37:$AO$62,5,0)))</f>
        <v/>
      </c>
      <c r="T761" s="299" t="str">
        <f>IF(OR(入力シート!$C$5&lt;&gt;入力リスト!$C$3,COUNTIF(入力シート!$J$16:$S$23,入力リスト!$H$9)=0),"",IF($A761="","",IF(ISERROR(AVERAGEIF(従業員の給与情報!$B:$B,$A761,従業員の給与情報!$C:$C)),0,IF(ISERROR(AVERAGEIF(従業員の給与情報!$B:$B,$A761,従業員の給与情報!$C:$C)),0,AVERAGEIF(従業員の給与情報!$B:$B,$A761,従業員の給与情報!$C:$C)))))</f>
        <v/>
      </c>
      <c r="U761" s="299" t="str">
        <f>IF(OR(入力シート!$C$5&lt;&gt;入力リスト!$C$3,COUNTIF(入力シート!$J$16:$S$23,入力リスト!$H$9)=0),"",IF(A761="","",IF(ISERROR(AVERAGEIF(従業員の給与情報!$B:$B,$A761,従業員の給与情報!$D:$D)),0,IF(ISERROR(AVERAGEIF(従業員の給与情報!$B:$B,$A761,従業員の給与情報!$D:$D)),0,AVERAGEIF(従業員の給与情報!$B:$B,$A761,従業員の給与情報!$D:$D)))))</f>
        <v/>
      </c>
      <c r="V761" s="299" t="str">
        <f>IF(OR(入力シート!$C$5&lt;&gt;入力リスト!$C$3,COUNTIF(入力シート!$J$16:$S$23,入力リスト!$H$9)=0),"",IF(A761="","",IF(ISERROR(AVERAGEIF(従業員の給与情報!$B:$B,$A761,従業員の給与情報!$E:$E)),0,IF(ISERROR(AVERAGEIF(従業員の給与情報!$B:$B,$A761,従業員の給与情報!$E:$E)),0,AVERAGEIF(従業員の給与情報!$B:$B,$A761,従業員の給与情報!$E:$E)))))</f>
        <v/>
      </c>
      <c r="W761" s="299" t="str">
        <f>IF(OR(入力シート!$C$5&lt;&gt;入力リスト!$C$3,COUNTIF(入力シート!$J$16:$S$23,入力リスト!$H$9)=0),"",IF(A761="","",IF(ISERROR(AVERAGEIF(従業員の給与情報!$B:$B,$A761,従業員の給与情報!$F:$F)),0,IF(ISERROR(AVERAGEIF(従業員の給与情報!$B:$B,$A761,従業員の給与情報!$F:$F)),0,AVERAGEIF(従業員の給与情報!$B:$B,$A761,従業員の給与情報!$F:$F)))))</f>
        <v/>
      </c>
      <c r="X761" s="581" t="s">
        <v>5500</v>
      </c>
    </row>
    <row r="762" spans="6:24">
      <c r="F762" s="297" t="str">
        <f>IF($G$1,"",IF(COUNTIF(A762:E762,"")=5,"",IF(G762,入力リスト!$K$28,IF(OR(A762="",B762="",IF(COUNTIF($C$3,"*不要*"),"",C762=""),D762=""),IF(A762="","従業員番号","")&amp;IF(B762="","「雇用形態」","")&amp;IF(OR(入力シート!$J$18=入力リスト!$H$9,入力シート!$J$22=入力リスト!$H$9),IF(C762="","「入社年月日」",""),"")&amp;IF(D762="","「性別」","")&amp;IF(IF(A762="","従業員番号","")&amp;IF(B762="","「雇用形態」","")&amp;IF(OR(入力シート!$J$18=入力リスト!$H$9,入力シート!$J$22=入力リスト!$H$9),IF(C762="","「入社年月日」",""),"")&amp;IF(D762="","「性別」","")="","",入力リスト!$K$29),IF(J762,入力リスト!$K$30,"")&amp;IF(I762,入力リスト!$K$31,"")&amp;IF(H762,"「雇用形態」","")&amp;IF(K762,"「性別」","")&amp;IF(L762,"「役職」","")&amp;IF(OR(H762,K762,L762),入力リスト!$K$32,"")))))</f>
        <v/>
      </c>
      <c r="G762" s="298" t="b">
        <f>COUNTIF($A$4:A761,$A762)&gt;0</f>
        <v>0</v>
      </c>
      <c r="H762" s="298" t="b">
        <f>IF($H$1,FALSE,COUNTIF(入力シート!$S$37:$V$62,B762)=0)</f>
        <v>0</v>
      </c>
      <c r="I762" s="298" t="b">
        <f t="shared" si="25"/>
        <v>0</v>
      </c>
      <c r="J762" s="298" t="b">
        <f>IF($J$1,FALSE,IF(I762=TRUE,FALSE,IF(I762,FALSE,C762&gt;入力シート!$J$24)))</f>
        <v>0</v>
      </c>
      <c r="K762" s="298" t="b">
        <f>IF($K$1,FALSE,COUNTIF(入力シート!$AW$37:$BB$38,D762)=0)</f>
        <v>0</v>
      </c>
      <c r="L762" s="298" t="b">
        <f>IF($L$1,FALSE,IF($L$3,FALSE,IF(E762="",FALSE,COUNTIF(入力シート!$AH$37:$AK$62,E762)=0)))</f>
        <v>0</v>
      </c>
      <c r="M762" s="298" t="str">
        <f t="shared" si="26"/>
        <v/>
      </c>
      <c r="N762" s="298" t="str">
        <f>IF(G762,"この従業員番号は、すでに他のセルで入力されています。",IF(入力シート!$C$5=入力リスト!$C$4,"",IF(AND(A762="",B762="",C762="",D762="",E762=""),"",IF(OR(A762="",B762="",C762="",D762=""),IF(A762="","従業員番号","")&amp;IF(AND(A762="",OR(B762="",C762="",D762="")),",","")&amp;IF(B762="","雇用形態","")&amp;IF(AND(B762="",OR(C762="",D762="")),",","")&amp;IF(OR(入力シート!$J$18=入力リスト!$H$9,入力シート!$J$22=入力リスト!$H$9),IF(C762="","入社年月日",""),"")&amp;IF(AND(C762="",D762=""),",","")&amp;IF(D762="","性別","")&amp;IF(IF(A762="","従業員番号","")&amp;IF(B762="","雇用形態","")&amp;IF(OR(入力シート!$J$18=入力リスト!$H$9,入力シート!$J$22=入力リスト!$H$9),IF(C762="","入社年月日",""),"")&amp;IF(D762="","性別","")="","","が空白です。"),IF(J762,"入社年月日に「基準日」の翌日以降の日付が入力されています。","")&amp;IF(I762,"入社年月日に数値以外（又は1900/1/1以前の日付）が入力されています。","")&amp;IF(H762,"雇用形態"&amp;IF(OR(K762,L762),",",""),"")&amp;IF(K762,"性別"&amp;IF(L762,",",""),"")&amp;IF(L762,"役職","")&amp;IF(OR(H762,K762,L762),"に、［入力シート］(4)「貴社」欄と異なる文言が入力されています。","")))))</f>
        <v/>
      </c>
      <c r="O762" s="298" t="str">
        <f>IF(B762="","",VLOOKUP('従業員情報(給与以外)'!$B762,入力シート!$S$37:$Z$62,5,0))</f>
        <v/>
      </c>
      <c r="P762" s="298" t="str">
        <f>IF(ISNUMBER(C762)=FALSE,"",IF(C762&gt;入力シート!$J$24,"",_xlfn.DAYS(入力シート!$J$24,'従業員情報(給与以外)'!$C762)/365))</f>
        <v/>
      </c>
      <c r="Q762" s="298" t="str">
        <f>IF(P762="","",VLOOKUP(_xlfn.DAYS(入力シート!$J$24,'従業員情報(給与以外)'!$C762)/365,入力リスト!$K$18:$L$26,2,2))</f>
        <v/>
      </c>
      <c r="R762" s="298" t="str">
        <f>IF(D762="","",VLOOKUP('従業員情報(給与以外)'!$D762,入力シート!$AW$37:$BB$38,4,0))</f>
        <v/>
      </c>
      <c r="S762" s="298" t="str">
        <f>IF(A762="","",IF(E762="","非役職",VLOOKUP('従業員情報(給与以外)'!$E762,入力シート!$AH$37:$AO$62,5,0)))</f>
        <v/>
      </c>
      <c r="T762" s="299" t="str">
        <f>IF(OR(入力シート!$C$5&lt;&gt;入力リスト!$C$3,COUNTIF(入力シート!$J$16:$S$23,入力リスト!$H$9)=0),"",IF($A762="","",IF(ISERROR(AVERAGEIF(従業員の給与情報!$B:$B,$A762,従業員の給与情報!$C:$C)),0,IF(ISERROR(AVERAGEIF(従業員の給与情報!$B:$B,$A762,従業員の給与情報!$C:$C)),0,AVERAGEIF(従業員の給与情報!$B:$B,$A762,従業員の給与情報!$C:$C)))))</f>
        <v/>
      </c>
      <c r="U762" s="299" t="str">
        <f>IF(OR(入力シート!$C$5&lt;&gt;入力リスト!$C$3,COUNTIF(入力シート!$J$16:$S$23,入力リスト!$H$9)=0),"",IF(A762="","",IF(ISERROR(AVERAGEIF(従業員の給与情報!$B:$B,$A762,従業員の給与情報!$D:$D)),0,IF(ISERROR(AVERAGEIF(従業員の給与情報!$B:$B,$A762,従業員の給与情報!$D:$D)),0,AVERAGEIF(従業員の給与情報!$B:$B,$A762,従業員の給与情報!$D:$D)))))</f>
        <v/>
      </c>
      <c r="V762" s="299" t="str">
        <f>IF(OR(入力シート!$C$5&lt;&gt;入力リスト!$C$3,COUNTIF(入力シート!$J$16:$S$23,入力リスト!$H$9)=0),"",IF(A762="","",IF(ISERROR(AVERAGEIF(従業員の給与情報!$B:$B,$A762,従業員の給与情報!$E:$E)),0,IF(ISERROR(AVERAGEIF(従業員の給与情報!$B:$B,$A762,従業員の給与情報!$E:$E)),0,AVERAGEIF(従業員の給与情報!$B:$B,$A762,従業員の給与情報!$E:$E)))))</f>
        <v/>
      </c>
      <c r="W762" s="299" t="str">
        <f>IF(OR(入力シート!$C$5&lt;&gt;入力リスト!$C$3,COUNTIF(入力シート!$J$16:$S$23,入力リスト!$H$9)=0),"",IF(A762="","",IF(ISERROR(AVERAGEIF(従業員の給与情報!$B:$B,$A762,従業員の給与情報!$F:$F)),0,IF(ISERROR(AVERAGEIF(従業員の給与情報!$B:$B,$A762,従業員の給与情報!$F:$F)),0,AVERAGEIF(従業員の給与情報!$B:$B,$A762,従業員の給与情報!$F:$F)))))</f>
        <v/>
      </c>
      <c r="X762" s="581" t="s">
        <v>5501</v>
      </c>
    </row>
    <row r="763" spans="6:24">
      <c r="F763" s="297" t="str">
        <f>IF($G$1,"",IF(COUNTIF(A763:E763,"")=5,"",IF(G763,入力リスト!$K$28,IF(OR(A763="",B763="",IF(COUNTIF($C$3,"*不要*"),"",C763=""),D763=""),IF(A763="","従業員番号","")&amp;IF(B763="","「雇用形態」","")&amp;IF(OR(入力シート!$J$18=入力リスト!$H$9,入力シート!$J$22=入力リスト!$H$9),IF(C763="","「入社年月日」",""),"")&amp;IF(D763="","「性別」","")&amp;IF(IF(A763="","従業員番号","")&amp;IF(B763="","「雇用形態」","")&amp;IF(OR(入力シート!$J$18=入力リスト!$H$9,入力シート!$J$22=入力リスト!$H$9),IF(C763="","「入社年月日」",""),"")&amp;IF(D763="","「性別」","")="","",入力リスト!$K$29),IF(J763,入力リスト!$K$30,"")&amp;IF(I763,入力リスト!$K$31,"")&amp;IF(H763,"「雇用形態」","")&amp;IF(K763,"「性別」","")&amp;IF(L763,"「役職」","")&amp;IF(OR(H763,K763,L763),入力リスト!$K$32,"")))))</f>
        <v/>
      </c>
      <c r="G763" s="298" t="b">
        <f>COUNTIF($A$4:A762,$A763)&gt;0</f>
        <v>0</v>
      </c>
      <c r="H763" s="298" t="b">
        <f>IF($H$1,FALSE,COUNTIF(入力シート!$S$37:$V$62,B763)=0)</f>
        <v>0</v>
      </c>
      <c r="I763" s="298" t="b">
        <f t="shared" si="25"/>
        <v>0</v>
      </c>
      <c r="J763" s="298" t="b">
        <f>IF($J$1,FALSE,IF(I763=TRUE,FALSE,IF(I763,FALSE,C763&gt;入力シート!$J$24)))</f>
        <v>0</v>
      </c>
      <c r="K763" s="298" t="b">
        <f>IF($K$1,FALSE,COUNTIF(入力シート!$AW$37:$BB$38,D763)=0)</f>
        <v>0</v>
      </c>
      <c r="L763" s="298" t="b">
        <f>IF($L$1,FALSE,IF($L$3,FALSE,IF(E763="",FALSE,COUNTIF(入力シート!$AH$37:$AK$62,E763)=0)))</f>
        <v>0</v>
      </c>
      <c r="M763" s="298" t="str">
        <f t="shared" si="26"/>
        <v/>
      </c>
      <c r="N763" s="298" t="str">
        <f>IF(G763,"この従業員番号は、すでに他のセルで入力されています。",IF(入力シート!$C$5=入力リスト!$C$4,"",IF(AND(A763="",B763="",C763="",D763="",E763=""),"",IF(OR(A763="",B763="",C763="",D763=""),IF(A763="","従業員番号","")&amp;IF(AND(A763="",OR(B763="",C763="",D763="")),",","")&amp;IF(B763="","雇用形態","")&amp;IF(AND(B763="",OR(C763="",D763="")),",","")&amp;IF(OR(入力シート!$J$18=入力リスト!$H$9,入力シート!$J$22=入力リスト!$H$9),IF(C763="","入社年月日",""),"")&amp;IF(AND(C763="",D763=""),",","")&amp;IF(D763="","性別","")&amp;IF(IF(A763="","従業員番号","")&amp;IF(B763="","雇用形態","")&amp;IF(OR(入力シート!$J$18=入力リスト!$H$9,入力シート!$J$22=入力リスト!$H$9),IF(C763="","入社年月日",""),"")&amp;IF(D763="","性別","")="","","が空白です。"),IF(J763,"入社年月日に「基準日」の翌日以降の日付が入力されています。","")&amp;IF(I763,"入社年月日に数値以外（又は1900/1/1以前の日付）が入力されています。","")&amp;IF(H763,"雇用形態"&amp;IF(OR(K763,L763),",",""),"")&amp;IF(K763,"性別"&amp;IF(L763,",",""),"")&amp;IF(L763,"役職","")&amp;IF(OR(H763,K763,L763),"に、［入力シート］(4)「貴社」欄と異なる文言が入力されています。","")))))</f>
        <v/>
      </c>
      <c r="O763" s="298" t="str">
        <f>IF(B763="","",VLOOKUP('従業員情報(給与以外)'!$B763,入力シート!$S$37:$Z$62,5,0))</f>
        <v/>
      </c>
      <c r="P763" s="298" t="str">
        <f>IF(ISNUMBER(C763)=FALSE,"",IF(C763&gt;入力シート!$J$24,"",_xlfn.DAYS(入力シート!$J$24,'従業員情報(給与以外)'!$C763)/365))</f>
        <v/>
      </c>
      <c r="Q763" s="298" t="str">
        <f>IF(P763="","",VLOOKUP(_xlfn.DAYS(入力シート!$J$24,'従業員情報(給与以外)'!$C763)/365,入力リスト!$K$18:$L$26,2,2))</f>
        <v/>
      </c>
      <c r="R763" s="298" t="str">
        <f>IF(D763="","",VLOOKUP('従業員情報(給与以外)'!$D763,入力シート!$AW$37:$BB$38,4,0))</f>
        <v/>
      </c>
      <c r="S763" s="298" t="str">
        <f>IF(A763="","",IF(E763="","非役職",VLOOKUP('従業員情報(給与以外)'!$E763,入力シート!$AH$37:$AO$62,5,0)))</f>
        <v/>
      </c>
      <c r="T763" s="299" t="str">
        <f>IF(OR(入力シート!$C$5&lt;&gt;入力リスト!$C$3,COUNTIF(入力シート!$J$16:$S$23,入力リスト!$H$9)=0),"",IF($A763="","",IF(ISERROR(AVERAGEIF(従業員の給与情報!$B:$B,$A763,従業員の給与情報!$C:$C)),0,IF(ISERROR(AVERAGEIF(従業員の給与情報!$B:$B,$A763,従業員の給与情報!$C:$C)),0,AVERAGEIF(従業員の給与情報!$B:$B,$A763,従業員の給与情報!$C:$C)))))</f>
        <v/>
      </c>
      <c r="U763" s="299" t="str">
        <f>IF(OR(入力シート!$C$5&lt;&gt;入力リスト!$C$3,COUNTIF(入力シート!$J$16:$S$23,入力リスト!$H$9)=0),"",IF(A763="","",IF(ISERROR(AVERAGEIF(従業員の給与情報!$B:$B,$A763,従業員の給与情報!$D:$D)),0,IF(ISERROR(AVERAGEIF(従業員の給与情報!$B:$B,$A763,従業員の給与情報!$D:$D)),0,AVERAGEIF(従業員の給与情報!$B:$B,$A763,従業員の給与情報!$D:$D)))))</f>
        <v/>
      </c>
      <c r="V763" s="299" t="str">
        <f>IF(OR(入力シート!$C$5&lt;&gt;入力リスト!$C$3,COUNTIF(入力シート!$J$16:$S$23,入力リスト!$H$9)=0),"",IF(A763="","",IF(ISERROR(AVERAGEIF(従業員の給与情報!$B:$B,$A763,従業員の給与情報!$E:$E)),0,IF(ISERROR(AVERAGEIF(従業員の給与情報!$B:$B,$A763,従業員の給与情報!$E:$E)),0,AVERAGEIF(従業員の給与情報!$B:$B,$A763,従業員の給与情報!$E:$E)))))</f>
        <v/>
      </c>
      <c r="W763" s="299" t="str">
        <f>IF(OR(入力シート!$C$5&lt;&gt;入力リスト!$C$3,COUNTIF(入力シート!$J$16:$S$23,入力リスト!$H$9)=0),"",IF(A763="","",IF(ISERROR(AVERAGEIF(従業員の給与情報!$B:$B,$A763,従業員の給与情報!$F:$F)),0,IF(ISERROR(AVERAGEIF(従業員の給与情報!$B:$B,$A763,従業員の給与情報!$F:$F)),0,AVERAGEIF(従業員の給与情報!$B:$B,$A763,従業員の給与情報!$F:$F)))))</f>
        <v/>
      </c>
      <c r="X763" s="581" t="s">
        <v>5502</v>
      </c>
    </row>
    <row r="764" spans="6:24">
      <c r="F764" s="297" t="str">
        <f>IF($G$1,"",IF(COUNTIF(A764:E764,"")=5,"",IF(G764,入力リスト!$K$28,IF(OR(A764="",B764="",IF(COUNTIF($C$3,"*不要*"),"",C764=""),D764=""),IF(A764="","従業員番号","")&amp;IF(B764="","「雇用形態」","")&amp;IF(OR(入力シート!$J$18=入力リスト!$H$9,入力シート!$J$22=入力リスト!$H$9),IF(C764="","「入社年月日」",""),"")&amp;IF(D764="","「性別」","")&amp;IF(IF(A764="","従業員番号","")&amp;IF(B764="","「雇用形態」","")&amp;IF(OR(入力シート!$J$18=入力リスト!$H$9,入力シート!$J$22=入力リスト!$H$9),IF(C764="","「入社年月日」",""),"")&amp;IF(D764="","「性別」","")="","",入力リスト!$K$29),IF(J764,入力リスト!$K$30,"")&amp;IF(I764,入力リスト!$K$31,"")&amp;IF(H764,"「雇用形態」","")&amp;IF(K764,"「性別」","")&amp;IF(L764,"「役職」","")&amp;IF(OR(H764,K764,L764),入力リスト!$K$32,"")))))</f>
        <v/>
      </c>
      <c r="G764" s="298" t="b">
        <f>COUNTIF($A$4:A763,$A764)&gt;0</f>
        <v>0</v>
      </c>
      <c r="H764" s="298" t="b">
        <f>IF($H$1,FALSE,COUNTIF(入力シート!$S$37:$V$62,B764)=0)</f>
        <v>0</v>
      </c>
      <c r="I764" s="298" t="b">
        <f t="shared" si="25"/>
        <v>0</v>
      </c>
      <c r="J764" s="298" t="b">
        <f>IF($J$1,FALSE,IF(I764=TRUE,FALSE,IF(I764,FALSE,C764&gt;入力シート!$J$24)))</f>
        <v>0</v>
      </c>
      <c r="K764" s="298" t="b">
        <f>IF($K$1,FALSE,COUNTIF(入力シート!$AW$37:$BB$38,D764)=0)</f>
        <v>0</v>
      </c>
      <c r="L764" s="298" t="b">
        <f>IF($L$1,FALSE,IF($L$3,FALSE,IF(E764="",FALSE,COUNTIF(入力シート!$AH$37:$AK$62,E764)=0)))</f>
        <v>0</v>
      </c>
      <c r="M764" s="298" t="str">
        <f t="shared" si="26"/>
        <v/>
      </c>
      <c r="N764" s="298" t="str">
        <f>IF(G764,"この従業員番号は、すでに他のセルで入力されています。",IF(入力シート!$C$5=入力リスト!$C$4,"",IF(AND(A764="",B764="",C764="",D764="",E764=""),"",IF(OR(A764="",B764="",C764="",D764=""),IF(A764="","従業員番号","")&amp;IF(AND(A764="",OR(B764="",C764="",D764="")),",","")&amp;IF(B764="","雇用形態","")&amp;IF(AND(B764="",OR(C764="",D764="")),",","")&amp;IF(OR(入力シート!$J$18=入力リスト!$H$9,入力シート!$J$22=入力リスト!$H$9),IF(C764="","入社年月日",""),"")&amp;IF(AND(C764="",D764=""),",","")&amp;IF(D764="","性別","")&amp;IF(IF(A764="","従業員番号","")&amp;IF(B764="","雇用形態","")&amp;IF(OR(入力シート!$J$18=入力リスト!$H$9,入力シート!$J$22=入力リスト!$H$9),IF(C764="","入社年月日",""),"")&amp;IF(D764="","性別","")="","","が空白です。"),IF(J764,"入社年月日に「基準日」の翌日以降の日付が入力されています。","")&amp;IF(I764,"入社年月日に数値以外（又は1900/1/1以前の日付）が入力されています。","")&amp;IF(H764,"雇用形態"&amp;IF(OR(K764,L764),",",""),"")&amp;IF(K764,"性別"&amp;IF(L764,",",""),"")&amp;IF(L764,"役職","")&amp;IF(OR(H764,K764,L764),"に、［入力シート］(4)「貴社」欄と異なる文言が入力されています。","")))))</f>
        <v/>
      </c>
      <c r="O764" s="298" t="str">
        <f>IF(B764="","",VLOOKUP('従業員情報(給与以外)'!$B764,入力シート!$S$37:$Z$62,5,0))</f>
        <v/>
      </c>
      <c r="P764" s="298" t="str">
        <f>IF(ISNUMBER(C764)=FALSE,"",IF(C764&gt;入力シート!$J$24,"",_xlfn.DAYS(入力シート!$J$24,'従業員情報(給与以外)'!$C764)/365))</f>
        <v/>
      </c>
      <c r="Q764" s="298" t="str">
        <f>IF(P764="","",VLOOKUP(_xlfn.DAYS(入力シート!$J$24,'従業員情報(給与以外)'!$C764)/365,入力リスト!$K$18:$L$26,2,2))</f>
        <v/>
      </c>
      <c r="R764" s="298" t="str">
        <f>IF(D764="","",VLOOKUP('従業員情報(給与以外)'!$D764,入力シート!$AW$37:$BB$38,4,0))</f>
        <v/>
      </c>
      <c r="S764" s="298" t="str">
        <f>IF(A764="","",IF(E764="","非役職",VLOOKUP('従業員情報(給与以外)'!$E764,入力シート!$AH$37:$AO$62,5,0)))</f>
        <v/>
      </c>
      <c r="T764" s="299" t="str">
        <f>IF(OR(入力シート!$C$5&lt;&gt;入力リスト!$C$3,COUNTIF(入力シート!$J$16:$S$23,入力リスト!$H$9)=0),"",IF($A764="","",IF(ISERROR(AVERAGEIF(従業員の給与情報!$B:$B,$A764,従業員の給与情報!$C:$C)),0,IF(ISERROR(AVERAGEIF(従業員の給与情報!$B:$B,$A764,従業員の給与情報!$C:$C)),0,AVERAGEIF(従業員の給与情報!$B:$B,$A764,従業員の給与情報!$C:$C)))))</f>
        <v/>
      </c>
      <c r="U764" s="299" t="str">
        <f>IF(OR(入力シート!$C$5&lt;&gt;入力リスト!$C$3,COUNTIF(入力シート!$J$16:$S$23,入力リスト!$H$9)=0),"",IF(A764="","",IF(ISERROR(AVERAGEIF(従業員の給与情報!$B:$B,$A764,従業員の給与情報!$D:$D)),0,IF(ISERROR(AVERAGEIF(従業員の給与情報!$B:$B,$A764,従業員の給与情報!$D:$D)),0,AVERAGEIF(従業員の給与情報!$B:$B,$A764,従業員の給与情報!$D:$D)))))</f>
        <v/>
      </c>
      <c r="V764" s="299" t="str">
        <f>IF(OR(入力シート!$C$5&lt;&gt;入力リスト!$C$3,COUNTIF(入力シート!$J$16:$S$23,入力リスト!$H$9)=0),"",IF(A764="","",IF(ISERROR(AVERAGEIF(従業員の給与情報!$B:$B,$A764,従業員の給与情報!$E:$E)),0,IF(ISERROR(AVERAGEIF(従業員の給与情報!$B:$B,$A764,従業員の給与情報!$E:$E)),0,AVERAGEIF(従業員の給与情報!$B:$B,$A764,従業員の給与情報!$E:$E)))))</f>
        <v/>
      </c>
      <c r="W764" s="299" t="str">
        <f>IF(OR(入力シート!$C$5&lt;&gt;入力リスト!$C$3,COUNTIF(入力シート!$J$16:$S$23,入力リスト!$H$9)=0),"",IF(A764="","",IF(ISERROR(AVERAGEIF(従業員の給与情報!$B:$B,$A764,従業員の給与情報!$F:$F)),0,IF(ISERROR(AVERAGEIF(従業員の給与情報!$B:$B,$A764,従業員の給与情報!$F:$F)),0,AVERAGEIF(従業員の給与情報!$B:$B,$A764,従業員の給与情報!$F:$F)))))</f>
        <v/>
      </c>
      <c r="X764" s="581" t="s">
        <v>5503</v>
      </c>
    </row>
    <row r="765" spans="6:24">
      <c r="F765" s="297" t="str">
        <f>IF($G$1,"",IF(COUNTIF(A765:E765,"")=5,"",IF(G765,入力リスト!$K$28,IF(OR(A765="",B765="",IF(COUNTIF($C$3,"*不要*"),"",C765=""),D765=""),IF(A765="","従業員番号","")&amp;IF(B765="","「雇用形態」","")&amp;IF(OR(入力シート!$J$18=入力リスト!$H$9,入力シート!$J$22=入力リスト!$H$9),IF(C765="","「入社年月日」",""),"")&amp;IF(D765="","「性別」","")&amp;IF(IF(A765="","従業員番号","")&amp;IF(B765="","「雇用形態」","")&amp;IF(OR(入力シート!$J$18=入力リスト!$H$9,入力シート!$J$22=入力リスト!$H$9),IF(C765="","「入社年月日」",""),"")&amp;IF(D765="","「性別」","")="","",入力リスト!$K$29),IF(J765,入力リスト!$K$30,"")&amp;IF(I765,入力リスト!$K$31,"")&amp;IF(H765,"「雇用形態」","")&amp;IF(K765,"「性別」","")&amp;IF(L765,"「役職」","")&amp;IF(OR(H765,K765,L765),入力リスト!$K$32,"")))))</f>
        <v/>
      </c>
      <c r="G765" s="298" t="b">
        <f>COUNTIF($A$4:A764,$A765)&gt;0</f>
        <v>0</v>
      </c>
      <c r="H765" s="298" t="b">
        <f>IF($H$1,FALSE,COUNTIF(入力シート!$S$37:$V$62,B765)=0)</f>
        <v>0</v>
      </c>
      <c r="I765" s="298" t="b">
        <f t="shared" si="25"/>
        <v>0</v>
      </c>
      <c r="J765" s="298" t="b">
        <f>IF($J$1,FALSE,IF(I765=TRUE,FALSE,IF(I765,FALSE,C765&gt;入力シート!$J$24)))</f>
        <v>0</v>
      </c>
      <c r="K765" s="298" t="b">
        <f>IF($K$1,FALSE,COUNTIF(入力シート!$AW$37:$BB$38,D765)=0)</f>
        <v>0</v>
      </c>
      <c r="L765" s="298" t="b">
        <f>IF($L$1,FALSE,IF($L$3,FALSE,IF(E765="",FALSE,COUNTIF(入力シート!$AH$37:$AK$62,E765)=0)))</f>
        <v>0</v>
      </c>
      <c r="M765" s="298" t="str">
        <f t="shared" si="26"/>
        <v/>
      </c>
      <c r="N765" s="298" t="str">
        <f>IF(G765,"この従業員番号は、すでに他のセルで入力されています。",IF(入力シート!$C$5=入力リスト!$C$4,"",IF(AND(A765="",B765="",C765="",D765="",E765=""),"",IF(OR(A765="",B765="",C765="",D765=""),IF(A765="","従業員番号","")&amp;IF(AND(A765="",OR(B765="",C765="",D765="")),",","")&amp;IF(B765="","雇用形態","")&amp;IF(AND(B765="",OR(C765="",D765="")),",","")&amp;IF(OR(入力シート!$J$18=入力リスト!$H$9,入力シート!$J$22=入力リスト!$H$9),IF(C765="","入社年月日",""),"")&amp;IF(AND(C765="",D765=""),",","")&amp;IF(D765="","性別","")&amp;IF(IF(A765="","従業員番号","")&amp;IF(B765="","雇用形態","")&amp;IF(OR(入力シート!$J$18=入力リスト!$H$9,入力シート!$J$22=入力リスト!$H$9),IF(C765="","入社年月日",""),"")&amp;IF(D765="","性別","")="","","が空白です。"),IF(J765,"入社年月日に「基準日」の翌日以降の日付が入力されています。","")&amp;IF(I765,"入社年月日に数値以外（又は1900/1/1以前の日付）が入力されています。","")&amp;IF(H765,"雇用形態"&amp;IF(OR(K765,L765),",",""),"")&amp;IF(K765,"性別"&amp;IF(L765,",",""),"")&amp;IF(L765,"役職","")&amp;IF(OR(H765,K765,L765),"に、［入力シート］(4)「貴社」欄と異なる文言が入力されています。","")))))</f>
        <v/>
      </c>
      <c r="O765" s="298" t="str">
        <f>IF(B765="","",VLOOKUP('従業員情報(給与以外)'!$B765,入力シート!$S$37:$Z$62,5,0))</f>
        <v/>
      </c>
      <c r="P765" s="298" t="str">
        <f>IF(ISNUMBER(C765)=FALSE,"",IF(C765&gt;入力シート!$J$24,"",_xlfn.DAYS(入力シート!$J$24,'従業員情報(給与以外)'!$C765)/365))</f>
        <v/>
      </c>
      <c r="Q765" s="298" t="str">
        <f>IF(P765="","",VLOOKUP(_xlfn.DAYS(入力シート!$J$24,'従業員情報(給与以外)'!$C765)/365,入力リスト!$K$18:$L$26,2,2))</f>
        <v/>
      </c>
      <c r="R765" s="298" t="str">
        <f>IF(D765="","",VLOOKUP('従業員情報(給与以外)'!$D765,入力シート!$AW$37:$BB$38,4,0))</f>
        <v/>
      </c>
      <c r="S765" s="298" t="str">
        <f>IF(A765="","",IF(E765="","非役職",VLOOKUP('従業員情報(給与以外)'!$E765,入力シート!$AH$37:$AO$62,5,0)))</f>
        <v/>
      </c>
      <c r="T765" s="299" t="str">
        <f>IF(OR(入力シート!$C$5&lt;&gt;入力リスト!$C$3,COUNTIF(入力シート!$J$16:$S$23,入力リスト!$H$9)=0),"",IF($A765="","",IF(ISERROR(AVERAGEIF(従業員の給与情報!$B:$B,$A765,従業員の給与情報!$C:$C)),0,IF(ISERROR(AVERAGEIF(従業員の給与情報!$B:$B,$A765,従業員の給与情報!$C:$C)),0,AVERAGEIF(従業員の給与情報!$B:$B,$A765,従業員の給与情報!$C:$C)))))</f>
        <v/>
      </c>
      <c r="U765" s="299" t="str">
        <f>IF(OR(入力シート!$C$5&lt;&gt;入力リスト!$C$3,COUNTIF(入力シート!$J$16:$S$23,入力リスト!$H$9)=0),"",IF(A765="","",IF(ISERROR(AVERAGEIF(従業員の給与情報!$B:$B,$A765,従業員の給与情報!$D:$D)),0,IF(ISERROR(AVERAGEIF(従業員の給与情報!$B:$B,$A765,従業員の給与情報!$D:$D)),0,AVERAGEIF(従業員の給与情報!$B:$B,$A765,従業員の給与情報!$D:$D)))))</f>
        <v/>
      </c>
      <c r="V765" s="299" t="str">
        <f>IF(OR(入力シート!$C$5&lt;&gt;入力リスト!$C$3,COUNTIF(入力シート!$J$16:$S$23,入力リスト!$H$9)=0),"",IF(A765="","",IF(ISERROR(AVERAGEIF(従業員の給与情報!$B:$B,$A765,従業員の給与情報!$E:$E)),0,IF(ISERROR(AVERAGEIF(従業員の給与情報!$B:$B,$A765,従業員の給与情報!$E:$E)),0,AVERAGEIF(従業員の給与情報!$B:$B,$A765,従業員の給与情報!$E:$E)))))</f>
        <v/>
      </c>
      <c r="W765" s="299" t="str">
        <f>IF(OR(入力シート!$C$5&lt;&gt;入力リスト!$C$3,COUNTIF(入力シート!$J$16:$S$23,入力リスト!$H$9)=0),"",IF(A765="","",IF(ISERROR(AVERAGEIF(従業員の給与情報!$B:$B,$A765,従業員の給与情報!$F:$F)),0,IF(ISERROR(AVERAGEIF(従業員の給与情報!$B:$B,$A765,従業員の給与情報!$F:$F)),0,AVERAGEIF(従業員の給与情報!$B:$B,$A765,従業員の給与情報!$F:$F)))))</f>
        <v/>
      </c>
      <c r="X765" s="581" t="s">
        <v>5504</v>
      </c>
    </row>
    <row r="766" spans="6:24">
      <c r="F766" s="297" t="str">
        <f>IF($G$1,"",IF(COUNTIF(A766:E766,"")=5,"",IF(G766,入力リスト!$K$28,IF(OR(A766="",B766="",IF(COUNTIF($C$3,"*不要*"),"",C766=""),D766=""),IF(A766="","従業員番号","")&amp;IF(B766="","「雇用形態」","")&amp;IF(OR(入力シート!$J$18=入力リスト!$H$9,入力シート!$J$22=入力リスト!$H$9),IF(C766="","「入社年月日」",""),"")&amp;IF(D766="","「性別」","")&amp;IF(IF(A766="","従業員番号","")&amp;IF(B766="","「雇用形態」","")&amp;IF(OR(入力シート!$J$18=入力リスト!$H$9,入力シート!$J$22=入力リスト!$H$9),IF(C766="","「入社年月日」",""),"")&amp;IF(D766="","「性別」","")="","",入力リスト!$K$29),IF(J766,入力リスト!$K$30,"")&amp;IF(I766,入力リスト!$K$31,"")&amp;IF(H766,"「雇用形態」","")&amp;IF(K766,"「性別」","")&amp;IF(L766,"「役職」","")&amp;IF(OR(H766,K766,L766),入力リスト!$K$32,"")))))</f>
        <v/>
      </c>
      <c r="G766" s="298" t="b">
        <f>COUNTIF($A$4:A765,$A766)&gt;0</f>
        <v>0</v>
      </c>
      <c r="H766" s="298" t="b">
        <f>IF($H$1,FALSE,COUNTIF(入力シート!$S$37:$V$62,B766)=0)</f>
        <v>0</v>
      </c>
      <c r="I766" s="298" t="b">
        <f t="shared" si="25"/>
        <v>0</v>
      </c>
      <c r="J766" s="298" t="b">
        <f>IF($J$1,FALSE,IF(I766=TRUE,FALSE,IF(I766,FALSE,C766&gt;入力シート!$J$24)))</f>
        <v>0</v>
      </c>
      <c r="K766" s="298" t="b">
        <f>IF($K$1,FALSE,COUNTIF(入力シート!$AW$37:$BB$38,D766)=0)</f>
        <v>0</v>
      </c>
      <c r="L766" s="298" t="b">
        <f>IF($L$1,FALSE,IF($L$3,FALSE,IF(E766="",FALSE,COUNTIF(入力シート!$AH$37:$AK$62,E766)=0)))</f>
        <v>0</v>
      </c>
      <c r="M766" s="298" t="str">
        <f t="shared" si="26"/>
        <v/>
      </c>
      <c r="N766" s="298" t="str">
        <f>IF(G766,"この従業員番号は、すでに他のセルで入力されています。",IF(入力シート!$C$5=入力リスト!$C$4,"",IF(AND(A766="",B766="",C766="",D766="",E766=""),"",IF(OR(A766="",B766="",C766="",D766=""),IF(A766="","従業員番号","")&amp;IF(AND(A766="",OR(B766="",C766="",D766="")),",","")&amp;IF(B766="","雇用形態","")&amp;IF(AND(B766="",OR(C766="",D766="")),",","")&amp;IF(OR(入力シート!$J$18=入力リスト!$H$9,入力シート!$J$22=入力リスト!$H$9),IF(C766="","入社年月日",""),"")&amp;IF(AND(C766="",D766=""),",","")&amp;IF(D766="","性別","")&amp;IF(IF(A766="","従業員番号","")&amp;IF(B766="","雇用形態","")&amp;IF(OR(入力シート!$J$18=入力リスト!$H$9,入力シート!$J$22=入力リスト!$H$9),IF(C766="","入社年月日",""),"")&amp;IF(D766="","性別","")="","","が空白です。"),IF(J766,"入社年月日に「基準日」の翌日以降の日付が入力されています。","")&amp;IF(I766,"入社年月日に数値以外（又は1900/1/1以前の日付）が入力されています。","")&amp;IF(H766,"雇用形態"&amp;IF(OR(K766,L766),",",""),"")&amp;IF(K766,"性別"&amp;IF(L766,",",""),"")&amp;IF(L766,"役職","")&amp;IF(OR(H766,K766,L766),"に、［入力シート］(4)「貴社」欄と異なる文言が入力されています。","")))))</f>
        <v/>
      </c>
      <c r="O766" s="298" t="str">
        <f>IF(B766="","",VLOOKUP('従業員情報(給与以外)'!$B766,入力シート!$S$37:$Z$62,5,0))</f>
        <v/>
      </c>
      <c r="P766" s="298" t="str">
        <f>IF(ISNUMBER(C766)=FALSE,"",IF(C766&gt;入力シート!$J$24,"",_xlfn.DAYS(入力シート!$J$24,'従業員情報(給与以外)'!$C766)/365))</f>
        <v/>
      </c>
      <c r="Q766" s="298" t="str">
        <f>IF(P766="","",VLOOKUP(_xlfn.DAYS(入力シート!$J$24,'従業員情報(給与以外)'!$C766)/365,入力リスト!$K$18:$L$26,2,2))</f>
        <v/>
      </c>
      <c r="R766" s="298" t="str">
        <f>IF(D766="","",VLOOKUP('従業員情報(給与以外)'!$D766,入力シート!$AW$37:$BB$38,4,0))</f>
        <v/>
      </c>
      <c r="S766" s="298" t="str">
        <f>IF(A766="","",IF(E766="","非役職",VLOOKUP('従業員情報(給与以外)'!$E766,入力シート!$AH$37:$AO$62,5,0)))</f>
        <v/>
      </c>
      <c r="T766" s="299" t="str">
        <f>IF(OR(入力シート!$C$5&lt;&gt;入力リスト!$C$3,COUNTIF(入力シート!$J$16:$S$23,入力リスト!$H$9)=0),"",IF($A766="","",IF(ISERROR(AVERAGEIF(従業員の給与情報!$B:$B,$A766,従業員の給与情報!$C:$C)),0,IF(ISERROR(AVERAGEIF(従業員の給与情報!$B:$B,$A766,従業員の給与情報!$C:$C)),0,AVERAGEIF(従業員の給与情報!$B:$B,$A766,従業員の給与情報!$C:$C)))))</f>
        <v/>
      </c>
      <c r="U766" s="299" t="str">
        <f>IF(OR(入力シート!$C$5&lt;&gt;入力リスト!$C$3,COUNTIF(入力シート!$J$16:$S$23,入力リスト!$H$9)=0),"",IF(A766="","",IF(ISERROR(AVERAGEIF(従業員の給与情報!$B:$B,$A766,従業員の給与情報!$D:$D)),0,IF(ISERROR(AVERAGEIF(従業員の給与情報!$B:$B,$A766,従業員の給与情報!$D:$D)),0,AVERAGEIF(従業員の給与情報!$B:$B,$A766,従業員の給与情報!$D:$D)))))</f>
        <v/>
      </c>
      <c r="V766" s="299" t="str">
        <f>IF(OR(入力シート!$C$5&lt;&gt;入力リスト!$C$3,COUNTIF(入力シート!$J$16:$S$23,入力リスト!$H$9)=0),"",IF(A766="","",IF(ISERROR(AVERAGEIF(従業員の給与情報!$B:$B,$A766,従業員の給与情報!$E:$E)),0,IF(ISERROR(AVERAGEIF(従業員の給与情報!$B:$B,$A766,従業員の給与情報!$E:$E)),0,AVERAGEIF(従業員の給与情報!$B:$B,$A766,従業員の給与情報!$E:$E)))))</f>
        <v/>
      </c>
      <c r="W766" s="299" t="str">
        <f>IF(OR(入力シート!$C$5&lt;&gt;入力リスト!$C$3,COUNTIF(入力シート!$J$16:$S$23,入力リスト!$H$9)=0),"",IF(A766="","",IF(ISERROR(AVERAGEIF(従業員の給与情報!$B:$B,$A766,従業員の給与情報!$F:$F)),0,IF(ISERROR(AVERAGEIF(従業員の給与情報!$B:$B,$A766,従業員の給与情報!$F:$F)),0,AVERAGEIF(従業員の給与情報!$B:$B,$A766,従業員の給与情報!$F:$F)))))</f>
        <v/>
      </c>
      <c r="X766" s="581" t="s">
        <v>5505</v>
      </c>
    </row>
    <row r="767" spans="6:24">
      <c r="F767" s="297" t="str">
        <f>IF($G$1,"",IF(COUNTIF(A767:E767,"")=5,"",IF(G767,入力リスト!$K$28,IF(OR(A767="",B767="",IF(COUNTIF($C$3,"*不要*"),"",C767=""),D767=""),IF(A767="","従業員番号","")&amp;IF(B767="","「雇用形態」","")&amp;IF(OR(入力シート!$J$18=入力リスト!$H$9,入力シート!$J$22=入力リスト!$H$9),IF(C767="","「入社年月日」",""),"")&amp;IF(D767="","「性別」","")&amp;IF(IF(A767="","従業員番号","")&amp;IF(B767="","「雇用形態」","")&amp;IF(OR(入力シート!$J$18=入力リスト!$H$9,入力シート!$J$22=入力リスト!$H$9),IF(C767="","「入社年月日」",""),"")&amp;IF(D767="","「性別」","")="","",入力リスト!$K$29),IF(J767,入力リスト!$K$30,"")&amp;IF(I767,入力リスト!$K$31,"")&amp;IF(H767,"「雇用形態」","")&amp;IF(K767,"「性別」","")&amp;IF(L767,"「役職」","")&amp;IF(OR(H767,K767,L767),入力リスト!$K$32,"")))))</f>
        <v/>
      </c>
      <c r="G767" s="298" t="b">
        <f>COUNTIF($A$4:A766,$A767)&gt;0</f>
        <v>0</v>
      </c>
      <c r="H767" s="298" t="b">
        <f>IF($H$1,FALSE,COUNTIF(入力シート!$S$37:$V$62,B767)=0)</f>
        <v>0</v>
      </c>
      <c r="I767" s="298" t="b">
        <f t="shared" si="25"/>
        <v>0</v>
      </c>
      <c r="J767" s="298" t="b">
        <f>IF($J$1,FALSE,IF(I767=TRUE,FALSE,IF(I767,FALSE,C767&gt;入力シート!$J$24)))</f>
        <v>0</v>
      </c>
      <c r="K767" s="298" t="b">
        <f>IF($K$1,FALSE,COUNTIF(入力シート!$AW$37:$BB$38,D767)=0)</f>
        <v>0</v>
      </c>
      <c r="L767" s="298" t="b">
        <f>IF($L$1,FALSE,IF($L$3,FALSE,IF(E767="",FALSE,COUNTIF(入力シート!$AH$37:$AK$62,E767)=0)))</f>
        <v>0</v>
      </c>
      <c r="M767" s="298" t="str">
        <f t="shared" si="26"/>
        <v/>
      </c>
      <c r="N767" s="298" t="str">
        <f>IF(G767,"この従業員番号は、すでに他のセルで入力されています。",IF(入力シート!$C$5=入力リスト!$C$4,"",IF(AND(A767="",B767="",C767="",D767="",E767=""),"",IF(OR(A767="",B767="",C767="",D767=""),IF(A767="","従業員番号","")&amp;IF(AND(A767="",OR(B767="",C767="",D767="")),",","")&amp;IF(B767="","雇用形態","")&amp;IF(AND(B767="",OR(C767="",D767="")),",","")&amp;IF(OR(入力シート!$J$18=入力リスト!$H$9,入力シート!$J$22=入力リスト!$H$9),IF(C767="","入社年月日",""),"")&amp;IF(AND(C767="",D767=""),",","")&amp;IF(D767="","性別","")&amp;IF(IF(A767="","従業員番号","")&amp;IF(B767="","雇用形態","")&amp;IF(OR(入力シート!$J$18=入力リスト!$H$9,入力シート!$J$22=入力リスト!$H$9),IF(C767="","入社年月日",""),"")&amp;IF(D767="","性別","")="","","が空白です。"),IF(J767,"入社年月日に「基準日」の翌日以降の日付が入力されています。","")&amp;IF(I767,"入社年月日に数値以外（又は1900/1/1以前の日付）が入力されています。","")&amp;IF(H767,"雇用形態"&amp;IF(OR(K767,L767),",",""),"")&amp;IF(K767,"性別"&amp;IF(L767,",",""),"")&amp;IF(L767,"役職","")&amp;IF(OR(H767,K767,L767),"に、［入力シート］(4)「貴社」欄と異なる文言が入力されています。","")))))</f>
        <v/>
      </c>
      <c r="O767" s="298" t="str">
        <f>IF(B767="","",VLOOKUP('従業員情報(給与以外)'!$B767,入力シート!$S$37:$Z$62,5,0))</f>
        <v/>
      </c>
      <c r="P767" s="298" t="str">
        <f>IF(ISNUMBER(C767)=FALSE,"",IF(C767&gt;入力シート!$J$24,"",_xlfn.DAYS(入力シート!$J$24,'従業員情報(給与以外)'!$C767)/365))</f>
        <v/>
      </c>
      <c r="Q767" s="298" t="str">
        <f>IF(P767="","",VLOOKUP(_xlfn.DAYS(入力シート!$J$24,'従業員情報(給与以外)'!$C767)/365,入力リスト!$K$18:$L$26,2,2))</f>
        <v/>
      </c>
      <c r="R767" s="298" t="str">
        <f>IF(D767="","",VLOOKUP('従業員情報(給与以外)'!$D767,入力シート!$AW$37:$BB$38,4,0))</f>
        <v/>
      </c>
      <c r="S767" s="298" t="str">
        <f>IF(A767="","",IF(E767="","非役職",VLOOKUP('従業員情報(給与以外)'!$E767,入力シート!$AH$37:$AO$62,5,0)))</f>
        <v/>
      </c>
      <c r="T767" s="299" t="str">
        <f>IF(OR(入力シート!$C$5&lt;&gt;入力リスト!$C$3,COUNTIF(入力シート!$J$16:$S$23,入力リスト!$H$9)=0),"",IF($A767="","",IF(ISERROR(AVERAGEIF(従業員の給与情報!$B:$B,$A767,従業員の給与情報!$C:$C)),0,IF(ISERROR(AVERAGEIF(従業員の給与情報!$B:$B,$A767,従業員の給与情報!$C:$C)),0,AVERAGEIF(従業員の給与情報!$B:$B,$A767,従業員の給与情報!$C:$C)))))</f>
        <v/>
      </c>
      <c r="U767" s="299" t="str">
        <f>IF(OR(入力シート!$C$5&lt;&gt;入力リスト!$C$3,COUNTIF(入力シート!$J$16:$S$23,入力リスト!$H$9)=0),"",IF(A767="","",IF(ISERROR(AVERAGEIF(従業員の給与情報!$B:$B,$A767,従業員の給与情報!$D:$D)),0,IF(ISERROR(AVERAGEIF(従業員の給与情報!$B:$B,$A767,従業員の給与情報!$D:$D)),0,AVERAGEIF(従業員の給与情報!$B:$B,$A767,従業員の給与情報!$D:$D)))))</f>
        <v/>
      </c>
      <c r="V767" s="299" t="str">
        <f>IF(OR(入力シート!$C$5&lt;&gt;入力リスト!$C$3,COUNTIF(入力シート!$J$16:$S$23,入力リスト!$H$9)=0),"",IF(A767="","",IF(ISERROR(AVERAGEIF(従業員の給与情報!$B:$B,$A767,従業員の給与情報!$E:$E)),0,IF(ISERROR(AVERAGEIF(従業員の給与情報!$B:$B,$A767,従業員の給与情報!$E:$E)),0,AVERAGEIF(従業員の給与情報!$B:$B,$A767,従業員の給与情報!$E:$E)))))</f>
        <v/>
      </c>
      <c r="W767" s="299" t="str">
        <f>IF(OR(入力シート!$C$5&lt;&gt;入力リスト!$C$3,COUNTIF(入力シート!$J$16:$S$23,入力リスト!$H$9)=0),"",IF(A767="","",IF(ISERROR(AVERAGEIF(従業員の給与情報!$B:$B,$A767,従業員の給与情報!$F:$F)),0,IF(ISERROR(AVERAGEIF(従業員の給与情報!$B:$B,$A767,従業員の給与情報!$F:$F)),0,AVERAGEIF(従業員の給与情報!$B:$B,$A767,従業員の給与情報!$F:$F)))))</f>
        <v/>
      </c>
      <c r="X767" s="581" t="s">
        <v>5506</v>
      </c>
    </row>
    <row r="768" spans="6:24">
      <c r="F768" s="297" t="str">
        <f>IF($G$1,"",IF(COUNTIF(A768:E768,"")=5,"",IF(G768,入力リスト!$K$28,IF(OR(A768="",B768="",IF(COUNTIF($C$3,"*不要*"),"",C768=""),D768=""),IF(A768="","従業員番号","")&amp;IF(B768="","「雇用形態」","")&amp;IF(OR(入力シート!$J$18=入力リスト!$H$9,入力シート!$J$22=入力リスト!$H$9),IF(C768="","「入社年月日」",""),"")&amp;IF(D768="","「性別」","")&amp;IF(IF(A768="","従業員番号","")&amp;IF(B768="","「雇用形態」","")&amp;IF(OR(入力シート!$J$18=入力リスト!$H$9,入力シート!$J$22=入力リスト!$H$9),IF(C768="","「入社年月日」",""),"")&amp;IF(D768="","「性別」","")="","",入力リスト!$K$29),IF(J768,入力リスト!$K$30,"")&amp;IF(I768,入力リスト!$K$31,"")&amp;IF(H768,"「雇用形態」","")&amp;IF(K768,"「性別」","")&amp;IF(L768,"「役職」","")&amp;IF(OR(H768,K768,L768),入力リスト!$K$32,"")))))</f>
        <v/>
      </c>
      <c r="G768" s="298" t="b">
        <f>COUNTIF($A$4:A767,$A768)&gt;0</f>
        <v>0</v>
      </c>
      <c r="H768" s="298" t="b">
        <f>IF($H$1,FALSE,COUNTIF(入力シート!$S$37:$V$62,B768)=0)</f>
        <v>0</v>
      </c>
      <c r="I768" s="298" t="b">
        <f t="shared" si="25"/>
        <v>0</v>
      </c>
      <c r="J768" s="298" t="b">
        <f>IF($J$1,FALSE,IF(I768=TRUE,FALSE,IF(I768,FALSE,C768&gt;入力シート!$J$24)))</f>
        <v>0</v>
      </c>
      <c r="K768" s="298" t="b">
        <f>IF($K$1,FALSE,COUNTIF(入力シート!$AW$37:$BB$38,D768)=0)</f>
        <v>0</v>
      </c>
      <c r="L768" s="298" t="b">
        <f>IF($L$1,FALSE,IF($L$3,FALSE,IF(E768="",FALSE,COUNTIF(入力シート!$AH$37:$AK$62,E768)=0)))</f>
        <v>0</v>
      </c>
      <c r="M768" s="298" t="str">
        <f t="shared" si="26"/>
        <v/>
      </c>
      <c r="N768" s="298" t="str">
        <f>IF(G768,"この従業員番号は、すでに他のセルで入力されています。",IF(入力シート!$C$5=入力リスト!$C$4,"",IF(AND(A768="",B768="",C768="",D768="",E768=""),"",IF(OR(A768="",B768="",C768="",D768=""),IF(A768="","従業員番号","")&amp;IF(AND(A768="",OR(B768="",C768="",D768="")),",","")&amp;IF(B768="","雇用形態","")&amp;IF(AND(B768="",OR(C768="",D768="")),",","")&amp;IF(OR(入力シート!$J$18=入力リスト!$H$9,入力シート!$J$22=入力リスト!$H$9),IF(C768="","入社年月日",""),"")&amp;IF(AND(C768="",D768=""),",","")&amp;IF(D768="","性別","")&amp;IF(IF(A768="","従業員番号","")&amp;IF(B768="","雇用形態","")&amp;IF(OR(入力シート!$J$18=入力リスト!$H$9,入力シート!$J$22=入力リスト!$H$9),IF(C768="","入社年月日",""),"")&amp;IF(D768="","性別","")="","","が空白です。"),IF(J768,"入社年月日に「基準日」の翌日以降の日付が入力されています。","")&amp;IF(I768,"入社年月日に数値以外（又は1900/1/1以前の日付）が入力されています。","")&amp;IF(H768,"雇用形態"&amp;IF(OR(K768,L768),",",""),"")&amp;IF(K768,"性別"&amp;IF(L768,",",""),"")&amp;IF(L768,"役職","")&amp;IF(OR(H768,K768,L768),"に、［入力シート］(4)「貴社」欄と異なる文言が入力されています。","")))))</f>
        <v/>
      </c>
      <c r="O768" s="298" t="str">
        <f>IF(B768="","",VLOOKUP('従業員情報(給与以外)'!$B768,入力シート!$S$37:$Z$62,5,0))</f>
        <v/>
      </c>
      <c r="P768" s="298" t="str">
        <f>IF(ISNUMBER(C768)=FALSE,"",IF(C768&gt;入力シート!$J$24,"",_xlfn.DAYS(入力シート!$J$24,'従業員情報(給与以外)'!$C768)/365))</f>
        <v/>
      </c>
      <c r="Q768" s="298" t="str">
        <f>IF(P768="","",VLOOKUP(_xlfn.DAYS(入力シート!$J$24,'従業員情報(給与以外)'!$C768)/365,入力リスト!$K$18:$L$26,2,2))</f>
        <v/>
      </c>
      <c r="R768" s="298" t="str">
        <f>IF(D768="","",VLOOKUP('従業員情報(給与以外)'!$D768,入力シート!$AW$37:$BB$38,4,0))</f>
        <v/>
      </c>
      <c r="S768" s="298" t="str">
        <f>IF(A768="","",IF(E768="","非役職",VLOOKUP('従業員情報(給与以外)'!$E768,入力シート!$AH$37:$AO$62,5,0)))</f>
        <v/>
      </c>
      <c r="T768" s="299" t="str">
        <f>IF(OR(入力シート!$C$5&lt;&gt;入力リスト!$C$3,COUNTIF(入力シート!$J$16:$S$23,入力リスト!$H$9)=0),"",IF($A768="","",IF(ISERROR(AVERAGEIF(従業員の給与情報!$B:$B,$A768,従業員の給与情報!$C:$C)),0,IF(ISERROR(AVERAGEIF(従業員の給与情報!$B:$B,$A768,従業員の給与情報!$C:$C)),0,AVERAGEIF(従業員の給与情報!$B:$B,$A768,従業員の給与情報!$C:$C)))))</f>
        <v/>
      </c>
      <c r="U768" s="299" t="str">
        <f>IF(OR(入力シート!$C$5&lt;&gt;入力リスト!$C$3,COUNTIF(入力シート!$J$16:$S$23,入力リスト!$H$9)=0),"",IF(A768="","",IF(ISERROR(AVERAGEIF(従業員の給与情報!$B:$B,$A768,従業員の給与情報!$D:$D)),0,IF(ISERROR(AVERAGEIF(従業員の給与情報!$B:$B,$A768,従業員の給与情報!$D:$D)),0,AVERAGEIF(従業員の給与情報!$B:$B,$A768,従業員の給与情報!$D:$D)))))</f>
        <v/>
      </c>
      <c r="V768" s="299" t="str">
        <f>IF(OR(入力シート!$C$5&lt;&gt;入力リスト!$C$3,COUNTIF(入力シート!$J$16:$S$23,入力リスト!$H$9)=0),"",IF(A768="","",IF(ISERROR(AVERAGEIF(従業員の給与情報!$B:$B,$A768,従業員の給与情報!$E:$E)),0,IF(ISERROR(AVERAGEIF(従業員の給与情報!$B:$B,$A768,従業員の給与情報!$E:$E)),0,AVERAGEIF(従業員の給与情報!$B:$B,$A768,従業員の給与情報!$E:$E)))))</f>
        <v/>
      </c>
      <c r="W768" s="299" t="str">
        <f>IF(OR(入力シート!$C$5&lt;&gt;入力リスト!$C$3,COUNTIF(入力シート!$J$16:$S$23,入力リスト!$H$9)=0),"",IF(A768="","",IF(ISERROR(AVERAGEIF(従業員の給与情報!$B:$B,$A768,従業員の給与情報!$F:$F)),0,IF(ISERROR(AVERAGEIF(従業員の給与情報!$B:$B,$A768,従業員の給与情報!$F:$F)),0,AVERAGEIF(従業員の給与情報!$B:$B,$A768,従業員の給与情報!$F:$F)))))</f>
        <v/>
      </c>
      <c r="X768" s="581" t="s">
        <v>5507</v>
      </c>
    </row>
    <row r="769" spans="6:24">
      <c r="F769" s="297" t="str">
        <f>IF($G$1,"",IF(COUNTIF(A769:E769,"")=5,"",IF(G769,入力リスト!$K$28,IF(OR(A769="",B769="",IF(COUNTIF($C$3,"*不要*"),"",C769=""),D769=""),IF(A769="","従業員番号","")&amp;IF(B769="","「雇用形態」","")&amp;IF(OR(入力シート!$J$18=入力リスト!$H$9,入力シート!$J$22=入力リスト!$H$9),IF(C769="","「入社年月日」",""),"")&amp;IF(D769="","「性別」","")&amp;IF(IF(A769="","従業員番号","")&amp;IF(B769="","「雇用形態」","")&amp;IF(OR(入力シート!$J$18=入力リスト!$H$9,入力シート!$J$22=入力リスト!$H$9),IF(C769="","「入社年月日」",""),"")&amp;IF(D769="","「性別」","")="","",入力リスト!$K$29),IF(J769,入力リスト!$K$30,"")&amp;IF(I769,入力リスト!$K$31,"")&amp;IF(H769,"「雇用形態」","")&amp;IF(K769,"「性別」","")&amp;IF(L769,"「役職」","")&amp;IF(OR(H769,K769,L769),入力リスト!$K$32,"")))))</f>
        <v/>
      </c>
      <c r="G769" s="298" t="b">
        <f>COUNTIF($A$4:A768,$A769)&gt;0</f>
        <v>0</v>
      </c>
      <c r="H769" s="298" t="b">
        <f>IF($H$1,FALSE,COUNTIF(入力シート!$S$37:$V$62,B769)=0)</f>
        <v>0</v>
      </c>
      <c r="I769" s="298" t="b">
        <f t="shared" si="25"/>
        <v>0</v>
      </c>
      <c r="J769" s="298" t="b">
        <f>IF($J$1,FALSE,IF(I769=TRUE,FALSE,IF(I769,FALSE,C769&gt;入力シート!$J$24)))</f>
        <v>0</v>
      </c>
      <c r="K769" s="298" t="b">
        <f>IF($K$1,FALSE,COUNTIF(入力シート!$AW$37:$BB$38,D769)=0)</f>
        <v>0</v>
      </c>
      <c r="L769" s="298" t="b">
        <f>IF($L$1,FALSE,IF($L$3,FALSE,IF(E769="",FALSE,COUNTIF(入力シート!$AH$37:$AK$62,E769)=0)))</f>
        <v>0</v>
      </c>
      <c r="M769" s="298" t="str">
        <f t="shared" si="26"/>
        <v/>
      </c>
      <c r="N769" s="298" t="str">
        <f>IF(G769,"この従業員番号は、すでに他のセルで入力されています。",IF(入力シート!$C$5=入力リスト!$C$4,"",IF(AND(A769="",B769="",C769="",D769="",E769=""),"",IF(OR(A769="",B769="",C769="",D769=""),IF(A769="","従業員番号","")&amp;IF(AND(A769="",OR(B769="",C769="",D769="")),",","")&amp;IF(B769="","雇用形態","")&amp;IF(AND(B769="",OR(C769="",D769="")),",","")&amp;IF(OR(入力シート!$J$18=入力リスト!$H$9,入力シート!$J$22=入力リスト!$H$9),IF(C769="","入社年月日",""),"")&amp;IF(AND(C769="",D769=""),",","")&amp;IF(D769="","性別","")&amp;IF(IF(A769="","従業員番号","")&amp;IF(B769="","雇用形態","")&amp;IF(OR(入力シート!$J$18=入力リスト!$H$9,入力シート!$J$22=入力リスト!$H$9),IF(C769="","入社年月日",""),"")&amp;IF(D769="","性別","")="","","が空白です。"),IF(J769,"入社年月日に「基準日」の翌日以降の日付が入力されています。","")&amp;IF(I769,"入社年月日に数値以外（又は1900/1/1以前の日付）が入力されています。","")&amp;IF(H769,"雇用形態"&amp;IF(OR(K769,L769),",",""),"")&amp;IF(K769,"性別"&amp;IF(L769,",",""),"")&amp;IF(L769,"役職","")&amp;IF(OR(H769,K769,L769),"に、［入力シート］(4)「貴社」欄と異なる文言が入力されています。","")))))</f>
        <v/>
      </c>
      <c r="O769" s="298" t="str">
        <f>IF(B769="","",VLOOKUP('従業員情報(給与以外)'!$B769,入力シート!$S$37:$Z$62,5,0))</f>
        <v/>
      </c>
      <c r="P769" s="298" t="str">
        <f>IF(ISNUMBER(C769)=FALSE,"",IF(C769&gt;入力シート!$J$24,"",_xlfn.DAYS(入力シート!$J$24,'従業員情報(給与以外)'!$C769)/365))</f>
        <v/>
      </c>
      <c r="Q769" s="298" t="str">
        <f>IF(P769="","",VLOOKUP(_xlfn.DAYS(入力シート!$J$24,'従業員情報(給与以外)'!$C769)/365,入力リスト!$K$18:$L$26,2,2))</f>
        <v/>
      </c>
      <c r="R769" s="298" t="str">
        <f>IF(D769="","",VLOOKUP('従業員情報(給与以外)'!$D769,入力シート!$AW$37:$BB$38,4,0))</f>
        <v/>
      </c>
      <c r="S769" s="298" t="str">
        <f>IF(A769="","",IF(E769="","非役職",VLOOKUP('従業員情報(給与以外)'!$E769,入力シート!$AH$37:$AO$62,5,0)))</f>
        <v/>
      </c>
      <c r="T769" s="299" t="str">
        <f>IF(OR(入力シート!$C$5&lt;&gt;入力リスト!$C$3,COUNTIF(入力シート!$J$16:$S$23,入力リスト!$H$9)=0),"",IF($A769="","",IF(ISERROR(AVERAGEIF(従業員の給与情報!$B:$B,$A769,従業員の給与情報!$C:$C)),0,IF(ISERROR(AVERAGEIF(従業員の給与情報!$B:$B,$A769,従業員の給与情報!$C:$C)),0,AVERAGEIF(従業員の給与情報!$B:$B,$A769,従業員の給与情報!$C:$C)))))</f>
        <v/>
      </c>
      <c r="U769" s="299" t="str">
        <f>IF(OR(入力シート!$C$5&lt;&gt;入力リスト!$C$3,COUNTIF(入力シート!$J$16:$S$23,入力リスト!$H$9)=0),"",IF(A769="","",IF(ISERROR(AVERAGEIF(従業員の給与情報!$B:$B,$A769,従業員の給与情報!$D:$D)),0,IF(ISERROR(AVERAGEIF(従業員の給与情報!$B:$B,$A769,従業員の給与情報!$D:$D)),0,AVERAGEIF(従業員の給与情報!$B:$B,$A769,従業員の給与情報!$D:$D)))))</f>
        <v/>
      </c>
      <c r="V769" s="299" t="str">
        <f>IF(OR(入力シート!$C$5&lt;&gt;入力リスト!$C$3,COUNTIF(入力シート!$J$16:$S$23,入力リスト!$H$9)=0),"",IF(A769="","",IF(ISERROR(AVERAGEIF(従業員の給与情報!$B:$B,$A769,従業員の給与情報!$E:$E)),0,IF(ISERROR(AVERAGEIF(従業員の給与情報!$B:$B,$A769,従業員の給与情報!$E:$E)),0,AVERAGEIF(従業員の給与情報!$B:$B,$A769,従業員の給与情報!$E:$E)))))</f>
        <v/>
      </c>
      <c r="W769" s="299" t="str">
        <f>IF(OR(入力シート!$C$5&lt;&gt;入力リスト!$C$3,COUNTIF(入力シート!$J$16:$S$23,入力リスト!$H$9)=0),"",IF(A769="","",IF(ISERROR(AVERAGEIF(従業員の給与情報!$B:$B,$A769,従業員の給与情報!$F:$F)),0,IF(ISERROR(AVERAGEIF(従業員の給与情報!$B:$B,$A769,従業員の給与情報!$F:$F)),0,AVERAGEIF(従業員の給与情報!$B:$B,$A769,従業員の給与情報!$F:$F)))))</f>
        <v/>
      </c>
      <c r="X769" s="581" t="s">
        <v>5508</v>
      </c>
    </row>
    <row r="770" spans="6:24">
      <c r="F770" s="297" t="str">
        <f>IF($G$1,"",IF(COUNTIF(A770:E770,"")=5,"",IF(G770,入力リスト!$K$28,IF(OR(A770="",B770="",IF(COUNTIF($C$3,"*不要*"),"",C770=""),D770=""),IF(A770="","従業員番号","")&amp;IF(B770="","「雇用形態」","")&amp;IF(OR(入力シート!$J$18=入力リスト!$H$9,入力シート!$J$22=入力リスト!$H$9),IF(C770="","「入社年月日」",""),"")&amp;IF(D770="","「性別」","")&amp;IF(IF(A770="","従業員番号","")&amp;IF(B770="","「雇用形態」","")&amp;IF(OR(入力シート!$J$18=入力リスト!$H$9,入力シート!$J$22=入力リスト!$H$9),IF(C770="","「入社年月日」",""),"")&amp;IF(D770="","「性別」","")="","",入力リスト!$K$29),IF(J770,入力リスト!$K$30,"")&amp;IF(I770,入力リスト!$K$31,"")&amp;IF(H770,"「雇用形態」","")&amp;IF(K770,"「性別」","")&amp;IF(L770,"「役職」","")&amp;IF(OR(H770,K770,L770),入力リスト!$K$32,"")))))</f>
        <v/>
      </c>
      <c r="G770" s="298" t="b">
        <f>COUNTIF($A$4:A769,$A770)&gt;0</f>
        <v>0</v>
      </c>
      <c r="H770" s="298" t="b">
        <f>IF($H$1,FALSE,COUNTIF(入力シート!$S$37:$V$62,B770)=0)</f>
        <v>0</v>
      </c>
      <c r="I770" s="298" t="b">
        <f t="shared" si="25"/>
        <v>0</v>
      </c>
      <c r="J770" s="298" t="b">
        <f>IF($J$1,FALSE,IF(I770=TRUE,FALSE,IF(I770,FALSE,C770&gt;入力シート!$J$24)))</f>
        <v>0</v>
      </c>
      <c r="K770" s="298" t="b">
        <f>IF($K$1,FALSE,COUNTIF(入力シート!$AW$37:$BB$38,D770)=0)</f>
        <v>0</v>
      </c>
      <c r="L770" s="298" t="b">
        <f>IF($L$1,FALSE,IF($L$3,FALSE,IF(E770="",FALSE,COUNTIF(入力シート!$AH$37:$AK$62,E770)=0)))</f>
        <v>0</v>
      </c>
      <c r="M770" s="298" t="str">
        <f t="shared" si="26"/>
        <v/>
      </c>
      <c r="N770" s="298" t="str">
        <f>IF(G770,"この従業員番号は、すでに他のセルで入力されています。",IF(入力シート!$C$5=入力リスト!$C$4,"",IF(AND(A770="",B770="",C770="",D770="",E770=""),"",IF(OR(A770="",B770="",C770="",D770=""),IF(A770="","従業員番号","")&amp;IF(AND(A770="",OR(B770="",C770="",D770="")),",","")&amp;IF(B770="","雇用形態","")&amp;IF(AND(B770="",OR(C770="",D770="")),",","")&amp;IF(OR(入力シート!$J$18=入力リスト!$H$9,入力シート!$J$22=入力リスト!$H$9),IF(C770="","入社年月日",""),"")&amp;IF(AND(C770="",D770=""),",","")&amp;IF(D770="","性別","")&amp;IF(IF(A770="","従業員番号","")&amp;IF(B770="","雇用形態","")&amp;IF(OR(入力シート!$J$18=入力リスト!$H$9,入力シート!$J$22=入力リスト!$H$9),IF(C770="","入社年月日",""),"")&amp;IF(D770="","性別","")="","","が空白です。"),IF(J770,"入社年月日に「基準日」の翌日以降の日付が入力されています。","")&amp;IF(I770,"入社年月日に数値以外（又は1900/1/1以前の日付）が入力されています。","")&amp;IF(H770,"雇用形態"&amp;IF(OR(K770,L770),",",""),"")&amp;IF(K770,"性別"&amp;IF(L770,",",""),"")&amp;IF(L770,"役職","")&amp;IF(OR(H770,K770,L770),"に、［入力シート］(4)「貴社」欄と異なる文言が入力されています。","")))))</f>
        <v/>
      </c>
      <c r="O770" s="298" t="str">
        <f>IF(B770="","",VLOOKUP('従業員情報(給与以外)'!$B770,入力シート!$S$37:$Z$62,5,0))</f>
        <v/>
      </c>
      <c r="P770" s="298" t="str">
        <f>IF(ISNUMBER(C770)=FALSE,"",IF(C770&gt;入力シート!$J$24,"",_xlfn.DAYS(入力シート!$J$24,'従業員情報(給与以外)'!$C770)/365))</f>
        <v/>
      </c>
      <c r="Q770" s="298" t="str">
        <f>IF(P770="","",VLOOKUP(_xlfn.DAYS(入力シート!$J$24,'従業員情報(給与以外)'!$C770)/365,入力リスト!$K$18:$L$26,2,2))</f>
        <v/>
      </c>
      <c r="R770" s="298" t="str">
        <f>IF(D770="","",VLOOKUP('従業員情報(給与以外)'!$D770,入力シート!$AW$37:$BB$38,4,0))</f>
        <v/>
      </c>
      <c r="S770" s="298" t="str">
        <f>IF(A770="","",IF(E770="","非役職",VLOOKUP('従業員情報(給与以外)'!$E770,入力シート!$AH$37:$AO$62,5,0)))</f>
        <v/>
      </c>
      <c r="T770" s="299" t="str">
        <f>IF(OR(入力シート!$C$5&lt;&gt;入力リスト!$C$3,COUNTIF(入力シート!$J$16:$S$23,入力リスト!$H$9)=0),"",IF($A770="","",IF(ISERROR(AVERAGEIF(従業員の給与情報!$B:$B,$A770,従業員の給与情報!$C:$C)),0,IF(ISERROR(AVERAGEIF(従業員の給与情報!$B:$B,$A770,従業員の給与情報!$C:$C)),0,AVERAGEIF(従業員の給与情報!$B:$B,$A770,従業員の給与情報!$C:$C)))))</f>
        <v/>
      </c>
      <c r="U770" s="299" t="str">
        <f>IF(OR(入力シート!$C$5&lt;&gt;入力リスト!$C$3,COUNTIF(入力シート!$J$16:$S$23,入力リスト!$H$9)=0),"",IF(A770="","",IF(ISERROR(AVERAGEIF(従業員の給与情報!$B:$B,$A770,従業員の給与情報!$D:$D)),0,IF(ISERROR(AVERAGEIF(従業員の給与情報!$B:$B,$A770,従業員の給与情報!$D:$D)),0,AVERAGEIF(従業員の給与情報!$B:$B,$A770,従業員の給与情報!$D:$D)))))</f>
        <v/>
      </c>
      <c r="V770" s="299" t="str">
        <f>IF(OR(入力シート!$C$5&lt;&gt;入力リスト!$C$3,COUNTIF(入力シート!$J$16:$S$23,入力リスト!$H$9)=0),"",IF(A770="","",IF(ISERROR(AVERAGEIF(従業員の給与情報!$B:$B,$A770,従業員の給与情報!$E:$E)),0,IF(ISERROR(AVERAGEIF(従業員の給与情報!$B:$B,$A770,従業員の給与情報!$E:$E)),0,AVERAGEIF(従業員の給与情報!$B:$B,$A770,従業員の給与情報!$E:$E)))))</f>
        <v/>
      </c>
      <c r="W770" s="299" t="str">
        <f>IF(OR(入力シート!$C$5&lt;&gt;入力リスト!$C$3,COUNTIF(入力シート!$J$16:$S$23,入力リスト!$H$9)=0),"",IF(A770="","",IF(ISERROR(AVERAGEIF(従業員の給与情報!$B:$B,$A770,従業員の給与情報!$F:$F)),0,IF(ISERROR(AVERAGEIF(従業員の給与情報!$B:$B,$A770,従業員の給与情報!$F:$F)),0,AVERAGEIF(従業員の給与情報!$B:$B,$A770,従業員の給与情報!$F:$F)))))</f>
        <v/>
      </c>
      <c r="X770" s="581" t="s">
        <v>5509</v>
      </c>
    </row>
    <row r="771" spans="6:24">
      <c r="F771" s="297" t="str">
        <f>IF($G$1,"",IF(COUNTIF(A771:E771,"")=5,"",IF(G771,入力リスト!$K$28,IF(OR(A771="",B771="",IF(COUNTIF($C$3,"*不要*"),"",C771=""),D771=""),IF(A771="","従業員番号","")&amp;IF(B771="","「雇用形態」","")&amp;IF(OR(入力シート!$J$18=入力リスト!$H$9,入力シート!$J$22=入力リスト!$H$9),IF(C771="","「入社年月日」",""),"")&amp;IF(D771="","「性別」","")&amp;IF(IF(A771="","従業員番号","")&amp;IF(B771="","「雇用形態」","")&amp;IF(OR(入力シート!$J$18=入力リスト!$H$9,入力シート!$J$22=入力リスト!$H$9),IF(C771="","「入社年月日」",""),"")&amp;IF(D771="","「性別」","")="","",入力リスト!$K$29),IF(J771,入力リスト!$K$30,"")&amp;IF(I771,入力リスト!$K$31,"")&amp;IF(H771,"「雇用形態」","")&amp;IF(K771,"「性別」","")&amp;IF(L771,"「役職」","")&amp;IF(OR(H771,K771,L771),入力リスト!$K$32,"")))))</f>
        <v/>
      </c>
      <c r="G771" s="298" t="b">
        <f>COUNTIF($A$4:A770,$A771)&gt;0</f>
        <v>0</v>
      </c>
      <c r="H771" s="298" t="b">
        <f>IF($H$1,FALSE,COUNTIF(入力シート!$S$37:$V$62,B771)=0)</f>
        <v>0</v>
      </c>
      <c r="I771" s="298" t="b">
        <f t="shared" si="25"/>
        <v>0</v>
      </c>
      <c r="J771" s="298" t="b">
        <f>IF($J$1,FALSE,IF(I771=TRUE,FALSE,IF(I771,FALSE,C771&gt;入力シート!$J$24)))</f>
        <v>0</v>
      </c>
      <c r="K771" s="298" t="b">
        <f>IF($K$1,FALSE,COUNTIF(入力シート!$AW$37:$BB$38,D771)=0)</f>
        <v>0</v>
      </c>
      <c r="L771" s="298" t="b">
        <f>IF($L$1,FALSE,IF($L$3,FALSE,IF(E771="",FALSE,COUNTIF(入力シート!$AH$37:$AK$62,E771)=0)))</f>
        <v>0</v>
      </c>
      <c r="M771" s="298" t="str">
        <f t="shared" si="26"/>
        <v/>
      </c>
      <c r="N771" s="298" t="str">
        <f>IF(G771,"この従業員番号は、すでに他のセルで入力されています。",IF(入力シート!$C$5=入力リスト!$C$4,"",IF(AND(A771="",B771="",C771="",D771="",E771=""),"",IF(OR(A771="",B771="",C771="",D771=""),IF(A771="","従業員番号","")&amp;IF(AND(A771="",OR(B771="",C771="",D771="")),",","")&amp;IF(B771="","雇用形態","")&amp;IF(AND(B771="",OR(C771="",D771="")),",","")&amp;IF(OR(入力シート!$J$18=入力リスト!$H$9,入力シート!$J$22=入力リスト!$H$9),IF(C771="","入社年月日",""),"")&amp;IF(AND(C771="",D771=""),",","")&amp;IF(D771="","性別","")&amp;IF(IF(A771="","従業員番号","")&amp;IF(B771="","雇用形態","")&amp;IF(OR(入力シート!$J$18=入力リスト!$H$9,入力シート!$J$22=入力リスト!$H$9),IF(C771="","入社年月日",""),"")&amp;IF(D771="","性別","")="","","が空白です。"),IF(J771,"入社年月日に「基準日」の翌日以降の日付が入力されています。","")&amp;IF(I771,"入社年月日に数値以外（又は1900/1/1以前の日付）が入力されています。","")&amp;IF(H771,"雇用形態"&amp;IF(OR(K771,L771),",",""),"")&amp;IF(K771,"性別"&amp;IF(L771,",",""),"")&amp;IF(L771,"役職","")&amp;IF(OR(H771,K771,L771),"に、［入力シート］(4)「貴社」欄と異なる文言が入力されています。","")))))</f>
        <v/>
      </c>
      <c r="O771" s="298" t="str">
        <f>IF(B771="","",VLOOKUP('従業員情報(給与以外)'!$B771,入力シート!$S$37:$Z$62,5,0))</f>
        <v/>
      </c>
      <c r="P771" s="298" t="str">
        <f>IF(ISNUMBER(C771)=FALSE,"",IF(C771&gt;入力シート!$J$24,"",_xlfn.DAYS(入力シート!$J$24,'従業員情報(給与以外)'!$C771)/365))</f>
        <v/>
      </c>
      <c r="Q771" s="298" t="str">
        <f>IF(P771="","",VLOOKUP(_xlfn.DAYS(入力シート!$J$24,'従業員情報(給与以外)'!$C771)/365,入力リスト!$K$18:$L$26,2,2))</f>
        <v/>
      </c>
      <c r="R771" s="298" t="str">
        <f>IF(D771="","",VLOOKUP('従業員情報(給与以外)'!$D771,入力シート!$AW$37:$BB$38,4,0))</f>
        <v/>
      </c>
      <c r="S771" s="298" t="str">
        <f>IF(A771="","",IF(E771="","非役職",VLOOKUP('従業員情報(給与以外)'!$E771,入力シート!$AH$37:$AO$62,5,0)))</f>
        <v/>
      </c>
      <c r="T771" s="299" t="str">
        <f>IF(OR(入力シート!$C$5&lt;&gt;入力リスト!$C$3,COUNTIF(入力シート!$J$16:$S$23,入力リスト!$H$9)=0),"",IF($A771="","",IF(ISERROR(AVERAGEIF(従業員の給与情報!$B:$B,$A771,従業員の給与情報!$C:$C)),0,IF(ISERROR(AVERAGEIF(従業員の給与情報!$B:$B,$A771,従業員の給与情報!$C:$C)),0,AVERAGEIF(従業員の給与情報!$B:$B,$A771,従業員の給与情報!$C:$C)))))</f>
        <v/>
      </c>
      <c r="U771" s="299" t="str">
        <f>IF(OR(入力シート!$C$5&lt;&gt;入力リスト!$C$3,COUNTIF(入力シート!$J$16:$S$23,入力リスト!$H$9)=0),"",IF(A771="","",IF(ISERROR(AVERAGEIF(従業員の給与情報!$B:$B,$A771,従業員の給与情報!$D:$D)),0,IF(ISERROR(AVERAGEIF(従業員の給与情報!$B:$B,$A771,従業員の給与情報!$D:$D)),0,AVERAGEIF(従業員の給与情報!$B:$B,$A771,従業員の給与情報!$D:$D)))))</f>
        <v/>
      </c>
      <c r="V771" s="299" t="str">
        <f>IF(OR(入力シート!$C$5&lt;&gt;入力リスト!$C$3,COUNTIF(入力シート!$J$16:$S$23,入力リスト!$H$9)=0),"",IF(A771="","",IF(ISERROR(AVERAGEIF(従業員の給与情報!$B:$B,$A771,従業員の給与情報!$E:$E)),0,IF(ISERROR(AVERAGEIF(従業員の給与情報!$B:$B,$A771,従業員の給与情報!$E:$E)),0,AVERAGEIF(従業員の給与情報!$B:$B,$A771,従業員の給与情報!$E:$E)))))</f>
        <v/>
      </c>
      <c r="W771" s="299" t="str">
        <f>IF(OR(入力シート!$C$5&lt;&gt;入力リスト!$C$3,COUNTIF(入力シート!$J$16:$S$23,入力リスト!$H$9)=0),"",IF(A771="","",IF(ISERROR(AVERAGEIF(従業員の給与情報!$B:$B,$A771,従業員の給与情報!$F:$F)),0,IF(ISERROR(AVERAGEIF(従業員の給与情報!$B:$B,$A771,従業員の給与情報!$F:$F)),0,AVERAGEIF(従業員の給与情報!$B:$B,$A771,従業員の給与情報!$F:$F)))))</f>
        <v/>
      </c>
      <c r="X771" s="581" t="s">
        <v>5510</v>
      </c>
    </row>
    <row r="772" spans="6:24">
      <c r="F772" s="297" t="str">
        <f>IF($G$1,"",IF(COUNTIF(A772:E772,"")=5,"",IF(G772,入力リスト!$K$28,IF(OR(A772="",B772="",IF(COUNTIF($C$3,"*不要*"),"",C772=""),D772=""),IF(A772="","従業員番号","")&amp;IF(B772="","「雇用形態」","")&amp;IF(OR(入力シート!$J$18=入力リスト!$H$9,入力シート!$J$22=入力リスト!$H$9),IF(C772="","「入社年月日」",""),"")&amp;IF(D772="","「性別」","")&amp;IF(IF(A772="","従業員番号","")&amp;IF(B772="","「雇用形態」","")&amp;IF(OR(入力シート!$J$18=入力リスト!$H$9,入力シート!$J$22=入力リスト!$H$9),IF(C772="","「入社年月日」",""),"")&amp;IF(D772="","「性別」","")="","",入力リスト!$K$29),IF(J772,入力リスト!$K$30,"")&amp;IF(I772,入力リスト!$K$31,"")&amp;IF(H772,"「雇用形態」","")&amp;IF(K772,"「性別」","")&amp;IF(L772,"「役職」","")&amp;IF(OR(H772,K772,L772),入力リスト!$K$32,"")))))</f>
        <v/>
      </c>
      <c r="G772" s="298" t="b">
        <f>COUNTIF($A$4:A771,$A772)&gt;0</f>
        <v>0</v>
      </c>
      <c r="H772" s="298" t="b">
        <f>IF($H$1,FALSE,COUNTIF(入力シート!$S$37:$V$62,B772)=0)</f>
        <v>0</v>
      </c>
      <c r="I772" s="298" t="b">
        <f t="shared" si="25"/>
        <v>0</v>
      </c>
      <c r="J772" s="298" t="b">
        <f>IF($J$1,FALSE,IF(I772=TRUE,FALSE,IF(I772,FALSE,C772&gt;入力シート!$J$24)))</f>
        <v>0</v>
      </c>
      <c r="K772" s="298" t="b">
        <f>IF($K$1,FALSE,COUNTIF(入力シート!$AW$37:$BB$38,D772)=0)</f>
        <v>0</v>
      </c>
      <c r="L772" s="298" t="b">
        <f>IF($L$1,FALSE,IF($L$3,FALSE,IF(E772="",FALSE,COUNTIF(入力シート!$AH$37:$AK$62,E772)=0)))</f>
        <v>0</v>
      </c>
      <c r="M772" s="298" t="str">
        <f t="shared" si="26"/>
        <v/>
      </c>
      <c r="N772" s="298" t="str">
        <f>IF(G772,"この従業員番号は、すでに他のセルで入力されています。",IF(入力シート!$C$5=入力リスト!$C$4,"",IF(AND(A772="",B772="",C772="",D772="",E772=""),"",IF(OR(A772="",B772="",C772="",D772=""),IF(A772="","従業員番号","")&amp;IF(AND(A772="",OR(B772="",C772="",D772="")),",","")&amp;IF(B772="","雇用形態","")&amp;IF(AND(B772="",OR(C772="",D772="")),",","")&amp;IF(OR(入力シート!$J$18=入力リスト!$H$9,入力シート!$J$22=入力リスト!$H$9),IF(C772="","入社年月日",""),"")&amp;IF(AND(C772="",D772=""),",","")&amp;IF(D772="","性別","")&amp;IF(IF(A772="","従業員番号","")&amp;IF(B772="","雇用形態","")&amp;IF(OR(入力シート!$J$18=入力リスト!$H$9,入力シート!$J$22=入力リスト!$H$9),IF(C772="","入社年月日",""),"")&amp;IF(D772="","性別","")="","","が空白です。"),IF(J772,"入社年月日に「基準日」の翌日以降の日付が入力されています。","")&amp;IF(I772,"入社年月日に数値以外（又は1900/1/1以前の日付）が入力されています。","")&amp;IF(H772,"雇用形態"&amp;IF(OR(K772,L772),",",""),"")&amp;IF(K772,"性別"&amp;IF(L772,",",""),"")&amp;IF(L772,"役職","")&amp;IF(OR(H772,K772,L772),"に、［入力シート］(4)「貴社」欄と異なる文言が入力されています。","")))))</f>
        <v/>
      </c>
      <c r="O772" s="298" t="str">
        <f>IF(B772="","",VLOOKUP('従業員情報(給与以外)'!$B772,入力シート!$S$37:$Z$62,5,0))</f>
        <v/>
      </c>
      <c r="P772" s="298" t="str">
        <f>IF(ISNUMBER(C772)=FALSE,"",IF(C772&gt;入力シート!$J$24,"",_xlfn.DAYS(入力シート!$J$24,'従業員情報(給与以外)'!$C772)/365))</f>
        <v/>
      </c>
      <c r="Q772" s="298" t="str">
        <f>IF(P772="","",VLOOKUP(_xlfn.DAYS(入力シート!$J$24,'従業員情報(給与以外)'!$C772)/365,入力リスト!$K$18:$L$26,2,2))</f>
        <v/>
      </c>
      <c r="R772" s="298" t="str">
        <f>IF(D772="","",VLOOKUP('従業員情報(給与以外)'!$D772,入力シート!$AW$37:$BB$38,4,0))</f>
        <v/>
      </c>
      <c r="S772" s="298" t="str">
        <f>IF(A772="","",IF(E772="","非役職",VLOOKUP('従業員情報(給与以外)'!$E772,入力シート!$AH$37:$AO$62,5,0)))</f>
        <v/>
      </c>
      <c r="T772" s="299" t="str">
        <f>IF(OR(入力シート!$C$5&lt;&gt;入力リスト!$C$3,COUNTIF(入力シート!$J$16:$S$23,入力リスト!$H$9)=0),"",IF($A772="","",IF(ISERROR(AVERAGEIF(従業員の給与情報!$B:$B,$A772,従業員の給与情報!$C:$C)),0,IF(ISERROR(AVERAGEIF(従業員の給与情報!$B:$B,$A772,従業員の給与情報!$C:$C)),0,AVERAGEIF(従業員の給与情報!$B:$B,$A772,従業員の給与情報!$C:$C)))))</f>
        <v/>
      </c>
      <c r="U772" s="299" t="str">
        <f>IF(OR(入力シート!$C$5&lt;&gt;入力リスト!$C$3,COUNTIF(入力シート!$J$16:$S$23,入力リスト!$H$9)=0),"",IF(A772="","",IF(ISERROR(AVERAGEIF(従業員の給与情報!$B:$B,$A772,従業員の給与情報!$D:$D)),0,IF(ISERROR(AVERAGEIF(従業員の給与情報!$B:$B,$A772,従業員の給与情報!$D:$D)),0,AVERAGEIF(従業員の給与情報!$B:$B,$A772,従業員の給与情報!$D:$D)))))</f>
        <v/>
      </c>
      <c r="V772" s="299" t="str">
        <f>IF(OR(入力シート!$C$5&lt;&gt;入力リスト!$C$3,COUNTIF(入力シート!$J$16:$S$23,入力リスト!$H$9)=0),"",IF(A772="","",IF(ISERROR(AVERAGEIF(従業員の給与情報!$B:$B,$A772,従業員の給与情報!$E:$E)),0,IF(ISERROR(AVERAGEIF(従業員の給与情報!$B:$B,$A772,従業員の給与情報!$E:$E)),0,AVERAGEIF(従業員の給与情報!$B:$B,$A772,従業員の給与情報!$E:$E)))))</f>
        <v/>
      </c>
      <c r="W772" s="299" t="str">
        <f>IF(OR(入力シート!$C$5&lt;&gt;入力リスト!$C$3,COUNTIF(入力シート!$J$16:$S$23,入力リスト!$H$9)=0),"",IF(A772="","",IF(ISERROR(AVERAGEIF(従業員の給与情報!$B:$B,$A772,従業員の給与情報!$F:$F)),0,IF(ISERROR(AVERAGEIF(従業員の給与情報!$B:$B,$A772,従業員の給与情報!$F:$F)),0,AVERAGEIF(従業員の給与情報!$B:$B,$A772,従業員の給与情報!$F:$F)))))</f>
        <v/>
      </c>
      <c r="X772" s="581" t="s">
        <v>5511</v>
      </c>
    </row>
    <row r="773" spans="6:24">
      <c r="F773" s="297" t="str">
        <f>IF($G$1,"",IF(COUNTIF(A773:E773,"")=5,"",IF(G773,入力リスト!$K$28,IF(OR(A773="",B773="",IF(COUNTIF($C$3,"*不要*"),"",C773=""),D773=""),IF(A773="","従業員番号","")&amp;IF(B773="","「雇用形態」","")&amp;IF(OR(入力シート!$J$18=入力リスト!$H$9,入力シート!$J$22=入力リスト!$H$9),IF(C773="","「入社年月日」",""),"")&amp;IF(D773="","「性別」","")&amp;IF(IF(A773="","従業員番号","")&amp;IF(B773="","「雇用形態」","")&amp;IF(OR(入力シート!$J$18=入力リスト!$H$9,入力シート!$J$22=入力リスト!$H$9),IF(C773="","「入社年月日」",""),"")&amp;IF(D773="","「性別」","")="","",入力リスト!$K$29),IF(J773,入力リスト!$K$30,"")&amp;IF(I773,入力リスト!$K$31,"")&amp;IF(H773,"「雇用形態」","")&amp;IF(K773,"「性別」","")&amp;IF(L773,"「役職」","")&amp;IF(OR(H773,K773,L773),入力リスト!$K$32,"")))))</f>
        <v/>
      </c>
      <c r="G773" s="298" t="b">
        <f>COUNTIF($A$4:A772,$A773)&gt;0</f>
        <v>0</v>
      </c>
      <c r="H773" s="298" t="b">
        <f>IF($H$1,FALSE,COUNTIF(入力シート!$S$37:$V$62,B773)=0)</f>
        <v>0</v>
      </c>
      <c r="I773" s="298" t="b">
        <f t="shared" si="25"/>
        <v>0</v>
      </c>
      <c r="J773" s="298" t="b">
        <f>IF($J$1,FALSE,IF(I773=TRUE,FALSE,IF(I773,FALSE,C773&gt;入力シート!$J$24)))</f>
        <v>0</v>
      </c>
      <c r="K773" s="298" t="b">
        <f>IF($K$1,FALSE,COUNTIF(入力シート!$AW$37:$BB$38,D773)=0)</f>
        <v>0</v>
      </c>
      <c r="L773" s="298" t="b">
        <f>IF($L$1,FALSE,IF($L$3,FALSE,IF(E773="",FALSE,COUNTIF(入力シート!$AH$37:$AK$62,E773)=0)))</f>
        <v>0</v>
      </c>
      <c r="M773" s="298" t="str">
        <f t="shared" si="26"/>
        <v/>
      </c>
      <c r="N773" s="298" t="str">
        <f>IF(G773,"この従業員番号は、すでに他のセルで入力されています。",IF(入力シート!$C$5=入力リスト!$C$4,"",IF(AND(A773="",B773="",C773="",D773="",E773=""),"",IF(OR(A773="",B773="",C773="",D773=""),IF(A773="","従業員番号","")&amp;IF(AND(A773="",OR(B773="",C773="",D773="")),",","")&amp;IF(B773="","雇用形態","")&amp;IF(AND(B773="",OR(C773="",D773="")),",","")&amp;IF(OR(入力シート!$J$18=入力リスト!$H$9,入力シート!$J$22=入力リスト!$H$9),IF(C773="","入社年月日",""),"")&amp;IF(AND(C773="",D773=""),",","")&amp;IF(D773="","性別","")&amp;IF(IF(A773="","従業員番号","")&amp;IF(B773="","雇用形態","")&amp;IF(OR(入力シート!$J$18=入力リスト!$H$9,入力シート!$J$22=入力リスト!$H$9),IF(C773="","入社年月日",""),"")&amp;IF(D773="","性別","")="","","が空白です。"),IF(J773,"入社年月日に「基準日」の翌日以降の日付が入力されています。","")&amp;IF(I773,"入社年月日に数値以外（又は1900/1/1以前の日付）が入力されています。","")&amp;IF(H773,"雇用形態"&amp;IF(OR(K773,L773),",",""),"")&amp;IF(K773,"性別"&amp;IF(L773,",",""),"")&amp;IF(L773,"役職","")&amp;IF(OR(H773,K773,L773),"に、［入力シート］(4)「貴社」欄と異なる文言が入力されています。","")))))</f>
        <v/>
      </c>
      <c r="O773" s="298" t="str">
        <f>IF(B773="","",VLOOKUP('従業員情報(給与以外)'!$B773,入力シート!$S$37:$Z$62,5,0))</f>
        <v/>
      </c>
      <c r="P773" s="298" t="str">
        <f>IF(ISNUMBER(C773)=FALSE,"",IF(C773&gt;入力シート!$J$24,"",_xlfn.DAYS(入力シート!$J$24,'従業員情報(給与以外)'!$C773)/365))</f>
        <v/>
      </c>
      <c r="Q773" s="298" t="str">
        <f>IF(P773="","",VLOOKUP(_xlfn.DAYS(入力シート!$J$24,'従業員情報(給与以外)'!$C773)/365,入力リスト!$K$18:$L$26,2,2))</f>
        <v/>
      </c>
      <c r="R773" s="298" t="str">
        <f>IF(D773="","",VLOOKUP('従業員情報(給与以外)'!$D773,入力シート!$AW$37:$BB$38,4,0))</f>
        <v/>
      </c>
      <c r="S773" s="298" t="str">
        <f>IF(A773="","",IF(E773="","非役職",VLOOKUP('従業員情報(給与以外)'!$E773,入力シート!$AH$37:$AO$62,5,0)))</f>
        <v/>
      </c>
      <c r="T773" s="299" t="str">
        <f>IF(OR(入力シート!$C$5&lt;&gt;入力リスト!$C$3,COUNTIF(入力シート!$J$16:$S$23,入力リスト!$H$9)=0),"",IF($A773="","",IF(ISERROR(AVERAGEIF(従業員の給与情報!$B:$B,$A773,従業員の給与情報!$C:$C)),0,IF(ISERROR(AVERAGEIF(従業員の給与情報!$B:$B,$A773,従業員の給与情報!$C:$C)),0,AVERAGEIF(従業員の給与情報!$B:$B,$A773,従業員の給与情報!$C:$C)))))</f>
        <v/>
      </c>
      <c r="U773" s="299" t="str">
        <f>IF(OR(入力シート!$C$5&lt;&gt;入力リスト!$C$3,COUNTIF(入力シート!$J$16:$S$23,入力リスト!$H$9)=0),"",IF(A773="","",IF(ISERROR(AVERAGEIF(従業員の給与情報!$B:$B,$A773,従業員の給与情報!$D:$D)),0,IF(ISERROR(AVERAGEIF(従業員の給与情報!$B:$B,$A773,従業員の給与情報!$D:$D)),0,AVERAGEIF(従業員の給与情報!$B:$B,$A773,従業員の給与情報!$D:$D)))))</f>
        <v/>
      </c>
      <c r="V773" s="299" t="str">
        <f>IF(OR(入力シート!$C$5&lt;&gt;入力リスト!$C$3,COUNTIF(入力シート!$J$16:$S$23,入力リスト!$H$9)=0),"",IF(A773="","",IF(ISERROR(AVERAGEIF(従業員の給与情報!$B:$B,$A773,従業員の給与情報!$E:$E)),0,IF(ISERROR(AVERAGEIF(従業員の給与情報!$B:$B,$A773,従業員の給与情報!$E:$E)),0,AVERAGEIF(従業員の給与情報!$B:$B,$A773,従業員の給与情報!$E:$E)))))</f>
        <v/>
      </c>
      <c r="W773" s="299" t="str">
        <f>IF(OR(入力シート!$C$5&lt;&gt;入力リスト!$C$3,COUNTIF(入力シート!$J$16:$S$23,入力リスト!$H$9)=0),"",IF(A773="","",IF(ISERROR(AVERAGEIF(従業員の給与情報!$B:$B,$A773,従業員の給与情報!$F:$F)),0,IF(ISERROR(AVERAGEIF(従業員の給与情報!$B:$B,$A773,従業員の給与情報!$F:$F)),0,AVERAGEIF(従業員の給与情報!$B:$B,$A773,従業員の給与情報!$F:$F)))))</f>
        <v/>
      </c>
      <c r="X773" s="581" t="s">
        <v>5512</v>
      </c>
    </row>
    <row r="774" spans="6:24">
      <c r="F774" s="297" t="str">
        <f>IF($G$1,"",IF(COUNTIF(A774:E774,"")=5,"",IF(G774,入力リスト!$K$28,IF(OR(A774="",B774="",IF(COUNTIF($C$3,"*不要*"),"",C774=""),D774=""),IF(A774="","従業員番号","")&amp;IF(B774="","「雇用形態」","")&amp;IF(OR(入力シート!$J$18=入力リスト!$H$9,入力シート!$J$22=入力リスト!$H$9),IF(C774="","「入社年月日」",""),"")&amp;IF(D774="","「性別」","")&amp;IF(IF(A774="","従業員番号","")&amp;IF(B774="","「雇用形態」","")&amp;IF(OR(入力シート!$J$18=入力リスト!$H$9,入力シート!$J$22=入力リスト!$H$9),IF(C774="","「入社年月日」",""),"")&amp;IF(D774="","「性別」","")="","",入力リスト!$K$29),IF(J774,入力リスト!$K$30,"")&amp;IF(I774,入力リスト!$K$31,"")&amp;IF(H774,"「雇用形態」","")&amp;IF(K774,"「性別」","")&amp;IF(L774,"「役職」","")&amp;IF(OR(H774,K774,L774),入力リスト!$K$32,"")))))</f>
        <v/>
      </c>
      <c r="G774" s="298" t="b">
        <f>COUNTIF($A$4:A773,$A774)&gt;0</f>
        <v>0</v>
      </c>
      <c r="H774" s="298" t="b">
        <f>IF($H$1,FALSE,COUNTIF(入力シート!$S$37:$V$62,B774)=0)</f>
        <v>0</v>
      </c>
      <c r="I774" s="298" t="b">
        <f t="shared" si="25"/>
        <v>0</v>
      </c>
      <c r="J774" s="298" t="b">
        <f>IF($J$1,FALSE,IF(I774=TRUE,FALSE,IF(I774,FALSE,C774&gt;入力シート!$J$24)))</f>
        <v>0</v>
      </c>
      <c r="K774" s="298" t="b">
        <f>IF($K$1,FALSE,COUNTIF(入力シート!$AW$37:$BB$38,D774)=0)</f>
        <v>0</v>
      </c>
      <c r="L774" s="298" t="b">
        <f>IF($L$1,FALSE,IF($L$3,FALSE,IF(E774="",FALSE,COUNTIF(入力シート!$AH$37:$AK$62,E774)=0)))</f>
        <v>0</v>
      </c>
      <c r="M774" s="298" t="str">
        <f t="shared" si="26"/>
        <v/>
      </c>
      <c r="N774" s="298" t="str">
        <f>IF(G774,"この従業員番号は、すでに他のセルで入力されています。",IF(入力シート!$C$5=入力リスト!$C$4,"",IF(AND(A774="",B774="",C774="",D774="",E774=""),"",IF(OR(A774="",B774="",C774="",D774=""),IF(A774="","従業員番号","")&amp;IF(AND(A774="",OR(B774="",C774="",D774="")),",","")&amp;IF(B774="","雇用形態","")&amp;IF(AND(B774="",OR(C774="",D774="")),",","")&amp;IF(OR(入力シート!$J$18=入力リスト!$H$9,入力シート!$J$22=入力リスト!$H$9),IF(C774="","入社年月日",""),"")&amp;IF(AND(C774="",D774=""),",","")&amp;IF(D774="","性別","")&amp;IF(IF(A774="","従業員番号","")&amp;IF(B774="","雇用形態","")&amp;IF(OR(入力シート!$J$18=入力リスト!$H$9,入力シート!$J$22=入力リスト!$H$9),IF(C774="","入社年月日",""),"")&amp;IF(D774="","性別","")="","","が空白です。"),IF(J774,"入社年月日に「基準日」の翌日以降の日付が入力されています。","")&amp;IF(I774,"入社年月日に数値以外（又は1900/1/1以前の日付）が入力されています。","")&amp;IF(H774,"雇用形態"&amp;IF(OR(K774,L774),",",""),"")&amp;IF(K774,"性別"&amp;IF(L774,",",""),"")&amp;IF(L774,"役職","")&amp;IF(OR(H774,K774,L774),"に、［入力シート］(4)「貴社」欄と異なる文言が入力されています。","")))))</f>
        <v/>
      </c>
      <c r="O774" s="298" t="str">
        <f>IF(B774="","",VLOOKUP('従業員情報(給与以外)'!$B774,入力シート!$S$37:$Z$62,5,0))</f>
        <v/>
      </c>
      <c r="P774" s="298" t="str">
        <f>IF(ISNUMBER(C774)=FALSE,"",IF(C774&gt;入力シート!$J$24,"",_xlfn.DAYS(入力シート!$J$24,'従業員情報(給与以外)'!$C774)/365))</f>
        <v/>
      </c>
      <c r="Q774" s="298" t="str">
        <f>IF(P774="","",VLOOKUP(_xlfn.DAYS(入力シート!$J$24,'従業員情報(給与以外)'!$C774)/365,入力リスト!$K$18:$L$26,2,2))</f>
        <v/>
      </c>
      <c r="R774" s="298" t="str">
        <f>IF(D774="","",VLOOKUP('従業員情報(給与以外)'!$D774,入力シート!$AW$37:$BB$38,4,0))</f>
        <v/>
      </c>
      <c r="S774" s="298" t="str">
        <f>IF(A774="","",IF(E774="","非役職",VLOOKUP('従業員情報(給与以外)'!$E774,入力シート!$AH$37:$AO$62,5,0)))</f>
        <v/>
      </c>
      <c r="T774" s="299" t="str">
        <f>IF(OR(入力シート!$C$5&lt;&gt;入力リスト!$C$3,COUNTIF(入力シート!$J$16:$S$23,入力リスト!$H$9)=0),"",IF($A774="","",IF(ISERROR(AVERAGEIF(従業員の給与情報!$B:$B,$A774,従業員の給与情報!$C:$C)),0,IF(ISERROR(AVERAGEIF(従業員の給与情報!$B:$B,$A774,従業員の給与情報!$C:$C)),0,AVERAGEIF(従業員の給与情報!$B:$B,$A774,従業員の給与情報!$C:$C)))))</f>
        <v/>
      </c>
      <c r="U774" s="299" t="str">
        <f>IF(OR(入力シート!$C$5&lt;&gt;入力リスト!$C$3,COUNTIF(入力シート!$J$16:$S$23,入力リスト!$H$9)=0),"",IF(A774="","",IF(ISERROR(AVERAGEIF(従業員の給与情報!$B:$B,$A774,従業員の給与情報!$D:$D)),0,IF(ISERROR(AVERAGEIF(従業員の給与情報!$B:$B,$A774,従業員の給与情報!$D:$D)),0,AVERAGEIF(従業員の給与情報!$B:$B,$A774,従業員の給与情報!$D:$D)))))</f>
        <v/>
      </c>
      <c r="V774" s="299" t="str">
        <f>IF(OR(入力シート!$C$5&lt;&gt;入力リスト!$C$3,COUNTIF(入力シート!$J$16:$S$23,入力リスト!$H$9)=0),"",IF(A774="","",IF(ISERROR(AVERAGEIF(従業員の給与情報!$B:$B,$A774,従業員の給与情報!$E:$E)),0,IF(ISERROR(AVERAGEIF(従業員の給与情報!$B:$B,$A774,従業員の給与情報!$E:$E)),0,AVERAGEIF(従業員の給与情報!$B:$B,$A774,従業員の給与情報!$E:$E)))))</f>
        <v/>
      </c>
      <c r="W774" s="299" t="str">
        <f>IF(OR(入力シート!$C$5&lt;&gt;入力リスト!$C$3,COUNTIF(入力シート!$J$16:$S$23,入力リスト!$H$9)=0),"",IF(A774="","",IF(ISERROR(AVERAGEIF(従業員の給与情報!$B:$B,$A774,従業員の給与情報!$F:$F)),0,IF(ISERROR(AVERAGEIF(従業員の給与情報!$B:$B,$A774,従業員の給与情報!$F:$F)),0,AVERAGEIF(従業員の給与情報!$B:$B,$A774,従業員の給与情報!$F:$F)))))</f>
        <v/>
      </c>
      <c r="X774" s="581" t="s">
        <v>5513</v>
      </c>
    </row>
    <row r="775" spans="6:24">
      <c r="F775" s="297" t="str">
        <f>IF($G$1,"",IF(COUNTIF(A775:E775,"")=5,"",IF(G775,入力リスト!$K$28,IF(OR(A775="",B775="",IF(COUNTIF($C$3,"*不要*"),"",C775=""),D775=""),IF(A775="","従業員番号","")&amp;IF(B775="","「雇用形態」","")&amp;IF(OR(入力シート!$J$18=入力リスト!$H$9,入力シート!$J$22=入力リスト!$H$9),IF(C775="","「入社年月日」",""),"")&amp;IF(D775="","「性別」","")&amp;IF(IF(A775="","従業員番号","")&amp;IF(B775="","「雇用形態」","")&amp;IF(OR(入力シート!$J$18=入力リスト!$H$9,入力シート!$J$22=入力リスト!$H$9),IF(C775="","「入社年月日」",""),"")&amp;IF(D775="","「性別」","")="","",入力リスト!$K$29),IF(J775,入力リスト!$K$30,"")&amp;IF(I775,入力リスト!$K$31,"")&amp;IF(H775,"「雇用形態」","")&amp;IF(K775,"「性別」","")&amp;IF(L775,"「役職」","")&amp;IF(OR(H775,K775,L775),入力リスト!$K$32,"")))))</f>
        <v/>
      </c>
      <c r="G775" s="298" t="b">
        <f>COUNTIF($A$4:A774,$A775)&gt;0</f>
        <v>0</v>
      </c>
      <c r="H775" s="298" t="b">
        <f>IF($H$1,FALSE,COUNTIF(入力シート!$S$37:$V$62,B775)=0)</f>
        <v>0</v>
      </c>
      <c r="I775" s="298" t="b">
        <f t="shared" si="25"/>
        <v>0</v>
      </c>
      <c r="J775" s="298" t="b">
        <f>IF($J$1,FALSE,IF(I775=TRUE,FALSE,IF(I775,FALSE,C775&gt;入力シート!$J$24)))</f>
        <v>0</v>
      </c>
      <c r="K775" s="298" t="b">
        <f>IF($K$1,FALSE,COUNTIF(入力シート!$AW$37:$BB$38,D775)=0)</f>
        <v>0</v>
      </c>
      <c r="L775" s="298" t="b">
        <f>IF($L$1,FALSE,IF($L$3,FALSE,IF(E775="",FALSE,COUNTIF(入力シート!$AH$37:$AK$62,E775)=0)))</f>
        <v>0</v>
      </c>
      <c r="M775" s="298" t="str">
        <f t="shared" si="26"/>
        <v/>
      </c>
      <c r="N775" s="298" t="str">
        <f>IF(G775,"この従業員番号は、すでに他のセルで入力されています。",IF(入力シート!$C$5=入力リスト!$C$4,"",IF(AND(A775="",B775="",C775="",D775="",E775=""),"",IF(OR(A775="",B775="",C775="",D775=""),IF(A775="","従業員番号","")&amp;IF(AND(A775="",OR(B775="",C775="",D775="")),",","")&amp;IF(B775="","雇用形態","")&amp;IF(AND(B775="",OR(C775="",D775="")),",","")&amp;IF(OR(入力シート!$J$18=入力リスト!$H$9,入力シート!$J$22=入力リスト!$H$9),IF(C775="","入社年月日",""),"")&amp;IF(AND(C775="",D775=""),",","")&amp;IF(D775="","性別","")&amp;IF(IF(A775="","従業員番号","")&amp;IF(B775="","雇用形態","")&amp;IF(OR(入力シート!$J$18=入力リスト!$H$9,入力シート!$J$22=入力リスト!$H$9),IF(C775="","入社年月日",""),"")&amp;IF(D775="","性別","")="","","が空白です。"),IF(J775,"入社年月日に「基準日」の翌日以降の日付が入力されています。","")&amp;IF(I775,"入社年月日に数値以外（又は1900/1/1以前の日付）が入力されています。","")&amp;IF(H775,"雇用形態"&amp;IF(OR(K775,L775),",",""),"")&amp;IF(K775,"性別"&amp;IF(L775,",",""),"")&amp;IF(L775,"役職","")&amp;IF(OR(H775,K775,L775),"に、［入力シート］(4)「貴社」欄と異なる文言が入力されています。","")))))</f>
        <v/>
      </c>
      <c r="O775" s="298" t="str">
        <f>IF(B775="","",VLOOKUP('従業員情報(給与以外)'!$B775,入力シート!$S$37:$Z$62,5,0))</f>
        <v/>
      </c>
      <c r="P775" s="298" t="str">
        <f>IF(ISNUMBER(C775)=FALSE,"",IF(C775&gt;入力シート!$J$24,"",_xlfn.DAYS(入力シート!$J$24,'従業員情報(給与以外)'!$C775)/365))</f>
        <v/>
      </c>
      <c r="Q775" s="298" t="str">
        <f>IF(P775="","",VLOOKUP(_xlfn.DAYS(入力シート!$J$24,'従業員情報(給与以外)'!$C775)/365,入力リスト!$K$18:$L$26,2,2))</f>
        <v/>
      </c>
      <c r="R775" s="298" t="str">
        <f>IF(D775="","",VLOOKUP('従業員情報(給与以外)'!$D775,入力シート!$AW$37:$BB$38,4,0))</f>
        <v/>
      </c>
      <c r="S775" s="298" t="str">
        <f>IF(A775="","",IF(E775="","非役職",VLOOKUP('従業員情報(給与以外)'!$E775,入力シート!$AH$37:$AO$62,5,0)))</f>
        <v/>
      </c>
      <c r="T775" s="299" t="str">
        <f>IF(OR(入力シート!$C$5&lt;&gt;入力リスト!$C$3,COUNTIF(入力シート!$J$16:$S$23,入力リスト!$H$9)=0),"",IF($A775="","",IF(ISERROR(AVERAGEIF(従業員の給与情報!$B:$B,$A775,従業員の給与情報!$C:$C)),0,IF(ISERROR(AVERAGEIF(従業員の給与情報!$B:$B,$A775,従業員の給与情報!$C:$C)),0,AVERAGEIF(従業員の給与情報!$B:$B,$A775,従業員の給与情報!$C:$C)))))</f>
        <v/>
      </c>
      <c r="U775" s="299" t="str">
        <f>IF(OR(入力シート!$C$5&lt;&gt;入力リスト!$C$3,COUNTIF(入力シート!$J$16:$S$23,入力リスト!$H$9)=0),"",IF(A775="","",IF(ISERROR(AVERAGEIF(従業員の給与情報!$B:$B,$A775,従業員の給与情報!$D:$D)),0,IF(ISERROR(AVERAGEIF(従業員の給与情報!$B:$B,$A775,従業員の給与情報!$D:$D)),0,AVERAGEIF(従業員の給与情報!$B:$B,$A775,従業員の給与情報!$D:$D)))))</f>
        <v/>
      </c>
      <c r="V775" s="299" t="str">
        <f>IF(OR(入力シート!$C$5&lt;&gt;入力リスト!$C$3,COUNTIF(入力シート!$J$16:$S$23,入力リスト!$H$9)=0),"",IF(A775="","",IF(ISERROR(AVERAGEIF(従業員の給与情報!$B:$B,$A775,従業員の給与情報!$E:$E)),0,IF(ISERROR(AVERAGEIF(従業員の給与情報!$B:$B,$A775,従業員の給与情報!$E:$E)),0,AVERAGEIF(従業員の給与情報!$B:$B,$A775,従業員の給与情報!$E:$E)))))</f>
        <v/>
      </c>
      <c r="W775" s="299" t="str">
        <f>IF(OR(入力シート!$C$5&lt;&gt;入力リスト!$C$3,COUNTIF(入力シート!$J$16:$S$23,入力リスト!$H$9)=0),"",IF(A775="","",IF(ISERROR(AVERAGEIF(従業員の給与情報!$B:$B,$A775,従業員の給与情報!$F:$F)),0,IF(ISERROR(AVERAGEIF(従業員の給与情報!$B:$B,$A775,従業員の給与情報!$F:$F)),0,AVERAGEIF(従業員の給与情報!$B:$B,$A775,従業員の給与情報!$F:$F)))))</f>
        <v/>
      </c>
      <c r="X775" s="581" t="s">
        <v>5514</v>
      </c>
    </row>
    <row r="776" spans="6:24">
      <c r="F776" s="297" t="str">
        <f>IF($G$1,"",IF(COUNTIF(A776:E776,"")=5,"",IF(G776,入力リスト!$K$28,IF(OR(A776="",B776="",IF(COUNTIF($C$3,"*不要*"),"",C776=""),D776=""),IF(A776="","従業員番号","")&amp;IF(B776="","「雇用形態」","")&amp;IF(OR(入力シート!$J$18=入力リスト!$H$9,入力シート!$J$22=入力リスト!$H$9),IF(C776="","「入社年月日」",""),"")&amp;IF(D776="","「性別」","")&amp;IF(IF(A776="","従業員番号","")&amp;IF(B776="","「雇用形態」","")&amp;IF(OR(入力シート!$J$18=入力リスト!$H$9,入力シート!$J$22=入力リスト!$H$9),IF(C776="","「入社年月日」",""),"")&amp;IF(D776="","「性別」","")="","",入力リスト!$K$29),IF(J776,入力リスト!$K$30,"")&amp;IF(I776,入力リスト!$K$31,"")&amp;IF(H776,"「雇用形態」","")&amp;IF(K776,"「性別」","")&amp;IF(L776,"「役職」","")&amp;IF(OR(H776,K776,L776),入力リスト!$K$32,"")))))</f>
        <v/>
      </c>
      <c r="G776" s="298" t="b">
        <f>COUNTIF($A$4:A775,$A776)&gt;0</f>
        <v>0</v>
      </c>
      <c r="H776" s="298" t="b">
        <f>IF($H$1,FALSE,COUNTIF(入力シート!$S$37:$V$62,B776)=0)</f>
        <v>0</v>
      </c>
      <c r="I776" s="298" t="b">
        <f t="shared" si="25"/>
        <v>0</v>
      </c>
      <c r="J776" s="298" t="b">
        <f>IF($J$1,FALSE,IF(I776=TRUE,FALSE,IF(I776,FALSE,C776&gt;入力シート!$J$24)))</f>
        <v>0</v>
      </c>
      <c r="K776" s="298" t="b">
        <f>IF($K$1,FALSE,COUNTIF(入力シート!$AW$37:$BB$38,D776)=0)</f>
        <v>0</v>
      </c>
      <c r="L776" s="298" t="b">
        <f>IF($L$1,FALSE,IF($L$3,FALSE,IF(E776="",FALSE,COUNTIF(入力シート!$AH$37:$AK$62,E776)=0)))</f>
        <v>0</v>
      </c>
      <c r="M776" s="298" t="str">
        <f t="shared" si="26"/>
        <v/>
      </c>
      <c r="N776" s="298" t="str">
        <f>IF(G776,"この従業員番号は、すでに他のセルで入力されています。",IF(入力シート!$C$5=入力リスト!$C$4,"",IF(AND(A776="",B776="",C776="",D776="",E776=""),"",IF(OR(A776="",B776="",C776="",D776=""),IF(A776="","従業員番号","")&amp;IF(AND(A776="",OR(B776="",C776="",D776="")),",","")&amp;IF(B776="","雇用形態","")&amp;IF(AND(B776="",OR(C776="",D776="")),",","")&amp;IF(OR(入力シート!$J$18=入力リスト!$H$9,入力シート!$J$22=入力リスト!$H$9),IF(C776="","入社年月日",""),"")&amp;IF(AND(C776="",D776=""),",","")&amp;IF(D776="","性別","")&amp;IF(IF(A776="","従業員番号","")&amp;IF(B776="","雇用形態","")&amp;IF(OR(入力シート!$J$18=入力リスト!$H$9,入力シート!$J$22=入力リスト!$H$9),IF(C776="","入社年月日",""),"")&amp;IF(D776="","性別","")="","","が空白です。"),IF(J776,"入社年月日に「基準日」の翌日以降の日付が入力されています。","")&amp;IF(I776,"入社年月日に数値以外（又は1900/1/1以前の日付）が入力されています。","")&amp;IF(H776,"雇用形態"&amp;IF(OR(K776,L776),",",""),"")&amp;IF(K776,"性別"&amp;IF(L776,",",""),"")&amp;IF(L776,"役職","")&amp;IF(OR(H776,K776,L776),"に、［入力シート］(4)「貴社」欄と異なる文言が入力されています。","")))))</f>
        <v/>
      </c>
      <c r="O776" s="298" t="str">
        <f>IF(B776="","",VLOOKUP('従業員情報(給与以外)'!$B776,入力シート!$S$37:$Z$62,5,0))</f>
        <v/>
      </c>
      <c r="P776" s="298" t="str">
        <f>IF(ISNUMBER(C776)=FALSE,"",IF(C776&gt;入力シート!$J$24,"",_xlfn.DAYS(入力シート!$J$24,'従業員情報(給与以外)'!$C776)/365))</f>
        <v/>
      </c>
      <c r="Q776" s="298" t="str">
        <f>IF(P776="","",VLOOKUP(_xlfn.DAYS(入力シート!$J$24,'従業員情報(給与以外)'!$C776)/365,入力リスト!$K$18:$L$26,2,2))</f>
        <v/>
      </c>
      <c r="R776" s="298" t="str">
        <f>IF(D776="","",VLOOKUP('従業員情報(給与以外)'!$D776,入力シート!$AW$37:$BB$38,4,0))</f>
        <v/>
      </c>
      <c r="S776" s="298" t="str">
        <f>IF(A776="","",IF(E776="","非役職",VLOOKUP('従業員情報(給与以外)'!$E776,入力シート!$AH$37:$AO$62,5,0)))</f>
        <v/>
      </c>
      <c r="T776" s="299" t="str">
        <f>IF(OR(入力シート!$C$5&lt;&gt;入力リスト!$C$3,COUNTIF(入力シート!$J$16:$S$23,入力リスト!$H$9)=0),"",IF($A776="","",IF(ISERROR(AVERAGEIF(従業員の給与情報!$B:$B,$A776,従業員の給与情報!$C:$C)),0,IF(ISERROR(AVERAGEIF(従業員の給与情報!$B:$B,$A776,従業員の給与情報!$C:$C)),0,AVERAGEIF(従業員の給与情報!$B:$B,$A776,従業員の給与情報!$C:$C)))))</f>
        <v/>
      </c>
      <c r="U776" s="299" t="str">
        <f>IF(OR(入力シート!$C$5&lt;&gt;入力リスト!$C$3,COUNTIF(入力シート!$J$16:$S$23,入力リスト!$H$9)=0),"",IF(A776="","",IF(ISERROR(AVERAGEIF(従業員の給与情報!$B:$B,$A776,従業員の給与情報!$D:$D)),0,IF(ISERROR(AVERAGEIF(従業員の給与情報!$B:$B,$A776,従業員の給与情報!$D:$D)),0,AVERAGEIF(従業員の給与情報!$B:$B,$A776,従業員の給与情報!$D:$D)))))</f>
        <v/>
      </c>
      <c r="V776" s="299" t="str">
        <f>IF(OR(入力シート!$C$5&lt;&gt;入力リスト!$C$3,COUNTIF(入力シート!$J$16:$S$23,入力リスト!$H$9)=0),"",IF(A776="","",IF(ISERROR(AVERAGEIF(従業員の給与情報!$B:$B,$A776,従業員の給与情報!$E:$E)),0,IF(ISERROR(AVERAGEIF(従業員の給与情報!$B:$B,$A776,従業員の給与情報!$E:$E)),0,AVERAGEIF(従業員の給与情報!$B:$B,$A776,従業員の給与情報!$E:$E)))))</f>
        <v/>
      </c>
      <c r="W776" s="299" t="str">
        <f>IF(OR(入力シート!$C$5&lt;&gt;入力リスト!$C$3,COUNTIF(入力シート!$J$16:$S$23,入力リスト!$H$9)=0),"",IF(A776="","",IF(ISERROR(AVERAGEIF(従業員の給与情報!$B:$B,$A776,従業員の給与情報!$F:$F)),0,IF(ISERROR(AVERAGEIF(従業員の給与情報!$B:$B,$A776,従業員の給与情報!$F:$F)),0,AVERAGEIF(従業員の給与情報!$B:$B,$A776,従業員の給与情報!$F:$F)))))</f>
        <v/>
      </c>
      <c r="X776" s="581" t="s">
        <v>5515</v>
      </c>
    </row>
    <row r="777" spans="6:24">
      <c r="F777" s="297" t="str">
        <f>IF($G$1,"",IF(COUNTIF(A777:E777,"")=5,"",IF(G777,入力リスト!$K$28,IF(OR(A777="",B777="",IF(COUNTIF($C$3,"*不要*"),"",C777=""),D777=""),IF(A777="","従業員番号","")&amp;IF(B777="","「雇用形態」","")&amp;IF(OR(入力シート!$J$18=入力リスト!$H$9,入力シート!$J$22=入力リスト!$H$9),IF(C777="","「入社年月日」",""),"")&amp;IF(D777="","「性別」","")&amp;IF(IF(A777="","従業員番号","")&amp;IF(B777="","「雇用形態」","")&amp;IF(OR(入力シート!$J$18=入力リスト!$H$9,入力シート!$J$22=入力リスト!$H$9),IF(C777="","「入社年月日」",""),"")&amp;IF(D777="","「性別」","")="","",入力リスト!$K$29),IF(J777,入力リスト!$K$30,"")&amp;IF(I777,入力リスト!$K$31,"")&amp;IF(H777,"「雇用形態」","")&amp;IF(K777,"「性別」","")&amp;IF(L777,"「役職」","")&amp;IF(OR(H777,K777,L777),入力リスト!$K$32,"")))))</f>
        <v/>
      </c>
      <c r="G777" s="298" t="b">
        <f>COUNTIF($A$4:A776,$A777)&gt;0</f>
        <v>0</v>
      </c>
      <c r="H777" s="298" t="b">
        <f>IF($H$1,FALSE,COUNTIF(入力シート!$S$37:$V$62,B777)=0)</f>
        <v>0</v>
      </c>
      <c r="I777" s="298" t="b">
        <f t="shared" si="25"/>
        <v>0</v>
      </c>
      <c r="J777" s="298" t="b">
        <f>IF($J$1,FALSE,IF(I777=TRUE,FALSE,IF(I777,FALSE,C777&gt;入力シート!$J$24)))</f>
        <v>0</v>
      </c>
      <c r="K777" s="298" t="b">
        <f>IF($K$1,FALSE,COUNTIF(入力シート!$AW$37:$BB$38,D777)=0)</f>
        <v>0</v>
      </c>
      <c r="L777" s="298" t="b">
        <f>IF($L$1,FALSE,IF($L$3,FALSE,IF(E777="",FALSE,COUNTIF(入力シート!$AH$37:$AK$62,E777)=0)))</f>
        <v>0</v>
      </c>
      <c r="M777" s="298" t="str">
        <f t="shared" si="26"/>
        <v/>
      </c>
      <c r="N777" s="298" t="str">
        <f>IF(G777,"この従業員番号は、すでに他のセルで入力されています。",IF(入力シート!$C$5=入力リスト!$C$4,"",IF(AND(A777="",B777="",C777="",D777="",E777=""),"",IF(OR(A777="",B777="",C777="",D777=""),IF(A777="","従業員番号","")&amp;IF(AND(A777="",OR(B777="",C777="",D777="")),",","")&amp;IF(B777="","雇用形態","")&amp;IF(AND(B777="",OR(C777="",D777="")),",","")&amp;IF(OR(入力シート!$J$18=入力リスト!$H$9,入力シート!$J$22=入力リスト!$H$9),IF(C777="","入社年月日",""),"")&amp;IF(AND(C777="",D777=""),",","")&amp;IF(D777="","性別","")&amp;IF(IF(A777="","従業員番号","")&amp;IF(B777="","雇用形態","")&amp;IF(OR(入力シート!$J$18=入力リスト!$H$9,入力シート!$J$22=入力リスト!$H$9),IF(C777="","入社年月日",""),"")&amp;IF(D777="","性別","")="","","が空白です。"),IF(J777,"入社年月日に「基準日」の翌日以降の日付が入力されています。","")&amp;IF(I777,"入社年月日に数値以外（又は1900/1/1以前の日付）が入力されています。","")&amp;IF(H777,"雇用形態"&amp;IF(OR(K777,L777),",",""),"")&amp;IF(K777,"性別"&amp;IF(L777,",",""),"")&amp;IF(L777,"役職","")&amp;IF(OR(H777,K777,L777),"に、［入力シート］(4)「貴社」欄と異なる文言が入力されています。","")))))</f>
        <v/>
      </c>
      <c r="O777" s="298" t="str">
        <f>IF(B777="","",VLOOKUP('従業員情報(給与以外)'!$B777,入力シート!$S$37:$Z$62,5,0))</f>
        <v/>
      </c>
      <c r="P777" s="298" t="str">
        <f>IF(ISNUMBER(C777)=FALSE,"",IF(C777&gt;入力シート!$J$24,"",_xlfn.DAYS(入力シート!$J$24,'従業員情報(給与以外)'!$C777)/365))</f>
        <v/>
      </c>
      <c r="Q777" s="298" t="str">
        <f>IF(P777="","",VLOOKUP(_xlfn.DAYS(入力シート!$J$24,'従業員情報(給与以外)'!$C777)/365,入力リスト!$K$18:$L$26,2,2))</f>
        <v/>
      </c>
      <c r="R777" s="298" t="str">
        <f>IF(D777="","",VLOOKUP('従業員情報(給与以外)'!$D777,入力シート!$AW$37:$BB$38,4,0))</f>
        <v/>
      </c>
      <c r="S777" s="298" t="str">
        <f>IF(A777="","",IF(E777="","非役職",VLOOKUP('従業員情報(給与以外)'!$E777,入力シート!$AH$37:$AO$62,5,0)))</f>
        <v/>
      </c>
      <c r="T777" s="299" t="str">
        <f>IF(OR(入力シート!$C$5&lt;&gt;入力リスト!$C$3,COUNTIF(入力シート!$J$16:$S$23,入力リスト!$H$9)=0),"",IF($A777="","",IF(ISERROR(AVERAGEIF(従業員の給与情報!$B:$B,$A777,従業員の給与情報!$C:$C)),0,IF(ISERROR(AVERAGEIF(従業員の給与情報!$B:$B,$A777,従業員の給与情報!$C:$C)),0,AVERAGEIF(従業員の給与情報!$B:$B,$A777,従業員の給与情報!$C:$C)))))</f>
        <v/>
      </c>
      <c r="U777" s="299" t="str">
        <f>IF(OR(入力シート!$C$5&lt;&gt;入力リスト!$C$3,COUNTIF(入力シート!$J$16:$S$23,入力リスト!$H$9)=0),"",IF(A777="","",IF(ISERROR(AVERAGEIF(従業員の給与情報!$B:$B,$A777,従業員の給与情報!$D:$D)),0,IF(ISERROR(AVERAGEIF(従業員の給与情報!$B:$B,$A777,従業員の給与情報!$D:$D)),0,AVERAGEIF(従業員の給与情報!$B:$B,$A777,従業員の給与情報!$D:$D)))))</f>
        <v/>
      </c>
      <c r="V777" s="299" t="str">
        <f>IF(OR(入力シート!$C$5&lt;&gt;入力リスト!$C$3,COUNTIF(入力シート!$J$16:$S$23,入力リスト!$H$9)=0),"",IF(A777="","",IF(ISERROR(AVERAGEIF(従業員の給与情報!$B:$B,$A777,従業員の給与情報!$E:$E)),0,IF(ISERROR(AVERAGEIF(従業員の給与情報!$B:$B,$A777,従業員の給与情報!$E:$E)),0,AVERAGEIF(従業員の給与情報!$B:$B,$A777,従業員の給与情報!$E:$E)))))</f>
        <v/>
      </c>
      <c r="W777" s="299" t="str">
        <f>IF(OR(入力シート!$C$5&lt;&gt;入力リスト!$C$3,COUNTIF(入力シート!$J$16:$S$23,入力リスト!$H$9)=0),"",IF(A777="","",IF(ISERROR(AVERAGEIF(従業員の給与情報!$B:$B,$A777,従業員の給与情報!$F:$F)),0,IF(ISERROR(AVERAGEIF(従業員の給与情報!$B:$B,$A777,従業員の給与情報!$F:$F)),0,AVERAGEIF(従業員の給与情報!$B:$B,$A777,従業員の給与情報!$F:$F)))))</f>
        <v/>
      </c>
      <c r="X777" s="581" t="s">
        <v>5516</v>
      </c>
    </row>
    <row r="778" spans="6:24">
      <c r="F778" s="297" t="str">
        <f>IF($G$1,"",IF(COUNTIF(A778:E778,"")=5,"",IF(G778,入力リスト!$K$28,IF(OR(A778="",B778="",IF(COUNTIF($C$3,"*不要*"),"",C778=""),D778=""),IF(A778="","従業員番号","")&amp;IF(B778="","「雇用形態」","")&amp;IF(OR(入力シート!$J$18=入力リスト!$H$9,入力シート!$J$22=入力リスト!$H$9),IF(C778="","「入社年月日」",""),"")&amp;IF(D778="","「性別」","")&amp;IF(IF(A778="","従業員番号","")&amp;IF(B778="","「雇用形態」","")&amp;IF(OR(入力シート!$J$18=入力リスト!$H$9,入力シート!$J$22=入力リスト!$H$9),IF(C778="","「入社年月日」",""),"")&amp;IF(D778="","「性別」","")="","",入力リスト!$K$29),IF(J778,入力リスト!$K$30,"")&amp;IF(I778,入力リスト!$K$31,"")&amp;IF(H778,"「雇用形態」","")&amp;IF(K778,"「性別」","")&amp;IF(L778,"「役職」","")&amp;IF(OR(H778,K778,L778),入力リスト!$K$32,"")))))</f>
        <v/>
      </c>
      <c r="G778" s="298" t="b">
        <f>COUNTIF($A$4:A777,$A778)&gt;0</f>
        <v>0</v>
      </c>
      <c r="H778" s="298" t="b">
        <f>IF($H$1,FALSE,COUNTIF(入力シート!$S$37:$V$62,B778)=0)</f>
        <v>0</v>
      </c>
      <c r="I778" s="298" t="b">
        <f t="shared" si="25"/>
        <v>0</v>
      </c>
      <c r="J778" s="298" t="b">
        <f>IF($J$1,FALSE,IF(I778=TRUE,FALSE,IF(I778,FALSE,C778&gt;入力シート!$J$24)))</f>
        <v>0</v>
      </c>
      <c r="K778" s="298" t="b">
        <f>IF($K$1,FALSE,COUNTIF(入力シート!$AW$37:$BB$38,D778)=0)</f>
        <v>0</v>
      </c>
      <c r="L778" s="298" t="b">
        <f>IF($L$1,FALSE,IF($L$3,FALSE,IF(E778="",FALSE,COUNTIF(入力シート!$AH$37:$AK$62,E778)=0)))</f>
        <v>0</v>
      </c>
      <c r="M778" s="298" t="str">
        <f t="shared" si="26"/>
        <v/>
      </c>
      <c r="N778" s="298" t="str">
        <f>IF(G778,"この従業員番号は、すでに他のセルで入力されています。",IF(入力シート!$C$5=入力リスト!$C$4,"",IF(AND(A778="",B778="",C778="",D778="",E778=""),"",IF(OR(A778="",B778="",C778="",D778=""),IF(A778="","従業員番号","")&amp;IF(AND(A778="",OR(B778="",C778="",D778="")),",","")&amp;IF(B778="","雇用形態","")&amp;IF(AND(B778="",OR(C778="",D778="")),",","")&amp;IF(OR(入力シート!$J$18=入力リスト!$H$9,入力シート!$J$22=入力リスト!$H$9),IF(C778="","入社年月日",""),"")&amp;IF(AND(C778="",D778=""),",","")&amp;IF(D778="","性別","")&amp;IF(IF(A778="","従業員番号","")&amp;IF(B778="","雇用形態","")&amp;IF(OR(入力シート!$J$18=入力リスト!$H$9,入力シート!$J$22=入力リスト!$H$9),IF(C778="","入社年月日",""),"")&amp;IF(D778="","性別","")="","","が空白です。"),IF(J778,"入社年月日に「基準日」の翌日以降の日付が入力されています。","")&amp;IF(I778,"入社年月日に数値以外（又は1900/1/1以前の日付）が入力されています。","")&amp;IF(H778,"雇用形態"&amp;IF(OR(K778,L778),",",""),"")&amp;IF(K778,"性別"&amp;IF(L778,",",""),"")&amp;IF(L778,"役職","")&amp;IF(OR(H778,K778,L778),"に、［入力シート］(4)「貴社」欄と異なる文言が入力されています。","")))))</f>
        <v/>
      </c>
      <c r="O778" s="298" t="str">
        <f>IF(B778="","",VLOOKUP('従業員情報(給与以外)'!$B778,入力シート!$S$37:$Z$62,5,0))</f>
        <v/>
      </c>
      <c r="P778" s="298" t="str">
        <f>IF(ISNUMBER(C778)=FALSE,"",IF(C778&gt;入力シート!$J$24,"",_xlfn.DAYS(入力シート!$J$24,'従業員情報(給与以外)'!$C778)/365))</f>
        <v/>
      </c>
      <c r="Q778" s="298" t="str">
        <f>IF(P778="","",VLOOKUP(_xlfn.DAYS(入力シート!$J$24,'従業員情報(給与以外)'!$C778)/365,入力リスト!$K$18:$L$26,2,2))</f>
        <v/>
      </c>
      <c r="R778" s="298" t="str">
        <f>IF(D778="","",VLOOKUP('従業員情報(給与以外)'!$D778,入力シート!$AW$37:$BB$38,4,0))</f>
        <v/>
      </c>
      <c r="S778" s="298" t="str">
        <f>IF(A778="","",IF(E778="","非役職",VLOOKUP('従業員情報(給与以外)'!$E778,入力シート!$AH$37:$AO$62,5,0)))</f>
        <v/>
      </c>
      <c r="T778" s="299" t="str">
        <f>IF(OR(入力シート!$C$5&lt;&gt;入力リスト!$C$3,COUNTIF(入力シート!$J$16:$S$23,入力リスト!$H$9)=0),"",IF($A778="","",IF(ISERROR(AVERAGEIF(従業員の給与情報!$B:$B,$A778,従業員の給与情報!$C:$C)),0,IF(ISERROR(AVERAGEIF(従業員の給与情報!$B:$B,$A778,従業員の給与情報!$C:$C)),0,AVERAGEIF(従業員の給与情報!$B:$B,$A778,従業員の給与情報!$C:$C)))))</f>
        <v/>
      </c>
      <c r="U778" s="299" t="str">
        <f>IF(OR(入力シート!$C$5&lt;&gt;入力リスト!$C$3,COUNTIF(入力シート!$J$16:$S$23,入力リスト!$H$9)=0),"",IF(A778="","",IF(ISERROR(AVERAGEIF(従業員の給与情報!$B:$B,$A778,従業員の給与情報!$D:$D)),0,IF(ISERROR(AVERAGEIF(従業員の給与情報!$B:$B,$A778,従業員の給与情報!$D:$D)),0,AVERAGEIF(従業員の給与情報!$B:$B,$A778,従業員の給与情報!$D:$D)))))</f>
        <v/>
      </c>
      <c r="V778" s="299" t="str">
        <f>IF(OR(入力シート!$C$5&lt;&gt;入力リスト!$C$3,COUNTIF(入力シート!$J$16:$S$23,入力リスト!$H$9)=0),"",IF(A778="","",IF(ISERROR(AVERAGEIF(従業員の給与情報!$B:$B,$A778,従業員の給与情報!$E:$E)),0,IF(ISERROR(AVERAGEIF(従業員の給与情報!$B:$B,$A778,従業員の給与情報!$E:$E)),0,AVERAGEIF(従業員の給与情報!$B:$B,$A778,従業員の給与情報!$E:$E)))))</f>
        <v/>
      </c>
      <c r="W778" s="299" t="str">
        <f>IF(OR(入力シート!$C$5&lt;&gt;入力リスト!$C$3,COUNTIF(入力シート!$J$16:$S$23,入力リスト!$H$9)=0),"",IF(A778="","",IF(ISERROR(AVERAGEIF(従業員の給与情報!$B:$B,$A778,従業員の給与情報!$F:$F)),0,IF(ISERROR(AVERAGEIF(従業員の給与情報!$B:$B,$A778,従業員の給与情報!$F:$F)),0,AVERAGEIF(従業員の給与情報!$B:$B,$A778,従業員の給与情報!$F:$F)))))</f>
        <v/>
      </c>
      <c r="X778" s="581" t="s">
        <v>5517</v>
      </c>
    </row>
    <row r="779" spans="6:24">
      <c r="F779" s="297" t="str">
        <f>IF($G$1,"",IF(COUNTIF(A779:E779,"")=5,"",IF(G779,入力リスト!$K$28,IF(OR(A779="",B779="",IF(COUNTIF($C$3,"*不要*"),"",C779=""),D779=""),IF(A779="","従業員番号","")&amp;IF(B779="","「雇用形態」","")&amp;IF(OR(入力シート!$J$18=入力リスト!$H$9,入力シート!$J$22=入力リスト!$H$9),IF(C779="","「入社年月日」",""),"")&amp;IF(D779="","「性別」","")&amp;IF(IF(A779="","従業員番号","")&amp;IF(B779="","「雇用形態」","")&amp;IF(OR(入力シート!$J$18=入力リスト!$H$9,入力シート!$J$22=入力リスト!$H$9),IF(C779="","「入社年月日」",""),"")&amp;IF(D779="","「性別」","")="","",入力リスト!$K$29),IF(J779,入力リスト!$K$30,"")&amp;IF(I779,入力リスト!$K$31,"")&amp;IF(H779,"「雇用形態」","")&amp;IF(K779,"「性別」","")&amp;IF(L779,"「役職」","")&amp;IF(OR(H779,K779,L779),入力リスト!$K$32,"")))))</f>
        <v/>
      </c>
      <c r="G779" s="298" t="b">
        <f>COUNTIF($A$4:A778,$A779)&gt;0</f>
        <v>0</v>
      </c>
      <c r="H779" s="298" t="b">
        <f>IF($H$1,FALSE,COUNTIF(入力シート!$S$37:$V$62,B779)=0)</f>
        <v>0</v>
      </c>
      <c r="I779" s="298" t="b">
        <f t="shared" si="25"/>
        <v>0</v>
      </c>
      <c r="J779" s="298" t="b">
        <f>IF($J$1,FALSE,IF(I779=TRUE,FALSE,IF(I779,FALSE,C779&gt;入力シート!$J$24)))</f>
        <v>0</v>
      </c>
      <c r="K779" s="298" t="b">
        <f>IF($K$1,FALSE,COUNTIF(入力シート!$AW$37:$BB$38,D779)=0)</f>
        <v>0</v>
      </c>
      <c r="L779" s="298" t="b">
        <f>IF($L$1,FALSE,IF($L$3,FALSE,IF(E779="",FALSE,COUNTIF(入力シート!$AH$37:$AK$62,E779)=0)))</f>
        <v>0</v>
      </c>
      <c r="M779" s="298" t="str">
        <f t="shared" si="26"/>
        <v/>
      </c>
      <c r="N779" s="298" t="str">
        <f>IF(G779,"この従業員番号は、すでに他のセルで入力されています。",IF(入力シート!$C$5=入力リスト!$C$4,"",IF(AND(A779="",B779="",C779="",D779="",E779=""),"",IF(OR(A779="",B779="",C779="",D779=""),IF(A779="","従業員番号","")&amp;IF(AND(A779="",OR(B779="",C779="",D779="")),",","")&amp;IF(B779="","雇用形態","")&amp;IF(AND(B779="",OR(C779="",D779="")),",","")&amp;IF(OR(入力シート!$J$18=入力リスト!$H$9,入力シート!$J$22=入力リスト!$H$9),IF(C779="","入社年月日",""),"")&amp;IF(AND(C779="",D779=""),",","")&amp;IF(D779="","性別","")&amp;IF(IF(A779="","従業員番号","")&amp;IF(B779="","雇用形態","")&amp;IF(OR(入力シート!$J$18=入力リスト!$H$9,入力シート!$J$22=入力リスト!$H$9),IF(C779="","入社年月日",""),"")&amp;IF(D779="","性別","")="","","が空白です。"),IF(J779,"入社年月日に「基準日」の翌日以降の日付が入力されています。","")&amp;IF(I779,"入社年月日に数値以外（又は1900/1/1以前の日付）が入力されています。","")&amp;IF(H779,"雇用形態"&amp;IF(OR(K779,L779),",",""),"")&amp;IF(K779,"性別"&amp;IF(L779,",",""),"")&amp;IF(L779,"役職","")&amp;IF(OR(H779,K779,L779),"に、［入力シート］(4)「貴社」欄と異なる文言が入力されています。","")))))</f>
        <v/>
      </c>
      <c r="O779" s="298" t="str">
        <f>IF(B779="","",VLOOKUP('従業員情報(給与以外)'!$B779,入力シート!$S$37:$Z$62,5,0))</f>
        <v/>
      </c>
      <c r="P779" s="298" t="str">
        <f>IF(ISNUMBER(C779)=FALSE,"",IF(C779&gt;入力シート!$J$24,"",_xlfn.DAYS(入力シート!$J$24,'従業員情報(給与以外)'!$C779)/365))</f>
        <v/>
      </c>
      <c r="Q779" s="298" t="str">
        <f>IF(P779="","",VLOOKUP(_xlfn.DAYS(入力シート!$J$24,'従業員情報(給与以外)'!$C779)/365,入力リスト!$K$18:$L$26,2,2))</f>
        <v/>
      </c>
      <c r="R779" s="298" t="str">
        <f>IF(D779="","",VLOOKUP('従業員情報(給与以外)'!$D779,入力シート!$AW$37:$BB$38,4,0))</f>
        <v/>
      </c>
      <c r="S779" s="298" t="str">
        <f>IF(A779="","",IF(E779="","非役職",VLOOKUP('従業員情報(給与以外)'!$E779,入力シート!$AH$37:$AO$62,5,0)))</f>
        <v/>
      </c>
      <c r="T779" s="299" t="str">
        <f>IF(OR(入力シート!$C$5&lt;&gt;入力リスト!$C$3,COUNTIF(入力シート!$J$16:$S$23,入力リスト!$H$9)=0),"",IF($A779="","",IF(ISERROR(AVERAGEIF(従業員の給与情報!$B:$B,$A779,従業員の給与情報!$C:$C)),0,IF(ISERROR(AVERAGEIF(従業員の給与情報!$B:$B,$A779,従業員の給与情報!$C:$C)),0,AVERAGEIF(従業員の給与情報!$B:$B,$A779,従業員の給与情報!$C:$C)))))</f>
        <v/>
      </c>
      <c r="U779" s="299" t="str">
        <f>IF(OR(入力シート!$C$5&lt;&gt;入力リスト!$C$3,COUNTIF(入力シート!$J$16:$S$23,入力リスト!$H$9)=0),"",IF(A779="","",IF(ISERROR(AVERAGEIF(従業員の給与情報!$B:$B,$A779,従業員の給与情報!$D:$D)),0,IF(ISERROR(AVERAGEIF(従業員の給与情報!$B:$B,$A779,従業員の給与情報!$D:$D)),0,AVERAGEIF(従業員の給与情報!$B:$B,$A779,従業員の給与情報!$D:$D)))))</f>
        <v/>
      </c>
      <c r="V779" s="299" t="str">
        <f>IF(OR(入力シート!$C$5&lt;&gt;入力リスト!$C$3,COUNTIF(入力シート!$J$16:$S$23,入力リスト!$H$9)=0),"",IF(A779="","",IF(ISERROR(AVERAGEIF(従業員の給与情報!$B:$B,$A779,従業員の給与情報!$E:$E)),0,IF(ISERROR(AVERAGEIF(従業員の給与情報!$B:$B,$A779,従業員の給与情報!$E:$E)),0,AVERAGEIF(従業員の給与情報!$B:$B,$A779,従業員の給与情報!$E:$E)))))</f>
        <v/>
      </c>
      <c r="W779" s="299" t="str">
        <f>IF(OR(入力シート!$C$5&lt;&gt;入力リスト!$C$3,COUNTIF(入力シート!$J$16:$S$23,入力リスト!$H$9)=0),"",IF(A779="","",IF(ISERROR(AVERAGEIF(従業員の給与情報!$B:$B,$A779,従業員の給与情報!$F:$F)),0,IF(ISERROR(AVERAGEIF(従業員の給与情報!$B:$B,$A779,従業員の給与情報!$F:$F)),0,AVERAGEIF(従業員の給与情報!$B:$B,$A779,従業員の給与情報!$F:$F)))))</f>
        <v/>
      </c>
      <c r="X779" s="581" t="s">
        <v>5518</v>
      </c>
    </row>
    <row r="780" spans="6:24">
      <c r="F780" s="297" t="str">
        <f>IF($G$1,"",IF(COUNTIF(A780:E780,"")=5,"",IF(G780,入力リスト!$K$28,IF(OR(A780="",B780="",IF(COUNTIF($C$3,"*不要*"),"",C780=""),D780=""),IF(A780="","従業員番号","")&amp;IF(B780="","「雇用形態」","")&amp;IF(OR(入力シート!$J$18=入力リスト!$H$9,入力シート!$J$22=入力リスト!$H$9),IF(C780="","「入社年月日」",""),"")&amp;IF(D780="","「性別」","")&amp;IF(IF(A780="","従業員番号","")&amp;IF(B780="","「雇用形態」","")&amp;IF(OR(入力シート!$J$18=入力リスト!$H$9,入力シート!$J$22=入力リスト!$H$9),IF(C780="","「入社年月日」",""),"")&amp;IF(D780="","「性別」","")="","",入力リスト!$K$29),IF(J780,入力リスト!$K$30,"")&amp;IF(I780,入力リスト!$K$31,"")&amp;IF(H780,"「雇用形態」","")&amp;IF(K780,"「性別」","")&amp;IF(L780,"「役職」","")&amp;IF(OR(H780,K780,L780),入力リスト!$K$32,"")))))</f>
        <v/>
      </c>
      <c r="G780" s="298" t="b">
        <f>COUNTIF($A$4:A779,$A780)&gt;0</f>
        <v>0</v>
      </c>
      <c r="H780" s="298" t="b">
        <f>IF($H$1,FALSE,COUNTIF(入力シート!$S$37:$V$62,B780)=0)</f>
        <v>0</v>
      </c>
      <c r="I780" s="298" t="b">
        <f t="shared" si="25"/>
        <v>0</v>
      </c>
      <c r="J780" s="298" t="b">
        <f>IF($J$1,FALSE,IF(I780=TRUE,FALSE,IF(I780,FALSE,C780&gt;入力シート!$J$24)))</f>
        <v>0</v>
      </c>
      <c r="K780" s="298" t="b">
        <f>IF($K$1,FALSE,COUNTIF(入力シート!$AW$37:$BB$38,D780)=0)</f>
        <v>0</v>
      </c>
      <c r="L780" s="298" t="b">
        <f>IF($L$1,FALSE,IF($L$3,FALSE,IF(E780="",FALSE,COUNTIF(入力シート!$AH$37:$AK$62,E780)=0)))</f>
        <v>0</v>
      </c>
      <c r="M780" s="298" t="str">
        <f t="shared" si="26"/>
        <v/>
      </c>
      <c r="N780" s="298" t="str">
        <f>IF(G780,"この従業員番号は、すでに他のセルで入力されています。",IF(入力シート!$C$5=入力リスト!$C$4,"",IF(AND(A780="",B780="",C780="",D780="",E780=""),"",IF(OR(A780="",B780="",C780="",D780=""),IF(A780="","従業員番号","")&amp;IF(AND(A780="",OR(B780="",C780="",D780="")),",","")&amp;IF(B780="","雇用形態","")&amp;IF(AND(B780="",OR(C780="",D780="")),",","")&amp;IF(OR(入力シート!$J$18=入力リスト!$H$9,入力シート!$J$22=入力リスト!$H$9),IF(C780="","入社年月日",""),"")&amp;IF(AND(C780="",D780=""),",","")&amp;IF(D780="","性別","")&amp;IF(IF(A780="","従業員番号","")&amp;IF(B780="","雇用形態","")&amp;IF(OR(入力シート!$J$18=入力リスト!$H$9,入力シート!$J$22=入力リスト!$H$9),IF(C780="","入社年月日",""),"")&amp;IF(D780="","性別","")="","","が空白です。"),IF(J780,"入社年月日に「基準日」の翌日以降の日付が入力されています。","")&amp;IF(I780,"入社年月日に数値以外（又は1900/1/1以前の日付）が入力されています。","")&amp;IF(H780,"雇用形態"&amp;IF(OR(K780,L780),",",""),"")&amp;IF(K780,"性別"&amp;IF(L780,",",""),"")&amp;IF(L780,"役職","")&amp;IF(OR(H780,K780,L780),"に、［入力シート］(4)「貴社」欄と異なる文言が入力されています。","")))))</f>
        <v/>
      </c>
      <c r="O780" s="298" t="str">
        <f>IF(B780="","",VLOOKUP('従業員情報(給与以外)'!$B780,入力シート!$S$37:$Z$62,5,0))</f>
        <v/>
      </c>
      <c r="P780" s="298" t="str">
        <f>IF(ISNUMBER(C780)=FALSE,"",IF(C780&gt;入力シート!$J$24,"",_xlfn.DAYS(入力シート!$J$24,'従業員情報(給与以外)'!$C780)/365))</f>
        <v/>
      </c>
      <c r="Q780" s="298" t="str">
        <f>IF(P780="","",VLOOKUP(_xlfn.DAYS(入力シート!$J$24,'従業員情報(給与以外)'!$C780)/365,入力リスト!$K$18:$L$26,2,2))</f>
        <v/>
      </c>
      <c r="R780" s="298" t="str">
        <f>IF(D780="","",VLOOKUP('従業員情報(給与以外)'!$D780,入力シート!$AW$37:$BB$38,4,0))</f>
        <v/>
      </c>
      <c r="S780" s="298" t="str">
        <f>IF(A780="","",IF(E780="","非役職",VLOOKUP('従業員情報(給与以外)'!$E780,入力シート!$AH$37:$AO$62,5,0)))</f>
        <v/>
      </c>
      <c r="T780" s="299" t="str">
        <f>IF(OR(入力シート!$C$5&lt;&gt;入力リスト!$C$3,COUNTIF(入力シート!$J$16:$S$23,入力リスト!$H$9)=0),"",IF($A780="","",IF(ISERROR(AVERAGEIF(従業員の給与情報!$B:$B,$A780,従業員の給与情報!$C:$C)),0,IF(ISERROR(AVERAGEIF(従業員の給与情報!$B:$B,$A780,従業員の給与情報!$C:$C)),0,AVERAGEIF(従業員の給与情報!$B:$B,$A780,従業員の給与情報!$C:$C)))))</f>
        <v/>
      </c>
      <c r="U780" s="299" t="str">
        <f>IF(OR(入力シート!$C$5&lt;&gt;入力リスト!$C$3,COUNTIF(入力シート!$J$16:$S$23,入力リスト!$H$9)=0),"",IF(A780="","",IF(ISERROR(AVERAGEIF(従業員の給与情報!$B:$B,$A780,従業員の給与情報!$D:$D)),0,IF(ISERROR(AVERAGEIF(従業員の給与情報!$B:$B,$A780,従業員の給与情報!$D:$D)),0,AVERAGEIF(従業員の給与情報!$B:$B,$A780,従業員の給与情報!$D:$D)))))</f>
        <v/>
      </c>
      <c r="V780" s="299" t="str">
        <f>IF(OR(入力シート!$C$5&lt;&gt;入力リスト!$C$3,COUNTIF(入力シート!$J$16:$S$23,入力リスト!$H$9)=0),"",IF(A780="","",IF(ISERROR(AVERAGEIF(従業員の給与情報!$B:$B,$A780,従業員の給与情報!$E:$E)),0,IF(ISERROR(AVERAGEIF(従業員の給与情報!$B:$B,$A780,従業員の給与情報!$E:$E)),0,AVERAGEIF(従業員の給与情報!$B:$B,$A780,従業員の給与情報!$E:$E)))))</f>
        <v/>
      </c>
      <c r="W780" s="299" t="str">
        <f>IF(OR(入力シート!$C$5&lt;&gt;入力リスト!$C$3,COUNTIF(入力シート!$J$16:$S$23,入力リスト!$H$9)=0),"",IF(A780="","",IF(ISERROR(AVERAGEIF(従業員の給与情報!$B:$B,$A780,従業員の給与情報!$F:$F)),0,IF(ISERROR(AVERAGEIF(従業員の給与情報!$B:$B,$A780,従業員の給与情報!$F:$F)),0,AVERAGEIF(従業員の給与情報!$B:$B,$A780,従業員の給与情報!$F:$F)))))</f>
        <v/>
      </c>
      <c r="X780" s="581" t="s">
        <v>5519</v>
      </c>
    </row>
    <row r="781" spans="6:24">
      <c r="F781" s="297" t="str">
        <f>IF($G$1,"",IF(COUNTIF(A781:E781,"")=5,"",IF(G781,入力リスト!$K$28,IF(OR(A781="",B781="",IF(COUNTIF($C$3,"*不要*"),"",C781=""),D781=""),IF(A781="","従業員番号","")&amp;IF(B781="","「雇用形態」","")&amp;IF(OR(入力シート!$J$18=入力リスト!$H$9,入力シート!$J$22=入力リスト!$H$9),IF(C781="","「入社年月日」",""),"")&amp;IF(D781="","「性別」","")&amp;IF(IF(A781="","従業員番号","")&amp;IF(B781="","「雇用形態」","")&amp;IF(OR(入力シート!$J$18=入力リスト!$H$9,入力シート!$J$22=入力リスト!$H$9),IF(C781="","「入社年月日」",""),"")&amp;IF(D781="","「性別」","")="","",入力リスト!$K$29),IF(J781,入力リスト!$K$30,"")&amp;IF(I781,入力リスト!$K$31,"")&amp;IF(H781,"「雇用形態」","")&amp;IF(K781,"「性別」","")&amp;IF(L781,"「役職」","")&amp;IF(OR(H781,K781,L781),入力リスト!$K$32,"")))))</f>
        <v/>
      </c>
      <c r="G781" s="298" t="b">
        <f>COUNTIF($A$4:A780,$A781)&gt;0</f>
        <v>0</v>
      </c>
      <c r="H781" s="298" t="b">
        <f>IF($H$1,FALSE,COUNTIF(入力シート!$S$37:$V$62,B781)=0)</f>
        <v>0</v>
      </c>
      <c r="I781" s="298" t="b">
        <f t="shared" si="25"/>
        <v>0</v>
      </c>
      <c r="J781" s="298" t="b">
        <f>IF($J$1,FALSE,IF(I781=TRUE,FALSE,IF(I781,FALSE,C781&gt;入力シート!$J$24)))</f>
        <v>0</v>
      </c>
      <c r="K781" s="298" t="b">
        <f>IF($K$1,FALSE,COUNTIF(入力シート!$AW$37:$BB$38,D781)=0)</f>
        <v>0</v>
      </c>
      <c r="L781" s="298" t="b">
        <f>IF($L$1,FALSE,IF($L$3,FALSE,IF(E781="",FALSE,COUNTIF(入力シート!$AH$37:$AK$62,E781)=0)))</f>
        <v>0</v>
      </c>
      <c r="M781" s="298" t="str">
        <f t="shared" si="26"/>
        <v/>
      </c>
      <c r="N781" s="298" t="str">
        <f>IF(G781,"この従業員番号は、すでに他のセルで入力されています。",IF(入力シート!$C$5=入力リスト!$C$4,"",IF(AND(A781="",B781="",C781="",D781="",E781=""),"",IF(OR(A781="",B781="",C781="",D781=""),IF(A781="","従業員番号","")&amp;IF(AND(A781="",OR(B781="",C781="",D781="")),",","")&amp;IF(B781="","雇用形態","")&amp;IF(AND(B781="",OR(C781="",D781="")),",","")&amp;IF(OR(入力シート!$J$18=入力リスト!$H$9,入力シート!$J$22=入力リスト!$H$9),IF(C781="","入社年月日",""),"")&amp;IF(AND(C781="",D781=""),",","")&amp;IF(D781="","性別","")&amp;IF(IF(A781="","従業員番号","")&amp;IF(B781="","雇用形態","")&amp;IF(OR(入力シート!$J$18=入力リスト!$H$9,入力シート!$J$22=入力リスト!$H$9),IF(C781="","入社年月日",""),"")&amp;IF(D781="","性別","")="","","が空白です。"),IF(J781,"入社年月日に「基準日」の翌日以降の日付が入力されています。","")&amp;IF(I781,"入社年月日に数値以外（又は1900/1/1以前の日付）が入力されています。","")&amp;IF(H781,"雇用形態"&amp;IF(OR(K781,L781),",",""),"")&amp;IF(K781,"性別"&amp;IF(L781,",",""),"")&amp;IF(L781,"役職","")&amp;IF(OR(H781,K781,L781),"に、［入力シート］(4)「貴社」欄と異なる文言が入力されています。","")))))</f>
        <v/>
      </c>
      <c r="O781" s="298" t="str">
        <f>IF(B781="","",VLOOKUP('従業員情報(給与以外)'!$B781,入力シート!$S$37:$Z$62,5,0))</f>
        <v/>
      </c>
      <c r="P781" s="298" t="str">
        <f>IF(ISNUMBER(C781)=FALSE,"",IF(C781&gt;入力シート!$J$24,"",_xlfn.DAYS(入力シート!$J$24,'従業員情報(給与以外)'!$C781)/365))</f>
        <v/>
      </c>
      <c r="Q781" s="298" t="str">
        <f>IF(P781="","",VLOOKUP(_xlfn.DAYS(入力シート!$J$24,'従業員情報(給与以外)'!$C781)/365,入力リスト!$K$18:$L$26,2,2))</f>
        <v/>
      </c>
      <c r="R781" s="298" t="str">
        <f>IF(D781="","",VLOOKUP('従業員情報(給与以外)'!$D781,入力シート!$AW$37:$BB$38,4,0))</f>
        <v/>
      </c>
      <c r="S781" s="298" t="str">
        <f>IF(A781="","",IF(E781="","非役職",VLOOKUP('従業員情報(給与以外)'!$E781,入力シート!$AH$37:$AO$62,5,0)))</f>
        <v/>
      </c>
      <c r="T781" s="299" t="str">
        <f>IF(OR(入力シート!$C$5&lt;&gt;入力リスト!$C$3,COUNTIF(入力シート!$J$16:$S$23,入力リスト!$H$9)=0),"",IF($A781="","",IF(ISERROR(AVERAGEIF(従業員の給与情報!$B:$B,$A781,従業員の給与情報!$C:$C)),0,IF(ISERROR(AVERAGEIF(従業員の給与情報!$B:$B,$A781,従業員の給与情報!$C:$C)),0,AVERAGEIF(従業員の給与情報!$B:$B,$A781,従業員の給与情報!$C:$C)))))</f>
        <v/>
      </c>
      <c r="U781" s="299" t="str">
        <f>IF(OR(入力シート!$C$5&lt;&gt;入力リスト!$C$3,COUNTIF(入力シート!$J$16:$S$23,入力リスト!$H$9)=0),"",IF(A781="","",IF(ISERROR(AVERAGEIF(従業員の給与情報!$B:$B,$A781,従業員の給与情報!$D:$D)),0,IF(ISERROR(AVERAGEIF(従業員の給与情報!$B:$B,$A781,従業員の給与情報!$D:$D)),0,AVERAGEIF(従業員の給与情報!$B:$B,$A781,従業員の給与情報!$D:$D)))))</f>
        <v/>
      </c>
      <c r="V781" s="299" t="str">
        <f>IF(OR(入力シート!$C$5&lt;&gt;入力リスト!$C$3,COUNTIF(入力シート!$J$16:$S$23,入力リスト!$H$9)=0),"",IF(A781="","",IF(ISERROR(AVERAGEIF(従業員の給与情報!$B:$B,$A781,従業員の給与情報!$E:$E)),0,IF(ISERROR(AVERAGEIF(従業員の給与情報!$B:$B,$A781,従業員の給与情報!$E:$E)),0,AVERAGEIF(従業員の給与情報!$B:$B,$A781,従業員の給与情報!$E:$E)))))</f>
        <v/>
      </c>
      <c r="W781" s="299" t="str">
        <f>IF(OR(入力シート!$C$5&lt;&gt;入力リスト!$C$3,COUNTIF(入力シート!$J$16:$S$23,入力リスト!$H$9)=0),"",IF(A781="","",IF(ISERROR(AVERAGEIF(従業員の給与情報!$B:$B,$A781,従業員の給与情報!$F:$F)),0,IF(ISERROR(AVERAGEIF(従業員の給与情報!$B:$B,$A781,従業員の給与情報!$F:$F)),0,AVERAGEIF(従業員の給与情報!$B:$B,$A781,従業員の給与情報!$F:$F)))))</f>
        <v/>
      </c>
      <c r="X781" s="581" t="s">
        <v>5520</v>
      </c>
    </row>
    <row r="782" spans="6:24">
      <c r="F782" s="297" t="str">
        <f>IF($G$1,"",IF(COUNTIF(A782:E782,"")=5,"",IF(G782,入力リスト!$K$28,IF(OR(A782="",B782="",IF(COUNTIF($C$3,"*不要*"),"",C782=""),D782=""),IF(A782="","従業員番号","")&amp;IF(B782="","「雇用形態」","")&amp;IF(OR(入力シート!$J$18=入力リスト!$H$9,入力シート!$J$22=入力リスト!$H$9),IF(C782="","「入社年月日」",""),"")&amp;IF(D782="","「性別」","")&amp;IF(IF(A782="","従業員番号","")&amp;IF(B782="","「雇用形態」","")&amp;IF(OR(入力シート!$J$18=入力リスト!$H$9,入力シート!$J$22=入力リスト!$H$9),IF(C782="","「入社年月日」",""),"")&amp;IF(D782="","「性別」","")="","",入力リスト!$K$29),IF(J782,入力リスト!$K$30,"")&amp;IF(I782,入力リスト!$K$31,"")&amp;IF(H782,"「雇用形態」","")&amp;IF(K782,"「性別」","")&amp;IF(L782,"「役職」","")&amp;IF(OR(H782,K782,L782),入力リスト!$K$32,"")))))</f>
        <v/>
      </c>
      <c r="G782" s="298" t="b">
        <f>COUNTIF($A$4:A781,$A782)&gt;0</f>
        <v>0</v>
      </c>
      <c r="H782" s="298" t="b">
        <f>IF($H$1,FALSE,COUNTIF(入力シート!$S$37:$V$62,B782)=0)</f>
        <v>0</v>
      </c>
      <c r="I782" s="298" t="b">
        <f t="shared" si="25"/>
        <v>0</v>
      </c>
      <c r="J782" s="298" t="b">
        <f>IF($J$1,FALSE,IF(I782=TRUE,FALSE,IF(I782,FALSE,C782&gt;入力シート!$J$24)))</f>
        <v>0</v>
      </c>
      <c r="K782" s="298" t="b">
        <f>IF($K$1,FALSE,COUNTIF(入力シート!$AW$37:$BB$38,D782)=0)</f>
        <v>0</v>
      </c>
      <c r="L782" s="298" t="b">
        <f>IF($L$1,FALSE,IF($L$3,FALSE,IF(E782="",FALSE,COUNTIF(入力シート!$AH$37:$AK$62,E782)=0)))</f>
        <v>0</v>
      </c>
      <c r="M782" s="298" t="str">
        <f t="shared" si="26"/>
        <v/>
      </c>
      <c r="N782" s="298" t="str">
        <f>IF(G782,"この従業員番号は、すでに他のセルで入力されています。",IF(入力シート!$C$5=入力リスト!$C$4,"",IF(AND(A782="",B782="",C782="",D782="",E782=""),"",IF(OR(A782="",B782="",C782="",D782=""),IF(A782="","従業員番号","")&amp;IF(AND(A782="",OR(B782="",C782="",D782="")),",","")&amp;IF(B782="","雇用形態","")&amp;IF(AND(B782="",OR(C782="",D782="")),",","")&amp;IF(OR(入力シート!$J$18=入力リスト!$H$9,入力シート!$J$22=入力リスト!$H$9),IF(C782="","入社年月日",""),"")&amp;IF(AND(C782="",D782=""),",","")&amp;IF(D782="","性別","")&amp;IF(IF(A782="","従業員番号","")&amp;IF(B782="","雇用形態","")&amp;IF(OR(入力シート!$J$18=入力リスト!$H$9,入力シート!$J$22=入力リスト!$H$9),IF(C782="","入社年月日",""),"")&amp;IF(D782="","性別","")="","","が空白です。"),IF(J782,"入社年月日に「基準日」の翌日以降の日付が入力されています。","")&amp;IF(I782,"入社年月日に数値以外（又は1900/1/1以前の日付）が入力されています。","")&amp;IF(H782,"雇用形態"&amp;IF(OR(K782,L782),",",""),"")&amp;IF(K782,"性別"&amp;IF(L782,",",""),"")&amp;IF(L782,"役職","")&amp;IF(OR(H782,K782,L782),"に、［入力シート］(4)「貴社」欄と異なる文言が入力されています。","")))))</f>
        <v/>
      </c>
      <c r="O782" s="298" t="str">
        <f>IF(B782="","",VLOOKUP('従業員情報(給与以外)'!$B782,入力シート!$S$37:$Z$62,5,0))</f>
        <v/>
      </c>
      <c r="P782" s="298" t="str">
        <f>IF(ISNUMBER(C782)=FALSE,"",IF(C782&gt;入力シート!$J$24,"",_xlfn.DAYS(入力シート!$J$24,'従業員情報(給与以外)'!$C782)/365))</f>
        <v/>
      </c>
      <c r="Q782" s="298" t="str">
        <f>IF(P782="","",VLOOKUP(_xlfn.DAYS(入力シート!$J$24,'従業員情報(給与以外)'!$C782)/365,入力リスト!$K$18:$L$26,2,2))</f>
        <v/>
      </c>
      <c r="R782" s="298" t="str">
        <f>IF(D782="","",VLOOKUP('従業員情報(給与以外)'!$D782,入力シート!$AW$37:$BB$38,4,0))</f>
        <v/>
      </c>
      <c r="S782" s="298" t="str">
        <f>IF(A782="","",IF(E782="","非役職",VLOOKUP('従業員情報(給与以外)'!$E782,入力シート!$AH$37:$AO$62,5,0)))</f>
        <v/>
      </c>
      <c r="T782" s="299" t="str">
        <f>IF(OR(入力シート!$C$5&lt;&gt;入力リスト!$C$3,COUNTIF(入力シート!$J$16:$S$23,入力リスト!$H$9)=0),"",IF($A782="","",IF(ISERROR(AVERAGEIF(従業員の給与情報!$B:$B,$A782,従業員の給与情報!$C:$C)),0,IF(ISERROR(AVERAGEIF(従業員の給与情報!$B:$B,$A782,従業員の給与情報!$C:$C)),0,AVERAGEIF(従業員の給与情報!$B:$B,$A782,従業員の給与情報!$C:$C)))))</f>
        <v/>
      </c>
      <c r="U782" s="299" t="str">
        <f>IF(OR(入力シート!$C$5&lt;&gt;入力リスト!$C$3,COUNTIF(入力シート!$J$16:$S$23,入力リスト!$H$9)=0),"",IF(A782="","",IF(ISERROR(AVERAGEIF(従業員の給与情報!$B:$B,$A782,従業員の給与情報!$D:$D)),0,IF(ISERROR(AVERAGEIF(従業員の給与情報!$B:$B,$A782,従業員の給与情報!$D:$D)),0,AVERAGEIF(従業員の給与情報!$B:$B,$A782,従業員の給与情報!$D:$D)))))</f>
        <v/>
      </c>
      <c r="V782" s="299" t="str">
        <f>IF(OR(入力シート!$C$5&lt;&gt;入力リスト!$C$3,COUNTIF(入力シート!$J$16:$S$23,入力リスト!$H$9)=0),"",IF(A782="","",IF(ISERROR(AVERAGEIF(従業員の給与情報!$B:$B,$A782,従業員の給与情報!$E:$E)),0,IF(ISERROR(AVERAGEIF(従業員の給与情報!$B:$B,$A782,従業員の給与情報!$E:$E)),0,AVERAGEIF(従業員の給与情報!$B:$B,$A782,従業員の給与情報!$E:$E)))))</f>
        <v/>
      </c>
      <c r="W782" s="299" t="str">
        <f>IF(OR(入力シート!$C$5&lt;&gt;入力リスト!$C$3,COUNTIF(入力シート!$J$16:$S$23,入力リスト!$H$9)=0),"",IF(A782="","",IF(ISERROR(AVERAGEIF(従業員の給与情報!$B:$B,$A782,従業員の給与情報!$F:$F)),0,IF(ISERROR(AVERAGEIF(従業員の給与情報!$B:$B,$A782,従業員の給与情報!$F:$F)),0,AVERAGEIF(従業員の給与情報!$B:$B,$A782,従業員の給与情報!$F:$F)))))</f>
        <v/>
      </c>
      <c r="X782" s="581" t="s">
        <v>5521</v>
      </c>
    </row>
    <row r="783" spans="6:24">
      <c r="F783" s="297" t="str">
        <f>IF($G$1,"",IF(COUNTIF(A783:E783,"")=5,"",IF(G783,入力リスト!$K$28,IF(OR(A783="",B783="",IF(COUNTIF($C$3,"*不要*"),"",C783=""),D783=""),IF(A783="","従業員番号","")&amp;IF(B783="","「雇用形態」","")&amp;IF(OR(入力シート!$J$18=入力リスト!$H$9,入力シート!$J$22=入力リスト!$H$9),IF(C783="","「入社年月日」",""),"")&amp;IF(D783="","「性別」","")&amp;IF(IF(A783="","従業員番号","")&amp;IF(B783="","「雇用形態」","")&amp;IF(OR(入力シート!$J$18=入力リスト!$H$9,入力シート!$J$22=入力リスト!$H$9),IF(C783="","「入社年月日」",""),"")&amp;IF(D783="","「性別」","")="","",入力リスト!$K$29),IF(J783,入力リスト!$K$30,"")&amp;IF(I783,入力リスト!$K$31,"")&amp;IF(H783,"「雇用形態」","")&amp;IF(K783,"「性別」","")&amp;IF(L783,"「役職」","")&amp;IF(OR(H783,K783,L783),入力リスト!$K$32,"")))))</f>
        <v/>
      </c>
      <c r="G783" s="298" t="b">
        <f>COUNTIF($A$4:A782,$A783)&gt;0</f>
        <v>0</v>
      </c>
      <c r="H783" s="298" t="b">
        <f>IF($H$1,FALSE,COUNTIF(入力シート!$S$37:$V$62,B783)=0)</f>
        <v>0</v>
      </c>
      <c r="I783" s="298" t="b">
        <f t="shared" si="25"/>
        <v>0</v>
      </c>
      <c r="J783" s="298" t="b">
        <f>IF($J$1,FALSE,IF(I783=TRUE,FALSE,IF(I783,FALSE,C783&gt;入力シート!$J$24)))</f>
        <v>0</v>
      </c>
      <c r="K783" s="298" t="b">
        <f>IF($K$1,FALSE,COUNTIF(入力シート!$AW$37:$BB$38,D783)=0)</f>
        <v>0</v>
      </c>
      <c r="L783" s="298" t="b">
        <f>IF($L$1,FALSE,IF($L$3,FALSE,IF(E783="",FALSE,COUNTIF(入力シート!$AH$37:$AK$62,E783)=0)))</f>
        <v>0</v>
      </c>
      <c r="M783" s="298" t="str">
        <f t="shared" si="26"/>
        <v/>
      </c>
      <c r="N783" s="298" t="str">
        <f>IF(G783,"この従業員番号は、すでに他のセルで入力されています。",IF(入力シート!$C$5=入力リスト!$C$4,"",IF(AND(A783="",B783="",C783="",D783="",E783=""),"",IF(OR(A783="",B783="",C783="",D783=""),IF(A783="","従業員番号","")&amp;IF(AND(A783="",OR(B783="",C783="",D783="")),",","")&amp;IF(B783="","雇用形態","")&amp;IF(AND(B783="",OR(C783="",D783="")),",","")&amp;IF(OR(入力シート!$J$18=入力リスト!$H$9,入力シート!$J$22=入力リスト!$H$9),IF(C783="","入社年月日",""),"")&amp;IF(AND(C783="",D783=""),",","")&amp;IF(D783="","性別","")&amp;IF(IF(A783="","従業員番号","")&amp;IF(B783="","雇用形態","")&amp;IF(OR(入力シート!$J$18=入力リスト!$H$9,入力シート!$J$22=入力リスト!$H$9),IF(C783="","入社年月日",""),"")&amp;IF(D783="","性別","")="","","が空白です。"),IF(J783,"入社年月日に「基準日」の翌日以降の日付が入力されています。","")&amp;IF(I783,"入社年月日に数値以外（又は1900/1/1以前の日付）が入力されています。","")&amp;IF(H783,"雇用形態"&amp;IF(OR(K783,L783),",",""),"")&amp;IF(K783,"性別"&amp;IF(L783,",",""),"")&amp;IF(L783,"役職","")&amp;IF(OR(H783,K783,L783),"に、［入力シート］(4)「貴社」欄と異なる文言が入力されています。","")))))</f>
        <v/>
      </c>
      <c r="O783" s="298" t="str">
        <f>IF(B783="","",VLOOKUP('従業員情報(給与以外)'!$B783,入力シート!$S$37:$Z$62,5,0))</f>
        <v/>
      </c>
      <c r="P783" s="298" t="str">
        <f>IF(ISNUMBER(C783)=FALSE,"",IF(C783&gt;入力シート!$J$24,"",_xlfn.DAYS(入力シート!$J$24,'従業員情報(給与以外)'!$C783)/365))</f>
        <v/>
      </c>
      <c r="Q783" s="298" t="str">
        <f>IF(P783="","",VLOOKUP(_xlfn.DAYS(入力シート!$J$24,'従業員情報(給与以外)'!$C783)/365,入力リスト!$K$18:$L$26,2,2))</f>
        <v/>
      </c>
      <c r="R783" s="298" t="str">
        <f>IF(D783="","",VLOOKUP('従業員情報(給与以外)'!$D783,入力シート!$AW$37:$BB$38,4,0))</f>
        <v/>
      </c>
      <c r="S783" s="298" t="str">
        <f>IF(A783="","",IF(E783="","非役職",VLOOKUP('従業員情報(給与以外)'!$E783,入力シート!$AH$37:$AO$62,5,0)))</f>
        <v/>
      </c>
      <c r="T783" s="299" t="str">
        <f>IF(OR(入力シート!$C$5&lt;&gt;入力リスト!$C$3,COUNTIF(入力シート!$J$16:$S$23,入力リスト!$H$9)=0),"",IF($A783="","",IF(ISERROR(AVERAGEIF(従業員の給与情報!$B:$B,$A783,従業員の給与情報!$C:$C)),0,IF(ISERROR(AVERAGEIF(従業員の給与情報!$B:$B,$A783,従業員の給与情報!$C:$C)),0,AVERAGEIF(従業員の給与情報!$B:$B,$A783,従業員の給与情報!$C:$C)))))</f>
        <v/>
      </c>
      <c r="U783" s="299" t="str">
        <f>IF(OR(入力シート!$C$5&lt;&gt;入力リスト!$C$3,COUNTIF(入力シート!$J$16:$S$23,入力リスト!$H$9)=0),"",IF(A783="","",IF(ISERROR(AVERAGEIF(従業員の給与情報!$B:$B,$A783,従業員の給与情報!$D:$D)),0,IF(ISERROR(AVERAGEIF(従業員の給与情報!$B:$B,$A783,従業員の給与情報!$D:$D)),0,AVERAGEIF(従業員の給与情報!$B:$B,$A783,従業員の給与情報!$D:$D)))))</f>
        <v/>
      </c>
      <c r="V783" s="299" t="str">
        <f>IF(OR(入力シート!$C$5&lt;&gt;入力リスト!$C$3,COUNTIF(入力シート!$J$16:$S$23,入力リスト!$H$9)=0),"",IF(A783="","",IF(ISERROR(AVERAGEIF(従業員の給与情報!$B:$B,$A783,従業員の給与情報!$E:$E)),0,IF(ISERROR(AVERAGEIF(従業員の給与情報!$B:$B,$A783,従業員の給与情報!$E:$E)),0,AVERAGEIF(従業員の給与情報!$B:$B,$A783,従業員の給与情報!$E:$E)))))</f>
        <v/>
      </c>
      <c r="W783" s="299" t="str">
        <f>IF(OR(入力シート!$C$5&lt;&gt;入力リスト!$C$3,COUNTIF(入力シート!$J$16:$S$23,入力リスト!$H$9)=0),"",IF(A783="","",IF(ISERROR(AVERAGEIF(従業員の給与情報!$B:$B,$A783,従業員の給与情報!$F:$F)),0,IF(ISERROR(AVERAGEIF(従業員の給与情報!$B:$B,$A783,従業員の給与情報!$F:$F)),0,AVERAGEIF(従業員の給与情報!$B:$B,$A783,従業員の給与情報!$F:$F)))))</f>
        <v/>
      </c>
      <c r="X783" s="581" t="s">
        <v>5522</v>
      </c>
    </row>
    <row r="784" spans="6:24">
      <c r="F784" s="297" t="str">
        <f>IF($G$1,"",IF(COUNTIF(A784:E784,"")=5,"",IF(G784,入力リスト!$K$28,IF(OR(A784="",B784="",IF(COUNTIF($C$3,"*不要*"),"",C784=""),D784=""),IF(A784="","従業員番号","")&amp;IF(B784="","「雇用形態」","")&amp;IF(OR(入力シート!$J$18=入力リスト!$H$9,入力シート!$J$22=入力リスト!$H$9),IF(C784="","「入社年月日」",""),"")&amp;IF(D784="","「性別」","")&amp;IF(IF(A784="","従業員番号","")&amp;IF(B784="","「雇用形態」","")&amp;IF(OR(入力シート!$J$18=入力リスト!$H$9,入力シート!$J$22=入力リスト!$H$9),IF(C784="","「入社年月日」",""),"")&amp;IF(D784="","「性別」","")="","",入力リスト!$K$29),IF(J784,入力リスト!$K$30,"")&amp;IF(I784,入力リスト!$K$31,"")&amp;IF(H784,"「雇用形態」","")&amp;IF(K784,"「性別」","")&amp;IF(L784,"「役職」","")&amp;IF(OR(H784,K784,L784),入力リスト!$K$32,"")))))</f>
        <v/>
      </c>
      <c r="G784" s="298" t="b">
        <f>COUNTIF($A$4:A783,$A784)&gt;0</f>
        <v>0</v>
      </c>
      <c r="H784" s="298" t="b">
        <f>IF($H$1,FALSE,COUNTIF(入力シート!$S$37:$V$62,B784)=0)</f>
        <v>0</v>
      </c>
      <c r="I784" s="298" t="b">
        <f t="shared" si="25"/>
        <v>0</v>
      </c>
      <c r="J784" s="298" t="b">
        <f>IF($J$1,FALSE,IF(I784=TRUE,FALSE,IF(I784,FALSE,C784&gt;入力シート!$J$24)))</f>
        <v>0</v>
      </c>
      <c r="K784" s="298" t="b">
        <f>IF($K$1,FALSE,COUNTIF(入力シート!$AW$37:$BB$38,D784)=0)</f>
        <v>0</v>
      </c>
      <c r="L784" s="298" t="b">
        <f>IF($L$1,FALSE,IF($L$3,FALSE,IF(E784="",FALSE,COUNTIF(入力シート!$AH$37:$AK$62,E784)=0)))</f>
        <v>0</v>
      </c>
      <c r="M784" s="298" t="str">
        <f t="shared" si="26"/>
        <v/>
      </c>
      <c r="N784" s="298" t="str">
        <f>IF(G784,"この従業員番号は、すでに他のセルで入力されています。",IF(入力シート!$C$5=入力リスト!$C$4,"",IF(AND(A784="",B784="",C784="",D784="",E784=""),"",IF(OR(A784="",B784="",C784="",D784=""),IF(A784="","従業員番号","")&amp;IF(AND(A784="",OR(B784="",C784="",D784="")),",","")&amp;IF(B784="","雇用形態","")&amp;IF(AND(B784="",OR(C784="",D784="")),",","")&amp;IF(OR(入力シート!$J$18=入力リスト!$H$9,入力シート!$J$22=入力リスト!$H$9),IF(C784="","入社年月日",""),"")&amp;IF(AND(C784="",D784=""),",","")&amp;IF(D784="","性別","")&amp;IF(IF(A784="","従業員番号","")&amp;IF(B784="","雇用形態","")&amp;IF(OR(入力シート!$J$18=入力リスト!$H$9,入力シート!$J$22=入力リスト!$H$9),IF(C784="","入社年月日",""),"")&amp;IF(D784="","性別","")="","","が空白です。"),IF(J784,"入社年月日に「基準日」の翌日以降の日付が入力されています。","")&amp;IF(I784,"入社年月日に数値以外（又は1900/1/1以前の日付）が入力されています。","")&amp;IF(H784,"雇用形態"&amp;IF(OR(K784,L784),",",""),"")&amp;IF(K784,"性別"&amp;IF(L784,",",""),"")&amp;IF(L784,"役職","")&amp;IF(OR(H784,K784,L784),"に、［入力シート］(4)「貴社」欄と異なる文言が入力されています。","")))))</f>
        <v/>
      </c>
      <c r="O784" s="298" t="str">
        <f>IF(B784="","",VLOOKUP('従業員情報(給与以外)'!$B784,入力シート!$S$37:$Z$62,5,0))</f>
        <v/>
      </c>
      <c r="P784" s="298" t="str">
        <f>IF(ISNUMBER(C784)=FALSE,"",IF(C784&gt;入力シート!$J$24,"",_xlfn.DAYS(入力シート!$J$24,'従業員情報(給与以外)'!$C784)/365))</f>
        <v/>
      </c>
      <c r="Q784" s="298" t="str">
        <f>IF(P784="","",VLOOKUP(_xlfn.DAYS(入力シート!$J$24,'従業員情報(給与以外)'!$C784)/365,入力リスト!$K$18:$L$26,2,2))</f>
        <v/>
      </c>
      <c r="R784" s="298" t="str">
        <f>IF(D784="","",VLOOKUP('従業員情報(給与以外)'!$D784,入力シート!$AW$37:$BB$38,4,0))</f>
        <v/>
      </c>
      <c r="S784" s="298" t="str">
        <f>IF(A784="","",IF(E784="","非役職",VLOOKUP('従業員情報(給与以外)'!$E784,入力シート!$AH$37:$AO$62,5,0)))</f>
        <v/>
      </c>
      <c r="T784" s="299" t="str">
        <f>IF(OR(入力シート!$C$5&lt;&gt;入力リスト!$C$3,COUNTIF(入力シート!$J$16:$S$23,入力リスト!$H$9)=0),"",IF($A784="","",IF(ISERROR(AVERAGEIF(従業員の給与情報!$B:$B,$A784,従業員の給与情報!$C:$C)),0,IF(ISERROR(AVERAGEIF(従業員の給与情報!$B:$B,$A784,従業員の給与情報!$C:$C)),0,AVERAGEIF(従業員の給与情報!$B:$B,$A784,従業員の給与情報!$C:$C)))))</f>
        <v/>
      </c>
      <c r="U784" s="299" t="str">
        <f>IF(OR(入力シート!$C$5&lt;&gt;入力リスト!$C$3,COUNTIF(入力シート!$J$16:$S$23,入力リスト!$H$9)=0),"",IF(A784="","",IF(ISERROR(AVERAGEIF(従業員の給与情報!$B:$B,$A784,従業員の給与情報!$D:$D)),0,IF(ISERROR(AVERAGEIF(従業員の給与情報!$B:$B,$A784,従業員の給与情報!$D:$D)),0,AVERAGEIF(従業員の給与情報!$B:$B,$A784,従業員の給与情報!$D:$D)))))</f>
        <v/>
      </c>
      <c r="V784" s="299" t="str">
        <f>IF(OR(入力シート!$C$5&lt;&gt;入力リスト!$C$3,COUNTIF(入力シート!$J$16:$S$23,入力リスト!$H$9)=0),"",IF(A784="","",IF(ISERROR(AVERAGEIF(従業員の給与情報!$B:$B,$A784,従業員の給与情報!$E:$E)),0,IF(ISERROR(AVERAGEIF(従業員の給与情報!$B:$B,$A784,従業員の給与情報!$E:$E)),0,AVERAGEIF(従業員の給与情報!$B:$B,$A784,従業員の給与情報!$E:$E)))))</f>
        <v/>
      </c>
      <c r="W784" s="299" t="str">
        <f>IF(OR(入力シート!$C$5&lt;&gt;入力リスト!$C$3,COUNTIF(入力シート!$J$16:$S$23,入力リスト!$H$9)=0),"",IF(A784="","",IF(ISERROR(AVERAGEIF(従業員の給与情報!$B:$B,$A784,従業員の給与情報!$F:$F)),0,IF(ISERROR(AVERAGEIF(従業員の給与情報!$B:$B,$A784,従業員の給与情報!$F:$F)),0,AVERAGEIF(従業員の給与情報!$B:$B,$A784,従業員の給与情報!$F:$F)))))</f>
        <v/>
      </c>
      <c r="X784" s="581" t="s">
        <v>5523</v>
      </c>
    </row>
    <row r="785" spans="6:24">
      <c r="F785" s="297" t="str">
        <f>IF($G$1,"",IF(COUNTIF(A785:E785,"")=5,"",IF(G785,入力リスト!$K$28,IF(OR(A785="",B785="",IF(COUNTIF($C$3,"*不要*"),"",C785=""),D785=""),IF(A785="","従業員番号","")&amp;IF(B785="","「雇用形態」","")&amp;IF(OR(入力シート!$J$18=入力リスト!$H$9,入力シート!$J$22=入力リスト!$H$9),IF(C785="","「入社年月日」",""),"")&amp;IF(D785="","「性別」","")&amp;IF(IF(A785="","従業員番号","")&amp;IF(B785="","「雇用形態」","")&amp;IF(OR(入力シート!$J$18=入力リスト!$H$9,入力シート!$J$22=入力リスト!$H$9),IF(C785="","「入社年月日」",""),"")&amp;IF(D785="","「性別」","")="","",入力リスト!$K$29),IF(J785,入力リスト!$K$30,"")&amp;IF(I785,入力リスト!$K$31,"")&amp;IF(H785,"「雇用形態」","")&amp;IF(K785,"「性別」","")&amp;IF(L785,"「役職」","")&amp;IF(OR(H785,K785,L785),入力リスト!$K$32,"")))))</f>
        <v/>
      </c>
      <c r="G785" s="298" t="b">
        <f>COUNTIF($A$4:A784,$A785)&gt;0</f>
        <v>0</v>
      </c>
      <c r="H785" s="298" t="b">
        <f>IF($H$1,FALSE,COUNTIF(入力シート!$S$37:$V$62,B785)=0)</f>
        <v>0</v>
      </c>
      <c r="I785" s="298" t="b">
        <f t="shared" si="25"/>
        <v>0</v>
      </c>
      <c r="J785" s="298" t="b">
        <f>IF($J$1,FALSE,IF(I785=TRUE,FALSE,IF(I785,FALSE,C785&gt;入力シート!$J$24)))</f>
        <v>0</v>
      </c>
      <c r="K785" s="298" t="b">
        <f>IF($K$1,FALSE,COUNTIF(入力シート!$AW$37:$BB$38,D785)=0)</f>
        <v>0</v>
      </c>
      <c r="L785" s="298" t="b">
        <f>IF($L$1,FALSE,IF($L$3,FALSE,IF(E785="",FALSE,COUNTIF(入力シート!$AH$37:$AK$62,E785)=0)))</f>
        <v>0</v>
      </c>
      <c r="M785" s="298" t="str">
        <f t="shared" si="26"/>
        <v/>
      </c>
      <c r="N785" s="298" t="str">
        <f>IF(G785,"この従業員番号は、すでに他のセルで入力されています。",IF(入力シート!$C$5=入力リスト!$C$4,"",IF(AND(A785="",B785="",C785="",D785="",E785=""),"",IF(OR(A785="",B785="",C785="",D785=""),IF(A785="","従業員番号","")&amp;IF(AND(A785="",OR(B785="",C785="",D785="")),",","")&amp;IF(B785="","雇用形態","")&amp;IF(AND(B785="",OR(C785="",D785="")),",","")&amp;IF(OR(入力シート!$J$18=入力リスト!$H$9,入力シート!$J$22=入力リスト!$H$9),IF(C785="","入社年月日",""),"")&amp;IF(AND(C785="",D785=""),",","")&amp;IF(D785="","性別","")&amp;IF(IF(A785="","従業員番号","")&amp;IF(B785="","雇用形態","")&amp;IF(OR(入力シート!$J$18=入力リスト!$H$9,入力シート!$J$22=入力リスト!$H$9),IF(C785="","入社年月日",""),"")&amp;IF(D785="","性別","")="","","が空白です。"),IF(J785,"入社年月日に「基準日」の翌日以降の日付が入力されています。","")&amp;IF(I785,"入社年月日に数値以外（又は1900/1/1以前の日付）が入力されています。","")&amp;IF(H785,"雇用形態"&amp;IF(OR(K785,L785),",",""),"")&amp;IF(K785,"性別"&amp;IF(L785,",",""),"")&amp;IF(L785,"役職","")&amp;IF(OR(H785,K785,L785),"に、［入力シート］(4)「貴社」欄と異なる文言が入力されています。","")))))</f>
        <v/>
      </c>
      <c r="O785" s="298" t="str">
        <f>IF(B785="","",VLOOKUP('従業員情報(給与以外)'!$B785,入力シート!$S$37:$Z$62,5,0))</f>
        <v/>
      </c>
      <c r="P785" s="298" t="str">
        <f>IF(ISNUMBER(C785)=FALSE,"",IF(C785&gt;入力シート!$J$24,"",_xlfn.DAYS(入力シート!$J$24,'従業員情報(給与以外)'!$C785)/365))</f>
        <v/>
      </c>
      <c r="Q785" s="298" t="str">
        <f>IF(P785="","",VLOOKUP(_xlfn.DAYS(入力シート!$J$24,'従業員情報(給与以外)'!$C785)/365,入力リスト!$K$18:$L$26,2,2))</f>
        <v/>
      </c>
      <c r="R785" s="298" t="str">
        <f>IF(D785="","",VLOOKUP('従業員情報(給与以外)'!$D785,入力シート!$AW$37:$BB$38,4,0))</f>
        <v/>
      </c>
      <c r="S785" s="298" t="str">
        <f>IF(A785="","",IF(E785="","非役職",VLOOKUP('従業員情報(給与以外)'!$E785,入力シート!$AH$37:$AO$62,5,0)))</f>
        <v/>
      </c>
      <c r="T785" s="299" t="str">
        <f>IF(OR(入力シート!$C$5&lt;&gt;入力リスト!$C$3,COUNTIF(入力シート!$J$16:$S$23,入力リスト!$H$9)=0),"",IF($A785="","",IF(ISERROR(AVERAGEIF(従業員の給与情報!$B:$B,$A785,従業員の給与情報!$C:$C)),0,IF(ISERROR(AVERAGEIF(従業員の給与情報!$B:$B,$A785,従業員の給与情報!$C:$C)),0,AVERAGEIF(従業員の給与情報!$B:$B,$A785,従業員の給与情報!$C:$C)))))</f>
        <v/>
      </c>
      <c r="U785" s="299" t="str">
        <f>IF(OR(入力シート!$C$5&lt;&gt;入力リスト!$C$3,COUNTIF(入力シート!$J$16:$S$23,入力リスト!$H$9)=0),"",IF(A785="","",IF(ISERROR(AVERAGEIF(従業員の給与情報!$B:$B,$A785,従業員の給与情報!$D:$D)),0,IF(ISERROR(AVERAGEIF(従業員の給与情報!$B:$B,$A785,従業員の給与情報!$D:$D)),0,AVERAGEIF(従業員の給与情報!$B:$B,$A785,従業員の給与情報!$D:$D)))))</f>
        <v/>
      </c>
      <c r="V785" s="299" t="str">
        <f>IF(OR(入力シート!$C$5&lt;&gt;入力リスト!$C$3,COUNTIF(入力シート!$J$16:$S$23,入力リスト!$H$9)=0),"",IF(A785="","",IF(ISERROR(AVERAGEIF(従業員の給与情報!$B:$B,$A785,従業員の給与情報!$E:$E)),0,IF(ISERROR(AVERAGEIF(従業員の給与情報!$B:$B,$A785,従業員の給与情報!$E:$E)),0,AVERAGEIF(従業員の給与情報!$B:$B,$A785,従業員の給与情報!$E:$E)))))</f>
        <v/>
      </c>
      <c r="W785" s="299" t="str">
        <f>IF(OR(入力シート!$C$5&lt;&gt;入力リスト!$C$3,COUNTIF(入力シート!$J$16:$S$23,入力リスト!$H$9)=0),"",IF(A785="","",IF(ISERROR(AVERAGEIF(従業員の給与情報!$B:$B,$A785,従業員の給与情報!$F:$F)),0,IF(ISERROR(AVERAGEIF(従業員の給与情報!$B:$B,$A785,従業員の給与情報!$F:$F)),0,AVERAGEIF(従業員の給与情報!$B:$B,$A785,従業員の給与情報!$F:$F)))))</f>
        <v/>
      </c>
      <c r="X785" s="581" t="s">
        <v>5524</v>
      </c>
    </row>
    <row r="786" spans="6:24">
      <c r="F786" s="297" t="str">
        <f>IF($G$1,"",IF(COUNTIF(A786:E786,"")=5,"",IF(G786,入力リスト!$K$28,IF(OR(A786="",B786="",IF(COUNTIF($C$3,"*不要*"),"",C786=""),D786=""),IF(A786="","従業員番号","")&amp;IF(B786="","「雇用形態」","")&amp;IF(OR(入力シート!$J$18=入力リスト!$H$9,入力シート!$J$22=入力リスト!$H$9),IF(C786="","「入社年月日」",""),"")&amp;IF(D786="","「性別」","")&amp;IF(IF(A786="","従業員番号","")&amp;IF(B786="","「雇用形態」","")&amp;IF(OR(入力シート!$J$18=入力リスト!$H$9,入力シート!$J$22=入力リスト!$H$9),IF(C786="","「入社年月日」",""),"")&amp;IF(D786="","「性別」","")="","",入力リスト!$K$29),IF(J786,入力リスト!$K$30,"")&amp;IF(I786,入力リスト!$K$31,"")&amp;IF(H786,"「雇用形態」","")&amp;IF(K786,"「性別」","")&amp;IF(L786,"「役職」","")&amp;IF(OR(H786,K786,L786),入力リスト!$K$32,"")))))</f>
        <v/>
      </c>
      <c r="G786" s="298" t="b">
        <f>COUNTIF($A$4:A785,$A786)&gt;0</f>
        <v>0</v>
      </c>
      <c r="H786" s="298" t="b">
        <f>IF($H$1,FALSE,COUNTIF(入力シート!$S$37:$V$62,B786)=0)</f>
        <v>0</v>
      </c>
      <c r="I786" s="298" t="b">
        <f t="shared" si="25"/>
        <v>0</v>
      </c>
      <c r="J786" s="298" t="b">
        <f>IF($J$1,FALSE,IF(I786=TRUE,FALSE,IF(I786,FALSE,C786&gt;入力シート!$J$24)))</f>
        <v>0</v>
      </c>
      <c r="K786" s="298" t="b">
        <f>IF($K$1,FALSE,COUNTIF(入力シート!$AW$37:$BB$38,D786)=0)</f>
        <v>0</v>
      </c>
      <c r="L786" s="298" t="b">
        <f>IF($L$1,FALSE,IF($L$3,FALSE,IF(E786="",FALSE,COUNTIF(入力シート!$AH$37:$AK$62,E786)=0)))</f>
        <v>0</v>
      </c>
      <c r="M786" s="298" t="str">
        <f t="shared" si="26"/>
        <v/>
      </c>
      <c r="N786" s="298" t="str">
        <f>IF(G786,"この従業員番号は、すでに他のセルで入力されています。",IF(入力シート!$C$5=入力リスト!$C$4,"",IF(AND(A786="",B786="",C786="",D786="",E786=""),"",IF(OR(A786="",B786="",C786="",D786=""),IF(A786="","従業員番号","")&amp;IF(AND(A786="",OR(B786="",C786="",D786="")),",","")&amp;IF(B786="","雇用形態","")&amp;IF(AND(B786="",OR(C786="",D786="")),",","")&amp;IF(OR(入力シート!$J$18=入力リスト!$H$9,入力シート!$J$22=入力リスト!$H$9),IF(C786="","入社年月日",""),"")&amp;IF(AND(C786="",D786=""),",","")&amp;IF(D786="","性別","")&amp;IF(IF(A786="","従業員番号","")&amp;IF(B786="","雇用形態","")&amp;IF(OR(入力シート!$J$18=入力リスト!$H$9,入力シート!$J$22=入力リスト!$H$9),IF(C786="","入社年月日",""),"")&amp;IF(D786="","性別","")="","","が空白です。"),IF(J786,"入社年月日に「基準日」の翌日以降の日付が入力されています。","")&amp;IF(I786,"入社年月日に数値以外（又は1900/1/1以前の日付）が入力されています。","")&amp;IF(H786,"雇用形態"&amp;IF(OR(K786,L786),",",""),"")&amp;IF(K786,"性別"&amp;IF(L786,",",""),"")&amp;IF(L786,"役職","")&amp;IF(OR(H786,K786,L786),"に、［入力シート］(4)「貴社」欄と異なる文言が入力されています。","")))))</f>
        <v/>
      </c>
      <c r="O786" s="298" t="str">
        <f>IF(B786="","",VLOOKUP('従業員情報(給与以外)'!$B786,入力シート!$S$37:$Z$62,5,0))</f>
        <v/>
      </c>
      <c r="P786" s="298" t="str">
        <f>IF(ISNUMBER(C786)=FALSE,"",IF(C786&gt;入力シート!$J$24,"",_xlfn.DAYS(入力シート!$J$24,'従業員情報(給与以外)'!$C786)/365))</f>
        <v/>
      </c>
      <c r="Q786" s="298" t="str">
        <f>IF(P786="","",VLOOKUP(_xlfn.DAYS(入力シート!$J$24,'従業員情報(給与以外)'!$C786)/365,入力リスト!$K$18:$L$26,2,2))</f>
        <v/>
      </c>
      <c r="R786" s="298" t="str">
        <f>IF(D786="","",VLOOKUP('従業員情報(給与以外)'!$D786,入力シート!$AW$37:$BB$38,4,0))</f>
        <v/>
      </c>
      <c r="S786" s="298" t="str">
        <f>IF(A786="","",IF(E786="","非役職",VLOOKUP('従業員情報(給与以外)'!$E786,入力シート!$AH$37:$AO$62,5,0)))</f>
        <v/>
      </c>
      <c r="T786" s="299" t="str">
        <f>IF(OR(入力シート!$C$5&lt;&gt;入力リスト!$C$3,COUNTIF(入力シート!$J$16:$S$23,入力リスト!$H$9)=0),"",IF($A786="","",IF(ISERROR(AVERAGEIF(従業員の給与情報!$B:$B,$A786,従業員の給与情報!$C:$C)),0,IF(ISERROR(AVERAGEIF(従業員の給与情報!$B:$B,$A786,従業員の給与情報!$C:$C)),0,AVERAGEIF(従業員の給与情報!$B:$B,$A786,従業員の給与情報!$C:$C)))))</f>
        <v/>
      </c>
      <c r="U786" s="299" t="str">
        <f>IF(OR(入力シート!$C$5&lt;&gt;入力リスト!$C$3,COUNTIF(入力シート!$J$16:$S$23,入力リスト!$H$9)=0),"",IF(A786="","",IF(ISERROR(AVERAGEIF(従業員の給与情報!$B:$B,$A786,従業員の給与情報!$D:$D)),0,IF(ISERROR(AVERAGEIF(従業員の給与情報!$B:$B,$A786,従業員の給与情報!$D:$D)),0,AVERAGEIF(従業員の給与情報!$B:$B,$A786,従業員の給与情報!$D:$D)))))</f>
        <v/>
      </c>
      <c r="V786" s="299" t="str">
        <f>IF(OR(入力シート!$C$5&lt;&gt;入力リスト!$C$3,COUNTIF(入力シート!$J$16:$S$23,入力リスト!$H$9)=0),"",IF(A786="","",IF(ISERROR(AVERAGEIF(従業員の給与情報!$B:$B,$A786,従業員の給与情報!$E:$E)),0,IF(ISERROR(AVERAGEIF(従業員の給与情報!$B:$B,$A786,従業員の給与情報!$E:$E)),0,AVERAGEIF(従業員の給与情報!$B:$B,$A786,従業員の給与情報!$E:$E)))))</f>
        <v/>
      </c>
      <c r="W786" s="299" t="str">
        <f>IF(OR(入力シート!$C$5&lt;&gt;入力リスト!$C$3,COUNTIF(入力シート!$J$16:$S$23,入力リスト!$H$9)=0),"",IF(A786="","",IF(ISERROR(AVERAGEIF(従業員の給与情報!$B:$B,$A786,従業員の給与情報!$F:$F)),0,IF(ISERROR(AVERAGEIF(従業員の給与情報!$B:$B,$A786,従業員の給与情報!$F:$F)),0,AVERAGEIF(従業員の給与情報!$B:$B,$A786,従業員の給与情報!$F:$F)))))</f>
        <v/>
      </c>
      <c r="X786" s="581" t="s">
        <v>5525</v>
      </c>
    </row>
    <row r="787" spans="6:24">
      <c r="F787" s="297" t="str">
        <f>IF($G$1,"",IF(COUNTIF(A787:E787,"")=5,"",IF(G787,入力リスト!$K$28,IF(OR(A787="",B787="",IF(COUNTIF($C$3,"*不要*"),"",C787=""),D787=""),IF(A787="","従業員番号","")&amp;IF(B787="","「雇用形態」","")&amp;IF(OR(入力シート!$J$18=入力リスト!$H$9,入力シート!$J$22=入力リスト!$H$9),IF(C787="","「入社年月日」",""),"")&amp;IF(D787="","「性別」","")&amp;IF(IF(A787="","従業員番号","")&amp;IF(B787="","「雇用形態」","")&amp;IF(OR(入力シート!$J$18=入力リスト!$H$9,入力シート!$J$22=入力リスト!$H$9),IF(C787="","「入社年月日」",""),"")&amp;IF(D787="","「性別」","")="","",入力リスト!$K$29),IF(J787,入力リスト!$K$30,"")&amp;IF(I787,入力リスト!$K$31,"")&amp;IF(H787,"「雇用形態」","")&amp;IF(K787,"「性別」","")&amp;IF(L787,"「役職」","")&amp;IF(OR(H787,K787,L787),入力リスト!$K$32,"")))))</f>
        <v/>
      </c>
      <c r="G787" s="298" t="b">
        <f>COUNTIF($A$4:A786,$A787)&gt;0</f>
        <v>0</v>
      </c>
      <c r="H787" s="298" t="b">
        <f>IF($H$1,FALSE,COUNTIF(入力シート!$S$37:$V$62,B787)=0)</f>
        <v>0</v>
      </c>
      <c r="I787" s="298" t="b">
        <f t="shared" si="25"/>
        <v>0</v>
      </c>
      <c r="J787" s="298" t="b">
        <f>IF($J$1,FALSE,IF(I787=TRUE,FALSE,IF(I787,FALSE,C787&gt;入力シート!$J$24)))</f>
        <v>0</v>
      </c>
      <c r="K787" s="298" t="b">
        <f>IF($K$1,FALSE,COUNTIF(入力シート!$AW$37:$BB$38,D787)=0)</f>
        <v>0</v>
      </c>
      <c r="L787" s="298" t="b">
        <f>IF($L$1,FALSE,IF($L$3,FALSE,IF(E787="",FALSE,COUNTIF(入力シート!$AH$37:$AK$62,E787)=0)))</f>
        <v>0</v>
      </c>
      <c r="M787" s="298" t="str">
        <f t="shared" si="26"/>
        <v/>
      </c>
      <c r="N787" s="298" t="str">
        <f>IF(G787,"この従業員番号は、すでに他のセルで入力されています。",IF(入力シート!$C$5=入力リスト!$C$4,"",IF(AND(A787="",B787="",C787="",D787="",E787=""),"",IF(OR(A787="",B787="",C787="",D787=""),IF(A787="","従業員番号","")&amp;IF(AND(A787="",OR(B787="",C787="",D787="")),",","")&amp;IF(B787="","雇用形態","")&amp;IF(AND(B787="",OR(C787="",D787="")),",","")&amp;IF(OR(入力シート!$J$18=入力リスト!$H$9,入力シート!$J$22=入力リスト!$H$9),IF(C787="","入社年月日",""),"")&amp;IF(AND(C787="",D787=""),",","")&amp;IF(D787="","性別","")&amp;IF(IF(A787="","従業員番号","")&amp;IF(B787="","雇用形態","")&amp;IF(OR(入力シート!$J$18=入力リスト!$H$9,入力シート!$J$22=入力リスト!$H$9),IF(C787="","入社年月日",""),"")&amp;IF(D787="","性別","")="","","が空白です。"),IF(J787,"入社年月日に「基準日」の翌日以降の日付が入力されています。","")&amp;IF(I787,"入社年月日に数値以外（又は1900/1/1以前の日付）が入力されています。","")&amp;IF(H787,"雇用形態"&amp;IF(OR(K787,L787),",",""),"")&amp;IF(K787,"性別"&amp;IF(L787,",",""),"")&amp;IF(L787,"役職","")&amp;IF(OR(H787,K787,L787),"に、［入力シート］(4)「貴社」欄と異なる文言が入力されています。","")))))</f>
        <v/>
      </c>
      <c r="O787" s="298" t="str">
        <f>IF(B787="","",VLOOKUP('従業員情報(給与以外)'!$B787,入力シート!$S$37:$Z$62,5,0))</f>
        <v/>
      </c>
      <c r="P787" s="298" t="str">
        <f>IF(ISNUMBER(C787)=FALSE,"",IF(C787&gt;入力シート!$J$24,"",_xlfn.DAYS(入力シート!$J$24,'従業員情報(給与以外)'!$C787)/365))</f>
        <v/>
      </c>
      <c r="Q787" s="298" t="str">
        <f>IF(P787="","",VLOOKUP(_xlfn.DAYS(入力シート!$J$24,'従業員情報(給与以外)'!$C787)/365,入力リスト!$K$18:$L$26,2,2))</f>
        <v/>
      </c>
      <c r="R787" s="298" t="str">
        <f>IF(D787="","",VLOOKUP('従業員情報(給与以外)'!$D787,入力シート!$AW$37:$BB$38,4,0))</f>
        <v/>
      </c>
      <c r="S787" s="298" t="str">
        <f>IF(A787="","",IF(E787="","非役職",VLOOKUP('従業員情報(給与以外)'!$E787,入力シート!$AH$37:$AO$62,5,0)))</f>
        <v/>
      </c>
      <c r="T787" s="299" t="str">
        <f>IF(OR(入力シート!$C$5&lt;&gt;入力リスト!$C$3,COUNTIF(入力シート!$J$16:$S$23,入力リスト!$H$9)=0),"",IF($A787="","",IF(ISERROR(AVERAGEIF(従業員の給与情報!$B:$B,$A787,従業員の給与情報!$C:$C)),0,IF(ISERROR(AVERAGEIF(従業員の給与情報!$B:$B,$A787,従業員の給与情報!$C:$C)),0,AVERAGEIF(従業員の給与情報!$B:$B,$A787,従業員の給与情報!$C:$C)))))</f>
        <v/>
      </c>
      <c r="U787" s="299" t="str">
        <f>IF(OR(入力シート!$C$5&lt;&gt;入力リスト!$C$3,COUNTIF(入力シート!$J$16:$S$23,入力リスト!$H$9)=0),"",IF(A787="","",IF(ISERROR(AVERAGEIF(従業員の給与情報!$B:$B,$A787,従業員の給与情報!$D:$D)),0,IF(ISERROR(AVERAGEIF(従業員の給与情報!$B:$B,$A787,従業員の給与情報!$D:$D)),0,AVERAGEIF(従業員の給与情報!$B:$B,$A787,従業員の給与情報!$D:$D)))))</f>
        <v/>
      </c>
      <c r="V787" s="299" t="str">
        <f>IF(OR(入力シート!$C$5&lt;&gt;入力リスト!$C$3,COUNTIF(入力シート!$J$16:$S$23,入力リスト!$H$9)=0),"",IF(A787="","",IF(ISERROR(AVERAGEIF(従業員の給与情報!$B:$B,$A787,従業員の給与情報!$E:$E)),0,IF(ISERROR(AVERAGEIF(従業員の給与情報!$B:$B,$A787,従業員の給与情報!$E:$E)),0,AVERAGEIF(従業員の給与情報!$B:$B,$A787,従業員の給与情報!$E:$E)))))</f>
        <v/>
      </c>
      <c r="W787" s="299" t="str">
        <f>IF(OR(入力シート!$C$5&lt;&gt;入力リスト!$C$3,COUNTIF(入力シート!$J$16:$S$23,入力リスト!$H$9)=0),"",IF(A787="","",IF(ISERROR(AVERAGEIF(従業員の給与情報!$B:$B,$A787,従業員の給与情報!$F:$F)),0,IF(ISERROR(AVERAGEIF(従業員の給与情報!$B:$B,$A787,従業員の給与情報!$F:$F)),0,AVERAGEIF(従業員の給与情報!$B:$B,$A787,従業員の給与情報!$F:$F)))))</f>
        <v/>
      </c>
      <c r="X787" s="581" t="s">
        <v>5526</v>
      </c>
    </row>
    <row r="788" spans="6:24">
      <c r="F788" s="297" t="str">
        <f>IF($G$1,"",IF(COUNTIF(A788:E788,"")=5,"",IF(G788,入力リスト!$K$28,IF(OR(A788="",B788="",IF(COUNTIF($C$3,"*不要*"),"",C788=""),D788=""),IF(A788="","従業員番号","")&amp;IF(B788="","「雇用形態」","")&amp;IF(OR(入力シート!$J$18=入力リスト!$H$9,入力シート!$J$22=入力リスト!$H$9),IF(C788="","「入社年月日」",""),"")&amp;IF(D788="","「性別」","")&amp;IF(IF(A788="","従業員番号","")&amp;IF(B788="","「雇用形態」","")&amp;IF(OR(入力シート!$J$18=入力リスト!$H$9,入力シート!$J$22=入力リスト!$H$9),IF(C788="","「入社年月日」",""),"")&amp;IF(D788="","「性別」","")="","",入力リスト!$K$29),IF(J788,入力リスト!$K$30,"")&amp;IF(I788,入力リスト!$K$31,"")&amp;IF(H788,"「雇用形態」","")&amp;IF(K788,"「性別」","")&amp;IF(L788,"「役職」","")&amp;IF(OR(H788,K788,L788),入力リスト!$K$32,"")))))</f>
        <v/>
      </c>
      <c r="G788" s="298" t="b">
        <f>COUNTIF($A$4:A787,$A788)&gt;0</f>
        <v>0</v>
      </c>
      <c r="H788" s="298" t="b">
        <f>IF($H$1,FALSE,COUNTIF(入力シート!$S$37:$V$62,B788)=0)</f>
        <v>0</v>
      </c>
      <c r="I788" s="298" t="b">
        <f t="shared" si="25"/>
        <v>0</v>
      </c>
      <c r="J788" s="298" t="b">
        <f>IF($J$1,FALSE,IF(I788=TRUE,FALSE,IF(I788,FALSE,C788&gt;入力シート!$J$24)))</f>
        <v>0</v>
      </c>
      <c r="K788" s="298" t="b">
        <f>IF($K$1,FALSE,COUNTIF(入力シート!$AW$37:$BB$38,D788)=0)</f>
        <v>0</v>
      </c>
      <c r="L788" s="298" t="b">
        <f>IF($L$1,FALSE,IF($L$3,FALSE,IF(E788="",FALSE,COUNTIF(入力シート!$AH$37:$AK$62,E788)=0)))</f>
        <v>0</v>
      </c>
      <c r="M788" s="298" t="str">
        <f t="shared" si="26"/>
        <v/>
      </c>
      <c r="N788" s="298" t="str">
        <f>IF(G788,"この従業員番号は、すでに他のセルで入力されています。",IF(入力シート!$C$5=入力リスト!$C$4,"",IF(AND(A788="",B788="",C788="",D788="",E788=""),"",IF(OR(A788="",B788="",C788="",D788=""),IF(A788="","従業員番号","")&amp;IF(AND(A788="",OR(B788="",C788="",D788="")),",","")&amp;IF(B788="","雇用形態","")&amp;IF(AND(B788="",OR(C788="",D788="")),",","")&amp;IF(OR(入力シート!$J$18=入力リスト!$H$9,入力シート!$J$22=入力リスト!$H$9),IF(C788="","入社年月日",""),"")&amp;IF(AND(C788="",D788=""),",","")&amp;IF(D788="","性別","")&amp;IF(IF(A788="","従業員番号","")&amp;IF(B788="","雇用形態","")&amp;IF(OR(入力シート!$J$18=入力リスト!$H$9,入力シート!$J$22=入力リスト!$H$9),IF(C788="","入社年月日",""),"")&amp;IF(D788="","性別","")="","","が空白です。"),IF(J788,"入社年月日に「基準日」の翌日以降の日付が入力されています。","")&amp;IF(I788,"入社年月日に数値以外（又は1900/1/1以前の日付）が入力されています。","")&amp;IF(H788,"雇用形態"&amp;IF(OR(K788,L788),",",""),"")&amp;IF(K788,"性別"&amp;IF(L788,",",""),"")&amp;IF(L788,"役職","")&amp;IF(OR(H788,K788,L788),"に、［入力シート］(4)「貴社」欄と異なる文言が入力されています。","")))))</f>
        <v/>
      </c>
      <c r="O788" s="298" t="str">
        <f>IF(B788="","",VLOOKUP('従業員情報(給与以外)'!$B788,入力シート!$S$37:$Z$62,5,0))</f>
        <v/>
      </c>
      <c r="P788" s="298" t="str">
        <f>IF(ISNUMBER(C788)=FALSE,"",IF(C788&gt;入力シート!$J$24,"",_xlfn.DAYS(入力シート!$J$24,'従業員情報(給与以外)'!$C788)/365))</f>
        <v/>
      </c>
      <c r="Q788" s="298" t="str">
        <f>IF(P788="","",VLOOKUP(_xlfn.DAYS(入力シート!$J$24,'従業員情報(給与以外)'!$C788)/365,入力リスト!$K$18:$L$26,2,2))</f>
        <v/>
      </c>
      <c r="R788" s="298" t="str">
        <f>IF(D788="","",VLOOKUP('従業員情報(給与以外)'!$D788,入力シート!$AW$37:$BB$38,4,0))</f>
        <v/>
      </c>
      <c r="S788" s="298" t="str">
        <f>IF(A788="","",IF(E788="","非役職",VLOOKUP('従業員情報(給与以外)'!$E788,入力シート!$AH$37:$AO$62,5,0)))</f>
        <v/>
      </c>
      <c r="T788" s="299" t="str">
        <f>IF(OR(入力シート!$C$5&lt;&gt;入力リスト!$C$3,COUNTIF(入力シート!$J$16:$S$23,入力リスト!$H$9)=0),"",IF($A788="","",IF(ISERROR(AVERAGEIF(従業員の給与情報!$B:$B,$A788,従業員の給与情報!$C:$C)),0,IF(ISERROR(AVERAGEIF(従業員の給与情報!$B:$B,$A788,従業員の給与情報!$C:$C)),0,AVERAGEIF(従業員の給与情報!$B:$B,$A788,従業員の給与情報!$C:$C)))))</f>
        <v/>
      </c>
      <c r="U788" s="299" t="str">
        <f>IF(OR(入力シート!$C$5&lt;&gt;入力リスト!$C$3,COUNTIF(入力シート!$J$16:$S$23,入力リスト!$H$9)=0),"",IF(A788="","",IF(ISERROR(AVERAGEIF(従業員の給与情報!$B:$B,$A788,従業員の給与情報!$D:$D)),0,IF(ISERROR(AVERAGEIF(従業員の給与情報!$B:$B,$A788,従業員の給与情報!$D:$D)),0,AVERAGEIF(従業員の給与情報!$B:$B,$A788,従業員の給与情報!$D:$D)))))</f>
        <v/>
      </c>
      <c r="V788" s="299" t="str">
        <f>IF(OR(入力シート!$C$5&lt;&gt;入力リスト!$C$3,COUNTIF(入力シート!$J$16:$S$23,入力リスト!$H$9)=0),"",IF(A788="","",IF(ISERROR(AVERAGEIF(従業員の給与情報!$B:$B,$A788,従業員の給与情報!$E:$E)),0,IF(ISERROR(AVERAGEIF(従業員の給与情報!$B:$B,$A788,従業員の給与情報!$E:$E)),0,AVERAGEIF(従業員の給与情報!$B:$B,$A788,従業員の給与情報!$E:$E)))))</f>
        <v/>
      </c>
      <c r="W788" s="299" t="str">
        <f>IF(OR(入力シート!$C$5&lt;&gt;入力リスト!$C$3,COUNTIF(入力シート!$J$16:$S$23,入力リスト!$H$9)=0),"",IF(A788="","",IF(ISERROR(AVERAGEIF(従業員の給与情報!$B:$B,$A788,従業員の給与情報!$F:$F)),0,IF(ISERROR(AVERAGEIF(従業員の給与情報!$B:$B,$A788,従業員の給与情報!$F:$F)),0,AVERAGEIF(従業員の給与情報!$B:$B,$A788,従業員の給与情報!$F:$F)))))</f>
        <v/>
      </c>
      <c r="X788" s="581" t="s">
        <v>5527</v>
      </c>
    </row>
    <row r="789" spans="6:24">
      <c r="F789" s="297" t="str">
        <f>IF($G$1,"",IF(COUNTIF(A789:E789,"")=5,"",IF(G789,入力リスト!$K$28,IF(OR(A789="",B789="",IF(COUNTIF($C$3,"*不要*"),"",C789=""),D789=""),IF(A789="","従業員番号","")&amp;IF(B789="","「雇用形態」","")&amp;IF(OR(入力シート!$J$18=入力リスト!$H$9,入力シート!$J$22=入力リスト!$H$9),IF(C789="","「入社年月日」",""),"")&amp;IF(D789="","「性別」","")&amp;IF(IF(A789="","従業員番号","")&amp;IF(B789="","「雇用形態」","")&amp;IF(OR(入力シート!$J$18=入力リスト!$H$9,入力シート!$J$22=入力リスト!$H$9),IF(C789="","「入社年月日」",""),"")&amp;IF(D789="","「性別」","")="","",入力リスト!$K$29),IF(J789,入力リスト!$K$30,"")&amp;IF(I789,入力リスト!$K$31,"")&amp;IF(H789,"「雇用形態」","")&amp;IF(K789,"「性別」","")&amp;IF(L789,"「役職」","")&amp;IF(OR(H789,K789,L789),入力リスト!$K$32,"")))))</f>
        <v/>
      </c>
      <c r="G789" s="298" t="b">
        <f>COUNTIF($A$4:A788,$A789)&gt;0</f>
        <v>0</v>
      </c>
      <c r="H789" s="298" t="b">
        <f>IF($H$1,FALSE,COUNTIF(入力シート!$S$37:$V$62,B789)=0)</f>
        <v>0</v>
      </c>
      <c r="I789" s="298" t="b">
        <f t="shared" si="25"/>
        <v>0</v>
      </c>
      <c r="J789" s="298" t="b">
        <f>IF($J$1,FALSE,IF(I789=TRUE,FALSE,IF(I789,FALSE,C789&gt;入力シート!$J$24)))</f>
        <v>0</v>
      </c>
      <c r="K789" s="298" t="b">
        <f>IF($K$1,FALSE,COUNTIF(入力シート!$AW$37:$BB$38,D789)=0)</f>
        <v>0</v>
      </c>
      <c r="L789" s="298" t="b">
        <f>IF($L$1,FALSE,IF($L$3,FALSE,IF(E789="",FALSE,COUNTIF(入力シート!$AH$37:$AK$62,E789)=0)))</f>
        <v>0</v>
      </c>
      <c r="M789" s="298" t="str">
        <f t="shared" si="26"/>
        <v/>
      </c>
      <c r="N789" s="298" t="str">
        <f>IF(G789,"この従業員番号は、すでに他のセルで入力されています。",IF(入力シート!$C$5=入力リスト!$C$4,"",IF(AND(A789="",B789="",C789="",D789="",E789=""),"",IF(OR(A789="",B789="",C789="",D789=""),IF(A789="","従業員番号","")&amp;IF(AND(A789="",OR(B789="",C789="",D789="")),",","")&amp;IF(B789="","雇用形態","")&amp;IF(AND(B789="",OR(C789="",D789="")),",","")&amp;IF(OR(入力シート!$J$18=入力リスト!$H$9,入力シート!$J$22=入力リスト!$H$9),IF(C789="","入社年月日",""),"")&amp;IF(AND(C789="",D789=""),",","")&amp;IF(D789="","性別","")&amp;IF(IF(A789="","従業員番号","")&amp;IF(B789="","雇用形態","")&amp;IF(OR(入力シート!$J$18=入力リスト!$H$9,入力シート!$J$22=入力リスト!$H$9),IF(C789="","入社年月日",""),"")&amp;IF(D789="","性別","")="","","が空白です。"),IF(J789,"入社年月日に「基準日」の翌日以降の日付が入力されています。","")&amp;IF(I789,"入社年月日に数値以外（又は1900/1/1以前の日付）が入力されています。","")&amp;IF(H789,"雇用形態"&amp;IF(OR(K789,L789),",",""),"")&amp;IF(K789,"性別"&amp;IF(L789,",",""),"")&amp;IF(L789,"役職","")&amp;IF(OR(H789,K789,L789),"に、［入力シート］(4)「貴社」欄と異なる文言が入力されています。","")))))</f>
        <v/>
      </c>
      <c r="O789" s="298" t="str">
        <f>IF(B789="","",VLOOKUP('従業員情報(給与以外)'!$B789,入力シート!$S$37:$Z$62,5,0))</f>
        <v/>
      </c>
      <c r="P789" s="298" t="str">
        <f>IF(ISNUMBER(C789)=FALSE,"",IF(C789&gt;入力シート!$J$24,"",_xlfn.DAYS(入力シート!$J$24,'従業員情報(給与以外)'!$C789)/365))</f>
        <v/>
      </c>
      <c r="Q789" s="298" t="str">
        <f>IF(P789="","",VLOOKUP(_xlfn.DAYS(入力シート!$J$24,'従業員情報(給与以外)'!$C789)/365,入力リスト!$K$18:$L$26,2,2))</f>
        <v/>
      </c>
      <c r="R789" s="298" t="str">
        <f>IF(D789="","",VLOOKUP('従業員情報(給与以外)'!$D789,入力シート!$AW$37:$BB$38,4,0))</f>
        <v/>
      </c>
      <c r="S789" s="298" t="str">
        <f>IF(A789="","",IF(E789="","非役職",VLOOKUP('従業員情報(給与以外)'!$E789,入力シート!$AH$37:$AO$62,5,0)))</f>
        <v/>
      </c>
      <c r="T789" s="299" t="str">
        <f>IF(OR(入力シート!$C$5&lt;&gt;入力リスト!$C$3,COUNTIF(入力シート!$J$16:$S$23,入力リスト!$H$9)=0),"",IF($A789="","",IF(ISERROR(AVERAGEIF(従業員の給与情報!$B:$B,$A789,従業員の給与情報!$C:$C)),0,IF(ISERROR(AVERAGEIF(従業員の給与情報!$B:$B,$A789,従業員の給与情報!$C:$C)),0,AVERAGEIF(従業員の給与情報!$B:$B,$A789,従業員の給与情報!$C:$C)))))</f>
        <v/>
      </c>
      <c r="U789" s="299" t="str">
        <f>IF(OR(入力シート!$C$5&lt;&gt;入力リスト!$C$3,COUNTIF(入力シート!$J$16:$S$23,入力リスト!$H$9)=0),"",IF(A789="","",IF(ISERROR(AVERAGEIF(従業員の給与情報!$B:$B,$A789,従業員の給与情報!$D:$D)),0,IF(ISERROR(AVERAGEIF(従業員の給与情報!$B:$B,$A789,従業員の給与情報!$D:$D)),0,AVERAGEIF(従業員の給与情報!$B:$B,$A789,従業員の給与情報!$D:$D)))))</f>
        <v/>
      </c>
      <c r="V789" s="299" t="str">
        <f>IF(OR(入力シート!$C$5&lt;&gt;入力リスト!$C$3,COUNTIF(入力シート!$J$16:$S$23,入力リスト!$H$9)=0),"",IF(A789="","",IF(ISERROR(AVERAGEIF(従業員の給与情報!$B:$B,$A789,従業員の給与情報!$E:$E)),0,IF(ISERROR(AVERAGEIF(従業員の給与情報!$B:$B,$A789,従業員の給与情報!$E:$E)),0,AVERAGEIF(従業員の給与情報!$B:$B,$A789,従業員の給与情報!$E:$E)))))</f>
        <v/>
      </c>
      <c r="W789" s="299" t="str">
        <f>IF(OR(入力シート!$C$5&lt;&gt;入力リスト!$C$3,COUNTIF(入力シート!$J$16:$S$23,入力リスト!$H$9)=0),"",IF(A789="","",IF(ISERROR(AVERAGEIF(従業員の給与情報!$B:$B,$A789,従業員の給与情報!$F:$F)),0,IF(ISERROR(AVERAGEIF(従業員の給与情報!$B:$B,$A789,従業員の給与情報!$F:$F)),0,AVERAGEIF(従業員の給与情報!$B:$B,$A789,従業員の給与情報!$F:$F)))))</f>
        <v/>
      </c>
      <c r="X789" s="581" t="s">
        <v>5528</v>
      </c>
    </row>
    <row r="790" spans="6:24">
      <c r="F790" s="297" t="str">
        <f>IF($G$1,"",IF(COUNTIF(A790:E790,"")=5,"",IF(G790,入力リスト!$K$28,IF(OR(A790="",B790="",IF(COUNTIF($C$3,"*不要*"),"",C790=""),D790=""),IF(A790="","従業員番号","")&amp;IF(B790="","「雇用形態」","")&amp;IF(OR(入力シート!$J$18=入力リスト!$H$9,入力シート!$J$22=入力リスト!$H$9),IF(C790="","「入社年月日」",""),"")&amp;IF(D790="","「性別」","")&amp;IF(IF(A790="","従業員番号","")&amp;IF(B790="","「雇用形態」","")&amp;IF(OR(入力シート!$J$18=入力リスト!$H$9,入力シート!$J$22=入力リスト!$H$9),IF(C790="","「入社年月日」",""),"")&amp;IF(D790="","「性別」","")="","",入力リスト!$K$29),IF(J790,入力リスト!$K$30,"")&amp;IF(I790,入力リスト!$K$31,"")&amp;IF(H790,"「雇用形態」","")&amp;IF(K790,"「性別」","")&amp;IF(L790,"「役職」","")&amp;IF(OR(H790,K790,L790),入力リスト!$K$32,"")))))</f>
        <v/>
      </c>
      <c r="G790" s="298" t="b">
        <f>COUNTIF($A$4:A789,$A790)&gt;0</f>
        <v>0</v>
      </c>
      <c r="H790" s="298" t="b">
        <f>IF($H$1,FALSE,COUNTIF(入力シート!$S$37:$V$62,B790)=0)</f>
        <v>0</v>
      </c>
      <c r="I790" s="298" t="b">
        <f t="shared" si="25"/>
        <v>0</v>
      </c>
      <c r="J790" s="298" t="b">
        <f>IF($J$1,FALSE,IF(I790=TRUE,FALSE,IF(I790,FALSE,C790&gt;入力シート!$J$24)))</f>
        <v>0</v>
      </c>
      <c r="K790" s="298" t="b">
        <f>IF($K$1,FALSE,COUNTIF(入力シート!$AW$37:$BB$38,D790)=0)</f>
        <v>0</v>
      </c>
      <c r="L790" s="298" t="b">
        <f>IF($L$1,FALSE,IF($L$3,FALSE,IF(E790="",FALSE,COUNTIF(入力シート!$AH$37:$AK$62,E790)=0)))</f>
        <v>0</v>
      </c>
      <c r="M790" s="298" t="str">
        <f t="shared" si="26"/>
        <v/>
      </c>
      <c r="N790" s="298" t="str">
        <f>IF(G790,"この従業員番号は、すでに他のセルで入力されています。",IF(入力シート!$C$5=入力リスト!$C$4,"",IF(AND(A790="",B790="",C790="",D790="",E790=""),"",IF(OR(A790="",B790="",C790="",D790=""),IF(A790="","従業員番号","")&amp;IF(AND(A790="",OR(B790="",C790="",D790="")),",","")&amp;IF(B790="","雇用形態","")&amp;IF(AND(B790="",OR(C790="",D790="")),",","")&amp;IF(OR(入力シート!$J$18=入力リスト!$H$9,入力シート!$J$22=入力リスト!$H$9),IF(C790="","入社年月日",""),"")&amp;IF(AND(C790="",D790=""),",","")&amp;IF(D790="","性別","")&amp;IF(IF(A790="","従業員番号","")&amp;IF(B790="","雇用形態","")&amp;IF(OR(入力シート!$J$18=入力リスト!$H$9,入力シート!$J$22=入力リスト!$H$9),IF(C790="","入社年月日",""),"")&amp;IF(D790="","性別","")="","","が空白です。"),IF(J790,"入社年月日に「基準日」の翌日以降の日付が入力されています。","")&amp;IF(I790,"入社年月日に数値以外（又は1900/1/1以前の日付）が入力されています。","")&amp;IF(H790,"雇用形態"&amp;IF(OR(K790,L790),",",""),"")&amp;IF(K790,"性別"&amp;IF(L790,",",""),"")&amp;IF(L790,"役職","")&amp;IF(OR(H790,K790,L790),"に、［入力シート］(4)「貴社」欄と異なる文言が入力されています。","")))))</f>
        <v/>
      </c>
      <c r="O790" s="298" t="str">
        <f>IF(B790="","",VLOOKUP('従業員情報(給与以外)'!$B790,入力シート!$S$37:$Z$62,5,0))</f>
        <v/>
      </c>
      <c r="P790" s="298" t="str">
        <f>IF(ISNUMBER(C790)=FALSE,"",IF(C790&gt;入力シート!$J$24,"",_xlfn.DAYS(入力シート!$J$24,'従業員情報(給与以外)'!$C790)/365))</f>
        <v/>
      </c>
      <c r="Q790" s="298" t="str">
        <f>IF(P790="","",VLOOKUP(_xlfn.DAYS(入力シート!$J$24,'従業員情報(給与以外)'!$C790)/365,入力リスト!$K$18:$L$26,2,2))</f>
        <v/>
      </c>
      <c r="R790" s="298" t="str">
        <f>IF(D790="","",VLOOKUP('従業員情報(給与以外)'!$D790,入力シート!$AW$37:$BB$38,4,0))</f>
        <v/>
      </c>
      <c r="S790" s="298" t="str">
        <f>IF(A790="","",IF(E790="","非役職",VLOOKUP('従業員情報(給与以外)'!$E790,入力シート!$AH$37:$AO$62,5,0)))</f>
        <v/>
      </c>
      <c r="T790" s="299" t="str">
        <f>IF(OR(入力シート!$C$5&lt;&gt;入力リスト!$C$3,COUNTIF(入力シート!$J$16:$S$23,入力リスト!$H$9)=0),"",IF($A790="","",IF(ISERROR(AVERAGEIF(従業員の給与情報!$B:$B,$A790,従業員の給与情報!$C:$C)),0,IF(ISERROR(AVERAGEIF(従業員の給与情報!$B:$B,$A790,従業員の給与情報!$C:$C)),0,AVERAGEIF(従業員の給与情報!$B:$B,$A790,従業員の給与情報!$C:$C)))))</f>
        <v/>
      </c>
      <c r="U790" s="299" t="str">
        <f>IF(OR(入力シート!$C$5&lt;&gt;入力リスト!$C$3,COUNTIF(入力シート!$J$16:$S$23,入力リスト!$H$9)=0),"",IF(A790="","",IF(ISERROR(AVERAGEIF(従業員の給与情報!$B:$B,$A790,従業員の給与情報!$D:$D)),0,IF(ISERROR(AVERAGEIF(従業員の給与情報!$B:$B,$A790,従業員の給与情報!$D:$D)),0,AVERAGEIF(従業員の給与情報!$B:$B,$A790,従業員の給与情報!$D:$D)))))</f>
        <v/>
      </c>
      <c r="V790" s="299" t="str">
        <f>IF(OR(入力シート!$C$5&lt;&gt;入力リスト!$C$3,COUNTIF(入力シート!$J$16:$S$23,入力リスト!$H$9)=0),"",IF(A790="","",IF(ISERROR(AVERAGEIF(従業員の給与情報!$B:$B,$A790,従業員の給与情報!$E:$E)),0,IF(ISERROR(AVERAGEIF(従業員の給与情報!$B:$B,$A790,従業員の給与情報!$E:$E)),0,AVERAGEIF(従業員の給与情報!$B:$B,$A790,従業員の給与情報!$E:$E)))))</f>
        <v/>
      </c>
      <c r="W790" s="299" t="str">
        <f>IF(OR(入力シート!$C$5&lt;&gt;入力リスト!$C$3,COUNTIF(入力シート!$J$16:$S$23,入力リスト!$H$9)=0),"",IF(A790="","",IF(ISERROR(AVERAGEIF(従業員の給与情報!$B:$B,$A790,従業員の給与情報!$F:$F)),0,IF(ISERROR(AVERAGEIF(従業員の給与情報!$B:$B,$A790,従業員の給与情報!$F:$F)),0,AVERAGEIF(従業員の給与情報!$B:$B,$A790,従業員の給与情報!$F:$F)))))</f>
        <v/>
      </c>
      <c r="X790" s="581" t="s">
        <v>5529</v>
      </c>
    </row>
    <row r="791" spans="6:24">
      <c r="F791" s="297" t="str">
        <f>IF($G$1,"",IF(COUNTIF(A791:E791,"")=5,"",IF(G791,入力リスト!$K$28,IF(OR(A791="",B791="",IF(COUNTIF($C$3,"*不要*"),"",C791=""),D791=""),IF(A791="","従業員番号","")&amp;IF(B791="","「雇用形態」","")&amp;IF(OR(入力シート!$J$18=入力リスト!$H$9,入力シート!$J$22=入力リスト!$H$9),IF(C791="","「入社年月日」",""),"")&amp;IF(D791="","「性別」","")&amp;IF(IF(A791="","従業員番号","")&amp;IF(B791="","「雇用形態」","")&amp;IF(OR(入力シート!$J$18=入力リスト!$H$9,入力シート!$J$22=入力リスト!$H$9),IF(C791="","「入社年月日」",""),"")&amp;IF(D791="","「性別」","")="","",入力リスト!$K$29),IF(J791,入力リスト!$K$30,"")&amp;IF(I791,入力リスト!$K$31,"")&amp;IF(H791,"「雇用形態」","")&amp;IF(K791,"「性別」","")&amp;IF(L791,"「役職」","")&amp;IF(OR(H791,K791,L791),入力リスト!$K$32,"")))))</f>
        <v/>
      </c>
      <c r="G791" s="298" t="b">
        <f>COUNTIF($A$4:A790,$A791)&gt;0</f>
        <v>0</v>
      </c>
      <c r="H791" s="298" t="b">
        <f>IF($H$1,FALSE,COUNTIF(入力シート!$S$37:$V$62,B791)=0)</f>
        <v>0</v>
      </c>
      <c r="I791" s="298" t="b">
        <f t="shared" si="25"/>
        <v>0</v>
      </c>
      <c r="J791" s="298" t="b">
        <f>IF($J$1,FALSE,IF(I791=TRUE,FALSE,IF(I791,FALSE,C791&gt;入力シート!$J$24)))</f>
        <v>0</v>
      </c>
      <c r="K791" s="298" t="b">
        <f>IF($K$1,FALSE,COUNTIF(入力シート!$AW$37:$BB$38,D791)=0)</f>
        <v>0</v>
      </c>
      <c r="L791" s="298" t="b">
        <f>IF($L$1,FALSE,IF($L$3,FALSE,IF(E791="",FALSE,COUNTIF(入力シート!$AH$37:$AK$62,E791)=0)))</f>
        <v>0</v>
      </c>
      <c r="M791" s="298" t="str">
        <f t="shared" si="26"/>
        <v/>
      </c>
      <c r="N791" s="298" t="str">
        <f>IF(G791,"この従業員番号は、すでに他のセルで入力されています。",IF(入力シート!$C$5=入力リスト!$C$4,"",IF(AND(A791="",B791="",C791="",D791="",E791=""),"",IF(OR(A791="",B791="",C791="",D791=""),IF(A791="","従業員番号","")&amp;IF(AND(A791="",OR(B791="",C791="",D791="")),",","")&amp;IF(B791="","雇用形態","")&amp;IF(AND(B791="",OR(C791="",D791="")),",","")&amp;IF(OR(入力シート!$J$18=入力リスト!$H$9,入力シート!$J$22=入力リスト!$H$9),IF(C791="","入社年月日",""),"")&amp;IF(AND(C791="",D791=""),",","")&amp;IF(D791="","性別","")&amp;IF(IF(A791="","従業員番号","")&amp;IF(B791="","雇用形態","")&amp;IF(OR(入力シート!$J$18=入力リスト!$H$9,入力シート!$J$22=入力リスト!$H$9),IF(C791="","入社年月日",""),"")&amp;IF(D791="","性別","")="","","が空白です。"),IF(J791,"入社年月日に「基準日」の翌日以降の日付が入力されています。","")&amp;IF(I791,"入社年月日に数値以外（又は1900/1/1以前の日付）が入力されています。","")&amp;IF(H791,"雇用形態"&amp;IF(OR(K791,L791),",",""),"")&amp;IF(K791,"性別"&amp;IF(L791,",",""),"")&amp;IF(L791,"役職","")&amp;IF(OR(H791,K791,L791),"に、［入力シート］(4)「貴社」欄と異なる文言が入力されています。","")))))</f>
        <v/>
      </c>
      <c r="O791" s="298" t="str">
        <f>IF(B791="","",VLOOKUP('従業員情報(給与以外)'!$B791,入力シート!$S$37:$Z$62,5,0))</f>
        <v/>
      </c>
      <c r="P791" s="298" t="str">
        <f>IF(ISNUMBER(C791)=FALSE,"",IF(C791&gt;入力シート!$J$24,"",_xlfn.DAYS(入力シート!$J$24,'従業員情報(給与以外)'!$C791)/365))</f>
        <v/>
      </c>
      <c r="Q791" s="298" t="str">
        <f>IF(P791="","",VLOOKUP(_xlfn.DAYS(入力シート!$J$24,'従業員情報(給与以外)'!$C791)/365,入力リスト!$K$18:$L$26,2,2))</f>
        <v/>
      </c>
      <c r="R791" s="298" t="str">
        <f>IF(D791="","",VLOOKUP('従業員情報(給与以外)'!$D791,入力シート!$AW$37:$BB$38,4,0))</f>
        <v/>
      </c>
      <c r="S791" s="298" t="str">
        <f>IF(A791="","",IF(E791="","非役職",VLOOKUP('従業員情報(給与以外)'!$E791,入力シート!$AH$37:$AO$62,5,0)))</f>
        <v/>
      </c>
      <c r="T791" s="299" t="str">
        <f>IF(OR(入力シート!$C$5&lt;&gt;入力リスト!$C$3,COUNTIF(入力シート!$J$16:$S$23,入力リスト!$H$9)=0),"",IF($A791="","",IF(ISERROR(AVERAGEIF(従業員の給与情報!$B:$B,$A791,従業員の給与情報!$C:$C)),0,IF(ISERROR(AVERAGEIF(従業員の給与情報!$B:$B,$A791,従業員の給与情報!$C:$C)),0,AVERAGEIF(従業員の給与情報!$B:$B,$A791,従業員の給与情報!$C:$C)))))</f>
        <v/>
      </c>
      <c r="U791" s="299" t="str">
        <f>IF(OR(入力シート!$C$5&lt;&gt;入力リスト!$C$3,COUNTIF(入力シート!$J$16:$S$23,入力リスト!$H$9)=0),"",IF(A791="","",IF(ISERROR(AVERAGEIF(従業員の給与情報!$B:$B,$A791,従業員の給与情報!$D:$D)),0,IF(ISERROR(AVERAGEIF(従業員の給与情報!$B:$B,$A791,従業員の給与情報!$D:$D)),0,AVERAGEIF(従業員の給与情報!$B:$B,$A791,従業員の給与情報!$D:$D)))))</f>
        <v/>
      </c>
      <c r="V791" s="299" t="str">
        <f>IF(OR(入力シート!$C$5&lt;&gt;入力リスト!$C$3,COUNTIF(入力シート!$J$16:$S$23,入力リスト!$H$9)=0),"",IF(A791="","",IF(ISERROR(AVERAGEIF(従業員の給与情報!$B:$B,$A791,従業員の給与情報!$E:$E)),0,IF(ISERROR(AVERAGEIF(従業員の給与情報!$B:$B,$A791,従業員の給与情報!$E:$E)),0,AVERAGEIF(従業員の給与情報!$B:$B,$A791,従業員の給与情報!$E:$E)))))</f>
        <v/>
      </c>
      <c r="W791" s="299" t="str">
        <f>IF(OR(入力シート!$C$5&lt;&gt;入力リスト!$C$3,COUNTIF(入力シート!$J$16:$S$23,入力リスト!$H$9)=0),"",IF(A791="","",IF(ISERROR(AVERAGEIF(従業員の給与情報!$B:$B,$A791,従業員の給与情報!$F:$F)),0,IF(ISERROR(AVERAGEIF(従業員の給与情報!$B:$B,$A791,従業員の給与情報!$F:$F)),0,AVERAGEIF(従業員の給与情報!$B:$B,$A791,従業員の給与情報!$F:$F)))))</f>
        <v/>
      </c>
      <c r="X791" s="581" t="s">
        <v>5530</v>
      </c>
    </row>
    <row r="792" spans="6:24">
      <c r="F792" s="297" t="str">
        <f>IF($G$1,"",IF(COUNTIF(A792:E792,"")=5,"",IF(G792,入力リスト!$K$28,IF(OR(A792="",B792="",IF(COUNTIF($C$3,"*不要*"),"",C792=""),D792=""),IF(A792="","従業員番号","")&amp;IF(B792="","「雇用形態」","")&amp;IF(OR(入力シート!$J$18=入力リスト!$H$9,入力シート!$J$22=入力リスト!$H$9),IF(C792="","「入社年月日」",""),"")&amp;IF(D792="","「性別」","")&amp;IF(IF(A792="","従業員番号","")&amp;IF(B792="","「雇用形態」","")&amp;IF(OR(入力シート!$J$18=入力リスト!$H$9,入力シート!$J$22=入力リスト!$H$9),IF(C792="","「入社年月日」",""),"")&amp;IF(D792="","「性別」","")="","",入力リスト!$K$29),IF(J792,入力リスト!$K$30,"")&amp;IF(I792,入力リスト!$K$31,"")&amp;IF(H792,"「雇用形態」","")&amp;IF(K792,"「性別」","")&amp;IF(L792,"「役職」","")&amp;IF(OR(H792,K792,L792),入力リスト!$K$32,"")))))</f>
        <v/>
      </c>
      <c r="G792" s="298" t="b">
        <f>COUNTIF($A$4:A791,$A792)&gt;0</f>
        <v>0</v>
      </c>
      <c r="H792" s="298" t="b">
        <f>IF($H$1,FALSE,COUNTIF(入力シート!$S$37:$V$62,B792)=0)</f>
        <v>0</v>
      </c>
      <c r="I792" s="298" t="b">
        <f t="shared" si="25"/>
        <v>0</v>
      </c>
      <c r="J792" s="298" t="b">
        <f>IF($J$1,FALSE,IF(I792=TRUE,FALSE,IF(I792,FALSE,C792&gt;入力シート!$J$24)))</f>
        <v>0</v>
      </c>
      <c r="K792" s="298" t="b">
        <f>IF($K$1,FALSE,COUNTIF(入力シート!$AW$37:$BB$38,D792)=0)</f>
        <v>0</v>
      </c>
      <c r="L792" s="298" t="b">
        <f>IF($L$1,FALSE,IF($L$3,FALSE,IF(E792="",FALSE,COUNTIF(入力シート!$AH$37:$AK$62,E792)=0)))</f>
        <v>0</v>
      </c>
      <c r="M792" s="298" t="str">
        <f t="shared" si="26"/>
        <v/>
      </c>
      <c r="N792" s="298" t="str">
        <f>IF(G792,"この従業員番号は、すでに他のセルで入力されています。",IF(入力シート!$C$5=入力リスト!$C$4,"",IF(AND(A792="",B792="",C792="",D792="",E792=""),"",IF(OR(A792="",B792="",C792="",D792=""),IF(A792="","従業員番号","")&amp;IF(AND(A792="",OR(B792="",C792="",D792="")),",","")&amp;IF(B792="","雇用形態","")&amp;IF(AND(B792="",OR(C792="",D792="")),",","")&amp;IF(OR(入力シート!$J$18=入力リスト!$H$9,入力シート!$J$22=入力リスト!$H$9),IF(C792="","入社年月日",""),"")&amp;IF(AND(C792="",D792=""),",","")&amp;IF(D792="","性別","")&amp;IF(IF(A792="","従業員番号","")&amp;IF(B792="","雇用形態","")&amp;IF(OR(入力シート!$J$18=入力リスト!$H$9,入力シート!$J$22=入力リスト!$H$9),IF(C792="","入社年月日",""),"")&amp;IF(D792="","性別","")="","","が空白です。"),IF(J792,"入社年月日に「基準日」の翌日以降の日付が入力されています。","")&amp;IF(I792,"入社年月日に数値以外（又は1900/1/1以前の日付）が入力されています。","")&amp;IF(H792,"雇用形態"&amp;IF(OR(K792,L792),",",""),"")&amp;IF(K792,"性別"&amp;IF(L792,",",""),"")&amp;IF(L792,"役職","")&amp;IF(OR(H792,K792,L792),"に、［入力シート］(4)「貴社」欄と異なる文言が入力されています。","")))))</f>
        <v/>
      </c>
      <c r="O792" s="298" t="str">
        <f>IF(B792="","",VLOOKUP('従業員情報(給与以外)'!$B792,入力シート!$S$37:$Z$62,5,0))</f>
        <v/>
      </c>
      <c r="P792" s="298" t="str">
        <f>IF(ISNUMBER(C792)=FALSE,"",IF(C792&gt;入力シート!$J$24,"",_xlfn.DAYS(入力シート!$J$24,'従業員情報(給与以外)'!$C792)/365))</f>
        <v/>
      </c>
      <c r="Q792" s="298" t="str">
        <f>IF(P792="","",VLOOKUP(_xlfn.DAYS(入力シート!$J$24,'従業員情報(給与以外)'!$C792)/365,入力リスト!$K$18:$L$26,2,2))</f>
        <v/>
      </c>
      <c r="R792" s="298" t="str">
        <f>IF(D792="","",VLOOKUP('従業員情報(給与以外)'!$D792,入力シート!$AW$37:$BB$38,4,0))</f>
        <v/>
      </c>
      <c r="S792" s="298" t="str">
        <f>IF(A792="","",IF(E792="","非役職",VLOOKUP('従業員情報(給与以外)'!$E792,入力シート!$AH$37:$AO$62,5,0)))</f>
        <v/>
      </c>
      <c r="T792" s="299" t="str">
        <f>IF(OR(入力シート!$C$5&lt;&gt;入力リスト!$C$3,COUNTIF(入力シート!$J$16:$S$23,入力リスト!$H$9)=0),"",IF($A792="","",IF(ISERROR(AVERAGEIF(従業員の給与情報!$B:$B,$A792,従業員の給与情報!$C:$C)),0,IF(ISERROR(AVERAGEIF(従業員の給与情報!$B:$B,$A792,従業員の給与情報!$C:$C)),0,AVERAGEIF(従業員の給与情報!$B:$B,$A792,従業員の給与情報!$C:$C)))))</f>
        <v/>
      </c>
      <c r="U792" s="299" t="str">
        <f>IF(OR(入力シート!$C$5&lt;&gt;入力リスト!$C$3,COUNTIF(入力シート!$J$16:$S$23,入力リスト!$H$9)=0),"",IF(A792="","",IF(ISERROR(AVERAGEIF(従業員の給与情報!$B:$B,$A792,従業員の給与情報!$D:$D)),0,IF(ISERROR(AVERAGEIF(従業員の給与情報!$B:$B,$A792,従業員の給与情報!$D:$D)),0,AVERAGEIF(従業員の給与情報!$B:$B,$A792,従業員の給与情報!$D:$D)))))</f>
        <v/>
      </c>
      <c r="V792" s="299" t="str">
        <f>IF(OR(入力シート!$C$5&lt;&gt;入力リスト!$C$3,COUNTIF(入力シート!$J$16:$S$23,入力リスト!$H$9)=0),"",IF(A792="","",IF(ISERROR(AVERAGEIF(従業員の給与情報!$B:$B,$A792,従業員の給与情報!$E:$E)),0,IF(ISERROR(AVERAGEIF(従業員の給与情報!$B:$B,$A792,従業員の給与情報!$E:$E)),0,AVERAGEIF(従業員の給与情報!$B:$B,$A792,従業員の給与情報!$E:$E)))))</f>
        <v/>
      </c>
      <c r="W792" s="299" t="str">
        <f>IF(OR(入力シート!$C$5&lt;&gt;入力リスト!$C$3,COUNTIF(入力シート!$J$16:$S$23,入力リスト!$H$9)=0),"",IF(A792="","",IF(ISERROR(AVERAGEIF(従業員の給与情報!$B:$B,$A792,従業員の給与情報!$F:$F)),0,IF(ISERROR(AVERAGEIF(従業員の給与情報!$B:$B,$A792,従業員の給与情報!$F:$F)),0,AVERAGEIF(従業員の給与情報!$B:$B,$A792,従業員の給与情報!$F:$F)))))</f>
        <v/>
      </c>
      <c r="X792" s="581" t="s">
        <v>5531</v>
      </c>
    </row>
    <row r="793" spans="6:24">
      <c r="F793" s="297" t="str">
        <f>IF($G$1,"",IF(COUNTIF(A793:E793,"")=5,"",IF(G793,入力リスト!$K$28,IF(OR(A793="",B793="",IF(COUNTIF($C$3,"*不要*"),"",C793=""),D793=""),IF(A793="","従業員番号","")&amp;IF(B793="","「雇用形態」","")&amp;IF(OR(入力シート!$J$18=入力リスト!$H$9,入力シート!$J$22=入力リスト!$H$9),IF(C793="","「入社年月日」",""),"")&amp;IF(D793="","「性別」","")&amp;IF(IF(A793="","従業員番号","")&amp;IF(B793="","「雇用形態」","")&amp;IF(OR(入力シート!$J$18=入力リスト!$H$9,入力シート!$J$22=入力リスト!$H$9),IF(C793="","「入社年月日」",""),"")&amp;IF(D793="","「性別」","")="","",入力リスト!$K$29),IF(J793,入力リスト!$K$30,"")&amp;IF(I793,入力リスト!$K$31,"")&amp;IF(H793,"「雇用形態」","")&amp;IF(K793,"「性別」","")&amp;IF(L793,"「役職」","")&amp;IF(OR(H793,K793,L793),入力リスト!$K$32,"")))))</f>
        <v/>
      </c>
      <c r="G793" s="298" t="b">
        <f>COUNTIF($A$4:A792,$A793)&gt;0</f>
        <v>0</v>
      </c>
      <c r="H793" s="298" t="b">
        <f>IF($H$1,FALSE,COUNTIF(入力シート!$S$37:$V$62,B793)=0)</f>
        <v>0</v>
      </c>
      <c r="I793" s="298" t="b">
        <f t="shared" si="25"/>
        <v>0</v>
      </c>
      <c r="J793" s="298" t="b">
        <f>IF($J$1,FALSE,IF(I793=TRUE,FALSE,IF(I793,FALSE,C793&gt;入力シート!$J$24)))</f>
        <v>0</v>
      </c>
      <c r="K793" s="298" t="b">
        <f>IF($K$1,FALSE,COUNTIF(入力シート!$AW$37:$BB$38,D793)=0)</f>
        <v>0</v>
      </c>
      <c r="L793" s="298" t="b">
        <f>IF($L$1,FALSE,IF($L$3,FALSE,IF(E793="",FALSE,COUNTIF(入力シート!$AH$37:$AK$62,E793)=0)))</f>
        <v>0</v>
      </c>
      <c r="M793" s="298" t="str">
        <f t="shared" si="26"/>
        <v/>
      </c>
      <c r="N793" s="298" t="str">
        <f>IF(G793,"この従業員番号は、すでに他のセルで入力されています。",IF(入力シート!$C$5=入力リスト!$C$4,"",IF(AND(A793="",B793="",C793="",D793="",E793=""),"",IF(OR(A793="",B793="",C793="",D793=""),IF(A793="","従業員番号","")&amp;IF(AND(A793="",OR(B793="",C793="",D793="")),",","")&amp;IF(B793="","雇用形態","")&amp;IF(AND(B793="",OR(C793="",D793="")),",","")&amp;IF(OR(入力シート!$J$18=入力リスト!$H$9,入力シート!$J$22=入力リスト!$H$9),IF(C793="","入社年月日",""),"")&amp;IF(AND(C793="",D793=""),",","")&amp;IF(D793="","性別","")&amp;IF(IF(A793="","従業員番号","")&amp;IF(B793="","雇用形態","")&amp;IF(OR(入力シート!$J$18=入力リスト!$H$9,入力シート!$J$22=入力リスト!$H$9),IF(C793="","入社年月日",""),"")&amp;IF(D793="","性別","")="","","が空白です。"),IF(J793,"入社年月日に「基準日」の翌日以降の日付が入力されています。","")&amp;IF(I793,"入社年月日に数値以外（又は1900/1/1以前の日付）が入力されています。","")&amp;IF(H793,"雇用形態"&amp;IF(OR(K793,L793),",",""),"")&amp;IF(K793,"性別"&amp;IF(L793,",",""),"")&amp;IF(L793,"役職","")&amp;IF(OR(H793,K793,L793),"に、［入力シート］(4)「貴社」欄と異なる文言が入力されています。","")))))</f>
        <v/>
      </c>
      <c r="O793" s="298" t="str">
        <f>IF(B793="","",VLOOKUP('従業員情報(給与以外)'!$B793,入力シート!$S$37:$Z$62,5,0))</f>
        <v/>
      </c>
      <c r="P793" s="298" t="str">
        <f>IF(ISNUMBER(C793)=FALSE,"",IF(C793&gt;入力シート!$J$24,"",_xlfn.DAYS(入力シート!$J$24,'従業員情報(給与以外)'!$C793)/365))</f>
        <v/>
      </c>
      <c r="Q793" s="298" t="str">
        <f>IF(P793="","",VLOOKUP(_xlfn.DAYS(入力シート!$J$24,'従業員情報(給与以外)'!$C793)/365,入力リスト!$K$18:$L$26,2,2))</f>
        <v/>
      </c>
      <c r="R793" s="298" t="str">
        <f>IF(D793="","",VLOOKUP('従業員情報(給与以外)'!$D793,入力シート!$AW$37:$BB$38,4,0))</f>
        <v/>
      </c>
      <c r="S793" s="298" t="str">
        <f>IF(A793="","",IF(E793="","非役職",VLOOKUP('従業員情報(給与以外)'!$E793,入力シート!$AH$37:$AO$62,5,0)))</f>
        <v/>
      </c>
      <c r="T793" s="299" t="str">
        <f>IF(OR(入力シート!$C$5&lt;&gt;入力リスト!$C$3,COUNTIF(入力シート!$J$16:$S$23,入力リスト!$H$9)=0),"",IF($A793="","",IF(ISERROR(AVERAGEIF(従業員の給与情報!$B:$B,$A793,従業員の給与情報!$C:$C)),0,IF(ISERROR(AVERAGEIF(従業員の給与情報!$B:$B,$A793,従業員の給与情報!$C:$C)),0,AVERAGEIF(従業員の給与情報!$B:$B,$A793,従業員の給与情報!$C:$C)))))</f>
        <v/>
      </c>
      <c r="U793" s="299" t="str">
        <f>IF(OR(入力シート!$C$5&lt;&gt;入力リスト!$C$3,COUNTIF(入力シート!$J$16:$S$23,入力リスト!$H$9)=0),"",IF(A793="","",IF(ISERROR(AVERAGEIF(従業員の給与情報!$B:$B,$A793,従業員の給与情報!$D:$D)),0,IF(ISERROR(AVERAGEIF(従業員の給与情報!$B:$B,$A793,従業員の給与情報!$D:$D)),0,AVERAGEIF(従業員の給与情報!$B:$B,$A793,従業員の給与情報!$D:$D)))))</f>
        <v/>
      </c>
      <c r="V793" s="299" t="str">
        <f>IF(OR(入力シート!$C$5&lt;&gt;入力リスト!$C$3,COUNTIF(入力シート!$J$16:$S$23,入力リスト!$H$9)=0),"",IF(A793="","",IF(ISERROR(AVERAGEIF(従業員の給与情報!$B:$B,$A793,従業員の給与情報!$E:$E)),0,IF(ISERROR(AVERAGEIF(従業員の給与情報!$B:$B,$A793,従業員の給与情報!$E:$E)),0,AVERAGEIF(従業員の給与情報!$B:$B,$A793,従業員の給与情報!$E:$E)))))</f>
        <v/>
      </c>
      <c r="W793" s="299" t="str">
        <f>IF(OR(入力シート!$C$5&lt;&gt;入力リスト!$C$3,COUNTIF(入力シート!$J$16:$S$23,入力リスト!$H$9)=0),"",IF(A793="","",IF(ISERROR(AVERAGEIF(従業員の給与情報!$B:$B,$A793,従業員の給与情報!$F:$F)),0,IF(ISERROR(AVERAGEIF(従業員の給与情報!$B:$B,$A793,従業員の給与情報!$F:$F)),0,AVERAGEIF(従業員の給与情報!$B:$B,$A793,従業員の給与情報!$F:$F)))))</f>
        <v/>
      </c>
      <c r="X793" s="581" t="s">
        <v>5532</v>
      </c>
    </row>
    <row r="794" spans="6:24">
      <c r="F794" s="297" t="str">
        <f>IF($G$1,"",IF(COUNTIF(A794:E794,"")=5,"",IF(G794,入力リスト!$K$28,IF(OR(A794="",B794="",IF(COUNTIF($C$3,"*不要*"),"",C794=""),D794=""),IF(A794="","従業員番号","")&amp;IF(B794="","「雇用形態」","")&amp;IF(OR(入力シート!$J$18=入力リスト!$H$9,入力シート!$J$22=入力リスト!$H$9),IF(C794="","「入社年月日」",""),"")&amp;IF(D794="","「性別」","")&amp;IF(IF(A794="","従業員番号","")&amp;IF(B794="","「雇用形態」","")&amp;IF(OR(入力シート!$J$18=入力リスト!$H$9,入力シート!$J$22=入力リスト!$H$9),IF(C794="","「入社年月日」",""),"")&amp;IF(D794="","「性別」","")="","",入力リスト!$K$29),IF(J794,入力リスト!$K$30,"")&amp;IF(I794,入力リスト!$K$31,"")&amp;IF(H794,"「雇用形態」","")&amp;IF(K794,"「性別」","")&amp;IF(L794,"「役職」","")&amp;IF(OR(H794,K794,L794),入力リスト!$K$32,"")))))</f>
        <v/>
      </c>
      <c r="G794" s="298" t="b">
        <f>COUNTIF($A$4:A793,$A794)&gt;0</f>
        <v>0</v>
      </c>
      <c r="H794" s="298" t="b">
        <f>IF($H$1,FALSE,COUNTIF(入力シート!$S$37:$V$62,B794)=0)</f>
        <v>0</v>
      </c>
      <c r="I794" s="298" t="b">
        <f t="shared" si="25"/>
        <v>0</v>
      </c>
      <c r="J794" s="298" t="b">
        <f>IF($J$1,FALSE,IF(I794=TRUE,FALSE,IF(I794,FALSE,C794&gt;入力シート!$J$24)))</f>
        <v>0</v>
      </c>
      <c r="K794" s="298" t="b">
        <f>IF($K$1,FALSE,COUNTIF(入力シート!$AW$37:$BB$38,D794)=0)</f>
        <v>0</v>
      </c>
      <c r="L794" s="298" t="b">
        <f>IF($L$1,FALSE,IF($L$3,FALSE,IF(E794="",FALSE,COUNTIF(入力シート!$AH$37:$AK$62,E794)=0)))</f>
        <v>0</v>
      </c>
      <c r="M794" s="298" t="str">
        <f t="shared" si="26"/>
        <v/>
      </c>
      <c r="N794" s="298" t="str">
        <f>IF(G794,"この従業員番号は、すでに他のセルで入力されています。",IF(入力シート!$C$5=入力リスト!$C$4,"",IF(AND(A794="",B794="",C794="",D794="",E794=""),"",IF(OR(A794="",B794="",C794="",D794=""),IF(A794="","従業員番号","")&amp;IF(AND(A794="",OR(B794="",C794="",D794="")),",","")&amp;IF(B794="","雇用形態","")&amp;IF(AND(B794="",OR(C794="",D794="")),",","")&amp;IF(OR(入力シート!$J$18=入力リスト!$H$9,入力シート!$J$22=入力リスト!$H$9),IF(C794="","入社年月日",""),"")&amp;IF(AND(C794="",D794=""),",","")&amp;IF(D794="","性別","")&amp;IF(IF(A794="","従業員番号","")&amp;IF(B794="","雇用形態","")&amp;IF(OR(入力シート!$J$18=入力リスト!$H$9,入力シート!$J$22=入力リスト!$H$9),IF(C794="","入社年月日",""),"")&amp;IF(D794="","性別","")="","","が空白です。"),IF(J794,"入社年月日に「基準日」の翌日以降の日付が入力されています。","")&amp;IF(I794,"入社年月日に数値以外（又は1900/1/1以前の日付）が入力されています。","")&amp;IF(H794,"雇用形態"&amp;IF(OR(K794,L794),",",""),"")&amp;IF(K794,"性別"&amp;IF(L794,",",""),"")&amp;IF(L794,"役職","")&amp;IF(OR(H794,K794,L794),"に、［入力シート］(4)「貴社」欄と異なる文言が入力されています。","")))))</f>
        <v/>
      </c>
      <c r="O794" s="298" t="str">
        <f>IF(B794="","",VLOOKUP('従業員情報(給与以外)'!$B794,入力シート!$S$37:$Z$62,5,0))</f>
        <v/>
      </c>
      <c r="P794" s="298" t="str">
        <f>IF(ISNUMBER(C794)=FALSE,"",IF(C794&gt;入力シート!$J$24,"",_xlfn.DAYS(入力シート!$J$24,'従業員情報(給与以外)'!$C794)/365))</f>
        <v/>
      </c>
      <c r="Q794" s="298" t="str">
        <f>IF(P794="","",VLOOKUP(_xlfn.DAYS(入力シート!$J$24,'従業員情報(給与以外)'!$C794)/365,入力リスト!$K$18:$L$26,2,2))</f>
        <v/>
      </c>
      <c r="R794" s="298" t="str">
        <f>IF(D794="","",VLOOKUP('従業員情報(給与以外)'!$D794,入力シート!$AW$37:$BB$38,4,0))</f>
        <v/>
      </c>
      <c r="S794" s="298" t="str">
        <f>IF(A794="","",IF(E794="","非役職",VLOOKUP('従業員情報(給与以外)'!$E794,入力シート!$AH$37:$AO$62,5,0)))</f>
        <v/>
      </c>
      <c r="T794" s="299" t="str">
        <f>IF(OR(入力シート!$C$5&lt;&gt;入力リスト!$C$3,COUNTIF(入力シート!$J$16:$S$23,入力リスト!$H$9)=0),"",IF($A794="","",IF(ISERROR(AVERAGEIF(従業員の給与情報!$B:$B,$A794,従業員の給与情報!$C:$C)),0,IF(ISERROR(AVERAGEIF(従業員の給与情報!$B:$B,$A794,従業員の給与情報!$C:$C)),0,AVERAGEIF(従業員の給与情報!$B:$B,$A794,従業員の給与情報!$C:$C)))))</f>
        <v/>
      </c>
      <c r="U794" s="299" t="str">
        <f>IF(OR(入力シート!$C$5&lt;&gt;入力リスト!$C$3,COUNTIF(入力シート!$J$16:$S$23,入力リスト!$H$9)=0),"",IF(A794="","",IF(ISERROR(AVERAGEIF(従業員の給与情報!$B:$B,$A794,従業員の給与情報!$D:$D)),0,IF(ISERROR(AVERAGEIF(従業員の給与情報!$B:$B,$A794,従業員の給与情報!$D:$D)),0,AVERAGEIF(従業員の給与情報!$B:$B,$A794,従業員の給与情報!$D:$D)))))</f>
        <v/>
      </c>
      <c r="V794" s="299" t="str">
        <f>IF(OR(入力シート!$C$5&lt;&gt;入力リスト!$C$3,COUNTIF(入力シート!$J$16:$S$23,入力リスト!$H$9)=0),"",IF(A794="","",IF(ISERROR(AVERAGEIF(従業員の給与情報!$B:$B,$A794,従業員の給与情報!$E:$E)),0,IF(ISERROR(AVERAGEIF(従業員の給与情報!$B:$B,$A794,従業員の給与情報!$E:$E)),0,AVERAGEIF(従業員の給与情報!$B:$B,$A794,従業員の給与情報!$E:$E)))))</f>
        <v/>
      </c>
      <c r="W794" s="299" t="str">
        <f>IF(OR(入力シート!$C$5&lt;&gt;入力リスト!$C$3,COUNTIF(入力シート!$J$16:$S$23,入力リスト!$H$9)=0),"",IF(A794="","",IF(ISERROR(AVERAGEIF(従業員の給与情報!$B:$B,$A794,従業員の給与情報!$F:$F)),0,IF(ISERROR(AVERAGEIF(従業員の給与情報!$B:$B,$A794,従業員の給与情報!$F:$F)),0,AVERAGEIF(従業員の給与情報!$B:$B,$A794,従業員の給与情報!$F:$F)))))</f>
        <v/>
      </c>
      <c r="X794" s="581" t="s">
        <v>5533</v>
      </c>
    </row>
    <row r="795" spans="6:24">
      <c r="F795" s="297" t="str">
        <f>IF($G$1,"",IF(COUNTIF(A795:E795,"")=5,"",IF(G795,入力リスト!$K$28,IF(OR(A795="",B795="",IF(COUNTIF($C$3,"*不要*"),"",C795=""),D795=""),IF(A795="","従業員番号","")&amp;IF(B795="","「雇用形態」","")&amp;IF(OR(入力シート!$J$18=入力リスト!$H$9,入力シート!$J$22=入力リスト!$H$9),IF(C795="","「入社年月日」",""),"")&amp;IF(D795="","「性別」","")&amp;IF(IF(A795="","従業員番号","")&amp;IF(B795="","「雇用形態」","")&amp;IF(OR(入力シート!$J$18=入力リスト!$H$9,入力シート!$J$22=入力リスト!$H$9),IF(C795="","「入社年月日」",""),"")&amp;IF(D795="","「性別」","")="","",入力リスト!$K$29),IF(J795,入力リスト!$K$30,"")&amp;IF(I795,入力リスト!$K$31,"")&amp;IF(H795,"「雇用形態」","")&amp;IF(K795,"「性別」","")&amp;IF(L795,"「役職」","")&amp;IF(OR(H795,K795,L795),入力リスト!$K$32,"")))))</f>
        <v/>
      </c>
      <c r="G795" s="298" t="b">
        <f>COUNTIF($A$4:A794,$A795)&gt;0</f>
        <v>0</v>
      </c>
      <c r="H795" s="298" t="b">
        <f>IF($H$1,FALSE,COUNTIF(入力シート!$S$37:$V$62,B795)=0)</f>
        <v>0</v>
      </c>
      <c r="I795" s="298" t="b">
        <f t="shared" si="25"/>
        <v>0</v>
      </c>
      <c r="J795" s="298" t="b">
        <f>IF($J$1,FALSE,IF(I795=TRUE,FALSE,IF(I795,FALSE,C795&gt;入力シート!$J$24)))</f>
        <v>0</v>
      </c>
      <c r="K795" s="298" t="b">
        <f>IF($K$1,FALSE,COUNTIF(入力シート!$AW$37:$BB$38,D795)=0)</f>
        <v>0</v>
      </c>
      <c r="L795" s="298" t="b">
        <f>IF($L$1,FALSE,IF($L$3,FALSE,IF(E795="",FALSE,COUNTIF(入力シート!$AH$37:$AK$62,E795)=0)))</f>
        <v>0</v>
      </c>
      <c r="M795" s="298" t="str">
        <f t="shared" si="26"/>
        <v/>
      </c>
      <c r="N795" s="298" t="str">
        <f>IF(G795,"この従業員番号は、すでに他のセルで入力されています。",IF(入力シート!$C$5=入力リスト!$C$4,"",IF(AND(A795="",B795="",C795="",D795="",E795=""),"",IF(OR(A795="",B795="",C795="",D795=""),IF(A795="","従業員番号","")&amp;IF(AND(A795="",OR(B795="",C795="",D795="")),",","")&amp;IF(B795="","雇用形態","")&amp;IF(AND(B795="",OR(C795="",D795="")),",","")&amp;IF(OR(入力シート!$J$18=入力リスト!$H$9,入力シート!$J$22=入力リスト!$H$9),IF(C795="","入社年月日",""),"")&amp;IF(AND(C795="",D795=""),",","")&amp;IF(D795="","性別","")&amp;IF(IF(A795="","従業員番号","")&amp;IF(B795="","雇用形態","")&amp;IF(OR(入力シート!$J$18=入力リスト!$H$9,入力シート!$J$22=入力リスト!$H$9),IF(C795="","入社年月日",""),"")&amp;IF(D795="","性別","")="","","が空白です。"),IF(J795,"入社年月日に「基準日」の翌日以降の日付が入力されています。","")&amp;IF(I795,"入社年月日に数値以外（又は1900/1/1以前の日付）が入力されています。","")&amp;IF(H795,"雇用形態"&amp;IF(OR(K795,L795),",",""),"")&amp;IF(K795,"性別"&amp;IF(L795,",",""),"")&amp;IF(L795,"役職","")&amp;IF(OR(H795,K795,L795),"に、［入力シート］(4)「貴社」欄と異なる文言が入力されています。","")))))</f>
        <v/>
      </c>
      <c r="O795" s="298" t="str">
        <f>IF(B795="","",VLOOKUP('従業員情報(給与以外)'!$B795,入力シート!$S$37:$Z$62,5,0))</f>
        <v/>
      </c>
      <c r="P795" s="298" t="str">
        <f>IF(ISNUMBER(C795)=FALSE,"",IF(C795&gt;入力シート!$J$24,"",_xlfn.DAYS(入力シート!$J$24,'従業員情報(給与以外)'!$C795)/365))</f>
        <v/>
      </c>
      <c r="Q795" s="298" t="str">
        <f>IF(P795="","",VLOOKUP(_xlfn.DAYS(入力シート!$J$24,'従業員情報(給与以外)'!$C795)/365,入力リスト!$K$18:$L$26,2,2))</f>
        <v/>
      </c>
      <c r="R795" s="298" t="str">
        <f>IF(D795="","",VLOOKUP('従業員情報(給与以外)'!$D795,入力シート!$AW$37:$BB$38,4,0))</f>
        <v/>
      </c>
      <c r="S795" s="298" t="str">
        <f>IF(A795="","",IF(E795="","非役職",VLOOKUP('従業員情報(給与以外)'!$E795,入力シート!$AH$37:$AO$62,5,0)))</f>
        <v/>
      </c>
      <c r="T795" s="299" t="str">
        <f>IF(OR(入力シート!$C$5&lt;&gt;入力リスト!$C$3,COUNTIF(入力シート!$J$16:$S$23,入力リスト!$H$9)=0),"",IF($A795="","",IF(ISERROR(AVERAGEIF(従業員の給与情報!$B:$B,$A795,従業員の給与情報!$C:$C)),0,IF(ISERROR(AVERAGEIF(従業員の給与情報!$B:$B,$A795,従業員の給与情報!$C:$C)),0,AVERAGEIF(従業員の給与情報!$B:$B,$A795,従業員の給与情報!$C:$C)))))</f>
        <v/>
      </c>
      <c r="U795" s="299" t="str">
        <f>IF(OR(入力シート!$C$5&lt;&gt;入力リスト!$C$3,COUNTIF(入力シート!$J$16:$S$23,入力リスト!$H$9)=0),"",IF(A795="","",IF(ISERROR(AVERAGEIF(従業員の給与情報!$B:$B,$A795,従業員の給与情報!$D:$D)),0,IF(ISERROR(AVERAGEIF(従業員の給与情報!$B:$B,$A795,従業員の給与情報!$D:$D)),0,AVERAGEIF(従業員の給与情報!$B:$B,$A795,従業員の給与情報!$D:$D)))))</f>
        <v/>
      </c>
      <c r="V795" s="299" t="str">
        <f>IF(OR(入力シート!$C$5&lt;&gt;入力リスト!$C$3,COUNTIF(入力シート!$J$16:$S$23,入力リスト!$H$9)=0),"",IF(A795="","",IF(ISERROR(AVERAGEIF(従業員の給与情報!$B:$B,$A795,従業員の給与情報!$E:$E)),0,IF(ISERROR(AVERAGEIF(従業員の給与情報!$B:$B,$A795,従業員の給与情報!$E:$E)),0,AVERAGEIF(従業員の給与情報!$B:$B,$A795,従業員の給与情報!$E:$E)))))</f>
        <v/>
      </c>
      <c r="W795" s="299" t="str">
        <f>IF(OR(入力シート!$C$5&lt;&gt;入力リスト!$C$3,COUNTIF(入力シート!$J$16:$S$23,入力リスト!$H$9)=0),"",IF(A795="","",IF(ISERROR(AVERAGEIF(従業員の給与情報!$B:$B,$A795,従業員の給与情報!$F:$F)),0,IF(ISERROR(AVERAGEIF(従業員の給与情報!$B:$B,$A795,従業員の給与情報!$F:$F)),0,AVERAGEIF(従業員の給与情報!$B:$B,$A795,従業員の給与情報!$F:$F)))))</f>
        <v/>
      </c>
      <c r="X795" s="581" t="s">
        <v>5534</v>
      </c>
    </row>
    <row r="796" spans="6:24">
      <c r="F796" s="297" t="str">
        <f>IF($G$1,"",IF(COUNTIF(A796:E796,"")=5,"",IF(G796,入力リスト!$K$28,IF(OR(A796="",B796="",IF(COUNTIF($C$3,"*不要*"),"",C796=""),D796=""),IF(A796="","従業員番号","")&amp;IF(B796="","「雇用形態」","")&amp;IF(OR(入力シート!$J$18=入力リスト!$H$9,入力シート!$J$22=入力リスト!$H$9),IF(C796="","「入社年月日」",""),"")&amp;IF(D796="","「性別」","")&amp;IF(IF(A796="","従業員番号","")&amp;IF(B796="","「雇用形態」","")&amp;IF(OR(入力シート!$J$18=入力リスト!$H$9,入力シート!$J$22=入力リスト!$H$9),IF(C796="","「入社年月日」",""),"")&amp;IF(D796="","「性別」","")="","",入力リスト!$K$29),IF(J796,入力リスト!$K$30,"")&amp;IF(I796,入力リスト!$K$31,"")&amp;IF(H796,"「雇用形態」","")&amp;IF(K796,"「性別」","")&amp;IF(L796,"「役職」","")&amp;IF(OR(H796,K796,L796),入力リスト!$K$32,"")))))</f>
        <v/>
      </c>
      <c r="G796" s="298" t="b">
        <f>COUNTIF($A$4:A795,$A796)&gt;0</f>
        <v>0</v>
      </c>
      <c r="H796" s="298" t="b">
        <f>IF($H$1,FALSE,COUNTIF(入力シート!$S$37:$V$62,B796)=0)</f>
        <v>0</v>
      </c>
      <c r="I796" s="298" t="b">
        <f t="shared" si="25"/>
        <v>0</v>
      </c>
      <c r="J796" s="298" t="b">
        <f>IF($J$1,FALSE,IF(I796=TRUE,FALSE,IF(I796,FALSE,C796&gt;入力シート!$J$24)))</f>
        <v>0</v>
      </c>
      <c r="K796" s="298" t="b">
        <f>IF($K$1,FALSE,COUNTIF(入力シート!$AW$37:$BB$38,D796)=0)</f>
        <v>0</v>
      </c>
      <c r="L796" s="298" t="b">
        <f>IF($L$1,FALSE,IF($L$3,FALSE,IF(E796="",FALSE,COUNTIF(入力シート!$AH$37:$AK$62,E796)=0)))</f>
        <v>0</v>
      </c>
      <c r="M796" s="298" t="str">
        <f t="shared" si="26"/>
        <v/>
      </c>
      <c r="N796" s="298" t="str">
        <f>IF(G796,"この従業員番号は、すでに他のセルで入力されています。",IF(入力シート!$C$5=入力リスト!$C$4,"",IF(AND(A796="",B796="",C796="",D796="",E796=""),"",IF(OR(A796="",B796="",C796="",D796=""),IF(A796="","従業員番号","")&amp;IF(AND(A796="",OR(B796="",C796="",D796="")),",","")&amp;IF(B796="","雇用形態","")&amp;IF(AND(B796="",OR(C796="",D796="")),",","")&amp;IF(OR(入力シート!$J$18=入力リスト!$H$9,入力シート!$J$22=入力リスト!$H$9),IF(C796="","入社年月日",""),"")&amp;IF(AND(C796="",D796=""),",","")&amp;IF(D796="","性別","")&amp;IF(IF(A796="","従業員番号","")&amp;IF(B796="","雇用形態","")&amp;IF(OR(入力シート!$J$18=入力リスト!$H$9,入力シート!$J$22=入力リスト!$H$9),IF(C796="","入社年月日",""),"")&amp;IF(D796="","性別","")="","","が空白です。"),IF(J796,"入社年月日に「基準日」の翌日以降の日付が入力されています。","")&amp;IF(I796,"入社年月日に数値以外（又は1900/1/1以前の日付）が入力されています。","")&amp;IF(H796,"雇用形態"&amp;IF(OR(K796,L796),",",""),"")&amp;IF(K796,"性別"&amp;IF(L796,",",""),"")&amp;IF(L796,"役職","")&amp;IF(OR(H796,K796,L796),"に、［入力シート］(4)「貴社」欄と異なる文言が入力されています。","")))))</f>
        <v/>
      </c>
      <c r="O796" s="298" t="str">
        <f>IF(B796="","",VLOOKUP('従業員情報(給与以外)'!$B796,入力シート!$S$37:$Z$62,5,0))</f>
        <v/>
      </c>
      <c r="P796" s="298" t="str">
        <f>IF(ISNUMBER(C796)=FALSE,"",IF(C796&gt;入力シート!$J$24,"",_xlfn.DAYS(入力シート!$J$24,'従業員情報(給与以外)'!$C796)/365))</f>
        <v/>
      </c>
      <c r="Q796" s="298" t="str">
        <f>IF(P796="","",VLOOKUP(_xlfn.DAYS(入力シート!$J$24,'従業員情報(給与以外)'!$C796)/365,入力リスト!$K$18:$L$26,2,2))</f>
        <v/>
      </c>
      <c r="R796" s="298" t="str">
        <f>IF(D796="","",VLOOKUP('従業員情報(給与以外)'!$D796,入力シート!$AW$37:$BB$38,4,0))</f>
        <v/>
      </c>
      <c r="S796" s="298" t="str">
        <f>IF(A796="","",IF(E796="","非役職",VLOOKUP('従業員情報(給与以外)'!$E796,入力シート!$AH$37:$AO$62,5,0)))</f>
        <v/>
      </c>
      <c r="T796" s="299" t="str">
        <f>IF(OR(入力シート!$C$5&lt;&gt;入力リスト!$C$3,COUNTIF(入力シート!$J$16:$S$23,入力リスト!$H$9)=0),"",IF($A796="","",IF(ISERROR(AVERAGEIF(従業員の給与情報!$B:$B,$A796,従業員の給与情報!$C:$C)),0,IF(ISERROR(AVERAGEIF(従業員の給与情報!$B:$B,$A796,従業員の給与情報!$C:$C)),0,AVERAGEIF(従業員の給与情報!$B:$B,$A796,従業員の給与情報!$C:$C)))))</f>
        <v/>
      </c>
      <c r="U796" s="299" t="str">
        <f>IF(OR(入力シート!$C$5&lt;&gt;入力リスト!$C$3,COUNTIF(入力シート!$J$16:$S$23,入力リスト!$H$9)=0),"",IF(A796="","",IF(ISERROR(AVERAGEIF(従業員の給与情報!$B:$B,$A796,従業員の給与情報!$D:$D)),0,IF(ISERROR(AVERAGEIF(従業員の給与情報!$B:$B,$A796,従業員の給与情報!$D:$D)),0,AVERAGEIF(従業員の給与情報!$B:$B,$A796,従業員の給与情報!$D:$D)))))</f>
        <v/>
      </c>
      <c r="V796" s="299" t="str">
        <f>IF(OR(入力シート!$C$5&lt;&gt;入力リスト!$C$3,COUNTIF(入力シート!$J$16:$S$23,入力リスト!$H$9)=0),"",IF(A796="","",IF(ISERROR(AVERAGEIF(従業員の給与情報!$B:$B,$A796,従業員の給与情報!$E:$E)),0,IF(ISERROR(AVERAGEIF(従業員の給与情報!$B:$B,$A796,従業員の給与情報!$E:$E)),0,AVERAGEIF(従業員の給与情報!$B:$B,$A796,従業員の給与情報!$E:$E)))))</f>
        <v/>
      </c>
      <c r="W796" s="299" t="str">
        <f>IF(OR(入力シート!$C$5&lt;&gt;入力リスト!$C$3,COUNTIF(入力シート!$J$16:$S$23,入力リスト!$H$9)=0),"",IF(A796="","",IF(ISERROR(AVERAGEIF(従業員の給与情報!$B:$B,$A796,従業員の給与情報!$F:$F)),0,IF(ISERROR(AVERAGEIF(従業員の給与情報!$B:$B,$A796,従業員の給与情報!$F:$F)),0,AVERAGEIF(従業員の給与情報!$B:$B,$A796,従業員の給与情報!$F:$F)))))</f>
        <v/>
      </c>
      <c r="X796" s="581" t="s">
        <v>5535</v>
      </c>
    </row>
    <row r="797" spans="6:24">
      <c r="F797" s="297" t="str">
        <f>IF($G$1,"",IF(COUNTIF(A797:E797,"")=5,"",IF(G797,入力リスト!$K$28,IF(OR(A797="",B797="",IF(COUNTIF($C$3,"*不要*"),"",C797=""),D797=""),IF(A797="","従業員番号","")&amp;IF(B797="","「雇用形態」","")&amp;IF(OR(入力シート!$J$18=入力リスト!$H$9,入力シート!$J$22=入力リスト!$H$9),IF(C797="","「入社年月日」",""),"")&amp;IF(D797="","「性別」","")&amp;IF(IF(A797="","従業員番号","")&amp;IF(B797="","「雇用形態」","")&amp;IF(OR(入力シート!$J$18=入力リスト!$H$9,入力シート!$J$22=入力リスト!$H$9),IF(C797="","「入社年月日」",""),"")&amp;IF(D797="","「性別」","")="","",入力リスト!$K$29),IF(J797,入力リスト!$K$30,"")&amp;IF(I797,入力リスト!$K$31,"")&amp;IF(H797,"「雇用形態」","")&amp;IF(K797,"「性別」","")&amp;IF(L797,"「役職」","")&amp;IF(OR(H797,K797,L797),入力リスト!$K$32,"")))))</f>
        <v/>
      </c>
      <c r="G797" s="298" t="b">
        <f>COUNTIF($A$4:A796,$A797)&gt;0</f>
        <v>0</v>
      </c>
      <c r="H797" s="298" t="b">
        <f>IF($H$1,FALSE,COUNTIF(入力シート!$S$37:$V$62,B797)=0)</f>
        <v>0</v>
      </c>
      <c r="I797" s="298" t="b">
        <f t="shared" si="25"/>
        <v>0</v>
      </c>
      <c r="J797" s="298" t="b">
        <f>IF($J$1,FALSE,IF(I797=TRUE,FALSE,IF(I797,FALSE,C797&gt;入力シート!$J$24)))</f>
        <v>0</v>
      </c>
      <c r="K797" s="298" t="b">
        <f>IF($K$1,FALSE,COUNTIF(入力シート!$AW$37:$BB$38,D797)=0)</f>
        <v>0</v>
      </c>
      <c r="L797" s="298" t="b">
        <f>IF($L$1,FALSE,IF($L$3,FALSE,IF(E797="",FALSE,COUNTIF(入力シート!$AH$37:$AK$62,E797)=0)))</f>
        <v>0</v>
      </c>
      <c r="M797" s="298" t="str">
        <f t="shared" si="26"/>
        <v/>
      </c>
      <c r="N797" s="298" t="str">
        <f>IF(G797,"この従業員番号は、すでに他のセルで入力されています。",IF(入力シート!$C$5=入力リスト!$C$4,"",IF(AND(A797="",B797="",C797="",D797="",E797=""),"",IF(OR(A797="",B797="",C797="",D797=""),IF(A797="","従業員番号","")&amp;IF(AND(A797="",OR(B797="",C797="",D797="")),",","")&amp;IF(B797="","雇用形態","")&amp;IF(AND(B797="",OR(C797="",D797="")),",","")&amp;IF(OR(入力シート!$J$18=入力リスト!$H$9,入力シート!$J$22=入力リスト!$H$9),IF(C797="","入社年月日",""),"")&amp;IF(AND(C797="",D797=""),",","")&amp;IF(D797="","性別","")&amp;IF(IF(A797="","従業員番号","")&amp;IF(B797="","雇用形態","")&amp;IF(OR(入力シート!$J$18=入力リスト!$H$9,入力シート!$J$22=入力リスト!$H$9),IF(C797="","入社年月日",""),"")&amp;IF(D797="","性別","")="","","が空白です。"),IF(J797,"入社年月日に「基準日」の翌日以降の日付が入力されています。","")&amp;IF(I797,"入社年月日に数値以外（又は1900/1/1以前の日付）が入力されています。","")&amp;IF(H797,"雇用形態"&amp;IF(OR(K797,L797),",",""),"")&amp;IF(K797,"性別"&amp;IF(L797,",",""),"")&amp;IF(L797,"役職","")&amp;IF(OR(H797,K797,L797),"に、［入力シート］(4)「貴社」欄と異なる文言が入力されています。","")))))</f>
        <v/>
      </c>
      <c r="O797" s="298" t="str">
        <f>IF(B797="","",VLOOKUP('従業員情報(給与以外)'!$B797,入力シート!$S$37:$Z$62,5,0))</f>
        <v/>
      </c>
      <c r="P797" s="298" t="str">
        <f>IF(ISNUMBER(C797)=FALSE,"",IF(C797&gt;入力シート!$J$24,"",_xlfn.DAYS(入力シート!$J$24,'従業員情報(給与以外)'!$C797)/365))</f>
        <v/>
      </c>
      <c r="Q797" s="298" t="str">
        <f>IF(P797="","",VLOOKUP(_xlfn.DAYS(入力シート!$J$24,'従業員情報(給与以外)'!$C797)/365,入力リスト!$K$18:$L$26,2,2))</f>
        <v/>
      </c>
      <c r="R797" s="298" t="str">
        <f>IF(D797="","",VLOOKUP('従業員情報(給与以外)'!$D797,入力シート!$AW$37:$BB$38,4,0))</f>
        <v/>
      </c>
      <c r="S797" s="298" t="str">
        <f>IF(A797="","",IF(E797="","非役職",VLOOKUP('従業員情報(給与以外)'!$E797,入力シート!$AH$37:$AO$62,5,0)))</f>
        <v/>
      </c>
      <c r="T797" s="299" t="str">
        <f>IF(OR(入力シート!$C$5&lt;&gt;入力リスト!$C$3,COUNTIF(入力シート!$J$16:$S$23,入力リスト!$H$9)=0),"",IF($A797="","",IF(ISERROR(AVERAGEIF(従業員の給与情報!$B:$B,$A797,従業員の給与情報!$C:$C)),0,IF(ISERROR(AVERAGEIF(従業員の給与情報!$B:$B,$A797,従業員の給与情報!$C:$C)),0,AVERAGEIF(従業員の給与情報!$B:$B,$A797,従業員の給与情報!$C:$C)))))</f>
        <v/>
      </c>
      <c r="U797" s="299" t="str">
        <f>IF(OR(入力シート!$C$5&lt;&gt;入力リスト!$C$3,COUNTIF(入力シート!$J$16:$S$23,入力リスト!$H$9)=0),"",IF(A797="","",IF(ISERROR(AVERAGEIF(従業員の給与情報!$B:$B,$A797,従業員の給与情報!$D:$D)),0,IF(ISERROR(AVERAGEIF(従業員の給与情報!$B:$B,$A797,従業員の給与情報!$D:$D)),0,AVERAGEIF(従業員の給与情報!$B:$B,$A797,従業員の給与情報!$D:$D)))))</f>
        <v/>
      </c>
      <c r="V797" s="299" t="str">
        <f>IF(OR(入力シート!$C$5&lt;&gt;入力リスト!$C$3,COUNTIF(入力シート!$J$16:$S$23,入力リスト!$H$9)=0),"",IF(A797="","",IF(ISERROR(AVERAGEIF(従業員の給与情報!$B:$B,$A797,従業員の給与情報!$E:$E)),0,IF(ISERROR(AVERAGEIF(従業員の給与情報!$B:$B,$A797,従業員の給与情報!$E:$E)),0,AVERAGEIF(従業員の給与情報!$B:$B,$A797,従業員の給与情報!$E:$E)))))</f>
        <v/>
      </c>
      <c r="W797" s="299" t="str">
        <f>IF(OR(入力シート!$C$5&lt;&gt;入力リスト!$C$3,COUNTIF(入力シート!$J$16:$S$23,入力リスト!$H$9)=0),"",IF(A797="","",IF(ISERROR(AVERAGEIF(従業員の給与情報!$B:$B,$A797,従業員の給与情報!$F:$F)),0,IF(ISERROR(AVERAGEIF(従業員の給与情報!$B:$B,$A797,従業員の給与情報!$F:$F)),0,AVERAGEIF(従業員の給与情報!$B:$B,$A797,従業員の給与情報!$F:$F)))))</f>
        <v/>
      </c>
      <c r="X797" s="581" t="s">
        <v>5536</v>
      </c>
    </row>
    <row r="798" spans="6:24">
      <c r="F798" s="297" t="str">
        <f>IF($G$1,"",IF(COUNTIF(A798:E798,"")=5,"",IF(G798,入力リスト!$K$28,IF(OR(A798="",B798="",IF(COUNTIF($C$3,"*不要*"),"",C798=""),D798=""),IF(A798="","従業員番号","")&amp;IF(B798="","「雇用形態」","")&amp;IF(OR(入力シート!$J$18=入力リスト!$H$9,入力シート!$J$22=入力リスト!$H$9),IF(C798="","「入社年月日」",""),"")&amp;IF(D798="","「性別」","")&amp;IF(IF(A798="","従業員番号","")&amp;IF(B798="","「雇用形態」","")&amp;IF(OR(入力シート!$J$18=入力リスト!$H$9,入力シート!$J$22=入力リスト!$H$9),IF(C798="","「入社年月日」",""),"")&amp;IF(D798="","「性別」","")="","",入力リスト!$K$29),IF(J798,入力リスト!$K$30,"")&amp;IF(I798,入力リスト!$K$31,"")&amp;IF(H798,"「雇用形態」","")&amp;IF(K798,"「性別」","")&amp;IF(L798,"「役職」","")&amp;IF(OR(H798,K798,L798),入力リスト!$K$32,"")))))</f>
        <v/>
      </c>
      <c r="G798" s="298" t="b">
        <f>COUNTIF($A$4:A797,$A798)&gt;0</f>
        <v>0</v>
      </c>
      <c r="H798" s="298" t="b">
        <f>IF($H$1,FALSE,COUNTIF(入力シート!$S$37:$V$62,B798)=0)</f>
        <v>0</v>
      </c>
      <c r="I798" s="298" t="b">
        <f t="shared" si="25"/>
        <v>0</v>
      </c>
      <c r="J798" s="298" t="b">
        <f>IF($J$1,FALSE,IF(I798=TRUE,FALSE,IF(I798,FALSE,C798&gt;入力シート!$J$24)))</f>
        <v>0</v>
      </c>
      <c r="K798" s="298" t="b">
        <f>IF($K$1,FALSE,COUNTIF(入力シート!$AW$37:$BB$38,D798)=0)</f>
        <v>0</v>
      </c>
      <c r="L798" s="298" t="b">
        <f>IF($L$1,FALSE,IF($L$3,FALSE,IF(E798="",FALSE,COUNTIF(入力シート!$AH$37:$AK$62,E798)=0)))</f>
        <v>0</v>
      </c>
      <c r="M798" s="298" t="str">
        <f t="shared" si="26"/>
        <v/>
      </c>
      <c r="N798" s="298" t="str">
        <f>IF(G798,"この従業員番号は、すでに他のセルで入力されています。",IF(入力シート!$C$5=入力リスト!$C$4,"",IF(AND(A798="",B798="",C798="",D798="",E798=""),"",IF(OR(A798="",B798="",C798="",D798=""),IF(A798="","従業員番号","")&amp;IF(AND(A798="",OR(B798="",C798="",D798="")),",","")&amp;IF(B798="","雇用形態","")&amp;IF(AND(B798="",OR(C798="",D798="")),",","")&amp;IF(OR(入力シート!$J$18=入力リスト!$H$9,入力シート!$J$22=入力リスト!$H$9),IF(C798="","入社年月日",""),"")&amp;IF(AND(C798="",D798=""),",","")&amp;IF(D798="","性別","")&amp;IF(IF(A798="","従業員番号","")&amp;IF(B798="","雇用形態","")&amp;IF(OR(入力シート!$J$18=入力リスト!$H$9,入力シート!$J$22=入力リスト!$H$9),IF(C798="","入社年月日",""),"")&amp;IF(D798="","性別","")="","","が空白です。"),IF(J798,"入社年月日に「基準日」の翌日以降の日付が入力されています。","")&amp;IF(I798,"入社年月日に数値以外（又は1900/1/1以前の日付）が入力されています。","")&amp;IF(H798,"雇用形態"&amp;IF(OR(K798,L798),",",""),"")&amp;IF(K798,"性別"&amp;IF(L798,",",""),"")&amp;IF(L798,"役職","")&amp;IF(OR(H798,K798,L798),"に、［入力シート］(4)「貴社」欄と異なる文言が入力されています。","")))))</f>
        <v/>
      </c>
      <c r="O798" s="298" t="str">
        <f>IF(B798="","",VLOOKUP('従業員情報(給与以外)'!$B798,入力シート!$S$37:$Z$62,5,0))</f>
        <v/>
      </c>
      <c r="P798" s="298" t="str">
        <f>IF(ISNUMBER(C798)=FALSE,"",IF(C798&gt;入力シート!$J$24,"",_xlfn.DAYS(入力シート!$J$24,'従業員情報(給与以外)'!$C798)/365))</f>
        <v/>
      </c>
      <c r="Q798" s="298" t="str">
        <f>IF(P798="","",VLOOKUP(_xlfn.DAYS(入力シート!$J$24,'従業員情報(給与以外)'!$C798)/365,入力リスト!$K$18:$L$26,2,2))</f>
        <v/>
      </c>
      <c r="R798" s="298" t="str">
        <f>IF(D798="","",VLOOKUP('従業員情報(給与以外)'!$D798,入力シート!$AW$37:$BB$38,4,0))</f>
        <v/>
      </c>
      <c r="S798" s="298" t="str">
        <f>IF(A798="","",IF(E798="","非役職",VLOOKUP('従業員情報(給与以外)'!$E798,入力シート!$AH$37:$AO$62,5,0)))</f>
        <v/>
      </c>
      <c r="T798" s="299" t="str">
        <f>IF(OR(入力シート!$C$5&lt;&gt;入力リスト!$C$3,COUNTIF(入力シート!$J$16:$S$23,入力リスト!$H$9)=0),"",IF($A798="","",IF(ISERROR(AVERAGEIF(従業員の給与情報!$B:$B,$A798,従業員の給与情報!$C:$C)),0,IF(ISERROR(AVERAGEIF(従業員の給与情報!$B:$B,$A798,従業員の給与情報!$C:$C)),0,AVERAGEIF(従業員の給与情報!$B:$B,$A798,従業員の給与情報!$C:$C)))))</f>
        <v/>
      </c>
      <c r="U798" s="299" t="str">
        <f>IF(OR(入力シート!$C$5&lt;&gt;入力リスト!$C$3,COUNTIF(入力シート!$J$16:$S$23,入力リスト!$H$9)=0),"",IF(A798="","",IF(ISERROR(AVERAGEIF(従業員の給与情報!$B:$B,$A798,従業員の給与情報!$D:$D)),0,IF(ISERROR(AVERAGEIF(従業員の給与情報!$B:$B,$A798,従業員の給与情報!$D:$D)),0,AVERAGEIF(従業員の給与情報!$B:$B,$A798,従業員の給与情報!$D:$D)))))</f>
        <v/>
      </c>
      <c r="V798" s="299" t="str">
        <f>IF(OR(入力シート!$C$5&lt;&gt;入力リスト!$C$3,COUNTIF(入力シート!$J$16:$S$23,入力リスト!$H$9)=0),"",IF(A798="","",IF(ISERROR(AVERAGEIF(従業員の給与情報!$B:$B,$A798,従業員の給与情報!$E:$E)),0,IF(ISERROR(AVERAGEIF(従業員の給与情報!$B:$B,$A798,従業員の給与情報!$E:$E)),0,AVERAGEIF(従業員の給与情報!$B:$B,$A798,従業員の給与情報!$E:$E)))))</f>
        <v/>
      </c>
      <c r="W798" s="299" t="str">
        <f>IF(OR(入力シート!$C$5&lt;&gt;入力リスト!$C$3,COUNTIF(入力シート!$J$16:$S$23,入力リスト!$H$9)=0),"",IF(A798="","",IF(ISERROR(AVERAGEIF(従業員の給与情報!$B:$B,$A798,従業員の給与情報!$F:$F)),0,IF(ISERROR(AVERAGEIF(従業員の給与情報!$B:$B,$A798,従業員の給与情報!$F:$F)),0,AVERAGEIF(従業員の給与情報!$B:$B,$A798,従業員の給与情報!$F:$F)))))</f>
        <v/>
      </c>
      <c r="X798" s="581" t="s">
        <v>5537</v>
      </c>
    </row>
    <row r="799" spans="6:24">
      <c r="F799" s="297" t="str">
        <f>IF($G$1,"",IF(COUNTIF(A799:E799,"")=5,"",IF(G799,入力リスト!$K$28,IF(OR(A799="",B799="",IF(COUNTIF($C$3,"*不要*"),"",C799=""),D799=""),IF(A799="","従業員番号","")&amp;IF(B799="","「雇用形態」","")&amp;IF(OR(入力シート!$J$18=入力リスト!$H$9,入力シート!$J$22=入力リスト!$H$9),IF(C799="","「入社年月日」",""),"")&amp;IF(D799="","「性別」","")&amp;IF(IF(A799="","従業員番号","")&amp;IF(B799="","「雇用形態」","")&amp;IF(OR(入力シート!$J$18=入力リスト!$H$9,入力シート!$J$22=入力リスト!$H$9),IF(C799="","「入社年月日」",""),"")&amp;IF(D799="","「性別」","")="","",入力リスト!$K$29),IF(J799,入力リスト!$K$30,"")&amp;IF(I799,入力リスト!$K$31,"")&amp;IF(H799,"「雇用形態」","")&amp;IF(K799,"「性別」","")&amp;IF(L799,"「役職」","")&amp;IF(OR(H799,K799,L799),入力リスト!$K$32,"")))))</f>
        <v/>
      </c>
      <c r="G799" s="298" t="b">
        <f>COUNTIF($A$4:A798,$A799)&gt;0</f>
        <v>0</v>
      </c>
      <c r="H799" s="298" t="b">
        <f>IF($H$1,FALSE,COUNTIF(入力シート!$S$37:$V$62,B799)=0)</f>
        <v>0</v>
      </c>
      <c r="I799" s="298" t="b">
        <f t="shared" si="25"/>
        <v>0</v>
      </c>
      <c r="J799" s="298" t="b">
        <f>IF($J$1,FALSE,IF(I799=TRUE,FALSE,IF(I799,FALSE,C799&gt;入力シート!$J$24)))</f>
        <v>0</v>
      </c>
      <c r="K799" s="298" t="b">
        <f>IF($K$1,FALSE,COUNTIF(入力シート!$AW$37:$BB$38,D799)=0)</f>
        <v>0</v>
      </c>
      <c r="L799" s="298" t="b">
        <f>IF($L$1,FALSE,IF($L$3,FALSE,IF(E799="",FALSE,COUNTIF(入力シート!$AH$37:$AK$62,E799)=0)))</f>
        <v>0</v>
      </c>
      <c r="M799" s="298" t="str">
        <f t="shared" si="26"/>
        <v/>
      </c>
      <c r="N799" s="298" t="str">
        <f>IF(G799,"この従業員番号は、すでに他のセルで入力されています。",IF(入力シート!$C$5=入力リスト!$C$4,"",IF(AND(A799="",B799="",C799="",D799="",E799=""),"",IF(OR(A799="",B799="",C799="",D799=""),IF(A799="","従業員番号","")&amp;IF(AND(A799="",OR(B799="",C799="",D799="")),",","")&amp;IF(B799="","雇用形態","")&amp;IF(AND(B799="",OR(C799="",D799="")),",","")&amp;IF(OR(入力シート!$J$18=入力リスト!$H$9,入力シート!$J$22=入力リスト!$H$9),IF(C799="","入社年月日",""),"")&amp;IF(AND(C799="",D799=""),",","")&amp;IF(D799="","性別","")&amp;IF(IF(A799="","従業員番号","")&amp;IF(B799="","雇用形態","")&amp;IF(OR(入力シート!$J$18=入力リスト!$H$9,入力シート!$J$22=入力リスト!$H$9),IF(C799="","入社年月日",""),"")&amp;IF(D799="","性別","")="","","が空白です。"),IF(J799,"入社年月日に「基準日」の翌日以降の日付が入力されています。","")&amp;IF(I799,"入社年月日に数値以外（又は1900/1/1以前の日付）が入力されています。","")&amp;IF(H799,"雇用形態"&amp;IF(OR(K799,L799),",",""),"")&amp;IF(K799,"性別"&amp;IF(L799,",",""),"")&amp;IF(L799,"役職","")&amp;IF(OR(H799,K799,L799),"に、［入力シート］(4)「貴社」欄と異なる文言が入力されています。","")))))</f>
        <v/>
      </c>
      <c r="O799" s="298" t="str">
        <f>IF(B799="","",VLOOKUP('従業員情報(給与以外)'!$B799,入力シート!$S$37:$Z$62,5,0))</f>
        <v/>
      </c>
      <c r="P799" s="298" t="str">
        <f>IF(ISNUMBER(C799)=FALSE,"",IF(C799&gt;入力シート!$J$24,"",_xlfn.DAYS(入力シート!$J$24,'従業員情報(給与以外)'!$C799)/365))</f>
        <v/>
      </c>
      <c r="Q799" s="298" t="str">
        <f>IF(P799="","",VLOOKUP(_xlfn.DAYS(入力シート!$J$24,'従業員情報(給与以外)'!$C799)/365,入力リスト!$K$18:$L$26,2,2))</f>
        <v/>
      </c>
      <c r="R799" s="298" t="str">
        <f>IF(D799="","",VLOOKUP('従業員情報(給与以外)'!$D799,入力シート!$AW$37:$BB$38,4,0))</f>
        <v/>
      </c>
      <c r="S799" s="298" t="str">
        <f>IF(A799="","",IF(E799="","非役職",VLOOKUP('従業員情報(給与以外)'!$E799,入力シート!$AH$37:$AO$62,5,0)))</f>
        <v/>
      </c>
      <c r="T799" s="299" t="str">
        <f>IF(OR(入力シート!$C$5&lt;&gt;入力リスト!$C$3,COUNTIF(入力シート!$J$16:$S$23,入力リスト!$H$9)=0),"",IF($A799="","",IF(ISERROR(AVERAGEIF(従業員の給与情報!$B:$B,$A799,従業員の給与情報!$C:$C)),0,IF(ISERROR(AVERAGEIF(従業員の給与情報!$B:$B,$A799,従業員の給与情報!$C:$C)),0,AVERAGEIF(従業員の給与情報!$B:$B,$A799,従業員の給与情報!$C:$C)))))</f>
        <v/>
      </c>
      <c r="U799" s="299" t="str">
        <f>IF(OR(入力シート!$C$5&lt;&gt;入力リスト!$C$3,COUNTIF(入力シート!$J$16:$S$23,入力リスト!$H$9)=0),"",IF(A799="","",IF(ISERROR(AVERAGEIF(従業員の給与情報!$B:$B,$A799,従業員の給与情報!$D:$D)),0,IF(ISERROR(AVERAGEIF(従業員の給与情報!$B:$B,$A799,従業員の給与情報!$D:$D)),0,AVERAGEIF(従業員の給与情報!$B:$B,$A799,従業員の給与情報!$D:$D)))))</f>
        <v/>
      </c>
      <c r="V799" s="299" t="str">
        <f>IF(OR(入力シート!$C$5&lt;&gt;入力リスト!$C$3,COUNTIF(入力シート!$J$16:$S$23,入力リスト!$H$9)=0),"",IF(A799="","",IF(ISERROR(AVERAGEIF(従業員の給与情報!$B:$B,$A799,従業員の給与情報!$E:$E)),0,IF(ISERROR(AVERAGEIF(従業員の給与情報!$B:$B,$A799,従業員の給与情報!$E:$E)),0,AVERAGEIF(従業員の給与情報!$B:$B,$A799,従業員の給与情報!$E:$E)))))</f>
        <v/>
      </c>
      <c r="W799" s="299" t="str">
        <f>IF(OR(入力シート!$C$5&lt;&gt;入力リスト!$C$3,COUNTIF(入力シート!$J$16:$S$23,入力リスト!$H$9)=0),"",IF(A799="","",IF(ISERROR(AVERAGEIF(従業員の給与情報!$B:$B,$A799,従業員の給与情報!$F:$F)),0,IF(ISERROR(AVERAGEIF(従業員の給与情報!$B:$B,$A799,従業員の給与情報!$F:$F)),0,AVERAGEIF(従業員の給与情報!$B:$B,$A799,従業員の給与情報!$F:$F)))))</f>
        <v/>
      </c>
      <c r="X799" s="581" t="s">
        <v>5538</v>
      </c>
    </row>
    <row r="800" spans="6:24">
      <c r="F800" s="297" t="str">
        <f>IF($G$1,"",IF(COUNTIF(A800:E800,"")=5,"",IF(G800,入力リスト!$K$28,IF(OR(A800="",B800="",IF(COUNTIF($C$3,"*不要*"),"",C800=""),D800=""),IF(A800="","従業員番号","")&amp;IF(B800="","「雇用形態」","")&amp;IF(OR(入力シート!$J$18=入力リスト!$H$9,入力シート!$J$22=入力リスト!$H$9),IF(C800="","「入社年月日」",""),"")&amp;IF(D800="","「性別」","")&amp;IF(IF(A800="","従業員番号","")&amp;IF(B800="","「雇用形態」","")&amp;IF(OR(入力シート!$J$18=入力リスト!$H$9,入力シート!$J$22=入力リスト!$H$9),IF(C800="","「入社年月日」",""),"")&amp;IF(D800="","「性別」","")="","",入力リスト!$K$29),IF(J800,入力リスト!$K$30,"")&amp;IF(I800,入力リスト!$K$31,"")&amp;IF(H800,"「雇用形態」","")&amp;IF(K800,"「性別」","")&amp;IF(L800,"「役職」","")&amp;IF(OR(H800,K800,L800),入力リスト!$K$32,"")))))</f>
        <v/>
      </c>
      <c r="G800" s="298" t="b">
        <f>COUNTIF($A$4:A799,$A800)&gt;0</f>
        <v>0</v>
      </c>
      <c r="H800" s="298" t="b">
        <f>IF($H$1,FALSE,COUNTIF(入力シート!$S$37:$V$62,B800)=0)</f>
        <v>0</v>
      </c>
      <c r="I800" s="298" t="b">
        <f t="shared" si="25"/>
        <v>0</v>
      </c>
      <c r="J800" s="298" t="b">
        <f>IF($J$1,FALSE,IF(I800=TRUE,FALSE,IF(I800,FALSE,C800&gt;入力シート!$J$24)))</f>
        <v>0</v>
      </c>
      <c r="K800" s="298" t="b">
        <f>IF($K$1,FALSE,COUNTIF(入力シート!$AW$37:$BB$38,D800)=0)</f>
        <v>0</v>
      </c>
      <c r="L800" s="298" t="b">
        <f>IF($L$1,FALSE,IF($L$3,FALSE,IF(E800="",FALSE,COUNTIF(入力シート!$AH$37:$AK$62,E800)=0)))</f>
        <v>0</v>
      </c>
      <c r="M800" s="298" t="str">
        <f t="shared" si="26"/>
        <v/>
      </c>
      <c r="N800" s="298" t="str">
        <f>IF(G800,"この従業員番号は、すでに他のセルで入力されています。",IF(入力シート!$C$5=入力リスト!$C$4,"",IF(AND(A800="",B800="",C800="",D800="",E800=""),"",IF(OR(A800="",B800="",C800="",D800=""),IF(A800="","従業員番号","")&amp;IF(AND(A800="",OR(B800="",C800="",D800="")),",","")&amp;IF(B800="","雇用形態","")&amp;IF(AND(B800="",OR(C800="",D800="")),",","")&amp;IF(OR(入力シート!$J$18=入力リスト!$H$9,入力シート!$J$22=入力リスト!$H$9),IF(C800="","入社年月日",""),"")&amp;IF(AND(C800="",D800=""),",","")&amp;IF(D800="","性別","")&amp;IF(IF(A800="","従業員番号","")&amp;IF(B800="","雇用形態","")&amp;IF(OR(入力シート!$J$18=入力リスト!$H$9,入力シート!$J$22=入力リスト!$H$9),IF(C800="","入社年月日",""),"")&amp;IF(D800="","性別","")="","","が空白です。"),IF(J800,"入社年月日に「基準日」の翌日以降の日付が入力されています。","")&amp;IF(I800,"入社年月日に数値以外（又は1900/1/1以前の日付）が入力されています。","")&amp;IF(H800,"雇用形態"&amp;IF(OR(K800,L800),",",""),"")&amp;IF(K800,"性別"&amp;IF(L800,",",""),"")&amp;IF(L800,"役職","")&amp;IF(OR(H800,K800,L800),"に、［入力シート］(4)「貴社」欄と異なる文言が入力されています。","")))))</f>
        <v/>
      </c>
      <c r="O800" s="298" t="str">
        <f>IF(B800="","",VLOOKUP('従業員情報(給与以外)'!$B800,入力シート!$S$37:$Z$62,5,0))</f>
        <v/>
      </c>
      <c r="P800" s="298" t="str">
        <f>IF(ISNUMBER(C800)=FALSE,"",IF(C800&gt;入力シート!$J$24,"",_xlfn.DAYS(入力シート!$J$24,'従業員情報(給与以外)'!$C800)/365))</f>
        <v/>
      </c>
      <c r="Q800" s="298" t="str">
        <f>IF(P800="","",VLOOKUP(_xlfn.DAYS(入力シート!$J$24,'従業員情報(給与以外)'!$C800)/365,入力リスト!$K$18:$L$26,2,2))</f>
        <v/>
      </c>
      <c r="R800" s="298" t="str">
        <f>IF(D800="","",VLOOKUP('従業員情報(給与以外)'!$D800,入力シート!$AW$37:$BB$38,4,0))</f>
        <v/>
      </c>
      <c r="S800" s="298" t="str">
        <f>IF(A800="","",IF(E800="","非役職",VLOOKUP('従業員情報(給与以外)'!$E800,入力シート!$AH$37:$AO$62,5,0)))</f>
        <v/>
      </c>
      <c r="T800" s="299" t="str">
        <f>IF(OR(入力シート!$C$5&lt;&gt;入力リスト!$C$3,COUNTIF(入力シート!$J$16:$S$23,入力リスト!$H$9)=0),"",IF($A800="","",IF(ISERROR(AVERAGEIF(従業員の給与情報!$B:$B,$A800,従業員の給与情報!$C:$C)),0,IF(ISERROR(AVERAGEIF(従業員の給与情報!$B:$B,$A800,従業員の給与情報!$C:$C)),0,AVERAGEIF(従業員の給与情報!$B:$B,$A800,従業員の給与情報!$C:$C)))))</f>
        <v/>
      </c>
      <c r="U800" s="299" t="str">
        <f>IF(OR(入力シート!$C$5&lt;&gt;入力リスト!$C$3,COUNTIF(入力シート!$J$16:$S$23,入力リスト!$H$9)=0),"",IF(A800="","",IF(ISERROR(AVERAGEIF(従業員の給与情報!$B:$B,$A800,従業員の給与情報!$D:$D)),0,IF(ISERROR(AVERAGEIF(従業員の給与情報!$B:$B,$A800,従業員の給与情報!$D:$D)),0,AVERAGEIF(従業員の給与情報!$B:$B,$A800,従業員の給与情報!$D:$D)))))</f>
        <v/>
      </c>
      <c r="V800" s="299" t="str">
        <f>IF(OR(入力シート!$C$5&lt;&gt;入力リスト!$C$3,COUNTIF(入力シート!$J$16:$S$23,入力リスト!$H$9)=0),"",IF(A800="","",IF(ISERROR(AVERAGEIF(従業員の給与情報!$B:$B,$A800,従業員の給与情報!$E:$E)),0,IF(ISERROR(AVERAGEIF(従業員の給与情報!$B:$B,$A800,従業員の給与情報!$E:$E)),0,AVERAGEIF(従業員の給与情報!$B:$B,$A800,従業員の給与情報!$E:$E)))))</f>
        <v/>
      </c>
      <c r="W800" s="299" t="str">
        <f>IF(OR(入力シート!$C$5&lt;&gt;入力リスト!$C$3,COUNTIF(入力シート!$J$16:$S$23,入力リスト!$H$9)=0),"",IF(A800="","",IF(ISERROR(AVERAGEIF(従業員の給与情報!$B:$B,$A800,従業員の給与情報!$F:$F)),0,IF(ISERROR(AVERAGEIF(従業員の給与情報!$B:$B,$A800,従業員の給与情報!$F:$F)),0,AVERAGEIF(従業員の給与情報!$B:$B,$A800,従業員の給与情報!$F:$F)))))</f>
        <v/>
      </c>
      <c r="X800" s="581" t="s">
        <v>5539</v>
      </c>
    </row>
    <row r="801" spans="6:24">
      <c r="F801" s="297" t="str">
        <f>IF($G$1,"",IF(COUNTIF(A801:E801,"")=5,"",IF(G801,入力リスト!$K$28,IF(OR(A801="",B801="",IF(COUNTIF($C$3,"*不要*"),"",C801=""),D801=""),IF(A801="","従業員番号","")&amp;IF(B801="","「雇用形態」","")&amp;IF(OR(入力シート!$J$18=入力リスト!$H$9,入力シート!$J$22=入力リスト!$H$9),IF(C801="","「入社年月日」",""),"")&amp;IF(D801="","「性別」","")&amp;IF(IF(A801="","従業員番号","")&amp;IF(B801="","「雇用形態」","")&amp;IF(OR(入力シート!$J$18=入力リスト!$H$9,入力シート!$J$22=入力リスト!$H$9),IF(C801="","「入社年月日」",""),"")&amp;IF(D801="","「性別」","")="","",入力リスト!$K$29),IF(J801,入力リスト!$K$30,"")&amp;IF(I801,入力リスト!$K$31,"")&amp;IF(H801,"「雇用形態」","")&amp;IF(K801,"「性別」","")&amp;IF(L801,"「役職」","")&amp;IF(OR(H801,K801,L801),入力リスト!$K$32,"")))))</f>
        <v/>
      </c>
      <c r="G801" s="298" t="b">
        <f>COUNTIF($A$4:A800,$A801)&gt;0</f>
        <v>0</v>
      </c>
      <c r="H801" s="298" t="b">
        <f>IF($H$1,FALSE,COUNTIF(入力シート!$S$37:$V$62,B801)=0)</f>
        <v>0</v>
      </c>
      <c r="I801" s="298" t="b">
        <f t="shared" si="25"/>
        <v>0</v>
      </c>
      <c r="J801" s="298" t="b">
        <f>IF($J$1,FALSE,IF(I801=TRUE,FALSE,IF(I801,FALSE,C801&gt;入力シート!$J$24)))</f>
        <v>0</v>
      </c>
      <c r="K801" s="298" t="b">
        <f>IF($K$1,FALSE,COUNTIF(入力シート!$AW$37:$BB$38,D801)=0)</f>
        <v>0</v>
      </c>
      <c r="L801" s="298" t="b">
        <f>IF($L$1,FALSE,IF($L$3,FALSE,IF(E801="",FALSE,COUNTIF(入力シート!$AH$37:$AK$62,E801)=0)))</f>
        <v>0</v>
      </c>
      <c r="M801" s="298" t="str">
        <f t="shared" si="26"/>
        <v/>
      </c>
      <c r="N801" s="298" t="str">
        <f>IF(G801,"この従業員番号は、すでに他のセルで入力されています。",IF(入力シート!$C$5=入力リスト!$C$4,"",IF(AND(A801="",B801="",C801="",D801="",E801=""),"",IF(OR(A801="",B801="",C801="",D801=""),IF(A801="","従業員番号","")&amp;IF(AND(A801="",OR(B801="",C801="",D801="")),",","")&amp;IF(B801="","雇用形態","")&amp;IF(AND(B801="",OR(C801="",D801="")),",","")&amp;IF(OR(入力シート!$J$18=入力リスト!$H$9,入力シート!$J$22=入力リスト!$H$9),IF(C801="","入社年月日",""),"")&amp;IF(AND(C801="",D801=""),",","")&amp;IF(D801="","性別","")&amp;IF(IF(A801="","従業員番号","")&amp;IF(B801="","雇用形態","")&amp;IF(OR(入力シート!$J$18=入力リスト!$H$9,入力シート!$J$22=入力リスト!$H$9),IF(C801="","入社年月日",""),"")&amp;IF(D801="","性別","")="","","が空白です。"),IF(J801,"入社年月日に「基準日」の翌日以降の日付が入力されています。","")&amp;IF(I801,"入社年月日に数値以外（又は1900/1/1以前の日付）が入力されています。","")&amp;IF(H801,"雇用形態"&amp;IF(OR(K801,L801),",",""),"")&amp;IF(K801,"性別"&amp;IF(L801,",",""),"")&amp;IF(L801,"役職","")&amp;IF(OR(H801,K801,L801),"に、［入力シート］(4)「貴社」欄と異なる文言が入力されています。","")))))</f>
        <v/>
      </c>
      <c r="O801" s="298" t="str">
        <f>IF(B801="","",VLOOKUP('従業員情報(給与以外)'!$B801,入力シート!$S$37:$Z$62,5,0))</f>
        <v/>
      </c>
      <c r="P801" s="298" t="str">
        <f>IF(ISNUMBER(C801)=FALSE,"",IF(C801&gt;入力シート!$J$24,"",_xlfn.DAYS(入力シート!$J$24,'従業員情報(給与以外)'!$C801)/365))</f>
        <v/>
      </c>
      <c r="Q801" s="298" t="str">
        <f>IF(P801="","",VLOOKUP(_xlfn.DAYS(入力シート!$J$24,'従業員情報(給与以外)'!$C801)/365,入力リスト!$K$18:$L$26,2,2))</f>
        <v/>
      </c>
      <c r="R801" s="298" t="str">
        <f>IF(D801="","",VLOOKUP('従業員情報(給与以外)'!$D801,入力シート!$AW$37:$BB$38,4,0))</f>
        <v/>
      </c>
      <c r="S801" s="298" t="str">
        <f>IF(A801="","",IF(E801="","非役職",VLOOKUP('従業員情報(給与以外)'!$E801,入力シート!$AH$37:$AO$62,5,0)))</f>
        <v/>
      </c>
      <c r="T801" s="299" t="str">
        <f>IF(OR(入力シート!$C$5&lt;&gt;入力リスト!$C$3,COUNTIF(入力シート!$J$16:$S$23,入力リスト!$H$9)=0),"",IF($A801="","",IF(ISERROR(AVERAGEIF(従業員の給与情報!$B:$B,$A801,従業員の給与情報!$C:$C)),0,IF(ISERROR(AVERAGEIF(従業員の給与情報!$B:$B,$A801,従業員の給与情報!$C:$C)),0,AVERAGEIF(従業員の給与情報!$B:$B,$A801,従業員の給与情報!$C:$C)))))</f>
        <v/>
      </c>
      <c r="U801" s="299" t="str">
        <f>IF(OR(入力シート!$C$5&lt;&gt;入力リスト!$C$3,COUNTIF(入力シート!$J$16:$S$23,入力リスト!$H$9)=0),"",IF(A801="","",IF(ISERROR(AVERAGEIF(従業員の給与情報!$B:$B,$A801,従業員の給与情報!$D:$D)),0,IF(ISERROR(AVERAGEIF(従業員の給与情報!$B:$B,$A801,従業員の給与情報!$D:$D)),0,AVERAGEIF(従業員の給与情報!$B:$B,$A801,従業員の給与情報!$D:$D)))))</f>
        <v/>
      </c>
      <c r="V801" s="299" t="str">
        <f>IF(OR(入力シート!$C$5&lt;&gt;入力リスト!$C$3,COUNTIF(入力シート!$J$16:$S$23,入力リスト!$H$9)=0),"",IF(A801="","",IF(ISERROR(AVERAGEIF(従業員の給与情報!$B:$B,$A801,従業員の給与情報!$E:$E)),0,IF(ISERROR(AVERAGEIF(従業員の給与情報!$B:$B,$A801,従業員の給与情報!$E:$E)),0,AVERAGEIF(従業員の給与情報!$B:$B,$A801,従業員の給与情報!$E:$E)))))</f>
        <v/>
      </c>
      <c r="W801" s="299" t="str">
        <f>IF(OR(入力シート!$C$5&lt;&gt;入力リスト!$C$3,COUNTIF(入力シート!$J$16:$S$23,入力リスト!$H$9)=0),"",IF(A801="","",IF(ISERROR(AVERAGEIF(従業員の給与情報!$B:$B,$A801,従業員の給与情報!$F:$F)),0,IF(ISERROR(AVERAGEIF(従業員の給与情報!$B:$B,$A801,従業員の給与情報!$F:$F)),0,AVERAGEIF(従業員の給与情報!$B:$B,$A801,従業員の給与情報!$F:$F)))))</f>
        <v/>
      </c>
      <c r="X801" s="581" t="s">
        <v>5540</v>
      </c>
    </row>
    <row r="802" spans="6:24">
      <c r="F802" s="297" t="str">
        <f>IF($G$1,"",IF(COUNTIF(A802:E802,"")=5,"",IF(G802,入力リスト!$K$28,IF(OR(A802="",B802="",IF(COUNTIF($C$3,"*不要*"),"",C802=""),D802=""),IF(A802="","従業員番号","")&amp;IF(B802="","「雇用形態」","")&amp;IF(OR(入力シート!$J$18=入力リスト!$H$9,入力シート!$J$22=入力リスト!$H$9),IF(C802="","「入社年月日」",""),"")&amp;IF(D802="","「性別」","")&amp;IF(IF(A802="","従業員番号","")&amp;IF(B802="","「雇用形態」","")&amp;IF(OR(入力シート!$J$18=入力リスト!$H$9,入力シート!$J$22=入力リスト!$H$9),IF(C802="","「入社年月日」",""),"")&amp;IF(D802="","「性別」","")="","",入力リスト!$K$29),IF(J802,入力リスト!$K$30,"")&amp;IF(I802,入力リスト!$K$31,"")&amp;IF(H802,"「雇用形態」","")&amp;IF(K802,"「性別」","")&amp;IF(L802,"「役職」","")&amp;IF(OR(H802,K802,L802),入力リスト!$K$32,"")))))</f>
        <v/>
      </c>
      <c r="G802" s="298" t="b">
        <f>COUNTIF($A$4:A801,$A802)&gt;0</f>
        <v>0</v>
      </c>
      <c r="H802" s="298" t="b">
        <f>IF($H$1,FALSE,COUNTIF(入力シート!$S$37:$V$62,B802)=0)</f>
        <v>0</v>
      </c>
      <c r="I802" s="298" t="b">
        <f t="shared" si="25"/>
        <v>0</v>
      </c>
      <c r="J802" s="298" t="b">
        <f>IF($J$1,FALSE,IF(I802=TRUE,FALSE,IF(I802,FALSE,C802&gt;入力シート!$J$24)))</f>
        <v>0</v>
      </c>
      <c r="K802" s="298" t="b">
        <f>IF($K$1,FALSE,COUNTIF(入力シート!$AW$37:$BB$38,D802)=0)</f>
        <v>0</v>
      </c>
      <c r="L802" s="298" t="b">
        <f>IF($L$1,FALSE,IF($L$3,FALSE,IF(E802="",FALSE,COUNTIF(入力シート!$AH$37:$AK$62,E802)=0)))</f>
        <v>0</v>
      </c>
      <c r="M802" s="298" t="str">
        <f t="shared" si="26"/>
        <v/>
      </c>
      <c r="N802" s="298" t="str">
        <f>IF(G802,"この従業員番号は、すでに他のセルで入力されています。",IF(入力シート!$C$5=入力リスト!$C$4,"",IF(AND(A802="",B802="",C802="",D802="",E802=""),"",IF(OR(A802="",B802="",C802="",D802=""),IF(A802="","従業員番号","")&amp;IF(AND(A802="",OR(B802="",C802="",D802="")),",","")&amp;IF(B802="","雇用形態","")&amp;IF(AND(B802="",OR(C802="",D802="")),",","")&amp;IF(OR(入力シート!$J$18=入力リスト!$H$9,入力シート!$J$22=入力リスト!$H$9),IF(C802="","入社年月日",""),"")&amp;IF(AND(C802="",D802=""),",","")&amp;IF(D802="","性別","")&amp;IF(IF(A802="","従業員番号","")&amp;IF(B802="","雇用形態","")&amp;IF(OR(入力シート!$J$18=入力リスト!$H$9,入力シート!$J$22=入力リスト!$H$9),IF(C802="","入社年月日",""),"")&amp;IF(D802="","性別","")="","","が空白です。"),IF(J802,"入社年月日に「基準日」の翌日以降の日付が入力されています。","")&amp;IF(I802,"入社年月日に数値以外（又は1900/1/1以前の日付）が入力されています。","")&amp;IF(H802,"雇用形態"&amp;IF(OR(K802,L802),",",""),"")&amp;IF(K802,"性別"&amp;IF(L802,",",""),"")&amp;IF(L802,"役職","")&amp;IF(OR(H802,K802,L802),"に、［入力シート］(4)「貴社」欄と異なる文言が入力されています。","")))))</f>
        <v/>
      </c>
      <c r="O802" s="298" t="str">
        <f>IF(B802="","",VLOOKUP('従業員情報(給与以外)'!$B802,入力シート!$S$37:$Z$62,5,0))</f>
        <v/>
      </c>
      <c r="P802" s="298" t="str">
        <f>IF(ISNUMBER(C802)=FALSE,"",IF(C802&gt;入力シート!$J$24,"",_xlfn.DAYS(入力シート!$J$24,'従業員情報(給与以外)'!$C802)/365))</f>
        <v/>
      </c>
      <c r="Q802" s="298" t="str">
        <f>IF(P802="","",VLOOKUP(_xlfn.DAYS(入力シート!$J$24,'従業員情報(給与以外)'!$C802)/365,入力リスト!$K$18:$L$26,2,2))</f>
        <v/>
      </c>
      <c r="R802" s="298" t="str">
        <f>IF(D802="","",VLOOKUP('従業員情報(給与以外)'!$D802,入力シート!$AW$37:$BB$38,4,0))</f>
        <v/>
      </c>
      <c r="S802" s="298" t="str">
        <f>IF(A802="","",IF(E802="","非役職",VLOOKUP('従業員情報(給与以外)'!$E802,入力シート!$AH$37:$AO$62,5,0)))</f>
        <v/>
      </c>
      <c r="T802" s="299" t="str">
        <f>IF(OR(入力シート!$C$5&lt;&gt;入力リスト!$C$3,COUNTIF(入力シート!$J$16:$S$23,入力リスト!$H$9)=0),"",IF($A802="","",IF(ISERROR(AVERAGEIF(従業員の給与情報!$B:$B,$A802,従業員の給与情報!$C:$C)),0,IF(ISERROR(AVERAGEIF(従業員の給与情報!$B:$B,$A802,従業員の給与情報!$C:$C)),0,AVERAGEIF(従業員の給与情報!$B:$B,$A802,従業員の給与情報!$C:$C)))))</f>
        <v/>
      </c>
      <c r="U802" s="299" t="str">
        <f>IF(OR(入力シート!$C$5&lt;&gt;入力リスト!$C$3,COUNTIF(入力シート!$J$16:$S$23,入力リスト!$H$9)=0),"",IF(A802="","",IF(ISERROR(AVERAGEIF(従業員の給与情報!$B:$B,$A802,従業員の給与情報!$D:$D)),0,IF(ISERROR(AVERAGEIF(従業員の給与情報!$B:$B,$A802,従業員の給与情報!$D:$D)),0,AVERAGEIF(従業員の給与情報!$B:$B,$A802,従業員の給与情報!$D:$D)))))</f>
        <v/>
      </c>
      <c r="V802" s="299" t="str">
        <f>IF(OR(入力シート!$C$5&lt;&gt;入力リスト!$C$3,COUNTIF(入力シート!$J$16:$S$23,入力リスト!$H$9)=0),"",IF(A802="","",IF(ISERROR(AVERAGEIF(従業員の給与情報!$B:$B,$A802,従業員の給与情報!$E:$E)),0,IF(ISERROR(AVERAGEIF(従業員の給与情報!$B:$B,$A802,従業員の給与情報!$E:$E)),0,AVERAGEIF(従業員の給与情報!$B:$B,$A802,従業員の給与情報!$E:$E)))))</f>
        <v/>
      </c>
      <c r="W802" s="299" t="str">
        <f>IF(OR(入力シート!$C$5&lt;&gt;入力リスト!$C$3,COUNTIF(入力シート!$J$16:$S$23,入力リスト!$H$9)=0),"",IF(A802="","",IF(ISERROR(AVERAGEIF(従業員の給与情報!$B:$B,$A802,従業員の給与情報!$F:$F)),0,IF(ISERROR(AVERAGEIF(従業員の給与情報!$B:$B,$A802,従業員の給与情報!$F:$F)),0,AVERAGEIF(従業員の給与情報!$B:$B,$A802,従業員の給与情報!$F:$F)))))</f>
        <v/>
      </c>
      <c r="X802" s="581" t="s">
        <v>5541</v>
      </c>
    </row>
    <row r="803" spans="6:24">
      <c r="F803" s="297" t="str">
        <f>IF($G$1,"",IF(COUNTIF(A803:E803,"")=5,"",IF(G803,入力リスト!$K$28,IF(OR(A803="",B803="",IF(COUNTIF($C$3,"*不要*"),"",C803=""),D803=""),IF(A803="","従業員番号","")&amp;IF(B803="","「雇用形態」","")&amp;IF(OR(入力シート!$J$18=入力リスト!$H$9,入力シート!$J$22=入力リスト!$H$9),IF(C803="","「入社年月日」",""),"")&amp;IF(D803="","「性別」","")&amp;IF(IF(A803="","従業員番号","")&amp;IF(B803="","「雇用形態」","")&amp;IF(OR(入力シート!$J$18=入力リスト!$H$9,入力シート!$J$22=入力リスト!$H$9),IF(C803="","「入社年月日」",""),"")&amp;IF(D803="","「性別」","")="","",入力リスト!$K$29),IF(J803,入力リスト!$K$30,"")&amp;IF(I803,入力リスト!$K$31,"")&amp;IF(H803,"「雇用形態」","")&amp;IF(K803,"「性別」","")&amp;IF(L803,"「役職」","")&amp;IF(OR(H803,K803,L803),入力リスト!$K$32,"")))))</f>
        <v/>
      </c>
      <c r="G803" s="298" t="b">
        <f>COUNTIF($A$4:A802,$A803)&gt;0</f>
        <v>0</v>
      </c>
      <c r="H803" s="298" t="b">
        <f>IF($H$1,FALSE,COUNTIF(入力シート!$S$37:$V$62,B803)=0)</f>
        <v>0</v>
      </c>
      <c r="I803" s="298" t="b">
        <f t="shared" si="25"/>
        <v>0</v>
      </c>
      <c r="J803" s="298" t="b">
        <f>IF($J$1,FALSE,IF(I803=TRUE,FALSE,IF(I803,FALSE,C803&gt;入力シート!$J$24)))</f>
        <v>0</v>
      </c>
      <c r="K803" s="298" t="b">
        <f>IF($K$1,FALSE,COUNTIF(入力シート!$AW$37:$BB$38,D803)=0)</f>
        <v>0</v>
      </c>
      <c r="L803" s="298" t="b">
        <f>IF($L$1,FALSE,IF($L$3,FALSE,IF(E803="",FALSE,COUNTIF(入力シート!$AH$37:$AK$62,E803)=0)))</f>
        <v>0</v>
      </c>
      <c r="M803" s="298" t="str">
        <f t="shared" si="26"/>
        <v/>
      </c>
      <c r="N803" s="298" t="str">
        <f>IF(G803,"この従業員番号は、すでに他のセルで入力されています。",IF(入力シート!$C$5=入力リスト!$C$4,"",IF(AND(A803="",B803="",C803="",D803="",E803=""),"",IF(OR(A803="",B803="",C803="",D803=""),IF(A803="","従業員番号","")&amp;IF(AND(A803="",OR(B803="",C803="",D803="")),",","")&amp;IF(B803="","雇用形態","")&amp;IF(AND(B803="",OR(C803="",D803="")),",","")&amp;IF(OR(入力シート!$J$18=入力リスト!$H$9,入力シート!$J$22=入力リスト!$H$9),IF(C803="","入社年月日",""),"")&amp;IF(AND(C803="",D803=""),",","")&amp;IF(D803="","性別","")&amp;IF(IF(A803="","従業員番号","")&amp;IF(B803="","雇用形態","")&amp;IF(OR(入力シート!$J$18=入力リスト!$H$9,入力シート!$J$22=入力リスト!$H$9),IF(C803="","入社年月日",""),"")&amp;IF(D803="","性別","")="","","が空白です。"),IF(J803,"入社年月日に「基準日」の翌日以降の日付が入力されています。","")&amp;IF(I803,"入社年月日に数値以外（又は1900/1/1以前の日付）が入力されています。","")&amp;IF(H803,"雇用形態"&amp;IF(OR(K803,L803),",",""),"")&amp;IF(K803,"性別"&amp;IF(L803,",",""),"")&amp;IF(L803,"役職","")&amp;IF(OR(H803,K803,L803),"に、［入力シート］(4)「貴社」欄と異なる文言が入力されています。","")))))</f>
        <v/>
      </c>
      <c r="O803" s="298" t="str">
        <f>IF(B803="","",VLOOKUP('従業員情報(給与以外)'!$B803,入力シート!$S$37:$Z$62,5,0))</f>
        <v/>
      </c>
      <c r="P803" s="298" t="str">
        <f>IF(ISNUMBER(C803)=FALSE,"",IF(C803&gt;入力シート!$J$24,"",_xlfn.DAYS(入力シート!$J$24,'従業員情報(給与以外)'!$C803)/365))</f>
        <v/>
      </c>
      <c r="Q803" s="298" t="str">
        <f>IF(P803="","",VLOOKUP(_xlfn.DAYS(入力シート!$J$24,'従業員情報(給与以外)'!$C803)/365,入力リスト!$K$18:$L$26,2,2))</f>
        <v/>
      </c>
      <c r="R803" s="298" t="str">
        <f>IF(D803="","",VLOOKUP('従業員情報(給与以外)'!$D803,入力シート!$AW$37:$BB$38,4,0))</f>
        <v/>
      </c>
      <c r="S803" s="298" t="str">
        <f>IF(A803="","",IF(E803="","非役職",VLOOKUP('従業員情報(給与以外)'!$E803,入力シート!$AH$37:$AO$62,5,0)))</f>
        <v/>
      </c>
      <c r="T803" s="299" t="str">
        <f>IF(OR(入力シート!$C$5&lt;&gt;入力リスト!$C$3,COUNTIF(入力シート!$J$16:$S$23,入力リスト!$H$9)=0),"",IF($A803="","",IF(ISERROR(AVERAGEIF(従業員の給与情報!$B:$B,$A803,従業員の給与情報!$C:$C)),0,IF(ISERROR(AVERAGEIF(従業員の給与情報!$B:$B,$A803,従業員の給与情報!$C:$C)),0,AVERAGEIF(従業員の給与情報!$B:$B,$A803,従業員の給与情報!$C:$C)))))</f>
        <v/>
      </c>
      <c r="U803" s="299" t="str">
        <f>IF(OR(入力シート!$C$5&lt;&gt;入力リスト!$C$3,COUNTIF(入力シート!$J$16:$S$23,入力リスト!$H$9)=0),"",IF(A803="","",IF(ISERROR(AVERAGEIF(従業員の給与情報!$B:$B,$A803,従業員の給与情報!$D:$D)),0,IF(ISERROR(AVERAGEIF(従業員の給与情報!$B:$B,$A803,従業員の給与情報!$D:$D)),0,AVERAGEIF(従業員の給与情報!$B:$B,$A803,従業員の給与情報!$D:$D)))))</f>
        <v/>
      </c>
      <c r="V803" s="299" t="str">
        <f>IF(OR(入力シート!$C$5&lt;&gt;入力リスト!$C$3,COUNTIF(入力シート!$J$16:$S$23,入力リスト!$H$9)=0),"",IF(A803="","",IF(ISERROR(AVERAGEIF(従業員の給与情報!$B:$B,$A803,従業員の給与情報!$E:$E)),0,IF(ISERROR(AVERAGEIF(従業員の給与情報!$B:$B,$A803,従業員の給与情報!$E:$E)),0,AVERAGEIF(従業員の給与情報!$B:$B,$A803,従業員の給与情報!$E:$E)))))</f>
        <v/>
      </c>
      <c r="W803" s="299" t="str">
        <f>IF(OR(入力シート!$C$5&lt;&gt;入力リスト!$C$3,COUNTIF(入力シート!$J$16:$S$23,入力リスト!$H$9)=0),"",IF(A803="","",IF(ISERROR(AVERAGEIF(従業員の給与情報!$B:$B,$A803,従業員の給与情報!$F:$F)),0,IF(ISERROR(AVERAGEIF(従業員の給与情報!$B:$B,$A803,従業員の給与情報!$F:$F)),0,AVERAGEIF(従業員の給与情報!$B:$B,$A803,従業員の給与情報!$F:$F)))))</f>
        <v/>
      </c>
      <c r="X803" s="581" t="s">
        <v>5542</v>
      </c>
    </row>
    <row r="804" spans="6:24">
      <c r="F804" s="297" t="str">
        <f>IF($G$1,"",IF(COUNTIF(A804:E804,"")=5,"",IF(G804,入力リスト!$K$28,IF(OR(A804="",B804="",IF(COUNTIF($C$3,"*不要*"),"",C804=""),D804=""),IF(A804="","従業員番号","")&amp;IF(B804="","「雇用形態」","")&amp;IF(OR(入力シート!$J$18=入力リスト!$H$9,入力シート!$J$22=入力リスト!$H$9),IF(C804="","「入社年月日」",""),"")&amp;IF(D804="","「性別」","")&amp;IF(IF(A804="","従業員番号","")&amp;IF(B804="","「雇用形態」","")&amp;IF(OR(入力シート!$J$18=入力リスト!$H$9,入力シート!$J$22=入力リスト!$H$9),IF(C804="","「入社年月日」",""),"")&amp;IF(D804="","「性別」","")="","",入力リスト!$K$29),IF(J804,入力リスト!$K$30,"")&amp;IF(I804,入力リスト!$K$31,"")&amp;IF(H804,"「雇用形態」","")&amp;IF(K804,"「性別」","")&amp;IF(L804,"「役職」","")&amp;IF(OR(H804,K804,L804),入力リスト!$K$32,"")))))</f>
        <v/>
      </c>
      <c r="G804" s="298" t="b">
        <f>COUNTIF($A$4:A803,$A804)&gt;0</f>
        <v>0</v>
      </c>
      <c r="H804" s="298" t="b">
        <f>IF($H$1,FALSE,COUNTIF(入力シート!$S$37:$V$62,B804)=0)</f>
        <v>0</v>
      </c>
      <c r="I804" s="298" t="b">
        <f t="shared" si="25"/>
        <v>0</v>
      </c>
      <c r="J804" s="298" t="b">
        <f>IF($J$1,FALSE,IF(I804=TRUE,FALSE,IF(I804,FALSE,C804&gt;入力シート!$J$24)))</f>
        <v>0</v>
      </c>
      <c r="K804" s="298" t="b">
        <f>IF($K$1,FALSE,COUNTIF(入力シート!$AW$37:$BB$38,D804)=0)</f>
        <v>0</v>
      </c>
      <c r="L804" s="298" t="b">
        <f>IF($L$1,FALSE,IF($L$3,FALSE,IF(E804="",FALSE,COUNTIF(入力シート!$AH$37:$AK$62,E804)=0)))</f>
        <v>0</v>
      </c>
      <c r="M804" s="298" t="str">
        <f t="shared" si="26"/>
        <v/>
      </c>
      <c r="N804" s="298" t="str">
        <f>IF(G804,"この従業員番号は、すでに他のセルで入力されています。",IF(入力シート!$C$5=入力リスト!$C$4,"",IF(AND(A804="",B804="",C804="",D804="",E804=""),"",IF(OR(A804="",B804="",C804="",D804=""),IF(A804="","従業員番号","")&amp;IF(AND(A804="",OR(B804="",C804="",D804="")),",","")&amp;IF(B804="","雇用形態","")&amp;IF(AND(B804="",OR(C804="",D804="")),",","")&amp;IF(OR(入力シート!$J$18=入力リスト!$H$9,入力シート!$J$22=入力リスト!$H$9),IF(C804="","入社年月日",""),"")&amp;IF(AND(C804="",D804=""),",","")&amp;IF(D804="","性別","")&amp;IF(IF(A804="","従業員番号","")&amp;IF(B804="","雇用形態","")&amp;IF(OR(入力シート!$J$18=入力リスト!$H$9,入力シート!$J$22=入力リスト!$H$9),IF(C804="","入社年月日",""),"")&amp;IF(D804="","性別","")="","","が空白です。"),IF(J804,"入社年月日に「基準日」の翌日以降の日付が入力されています。","")&amp;IF(I804,"入社年月日に数値以外（又は1900/1/1以前の日付）が入力されています。","")&amp;IF(H804,"雇用形態"&amp;IF(OR(K804,L804),",",""),"")&amp;IF(K804,"性別"&amp;IF(L804,",",""),"")&amp;IF(L804,"役職","")&amp;IF(OR(H804,K804,L804),"に、［入力シート］(4)「貴社」欄と異なる文言が入力されています。","")))))</f>
        <v/>
      </c>
      <c r="O804" s="298" t="str">
        <f>IF(B804="","",VLOOKUP('従業員情報(給与以外)'!$B804,入力シート!$S$37:$Z$62,5,0))</f>
        <v/>
      </c>
      <c r="P804" s="298" t="str">
        <f>IF(ISNUMBER(C804)=FALSE,"",IF(C804&gt;入力シート!$J$24,"",_xlfn.DAYS(入力シート!$J$24,'従業員情報(給与以外)'!$C804)/365))</f>
        <v/>
      </c>
      <c r="Q804" s="298" t="str">
        <f>IF(P804="","",VLOOKUP(_xlfn.DAYS(入力シート!$J$24,'従業員情報(給与以外)'!$C804)/365,入力リスト!$K$18:$L$26,2,2))</f>
        <v/>
      </c>
      <c r="R804" s="298" t="str">
        <f>IF(D804="","",VLOOKUP('従業員情報(給与以外)'!$D804,入力シート!$AW$37:$BB$38,4,0))</f>
        <v/>
      </c>
      <c r="S804" s="298" t="str">
        <f>IF(A804="","",IF(E804="","非役職",VLOOKUP('従業員情報(給与以外)'!$E804,入力シート!$AH$37:$AO$62,5,0)))</f>
        <v/>
      </c>
      <c r="T804" s="299" t="str">
        <f>IF(OR(入力シート!$C$5&lt;&gt;入力リスト!$C$3,COUNTIF(入力シート!$J$16:$S$23,入力リスト!$H$9)=0),"",IF($A804="","",IF(ISERROR(AVERAGEIF(従業員の給与情報!$B:$B,$A804,従業員の給与情報!$C:$C)),0,IF(ISERROR(AVERAGEIF(従業員の給与情報!$B:$B,$A804,従業員の給与情報!$C:$C)),0,AVERAGEIF(従業員の給与情報!$B:$B,$A804,従業員の給与情報!$C:$C)))))</f>
        <v/>
      </c>
      <c r="U804" s="299" t="str">
        <f>IF(OR(入力シート!$C$5&lt;&gt;入力リスト!$C$3,COUNTIF(入力シート!$J$16:$S$23,入力リスト!$H$9)=0),"",IF(A804="","",IF(ISERROR(AVERAGEIF(従業員の給与情報!$B:$B,$A804,従業員の給与情報!$D:$D)),0,IF(ISERROR(AVERAGEIF(従業員の給与情報!$B:$B,$A804,従業員の給与情報!$D:$D)),0,AVERAGEIF(従業員の給与情報!$B:$B,$A804,従業員の給与情報!$D:$D)))))</f>
        <v/>
      </c>
      <c r="V804" s="299" t="str">
        <f>IF(OR(入力シート!$C$5&lt;&gt;入力リスト!$C$3,COUNTIF(入力シート!$J$16:$S$23,入力リスト!$H$9)=0),"",IF(A804="","",IF(ISERROR(AVERAGEIF(従業員の給与情報!$B:$B,$A804,従業員の給与情報!$E:$E)),0,IF(ISERROR(AVERAGEIF(従業員の給与情報!$B:$B,$A804,従業員の給与情報!$E:$E)),0,AVERAGEIF(従業員の給与情報!$B:$B,$A804,従業員の給与情報!$E:$E)))))</f>
        <v/>
      </c>
      <c r="W804" s="299" t="str">
        <f>IF(OR(入力シート!$C$5&lt;&gt;入力リスト!$C$3,COUNTIF(入力シート!$J$16:$S$23,入力リスト!$H$9)=0),"",IF(A804="","",IF(ISERROR(AVERAGEIF(従業員の給与情報!$B:$B,$A804,従業員の給与情報!$F:$F)),0,IF(ISERROR(AVERAGEIF(従業員の給与情報!$B:$B,$A804,従業員の給与情報!$F:$F)),0,AVERAGEIF(従業員の給与情報!$B:$B,$A804,従業員の給与情報!$F:$F)))))</f>
        <v/>
      </c>
      <c r="X804" s="581" t="s">
        <v>5543</v>
      </c>
    </row>
    <row r="805" spans="6:24">
      <c r="F805" s="297" t="str">
        <f>IF($G$1,"",IF(COUNTIF(A805:E805,"")=5,"",IF(G805,入力リスト!$K$28,IF(OR(A805="",B805="",IF(COUNTIF($C$3,"*不要*"),"",C805=""),D805=""),IF(A805="","従業員番号","")&amp;IF(B805="","「雇用形態」","")&amp;IF(OR(入力シート!$J$18=入力リスト!$H$9,入力シート!$J$22=入力リスト!$H$9),IF(C805="","「入社年月日」",""),"")&amp;IF(D805="","「性別」","")&amp;IF(IF(A805="","従業員番号","")&amp;IF(B805="","「雇用形態」","")&amp;IF(OR(入力シート!$J$18=入力リスト!$H$9,入力シート!$J$22=入力リスト!$H$9),IF(C805="","「入社年月日」",""),"")&amp;IF(D805="","「性別」","")="","",入力リスト!$K$29),IF(J805,入力リスト!$K$30,"")&amp;IF(I805,入力リスト!$K$31,"")&amp;IF(H805,"「雇用形態」","")&amp;IF(K805,"「性別」","")&amp;IF(L805,"「役職」","")&amp;IF(OR(H805,K805,L805),入力リスト!$K$32,"")))))</f>
        <v/>
      </c>
      <c r="G805" s="298" t="b">
        <f>COUNTIF($A$4:A804,$A805)&gt;0</f>
        <v>0</v>
      </c>
      <c r="H805" s="298" t="b">
        <f>IF($H$1,FALSE,COUNTIF(入力シート!$S$37:$V$62,B805)=0)</f>
        <v>0</v>
      </c>
      <c r="I805" s="298" t="b">
        <f t="shared" si="25"/>
        <v>0</v>
      </c>
      <c r="J805" s="298" t="b">
        <f>IF($J$1,FALSE,IF(I805=TRUE,FALSE,IF(I805,FALSE,C805&gt;入力シート!$J$24)))</f>
        <v>0</v>
      </c>
      <c r="K805" s="298" t="b">
        <f>IF($K$1,FALSE,COUNTIF(入力シート!$AW$37:$BB$38,D805)=0)</f>
        <v>0</v>
      </c>
      <c r="L805" s="298" t="b">
        <f>IF($L$1,FALSE,IF($L$3,FALSE,IF(E805="",FALSE,COUNTIF(入力シート!$AH$37:$AK$62,E805)=0)))</f>
        <v>0</v>
      </c>
      <c r="M805" s="298" t="str">
        <f t="shared" si="26"/>
        <v/>
      </c>
      <c r="N805" s="298" t="str">
        <f>IF(G805,"この従業員番号は、すでに他のセルで入力されています。",IF(入力シート!$C$5=入力リスト!$C$4,"",IF(AND(A805="",B805="",C805="",D805="",E805=""),"",IF(OR(A805="",B805="",C805="",D805=""),IF(A805="","従業員番号","")&amp;IF(AND(A805="",OR(B805="",C805="",D805="")),",","")&amp;IF(B805="","雇用形態","")&amp;IF(AND(B805="",OR(C805="",D805="")),",","")&amp;IF(OR(入力シート!$J$18=入力リスト!$H$9,入力シート!$J$22=入力リスト!$H$9),IF(C805="","入社年月日",""),"")&amp;IF(AND(C805="",D805=""),",","")&amp;IF(D805="","性別","")&amp;IF(IF(A805="","従業員番号","")&amp;IF(B805="","雇用形態","")&amp;IF(OR(入力シート!$J$18=入力リスト!$H$9,入力シート!$J$22=入力リスト!$H$9),IF(C805="","入社年月日",""),"")&amp;IF(D805="","性別","")="","","が空白です。"),IF(J805,"入社年月日に「基準日」の翌日以降の日付が入力されています。","")&amp;IF(I805,"入社年月日に数値以外（又は1900/1/1以前の日付）が入力されています。","")&amp;IF(H805,"雇用形態"&amp;IF(OR(K805,L805),",",""),"")&amp;IF(K805,"性別"&amp;IF(L805,",",""),"")&amp;IF(L805,"役職","")&amp;IF(OR(H805,K805,L805),"に、［入力シート］(4)「貴社」欄と異なる文言が入力されています。","")))))</f>
        <v/>
      </c>
      <c r="O805" s="298" t="str">
        <f>IF(B805="","",VLOOKUP('従業員情報(給与以外)'!$B805,入力シート!$S$37:$Z$62,5,0))</f>
        <v/>
      </c>
      <c r="P805" s="298" t="str">
        <f>IF(ISNUMBER(C805)=FALSE,"",IF(C805&gt;入力シート!$J$24,"",_xlfn.DAYS(入力シート!$J$24,'従業員情報(給与以外)'!$C805)/365))</f>
        <v/>
      </c>
      <c r="Q805" s="298" t="str">
        <f>IF(P805="","",VLOOKUP(_xlfn.DAYS(入力シート!$J$24,'従業員情報(給与以外)'!$C805)/365,入力リスト!$K$18:$L$26,2,2))</f>
        <v/>
      </c>
      <c r="R805" s="298" t="str">
        <f>IF(D805="","",VLOOKUP('従業員情報(給与以外)'!$D805,入力シート!$AW$37:$BB$38,4,0))</f>
        <v/>
      </c>
      <c r="S805" s="298" t="str">
        <f>IF(A805="","",IF(E805="","非役職",VLOOKUP('従業員情報(給与以外)'!$E805,入力シート!$AH$37:$AO$62,5,0)))</f>
        <v/>
      </c>
      <c r="T805" s="299" t="str">
        <f>IF(OR(入力シート!$C$5&lt;&gt;入力リスト!$C$3,COUNTIF(入力シート!$J$16:$S$23,入力リスト!$H$9)=0),"",IF($A805="","",IF(ISERROR(AVERAGEIF(従業員の給与情報!$B:$B,$A805,従業員の給与情報!$C:$C)),0,IF(ISERROR(AVERAGEIF(従業員の給与情報!$B:$B,$A805,従業員の給与情報!$C:$C)),0,AVERAGEIF(従業員の給与情報!$B:$B,$A805,従業員の給与情報!$C:$C)))))</f>
        <v/>
      </c>
      <c r="U805" s="299" t="str">
        <f>IF(OR(入力シート!$C$5&lt;&gt;入力リスト!$C$3,COUNTIF(入力シート!$J$16:$S$23,入力リスト!$H$9)=0),"",IF(A805="","",IF(ISERROR(AVERAGEIF(従業員の給与情報!$B:$B,$A805,従業員の給与情報!$D:$D)),0,IF(ISERROR(AVERAGEIF(従業員の給与情報!$B:$B,$A805,従業員の給与情報!$D:$D)),0,AVERAGEIF(従業員の給与情報!$B:$B,$A805,従業員の給与情報!$D:$D)))))</f>
        <v/>
      </c>
      <c r="V805" s="299" t="str">
        <f>IF(OR(入力シート!$C$5&lt;&gt;入力リスト!$C$3,COUNTIF(入力シート!$J$16:$S$23,入力リスト!$H$9)=0),"",IF(A805="","",IF(ISERROR(AVERAGEIF(従業員の給与情報!$B:$B,$A805,従業員の給与情報!$E:$E)),0,IF(ISERROR(AVERAGEIF(従業員の給与情報!$B:$B,$A805,従業員の給与情報!$E:$E)),0,AVERAGEIF(従業員の給与情報!$B:$B,$A805,従業員の給与情報!$E:$E)))))</f>
        <v/>
      </c>
      <c r="W805" s="299" t="str">
        <f>IF(OR(入力シート!$C$5&lt;&gt;入力リスト!$C$3,COUNTIF(入力シート!$J$16:$S$23,入力リスト!$H$9)=0),"",IF(A805="","",IF(ISERROR(AVERAGEIF(従業員の給与情報!$B:$B,$A805,従業員の給与情報!$F:$F)),0,IF(ISERROR(AVERAGEIF(従業員の給与情報!$B:$B,$A805,従業員の給与情報!$F:$F)),0,AVERAGEIF(従業員の給与情報!$B:$B,$A805,従業員の給与情報!$F:$F)))))</f>
        <v/>
      </c>
      <c r="X805" s="581" t="s">
        <v>5544</v>
      </c>
    </row>
    <row r="806" spans="6:24">
      <c r="F806" s="297" t="str">
        <f>IF($G$1,"",IF(COUNTIF(A806:E806,"")=5,"",IF(G806,入力リスト!$K$28,IF(OR(A806="",B806="",IF(COUNTIF($C$3,"*不要*"),"",C806=""),D806=""),IF(A806="","従業員番号","")&amp;IF(B806="","「雇用形態」","")&amp;IF(OR(入力シート!$J$18=入力リスト!$H$9,入力シート!$J$22=入力リスト!$H$9),IF(C806="","「入社年月日」",""),"")&amp;IF(D806="","「性別」","")&amp;IF(IF(A806="","従業員番号","")&amp;IF(B806="","「雇用形態」","")&amp;IF(OR(入力シート!$J$18=入力リスト!$H$9,入力シート!$J$22=入力リスト!$H$9),IF(C806="","「入社年月日」",""),"")&amp;IF(D806="","「性別」","")="","",入力リスト!$K$29),IF(J806,入力リスト!$K$30,"")&amp;IF(I806,入力リスト!$K$31,"")&amp;IF(H806,"「雇用形態」","")&amp;IF(K806,"「性別」","")&amp;IF(L806,"「役職」","")&amp;IF(OR(H806,K806,L806),入力リスト!$K$32,"")))))</f>
        <v/>
      </c>
      <c r="G806" s="298" t="b">
        <f>COUNTIF($A$4:A805,$A806)&gt;0</f>
        <v>0</v>
      </c>
      <c r="H806" s="298" t="b">
        <f>IF($H$1,FALSE,COUNTIF(入力シート!$S$37:$V$62,B806)=0)</f>
        <v>0</v>
      </c>
      <c r="I806" s="298" t="b">
        <f t="shared" si="25"/>
        <v>0</v>
      </c>
      <c r="J806" s="298" t="b">
        <f>IF($J$1,FALSE,IF(I806=TRUE,FALSE,IF(I806,FALSE,C806&gt;入力シート!$J$24)))</f>
        <v>0</v>
      </c>
      <c r="K806" s="298" t="b">
        <f>IF($K$1,FALSE,COUNTIF(入力シート!$AW$37:$BB$38,D806)=0)</f>
        <v>0</v>
      </c>
      <c r="L806" s="298" t="b">
        <f>IF($L$1,FALSE,IF($L$3,FALSE,IF(E806="",FALSE,COUNTIF(入力シート!$AH$37:$AK$62,E806)=0)))</f>
        <v>0</v>
      </c>
      <c r="M806" s="298" t="str">
        <f t="shared" si="26"/>
        <v/>
      </c>
      <c r="N806" s="298" t="str">
        <f>IF(G806,"この従業員番号は、すでに他のセルで入力されています。",IF(入力シート!$C$5=入力リスト!$C$4,"",IF(AND(A806="",B806="",C806="",D806="",E806=""),"",IF(OR(A806="",B806="",C806="",D806=""),IF(A806="","従業員番号","")&amp;IF(AND(A806="",OR(B806="",C806="",D806="")),",","")&amp;IF(B806="","雇用形態","")&amp;IF(AND(B806="",OR(C806="",D806="")),",","")&amp;IF(OR(入力シート!$J$18=入力リスト!$H$9,入力シート!$J$22=入力リスト!$H$9),IF(C806="","入社年月日",""),"")&amp;IF(AND(C806="",D806=""),",","")&amp;IF(D806="","性別","")&amp;IF(IF(A806="","従業員番号","")&amp;IF(B806="","雇用形態","")&amp;IF(OR(入力シート!$J$18=入力リスト!$H$9,入力シート!$J$22=入力リスト!$H$9),IF(C806="","入社年月日",""),"")&amp;IF(D806="","性別","")="","","が空白です。"),IF(J806,"入社年月日に「基準日」の翌日以降の日付が入力されています。","")&amp;IF(I806,"入社年月日に数値以外（又は1900/1/1以前の日付）が入力されています。","")&amp;IF(H806,"雇用形態"&amp;IF(OR(K806,L806),",",""),"")&amp;IF(K806,"性別"&amp;IF(L806,",",""),"")&amp;IF(L806,"役職","")&amp;IF(OR(H806,K806,L806),"に、［入力シート］(4)「貴社」欄と異なる文言が入力されています。","")))))</f>
        <v/>
      </c>
      <c r="O806" s="298" t="str">
        <f>IF(B806="","",VLOOKUP('従業員情報(給与以外)'!$B806,入力シート!$S$37:$Z$62,5,0))</f>
        <v/>
      </c>
      <c r="P806" s="298" t="str">
        <f>IF(ISNUMBER(C806)=FALSE,"",IF(C806&gt;入力シート!$J$24,"",_xlfn.DAYS(入力シート!$J$24,'従業員情報(給与以外)'!$C806)/365))</f>
        <v/>
      </c>
      <c r="Q806" s="298" t="str">
        <f>IF(P806="","",VLOOKUP(_xlfn.DAYS(入力シート!$J$24,'従業員情報(給与以外)'!$C806)/365,入力リスト!$K$18:$L$26,2,2))</f>
        <v/>
      </c>
      <c r="R806" s="298" t="str">
        <f>IF(D806="","",VLOOKUP('従業員情報(給与以外)'!$D806,入力シート!$AW$37:$BB$38,4,0))</f>
        <v/>
      </c>
      <c r="S806" s="298" t="str">
        <f>IF(A806="","",IF(E806="","非役職",VLOOKUP('従業員情報(給与以外)'!$E806,入力シート!$AH$37:$AO$62,5,0)))</f>
        <v/>
      </c>
      <c r="T806" s="299" t="str">
        <f>IF(OR(入力シート!$C$5&lt;&gt;入力リスト!$C$3,COUNTIF(入力シート!$J$16:$S$23,入力リスト!$H$9)=0),"",IF($A806="","",IF(ISERROR(AVERAGEIF(従業員の給与情報!$B:$B,$A806,従業員の給与情報!$C:$C)),0,IF(ISERROR(AVERAGEIF(従業員の給与情報!$B:$B,$A806,従業員の給与情報!$C:$C)),0,AVERAGEIF(従業員の給与情報!$B:$B,$A806,従業員の給与情報!$C:$C)))))</f>
        <v/>
      </c>
      <c r="U806" s="299" t="str">
        <f>IF(OR(入力シート!$C$5&lt;&gt;入力リスト!$C$3,COUNTIF(入力シート!$J$16:$S$23,入力リスト!$H$9)=0),"",IF(A806="","",IF(ISERROR(AVERAGEIF(従業員の給与情報!$B:$B,$A806,従業員の給与情報!$D:$D)),0,IF(ISERROR(AVERAGEIF(従業員の給与情報!$B:$B,$A806,従業員の給与情報!$D:$D)),0,AVERAGEIF(従業員の給与情報!$B:$B,$A806,従業員の給与情報!$D:$D)))))</f>
        <v/>
      </c>
      <c r="V806" s="299" t="str">
        <f>IF(OR(入力シート!$C$5&lt;&gt;入力リスト!$C$3,COUNTIF(入力シート!$J$16:$S$23,入力リスト!$H$9)=0),"",IF(A806="","",IF(ISERROR(AVERAGEIF(従業員の給与情報!$B:$B,$A806,従業員の給与情報!$E:$E)),0,IF(ISERROR(AVERAGEIF(従業員の給与情報!$B:$B,$A806,従業員の給与情報!$E:$E)),0,AVERAGEIF(従業員の給与情報!$B:$B,$A806,従業員の給与情報!$E:$E)))))</f>
        <v/>
      </c>
      <c r="W806" s="299" t="str">
        <f>IF(OR(入力シート!$C$5&lt;&gt;入力リスト!$C$3,COUNTIF(入力シート!$J$16:$S$23,入力リスト!$H$9)=0),"",IF(A806="","",IF(ISERROR(AVERAGEIF(従業員の給与情報!$B:$B,$A806,従業員の給与情報!$F:$F)),0,IF(ISERROR(AVERAGEIF(従業員の給与情報!$B:$B,$A806,従業員の給与情報!$F:$F)),0,AVERAGEIF(従業員の給与情報!$B:$B,$A806,従業員の給与情報!$F:$F)))))</f>
        <v/>
      </c>
      <c r="X806" s="581" t="s">
        <v>5545</v>
      </c>
    </row>
    <row r="807" spans="6:24">
      <c r="F807" s="297" t="str">
        <f>IF($G$1,"",IF(COUNTIF(A807:E807,"")=5,"",IF(G807,入力リスト!$K$28,IF(OR(A807="",B807="",IF(COUNTIF($C$3,"*不要*"),"",C807=""),D807=""),IF(A807="","従業員番号","")&amp;IF(B807="","「雇用形態」","")&amp;IF(OR(入力シート!$J$18=入力リスト!$H$9,入力シート!$J$22=入力リスト!$H$9),IF(C807="","「入社年月日」",""),"")&amp;IF(D807="","「性別」","")&amp;IF(IF(A807="","従業員番号","")&amp;IF(B807="","「雇用形態」","")&amp;IF(OR(入力シート!$J$18=入力リスト!$H$9,入力シート!$J$22=入力リスト!$H$9),IF(C807="","「入社年月日」",""),"")&amp;IF(D807="","「性別」","")="","",入力リスト!$K$29),IF(J807,入力リスト!$K$30,"")&amp;IF(I807,入力リスト!$K$31,"")&amp;IF(H807,"「雇用形態」","")&amp;IF(K807,"「性別」","")&amp;IF(L807,"「役職」","")&amp;IF(OR(H807,K807,L807),入力リスト!$K$32,"")))))</f>
        <v/>
      </c>
      <c r="G807" s="298" t="b">
        <f>COUNTIF($A$4:A806,$A807)&gt;0</f>
        <v>0</v>
      </c>
      <c r="H807" s="298" t="b">
        <f>IF($H$1,FALSE,COUNTIF(入力シート!$S$37:$V$62,B807)=0)</f>
        <v>0</v>
      </c>
      <c r="I807" s="298" t="b">
        <f t="shared" si="25"/>
        <v>0</v>
      </c>
      <c r="J807" s="298" t="b">
        <f>IF($J$1,FALSE,IF(I807=TRUE,FALSE,IF(I807,FALSE,C807&gt;入力シート!$J$24)))</f>
        <v>0</v>
      </c>
      <c r="K807" s="298" t="b">
        <f>IF($K$1,FALSE,COUNTIF(入力シート!$AW$37:$BB$38,D807)=0)</f>
        <v>0</v>
      </c>
      <c r="L807" s="298" t="b">
        <f>IF($L$1,FALSE,IF($L$3,FALSE,IF(E807="",FALSE,COUNTIF(入力シート!$AH$37:$AK$62,E807)=0)))</f>
        <v>0</v>
      </c>
      <c r="M807" s="298" t="str">
        <f t="shared" si="26"/>
        <v/>
      </c>
      <c r="N807" s="298" t="str">
        <f>IF(G807,"この従業員番号は、すでに他のセルで入力されています。",IF(入力シート!$C$5=入力リスト!$C$4,"",IF(AND(A807="",B807="",C807="",D807="",E807=""),"",IF(OR(A807="",B807="",C807="",D807=""),IF(A807="","従業員番号","")&amp;IF(AND(A807="",OR(B807="",C807="",D807="")),",","")&amp;IF(B807="","雇用形態","")&amp;IF(AND(B807="",OR(C807="",D807="")),",","")&amp;IF(OR(入力シート!$J$18=入力リスト!$H$9,入力シート!$J$22=入力リスト!$H$9),IF(C807="","入社年月日",""),"")&amp;IF(AND(C807="",D807=""),",","")&amp;IF(D807="","性別","")&amp;IF(IF(A807="","従業員番号","")&amp;IF(B807="","雇用形態","")&amp;IF(OR(入力シート!$J$18=入力リスト!$H$9,入力シート!$J$22=入力リスト!$H$9),IF(C807="","入社年月日",""),"")&amp;IF(D807="","性別","")="","","が空白です。"),IF(J807,"入社年月日に「基準日」の翌日以降の日付が入力されています。","")&amp;IF(I807,"入社年月日に数値以外（又は1900/1/1以前の日付）が入力されています。","")&amp;IF(H807,"雇用形態"&amp;IF(OR(K807,L807),",",""),"")&amp;IF(K807,"性別"&amp;IF(L807,",",""),"")&amp;IF(L807,"役職","")&amp;IF(OR(H807,K807,L807),"に、［入力シート］(4)「貴社」欄と異なる文言が入力されています。","")))))</f>
        <v/>
      </c>
      <c r="O807" s="298" t="str">
        <f>IF(B807="","",VLOOKUP('従業員情報(給与以外)'!$B807,入力シート!$S$37:$Z$62,5,0))</f>
        <v/>
      </c>
      <c r="P807" s="298" t="str">
        <f>IF(ISNUMBER(C807)=FALSE,"",IF(C807&gt;入力シート!$J$24,"",_xlfn.DAYS(入力シート!$J$24,'従業員情報(給与以外)'!$C807)/365))</f>
        <v/>
      </c>
      <c r="Q807" s="298" t="str">
        <f>IF(P807="","",VLOOKUP(_xlfn.DAYS(入力シート!$J$24,'従業員情報(給与以外)'!$C807)/365,入力リスト!$K$18:$L$26,2,2))</f>
        <v/>
      </c>
      <c r="R807" s="298" t="str">
        <f>IF(D807="","",VLOOKUP('従業員情報(給与以外)'!$D807,入力シート!$AW$37:$BB$38,4,0))</f>
        <v/>
      </c>
      <c r="S807" s="298" t="str">
        <f>IF(A807="","",IF(E807="","非役職",VLOOKUP('従業員情報(給与以外)'!$E807,入力シート!$AH$37:$AO$62,5,0)))</f>
        <v/>
      </c>
      <c r="T807" s="299" t="str">
        <f>IF(OR(入力シート!$C$5&lt;&gt;入力リスト!$C$3,COUNTIF(入力シート!$J$16:$S$23,入力リスト!$H$9)=0),"",IF($A807="","",IF(ISERROR(AVERAGEIF(従業員の給与情報!$B:$B,$A807,従業員の給与情報!$C:$C)),0,IF(ISERROR(AVERAGEIF(従業員の給与情報!$B:$B,$A807,従業員の給与情報!$C:$C)),0,AVERAGEIF(従業員の給与情報!$B:$B,$A807,従業員の給与情報!$C:$C)))))</f>
        <v/>
      </c>
      <c r="U807" s="299" t="str">
        <f>IF(OR(入力シート!$C$5&lt;&gt;入力リスト!$C$3,COUNTIF(入力シート!$J$16:$S$23,入力リスト!$H$9)=0),"",IF(A807="","",IF(ISERROR(AVERAGEIF(従業員の給与情報!$B:$B,$A807,従業員の給与情報!$D:$D)),0,IF(ISERROR(AVERAGEIF(従業員の給与情報!$B:$B,$A807,従業員の給与情報!$D:$D)),0,AVERAGEIF(従業員の給与情報!$B:$B,$A807,従業員の給与情報!$D:$D)))))</f>
        <v/>
      </c>
      <c r="V807" s="299" t="str">
        <f>IF(OR(入力シート!$C$5&lt;&gt;入力リスト!$C$3,COUNTIF(入力シート!$J$16:$S$23,入力リスト!$H$9)=0),"",IF(A807="","",IF(ISERROR(AVERAGEIF(従業員の給与情報!$B:$B,$A807,従業員の給与情報!$E:$E)),0,IF(ISERROR(AVERAGEIF(従業員の給与情報!$B:$B,$A807,従業員の給与情報!$E:$E)),0,AVERAGEIF(従業員の給与情報!$B:$B,$A807,従業員の給与情報!$E:$E)))))</f>
        <v/>
      </c>
      <c r="W807" s="299" t="str">
        <f>IF(OR(入力シート!$C$5&lt;&gt;入力リスト!$C$3,COUNTIF(入力シート!$J$16:$S$23,入力リスト!$H$9)=0),"",IF(A807="","",IF(ISERROR(AVERAGEIF(従業員の給与情報!$B:$B,$A807,従業員の給与情報!$F:$F)),0,IF(ISERROR(AVERAGEIF(従業員の給与情報!$B:$B,$A807,従業員の給与情報!$F:$F)),0,AVERAGEIF(従業員の給与情報!$B:$B,$A807,従業員の給与情報!$F:$F)))))</f>
        <v/>
      </c>
      <c r="X807" s="581" t="s">
        <v>5546</v>
      </c>
    </row>
    <row r="808" spans="6:24">
      <c r="F808" s="297" t="str">
        <f>IF($G$1,"",IF(COUNTIF(A808:E808,"")=5,"",IF(G808,入力リスト!$K$28,IF(OR(A808="",B808="",IF(COUNTIF($C$3,"*不要*"),"",C808=""),D808=""),IF(A808="","従業員番号","")&amp;IF(B808="","「雇用形態」","")&amp;IF(OR(入力シート!$J$18=入力リスト!$H$9,入力シート!$J$22=入力リスト!$H$9),IF(C808="","「入社年月日」",""),"")&amp;IF(D808="","「性別」","")&amp;IF(IF(A808="","従業員番号","")&amp;IF(B808="","「雇用形態」","")&amp;IF(OR(入力シート!$J$18=入力リスト!$H$9,入力シート!$J$22=入力リスト!$H$9),IF(C808="","「入社年月日」",""),"")&amp;IF(D808="","「性別」","")="","",入力リスト!$K$29),IF(J808,入力リスト!$K$30,"")&amp;IF(I808,入力リスト!$K$31,"")&amp;IF(H808,"「雇用形態」","")&amp;IF(K808,"「性別」","")&amp;IF(L808,"「役職」","")&amp;IF(OR(H808,K808,L808),入力リスト!$K$32,"")))))</f>
        <v/>
      </c>
      <c r="G808" s="298" t="b">
        <f>COUNTIF($A$4:A807,$A808)&gt;0</f>
        <v>0</v>
      </c>
      <c r="H808" s="298" t="b">
        <f>IF($H$1,FALSE,COUNTIF(入力シート!$S$37:$V$62,B808)=0)</f>
        <v>0</v>
      </c>
      <c r="I808" s="298" t="b">
        <f t="shared" si="25"/>
        <v>0</v>
      </c>
      <c r="J808" s="298" t="b">
        <f>IF($J$1,FALSE,IF(I808=TRUE,FALSE,IF(I808,FALSE,C808&gt;入力シート!$J$24)))</f>
        <v>0</v>
      </c>
      <c r="K808" s="298" t="b">
        <f>IF($K$1,FALSE,COUNTIF(入力シート!$AW$37:$BB$38,D808)=0)</f>
        <v>0</v>
      </c>
      <c r="L808" s="298" t="b">
        <f>IF($L$1,FALSE,IF($L$3,FALSE,IF(E808="",FALSE,COUNTIF(入力シート!$AH$37:$AK$62,E808)=0)))</f>
        <v>0</v>
      </c>
      <c r="M808" s="298" t="str">
        <f t="shared" si="26"/>
        <v/>
      </c>
      <c r="N808" s="298" t="str">
        <f>IF(G808,"この従業員番号は、すでに他のセルで入力されています。",IF(入力シート!$C$5=入力リスト!$C$4,"",IF(AND(A808="",B808="",C808="",D808="",E808=""),"",IF(OR(A808="",B808="",C808="",D808=""),IF(A808="","従業員番号","")&amp;IF(AND(A808="",OR(B808="",C808="",D808="")),",","")&amp;IF(B808="","雇用形態","")&amp;IF(AND(B808="",OR(C808="",D808="")),",","")&amp;IF(OR(入力シート!$J$18=入力リスト!$H$9,入力シート!$J$22=入力リスト!$H$9),IF(C808="","入社年月日",""),"")&amp;IF(AND(C808="",D808=""),",","")&amp;IF(D808="","性別","")&amp;IF(IF(A808="","従業員番号","")&amp;IF(B808="","雇用形態","")&amp;IF(OR(入力シート!$J$18=入力リスト!$H$9,入力シート!$J$22=入力リスト!$H$9),IF(C808="","入社年月日",""),"")&amp;IF(D808="","性別","")="","","が空白です。"),IF(J808,"入社年月日に「基準日」の翌日以降の日付が入力されています。","")&amp;IF(I808,"入社年月日に数値以外（又は1900/1/1以前の日付）が入力されています。","")&amp;IF(H808,"雇用形態"&amp;IF(OR(K808,L808),",",""),"")&amp;IF(K808,"性別"&amp;IF(L808,",",""),"")&amp;IF(L808,"役職","")&amp;IF(OR(H808,K808,L808),"に、［入力シート］(4)「貴社」欄と異なる文言が入力されています。","")))))</f>
        <v/>
      </c>
      <c r="O808" s="298" t="str">
        <f>IF(B808="","",VLOOKUP('従業員情報(給与以外)'!$B808,入力シート!$S$37:$Z$62,5,0))</f>
        <v/>
      </c>
      <c r="P808" s="298" t="str">
        <f>IF(ISNUMBER(C808)=FALSE,"",IF(C808&gt;入力シート!$J$24,"",_xlfn.DAYS(入力シート!$J$24,'従業員情報(給与以外)'!$C808)/365))</f>
        <v/>
      </c>
      <c r="Q808" s="298" t="str">
        <f>IF(P808="","",VLOOKUP(_xlfn.DAYS(入力シート!$J$24,'従業員情報(給与以外)'!$C808)/365,入力リスト!$K$18:$L$26,2,2))</f>
        <v/>
      </c>
      <c r="R808" s="298" t="str">
        <f>IF(D808="","",VLOOKUP('従業員情報(給与以外)'!$D808,入力シート!$AW$37:$BB$38,4,0))</f>
        <v/>
      </c>
      <c r="S808" s="298" t="str">
        <f>IF(A808="","",IF(E808="","非役職",VLOOKUP('従業員情報(給与以外)'!$E808,入力シート!$AH$37:$AO$62,5,0)))</f>
        <v/>
      </c>
      <c r="T808" s="299" t="str">
        <f>IF(OR(入力シート!$C$5&lt;&gt;入力リスト!$C$3,COUNTIF(入力シート!$J$16:$S$23,入力リスト!$H$9)=0),"",IF($A808="","",IF(ISERROR(AVERAGEIF(従業員の給与情報!$B:$B,$A808,従業員の給与情報!$C:$C)),0,IF(ISERROR(AVERAGEIF(従業員の給与情報!$B:$B,$A808,従業員の給与情報!$C:$C)),0,AVERAGEIF(従業員の給与情報!$B:$B,$A808,従業員の給与情報!$C:$C)))))</f>
        <v/>
      </c>
      <c r="U808" s="299" t="str">
        <f>IF(OR(入力シート!$C$5&lt;&gt;入力リスト!$C$3,COUNTIF(入力シート!$J$16:$S$23,入力リスト!$H$9)=0),"",IF(A808="","",IF(ISERROR(AVERAGEIF(従業員の給与情報!$B:$B,$A808,従業員の給与情報!$D:$D)),0,IF(ISERROR(AVERAGEIF(従業員の給与情報!$B:$B,$A808,従業員の給与情報!$D:$D)),0,AVERAGEIF(従業員の給与情報!$B:$B,$A808,従業員の給与情報!$D:$D)))))</f>
        <v/>
      </c>
      <c r="V808" s="299" t="str">
        <f>IF(OR(入力シート!$C$5&lt;&gt;入力リスト!$C$3,COUNTIF(入力シート!$J$16:$S$23,入力リスト!$H$9)=0),"",IF(A808="","",IF(ISERROR(AVERAGEIF(従業員の給与情報!$B:$B,$A808,従業員の給与情報!$E:$E)),0,IF(ISERROR(AVERAGEIF(従業員の給与情報!$B:$B,$A808,従業員の給与情報!$E:$E)),0,AVERAGEIF(従業員の給与情報!$B:$B,$A808,従業員の給与情報!$E:$E)))))</f>
        <v/>
      </c>
      <c r="W808" s="299" t="str">
        <f>IF(OR(入力シート!$C$5&lt;&gt;入力リスト!$C$3,COUNTIF(入力シート!$J$16:$S$23,入力リスト!$H$9)=0),"",IF(A808="","",IF(ISERROR(AVERAGEIF(従業員の給与情報!$B:$B,$A808,従業員の給与情報!$F:$F)),0,IF(ISERROR(AVERAGEIF(従業員の給与情報!$B:$B,$A808,従業員の給与情報!$F:$F)),0,AVERAGEIF(従業員の給与情報!$B:$B,$A808,従業員の給与情報!$F:$F)))))</f>
        <v/>
      </c>
      <c r="X808" s="581" t="s">
        <v>5547</v>
      </c>
    </row>
    <row r="809" spans="6:24">
      <c r="F809" s="297" t="str">
        <f>IF($G$1,"",IF(COUNTIF(A809:E809,"")=5,"",IF(G809,入力リスト!$K$28,IF(OR(A809="",B809="",IF(COUNTIF($C$3,"*不要*"),"",C809=""),D809=""),IF(A809="","従業員番号","")&amp;IF(B809="","「雇用形態」","")&amp;IF(OR(入力シート!$J$18=入力リスト!$H$9,入力シート!$J$22=入力リスト!$H$9),IF(C809="","「入社年月日」",""),"")&amp;IF(D809="","「性別」","")&amp;IF(IF(A809="","従業員番号","")&amp;IF(B809="","「雇用形態」","")&amp;IF(OR(入力シート!$J$18=入力リスト!$H$9,入力シート!$J$22=入力リスト!$H$9),IF(C809="","「入社年月日」",""),"")&amp;IF(D809="","「性別」","")="","",入力リスト!$K$29),IF(J809,入力リスト!$K$30,"")&amp;IF(I809,入力リスト!$K$31,"")&amp;IF(H809,"「雇用形態」","")&amp;IF(K809,"「性別」","")&amp;IF(L809,"「役職」","")&amp;IF(OR(H809,K809,L809),入力リスト!$K$32,"")))))</f>
        <v/>
      </c>
      <c r="G809" s="298" t="b">
        <f>COUNTIF($A$4:A808,$A809)&gt;0</f>
        <v>0</v>
      </c>
      <c r="H809" s="298" t="b">
        <f>IF($H$1,FALSE,COUNTIF(入力シート!$S$37:$V$62,B809)=0)</f>
        <v>0</v>
      </c>
      <c r="I809" s="298" t="b">
        <f t="shared" si="25"/>
        <v>0</v>
      </c>
      <c r="J809" s="298" t="b">
        <f>IF($J$1,FALSE,IF(I809=TRUE,FALSE,IF(I809,FALSE,C809&gt;入力シート!$J$24)))</f>
        <v>0</v>
      </c>
      <c r="K809" s="298" t="b">
        <f>IF($K$1,FALSE,COUNTIF(入力シート!$AW$37:$BB$38,D809)=0)</f>
        <v>0</v>
      </c>
      <c r="L809" s="298" t="b">
        <f>IF($L$1,FALSE,IF($L$3,FALSE,IF(E809="",FALSE,COUNTIF(入力シート!$AH$37:$AK$62,E809)=0)))</f>
        <v>0</v>
      </c>
      <c r="M809" s="298" t="str">
        <f t="shared" si="26"/>
        <v/>
      </c>
      <c r="N809" s="298" t="str">
        <f>IF(G809,"この従業員番号は、すでに他のセルで入力されています。",IF(入力シート!$C$5=入力リスト!$C$4,"",IF(AND(A809="",B809="",C809="",D809="",E809=""),"",IF(OR(A809="",B809="",C809="",D809=""),IF(A809="","従業員番号","")&amp;IF(AND(A809="",OR(B809="",C809="",D809="")),",","")&amp;IF(B809="","雇用形態","")&amp;IF(AND(B809="",OR(C809="",D809="")),",","")&amp;IF(OR(入力シート!$J$18=入力リスト!$H$9,入力シート!$J$22=入力リスト!$H$9),IF(C809="","入社年月日",""),"")&amp;IF(AND(C809="",D809=""),",","")&amp;IF(D809="","性別","")&amp;IF(IF(A809="","従業員番号","")&amp;IF(B809="","雇用形態","")&amp;IF(OR(入力シート!$J$18=入力リスト!$H$9,入力シート!$J$22=入力リスト!$H$9),IF(C809="","入社年月日",""),"")&amp;IF(D809="","性別","")="","","が空白です。"),IF(J809,"入社年月日に「基準日」の翌日以降の日付が入力されています。","")&amp;IF(I809,"入社年月日に数値以外（又は1900/1/1以前の日付）が入力されています。","")&amp;IF(H809,"雇用形態"&amp;IF(OR(K809,L809),",",""),"")&amp;IF(K809,"性別"&amp;IF(L809,",",""),"")&amp;IF(L809,"役職","")&amp;IF(OR(H809,K809,L809),"に、［入力シート］(4)「貴社」欄と異なる文言が入力されています。","")))))</f>
        <v/>
      </c>
      <c r="O809" s="298" t="str">
        <f>IF(B809="","",VLOOKUP('従業員情報(給与以外)'!$B809,入力シート!$S$37:$Z$62,5,0))</f>
        <v/>
      </c>
      <c r="P809" s="298" t="str">
        <f>IF(ISNUMBER(C809)=FALSE,"",IF(C809&gt;入力シート!$J$24,"",_xlfn.DAYS(入力シート!$J$24,'従業員情報(給与以外)'!$C809)/365))</f>
        <v/>
      </c>
      <c r="Q809" s="298" t="str">
        <f>IF(P809="","",VLOOKUP(_xlfn.DAYS(入力シート!$J$24,'従業員情報(給与以外)'!$C809)/365,入力リスト!$K$18:$L$26,2,2))</f>
        <v/>
      </c>
      <c r="R809" s="298" t="str">
        <f>IF(D809="","",VLOOKUP('従業員情報(給与以外)'!$D809,入力シート!$AW$37:$BB$38,4,0))</f>
        <v/>
      </c>
      <c r="S809" s="298" t="str">
        <f>IF(A809="","",IF(E809="","非役職",VLOOKUP('従業員情報(給与以外)'!$E809,入力シート!$AH$37:$AO$62,5,0)))</f>
        <v/>
      </c>
      <c r="T809" s="299" t="str">
        <f>IF(OR(入力シート!$C$5&lt;&gt;入力リスト!$C$3,COUNTIF(入力シート!$J$16:$S$23,入力リスト!$H$9)=0),"",IF($A809="","",IF(ISERROR(AVERAGEIF(従業員の給与情報!$B:$B,$A809,従業員の給与情報!$C:$C)),0,IF(ISERROR(AVERAGEIF(従業員の給与情報!$B:$B,$A809,従業員の給与情報!$C:$C)),0,AVERAGEIF(従業員の給与情報!$B:$B,$A809,従業員の給与情報!$C:$C)))))</f>
        <v/>
      </c>
      <c r="U809" s="299" t="str">
        <f>IF(OR(入力シート!$C$5&lt;&gt;入力リスト!$C$3,COUNTIF(入力シート!$J$16:$S$23,入力リスト!$H$9)=0),"",IF(A809="","",IF(ISERROR(AVERAGEIF(従業員の給与情報!$B:$B,$A809,従業員の給与情報!$D:$D)),0,IF(ISERROR(AVERAGEIF(従業員の給与情報!$B:$B,$A809,従業員の給与情報!$D:$D)),0,AVERAGEIF(従業員の給与情報!$B:$B,$A809,従業員の給与情報!$D:$D)))))</f>
        <v/>
      </c>
      <c r="V809" s="299" t="str">
        <f>IF(OR(入力シート!$C$5&lt;&gt;入力リスト!$C$3,COUNTIF(入力シート!$J$16:$S$23,入力リスト!$H$9)=0),"",IF(A809="","",IF(ISERROR(AVERAGEIF(従業員の給与情報!$B:$B,$A809,従業員の給与情報!$E:$E)),0,IF(ISERROR(AVERAGEIF(従業員の給与情報!$B:$B,$A809,従業員の給与情報!$E:$E)),0,AVERAGEIF(従業員の給与情報!$B:$B,$A809,従業員の給与情報!$E:$E)))))</f>
        <v/>
      </c>
      <c r="W809" s="299" t="str">
        <f>IF(OR(入力シート!$C$5&lt;&gt;入力リスト!$C$3,COUNTIF(入力シート!$J$16:$S$23,入力リスト!$H$9)=0),"",IF(A809="","",IF(ISERROR(AVERAGEIF(従業員の給与情報!$B:$B,$A809,従業員の給与情報!$F:$F)),0,IF(ISERROR(AVERAGEIF(従業員の給与情報!$B:$B,$A809,従業員の給与情報!$F:$F)),0,AVERAGEIF(従業員の給与情報!$B:$B,$A809,従業員の給与情報!$F:$F)))))</f>
        <v/>
      </c>
      <c r="X809" s="581" t="s">
        <v>5548</v>
      </c>
    </row>
    <row r="810" spans="6:24">
      <c r="F810" s="297" t="str">
        <f>IF($G$1,"",IF(COUNTIF(A810:E810,"")=5,"",IF(G810,入力リスト!$K$28,IF(OR(A810="",B810="",IF(COUNTIF($C$3,"*不要*"),"",C810=""),D810=""),IF(A810="","従業員番号","")&amp;IF(B810="","「雇用形態」","")&amp;IF(OR(入力シート!$J$18=入力リスト!$H$9,入力シート!$J$22=入力リスト!$H$9),IF(C810="","「入社年月日」",""),"")&amp;IF(D810="","「性別」","")&amp;IF(IF(A810="","従業員番号","")&amp;IF(B810="","「雇用形態」","")&amp;IF(OR(入力シート!$J$18=入力リスト!$H$9,入力シート!$J$22=入力リスト!$H$9),IF(C810="","「入社年月日」",""),"")&amp;IF(D810="","「性別」","")="","",入力リスト!$K$29),IF(J810,入力リスト!$K$30,"")&amp;IF(I810,入力リスト!$K$31,"")&amp;IF(H810,"「雇用形態」","")&amp;IF(K810,"「性別」","")&amp;IF(L810,"「役職」","")&amp;IF(OR(H810,K810,L810),入力リスト!$K$32,"")))))</f>
        <v/>
      </c>
      <c r="G810" s="298" t="b">
        <f>COUNTIF($A$4:A809,$A810)&gt;0</f>
        <v>0</v>
      </c>
      <c r="H810" s="298" t="b">
        <f>IF($H$1,FALSE,COUNTIF(入力シート!$S$37:$V$62,B810)=0)</f>
        <v>0</v>
      </c>
      <c r="I810" s="298" t="b">
        <f t="shared" si="25"/>
        <v>0</v>
      </c>
      <c r="J810" s="298" t="b">
        <f>IF($J$1,FALSE,IF(I810=TRUE,FALSE,IF(I810,FALSE,C810&gt;入力シート!$J$24)))</f>
        <v>0</v>
      </c>
      <c r="K810" s="298" t="b">
        <f>IF($K$1,FALSE,COUNTIF(入力シート!$AW$37:$BB$38,D810)=0)</f>
        <v>0</v>
      </c>
      <c r="L810" s="298" t="b">
        <f>IF($L$1,FALSE,IF($L$3,FALSE,IF(E810="",FALSE,COUNTIF(入力シート!$AH$37:$AK$62,E810)=0)))</f>
        <v>0</v>
      </c>
      <c r="M810" s="298" t="str">
        <f t="shared" si="26"/>
        <v/>
      </c>
      <c r="N810" s="298" t="str">
        <f>IF(G810,"この従業員番号は、すでに他のセルで入力されています。",IF(入力シート!$C$5=入力リスト!$C$4,"",IF(AND(A810="",B810="",C810="",D810="",E810=""),"",IF(OR(A810="",B810="",C810="",D810=""),IF(A810="","従業員番号","")&amp;IF(AND(A810="",OR(B810="",C810="",D810="")),",","")&amp;IF(B810="","雇用形態","")&amp;IF(AND(B810="",OR(C810="",D810="")),",","")&amp;IF(OR(入力シート!$J$18=入力リスト!$H$9,入力シート!$J$22=入力リスト!$H$9),IF(C810="","入社年月日",""),"")&amp;IF(AND(C810="",D810=""),",","")&amp;IF(D810="","性別","")&amp;IF(IF(A810="","従業員番号","")&amp;IF(B810="","雇用形態","")&amp;IF(OR(入力シート!$J$18=入力リスト!$H$9,入力シート!$J$22=入力リスト!$H$9),IF(C810="","入社年月日",""),"")&amp;IF(D810="","性別","")="","","が空白です。"),IF(J810,"入社年月日に「基準日」の翌日以降の日付が入力されています。","")&amp;IF(I810,"入社年月日に数値以外（又は1900/1/1以前の日付）が入力されています。","")&amp;IF(H810,"雇用形態"&amp;IF(OR(K810,L810),",",""),"")&amp;IF(K810,"性別"&amp;IF(L810,",",""),"")&amp;IF(L810,"役職","")&amp;IF(OR(H810,K810,L810),"に、［入力シート］(4)「貴社」欄と異なる文言が入力されています。","")))))</f>
        <v/>
      </c>
      <c r="O810" s="298" t="str">
        <f>IF(B810="","",VLOOKUP('従業員情報(給与以外)'!$B810,入力シート!$S$37:$Z$62,5,0))</f>
        <v/>
      </c>
      <c r="P810" s="298" t="str">
        <f>IF(ISNUMBER(C810)=FALSE,"",IF(C810&gt;入力シート!$J$24,"",_xlfn.DAYS(入力シート!$J$24,'従業員情報(給与以外)'!$C810)/365))</f>
        <v/>
      </c>
      <c r="Q810" s="298" t="str">
        <f>IF(P810="","",VLOOKUP(_xlfn.DAYS(入力シート!$J$24,'従業員情報(給与以外)'!$C810)/365,入力リスト!$K$18:$L$26,2,2))</f>
        <v/>
      </c>
      <c r="R810" s="298" t="str">
        <f>IF(D810="","",VLOOKUP('従業員情報(給与以外)'!$D810,入力シート!$AW$37:$BB$38,4,0))</f>
        <v/>
      </c>
      <c r="S810" s="298" t="str">
        <f>IF(A810="","",IF(E810="","非役職",VLOOKUP('従業員情報(給与以外)'!$E810,入力シート!$AH$37:$AO$62,5,0)))</f>
        <v/>
      </c>
      <c r="T810" s="299" t="str">
        <f>IF(OR(入力シート!$C$5&lt;&gt;入力リスト!$C$3,COUNTIF(入力シート!$J$16:$S$23,入力リスト!$H$9)=0),"",IF($A810="","",IF(ISERROR(AVERAGEIF(従業員の給与情報!$B:$B,$A810,従業員の給与情報!$C:$C)),0,IF(ISERROR(AVERAGEIF(従業員の給与情報!$B:$B,$A810,従業員の給与情報!$C:$C)),0,AVERAGEIF(従業員の給与情報!$B:$B,$A810,従業員の給与情報!$C:$C)))))</f>
        <v/>
      </c>
      <c r="U810" s="299" t="str">
        <f>IF(OR(入力シート!$C$5&lt;&gt;入力リスト!$C$3,COUNTIF(入力シート!$J$16:$S$23,入力リスト!$H$9)=0),"",IF(A810="","",IF(ISERROR(AVERAGEIF(従業員の給与情報!$B:$B,$A810,従業員の給与情報!$D:$D)),0,IF(ISERROR(AVERAGEIF(従業員の給与情報!$B:$B,$A810,従業員の給与情報!$D:$D)),0,AVERAGEIF(従業員の給与情報!$B:$B,$A810,従業員の給与情報!$D:$D)))))</f>
        <v/>
      </c>
      <c r="V810" s="299" t="str">
        <f>IF(OR(入力シート!$C$5&lt;&gt;入力リスト!$C$3,COUNTIF(入力シート!$J$16:$S$23,入力リスト!$H$9)=0),"",IF(A810="","",IF(ISERROR(AVERAGEIF(従業員の給与情報!$B:$B,$A810,従業員の給与情報!$E:$E)),0,IF(ISERROR(AVERAGEIF(従業員の給与情報!$B:$B,$A810,従業員の給与情報!$E:$E)),0,AVERAGEIF(従業員の給与情報!$B:$B,$A810,従業員の給与情報!$E:$E)))))</f>
        <v/>
      </c>
      <c r="W810" s="299" t="str">
        <f>IF(OR(入力シート!$C$5&lt;&gt;入力リスト!$C$3,COUNTIF(入力シート!$J$16:$S$23,入力リスト!$H$9)=0),"",IF(A810="","",IF(ISERROR(AVERAGEIF(従業員の給与情報!$B:$B,$A810,従業員の給与情報!$F:$F)),0,IF(ISERROR(AVERAGEIF(従業員の給与情報!$B:$B,$A810,従業員の給与情報!$F:$F)),0,AVERAGEIF(従業員の給与情報!$B:$B,$A810,従業員の給与情報!$F:$F)))))</f>
        <v/>
      </c>
      <c r="X810" s="581" t="s">
        <v>5549</v>
      </c>
    </row>
    <row r="811" spans="6:24">
      <c r="F811" s="297" t="str">
        <f>IF($G$1,"",IF(COUNTIF(A811:E811,"")=5,"",IF(G811,入力リスト!$K$28,IF(OR(A811="",B811="",IF(COUNTIF($C$3,"*不要*"),"",C811=""),D811=""),IF(A811="","従業員番号","")&amp;IF(B811="","「雇用形態」","")&amp;IF(OR(入力シート!$J$18=入力リスト!$H$9,入力シート!$J$22=入力リスト!$H$9),IF(C811="","「入社年月日」",""),"")&amp;IF(D811="","「性別」","")&amp;IF(IF(A811="","従業員番号","")&amp;IF(B811="","「雇用形態」","")&amp;IF(OR(入力シート!$J$18=入力リスト!$H$9,入力シート!$J$22=入力リスト!$H$9),IF(C811="","「入社年月日」",""),"")&amp;IF(D811="","「性別」","")="","",入力リスト!$K$29),IF(J811,入力リスト!$K$30,"")&amp;IF(I811,入力リスト!$K$31,"")&amp;IF(H811,"「雇用形態」","")&amp;IF(K811,"「性別」","")&amp;IF(L811,"「役職」","")&amp;IF(OR(H811,K811,L811),入力リスト!$K$32,"")))))</f>
        <v/>
      </c>
      <c r="G811" s="298" t="b">
        <f>COUNTIF($A$4:A810,$A811)&gt;0</f>
        <v>0</v>
      </c>
      <c r="H811" s="298" t="b">
        <f>IF($H$1,FALSE,COUNTIF(入力シート!$S$37:$V$62,B811)=0)</f>
        <v>0</v>
      </c>
      <c r="I811" s="298" t="b">
        <f t="shared" si="25"/>
        <v>0</v>
      </c>
      <c r="J811" s="298" t="b">
        <f>IF($J$1,FALSE,IF(I811=TRUE,FALSE,IF(I811,FALSE,C811&gt;入力シート!$J$24)))</f>
        <v>0</v>
      </c>
      <c r="K811" s="298" t="b">
        <f>IF($K$1,FALSE,COUNTIF(入力シート!$AW$37:$BB$38,D811)=0)</f>
        <v>0</v>
      </c>
      <c r="L811" s="298" t="b">
        <f>IF($L$1,FALSE,IF($L$3,FALSE,IF(E811="",FALSE,COUNTIF(入力シート!$AH$37:$AK$62,E811)=0)))</f>
        <v>0</v>
      </c>
      <c r="M811" s="298" t="str">
        <f t="shared" si="26"/>
        <v/>
      </c>
      <c r="N811" s="298" t="str">
        <f>IF(G811,"この従業員番号は、すでに他のセルで入力されています。",IF(入力シート!$C$5=入力リスト!$C$4,"",IF(AND(A811="",B811="",C811="",D811="",E811=""),"",IF(OR(A811="",B811="",C811="",D811=""),IF(A811="","従業員番号","")&amp;IF(AND(A811="",OR(B811="",C811="",D811="")),",","")&amp;IF(B811="","雇用形態","")&amp;IF(AND(B811="",OR(C811="",D811="")),",","")&amp;IF(OR(入力シート!$J$18=入力リスト!$H$9,入力シート!$J$22=入力リスト!$H$9),IF(C811="","入社年月日",""),"")&amp;IF(AND(C811="",D811=""),",","")&amp;IF(D811="","性別","")&amp;IF(IF(A811="","従業員番号","")&amp;IF(B811="","雇用形態","")&amp;IF(OR(入力シート!$J$18=入力リスト!$H$9,入力シート!$J$22=入力リスト!$H$9),IF(C811="","入社年月日",""),"")&amp;IF(D811="","性別","")="","","が空白です。"),IF(J811,"入社年月日に「基準日」の翌日以降の日付が入力されています。","")&amp;IF(I811,"入社年月日に数値以外（又は1900/1/1以前の日付）が入力されています。","")&amp;IF(H811,"雇用形態"&amp;IF(OR(K811,L811),",",""),"")&amp;IF(K811,"性別"&amp;IF(L811,",",""),"")&amp;IF(L811,"役職","")&amp;IF(OR(H811,K811,L811),"に、［入力シート］(4)「貴社」欄と異なる文言が入力されています。","")))))</f>
        <v/>
      </c>
      <c r="O811" s="298" t="str">
        <f>IF(B811="","",VLOOKUP('従業員情報(給与以外)'!$B811,入力シート!$S$37:$Z$62,5,0))</f>
        <v/>
      </c>
      <c r="P811" s="298" t="str">
        <f>IF(ISNUMBER(C811)=FALSE,"",IF(C811&gt;入力シート!$J$24,"",_xlfn.DAYS(入力シート!$J$24,'従業員情報(給与以外)'!$C811)/365))</f>
        <v/>
      </c>
      <c r="Q811" s="298" t="str">
        <f>IF(P811="","",VLOOKUP(_xlfn.DAYS(入力シート!$J$24,'従業員情報(給与以外)'!$C811)/365,入力リスト!$K$18:$L$26,2,2))</f>
        <v/>
      </c>
      <c r="R811" s="298" t="str">
        <f>IF(D811="","",VLOOKUP('従業員情報(給与以外)'!$D811,入力シート!$AW$37:$BB$38,4,0))</f>
        <v/>
      </c>
      <c r="S811" s="298" t="str">
        <f>IF(A811="","",IF(E811="","非役職",VLOOKUP('従業員情報(給与以外)'!$E811,入力シート!$AH$37:$AO$62,5,0)))</f>
        <v/>
      </c>
      <c r="T811" s="299" t="str">
        <f>IF(OR(入力シート!$C$5&lt;&gt;入力リスト!$C$3,COUNTIF(入力シート!$J$16:$S$23,入力リスト!$H$9)=0),"",IF($A811="","",IF(ISERROR(AVERAGEIF(従業員の給与情報!$B:$B,$A811,従業員の給与情報!$C:$C)),0,IF(ISERROR(AVERAGEIF(従業員の給与情報!$B:$B,$A811,従業員の給与情報!$C:$C)),0,AVERAGEIF(従業員の給与情報!$B:$B,$A811,従業員の給与情報!$C:$C)))))</f>
        <v/>
      </c>
      <c r="U811" s="299" t="str">
        <f>IF(OR(入力シート!$C$5&lt;&gt;入力リスト!$C$3,COUNTIF(入力シート!$J$16:$S$23,入力リスト!$H$9)=0),"",IF(A811="","",IF(ISERROR(AVERAGEIF(従業員の給与情報!$B:$B,$A811,従業員の給与情報!$D:$D)),0,IF(ISERROR(AVERAGEIF(従業員の給与情報!$B:$B,$A811,従業員の給与情報!$D:$D)),0,AVERAGEIF(従業員の給与情報!$B:$B,$A811,従業員の給与情報!$D:$D)))))</f>
        <v/>
      </c>
      <c r="V811" s="299" t="str">
        <f>IF(OR(入力シート!$C$5&lt;&gt;入力リスト!$C$3,COUNTIF(入力シート!$J$16:$S$23,入力リスト!$H$9)=0),"",IF(A811="","",IF(ISERROR(AVERAGEIF(従業員の給与情報!$B:$B,$A811,従業員の給与情報!$E:$E)),0,IF(ISERROR(AVERAGEIF(従業員の給与情報!$B:$B,$A811,従業員の給与情報!$E:$E)),0,AVERAGEIF(従業員の給与情報!$B:$B,$A811,従業員の給与情報!$E:$E)))))</f>
        <v/>
      </c>
      <c r="W811" s="299" t="str">
        <f>IF(OR(入力シート!$C$5&lt;&gt;入力リスト!$C$3,COUNTIF(入力シート!$J$16:$S$23,入力リスト!$H$9)=0),"",IF(A811="","",IF(ISERROR(AVERAGEIF(従業員の給与情報!$B:$B,$A811,従業員の給与情報!$F:$F)),0,IF(ISERROR(AVERAGEIF(従業員の給与情報!$B:$B,$A811,従業員の給与情報!$F:$F)),0,AVERAGEIF(従業員の給与情報!$B:$B,$A811,従業員の給与情報!$F:$F)))))</f>
        <v/>
      </c>
      <c r="X811" s="581" t="s">
        <v>5550</v>
      </c>
    </row>
    <row r="812" spans="6:24">
      <c r="F812" s="297" t="str">
        <f>IF($G$1,"",IF(COUNTIF(A812:E812,"")=5,"",IF(G812,入力リスト!$K$28,IF(OR(A812="",B812="",IF(COUNTIF($C$3,"*不要*"),"",C812=""),D812=""),IF(A812="","従業員番号","")&amp;IF(B812="","「雇用形態」","")&amp;IF(OR(入力シート!$J$18=入力リスト!$H$9,入力シート!$J$22=入力リスト!$H$9),IF(C812="","「入社年月日」",""),"")&amp;IF(D812="","「性別」","")&amp;IF(IF(A812="","従業員番号","")&amp;IF(B812="","「雇用形態」","")&amp;IF(OR(入力シート!$J$18=入力リスト!$H$9,入力シート!$J$22=入力リスト!$H$9),IF(C812="","「入社年月日」",""),"")&amp;IF(D812="","「性別」","")="","",入力リスト!$K$29),IF(J812,入力リスト!$K$30,"")&amp;IF(I812,入力リスト!$K$31,"")&amp;IF(H812,"「雇用形態」","")&amp;IF(K812,"「性別」","")&amp;IF(L812,"「役職」","")&amp;IF(OR(H812,K812,L812),入力リスト!$K$32,"")))))</f>
        <v/>
      </c>
      <c r="G812" s="298" t="b">
        <f>COUNTIF($A$4:A811,$A812)&gt;0</f>
        <v>0</v>
      </c>
      <c r="H812" s="298" t="b">
        <f>IF($H$1,FALSE,COUNTIF(入力シート!$S$37:$V$62,B812)=0)</f>
        <v>0</v>
      </c>
      <c r="I812" s="298" t="b">
        <f t="shared" si="25"/>
        <v>0</v>
      </c>
      <c r="J812" s="298" t="b">
        <f>IF($J$1,FALSE,IF(I812=TRUE,FALSE,IF(I812,FALSE,C812&gt;入力シート!$J$24)))</f>
        <v>0</v>
      </c>
      <c r="K812" s="298" t="b">
        <f>IF($K$1,FALSE,COUNTIF(入力シート!$AW$37:$BB$38,D812)=0)</f>
        <v>0</v>
      </c>
      <c r="L812" s="298" t="b">
        <f>IF($L$1,FALSE,IF($L$3,FALSE,IF(E812="",FALSE,COUNTIF(入力シート!$AH$37:$AK$62,E812)=0)))</f>
        <v>0</v>
      </c>
      <c r="M812" s="298" t="str">
        <f t="shared" si="26"/>
        <v/>
      </c>
      <c r="N812" s="298" t="str">
        <f>IF(G812,"この従業員番号は、すでに他のセルで入力されています。",IF(入力シート!$C$5=入力リスト!$C$4,"",IF(AND(A812="",B812="",C812="",D812="",E812=""),"",IF(OR(A812="",B812="",C812="",D812=""),IF(A812="","従業員番号","")&amp;IF(AND(A812="",OR(B812="",C812="",D812="")),",","")&amp;IF(B812="","雇用形態","")&amp;IF(AND(B812="",OR(C812="",D812="")),",","")&amp;IF(OR(入力シート!$J$18=入力リスト!$H$9,入力シート!$J$22=入力リスト!$H$9),IF(C812="","入社年月日",""),"")&amp;IF(AND(C812="",D812=""),",","")&amp;IF(D812="","性別","")&amp;IF(IF(A812="","従業員番号","")&amp;IF(B812="","雇用形態","")&amp;IF(OR(入力シート!$J$18=入力リスト!$H$9,入力シート!$J$22=入力リスト!$H$9),IF(C812="","入社年月日",""),"")&amp;IF(D812="","性別","")="","","が空白です。"),IF(J812,"入社年月日に「基準日」の翌日以降の日付が入力されています。","")&amp;IF(I812,"入社年月日に数値以外（又は1900/1/1以前の日付）が入力されています。","")&amp;IF(H812,"雇用形態"&amp;IF(OR(K812,L812),",",""),"")&amp;IF(K812,"性別"&amp;IF(L812,",",""),"")&amp;IF(L812,"役職","")&amp;IF(OR(H812,K812,L812),"に、［入力シート］(4)「貴社」欄と異なる文言が入力されています。","")))))</f>
        <v/>
      </c>
      <c r="O812" s="298" t="str">
        <f>IF(B812="","",VLOOKUP('従業員情報(給与以外)'!$B812,入力シート!$S$37:$Z$62,5,0))</f>
        <v/>
      </c>
      <c r="P812" s="298" t="str">
        <f>IF(ISNUMBER(C812)=FALSE,"",IF(C812&gt;入力シート!$J$24,"",_xlfn.DAYS(入力シート!$J$24,'従業員情報(給与以外)'!$C812)/365))</f>
        <v/>
      </c>
      <c r="Q812" s="298" t="str">
        <f>IF(P812="","",VLOOKUP(_xlfn.DAYS(入力シート!$J$24,'従業員情報(給与以外)'!$C812)/365,入力リスト!$K$18:$L$26,2,2))</f>
        <v/>
      </c>
      <c r="R812" s="298" t="str">
        <f>IF(D812="","",VLOOKUP('従業員情報(給与以外)'!$D812,入力シート!$AW$37:$BB$38,4,0))</f>
        <v/>
      </c>
      <c r="S812" s="298" t="str">
        <f>IF(A812="","",IF(E812="","非役職",VLOOKUP('従業員情報(給与以外)'!$E812,入力シート!$AH$37:$AO$62,5,0)))</f>
        <v/>
      </c>
      <c r="T812" s="299" t="str">
        <f>IF(OR(入力シート!$C$5&lt;&gt;入力リスト!$C$3,COUNTIF(入力シート!$J$16:$S$23,入力リスト!$H$9)=0),"",IF($A812="","",IF(ISERROR(AVERAGEIF(従業員の給与情報!$B:$B,$A812,従業員の給与情報!$C:$C)),0,IF(ISERROR(AVERAGEIF(従業員の給与情報!$B:$B,$A812,従業員の給与情報!$C:$C)),0,AVERAGEIF(従業員の給与情報!$B:$B,$A812,従業員の給与情報!$C:$C)))))</f>
        <v/>
      </c>
      <c r="U812" s="299" t="str">
        <f>IF(OR(入力シート!$C$5&lt;&gt;入力リスト!$C$3,COUNTIF(入力シート!$J$16:$S$23,入力リスト!$H$9)=0),"",IF(A812="","",IF(ISERROR(AVERAGEIF(従業員の給与情報!$B:$B,$A812,従業員の給与情報!$D:$D)),0,IF(ISERROR(AVERAGEIF(従業員の給与情報!$B:$B,$A812,従業員の給与情報!$D:$D)),0,AVERAGEIF(従業員の給与情報!$B:$B,$A812,従業員の給与情報!$D:$D)))))</f>
        <v/>
      </c>
      <c r="V812" s="299" t="str">
        <f>IF(OR(入力シート!$C$5&lt;&gt;入力リスト!$C$3,COUNTIF(入力シート!$J$16:$S$23,入力リスト!$H$9)=0),"",IF(A812="","",IF(ISERROR(AVERAGEIF(従業員の給与情報!$B:$B,$A812,従業員の給与情報!$E:$E)),0,IF(ISERROR(AVERAGEIF(従業員の給与情報!$B:$B,$A812,従業員の給与情報!$E:$E)),0,AVERAGEIF(従業員の給与情報!$B:$B,$A812,従業員の給与情報!$E:$E)))))</f>
        <v/>
      </c>
      <c r="W812" s="299" t="str">
        <f>IF(OR(入力シート!$C$5&lt;&gt;入力リスト!$C$3,COUNTIF(入力シート!$J$16:$S$23,入力リスト!$H$9)=0),"",IF(A812="","",IF(ISERROR(AVERAGEIF(従業員の給与情報!$B:$B,$A812,従業員の給与情報!$F:$F)),0,IF(ISERROR(AVERAGEIF(従業員の給与情報!$B:$B,$A812,従業員の給与情報!$F:$F)),0,AVERAGEIF(従業員の給与情報!$B:$B,$A812,従業員の給与情報!$F:$F)))))</f>
        <v/>
      </c>
      <c r="X812" s="581" t="s">
        <v>5551</v>
      </c>
    </row>
    <row r="813" spans="6:24">
      <c r="F813" s="297" t="str">
        <f>IF($G$1,"",IF(COUNTIF(A813:E813,"")=5,"",IF(G813,入力リスト!$K$28,IF(OR(A813="",B813="",IF(COUNTIF($C$3,"*不要*"),"",C813=""),D813=""),IF(A813="","従業員番号","")&amp;IF(B813="","「雇用形態」","")&amp;IF(OR(入力シート!$J$18=入力リスト!$H$9,入力シート!$J$22=入力リスト!$H$9),IF(C813="","「入社年月日」",""),"")&amp;IF(D813="","「性別」","")&amp;IF(IF(A813="","従業員番号","")&amp;IF(B813="","「雇用形態」","")&amp;IF(OR(入力シート!$J$18=入力リスト!$H$9,入力シート!$J$22=入力リスト!$H$9),IF(C813="","「入社年月日」",""),"")&amp;IF(D813="","「性別」","")="","",入力リスト!$K$29),IF(J813,入力リスト!$K$30,"")&amp;IF(I813,入力リスト!$K$31,"")&amp;IF(H813,"「雇用形態」","")&amp;IF(K813,"「性別」","")&amp;IF(L813,"「役職」","")&amp;IF(OR(H813,K813,L813),入力リスト!$K$32,"")))))</f>
        <v/>
      </c>
      <c r="G813" s="298" t="b">
        <f>COUNTIF($A$4:A812,$A813)&gt;0</f>
        <v>0</v>
      </c>
      <c r="H813" s="298" t="b">
        <f>IF($H$1,FALSE,COUNTIF(入力シート!$S$37:$V$62,B813)=0)</f>
        <v>0</v>
      </c>
      <c r="I813" s="298" t="b">
        <f t="shared" si="25"/>
        <v>0</v>
      </c>
      <c r="J813" s="298" t="b">
        <f>IF($J$1,FALSE,IF(I813=TRUE,FALSE,IF(I813,FALSE,C813&gt;入力シート!$J$24)))</f>
        <v>0</v>
      </c>
      <c r="K813" s="298" t="b">
        <f>IF($K$1,FALSE,COUNTIF(入力シート!$AW$37:$BB$38,D813)=0)</f>
        <v>0</v>
      </c>
      <c r="L813" s="298" t="b">
        <f>IF($L$1,FALSE,IF($L$3,FALSE,IF(E813="",FALSE,COUNTIF(入力シート!$AH$37:$AK$62,E813)=0)))</f>
        <v>0</v>
      </c>
      <c r="M813" s="298" t="str">
        <f t="shared" si="26"/>
        <v/>
      </c>
      <c r="N813" s="298" t="str">
        <f>IF(G813,"この従業員番号は、すでに他のセルで入力されています。",IF(入力シート!$C$5=入力リスト!$C$4,"",IF(AND(A813="",B813="",C813="",D813="",E813=""),"",IF(OR(A813="",B813="",C813="",D813=""),IF(A813="","従業員番号","")&amp;IF(AND(A813="",OR(B813="",C813="",D813="")),",","")&amp;IF(B813="","雇用形態","")&amp;IF(AND(B813="",OR(C813="",D813="")),",","")&amp;IF(OR(入力シート!$J$18=入力リスト!$H$9,入力シート!$J$22=入力リスト!$H$9),IF(C813="","入社年月日",""),"")&amp;IF(AND(C813="",D813=""),",","")&amp;IF(D813="","性別","")&amp;IF(IF(A813="","従業員番号","")&amp;IF(B813="","雇用形態","")&amp;IF(OR(入力シート!$J$18=入力リスト!$H$9,入力シート!$J$22=入力リスト!$H$9),IF(C813="","入社年月日",""),"")&amp;IF(D813="","性別","")="","","が空白です。"),IF(J813,"入社年月日に「基準日」の翌日以降の日付が入力されています。","")&amp;IF(I813,"入社年月日に数値以外（又は1900/1/1以前の日付）が入力されています。","")&amp;IF(H813,"雇用形態"&amp;IF(OR(K813,L813),",",""),"")&amp;IF(K813,"性別"&amp;IF(L813,",",""),"")&amp;IF(L813,"役職","")&amp;IF(OR(H813,K813,L813),"に、［入力シート］(4)「貴社」欄と異なる文言が入力されています。","")))))</f>
        <v/>
      </c>
      <c r="O813" s="298" t="str">
        <f>IF(B813="","",VLOOKUP('従業員情報(給与以外)'!$B813,入力シート!$S$37:$Z$62,5,0))</f>
        <v/>
      </c>
      <c r="P813" s="298" t="str">
        <f>IF(ISNUMBER(C813)=FALSE,"",IF(C813&gt;入力シート!$J$24,"",_xlfn.DAYS(入力シート!$J$24,'従業員情報(給与以外)'!$C813)/365))</f>
        <v/>
      </c>
      <c r="Q813" s="298" t="str">
        <f>IF(P813="","",VLOOKUP(_xlfn.DAYS(入力シート!$J$24,'従業員情報(給与以外)'!$C813)/365,入力リスト!$K$18:$L$26,2,2))</f>
        <v/>
      </c>
      <c r="R813" s="298" t="str">
        <f>IF(D813="","",VLOOKUP('従業員情報(給与以外)'!$D813,入力シート!$AW$37:$BB$38,4,0))</f>
        <v/>
      </c>
      <c r="S813" s="298" t="str">
        <f>IF(A813="","",IF(E813="","非役職",VLOOKUP('従業員情報(給与以外)'!$E813,入力シート!$AH$37:$AO$62,5,0)))</f>
        <v/>
      </c>
      <c r="T813" s="299" t="str">
        <f>IF(OR(入力シート!$C$5&lt;&gt;入力リスト!$C$3,COUNTIF(入力シート!$J$16:$S$23,入力リスト!$H$9)=0),"",IF($A813="","",IF(ISERROR(AVERAGEIF(従業員の給与情報!$B:$B,$A813,従業員の給与情報!$C:$C)),0,IF(ISERROR(AVERAGEIF(従業員の給与情報!$B:$B,$A813,従業員の給与情報!$C:$C)),0,AVERAGEIF(従業員の給与情報!$B:$B,$A813,従業員の給与情報!$C:$C)))))</f>
        <v/>
      </c>
      <c r="U813" s="299" t="str">
        <f>IF(OR(入力シート!$C$5&lt;&gt;入力リスト!$C$3,COUNTIF(入力シート!$J$16:$S$23,入力リスト!$H$9)=0),"",IF(A813="","",IF(ISERROR(AVERAGEIF(従業員の給与情報!$B:$B,$A813,従業員の給与情報!$D:$D)),0,IF(ISERROR(AVERAGEIF(従業員の給与情報!$B:$B,$A813,従業員の給与情報!$D:$D)),0,AVERAGEIF(従業員の給与情報!$B:$B,$A813,従業員の給与情報!$D:$D)))))</f>
        <v/>
      </c>
      <c r="V813" s="299" t="str">
        <f>IF(OR(入力シート!$C$5&lt;&gt;入力リスト!$C$3,COUNTIF(入力シート!$J$16:$S$23,入力リスト!$H$9)=0),"",IF(A813="","",IF(ISERROR(AVERAGEIF(従業員の給与情報!$B:$B,$A813,従業員の給与情報!$E:$E)),0,IF(ISERROR(AVERAGEIF(従業員の給与情報!$B:$B,$A813,従業員の給与情報!$E:$E)),0,AVERAGEIF(従業員の給与情報!$B:$B,$A813,従業員の給与情報!$E:$E)))))</f>
        <v/>
      </c>
      <c r="W813" s="299" t="str">
        <f>IF(OR(入力シート!$C$5&lt;&gt;入力リスト!$C$3,COUNTIF(入力シート!$J$16:$S$23,入力リスト!$H$9)=0),"",IF(A813="","",IF(ISERROR(AVERAGEIF(従業員の給与情報!$B:$B,$A813,従業員の給与情報!$F:$F)),0,IF(ISERROR(AVERAGEIF(従業員の給与情報!$B:$B,$A813,従業員の給与情報!$F:$F)),0,AVERAGEIF(従業員の給与情報!$B:$B,$A813,従業員の給与情報!$F:$F)))))</f>
        <v/>
      </c>
      <c r="X813" s="581" t="s">
        <v>5552</v>
      </c>
    </row>
    <row r="814" spans="6:24">
      <c r="F814" s="297" t="str">
        <f>IF($G$1,"",IF(COUNTIF(A814:E814,"")=5,"",IF(G814,入力リスト!$K$28,IF(OR(A814="",B814="",IF(COUNTIF($C$3,"*不要*"),"",C814=""),D814=""),IF(A814="","従業員番号","")&amp;IF(B814="","「雇用形態」","")&amp;IF(OR(入力シート!$J$18=入力リスト!$H$9,入力シート!$J$22=入力リスト!$H$9),IF(C814="","「入社年月日」",""),"")&amp;IF(D814="","「性別」","")&amp;IF(IF(A814="","従業員番号","")&amp;IF(B814="","「雇用形態」","")&amp;IF(OR(入力シート!$J$18=入力リスト!$H$9,入力シート!$J$22=入力リスト!$H$9),IF(C814="","「入社年月日」",""),"")&amp;IF(D814="","「性別」","")="","",入力リスト!$K$29),IF(J814,入力リスト!$K$30,"")&amp;IF(I814,入力リスト!$K$31,"")&amp;IF(H814,"「雇用形態」","")&amp;IF(K814,"「性別」","")&amp;IF(L814,"「役職」","")&amp;IF(OR(H814,K814,L814),入力リスト!$K$32,"")))))</f>
        <v/>
      </c>
      <c r="G814" s="298" t="b">
        <f>COUNTIF($A$4:A813,$A814)&gt;0</f>
        <v>0</v>
      </c>
      <c r="H814" s="298" t="b">
        <f>IF($H$1,FALSE,COUNTIF(入力シート!$S$37:$V$62,B814)=0)</f>
        <v>0</v>
      </c>
      <c r="I814" s="298" t="b">
        <f t="shared" si="25"/>
        <v>0</v>
      </c>
      <c r="J814" s="298" t="b">
        <f>IF($J$1,FALSE,IF(I814=TRUE,FALSE,IF(I814,FALSE,C814&gt;入力シート!$J$24)))</f>
        <v>0</v>
      </c>
      <c r="K814" s="298" t="b">
        <f>IF($K$1,FALSE,COUNTIF(入力シート!$AW$37:$BB$38,D814)=0)</f>
        <v>0</v>
      </c>
      <c r="L814" s="298" t="b">
        <f>IF($L$1,FALSE,IF($L$3,FALSE,IF(E814="",FALSE,COUNTIF(入力シート!$AH$37:$AK$62,E814)=0)))</f>
        <v>0</v>
      </c>
      <c r="M814" s="298" t="str">
        <f t="shared" si="26"/>
        <v/>
      </c>
      <c r="N814" s="298" t="str">
        <f>IF(G814,"この従業員番号は、すでに他のセルで入力されています。",IF(入力シート!$C$5=入力リスト!$C$4,"",IF(AND(A814="",B814="",C814="",D814="",E814=""),"",IF(OR(A814="",B814="",C814="",D814=""),IF(A814="","従業員番号","")&amp;IF(AND(A814="",OR(B814="",C814="",D814="")),",","")&amp;IF(B814="","雇用形態","")&amp;IF(AND(B814="",OR(C814="",D814="")),",","")&amp;IF(OR(入力シート!$J$18=入力リスト!$H$9,入力シート!$J$22=入力リスト!$H$9),IF(C814="","入社年月日",""),"")&amp;IF(AND(C814="",D814=""),",","")&amp;IF(D814="","性別","")&amp;IF(IF(A814="","従業員番号","")&amp;IF(B814="","雇用形態","")&amp;IF(OR(入力シート!$J$18=入力リスト!$H$9,入力シート!$J$22=入力リスト!$H$9),IF(C814="","入社年月日",""),"")&amp;IF(D814="","性別","")="","","が空白です。"),IF(J814,"入社年月日に「基準日」の翌日以降の日付が入力されています。","")&amp;IF(I814,"入社年月日に数値以外（又は1900/1/1以前の日付）が入力されています。","")&amp;IF(H814,"雇用形態"&amp;IF(OR(K814,L814),",",""),"")&amp;IF(K814,"性別"&amp;IF(L814,",",""),"")&amp;IF(L814,"役職","")&amp;IF(OR(H814,K814,L814),"に、［入力シート］(4)「貴社」欄と異なる文言が入力されています。","")))))</f>
        <v/>
      </c>
      <c r="O814" s="298" t="str">
        <f>IF(B814="","",VLOOKUP('従業員情報(給与以外)'!$B814,入力シート!$S$37:$Z$62,5,0))</f>
        <v/>
      </c>
      <c r="P814" s="298" t="str">
        <f>IF(ISNUMBER(C814)=FALSE,"",IF(C814&gt;入力シート!$J$24,"",_xlfn.DAYS(入力シート!$J$24,'従業員情報(給与以外)'!$C814)/365))</f>
        <v/>
      </c>
      <c r="Q814" s="298" t="str">
        <f>IF(P814="","",VLOOKUP(_xlfn.DAYS(入力シート!$J$24,'従業員情報(給与以外)'!$C814)/365,入力リスト!$K$18:$L$26,2,2))</f>
        <v/>
      </c>
      <c r="R814" s="298" t="str">
        <f>IF(D814="","",VLOOKUP('従業員情報(給与以外)'!$D814,入力シート!$AW$37:$BB$38,4,0))</f>
        <v/>
      </c>
      <c r="S814" s="298" t="str">
        <f>IF(A814="","",IF(E814="","非役職",VLOOKUP('従業員情報(給与以外)'!$E814,入力シート!$AH$37:$AO$62,5,0)))</f>
        <v/>
      </c>
      <c r="T814" s="299" t="str">
        <f>IF(OR(入力シート!$C$5&lt;&gt;入力リスト!$C$3,COUNTIF(入力シート!$J$16:$S$23,入力リスト!$H$9)=0),"",IF($A814="","",IF(ISERROR(AVERAGEIF(従業員の給与情報!$B:$B,$A814,従業員の給与情報!$C:$C)),0,IF(ISERROR(AVERAGEIF(従業員の給与情報!$B:$B,$A814,従業員の給与情報!$C:$C)),0,AVERAGEIF(従業員の給与情報!$B:$B,$A814,従業員の給与情報!$C:$C)))))</f>
        <v/>
      </c>
      <c r="U814" s="299" t="str">
        <f>IF(OR(入力シート!$C$5&lt;&gt;入力リスト!$C$3,COUNTIF(入力シート!$J$16:$S$23,入力リスト!$H$9)=0),"",IF(A814="","",IF(ISERROR(AVERAGEIF(従業員の給与情報!$B:$B,$A814,従業員の給与情報!$D:$D)),0,IF(ISERROR(AVERAGEIF(従業員の給与情報!$B:$B,$A814,従業員の給与情報!$D:$D)),0,AVERAGEIF(従業員の給与情報!$B:$B,$A814,従業員の給与情報!$D:$D)))))</f>
        <v/>
      </c>
      <c r="V814" s="299" t="str">
        <f>IF(OR(入力シート!$C$5&lt;&gt;入力リスト!$C$3,COUNTIF(入力シート!$J$16:$S$23,入力リスト!$H$9)=0),"",IF(A814="","",IF(ISERROR(AVERAGEIF(従業員の給与情報!$B:$B,$A814,従業員の給与情報!$E:$E)),0,IF(ISERROR(AVERAGEIF(従業員の給与情報!$B:$B,$A814,従業員の給与情報!$E:$E)),0,AVERAGEIF(従業員の給与情報!$B:$B,$A814,従業員の給与情報!$E:$E)))))</f>
        <v/>
      </c>
      <c r="W814" s="299" t="str">
        <f>IF(OR(入力シート!$C$5&lt;&gt;入力リスト!$C$3,COUNTIF(入力シート!$J$16:$S$23,入力リスト!$H$9)=0),"",IF(A814="","",IF(ISERROR(AVERAGEIF(従業員の給与情報!$B:$B,$A814,従業員の給与情報!$F:$F)),0,IF(ISERROR(AVERAGEIF(従業員の給与情報!$B:$B,$A814,従業員の給与情報!$F:$F)),0,AVERAGEIF(従業員の給与情報!$B:$B,$A814,従業員の給与情報!$F:$F)))))</f>
        <v/>
      </c>
      <c r="X814" s="581" t="s">
        <v>5553</v>
      </c>
    </row>
    <row r="815" spans="6:24">
      <c r="F815" s="297" t="str">
        <f>IF($G$1,"",IF(COUNTIF(A815:E815,"")=5,"",IF(G815,入力リスト!$K$28,IF(OR(A815="",B815="",IF(COUNTIF($C$3,"*不要*"),"",C815=""),D815=""),IF(A815="","従業員番号","")&amp;IF(B815="","「雇用形態」","")&amp;IF(OR(入力シート!$J$18=入力リスト!$H$9,入力シート!$J$22=入力リスト!$H$9),IF(C815="","「入社年月日」",""),"")&amp;IF(D815="","「性別」","")&amp;IF(IF(A815="","従業員番号","")&amp;IF(B815="","「雇用形態」","")&amp;IF(OR(入力シート!$J$18=入力リスト!$H$9,入力シート!$J$22=入力リスト!$H$9),IF(C815="","「入社年月日」",""),"")&amp;IF(D815="","「性別」","")="","",入力リスト!$K$29),IF(J815,入力リスト!$K$30,"")&amp;IF(I815,入力リスト!$K$31,"")&amp;IF(H815,"「雇用形態」","")&amp;IF(K815,"「性別」","")&amp;IF(L815,"「役職」","")&amp;IF(OR(H815,K815,L815),入力リスト!$K$32,"")))))</f>
        <v/>
      </c>
      <c r="G815" s="298" t="b">
        <f>COUNTIF($A$4:A814,$A815)&gt;0</f>
        <v>0</v>
      </c>
      <c r="H815" s="298" t="b">
        <f>IF($H$1,FALSE,COUNTIF(入力シート!$S$37:$V$62,B815)=0)</f>
        <v>0</v>
      </c>
      <c r="I815" s="298" t="b">
        <f t="shared" si="25"/>
        <v>0</v>
      </c>
      <c r="J815" s="298" t="b">
        <f>IF($J$1,FALSE,IF(I815=TRUE,FALSE,IF(I815,FALSE,C815&gt;入力シート!$J$24)))</f>
        <v>0</v>
      </c>
      <c r="K815" s="298" t="b">
        <f>IF($K$1,FALSE,COUNTIF(入力シート!$AW$37:$BB$38,D815)=0)</f>
        <v>0</v>
      </c>
      <c r="L815" s="298" t="b">
        <f>IF($L$1,FALSE,IF($L$3,FALSE,IF(E815="",FALSE,COUNTIF(入力シート!$AH$37:$AK$62,E815)=0)))</f>
        <v>0</v>
      </c>
      <c r="M815" s="298" t="str">
        <f t="shared" si="26"/>
        <v/>
      </c>
      <c r="N815" s="298" t="str">
        <f>IF(G815,"この従業員番号は、すでに他のセルで入力されています。",IF(入力シート!$C$5=入力リスト!$C$4,"",IF(AND(A815="",B815="",C815="",D815="",E815=""),"",IF(OR(A815="",B815="",C815="",D815=""),IF(A815="","従業員番号","")&amp;IF(AND(A815="",OR(B815="",C815="",D815="")),",","")&amp;IF(B815="","雇用形態","")&amp;IF(AND(B815="",OR(C815="",D815="")),",","")&amp;IF(OR(入力シート!$J$18=入力リスト!$H$9,入力シート!$J$22=入力リスト!$H$9),IF(C815="","入社年月日",""),"")&amp;IF(AND(C815="",D815=""),",","")&amp;IF(D815="","性別","")&amp;IF(IF(A815="","従業員番号","")&amp;IF(B815="","雇用形態","")&amp;IF(OR(入力シート!$J$18=入力リスト!$H$9,入力シート!$J$22=入力リスト!$H$9),IF(C815="","入社年月日",""),"")&amp;IF(D815="","性別","")="","","が空白です。"),IF(J815,"入社年月日に「基準日」の翌日以降の日付が入力されています。","")&amp;IF(I815,"入社年月日に数値以外（又は1900/1/1以前の日付）が入力されています。","")&amp;IF(H815,"雇用形態"&amp;IF(OR(K815,L815),",",""),"")&amp;IF(K815,"性別"&amp;IF(L815,",",""),"")&amp;IF(L815,"役職","")&amp;IF(OR(H815,K815,L815),"に、［入力シート］(4)「貴社」欄と異なる文言が入力されています。","")))))</f>
        <v/>
      </c>
      <c r="O815" s="298" t="str">
        <f>IF(B815="","",VLOOKUP('従業員情報(給与以外)'!$B815,入力シート!$S$37:$Z$62,5,0))</f>
        <v/>
      </c>
      <c r="P815" s="298" t="str">
        <f>IF(ISNUMBER(C815)=FALSE,"",IF(C815&gt;入力シート!$J$24,"",_xlfn.DAYS(入力シート!$J$24,'従業員情報(給与以外)'!$C815)/365))</f>
        <v/>
      </c>
      <c r="Q815" s="298" t="str">
        <f>IF(P815="","",VLOOKUP(_xlfn.DAYS(入力シート!$J$24,'従業員情報(給与以外)'!$C815)/365,入力リスト!$K$18:$L$26,2,2))</f>
        <v/>
      </c>
      <c r="R815" s="298" t="str">
        <f>IF(D815="","",VLOOKUP('従業員情報(給与以外)'!$D815,入力シート!$AW$37:$BB$38,4,0))</f>
        <v/>
      </c>
      <c r="S815" s="298" t="str">
        <f>IF(A815="","",IF(E815="","非役職",VLOOKUP('従業員情報(給与以外)'!$E815,入力シート!$AH$37:$AO$62,5,0)))</f>
        <v/>
      </c>
      <c r="T815" s="299" t="str">
        <f>IF(OR(入力シート!$C$5&lt;&gt;入力リスト!$C$3,COUNTIF(入力シート!$J$16:$S$23,入力リスト!$H$9)=0),"",IF($A815="","",IF(ISERROR(AVERAGEIF(従業員の給与情報!$B:$B,$A815,従業員の給与情報!$C:$C)),0,IF(ISERROR(AVERAGEIF(従業員の給与情報!$B:$B,$A815,従業員の給与情報!$C:$C)),0,AVERAGEIF(従業員の給与情報!$B:$B,$A815,従業員の給与情報!$C:$C)))))</f>
        <v/>
      </c>
      <c r="U815" s="299" t="str">
        <f>IF(OR(入力シート!$C$5&lt;&gt;入力リスト!$C$3,COUNTIF(入力シート!$J$16:$S$23,入力リスト!$H$9)=0),"",IF(A815="","",IF(ISERROR(AVERAGEIF(従業員の給与情報!$B:$B,$A815,従業員の給与情報!$D:$D)),0,IF(ISERROR(AVERAGEIF(従業員の給与情報!$B:$B,$A815,従業員の給与情報!$D:$D)),0,AVERAGEIF(従業員の給与情報!$B:$B,$A815,従業員の給与情報!$D:$D)))))</f>
        <v/>
      </c>
      <c r="V815" s="299" t="str">
        <f>IF(OR(入力シート!$C$5&lt;&gt;入力リスト!$C$3,COUNTIF(入力シート!$J$16:$S$23,入力リスト!$H$9)=0),"",IF(A815="","",IF(ISERROR(AVERAGEIF(従業員の給与情報!$B:$B,$A815,従業員の給与情報!$E:$E)),0,IF(ISERROR(AVERAGEIF(従業員の給与情報!$B:$B,$A815,従業員の給与情報!$E:$E)),0,AVERAGEIF(従業員の給与情報!$B:$B,$A815,従業員の給与情報!$E:$E)))))</f>
        <v/>
      </c>
      <c r="W815" s="299" t="str">
        <f>IF(OR(入力シート!$C$5&lt;&gt;入力リスト!$C$3,COUNTIF(入力シート!$J$16:$S$23,入力リスト!$H$9)=0),"",IF(A815="","",IF(ISERROR(AVERAGEIF(従業員の給与情報!$B:$B,$A815,従業員の給与情報!$F:$F)),0,IF(ISERROR(AVERAGEIF(従業員の給与情報!$B:$B,$A815,従業員の給与情報!$F:$F)),0,AVERAGEIF(従業員の給与情報!$B:$B,$A815,従業員の給与情報!$F:$F)))))</f>
        <v/>
      </c>
      <c r="X815" s="581" t="s">
        <v>5554</v>
      </c>
    </row>
    <row r="816" spans="6:24">
      <c r="F816" s="297" t="str">
        <f>IF($G$1,"",IF(COUNTIF(A816:E816,"")=5,"",IF(G816,入力リスト!$K$28,IF(OR(A816="",B816="",IF(COUNTIF($C$3,"*不要*"),"",C816=""),D816=""),IF(A816="","従業員番号","")&amp;IF(B816="","「雇用形態」","")&amp;IF(OR(入力シート!$J$18=入力リスト!$H$9,入力シート!$J$22=入力リスト!$H$9),IF(C816="","「入社年月日」",""),"")&amp;IF(D816="","「性別」","")&amp;IF(IF(A816="","従業員番号","")&amp;IF(B816="","「雇用形態」","")&amp;IF(OR(入力シート!$J$18=入力リスト!$H$9,入力シート!$J$22=入力リスト!$H$9),IF(C816="","「入社年月日」",""),"")&amp;IF(D816="","「性別」","")="","",入力リスト!$K$29),IF(J816,入力リスト!$K$30,"")&amp;IF(I816,入力リスト!$K$31,"")&amp;IF(H816,"「雇用形態」","")&amp;IF(K816,"「性別」","")&amp;IF(L816,"「役職」","")&amp;IF(OR(H816,K816,L816),入力リスト!$K$32,"")))))</f>
        <v/>
      </c>
      <c r="G816" s="298" t="b">
        <f>COUNTIF($A$4:A815,$A816)&gt;0</f>
        <v>0</v>
      </c>
      <c r="H816" s="298" t="b">
        <f>IF($H$1,FALSE,COUNTIF(入力シート!$S$37:$V$62,B816)=0)</f>
        <v>0</v>
      </c>
      <c r="I816" s="298" t="b">
        <f t="shared" si="25"/>
        <v>0</v>
      </c>
      <c r="J816" s="298" t="b">
        <f>IF($J$1,FALSE,IF(I816=TRUE,FALSE,IF(I816,FALSE,C816&gt;入力シート!$J$24)))</f>
        <v>0</v>
      </c>
      <c r="K816" s="298" t="b">
        <f>IF($K$1,FALSE,COUNTIF(入力シート!$AW$37:$BB$38,D816)=0)</f>
        <v>0</v>
      </c>
      <c r="L816" s="298" t="b">
        <f>IF($L$1,FALSE,IF($L$3,FALSE,IF(E816="",FALSE,COUNTIF(入力シート!$AH$37:$AK$62,E816)=0)))</f>
        <v>0</v>
      </c>
      <c r="M816" s="298" t="str">
        <f t="shared" si="26"/>
        <v/>
      </c>
      <c r="N816" s="298" t="str">
        <f>IF(G816,"この従業員番号は、すでに他のセルで入力されています。",IF(入力シート!$C$5=入力リスト!$C$4,"",IF(AND(A816="",B816="",C816="",D816="",E816=""),"",IF(OR(A816="",B816="",C816="",D816=""),IF(A816="","従業員番号","")&amp;IF(AND(A816="",OR(B816="",C816="",D816="")),",","")&amp;IF(B816="","雇用形態","")&amp;IF(AND(B816="",OR(C816="",D816="")),",","")&amp;IF(OR(入力シート!$J$18=入力リスト!$H$9,入力シート!$J$22=入力リスト!$H$9),IF(C816="","入社年月日",""),"")&amp;IF(AND(C816="",D816=""),",","")&amp;IF(D816="","性別","")&amp;IF(IF(A816="","従業員番号","")&amp;IF(B816="","雇用形態","")&amp;IF(OR(入力シート!$J$18=入力リスト!$H$9,入力シート!$J$22=入力リスト!$H$9),IF(C816="","入社年月日",""),"")&amp;IF(D816="","性別","")="","","が空白です。"),IF(J816,"入社年月日に「基準日」の翌日以降の日付が入力されています。","")&amp;IF(I816,"入社年月日に数値以外（又は1900/1/1以前の日付）が入力されています。","")&amp;IF(H816,"雇用形態"&amp;IF(OR(K816,L816),",",""),"")&amp;IF(K816,"性別"&amp;IF(L816,",",""),"")&amp;IF(L816,"役職","")&amp;IF(OR(H816,K816,L816),"に、［入力シート］(4)「貴社」欄と異なる文言が入力されています。","")))))</f>
        <v/>
      </c>
      <c r="O816" s="298" t="str">
        <f>IF(B816="","",VLOOKUP('従業員情報(給与以外)'!$B816,入力シート!$S$37:$Z$62,5,0))</f>
        <v/>
      </c>
      <c r="P816" s="298" t="str">
        <f>IF(ISNUMBER(C816)=FALSE,"",IF(C816&gt;入力シート!$J$24,"",_xlfn.DAYS(入力シート!$J$24,'従業員情報(給与以外)'!$C816)/365))</f>
        <v/>
      </c>
      <c r="Q816" s="298" t="str">
        <f>IF(P816="","",VLOOKUP(_xlfn.DAYS(入力シート!$J$24,'従業員情報(給与以外)'!$C816)/365,入力リスト!$K$18:$L$26,2,2))</f>
        <v/>
      </c>
      <c r="R816" s="298" t="str">
        <f>IF(D816="","",VLOOKUP('従業員情報(給与以外)'!$D816,入力シート!$AW$37:$BB$38,4,0))</f>
        <v/>
      </c>
      <c r="S816" s="298" t="str">
        <f>IF(A816="","",IF(E816="","非役職",VLOOKUP('従業員情報(給与以外)'!$E816,入力シート!$AH$37:$AO$62,5,0)))</f>
        <v/>
      </c>
      <c r="T816" s="299" t="str">
        <f>IF(OR(入力シート!$C$5&lt;&gt;入力リスト!$C$3,COUNTIF(入力シート!$J$16:$S$23,入力リスト!$H$9)=0),"",IF($A816="","",IF(ISERROR(AVERAGEIF(従業員の給与情報!$B:$B,$A816,従業員の給与情報!$C:$C)),0,IF(ISERROR(AVERAGEIF(従業員の給与情報!$B:$B,$A816,従業員の給与情報!$C:$C)),0,AVERAGEIF(従業員の給与情報!$B:$B,$A816,従業員の給与情報!$C:$C)))))</f>
        <v/>
      </c>
      <c r="U816" s="299" t="str">
        <f>IF(OR(入力シート!$C$5&lt;&gt;入力リスト!$C$3,COUNTIF(入力シート!$J$16:$S$23,入力リスト!$H$9)=0),"",IF(A816="","",IF(ISERROR(AVERAGEIF(従業員の給与情報!$B:$B,$A816,従業員の給与情報!$D:$D)),0,IF(ISERROR(AVERAGEIF(従業員の給与情報!$B:$B,$A816,従業員の給与情報!$D:$D)),0,AVERAGEIF(従業員の給与情報!$B:$B,$A816,従業員の給与情報!$D:$D)))))</f>
        <v/>
      </c>
      <c r="V816" s="299" t="str">
        <f>IF(OR(入力シート!$C$5&lt;&gt;入力リスト!$C$3,COUNTIF(入力シート!$J$16:$S$23,入力リスト!$H$9)=0),"",IF(A816="","",IF(ISERROR(AVERAGEIF(従業員の給与情報!$B:$B,$A816,従業員の給与情報!$E:$E)),0,IF(ISERROR(AVERAGEIF(従業員の給与情報!$B:$B,$A816,従業員の給与情報!$E:$E)),0,AVERAGEIF(従業員の給与情報!$B:$B,$A816,従業員の給与情報!$E:$E)))))</f>
        <v/>
      </c>
      <c r="W816" s="299" t="str">
        <f>IF(OR(入力シート!$C$5&lt;&gt;入力リスト!$C$3,COUNTIF(入力シート!$J$16:$S$23,入力リスト!$H$9)=0),"",IF(A816="","",IF(ISERROR(AVERAGEIF(従業員の給与情報!$B:$B,$A816,従業員の給与情報!$F:$F)),0,IF(ISERROR(AVERAGEIF(従業員の給与情報!$B:$B,$A816,従業員の給与情報!$F:$F)),0,AVERAGEIF(従業員の給与情報!$B:$B,$A816,従業員の給与情報!$F:$F)))))</f>
        <v/>
      </c>
      <c r="X816" s="581" t="s">
        <v>5555</v>
      </c>
    </row>
    <row r="817" spans="6:24">
      <c r="F817" s="297" t="str">
        <f>IF($G$1,"",IF(COUNTIF(A817:E817,"")=5,"",IF(G817,入力リスト!$K$28,IF(OR(A817="",B817="",IF(COUNTIF($C$3,"*不要*"),"",C817=""),D817=""),IF(A817="","従業員番号","")&amp;IF(B817="","「雇用形態」","")&amp;IF(OR(入力シート!$J$18=入力リスト!$H$9,入力シート!$J$22=入力リスト!$H$9),IF(C817="","「入社年月日」",""),"")&amp;IF(D817="","「性別」","")&amp;IF(IF(A817="","従業員番号","")&amp;IF(B817="","「雇用形態」","")&amp;IF(OR(入力シート!$J$18=入力リスト!$H$9,入力シート!$J$22=入力リスト!$H$9),IF(C817="","「入社年月日」",""),"")&amp;IF(D817="","「性別」","")="","",入力リスト!$K$29),IF(J817,入力リスト!$K$30,"")&amp;IF(I817,入力リスト!$K$31,"")&amp;IF(H817,"「雇用形態」","")&amp;IF(K817,"「性別」","")&amp;IF(L817,"「役職」","")&amp;IF(OR(H817,K817,L817),入力リスト!$K$32,"")))))</f>
        <v/>
      </c>
      <c r="G817" s="298" t="b">
        <f>COUNTIF($A$4:A816,$A817)&gt;0</f>
        <v>0</v>
      </c>
      <c r="H817" s="298" t="b">
        <f>IF($H$1,FALSE,COUNTIF(入力シート!$S$37:$V$62,B817)=0)</f>
        <v>0</v>
      </c>
      <c r="I817" s="298" t="b">
        <f t="shared" si="25"/>
        <v>0</v>
      </c>
      <c r="J817" s="298" t="b">
        <f>IF($J$1,FALSE,IF(I817=TRUE,FALSE,IF(I817,FALSE,C817&gt;入力シート!$J$24)))</f>
        <v>0</v>
      </c>
      <c r="K817" s="298" t="b">
        <f>IF($K$1,FALSE,COUNTIF(入力シート!$AW$37:$BB$38,D817)=0)</f>
        <v>0</v>
      </c>
      <c r="L817" s="298" t="b">
        <f>IF($L$1,FALSE,IF($L$3,FALSE,IF(E817="",FALSE,COUNTIF(入力シート!$AH$37:$AK$62,E817)=0)))</f>
        <v>0</v>
      </c>
      <c r="M817" s="298" t="str">
        <f t="shared" si="26"/>
        <v/>
      </c>
      <c r="N817" s="298" t="str">
        <f>IF(G817,"この従業員番号は、すでに他のセルで入力されています。",IF(入力シート!$C$5=入力リスト!$C$4,"",IF(AND(A817="",B817="",C817="",D817="",E817=""),"",IF(OR(A817="",B817="",C817="",D817=""),IF(A817="","従業員番号","")&amp;IF(AND(A817="",OR(B817="",C817="",D817="")),",","")&amp;IF(B817="","雇用形態","")&amp;IF(AND(B817="",OR(C817="",D817="")),",","")&amp;IF(OR(入力シート!$J$18=入力リスト!$H$9,入力シート!$J$22=入力リスト!$H$9),IF(C817="","入社年月日",""),"")&amp;IF(AND(C817="",D817=""),",","")&amp;IF(D817="","性別","")&amp;IF(IF(A817="","従業員番号","")&amp;IF(B817="","雇用形態","")&amp;IF(OR(入力シート!$J$18=入力リスト!$H$9,入力シート!$J$22=入力リスト!$H$9),IF(C817="","入社年月日",""),"")&amp;IF(D817="","性別","")="","","が空白です。"),IF(J817,"入社年月日に「基準日」の翌日以降の日付が入力されています。","")&amp;IF(I817,"入社年月日に数値以外（又は1900/1/1以前の日付）が入力されています。","")&amp;IF(H817,"雇用形態"&amp;IF(OR(K817,L817),",",""),"")&amp;IF(K817,"性別"&amp;IF(L817,",",""),"")&amp;IF(L817,"役職","")&amp;IF(OR(H817,K817,L817),"に、［入力シート］(4)「貴社」欄と異なる文言が入力されています。","")))))</f>
        <v/>
      </c>
      <c r="O817" s="298" t="str">
        <f>IF(B817="","",VLOOKUP('従業員情報(給与以外)'!$B817,入力シート!$S$37:$Z$62,5,0))</f>
        <v/>
      </c>
      <c r="P817" s="298" t="str">
        <f>IF(ISNUMBER(C817)=FALSE,"",IF(C817&gt;入力シート!$J$24,"",_xlfn.DAYS(入力シート!$J$24,'従業員情報(給与以外)'!$C817)/365))</f>
        <v/>
      </c>
      <c r="Q817" s="298" t="str">
        <f>IF(P817="","",VLOOKUP(_xlfn.DAYS(入力シート!$J$24,'従業員情報(給与以外)'!$C817)/365,入力リスト!$K$18:$L$26,2,2))</f>
        <v/>
      </c>
      <c r="R817" s="298" t="str">
        <f>IF(D817="","",VLOOKUP('従業員情報(給与以外)'!$D817,入力シート!$AW$37:$BB$38,4,0))</f>
        <v/>
      </c>
      <c r="S817" s="298" t="str">
        <f>IF(A817="","",IF(E817="","非役職",VLOOKUP('従業員情報(給与以外)'!$E817,入力シート!$AH$37:$AO$62,5,0)))</f>
        <v/>
      </c>
      <c r="T817" s="299" t="str">
        <f>IF(OR(入力シート!$C$5&lt;&gt;入力リスト!$C$3,COUNTIF(入力シート!$J$16:$S$23,入力リスト!$H$9)=0),"",IF($A817="","",IF(ISERROR(AVERAGEIF(従業員の給与情報!$B:$B,$A817,従業員の給与情報!$C:$C)),0,IF(ISERROR(AVERAGEIF(従業員の給与情報!$B:$B,$A817,従業員の給与情報!$C:$C)),0,AVERAGEIF(従業員の給与情報!$B:$B,$A817,従業員の給与情報!$C:$C)))))</f>
        <v/>
      </c>
      <c r="U817" s="299" t="str">
        <f>IF(OR(入力シート!$C$5&lt;&gt;入力リスト!$C$3,COUNTIF(入力シート!$J$16:$S$23,入力リスト!$H$9)=0),"",IF(A817="","",IF(ISERROR(AVERAGEIF(従業員の給与情報!$B:$B,$A817,従業員の給与情報!$D:$D)),0,IF(ISERROR(AVERAGEIF(従業員の給与情報!$B:$B,$A817,従業員の給与情報!$D:$D)),0,AVERAGEIF(従業員の給与情報!$B:$B,$A817,従業員の給与情報!$D:$D)))))</f>
        <v/>
      </c>
      <c r="V817" s="299" t="str">
        <f>IF(OR(入力シート!$C$5&lt;&gt;入力リスト!$C$3,COUNTIF(入力シート!$J$16:$S$23,入力リスト!$H$9)=0),"",IF(A817="","",IF(ISERROR(AVERAGEIF(従業員の給与情報!$B:$B,$A817,従業員の給与情報!$E:$E)),0,IF(ISERROR(AVERAGEIF(従業員の給与情報!$B:$B,$A817,従業員の給与情報!$E:$E)),0,AVERAGEIF(従業員の給与情報!$B:$B,$A817,従業員の給与情報!$E:$E)))))</f>
        <v/>
      </c>
      <c r="W817" s="299" t="str">
        <f>IF(OR(入力シート!$C$5&lt;&gt;入力リスト!$C$3,COUNTIF(入力シート!$J$16:$S$23,入力リスト!$H$9)=0),"",IF(A817="","",IF(ISERROR(AVERAGEIF(従業員の給与情報!$B:$B,$A817,従業員の給与情報!$F:$F)),0,IF(ISERROR(AVERAGEIF(従業員の給与情報!$B:$B,$A817,従業員の給与情報!$F:$F)),0,AVERAGEIF(従業員の給与情報!$B:$B,$A817,従業員の給与情報!$F:$F)))))</f>
        <v/>
      </c>
      <c r="X817" s="581" t="s">
        <v>5556</v>
      </c>
    </row>
    <row r="818" spans="6:24">
      <c r="F818" s="297" t="str">
        <f>IF($G$1,"",IF(COUNTIF(A818:E818,"")=5,"",IF(G818,入力リスト!$K$28,IF(OR(A818="",B818="",IF(COUNTIF($C$3,"*不要*"),"",C818=""),D818=""),IF(A818="","従業員番号","")&amp;IF(B818="","「雇用形態」","")&amp;IF(OR(入力シート!$J$18=入力リスト!$H$9,入力シート!$J$22=入力リスト!$H$9),IF(C818="","「入社年月日」",""),"")&amp;IF(D818="","「性別」","")&amp;IF(IF(A818="","従業員番号","")&amp;IF(B818="","「雇用形態」","")&amp;IF(OR(入力シート!$J$18=入力リスト!$H$9,入力シート!$J$22=入力リスト!$H$9),IF(C818="","「入社年月日」",""),"")&amp;IF(D818="","「性別」","")="","",入力リスト!$K$29),IF(J818,入力リスト!$K$30,"")&amp;IF(I818,入力リスト!$K$31,"")&amp;IF(H818,"「雇用形態」","")&amp;IF(K818,"「性別」","")&amp;IF(L818,"「役職」","")&amp;IF(OR(H818,K818,L818),入力リスト!$K$32,"")))))</f>
        <v/>
      </c>
      <c r="G818" s="298" t="b">
        <f>COUNTIF($A$4:A817,$A818)&gt;0</f>
        <v>0</v>
      </c>
      <c r="H818" s="298" t="b">
        <f>IF($H$1,FALSE,COUNTIF(入力シート!$S$37:$V$62,B818)=0)</f>
        <v>0</v>
      </c>
      <c r="I818" s="298" t="b">
        <f t="shared" si="25"/>
        <v>0</v>
      </c>
      <c r="J818" s="298" t="b">
        <f>IF($J$1,FALSE,IF(I818=TRUE,FALSE,IF(I818,FALSE,C818&gt;入力シート!$J$24)))</f>
        <v>0</v>
      </c>
      <c r="K818" s="298" t="b">
        <f>IF($K$1,FALSE,COUNTIF(入力シート!$AW$37:$BB$38,D818)=0)</f>
        <v>0</v>
      </c>
      <c r="L818" s="298" t="b">
        <f>IF($L$1,FALSE,IF($L$3,FALSE,IF(E818="",FALSE,COUNTIF(入力シート!$AH$37:$AK$62,E818)=0)))</f>
        <v>0</v>
      </c>
      <c r="M818" s="298" t="str">
        <f t="shared" si="26"/>
        <v/>
      </c>
      <c r="N818" s="298" t="str">
        <f>IF(G818,"この従業員番号は、すでに他のセルで入力されています。",IF(入力シート!$C$5=入力リスト!$C$4,"",IF(AND(A818="",B818="",C818="",D818="",E818=""),"",IF(OR(A818="",B818="",C818="",D818=""),IF(A818="","従業員番号","")&amp;IF(AND(A818="",OR(B818="",C818="",D818="")),",","")&amp;IF(B818="","雇用形態","")&amp;IF(AND(B818="",OR(C818="",D818="")),",","")&amp;IF(OR(入力シート!$J$18=入力リスト!$H$9,入力シート!$J$22=入力リスト!$H$9),IF(C818="","入社年月日",""),"")&amp;IF(AND(C818="",D818=""),",","")&amp;IF(D818="","性別","")&amp;IF(IF(A818="","従業員番号","")&amp;IF(B818="","雇用形態","")&amp;IF(OR(入力シート!$J$18=入力リスト!$H$9,入力シート!$J$22=入力リスト!$H$9),IF(C818="","入社年月日",""),"")&amp;IF(D818="","性別","")="","","が空白です。"),IF(J818,"入社年月日に「基準日」の翌日以降の日付が入力されています。","")&amp;IF(I818,"入社年月日に数値以外（又は1900/1/1以前の日付）が入力されています。","")&amp;IF(H818,"雇用形態"&amp;IF(OR(K818,L818),",",""),"")&amp;IF(K818,"性別"&amp;IF(L818,",",""),"")&amp;IF(L818,"役職","")&amp;IF(OR(H818,K818,L818),"に、［入力シート］(4)「貴社」欄と異なる文言が入力されています。","")))))</f>
        <v/>
      </c>
      <c r="O818" s="298" t="str">
        <f>IF(B818="","",VLOOKUP('従業員情報(給与以外)'!$B818,入力シート!$S$37:$Z$62,5,0))</f>
        <v/>
      </c>
      <c r="P818" s="298" t="str">
        <f>IF(ISNUMBER(C818)=FALSE,"",IF(C818&gt;入力シート!$J$24,"",_xlfn.DAYS(入力シート!$J$24,'従業員情報(給与以外)'!$C818)/365))</f>
        <v/>
      </c>
      <c r="Q818" s="298" t="str">
        <f>IF(P818="","",VLOOKUP(_xlfn.DAYS(入力シート!$J$24,'従業員情報(給与以外)'!$C818)/365,入力リスト!$K$18:$L$26,2,2))</f>
        <v/>
      </c>
      <c r="R818" s="298" t="str">
        <f>IF(D818="","",VLOOKUP('従業員情報(給与以外)'!$D818,入力シート!$AW$37:$BB$38,4,0))</f>
        <v/>
      </c>
      <c r="S818" s="298" t="str">
        <f>IF(A818="","",IF(E818="","非役職",VLOOKUP('従業員情報(給与以外)'!$E818,入力シート!$AH$37:$AO$62,5,0)))</f>
        <v/>
      </c>
      <c r="T818" s="299" t="str">
        <f>IF(OR(入力シート!$C$5&lt;&gt;入力リスト!$C$3,COUNTIF(入力シート!$J$16:$S$23,入力リスト!$H$9)=0),"",IF($A818="","",IF(ISERROR(AVERAGEIF(従業員の給与情報!$B:$B,$A818,従業員の給与情報!$C:$C)),0,IF(ISERROR(AVERAGEIF(従業員の給与情報!$B:$B,$A818,従業員の給与情報!$C:$C)),0,AVERAGEIF(従業員の給与情報!$B:$B,$A818,従業員の給与情報!$C:$C)))))</f>
        <v/>
      </c>
      <c r="U818" s="299" t="str">
        <f>IF(OR(入力シート!$C$5&lt;&gt;入力リスト!$C$3,COUNTIF(入力シート!$J$16:$S$23,入力リスト!$H$9)=0),"",IF(A818="","",IF(ISERROR(AVERAGEIF(従業員の給与情報!$B:$B,$A818,従業員の給与情報!$D:$D)),0,IF(ISERROR(AVERAGEIF(従業員の給与情報!$B:$B,$A818,従業員の給与情報!$D:$D)),0,AVERAGEIF(従業員の給与情報!$B:$B,$A818,従業員の給与情報!$D:$D)))))</f>
        <v/>
      </c>
      <c r="V818" s="299" t="str">
        <f>IF(OR(入力シート!$C$5&lt;&gt;入力リスト!$C$3,COUNTIF(入力シート!$J$16:$S$23,入力リスト!$H$9)=0),"",IF(A818="","",IF(ISERROR(AVERAGEIF(従業員の給与情報!$B:$B,$A818,従業員の給与情報!$E:$E)),0,IF(ISERROR(AVERAGEIF(従業員の給与情報!$B:$B,$A818,従業員の給与情報!$E:$E)),0,AVERAGEIF(従業員の給与情報!$B:$B,$A818,従業員の給与情報!$E:$E)))))</f>
        <v/>
      </c>
      <c r="W818" s="299" t="str">
        <f>IF(OR(入力シート!$C$5&lt;&gt;入力リスト!$C$3,COUNTIF(入力シート!$J$16:$S$23,入力リスト!$H$9)=0),"",IF(A818="","",IF(ISERROR(AVERAGEIF(従業員の給与情報!$B:$B,$A818,従業員の給与情報!$F:$F)),0,IF(ISERROR(AVERAGEIF(従業員の給与情報!$B:$B,$A818,従業員の給与情報!$F:$F)),0,AVERAGEIF(従業員の給与情報!$B:$B,$A818,従業員の給与情報!$F:$F)))))</f>
        <v/>
      </c>
      <c r="X818" s="581" t="s">
        <v>5557</v>
      </c>
    </row>
    <row r="819" spans="6:24">
      <c r="F819" s="297" t="str">
        <f>IF($G$1,"",IF(COUNTIF(A819:E819,"")=5,"",IF(G819,入力リスト!$K$28,IF(OR(A819="",B819="",IF(COUNTIF($C$3,"*不要*"),"",C819=""),D819=""),IF(A819="","従業員番号","")&amp;IF(B819="","「雇用形態」","")&amp;IF(OR(入力シート!$J$18=入力リスト!$H$9,入力シート!$J$22=入力リスト!$H$9),IF(C819="","「入社年月日」",""),"")&amp;IF(D819="","「性別」","")&amp;IF(IF(A819="","従業員番号","")&amp;IF(B819="","「雇用形態」","")&amp;IF(OR(入力シート!$J$18=入力リスト!$H$9,入力シート!$J$22=入力リスト!$H$9),IF(C819="","「入社年月日」",""),"")&amp;IF(D819="","「性別」","")="","",入力リスト!$K$29),IF(J819,入力リスト!$K$30,"")&amp;IF(I819,入力リスト!$K$31,"")&amp;IF(H819,"「雇用形態」","")&amp;IF(K819,"「性別」","")&amp;IF(L819,"「役職」","")&amp;IF(OR(H819,K819,L819),入力リスト!$K$32,"")))))</f>
        <v/>
      </c>
      <c r="G819" s="298" t="b">
        <f>COUNTIF($A$4:A818,$A819)&gt;0</f>
        <v>0</v>
      </c>
      <c r="H819" s="298" t="b">
        <f>IF($H$1,FALSE,COUNTIF(入力シート!$S$37:$V$62,B819)=0)</f>
        <v>0</v>
      </c>
      <c r="I819" s="298" t="b">
        <f t="shared" si="25"/>
        <v>0</v>
      </c>
      <c r="J819" s="298" t="b">
        <f>IF($J$1,FALSE,IF(I819=TRUE,FALSE,IF(I819,FALSE,C819&gt;入力シート!$J$24)))</f>
        <v>0</v>
      </c>
      <c r="K819" s="298" t="b">
        <f>IF($K$1,FALSE,COUNTIF(入力シート!$AW$37:$BB$38,D819)=0)</f>
        <v>0</v>
      </c>
      <c r="L819" s="298" t="b">
        <f>IF($L$1,FALSE,IF($L$3,FALSE,IF(E819="",FALSE,COUNTIF(入力シート!$AH$37:$AK$62,E819)=0)))</f>
        <v>0</v>
      </c>
      <c r="M819" s="298" t="str">
        <f t="shared" si="26"/>
        <v/>
      </c>
      <c r="N819" s="298" t="str">
        <f>IF(G819,"この従業員番号は、すでに他のセルで入力されています。",IF(入力シート!$C$5=入力リスト!$C$4,"",IF(AND(A819="",B819="",C819="",D819="",E819=""),"",IF(OR(A819="",B819="",C819="",D819=""),IF(A819="","従業員番号","")&amp;IF(AND(A819="",OR(B819="",C819="",D819="")),",","")&amp;IF(B819="","雇用形態","")&amp;IF(AND(B819="",OR(C819="",D819="")),",","")&amp;IF(OR(入力シート!$J$18=入力リスト!$H$9,入力シート!$J$22=入力リスト!$H$9),IF(C819="","入社年月日",""),"")&amp;IF(AND(C819="",D819=""),",","")&amp;IF(D819="","性別","")&amp;IF(IF(A819="","従業員番号","")&amp;IF(B819="","雇用形態","")&amp;IF(OR(入力シート!$J$18=入力リスト!$H$9,入力シート!$J$22=入力リスト!$H$9),IF(C819="","入社年月日",""),"")&amp;IF(D819="","性別","")="","","が空白です。"),IF(J819,"入社年月日に「基準日」の翌日以降の日付が入力されています。","")&amp;IF(I819,"入社年月日に数値以外（又は1900/1/1以前の日付）が入力されています。","")&amp;IF(H819,"雇用形態"&amp;IF(OR(K819,L819),",",""),"")&amp;IF(K819,"性別"&amp;IF(L819,",",""),"")&amp;IF(L819,"役職","")&amp;IF(OR(H819,K819,L819),"に、［入力シート］(4)「貴社」欄と異なる文言が入力されています。","")))))</f>
        <v/>
      </c>
      <c r="O819" s="298" t="str">
        <f>IF(B819="","",VLOOKUP('従業員情報(給与以外)'!$B819,入力シート!$S$37:$Z$62,5,0))</f>
        <v/>
      </c>
      <c r="P819" s="298" t="str">
        <f>IF(ISNUMBER(C819)=FALSE,"",IF(C819&gt;入力シート!$J$24,"",_xlfn.DAYS(入力シート!$J$24,'従業員情報(給与以外)'!$C819)/365))</f>
        <v/>
      </c>
      <c r="Q819" s="298" t="str">
        <f>IF(P819="","",VLOOKUP(_xlfn.DAYS(入力シート!$J$24,'従業員情報(給与以外)'!$C819)/365,入力リスト!$K$18:$L$26,2,2))</f>
        <v/>
      </c>
      <c r="R819" s="298" t="str">
        <f>IF(D819="","",VLOOKUP('従業員情報(給与以外)'!$D819,入力シート!$AW$37:$BB$38,4,0))</f>
        <v/>
      </c>
      <c r="S819" s="298" t="str">
        <f>IF(A819="","",IF(E819="","非役職",VLOOKUP('従業員情報(給与以外)'!$E819,入力シート!$AH$37:$AO$62,5,0)))</f>
        <v/>
      </c>
      <c r="T819" s="299" t="str">
        <f>IF(OR(入力シート!$C$5&lt;&gt;入力リスト!$C$3,COUNTIF(入力シート!$J$16:$S$23,入力リスト!$H$9)=0),"",IF($A819="","",IF(ISERROR(AVERAGEIF(従業員の給与情報!$B:$B,$A819,従業員の給与情報!$C:$C)),0,IF(ISERROR(AVERAGEIF(従業員の給与情報!$B:$B,$A819,従業員の給与情報!$C:$C)),0,AVERAGEIF(従業員の給与情報!$B:$B,$A819,従業員の給与情報!$C:$C)))))</f>
        <v/>
      </c>
      <c r="U819" s="299" t="str">
        <f>IF(OR(入力シート!$C$5&lt;&gt;入力リスト!$C$3,COUNTIF(入力シート!$J$16:$S$23,入力リスト!$H$9)=0),"",IF(A819="","",IF(ISERROR(AVERAGEIF(従業員の給与情報!$B:$B,$A819,従業員の給与情報!$D:$D)),0,IF(ISERROR(AVERAGEIF(従業員の給与情報!$B:$B,$A819,従業員の給与情報!$D:$D)),0,AVERAGEIF(従業員の給与情報!$B:$B,$A819,従業員の給与情報!$D:$D)))))</f>
        <v/>
      </c>
      <c r="V819" s="299" t="str">
        <f>IF(OR(入力シート!$C$5&lt;&gt;入力リスト!$C$3,COUNTIF(入力シート!$J$16:$S$23,入力リスト!$H$9)=0),"",IF(A819="","",IF(ISERROR(AVERAGEIF(従業員の給与情報!$B:$B,$A819,従業員の給与情報!$E:$E)),0,IF(ISERROR(AVERAGEIF(従業員の給与情報!$B:$B,$A819,従業員の給与情報!$E:$E)),0,AVERAGEIF(従業員の給与情報!$B:$B,$A819,従業員の給与情報!$E:$E)))))</f>
        <v/>
      </c>
      <c r="W819" s="299" t="str">
        <f>IF(OR(入力シート!$C$5&lt;&gt;入力リスト!$C$3,COUNTIF(入力シート!$J$16:$S$23,入力リスト!$H$9)=0),"",IF(A819="","",IF(ISERROR(AVERAGEIF(従業員の給与情報!$B:$B,$A819,従業員の給与情報!$F:$F)),0,IF(ISERROR(AVERAGEIF(従業員の給与情報!$B:$B,$A819,従業員の給与情報!$F:$F)),0,AVERAGEIF(従業員の給与情報!$B:$B,$A819,従業員の給与情報!$F:$F)))))</f>
        <v/>
      </c>
      <c r="X819" s="581" t="s">
        <v>5558</v>
      </c>
    </row>
    <row r="820" spans="6:24">
      <c r="F820" s="297" t="str">
        <f>IF($G$1,"",IF(COUNTIF(A820:E820,"")=5,"",IF(G820,入力リスト!$K$28,IF(OR(A820="",B820="",IF(COUNTIF($C$3,"*不要*"),"",C820=""),D820=""),IF(A820="","従業員番号","")&amp;IF(B820="","「雇用形態」","")&amp;IF(OR(入力シート!$J$18=入力リスト!$H$9,入力シート!$J$22=入力リスト!$H$9),IF(C820="","「入社年月日」",""),"")&amp;IF(D820="","「性別」","")&amp;IF(IF(A820="","従業員番号","")&amp;IF(B820="","「雇用形態」","")&amp;IF(OR(入力シート!$J$18=入力リスト!$H$9,入力シート!$J$22=入力リスト!$H$9),IF(C820="","「入社年月日」",""),"")&amp;IF(D820="","「性別」","")="","",入力リスト!$K$29),IF(J820,入力リスト!$K$30,"")&amp;IF(I820,入力リスト!$K$31,"")&amp;IF(H820,"「雇用形態」","")&amp;IF(K820,"「性別」","")&amp;IF(L820,"「役職」","")&amp;IF(OR(H820,K820,L820),入力リスト!$K$32,"")))))</f>
        <v/>
      </c>
      <c r="G820" s="298" t="b">
        <f>COUNTIF($A$4:A819,$A820)&gt;0</f>
        <v>0</v>
      </c>
      <c r="H820" s="298" t="b">
        <f>IF($H$1,FALSE,COUNTIF(入力シート!$S$37:$V$62,B820)=0)</f>
        <v>0</v>
      </c>
      <c r="I820" s="298" t="b">
        <f t="shared" si="25"/>
        <v>0</v>
      </c>
      <c r="J820" s="298" t="b">
        <f>IF($J$1,FALSE,IF(I820=TRUE,FALSE,IF(I820,FALSE,C820&gt;入力シート!$J$24)))</f>
        <v>0</v>
      </c>
      <c r="K820" s="298" t="b">
        <f>IF($K$1,FALSE,COUNTIF(入力シート!$AW$37:$BB$38,D820)=0)</f>
        <v>0</v>
      </c>
      <c r="L820" s="298" t="b">
        <f>IF($L$1,FALSE,IF($L$3,FALSE,IF(E820="",FALSE,COUNTIF(入力シート!$AH$37:$AK$62,E820)=0)))</f>
        <v>0</v>
      </c>
      <c r="M820" s="298" t="str">
        <f t="shared" si="26"/>
        <v/>
      </c>
      <c r="N820" s="298" t="str">
        <f>IF(G820,"この従業員番号は、すでに他のセルで入力されています。",IF(入力シート!$C$5=入力リスト!$C$4,"",IF(AND(A820="",B820="",C820="",D820="",E820=""),"",IF(OR(A820="",B820="",C820="",D820=""),IF(A820="","従業員番号","")&amp;IF(AND(A820="",OR(B820="",C820="",D820="")),",","")&amp;IF(B820="","雇用形態","")&amp;IF(AND(B820="",OR(C820="",D820="")),",","")&amp;IF(OR(入力シート!$J$18=入力リスト!$H$9,入力シート!$J$22=入力リスト!$H$9),IF(C820="","入社年月日",""),"")&amp;IF(AND(C820="",D820=""),",","")&amp;IF(D820="","性別","")&amp;IF(IF(A820="","従業員番号","")&amp;IF(B820="","雇用形態","")&amp;IF(OR(入力シート!$J$18=入力リスト!$H$9,入力シート!$J$22=入力リスト!$H$9),IF(C820="","入社年月日",""),"")&amp;IF(D820="","性別","")="","","が空白です。"),IF(J820,"入社年月日に「基準日」の翌日以降の日付が入力されています。","")&amp;IF(I820,"入社年月日に数値以外（又は1900/1/1以前の日付）が入力されています。","")&amp;IF(H820,"雇用形態"&amp;IF(OR(K820,L820),",",""),"")&amp;IF(K820,"性別"&amp;IF(L820,",",""),"")&amp;IF(L820,"役職","")&amp;IF(OR(H820,K820,L820),"に、［入力シート］(4)「貴社」欄と異なる文言が入力されています。","")))))</f>
        <v/>
      </c>
      <c r="O820" s="298" t="str">
        <f>IF(B820="","",VLOOKUP('従業員情報(給与以外)'!$B820,入力シート!$S$37:$Z$62,5,0))</f>
        <v/>
      </c>
      <c r="P820" s="298" t="str">
        <f>IF(ISNUMBER(C820)=FALSE,"",IF(C820&gt;入力シート!$J$24,"",_xlfn.DAYS(入力シート!$J$24,'従業員情報(給与以外)'!$C820)/365))</f>
        <v/>
      </c>
      <c r="Q820" s="298" t="str">
        <f>IF(P820="","",VLOOKUP(_xlfn.DAYS(入力シート!$J$24,'従業員情報(給与以外)'!$C820)/365,入力リスト!$K$18:$L$26,2,2))</f>
        <v/>
      </c>
      <c r="R820" s="298" t="str">
        <f>IF(D820="","",VLOOKUP('従業員情報(給与以外)'!$D820,入力シート!$AW$37:$BB$38,4,0))</f>
        <v/>
      </c>
      <c r="S820" s="298" t="str">
        <f>IF(A820="","",IF(E820="","非役職",VLOOKUP('従業員情報(給与以外)'!$E820,入力シート!$AH$37:$AO$62,5,0)))</f>
        <v/>
      </c>
      <c r="T820" s="299" t="str">
        <f>IF(OR(入力シート!$C$5&lt;&gt;入力リスト!$C$3,COUNTIF(入力シート!$J$16:$S$23,入力リスト!$H$9)=0),"",IF($A820="","",IF(ISERROR(AVERAGEIF(従業員の給与情報!$B:$B,$A820,従業員の給与情報!$C:$C)),0,IF(ISERROR(AVERAGEIF(従業員の給与情報!$B:$B,$A820,従業員の給与情報!$C:$C)),0,AVERAGEIF(従業員の給与情報!$B:$B,$A820,従業員の給与情報!$C:$C)))))</f>
        <v/>
      </c>
      <c r="U820" s="299" t="str">
        <f>IF(OR(入力シート!$C$5&lt;&gt;入力リスト!$C$3,COUNTIF(入力シート!$J$16:$S$23,入力リスト!$H$9)=0),"",IF(A820="","",IF(ISERROR(AVERAGEIF(従業員の給与情報!$B:$B,$A820,従業員の給与情報!$D:$D)),0,IF(ISERROR(AVERAGEIF(従業員の給与情報!$B:$B,$A820,従業員の給与情報!$D:$D)),0,AVERAGEIF(従業員の給与情報!$B:$B,$A820,従業員の給与情報!$D:$D)))))</f>
        <v/>
      </c>
      <c r="V820" s="299" t="str">
        <f>IF(OR(入力シート!$C$5&lt;&gt;入力リスト!$C$3,COUNTIF(入力シート!$J$16:$S$23,入力リスト!$H$9)=0),"",IF(A820="","",IF(ISERROR(AVERAGEIF(従業員の給与情報!$B:$B,$A820,従業員の給与情報!$E:$E)),0,IF(ISERROR(AVERAGEIF(従業員の給与情報!$B:$B,$A820,従業員の給与情報!$E:$E)),0,AVERAGEIF(従業員の給与情報!$B:$B,$A820,従業員の給与情報!$E:$E)))))</f>
        <v/>
      </c>
      <c r="W820" s="299" t="str">
        <f>IF(OR(入力シート!$C$5&lt;&gt;入力リスト!$C$3,COUNTIF(入力シート!$J$16:$S$23,入力リスト!$H$9)=0),"",IF(A820="","",IF(ISERROR(AVERAGEIF(従業員の給与情報!$B:$B,$A820,従業員の給与情報!$F:$F)),0,IF(ISERROR(AVERAGEIF(従業員の給与情報!$B:$B,$A820,従業員の給与情報!$F:$F)),0,AVERAGEIF(従業員の給与情報!$B:$B,$A820,従業員の給与情報!$F:$F)))))</f>
        <v/>
      </c>
      <c r="X820" s="581" t="s">
        <v>5559</v>
      </c>
    </row>
    <row r="821" spans="6:24">
      <c r="F821" s="297" t="str">
        <f>IF($G$1,"",IF(COUNTIF(A821:E821,"")=5,"",IF(G821,入力リスト!$K$28,IF(OR(A821="",B821="",IF(COUNTIF($C$3,"*不要*"),"",C821=""),D821=""),IF(A821="","従業員番号","")&amp;IF(B821="","「雇用形態」","")&amp;IF(OR(入力シート!$J$18=入力リスト!$H$9,入力シート!$J$22=入力リスト!$H$9),IF(C821="","「入社年月日」",""),"")&amp;IF(D821="","「性別」","")&amp;IF(IF(A821="","従業員番号","")&amp;IF(B821="","「雇用形態」","")&amp;IF(OR(入力シート!$J$18=入力リスト!$H$9,入力シート!$J$22=入力リスト!$H$9),IF(C821="","「入社年月日」",""),"")&amp;IF(D821="","「性別」","")="","",入力リスト!$K$29),IF(J821,入力リスト!$K$30,"")&amp;IF(I821,入力リスト!$K$31,"")&amp;IF(H821,"「雇用形態」","")&amp;IF(K821,"「性別」","")&amp;IF(L821,"「役職」","")&amp;IF(OR(H821,K821,L821),入力リスト!$K$32,"")))))</f>
        <v/>
      </c>
      <c r="G821" s="298" t="b">
        <f>COUNTIF($A$4:A820,$A821)&gt;0</f>
        <v>0</v>
      </c>
      <c r="H821" s="298" t="b">
        <f>IF($H$1,FALSE,COUNTIF(入力シート!$S$37:$V$62,B821)=0)</f>
        <v>0</v>
      </c>
      <c r="I821" s="298" t="b">
        <f t="shared" si="25"/>
        <v>0</v>
      </c>
      <c r="J821" s="298" t="b">
        <f>IF($J$1,FALSE,IF(I821=TRUE,FALSE,IF(I821,FALSE,C821&gt;入力シート!$J$24)))</f>
        <v>0</v>
      </c>
      <c r="K821" s="298" t="b">
        <f>IF($K$1,FALSE,COUNTIF(入力シート!$AW$37:$BB$38,D821)=0)</f>
        <v>0</v>
      </c>
      <c r="L821" s="298" t="b">
        <f>IF($L$1,FALSE,IF($L$3,FALSE,IF(E821="",FALSE,COUNTIF(入力シート!$AH$37:$AK$62,E821)=0)))</f>
        <v>0</v>
      </c>
      <c r="M821" s="298" t="str">
        <f t="shared" si="26"/>
        <v/>
      </c>
      <c r="N821" s="298" t="str">
        <f>IF(G821,"この従業員番号は、すでに他のセルで入力されています。",IF(入力シート!$C$5=入力リスト!$C$4,"",IF(AND(A821="",B821="",C821="",D821="",E821=""),"",IF(OR(A821="",B821="",C821="",D821=""),IF(A821="","従業員番号","")&amp;IF(AND(A821="",OR(B821="",C821="",D821="")),",","")&amp;IF(B821="","雇用形態","")&amp;IF(AND(B821="",OR(C821="",D821="")),",","")&amp;IF(OR(入力シート!$J$18=入力リスト!$H$9,入力シート!$J$22=入力リスト!$H$9),IF(C821="","入社年月日",""),"")&amp;IF(AND(C821="",D821=""),",","")&amp;IF(D821="","性別","")&amp;IF(IF(A821="","従業員番号","")&amp;IF(B821="","雇用形態","")&amp;IF(OR(入力シート!$J$18=入力リスト!$H$9,入力シート!$J$22=入力リスト!$H$9),IF(C821="","入社年月日",""),"")&amp;IF(D821="","性別","")="","","が空白です。"),IF(J821,"入社年月日に「基準日」の翌日以降の日付が入力されています。","")&amp;IF(I821,"入社年月日に数値以外（又は1900/1/1以前の日付）が入力されています。","")&amp;IF(H821,"雇用形態"&amp;IF(OR(K821,L821),",",""),"")&amp;IF(K821,"性別"&amp;IF(L821,",",""),"")&amp;IF(L821,"役職","")&amp;IF(OR(H821,K821,L821),"に、［入力シート］(4)「貴社」欄と異なる文言が入力されています。","")))))</f>
        <v/>
      </c>
      <c r="O821" s="298" t="str">
        <f>IF(B821="","",VLOOKUP('従業員情報(給与以外)'!$B821,入力シート!$S$37:$Z$62,5,0))</f>
        <v/>
      </c>
      <c r="P821" s="298" t="str">
        <f>IF(ISNUMBER(C821)=FALSE,"",IF(C821&gt;入力シート!$J$24,"",_xlfn.DAYS(入力シート!$J$24,'従業員情報(給与以外)'!$C821)/365))</f>
        <v/>
      </c>
      <c r="Q821" s="298" t="str">
        <f>IF(P821="","",VLOOKUP(_xlfn.DAYS(入力シート!$J$24,'従業員情報(給与以外)'!$C821)/365,入力リスト!$K$18:$L$26,2,2))</f>
        <v/>
      </c>
      <c r="R821" s="298" t="str">
        <f>IF(D821="","",VLOOKUP('従業員情報(給与以外)'!$D821,入力シート!$AW$37:$BB$38,4,0))</f>
        <v/>
      </c>
      <c r="S821" s="298" t="str">
        <f>IF(A821="","",IF(E821="","非役職",VLOOKUP('従業員情報(給与以外)'!$E821,入力シート!$AH$37:$AO$62,5,0)))</f>
        <v/>
      </c>
      <c r="T821" s="299" t="str">
        <f>IF(OR(入力シート!$C$5&lt;&gt;入力リスト!$C$3,COUNTIF(入力シート!$J$16:$S$23,入力リスト!$H$9)=0),"",IF($A821="","",IF(ISERROR(AVERAGEIF(従業員の給与情報!$B:$B,$A821,従業員の給与情報!$C:$C)),0,IF(ISERROR(AVERAGEIF(従業員の給与情報!$B:$B,$A821,従業員の給与情報!$C:$C)),0,AVERAGEIF(従業員の給与情報!$B:$B,$A821,従業員の給与情報!$C:$C)))))</f>
        <v/>
      </c>
      <c r="U821" s="299" t="str">
        <f>IF(OR(入力シート!$C$5&lt;&gt;入力リスト!$C$3,COUNTIF(入力シート!$J$16:$S$23,入力リスト!$H$9)=0),"",IF(A821="","",IF(ISERROR(AVERAGEIF(従業員の給与情報!$B:$B,$A821,従業員の給与情報!$D:$D)),0,IF(ISERROR(AVERAGEIF(従業員の給与情報!$B:$B,$A821,従業員の給与情報!$D:$D)),0,AVERAGEIF(従業員の給与情報!$B:$B,$A821,従業員の給与情報!$D:$D)))))</f>
        <v/>
      </c>
      <c r="V821" s="299" t="str">
        <f>IF(OR(入力シート!$C$5&lt;&gt;入力リスト!$C$3,COUNTIF(入力シート!$J$16:$S$23,入力リスト!$H$9)=0),"",IF(A821="","",IF(ISERROR(AVERAGEIF(従業員の給与情報!$B:$B,$A821,従業員の給与情報!$E:$E)),0,IF(ISERROR(AVERAGEIF(従業員の給与情報!$B:$B,$A821,従業員の給与情報!$E:$E)),0,AVERAGEIF(従業員の給与情報!$B:$B,$A821,従業員の給与情報!$E:$E)))))</f>
        <v/>
      </c>
      <c r="W821" s="299" t="str">
        <f>IF(OR(入力シート!$C$5&lt;&gt;入力リスト!$C$3,COUNTIF(入力シート!$J$16:$S$23,入力リスト!$H$9)=0),"",IF(A821="","",IF(ISERROR(AVERAGEIF(従業員の給与情報!$B:$B,$A821,従業員の給与情報!$F:$F)),0,IF(ISERROR(AVERAGEIF(従業員の給与情報!$B:$B,$A821,従業員の給与情報!$F:$F)),0,AVERAGEIF(従業員の給与情報!$B:$B,$A821,従業員の給与情報!$F:$F)))))</f>
        <v/>
      </c>
      <c r="X821" s="581" t="s">
        <v>5560</v>
      </c>
    </row>
    <row r="822" spans="6:24">
      <c r="F822" s="297" t="str">
        <f>IF($G$1,"",IF(COUNTIF(A822:E822,"")=5,"",IF(G822,入力リスト!$K$28,IF(OR(A822="",B822="",IF(COUNTIF($C$3,"*不要*"),"",C822=""),D822=""),IF(A822="","従業員番号","")&amp;IF(B822="","「雇用形態」","")&amp;IF(OR(入力シート!$J$18=入力リスト!$H$9,入力シート!$J$22=入力リスト!$H$9),IF(C822="","「入社年月日」",""),"")&amp;IF(D822="","「性別」","")&amp;IF(IF(A822="","従業員番号","")&amp;IF(B822="","「雇用形態」","")&amp;IF(OR(入力シート!$J$18=入力リスト!$H$9,入力シート!$J$22=入力リスト!$H$9),IF(C822="","「入社年月日」",""),"")&amp;IF(D822="","「性別」","")="","",入力リスト!$K$29),IF(J822,入力リスト!$K$30,"")&amp;IF(I822,入力リスト!$K$31,"")&amp;IF(H822,"「雇用形態」","")&amp;IF(K822,"「性別」","")&amp;IF(L822,"「役職」","")&amp;IF(OR(H822,K822,L822),入力リスト!$K$32,"")))))</f>
        <v/>
      </c>
      <c r="G822" s="298" t="b">
        <f>COUNTIF($A$4:A821,$A822)&gt;0</f>
        <v>0</v>
      </c>
      <c r="H822" s="298" t="b">
        <f>IF($H$1,FALSE,COUNTIF(入力シート!$S$37:$V$62,B822)=0)</f>
        <v>0</v>
      </c>
      <c r="I822" s="298" t="b">
        <f t="shared" si="25"/>
        <v>0</v>
      </c>
      <c r="J822" s="298" t="b">
        <f>IF($J$1,FALSE,IF(I822=TRUE,FALSE,IF(I822,FALSE,C822&gt;入力シート!$J$24)))</f>
        <v>0</v>
      </c>
      <c r="K822" s="298" t="b">
        <f>IF($K$1,FALSE,COUNTIF(入力シート!$AW$37:$BB$38,D822)=0)</f>
        <v>0</v>
      </c>
      <c r="L822" s="298" t="b">
        <f>IF($L$1,FALSE,IF($L$3,FALSE,IF(E822="",FALSE,COUNTIF(入力シート!$AH$37:$AK$62,E822)=0)))</f>
        <v>0</v>
      </c>
      <c r="M822" s="298" t="str">
        <f t="shared" si="26"/>
        <v/>
      </c>
      <c r="N822" s="298" t="str">
        <f>IF(G822,"この従業員番号は、すでに他のセルで入力されています。",IF(入力シート!$C$5=入力リスト!$C$4,"",IF(AND(A822="",B822="",C822="",D822="",E822=""),"",IF(OR(A822="",B822="",C822="",D822=""),IF(A822="","従業員番号","")&amp;IF(AND(A822="",OR(B822="",C822="",D822="")),",","")&amp;IF(B822="","雇用形態","")&amp;IF(AND(B822="",OR(C822="",D822="")),",","")&amp;IF(OR(入力シート!$J$18=入力リスト!$H$9,入力シート!$J$22=入力リスト!$H$9),IF(C822="","入社年月日",""),"")&amp;IF(AND(C822="",D822=""),",","")&amp;IF(D822="","性別","")&amp;IF(IF(A822="","従業員番号","")&amp;IF(B822="","雇用形態","")&amp;IF(OR(入力シート!$J$18=入力リスト!$H$9,入力シート!$J$22=入力リスト!$H$9),IF(C822="","入社年月日",""),"")&amp;IF(D822="","性別","")="","","が空白です。"),IF(J822,"入社年月日に「基準日」の翌日以降の日付が入力されています。","")&amp;IF(I822,"入社年月日に数値以外（又は1900/1/1以前の日付）が入力されています。","")&amp;IF(H822,"雇用形態"&amp;IF(OR(K822,L822),",",""),"")&amp;IF(K822,"性別"&amp;IF(L822,",",""),"")&amp;IF(L822,"役職","")&amp;IF(OR(H822,K822,L822),"に、［入力シート］(4)「貴社」欄と異なる文言が入力されています。","")))))</f>
        <v/>
      </c>
      <c r="O822" s="298" t="str">
        <f>IF(B822="","",VLOOKUP('従業員情報(給与以外)'!$B822,入力シート!$S$37:$Z$62,5,0))</f>
        <v/>
      </c>
      <c r="P822" s="298" t="str">
        <f>IF(ISNUMBER(C822)=FALSE,"",IF(C822&gt;入力シート!$J$24,"",_xlfn.DAYS(入力シート!$J$24,'従業員情報(給与以外)'!$C822)/365))</f>
        <v/>
      </c>
      <c r="Q822" s="298" t="str">
        <f>IF(P822="","",VLOOKUP(_xlfn.DAYS(入力シート!$J$24,'従業員情報(給与以外)'!$C822)/365,入力リスト!$K$18:$L$26,2,2))</f>
        <v/>
      </c>
      <c r="R822" s="298" t="str">
        <f>IF(D822="","",VLOOKUP('従業員情報(給与以外)'!$D822,入力シート!$AW$37:$BB$38,4,0))</f>
        <v/>
      </c>
      <c r="S822" s="298" t="str">
        <f>IF(A822="","",IF(E822="","非役職",VLOOKUP('従業員情報(給与以外)'!$E822,入力シート!$AH$37:$AO$62,5,0)))</f>
        <v/>
      </c>
      <c r="T822" s="299" t="str">
        <f>IF(OR(入力シート!$C$5&lt;&gt;入力リスト!$C$3,COUNTIF(入力シート!$J$16:$S$23,入力リスト!$H$9)=0),"",IF($A822="","",IF(ISERROR(AVERAGEIF(従業員の給与情報!$B:$B,$A822,従業員の給与情報!$C:$C)),0,IF(ISERROR(AVERAGEIF(従業員の給与情報!$B:$B,$A822,従業員の給与情報!$C:$C)),0,AVERAGEIF(従業員の給与情報!$B:$B,$A822,従業員の給与情報!$C:$C)))))</f>
        <v/>
      </c>
      <c r="U822" s="299" t="str">
        <f>IF(OR(入力シート!$C$5&lt;&gt;入力リスト!$C$3,COUNTIF(入力シート!$J$16:$S$23,入力リスト!$H$9)=0),"",IF(A822="","",IF(ISERROR(AVERAGEIF(従業員の給与情報!$B:$B,$A822,従業員の給与情報!$D:$D)),0,IF(ISERROR(AVERAGEIF(従業員の給与情報!$B:$B,$A822,従業員の給与情報!$D:$D)),0,AVERAGEIF(従業員の給与情報!$B:$B,$A822,従業員の給与情報!$D:$D)))))</f>
        <v/>
      </c>
      <c r="V822" s="299" t="str">
        <f>IF(OR(入力シート!$C$5&lt;&gt;入力リスト!$C$3,COUNTIF(入力シート!$J$16:$S$23,入力リスト!$H$9)=0),"",IF(A822="","",IF(ISERROR(AVERAGEIF(従業員の給与情報!$B:$B,$A822,従業員の給与情報!$E:$E)),0,IF(ISERROR(AVERAGEIF(従業員の給与情報!$B:$B,$A822,従業員の給与情報!$E:$E)),0,AVERAGEIF(従業員の給与情報!$B:$B,$A822,従業員の給与情報!$E:$E)))))</f>
        <v/>
      </c>
      <c r="W822" s="299" t="str">
        <f>IF(OR(入力シート!$C$5&lt;&gt;入力リスト!$C$3,COUNTIF(入力シート!$J$16:$S$23,入力リスト!$H$9)=0),"",IF(A822="","",IF(ISERROR(AVERAGEIF(従業員の給与情報!$B:$B,$A822,従業員の給与情報!$F:$F)),0,IF(ISERROR(AVERAGEIF(従業員の給与情報!$B:$B,$A822,従業員の給与情報!$F:$F)),0,AVERAGEIF(従業員の給与情報!$B:$B,$A822,従業員の給与情報!$F:$F)))))</f>
        <v/>
      </c>
      <c r="X822" s="581" t="s">
        <v>5561</v>
      </c>
    </row>
    <row r="823" spans="6:24">
      <c r="F823" s="297" t="str">
        <f>IF($G$1,"",IF(COUNTIF(A823:E823,"")=5,"",IF(G823,入力リスト!$K$28,IF(OR(A823="",B823="",IF(COUNTIF($C$3,"*不要*"),"",C823=""),D823=""),IF(A823="","従業員番号","")&amp;IF(B823="","「雇用形態」","")&amp;IF(OR(入力シート!$J$18=入力リスト!$H$9,入力シート!$J$22=入力リスト!$H$9),IF(C823="","「入社年月日」",""),"")&amp;IF(D823="","「性別」","")&amp;IF(IF(A823="","従業員番号","")&amp;IF(B823="","「雇用形態」","")&amp;IF(OR(入力シート!$J$18=入力リスト!$H$9,入力シート!$J$22=入力リスト!$H$9),IF(C823="","「入社年月日」",""),"")&amp;IF(D823="","「性別」","")="","",入力リスト!$K$29),IF(J823,入力リスト!$K$30,"")&amp;IF(I823,入力リスト!$K$31,"")&amp;IF(H823,"「雇用形態」","")&amp;IF(K823,"「性別」","")&amp;IF(L823,"「役職」","")&amp;IF(OR(H823,K823,L823),入力リスト!$K$32,"")))))</f>
        <v/>
      </c>
      <c r="G823" s="298" t="b">
        <f>COUNTIF($A$4:A822,$A823)&gt;0</f>
        <v>0</v>
      </c>
      <c r="H823" s="298" t="b">
        <f>IF($H$1,FALSE,COUNTIF(入力シート!$S$37:$V$62,B823)=0)</f>
        <v>0</v>
      </c>
      <c r="I823" s="298" t="b">
        <f t="shared" ref="I823:I870" si="27">IF($I$1,IF(ISNUMBER(C823),FALSE,TRUE),FALSE)</f>
        <v>0</v>
      </c>
      <c r="J823" s="298" t="b">
        <f>IF($J$1,FALSE,IF(I823=TRUE,FALSE,IF(I823,FALSE,C823&gt;入力シート!$J$24)))</f>
        <v>0</v>
      </c>
      <c r="K823" s="298" t="b">
        <f>IF($K$1,FALSE,COUNTIF(入力シート!$AW$37:$BB$38,D823)=0)</f>
        <v>0</v>
      </c>
      <c r="L823" s="298" t="b">
        <f>IF($L$1,FALSE,IF($L$3,FALSE,IF(E823="",FALSE,COUNTIF(入力シート!$AH$37:$AK$62,E823)=0)))</f>
        <v>0</v>
      </c>
      <c r="M823" s="298" t="str">
        <f t="shared" ref="M823:M870" si="28">IF(COUNTIF(F823,"*入社年月日に数値以外*"),"※1900/0/0以前は数値として認識されません。","")</f>
        <v/>
      </c>
      <c r="N823" s="298" t="str">
        <f>IF(G823,"この従業員番号は、すでに他のセルで入力されています。",IF(入力シート!$C$5=入力リスト!$C$4,"",IF(AND(A823="",B823="",C823="",D823="",E823=""),"",IF(OR(A823="",B823="",C823="",D823=""),IF(A823="","従業員番号","")&amp;IF(AND(A823="",OR(B823="",C823="",D823="")),",","")&amp;IF(B823="","雇用形態","")&amp;IF(AND(B823="",OR(C823="",D823="")),",","")&amp;IF(OR(入力シート!$J$18=入力リスト!$H$9,入力シート!$J$22=入力リスト!$H$9),IF(C823="","入社年月日",""),"")&amp;IF(AND(C823="",D823=""),",","")&amp;IF(D823="","性別","")&amp;IF(IF(A823="","従業員番号","")&amp;IF(B823="","雇用形態","")&amp;IF(OR(入力シート!$J$18=入力リスト!$H$9,入力シート!$J$22=入力リスト!$H$9),IF(C823="","入社年月日",""),"")&amp;IF(D823="","性別","")="","","が空白です。"),IF(J823,"入社年月日に「基準日」の翌日以降の日付が入力されています。","")&amp;IF(I823,"入社年月日に数値以外（又は1900/1/1以前の日付）が入力されています。","")&amp;IF(H823,"雇用形態"&amp;IF(OR(K823,L823),",",""),"")&amp;IF(K823,"性別"&amp;IF(L823,",",""),"")&amp;IF(L823,"役職","")&amp;IF(OR(H823,K823,L823),"に、［入力シート］(4)「貴社」欄と異なる文言が入力されています。","")))))</f>
        <v/>
      </c>
      <c r="O823" s="298" t="str">
        <f>IF(B823="","",VLOOKUP('従業員情報(給与以外)'!$B823,入力シート!$S$37:$Z$62,5,0))</f>
        <v/>
      </c>
      <c r="P823" s="298" t="str">
        <f>IF(ISNUMBER(C823)=FALSE,"",IF(C823&gt;入力シート!$J$24,"",_xlfn.DAYS(入力シート!$J$24,'従業員情報(給与以外)'!$C823)/365))</f>
        <v/>
      </c>
      <c r="Q823" s="298" t="str">
        <f>IF(P823="","",VLOOKUP(_xlfn.DAYS(入力シート!$J$24,'従業員情報(給与以外)'!$C823)/365,入力リスト!$K$18:$L$26,2,2))</f>
        <v/>
      </c>
      <c r="R823" s="298" t="str">
        <f>IF(D823="","",VLOOKUP('従業員情報(給与以外)'!$D823,入力シート!$AW$37:$BB$38,4,0))</f>
        <v/>
      </c>
      <c r="S823" s="298" t="str">
        <f>IF(A823="","",IF(E823="","非役職",VLOOKUP('従業員情報(給与以外)'!$E823,入力シート!$AH$37:$AO$62,5,0)))</f>
        <v/>
      </c>
      <c r="T823" s="299" t="str">
        <f>IF(OR(入力シート!$C$5&lt;&gt;入力リスト!$C$3,COUNTIF(入力シート!$J$16:$S$23,入力リスト!$H$9)=0),"",IF($A823="","",IF(ISERROR(AVERAGEIF(従業員の給与情報!$B:$B,$A823,従業員の給与情報!$C:$C)),0,IF(ISERROR(AVERAGEIF(従業員の給与情報!$B:$B,$A823,従業員の給与情報!$C:$C)),0,AVERAGEIF(従業員の給与情報!$B:$B,$A823,従業員の給与情報!$C:$C)))))</f>
        <v/>
      </c>
      <c r="U823" s="299" t="str">
        <f>IF(OR(入力シート!$C$5&lt;&gt;入力リスト!$C$3,COUNTIF(入力シート!$J$16:$S$23,入力リスト!$H$9)=0),"",IF(A823="","",IF(ISERROR(AVERAGEIF(従業員の給与情報!$B:$B,$A823,従業員の給与情報!$D:$D)),0,IF(ISERROR(AVERAGEIF(従業員の給与情報!$B:$B,$A823,従業員の給与情報!$D:$D)),0,AVERAGEIF(従業員の給与情報!$B:$B,$A823,従業員の給与情報!$D:$D)))))</f>
        <v/>
      </c>
      <c r="V823" s="299" t="str">
        <f>IF(OR(入力シート!$C$5&lt;&gt;入力リスト!$C$3,COUNTIF(入力シート!$J$16:$S$23,入力リスト!$H$9)=0),"",IF(A823="","",IF(ISERROR(AVERAGEIF(従業員の給与情報!$B:$B,$A823,従業員の給与情報!$E:$E)),0,IF(ISERROR(AVERAGEIF(従業員の給与情報!$B:$B,$A823,従業員の給与情報!$E:$E)),0,AVERAGEIF(従業員の給与情報!$B:$B,$A823,従業員の給与情報!$E:$E)))))</f>
        <v/>
      </c>
      <c r="W823" s="299" t="str">
        <f>IF(OR(入力シート!$C$5&lt;&gt;入力リスト!$C$3,COUNTIF(入力シート!$J$16:$S$23,入力リスト!$H$9)=0),"",IF(A823="","",IF(ISERROR(AVERAGEIF(従業員の給与情報!$B:$B,$A823,従業員の給与情報!$F:$F)),0,IF(ISERROR(AVERAGEIF(従業員の給与情報!$B:$B,$A823,従業員の給与情報!$F:$F)),0,AVERAGEIF(従業員の給与情報!$B:$B,$A823,従業員の給与情報!$F:$F)))))</f>
        <v/>
      </c>
      <c r="X823" s="581" t="s">
        <v>5562</v>
      </c>
    </row>
    <row r="824" spans="6:24">
      <c r="F824" s="297" t="str">
        <f>IF($G$1,"",IF(COUNTIF(A824:E824,"")=5,"",IF(G824,入力リスト!$K$28,IF(OR(A824="",B824="",IF(COUNTIF($C$3,"*不要*"),"",C824=""),D824=""),IF(A824="","従業員番号","")&amp;IF(B824="","「雇用形態」","")&amp;IF(OR(入力シート!$J$18=入力リスト!$H$9,入力シート!$J$22=入力リスト!$H$9),IF(C824="","「入社年月日」",""),"")&amp;IF(D824="","「性別」","")&amp;IF(IF(A824="","従業員番号","")&amp;IF(B824="","「雇用形態」","")&amp;IF(OR(入力シート!$J$18=入力リスト!$H$9,入力シート!$J$22=入力リスト!$H$9),IF(C824="","「入社年月日」",""),"")&amp;IF(D824="","「性別」","")="","",入力リスト!$K$29),IF(J824,入力リスト!$K$30,"")&amp;IF(I824,入力リスト!$K$31,"")&amp;IF(H824,"「雇用形態」","")&amp;IF(K824,"「性別」","")&amp;IF(L824,"「役職」","")&amp;IF(OR(H824,K824,L824),入力リスト!$K$32,"")))))</f>
        <v/>
      </c>
      <c r="G824" s="298" t="b">
        <f>COUNTIF($A$4:A823,$A824)&gt;0</f>
        <v>0</v>
      </c>
      <c r="H824" s="298" t="b">
        <f>IF($H$1,FALSE,COUNTIF(入力シート!$S$37:$V$62,B824)=0)</f>
        <v>0</v>
      </c>
      <c r="I824" s="298" t="b">
        <f t="shared" si="27"/>
        <v>0</v>
      </c>
      <c r="J824" s="298" t="b">
        <f>IF($J$1,FALSE,IF(I824=TRUE,FALSE,IF(I824,FALSE,C824&gt;入力シート!$J$24)))</f>
        <v>0</v>
      </c>
      <c r="K824" s="298" t="b">
        <f>IF($K$1,FALSE,COUNTIF(入力シート!$AW$37:$BB$38,D824)=0)</f>
        <v>0</v>
      </c>
      <c r="L824" s="298" t="b">
        <f>IF($L$1,FALSE,IF($L$3,FALSE,IF(E824="",FALSE,COUNTIF(入力シート!$AH$37:$AK$62,E824)=0)))</f>
        <v>0</v>
      </c>
      <c r="M824" s="298" t="str">
        <f t="shared" si="28"/>
        <v/>
      </c>
      <c r="N824" s="298" t="str">
        <f>IF(G824,"この従業員番号は、すでに他のセルで入力されています。",IF(入力シート!$C$5=入力リスト!$C$4,"",IF(AND(A824="",B824="",C824="",D824="",E824=""),"",IF(OR(A824="",B824="",C824="",D824=""),IF(A824="","従業員番号","")&amp;IF(AND(A824="",OR(B824="",C824="",D824="")),",","")&amp;IF(B824="","雇用形態","")&amp;IF(AND(B824="",OR(C824="",D824="")),",","")&amp;IF(OR(入力シート!$J$18=入力リスト!$H$9,入力シート!$J$22=入力リスト!$H$9),IF(C824="","入社年月日",""),"")&amp;IF(AND(C824="",D824=""),",","")&amp;IF(D824="","性別","")&amp;IF(IF(A824="","従業員番号","")&amp;IF(B824="","雇用形態","")&amp;IF(OR(入力シート!$J$18=入力リスト!$H$9,入力シート!$J$22=入力リスト!$H$9),IF(C824="","入社年月日",""),"")&amp;IF(D824="","性別","")="","","が空白です。"),IF(J824,"入社年月日に「基準日」の翌日以降の日付が入力されています。","")&amp;IF(I824,"入社年月日に数値以外（又は1900/1/1以前の日付）が入力されています。","")&amp;IF(H824,"雇用形態"&amp;IF(OR(K824,L824),",",""),"")&amp;IF(K824,"性別"&amp;IF(L824,",",""),"")&amp;IF(L824,"役職","")&amp;IF(OR(H824,K824,L824),"に、［入力シート］(4)「貴社」欄と異なる文言が入力されています。","")))))</f>
        <v/>
      </c>
      <c r="O824" s="298" t="str">
        <f>IF(B824="","",VLOOKUP('従業員情報(給与以外)'!$B824,入力シート!$S$37:$Z$62,5,0))</f>
        <v/>
      </c>
      <c r="P824" s="298" t="str">
        <f>IF(ISNUMBER(C824)=FALSE,"",IF(C824&gt;入力シート!$J$24,"",_xlfn.DAYS(入力シート!$J$24,'従業員情報(給与以外)'!$C824)/365))</f>
        <v/>
      </c>
      <c r="Q824" s="298" t="str">
        <f>IF(P824="","",VLOOKUP(_xlfn.DAYS(入力シート!$J$24,'従業員情報(給与以外)'!$C824)/365,入力リスト!$K$18:$L$26,2,2))</f>
        <v/>
      </c>
      <c r="R824" s="298" t="str">
        <f>IF(D824="","",VLOOKUP('従業員情報(給与以外)'!$D824,入力シート!$AW$37:$BB$38,4,0))</f>
        <v/>
      </c>
      <c r="S824" s="298" t="str">
        <f>IF(A824="","",IF(E824="","非役職",VLOOKUP('従業員情報(給与以外)'!$E824,入力シート!$AH$37:$AO$62,5,0)))</f>
        <v/>
      </c>
      <c r="T824" s="299" t="str">
        <f>IF(OR(入力シート!$C$5&lt;&gt;入力リスト!$C$3,COUNTIF(入力シート!$J$16:$S$23,入力リスト!$H$9)=0),"",IF($A824="","",IF(ISERROR(AVERAGEIF(従業員の給与情報!$B:$B,$A824,従業員の給与情報!$C:$C)),0,IF(ISERROR(AVERAGEIF(従業員の給与情報!$B:$B,$A824,従業員の給与情報!$C:$C)),0,AVERAGEIF(従業員の給与情報!$B:$B,$A824,従業員の給与情報!$C:$C)))))</f>
        <v/>
      </c>
      <c r="U824" s="299" t="str">
        <f>IF(OR(入力シート!$C$5&lt;&gt;入力リスト!$C$3,COUNTIF(入力シート!$J$16:$S$23,入力リスト!$H$9)=0),"",IF(A824="","",IF(ISERROR(AVERAGEIF(従業員の給与情報!$B:$B,$A824,従業員の給与情報!$D:$D)),0,IF(ISERROR(AVERAGEIF(従業員の給与情報!$B:$B,$A824,従業員の給与情報!$D:$D)),0,AVERAGEIF(従業員の給与情報!$B:$B,$A824,従業員の給与情報!$D:$D)))))</f>
        <v/>
      </c>
      <c r="V824" s="299" t="str">
        <f>IF(OR(入力シート!$C$5&lt;&gt;入力リスト!$C$3,COUNTIF(入力シート!$J$16:$S$23,入力リスト!$H$9)=0),"",IF(A824="","",IF(ISERROR(AVERAGEIF(従業員の給与情報!$B:$B,$A824,従業員の給与情報!$E:$E)),0,IF(ISERROR(AVERAGEIF(従業員の給与情報!$B:$B,$A824,従業員の給与情報!$E:$E)),0,AVERAGEIF(従業員の給与情報!$B:$B,$A824,従業員の給与情報!$E:$E)))))</f>
        <v/>
      </c>
      <c r="W824" s="299" t="str">
        <f>IF(OR(入力シート!$C$5&lt;&gt;入力リスト!$C$3,COUNTIF(入力シート!$J$16:$S$23,入力リスト!$H$9)=0),"",IF(A824="","",IF(ISERROR(AVERAGEIF(従業員の給与情報!$B:$B,$A824,従業員の給与情報!$F:$F)),0,IF(ISERROR(AVERAGEIF(従業員の給与情報!$B:$B,$A824,従業員の給与情報!$F:$F)),0,AVERAGEIF(従業員の給与情報!$B:$B,$A824,従業員の給与情報!$F:$F)))))</f>
        <v/>
      </c>
      <c r="X824" s="581" t="s">
        <v>5563</v>
      </c>
    </row>
    <row r="825" spans="6:24">
      <c r="F825" s="297" t="str">
        <f>IF($G$1,"",IF(COUNTIF(A825:E825,"")=5,"",IF(G825,入力リスト!$K$28,IF(OR(A825="",B825="",IF(COUNTIF($C$3,"*不要*"),"",C825=""),D825=""),IF(A825="","従業員番号","")&amp;IF(B825="","「雇用形態」","")&amp;IF(OR(入力シート!$J$18=入力リスト!$H$9,入力シート!$J$22=入力リスト!$H$9),IF(C825="","「入社年月日」",""),"")&amp;IF(D825="","「性別」","")&amp;IF(IF(A825="","従業員番号","")&amp;IF(B825="","「雇用形態」","")&amp;IF(OR(入力シート!$J$18=入力リスト!$H$9,入力シート!$J$22=入力リスト!$H$9),IF(C825="","「入社年月日」",""),"")&amp;IF(D825="","「性別」","")="","",入力リスト!$K$29),IF(J825,入力リスト!$K$30,"")&amp;IF(I825,入力リスト!$K$31,"")&amp;IF(H825,"「雇用形態」","")&amp;IF(K825,"「性別」","")&amp;IF(L825,"「役職」","")&amp;IF(OR(H825,K825,L825),入力リスト!$K$32,"")))))</f>
        <v/>
      </c>
      <c r="G825" s="298" t="b">
        <f>COUNTIF($A$4:A824,$A825)&gt;0</f>
        <v>0</v>
      </c>
      <c r="H825" s="298" t="b">
        <f>IF($H$1,FALSE,COUNTIF(入力シート!$S$37:$V$62,B825)=0)</f>
        <v>0</v>
      </c>
      <c r="I825" s="298" t="b">
        <f t="shared" si="27"/>
        <v>0</v>
      </c>
      <c r="J825" s="298" t="b">
        <f>IF($J$1,FALSE,IF(I825=TRUE,FALSE,IF(I825,FALSE,C825&gt;入力シート!$J$24)))</f>
        <v>0</v>
      </c>
      <c r="K825" s="298" t="b">
        <f>IF($K$1,FALSE,COUNTIF(入力シート!$AW$37:$BB$38,D825)=0)</f>
        <v>0</v>
      </c>
      <c r="L825" s="298" t="b">
        <f>IF($L$1,FALSE,IF($L$3,FALSE,IF(E825="",FALSE,COUNTIF(入力シート!$AH$37:$AK$62,E825)=0)))</f>
        <v>0</v>
      </c>
      <c r="M825" s="298" t="str">
        <f t="shared" si="28"/>
        <v/>
      </c>
      <c r="N825" s="298" t="str">
        <f>IF(G825,"この従業員番号は、すでに他のセルで入力されています。",IF(入力シート!$C$5=入力リスト!$C$4,"",IF(AND(A825="",B825="",C825="",D825="",E825=""),"",IF(OR(A825="",B825="",C825="",D825=""),IF(A825="","従業員番号","")&amp;IF(AND(A825="",OR(B825="",C825="",D825="")),",","")&amp;IF(B825="","雇用形態","")&amp;IF(AND(B825="",OR(C825="",D825="")),",","")&amp;IF(OR(入力シート!$J$18=入力リスト!$H$9,入力シート!$J$22=入力リスト!$H$9),IF(C825="","入社年月日",""),"")&amp;IF(AND(C825="",D825=""),",","")&amp;IF(D825="","性別","")&amp;IF(IF(A825="","従業員番号","")&amp;IF(B825="","雇用形態","")&amp;IF(OR(入力シート!$J$18=入力リスト!$H$9,入力シート!$J$22=入力リスト!$H$9),IF(C825="","入社年月日",""),"")&amp;IF(D825="","性別","")="","","が空白です。"),IF(J825,"入社年月日に「基準日」の翌日以降の日付が入力されています。","")&amp;IF(I825,"入社年月日に数値以外（又は1900/1/1以前の日付）が入力されています。","")&amp;IF(H825,"雇用形態"&amp;IF(OR(K825,L825),",",""),"")&amp;IF(K825,"性別"&amp;IF(L825,",",""),"")&amp;IF(L825,"役職","")&amp;IF(OR(H825,K825,L825),"に、［入力シート］(4)「貴社」欄と異なる文言が入力されています。","")))))</f>
        <v/>
      </c>
      <c r="O825" s="298" t="str">
        <f>IF(B825="","",VLOOKUP('従業員情報(給与以外)'!$B825,入力シート!$S$37:$Z$62,5,0))</f>
        <v/>
      </c>
      <c r="P825" s="298" t="str">
        <f>IF(ISNUMBER(C825)=FALSE,"",IF(C825&gt;入力シート!$J$24,"",_xlfn.DAYS(入力シート!$J$24,'従業員情報(給与以外)'!$C825)/365))</f>
        <v/>
      </c>
      <c r="Q825" s="298" t="str">
        <f>IF(P825="","",VLOOKUP(_xlfn.DAYS(入力シート!$J$24,'従業員情報(給与以外)'!$C825)/365,入力リスト!$K$18:$L$26,2,2))</f>
        <v/>
      </c>
      <c r="R825" s="298" t="str">
        <f>IF(D825="","",VLOOKUP('従業員情報(給与以外)'!$D825,入力シート!$AW$37:$BB$38,4,0))</f>
        <v/>
      </c>
      <c r="S825" s="298" t="str">
        <f>IF(A825="","",IF(E825="","非役職",VLOOKUP('従業員情報(給与以外)'!$E825,入力シート!$AH$37:$AO$62,5,0)))</f>
        <v/>
      </c>
      <c r="T825" s="299" t="str">
        <f>IF(OR(入力シート!$C$5&lt;&gt;入力リスト!$C$3,COUNTIF(入力シート!$J$16:$S$23,入力リスト!$H$9)=0),"",IF($A825="","",IF(ISERROR(AVERAGEIF(従業員の給与情報!$B:$B,$A825,従業員の給与情報!$C:$C)),0,IF(ISERROR(AVERAGEIF(従業員の給与情報!$B:$B,$A825,従業員の給与情報!$C:$C)),0,AVERAGEIF(従業員の給与情報!$B:$B,$A825,従業員の給与情報!$C:$C)))))</f>
        <v/>
      </c>
      <c r="U825" s="299" t="str">
        <f>IF(OR(入力シート!$C$5&lt;&gt;入力リスト!$C$3,COUNTIF(入力シート!$J$16:$S$23,入力リスト!$H$9)=0),"",IF(A825="","",IF(ISERROR(AVERAGEIF(従業員の給与情報!$B:$B,$A825,従業員の給与情報!$D:$D)),0,IF(ISERROR(AVERAGEIF(従業員の給与情報!$B:$B,$A825,従業員の給与情報!$D:$D)),0,AVERAGEIF(従業員の給与情報!$B:$B,$A825,従業員の給与情報!$D:$D)))))</f>
        <v/>
      </c>
      <c r="V825" s="299" t="str">
        <f>IF(OR(入力シート!$C$5&lt;&gt;入力リスト!$C$3,COUNTIF(入力シート!$J$16:$S$23,入力リスト!$H$9)=0),"",IF(A825="","",IF(ISERROR(AVERAGEIF(従業員の給与情報!$B:$B,$A825,従業員の給与情報!$E:$E)),0,IF(ISERROR(AVERAGEIF(従業員の給与情報!$B:$B,$A825,従業員の給与情報!$E:$E)),0,AVERAGEIF(従業員の給与情報!$B:$B,$A825,従業員の給与情報!$E:$E)))))</f>
        <v/>
      </c>
      <c r="W825" s="299" t="str">
        <f>IF(OR(入力シート!$C$5&lt;&gt;入力リスト!$C$3,COUNTIF(入力シート!$J$16:$S$23,入力リスト!$H$9)=0),"",IF(A825="","",IF(ISERROR(AVERAGEIF(従業員の給与情報!$B:$B,$A825,従業員の給与情報!$F:$F)),0,IF(ISERROR(AVERAGEIF(従業員の給与情報!$B:$B,$A825,従業員の給与情報!$F:$F)),0,AVERAGEIF(従業員の給与情報!$B:$B,$A825,従業員の給与情報!$F:$F)))))</f>
        <v/>
      </c>
      <c r="X825" s="581" t="s">
        <v>5564</v>
      </c>
    </row>
    <row r="826" spans="6:24">
      <c r="F826" s="297" t="str">
        <f>IF($G$1,"",IF(COUNTIF(A826:E826,"")=5,"",IF(G826,入力リスト!$K$28,IF(OR(A826="",B826="",IF(COUNTIF($C$3,"*不要*"),"",C826=""),D826=""),IF(A826="","従業員番号","")&amp;IF(B826="","「雇用形態」","")&amp;IF(OR(入力シート!$J$18=入力リスト!$H$9,入力シート!$J$22=入力リスト!$H$9),IF(C826="","「入社年月日」",""),"")&amp;IF(D826="","「性別」","")&amp;IF(IF(A826="","従業員番号","")&amp;IF(B826="","「雇用形態」","")&amp;IF(OR(入力シート!$J$18=入力リスト!$H$9,入力シート!$J$22=入力リスト!$H$9),IF(C826="","「入社年月日」",""),"")&amp;IF(D826="","「性別」","")="","",入力リスト!$K$29),IF(J826,入力リスト!$K$30,"")&amp;IF(I826,入力リスト!$K$31,"")&amp;IF(H826,"「雇用形態」","")&amp;IF(K826,"「性別」","")&amp;IF(L826,"「役職」","")&amp;IF(OR(H826,K826,L826),入力リスト!$K$32,"")))))</f>
        <v/>
      </c>
      <c r="G826" s="298" t="b">
        <f>COUNTIF($A$4:A825,$A826)&gt;0</f>
        <v>0</v>
      </c>
      <c r="H826" s="298" t="b">
        <f>IF($H$1,FALSE,COUNTIF(入力シート!$S$37:$V$62,B826)=0)</f>
        <v>0</v>
      </c>
      <c r="I826" s="298" t="b">
        <f t="shared" si="27"/>
        <v>0</v>
      </c>
      <c r="J826" s="298" t="b">
        <f>IF($J$1,FALSE,IF(I826=TRUE,FALSE,IF(I826,FALSE,C826&gt;入力シート!$J$24)))</f>
        <v>0</v>
      </c>
      <c r="K826" s="298" t="b">
        <f>IF($K$1,FALSE,COUNTIF(入力シート!$AW$37:$BB$38,D826)=0)</f>
        <v>0</v>
      </c>
      <c r="L826" s="298" t="b">
        <f>IF($L$1,FALSE,IF($L$3,FALSE,IF(E826="",FALSE,COUNTIF(入力シート!$AH$37:$AK$62,E826)=0)))</f>
        <v>0</v>
      </c>
      <c r="M826" s="298" t="str">
        <f t="shared" si="28"/>
        <v/>
      </c>
      <c r="N826" s="298" t="str">
        <f>IF(G826,"この従業員番号は、すでに他のセルで入力されています。",IF(入力シート!$C$5=入力リスト!$C$4,"",IF(AND(A826="",B826="",C826="",D826="",E826=""),"",IF(OR(A826="",B826="",C826="",D826=""),IF(A826="","従業員番号","")&amp;IF(AND(A826="",OR(B826="",C826="",D826="")),",","")&amp;IF(B826="","雇用形態","")&amp;IF(AND(B826="",OR(C826="",D826="")),",","")&amp;IF(OR(入力シート!$J$18=入力リスト!$H$9,入力シート!$J$22=入力リスト!$H$9),IF(C826="","入社年月日",""),"")&amp;IF(AND(C826="",D826=""),",","")&amp;IF(D826="","性別","")&amp;IF(IF(A826="","従業員番号","")&amp;IF(B826="","雇用形態","")&amp;IF(OR(入力シート!$J$18=入力リスト!$H$9,入力シート!$J$22=入力リスト!$H$9),IF(C826="","入社年月日",""),"")&amp;IF(D826="","性別","")="","","が空白です。"),IF(J826,"入社年月日に「基準日」の翌日以降の日付が入力されています。","")&amp;IF(I826,"入社年月日に数値以外（又は1900/1/1以前の日付）が入力されています。","")&amp;IF(H826,"雇用形態"&amp;IF(OR(K826,L826),",",""),"")&amp;IF(K826,"性別"&amp;IF(L826,",",""),"")&amp;IF(L826,"役職","")&amp;IF(OR(H826,K826,L826),"に、［入力シート］(4)「貴社」欄と異なる文言が入力されています。","")))))</f>
        <v/>
      </c>
      <c r="O826" s="298" t="str">
        <f>IF(B826="","",VLOOKUP('従業員情報(給与以外)'!$B826,入力シート!$S$37:$Z$62,5,0))</f>
        <v/>
      </c>
      <c r="P826" s="298" t="str">
        <f>IF(ISNUMBER(C826)=FALSE,"",IF(C826&gt;入力シート!$J$24,"",_xlfn.DAYS(入力シート!$J$24,'従業員情報(給与以外)'!$C826)/365))</f>
        <v/>
      </c>
      <c r="Q826" s="298" t="str">
        <f>IF(P826="","",VLOOKUP(_xlfn.DAYS(入力シート!$J$24,'従業員情報(給与以外)'!$C826)/365,入力リスト!$K$18:$L$26,2,2))</f>
        <v/>
      </c>
      <c r="R826" s="298" t="str">
        <f>IF(D826="","",VLOOKUP('従業員情報(給与以外)'!$D826,入力シート!$AW$37:$BB$38,4,0))</f>
        <v/>
      </c>
      <c r="S826" s="298" t="str">
        <f>IF(A826="","",IF(E826="","非役職",VLOOKUP('従業員情報(給与以外)'!$E826,入力シート!$AH$37:$AO$62,5,0)))</f>
        <v/>
      </c>
      <c r="T826" s="299" t="str">
        <f>IF(OR(入力シート!$C$5&lt;&gt;入力リスト!$C$3,COUNTIF(入力シート!$J$16:$S$23,入力リスト!$H$9)=0),"",IF($A826="","",IF(ISERROR(AVERAGEIF(従業員の給与情報!$B:$B,$A826,従業員の給与情報!$C:$C)),0,IF(ISERROR(AVERAGEIF(従業員の給与情報!$B:$B,$A826,従業員の給与情報!$C:$C)),0,AVERAGEIF(従業員の給与情報!$B:$B,$A826,従業員の給与情報!$C:$C)))))</f>
        <v/>
      </c>
      <c r="U826" s="299" t="str">
        <f>IF(OR(入力シート!$C$5&lt;&gt;入力リスト!$C$3,COUNTIF(入力シート!$J$16:$S$23,入力リスト!$H$9)=0),"",IF(A826="","",IF(ISERROR(AVERAGEIF(従業員の給与情報!$B:$B,$A826,従業員の給与情報!$D:$D)),0,IF(ISERROR(AVERAGEIF(従業員の給与情報!$B:$B,$A826,従業員の給与情報!$D:$D)),0,AVERAGEIF(従業員の給与情報!$B:$B,$A826,従業員の給与情報!$D:$D)))))</f>
        <v/>
      </c>
      <c r="V826" s="299" t="str">
        <f>IF(OR(入力シート!$C$5&lt;&gt;入力リスト!$C$3,COUNTIF(入力シート!$J$16:$S$23,入力リスト!$H$9)=0),"",IF(A826="","",IF(ISERROR(AVERAGEIF(従業員の給与情報!$B:$B,$A826,従業員の給与情報!$E:$E)),0,IF(ISERROR(AVERAGEIF(従業員の給与情報!$B:$B,$A826,従業員の給与情報!$E:$E)),0,AVERAGEIF(従業員の給与情報!$B:$B,$A826,従業員の給与情報!$E:$E)))))</f>
        <v/>
      </c>
      <c r="W826" s="299" t="str">
        <f>IF(OR(入力シート!$C$5&lt;&gt;入力リスト!$C$3,COUNTIF(入力シート!$J$16:$S$23,入力リスト!$H$9)=0),"",IF(A826="","",IF(ISERROR(AVERAGEIF(従業員の給与情報!$B:$B,$A826,従業員の給与情報!$F:$F)),0,IF(ISERROR(AVERAGEIF(従業員の給与情報!$B:$B,$A826,従業員の給与情報!$F:$F)),0,AVERAGEIF(従業員の給与情報!$B:$B,$A826,従業員の給与情報!$F:$F)))))</f>
        <v/>
      </c>
      <c r="X826" s="581" t="s">
        <v>5565</v>
      </c>
    </row>
    <row r="827" spans="6:24">
      <c r="F827" s="297" t="str">
        <f>IF($G$1,"",IF(COUNTIF(A827:E827,"")=5,"",IF(G827,入力リスト!$K$28,IF(OR(A827="",B827="",IF(COUNTIF($C$3,"*不要*"),"",C827=""),D827=""),IF(A827="","従業員番号","")&amp;IF(B827="","「雇用形態」","")&amp;IF(OR(入力シート!$J$18=入力リスト!$H$9,入力シート!$J$22=入力リスト!$H$9),IF(C827="","「入社年月日」",""),"")&amp;IF(D827="","「性別」","")&amp;IF(IF(A827="","従業員番号","")&amp;IF(B827="","「雇用形態」","")&amp;IF(OR(入力シート!$J$18=入力リスト!$H$9,入力シート!$J$22=入力リスト!$H$9),IF(C827="","「入社年月日」",""),"")&amp;IF(D827="","「性別」","")="","",入力リスト!$K$29),IF(J827,入力リスト!$K$30,"")&amp;IF(I827,入力リスト!$K$31,"")&amp;IF(H827,"「雇用形態」","")&amp;IF(K827,"「性別」","")&amp;IF(L827,"「役職」","")&amp;IF(OR(H827,K827,L827),入力リスト!$K$32,"")))))</f>
        <v/>
      </c>
      <c r="G827" s="298" t="b">
        <f>COUNTIF($A$4:A826,$A827)&gt;0</f>
        <v>0</v>
      </c>
      <c r="H827" s="298" t="b">
        <f>IF($H$1,FALSE,COUNTIF(入力シート!$S$37:$V$62,B827)=0)</f>
        <v>0</v>
      </c>
      <c r="I827" s="298" t="b">
        <f t="shared" si="27"/>
        <v>0</v>
      </c>
      <c r="J827" s="298" t="b">
        <f>IF($J$1,FALSE,IF(I827=TRUE,FALSE,IF(I827,FALSE,C827&gt;入力シート!$J$24)))</f>
        <v>0</v>
      </c>
      <c r="K827" s="298" t="b">
        <f>IF($K$1,FALSE,COUNTIF(入力シート!$AW$37:$BB$38,D827)=0)</f>
        <v>0</v>
      </c>
      <c r="L827" s="298" t="b">
        <f>IF($L$1,FALSE,IF($L$3,FALSE,IF(E827="",FALSE,COUNTIF(入力シート!$AH$37:$AK$62,E827)=0)))</f>
        <v>0</v>
      </c>
      <c r="M827" s="298" t="str">
        <f t="shared" si="28"/>
        <v/>
      </c>
      <c r="N827" s="298" t="str">
        <f>IF(G827,"この従業員番号は、すでに他のセルで入力されています。",IF(入力シート!$C$5=入力リスト!$C$4,"",IF(AND(A827="",B827="",C827="",D827="",E827=""),"",IF(OR(A827="",B827="",C827="",D827=""),IF(A827="","従業員番号","")&amp;IF(AND(A827="",OR(B827="",C827="",D827="")),",","")&amp;IF(B827="","雇用形態","")&amp;IF(AND(B827="",OR(C827="",D827="")),",","")&amp;IF(OR(入力シート!$J$18=入力リスト!$H$9,入力シート!$J$22=入力リスト!$H$9),IF(C827="","入社年月日",""),"")&amp;IF(AND(C827="",D827=""),",","")&amp;IF(D827="","性別","")&amp;IF(IF(A827="","従業員番号","")&amp;IF(B827="","雇用形態","")&amp;IF(OR(入力シート!$J$18=入力リスト!$H$9,入力シート!$J$22=入力リスト!$H$9),IF(C827="","入社年月日",""),"")&amp;IF(D827="","性別","")="","","が空白です。"),IF(J827,"入社年月日に「基準日」の翌日以降の日付が入力されています。","")&amp;IF(I827,"入社年月日に数値以外（又は1900/1/1以前の日付）が入力されています。","")&amp;IF(H827,"雇用形態"&amp;IF(OR(K827,L827),",",""),"")&amp;IF(K827,"性別"&amp;IF(L827,",",""),"")&amp;IF(L827,"役職","")&amp;IF(OR(H827,K827,L827),"に、［入力シート］(4)「貴社」欄と異なる文言が入力されています。","")))))</f>
        <v/>
      </c>
      <c r="O827" s="298" t="str">
        <f>IF(B827="","",VLOOKUP('従業員情報(給与以外)'!$B827,入力シート!$S$37:$Z$62,5,0))</f>
        <v/>
      </c>
      <c r="P827" s="298" t="str">
        <f>IF(ISNUMBER(C827)=FALSE,"",IF(C827&gt;入力シート!$J$24,"",_xlfn.DAYS(入力シート!$J$24,'従業員情報(給与以外)'!$C827)/365))</f>
        <v/>
      </c>
      <c r="Q827" s="298" t="str">
        <f>IF(P827="","",VLOOKUP(_xlfn.DAYS(入力シート!$J$24,'従業員情報(給与以外)'!$C827)/365,入力リスト!$K$18:$L$26,2,2))</f>
        <v/>
      </c>
      <c r="R827" s="298" t="str">
        <f>IF(D827="","",VLOOKUP('従業員情報(給与以外)'!$D827,入力シート!$AW$37:$BB$38,4,0))</f>
        <v/>
      </c>
      <c r="S827" s="298" t="str">
        <f>IF(A827="","",IF(E827="","非役職",VLOOKUP('従業員情報(給与以外)'!$E827,入力シート!$AH$37:$AO$62,5,0)))</f>
        <v/>
      </c>
      <c r="T827" s="299" t="str">
        <f>IF(OR(入力シート!$C$5&lt;&gt;入力リスト!$C$3,COUNTIF(入力シート!$J$16:$S$23,入力リスト!$H$9)=0),"",IF($A827="","",IF(ISERROR(AVERAGEIF(従業員の給与情報!$B:$B,$A827,従業員の給与情報!$C:$C)),0,IF(ISERROR(AVERAGEIF(従業員の給与情報!$B:$B,$A827,従業員の給与情報!$C:$C)),0,AVERAGEIF(従業員の給与情報!$B:$B,$A827,従業員の給与情報!$C:$C)))))</f>
        <v/>
      </c>
      <c r="U827" s="299" t="str">
        <f>IF(OR(入力シート!$C$5&lt;&gt;入力リスト!$C$3,COUNTIF(入力シート!$J$16:$S$23,入力リスト!$H$9)=0),"",IF(A827="","",IF(ISERROR(AVERAGEIF(従業員の給与情報!$B:$B,$A827,従業員の給与情報!$D:$D)),0,IF(ISERROR(AVERAGEIF(従業員の給与情報!$B:$B,$A827,従業員の給与情報!$D:$D)),0,AVERAGEIF(従業員の給与情報!$B:$B,$A827,従業員の給与情報!$D:$D)))))</f>
        <v/>
      </c>
      <c r="V827" s="299" t="str">
        <f>IF(OR(入力シート!$C$5&lt;&gt;入力リスト!$C$3,COUNTIF(入力シート!$J$16:$S$23,入力リスト!$H$9)=0),"",IF(A827="","",IF(ISERROR(AVERAGEIF(従業員の給与情報!$B:$B,$A827,従業員の給与情報!$E:$E)),0,IF(ISERROR(AVERAGEIF(従業員の給与情報!$B:$B,$A827,従業員の給与情報!$E:$E)),0,AVERAGEIF(従業員の給与情報!$B:$B,$A827,従業員の給与情報!$E:$E)))))</f>
        <v/>
      </c>
      <c r="W827" s="299" t="str">
        <f>IF(OR(入力シート!$C$5&lt;&gt;入力リスト!$C$3,COUNTIF(入力シート!$J$16:$S$23,入力リスト!$H$9)=0),"",IF(A827="","",IF(ISERROR(AVERAGEIF(従業員の給与情報!$B:$B,$A827,従業員の給与情報!$F:$F)),0,IF(ISERROR(AVERAGEIF(従業員の給与情報!$B:$B,$A827,従業員の給与情報!$F:$F)),0,AVERAGEIF(従業員の給与情報!$B:$B,$A827,従業員の給与情報!$F:$F)))))</f>
        <v/>
      </c>
      <c r="X827" s="581" t="s">
        <v>5566</v>
      </c>
    </row>
    <row r="828" spans="6:24">
      <c r="F828" s="297" t="str">
        <f>IF($G$1,"",IF(COUNTIF(A828:E828,"")=5,"",IF(G828,入力リスト!$K$28,IF(OR(A828="",B828="",IF(COUNTIF($C$3,"*不要*"),"",C828=""),D828=""),IF(A828="","従業員番号","")&amp;IF(B828="","「雇用形態」","")&amp;IF(OR(入力シート!$J$18=入力リスト!$H$9,入力シート!$J$22=入力リスト!$H$9),IF(C828="","「入社年月日」",""),"")&amp;IF(D828="","「性別」","")&amp;IF(IF(A828="","従業員番号","")&amp;IF(B828="","「雇用形態」","")&amp;IF(OR(入力シート!$J$18=入力リスト!$H$9,入力シート!$J$22=入力リスト!$H$9),IF(C828="","「入社年月日」",""),"")&amp;IF(D828="","「性別」","")="","",入力リスト!$K$29),IF(J828,入力リスト!$K$30,"")&amp;IF(I828,入力リスト!$K$31,"")&amp;IF(H828,"「雇用形態」","")&amp;IF(K828,"「性別」","")&amp;IF(L828,"「役職」","")&amp;IF(OR(H828,K828,L828),入力リスト!$K$32,"")))))</f>
        <v/>
      </c>
      <c r="G828" s="298" t="b">
        <f>COUNTIF($A$4:A827,$A828)&gt;0</f>
        <v>0</v>
      </c>
      <c r="H828" s="298" t="b">
        <f>IF($H$1,FALSE,COUNTIF(入力シート!$S$37:$V$62,B828)=0)</f>
        <v>0</v>
      </c>
      <c r="I828" s="298" t="b">
        <f t="shared" si="27"/>
        <v>0</v>
      </c>
      <c r="J828" s="298" t="b">
        <f>IF($J$1,FALSE,IF(I828=TRUE,FALSE,IF(I828,FALSE,C828&gt;入力シート!$J$24)))</f>
        <v>0</v>
      </c>
      <c r="K828" s="298" t="b">
        <f>IF($K$1,FALSE,COUNTIF(入力シート!$AW$37:$BB$38,D828)=0)</f>
        <v>0</v>
      </c>
      <c r="L828" s="298" t="b">
        <f>IF($L$1,FALSE,IF($L$3,FALSE,IF(E828="",FALSE,COUNTIF(入力シート!$AH$37:$AK$62,E828)=0)))</f>
        <v>0</v>
      </c>
      <c r="M828" s="298" t="str">
        <f t="shared" si="28"/>
        <v/>
      </c>
      <c r="N828" s="298" t="str">
        <f>IF(G828,"この従業員番号は、すでに他のセルで入力されています。",IF(入力シート!$C$5=入力リスト!$C$4,"",IF(AND(A828="",B828="",C828="",D828="",E828=""),"",IF(OR(A828="",B828="",C828="",D828=""),IF(A828="","従業員番号","")&amp;IF(AND(A828="",OR(B828="",C828="",D828="")),",","")&amp;IF(B828="","雇用形態","")&amp;IF(AND(B828="",OR(C828="",D828="")),",","")&amp;IF(OR(入力シート!$J$18=入力リスト!$H$9,入力シート!$J$22=入力リスト!$H$9),IF(C828="","入社年月日",""),"")&amp;IF(AND(C828="",D828=""),",","")&amp;IF(D828="","性別","")&amp;IF(IF(A828="","従業員番号","")&amp;IF(B828="","雇用形態","")&amp;IF(OR(入力シート!$J$18=入力リスト!$H$9,入力シート!$J$22=入力リスト!$H$9),IF(C828="","入社年月日",""),"")&amp;IF(D828="","性別","")="","","が空白です。"),IF(J828,"入社年月日に「基準日」の翌日以降の日付が入力されています。","")&amp;IF(I828,"入社年月日に数値以外（又は1900/1/1以前の日付）が入力されています。","")&amp;IF(H828,"雇用形態"&amp;IF(OR(K828,L828),",",""),"")&amp;IF(K828,"性別"&amp;IF(L828,",",""),"")&amp;IF(L828,"役職","")&amp;IF(OR(H828,K828,L828),"に、［入力シート］(4)「貴社」欄と異なる文言が入力されています。","")))))</f>
        <v/>
      </c>
      <c r="O828" s="298" t="str">
        <f>IF(B828="","",VLOOKUP('従業員情報(給与以外)'!$B828,入力シート!$S$37:$Z$62,5,0))</f>
        <v/>
      </c>
      <c r="P828" s="298" t="str">
        <f>IF(ISNUMBER(C828)=FALSE,"",IF(C828&gt;入力シート!$J$24,"",_xlfn.DAYS(入力シート!$J$24,'従業員情報(給与以外)'!$C828)/365))</f>
        <v/>
      </c>
      <c r="Q828" s="298" t="str">
        <f>IF(P828="","",VLOOKUP(_xlfn.DAYS(入力シート!$J$24,'従業員情報(給与以外)'!$C828)/365,入力リスト!$K$18:$L$26,2,2))</f>
        <v/>
      </c>
      <c r="R828" s="298" t="str">
        <f>IF(D828="","",VLOOKUP('従業員情報(給与以外)'!$D828,入力シート!$AW$37:$BB$38,4,0))</f>
        <v/>
      </c>
      <c r="S828" s="298" t="str">
        <f>IF(A828="","",IF(E828="","非役職",VLOOKUP('従業員情報(給与以外)'!$E828,入力シート!$AH$37:$AO$62,5,0)))</f>
        <v/>
      </c>
      <c r="T828" s="299" t="str">
        <f>IF(OR(入力シート!$C$5&lt;&gt;入力リスト!$C$3,COUNTIF(入力シート!$J$16:$S$23,入力リスト!$H$9)=0),"",IF($A828="","",IF(ISERROR(AVERAGEIF(従業員の給与情報!$B:$B,$A828,従業員の給与情報!$C:$C)),0,IF(ISERROR(AVERAGEIF(従業員の給与情報!$B:$B,$A828,従業員の給与情報!$C:$C)),0,AVERAGEIF(従業員の給与情報!$B:$B,$A828,従業員の給与情報!$C:$C)))))</f>
        <v/>
      </c>
      <c r="U828" s="299" t="str">
        <f>IF(OR(入力シート!$C$5&lt;&gt;入力リスト!$C$3,COUNTIF(入力シート!$J$16:$S$23,入力リスト!$H$9)=0),"",IF(A828="","",IF(ISERROR(AVERAGEIF(従業員の給与情報!$B:$B,$A828,従業員の給与情報!$D:$D)),0,IF(ISERROR(AVERAGEIF(従業員の給与情報!$B:$B,$A828,従業員の給与情報!$D:$D)),0,AVERAGEIF(従業員の給与情報!$B:$B,$A828,従業員の給与情報!$D:$D)))))</f>
        <v/>
      </c>
      <c r="V828" s="299" t="str">
        <f>IF(OR(入力シート!$C$5&lt;&gt;入力リスト!$C$3,COUNTIF(入力シート!$J$16:$S$23,入力リスト!$H$9)=0),"",IF(A828="","",IF(ISERROR(AVERAGEIF(従業員の給与情報!$B:$B,$A828,従業員の給与情報!$E:$E)),0,IF(ISERROR(AVERAGEIF(従業員の給与情報!$B:$B,$A828,従業員の給与情報!$E:$E)),0,AVERAGEIF(従業員の給与情報!$B:$B,$A828,従業員の給与情報!$E:$E)))))</f>
        <v/>
      </c>
      <c r="W828" s="299" t="str">
        <f>IF(OR(入力シート!$C$5&lt;&gt;入力リスト!$C$3,COUNTIF(入力シート!$J$16:$S$23,入力リスト!$H$9)=0),"",IF(A828="","",IF(ISERROR(AVERAGEIF(従業員の給与情報!$B:$B,$A828,従業員の給与情報!$F:$F)),0,IF(ISERROR(AVERAGEIF(従業員の給与情報!$B:$B,$A828,従業員の給与情報!$F:$F)),0,AVERAGEIF(従業員の給与情報!$B:$B,$A828,従業員の給与情報!$F:$F)))))</f>
        <v/>
      </c>
      <c r="X828" s="581" t="s">
        <v>5567</v>
      </c>
    </row>
    <row r="829" spans="6:24">
      <c r="F829" s="297" t="str">
        <f>IF($G$1,"",IF(COUNTIF(A829:E829,"")=5,"",IF(G829,入力リスト!$K$28,IF(OR(A829="",B829="",IF(COUNTIF($C$3,"*不要*"),"",C829=""),D829=""),IF(A829="","従業員番号","")&amp;IF(B829="","「雇用形態」","")&amp;IF(OR(入力シート!$J$18=入力リスト!$H$9,入力シート!$J$22=入力リスト!$H$9),IF(C829="","「入社年月日」",""),"")&amp;IF(D829="","「性別」","")&amp;IF(IF(A829="","従業員番号","")&amp;IF(B829="","「雇用形態」","")&amp;IF(OR(入力シート!$J$18=入力リスト!$H$9,入力シート!$J$22=入力リスト!$H$9),IF(C829="","「入社年月日」",""),"")&amp;IF(D829="","「性別」","")="","",入力リスト!$K$29),IF(J829,入力リスト!$K$30,"")&amp;IF(I829,入力リスト!$K$31,"")&amp;IF(H829,"「雇用形態」","")&amp;IF(K829,"「性別」","")&amp;IF(L829,"「役職」","")&amp;IF(OR(H829,K829,L829),入力リスト!$K$32,"")))))</f>
        <v/>
      </c>
      <c r="G829" s="298" t="b">
        <f>COUNTIF($A$4:A828,$A829)&gt;0</f>
        <v>0</v>
      </c>
      <c r="H829" s="298" t="b">
        <f>IF($H$1,FALSE,COUNTIF(入力シート!$S$37:$V$62,B829)=0)</f>
        <v>0</v>
      </c>
      <c r="I829" s="298" t="b">
        <f t="shared" si="27"/>
        <v>0</v>
      </c>
      <c r="J829" s="298" t="b">
        <f>IF($J$1,FALSE,IF(I829=TRUE,FALSE,IF(I829,FALSE,C829&gt;入力シート!$J$24)))</f>
        <v>0</v>
      </c>
      <c r="K829" s="298" t="b">
        <f>IF($K$1,FALSE,COUNTIF(入力シート!$AW$37:$BB$38,D829)=0)</f>
        <v>0</v>
      </c>
      <c r="L829" s="298" t="b">
        <f>IF($L$1,FALSE,IF($L$3,FALSE,IF(E829="",FALSE,COUNTIF(入力シート!$AH$37:$AK$62,E829)=0)))</f>
        <v>0</v>
      </c>
      <c r="M829" s="298" t="str">
        <f t="shared" si="28"/>
        <v/>
      </c>
      <c r="N829" s="298" t="str">
        <f>IF(G829,"この従業員番号は、すでに他のセルで入力されています。",IF(入力シート!$C$5=入力リスト!$C$4,"",IF(AND(A829="",B829="",C829="",D829="",E829=""),"",IF(OR(A829="",B829="",C829="",D829=""),IF(A829="","従業員番号","")&amp;IF(AND(A829="",OR(B829="",C829="",D829="")),",","")&amp;IF(B829="","雇用形態","")&amp;IF(AND(B829="",OR(C829="",D829="")),",","")&amp;IF(OR(入力シート!$J$18=入力リスト!$H$9,入力シート!$J$22=入力リスト!$H$9),IF(C829="","入社年月日",""),"")&amp;IF(AND(C829="",D829=""),",","")&amp;IF(D829="","性別","")&amp;IF(IF(A829="","従業員番号","")&amp;IF(B829="","雇用形態","")&amp;IF(OR(入力シート!$J$18=入力リスト!$H$9,入力シート!$J$22=入力リスト!$H$9),IF(C829="","入社年月日",""),"")&amp;IF(D829="","性別","")="","","が空白です。"),IF(J829,"入社年月日に「基準日」の翌日以降の日付が入力されています。","")&amp;IF(I829,"入社年月日に数値以外（又は1900/1/1以前の日付）が入力されています。","")&amp;IF(H829,"雇用形態"&amp;IF(OR(K829,L829),",",""),"")&amp;IF(K829,"性別"&amp;IF(L829,",",""),"")&amp;IF(L829,"役職","")&amp;IF(OR(H829,K829,L829),"に、［入力シート］(4)「貴社」欄と異なる文言が入力されています。","")))))</f>
        <v/>
      </c>
      <c r="O829" s="298" t="str">
        <f>IF(B829="","",VLOOKUP('従業員情報(給与以外)'!$B829,入力シート!$S$37:$Z$62,5,0))</f>
        <v/>
      </c>
      <c r="P829" s="298" t="str">
        <f>IF(ISNUMBER(C829)=FALSE,"",IF(C829&gt;入力シート!$J$24,"",_xlfn.DAYS(入力シート!$J$24,'従業員情報(給与以外)'!$C829)/365))</f>
        <v/>
      </c>
      <c r="Q829" s="298" t="str">
        <f>IF(P829="","",VLOOKUP(_xlfn.DAYS(入力シート!$J$24,'従業員情報(給与以外)'!$C829)/365,入力リスト!$K$18:$L$26,2,2))</f>
        <v/>
      </c>
      <c r="R829" s="298" t="str">
        <f>IF(D829="","",VLOOKUP('従業員情報(給与以外)'!$D829,入力シート!$AW$37:$BB$38,4,0))</f>
        <v/>
      </c>
      <c r="S829" s="298" t="str">
        <f>IF(A829="","",IF(E829="","非役職",VLOOKUP('従業員情報(給与以外)'!$E829,入力シート!$AH$37:$AO$62,5,0)))</f>
        <v/>
      </c>
      <c r="T829" s="299" t="str">
        <f>IF(OR(入力シート!$C$5&lt;&gt;入力リスト!$C$3,COUNTIF(入力シート!$J$16:$S$23,入力リスト!$H$9)=0),"",IF($A829="","",IF(ISERROR(AVERAGEIF(従業員の給与情報!$B:$B,$A829,従業員の給与情報!$C:$C)),0,IF(ISERROR(AVERAGEIF(従業員の給与情報!$B:$B,$A829,従業員の給与情報!$C:$C)),0,AVERAGEIF(従業員の給与情報!$B:$B,$A829,従業員の給与情報!$C:$C)))))</f>
        <v/>
      </c>
      <c r="U829" s="299" t="str">
        <f>IF(OR(入力シート!$C$5&lt;&gt;入力リスト!$C$3,COUNTIF(入力シート!$J$16:$S$23,入力リスト!$H$9)=0),"",IF(A829="","",IF(ISERROR(AVERAGEIF(従業員の給与情報!$B:$B,$A829,従業員の給与情報!$D:$D)),0,IF(ISERROR(AVERAGEIF(従業員の給与情報!$B:$B,$A829,従業員の給与情報!$D:$D)),0,AVERAGEIF(従業員の給与情報!$B:$B,$A829,従業員の給与情報!$D:$D)))))</f>
        <v/>
      </c>
      <c r="V829" s="299" t="str">
        <f>IF(OR(入力シート!$C$5&lt;&gt;入力リスト!$C$3,COUNTIF(入力シート!$J$16:$S$23,入力リスト!$H$9)=0),"",IF(A829="","",IF(ISERROR(AVERAGEIF(従業員の給与情報!$B:$B,$A829,従業員の給与情報!$E:$E)),0,IF(ISERROR(AVERAGEIF(従業員の給与情報!$B:$B,$A829,従業員の給与情報!$E:$E)),0,AVERAGEIF(従業員の給与情報!$B:$B,$A829,従業員の給与情報!$E:$E)))))</f>
        <v/>
      </c>
      <c r="W829" s="299" t="str">
        <f>IF(OR(入力シート!$C$5&lt;&gt;入力リスト!$C$3,COUNTIF(入力シート!$J$16:$S$23,入力リスト!$H$9)=0),"",IF(A829="","",IF(ISERROR(AVERAGEIF(従業員の給与情報!$B:$B,$A829,従業員の給与情報!$F:$F)),0,IF(ISERROR(AVERAGEIF(従業員の給与情報!$B:$B,$A829,従業員の給与情報!$F:$F)),0,AVERAGEIF(従業員の給与情報!$B:$B,$A829,従業員の給与情報!$F:$F)))))</f>
        <v/>
      </c>
      <c r="X829" s="581" t="s">
        <v>5568</v>
      </c>
    </row>
    <row r="830" spans="6:24">
      <c r="F830" s="297" t="str">
        <f>IF($G$1,"",IF(COUNTIF(A830:E830,"")=5,"",IF(G830,入力リスト!$K$28,IF(OR(A830="",B830="",IF(COUNTIF($C$3,"*不要*"),"",C830=""),D830=""),IF(A830="","従業員番号","")&amp;IF(B830="","「雇用形態」","")&amp;IF(OR(入力シート!$J$18=入力リスト!$H$9,入力シート!$J$22=入力リスト!$H$9),IF(C830="","「入社年月日」",""),"")&amp;IF(D830="","「性別」","")&amp;IF(IF(A830="","従業員番号","")&amp;IF(B830="","「雇用形態」","")&amp;IF(OR(入力シート!$J$18=入力リスト!$H$9,入力シート!$J$22=入力リスト!$H$9),IF(C830="","「入社年月日」",""),"")&amp;IF(D830="","「性別」","")="","",入力リスト!$K$29),IF(J830,入力リスト!$K$30,"")&amp;IF(I830,入力リスト!$K$31,"")&amp;IF(H830,"「雇用形態」","")&amp;IF(K830,"「性別」","")&amp;IF(L830,"「役職」","")&amp;IF(OR(H830,K830,L830),入力リスト!$K$32,"")))))</f>
        <v/>
      </c>
      <c r="G830" s="298" t="b">
        <f>COUNTIF($A$4:A829,$A830)&gt;0</f>
        <v>0</v>
      </c>
      <c r="H830" s="298" t="b">
        <f>IF($H$1,FALSE,COUNTIF(入力シート!$S$37:$V$62,B830)=0)</f>
        <v>0</v>
      </c>
      <c r="I830" s="298" t="b">
        <f t="shared" si="27"/>
        <v>0</v>
      </c>
      <c r="J830" s="298" t="b">
        <f>IF($J$1,FALSE,IF(I830=TRUE,FALSE,IF(I830,FALSE,C830&gt;入力シート!$J$24)))</f>
        <v>0</v>
      </c>
      <c r="K830" s="298" t="b">
        <f>IF($K$1,FALSE,COUNTIF(入力シート!$AW$37:$BB$38,D830)=0)</f>
        <v>0</v>
      </c>
      <c r="L830" s="298" t="b">
        <f>IF($L$1,FALSE,IF($L$3,FALSE,IF(E830="",FALSE,COUNTIF(入力シート!$AH$37:$AK$62,E830)=0)))</f>
        <v>0</v>
      </c>
      <c r="M830" s="298" t="str">
        <f t="shared" si="28"/>
        <v/>
      </c>
      <c r="N830" s="298" t="str">
        <f>IF(G830,"この従業員番号は、すでに他のセルで入力されています。",IF(入力シート!$C$5=入力リスト!$C$4,"",IF(AND(A830="",B830="",C830="",D830="",E830=""),"",IF(OR(A830="",B830="",C830="",D830=""),IF(A830="","従業員番号","")&amp;IF(AND(A830="",OR(B830="",C830="",D830="")),",","")&amp;IF(B830="","雇用形態","")&amp;IF(AND(B830="",OR(C830="",D830="")),",","")&amp;IF(OR(入力シート!$J$18=入力リスト!$H$9,入力シート!$J$22=入力リスト!$H$9),IF(C830="","入社年月日",""),"")&amp;IF(AND(C830="",D830=""),",","")&amp;IF(D830="","性別","")&amp;IF(IF(A830="","従業員番号","")&amp;IF(B830="","雇用形態","")&amp;IF(OR(入力シート!$J$18=入力リスト!$H$9,入力シート!$J$22=入力リスト!$H$9),IF(C830="","入社年月日",""),"")&amp;IF(D830="","性別","")="","","が空白です。"),IF(J830,"入社年月日に「基準日」の翌日以降の日付が入力されています。","")&amp;IF(I830,"入社年月日に数値以外（又は1900/1/1以前の日付）が入力されています。","")&amp;IF(H830,"雇用形態"&amp;IF(OR(K830,L830),",",""),"")&amp;IF(K830,"性別"&amp;IF(L830,",",""),"")&amp;IF(L830,"役職","")&amp;IF(OR(H830,K830,L830),"に、［入力シート］(4)「貴社」欄と異なる文言が入力されています。","")))))</f>
        <v/>
      </c>
      <c r="O830" s="298" t="str">
        <f>IF(B830="","",VLOOKUP('従業員情報(給与以外)'!$B830,入力シート!$S$37:$Z$62,5,0))</f>
        <v/>
      </c>
      <c r="P830" s="298" t="str">
        <f>IF(ISNUMBER(C830)=FALSE,"",IF(C830&gt;入力シート!$J$24,"",_xlfn.DAYS(入力シート!$J$24,'従業員情報(給与以外)'!$C830)/365))</f>
        <v/>
      </c>
      <c r="Q830" s="298" t="str">
        <f>IF(P830="","",VLOOKUP(_xlfn.DAYS(入力シート!$J$24,'従業員情報(給与以外)'!$C830)/365,入力リスト!$K$18:$L$26,2,2))</f>
        <v/>
      </c>
      <c r="R830" s="298" t="str">
        <f>IF(D830="","",VLOOKUP('従業員情報(給与以外)'!$D830,入力シート!$AW$37:$BB$38,4,0))</f>
        <v/>
      </c>
      <c r="S830" s="298" t="str">
        <f>IF(A830="","",IF(E830="","非役職",VLOOKUP('従業員情報(給与以外)'!$E830,入力シート!$AH$37:$AO$62,5,0)))</f>
        <v/>
      </c>
      <c r="T830" s="299" t="str">
        <f>IF(OR(入力シート!$C$5&lt;&gt;入力リスト!$C$3,COUNTIF(入力シート!$J$16:$S$23,入力リスト!$H$9)=0),"",IF($A830="","",IF(ISERROR(AVERAGEIF(従業員の給与情報!$B:$B,$A830,従業員の給与情報!$C:$C)),0,IF(ISERROR(AVERAGEIF(従業員の給与情報!$B:$B,$A830,従業員の給与情報!$C:$C)),0,AVERAGEIF(従業員の給与情報!$B:$B,$A830,従業員の給与情報!$C:$C)))))</f>
        <v/>
      </c>
      <c r="U830" s="299" t="str">
        <f>IF(OR(入力シート!$C$5&lt;&gt;入力リスト!$C$3,COUNTIF(入力シート!$J$16:$S$23,入力リスト!$H$9)=0),"",IF(A830="","",IF(ISERROR(AVERAGEIF(従業員の給与情報!$B:$B,$A830,従業員の給与情報!$D:$D)),0,IF(ISERROR(AVERAGEIF(従業員の給与情報!$B:$B,$A830,従業員の給与情報!$D:$D)),0,AVERAGEIF(従業員の給与情報!$B:$B,$A830,従業員の給与情報!$D:$D)))))</f>
        <v/>
      </c>
      <c r="V830" s="299" t="str">
        <f>IF(OR(入力シート!$C$5&lt;&gt;入力リスト!$C$3,COUNTIF(入力シート!$J$16:$S$23,入力リスト!$H$9)=0),"",IF(A830="","",IF(ISERROR(AVERAGEIF(従業員の給与情報!$B:$B,$A830,従業員の給与情報!$E:$E)),0,IF(ISERROR(AVERAGEIF(従業員の給与情報!$B:$B,$A830,従業員の給与情報!$E:$E)),0,AVERAGEIF(従業員の給与情報!$B:$B,$A830,従業員の給与情報!$E:$E)))))</f>
        <v/>
      </c>
      <c r="W830" s="299" t="str">
        <f>IF(OR(入力シート!$C$5&lt;&gt;入力リスト!$C$3,COUNTIF(入力シート!$J$16:$S$23,入力リスト!$H$9)=0),"",IF(A830="","",IF(ISERROR(AVERAGEIF(従業員の給与情報!$B:$B,$A830,従業員の給与情報!$F:$F)),0,IF(ISERROR(AVERAGEIF(従業員の給与情報!$B:$B,$A830,従業員の給与情報!$F:$F)),0,AVERAGEIF(従業員の給与情報!$B:$B,$A830,従業員の給与情報!$F:$F)))))</f>
        <v/>
      </c>
      <c r="X830" s="581" t="s">
        <v>5569</v>
      </c>
    </row>
    <row r="831" spans="6:24">
      <c r="F831" s="297" t="str">
        <f>IF($G$1,"",IF(COUNTIF(A831:E831,"")=5,"",IF(G831,入力リスト!$K$28,IF(OR(A831="",B831="",IF(COUNTIF($C$3,"*不要*"),"",C831=""),D831=""),IF(A831="","従業員番号","")&amp;IF(B831="","「雇用形態」","")&amp;IF(OR(入力シート!$J$18=入力リスト!$H$9,入力シート!$J$22=入力リスト!$H$9),IF(C831="","「入社年月日」",""),"")&amp;IF(D831="","「性別」","")&amp;IF(IF(A831="","従業員番号","")&amp;IF(B831="","「雇用形態」","")&amp;IF(OR(入力シート!$J$18=入力リスト!$H$9,入力シート!$J$22=入力リスト!$H$9),IF(C831="","「入社年月日」",""),"")&amp;IF(D831="","「性別」","")="","",入力リスト!$K$29),IF(J831,入力リスト!$K$30,"")&amp;IF(I831,入力リスト!$K$31,"")&amp;IF(H831,"「雇用形態」","")&amp;IF(K831,"「性別」","")&amp;IF(L831,"「役職」","")&amp;IF(OR(H831,K831,L831),入力リスト!$K$32,"")))))</f>
        <v/>
      </c>
      <c r="G831" s="298" t="b">
        <f>COUNTIF($A$4:A830,$A831)&gt;0</f>
        <v>0</v>
      </c>
      <c r="H831" s="298" t="b">
        <f>IF($H$1,FALSE,COUNTIF(入力シート!$S$37:$V$62,B831)=0)</f>
        <v>0</v>
      </c>
      <c r="I831" s="298" t="b">
        <f t="shared" si="27"/>
        <v>0</v>
      </c>
      <c r="J831" s="298" t="b">
        <f>IF($J$1,FALSE,IF(I831=TRUE,FALSE,IF(I831,FALSE,C831&gt;入力シート!$J$24)))</f>
        <v>0</v>
      </c>
      <c r="K831" s="298" t="b">
        <f>IF($K$1,FALSE,COUNTIF(入力シート!$AW$37:$BB$38,D831)=0)</f>
        <v>0</v>
      </c>
      <c r="L831" s="298" t="b">
        <f>IF($L$1,FALSE,IF($L$3,FALSE,IF(E831="",FALSE,COUNTIF(入力シート!$AH$37:$AK$62,E831)=0)))</f>
        <v>0</v>
      </c>
      <c r="M831" s="298" t="str">
        <f t="shared" si="28"/>
        <v/>
      </c>
      <c r="N831" s="298" t="str">
        <f>IF(G831,"この従業員番号は、すでに他のセルで入力されています。",IF(入力シート!$C$5=入力リスト!$C$4,"",IF(AND(A831="",B831="",C831="",D831="",E831=""),"",IF(OR(A831="",B831="",C831="",D831=""),IF(A831="","従業員番号","")&amp;IF(AND(A831="",OR(B831="",C831="",D831="")),",","")&amp;IF(B831="","雇用形態","")&amp;IF(AND(B831="",OR(C831="",D831="")),",","")&amp;IF(OR(入力シート!$J$18=入力リスト!$H$9,入力シート!$J$22=入力リスト!$H$9),IF(C831="","入社年月日",""),"")&amp;IF(AND(C831="",D831=""),",","")&amp;IF(D831="","性別","")&amp;IF(IF(A831="","従業員番号","")&amp;IF(B831="","雇用形態","")&amp;IF(OR(入力シート!$J$18=入力リスト!$H$9,入力シート!$J$22=入力リスト!$H$9),IF(C831="","入社年月日",""),"")&amp;IF(D831="","性別","")="","","が空白です。"),IF(J831,"入社年月日に「基準日」の翌日以降の日付が入力されています。","")&amp;IF(I831,"入社年月日に数値以外（又は1900/1/1以前の日付）が入力されています。","")&amp;IF(H831,"雇用形態"&amp;IF(OR(K831,L831),",",""),"")&amp;IF(K831,"性別"&amp;IF(L831,",",""),"")&amp;IF(L831,"役職","")&amp;IF(OR(H831,K831,L831),"に、［入力シート］(4)「貴社」欄と異なる文言が入力されています。","")))))</f>
        <v/>
      </c>
      <c r="O831" s="298" t="str">
        <f>IF(B831="","",VLOOKUP('従業員情報(給与以外)'!$B831,入力シート!$S$37:$Z$62,5,0))</f>
        <v/>
      </c>
      <c r="P831" s="298" t="str">
        <f>IF(ISNUMBER(C831)=FALSE,"",IF(C831&gt;入力シート!$J$24,"",_xlfn.DAYS(入力シート!$J$24,'従業員情報(給与以外)'!$C831)/365))</f>
        <v/>
      </c>
      <c r="Q831" s="298" t="str">
        <f>IF(P831="","",VLOOKUP(_xlfn.DAYS(入力シート!$J$24,'従業員情報(給与以外)'!$C831)/365,入力リスト!$K$18:$L$26,2,2))</f>
        <v/>
      </c>
      <c r="R831" s="298" t="str">
        <f>IF(D831="","",VLOOKUP('従業員情報(給与以外)'!$D831,入力シート!$AW$37:$BB$38,4,0))</f>
        <v/>
      </c>
      <c r="S831" s="298" t="str">
        <f>IF(A831="","",IF(E831="","非役職",VLOOKUP('従業員情報(給与以外)'!$E831,入力シート!$AH$37:$AO$62,5,0)))</f>
        <v/>
      </c>
      <c r="T831" s="299" t="str">
        <f>IF(OR(入力シート!$C$5&lt;&gt;入力リスト!$C$3,COUNTIF(入力シート!$J$16:$S$23,入力リスト!$H$9)=0),"",IF($A831="","",IF(ISERROR(AVERAGEIF(従業員の給与情報!$B:$B,$A831,従業員の給与情報!$C:$C)),0,IF(ISERROR(AVERAGEIF(従業員の給与情報!$B:$B,$A831,従業員の給与情報!$C:$C)),0,AVERAGEIF(従業員の給与情報!$B:$B,$A831,従業員の給与情報!$C:$C)))))</f>
        <v/>
      </c>
      <c r="U831" s="299" t="str">
        <f>IF(OR(入力シート!$C$5&lt;&gt;入力リスト!$C$3,COUNTIF(入力シート!$J$16:$S$23,入力リスト!$H$9)=0),"",IF(A831="","",IF(ISERROR(AVERAGEIF(従業員の給与情報!$B:$B,$A831,従業員の給与情報!$D:$D)),0,IF(ISERROR(AVERAGEIF(従業員の給与情報!$B:$B,$A831,従業員の給与情報!$D:$D)),0,AVERAGEIF(従業員の給与情報!$B:$B,$A831,従業員の給与情報!$D:$D)))))</f>
        <v/>
      </c>
      <c r="V831" s="299" t="str">
        <f>IF(OR(入力シート!$C$5&lt;&gt;入力リスト!$C$3,COUNTIF(入力シート!$J$16:$S$23,入力リスト!$H$9)=0),"",IF(A831="","",IF(ISERROR(AVERAGEIF(従業員の給与情報!$B:$B,$A831,従業員の給与情報!$E:$E)),0,IF(ISERROR(AVERAGEIF(従業員の給与情報!$B:$B,$A831,従業員の給与情報!$E:$E)),0,AVERAGEIF(従業員の給与情報!$B:$B,$A831,従業員の給与情報!$E:$E)))))</f>
        <v/>
      </c>
      <c r="W831" s="299" t="str">
        <f>IF(OR(入力シート!$C$5&lt;&gt;入力リスト!$C$3,COUNTIF(入力シート!$J$16:$S$23,入力リスト!$H$9)=0),"",IF(A831="","",IF(ISERROR(AVERAGEIF(従業員の給与情報!$B:$B,$A831,従業員の給与情報!$F:$F)),0,IF(ISERROR(AVERAGEIF(従業員の給与情報!$B:$B,$A831,従業員の給与情報!$F:$F)),0,AVERAGEIF(従業員の給与情報!$B:$B,$A831,従業員の給与情報!$F:$F)))))</f>
        <v/>
      </c>
      <c r="X831" s="581" t="s">
        <v>5570</v>
      </c>
    </row>
    <row r="832" spans="6:24">
      <c r="F832" s="297" t="str">
        <f>IF($G$1,"",IF(COUNTIF(A832:E832,"")=5,"",IF(G832,入力リスト!$K$28,IF(OR(A832="",B832="",IF(COUNTIF($C$3,"*不要*"),"",C832=""),D832=""),IF(A832="","従業員番号","")&amp;IF(B832="","「雇用形態」","")&amp;IF(OR(入力シート!$J$18=入力リスト!$H$9,入力シート!$J$22=入力リスト!$H$9),IF(C832="","「入社年月日」",""),"")&amp;IF(D832="","「性別」","")&amp;IF(IF(A832="","従業員番号","")&amp;IF(B832="","「雇用形態」","")&amp;IF(OR(入力シート!$J$18=入力リスト!$H$9,入力シート!$J$22=入力リスト!$H$9),IF(C832="","「入社年月日」",""),"")&amp;IF(D832="","「性別」","")="","",入力リスト!$K$29),IF(J832,入力リスト!$K$30,"")&amp;IF(I832,入力リスト!$K$31,"")&amp;IF(H832,"「雇用形態」","")&amp;IF(K832,"「性別」","")&amp;IF(L832,"「役職」","")&amp;IF(OR(H832,K832,L832),入力リスト!$K$32,"")))))</f>
        <v/>
      </c>
      <c r="G832" s="298" t="b">
        <f>COUNTIF($A$4:A831,$A832)&gt;0</f>
        <v>0</v>
      </c>
      <c r="H832" s="298" t="b">
        <f>IF($H$1,FALSE,COUNTIF(入力シート!$S$37:$V$62,B832)=0)</f>
        <v>0</v>
      </c>
      <c r="I832" s="298" t="b">
        <f t="shared" si="27"/>
        <v>0</v>
      </c>
      <c r="J832" s="298" t="b">
        <f>IF($J$1,FALSE,IF(I832=TRUE,FALSE,IF(I832,FALSE,C832&gt;入力シート!$J$24)))</f>
        <v>0</v>
      </c>
      <c r="K832" s="298" t="b">
        <f>IF($K$1,FALSE,COUNTIF(入力シート!$AW$37:$BB$38,D832)=0)</f>
        <v>0</v>
      </c>
      <c r="L832" s="298" t="b">
        <f>IF($L$1,FALSE,IF($L$3,FALSE,IF(E832="",FALSE,COUNTIF(入力シート!$AH$37:$AK$62,E832)=0)))</f>
        <v>0</v>
      </c>
      <c r="M832" s="298" t="str">
        <f t="shared" si="28"/>
        <v/>
      </c>
      <c r="N832" s="298" t="str">
        <f>IF(G832,"この従業員番号は、すでに他のセルで入力されています。",IF(入力シート!$C$5=入力リスト!$C$4,"",IF(AND(A832="",B832="",C832="",D832="",E832=""),"",IF(OR(A832="",B832="",C832="",D832=""),IF(A832="","従業員番号","")&amp;IF(AND(A832="",OR(B832="",C832="",D832="")),",","")&amp;IF(B832="","雇用形態","")&amp;IF(AND(B832="",OR(C832="",D832="")),",","")&amp;IF(OR(入力シート!$J$18=入力リスト!$H$9,入力シート!$J$22=入力リスト!$H$9),IF(C832="","入社年月日",""),"")&amp;IF(AND(C832="",D832=""),",","")&amp;IF(D832="","性別","")&amp;IF(IF(A832="","従業員番号","")&amp;IF(B832="","雇用形態","")&amp;IF(OR(入力シート!$J$18=入力リスト!$H$9,入力シート!$J$22=入力リスト!$H$9),IF(C832="","入社年月日",""),"")&amp;IF(D832="","性別","")="","","が空白です。"),IF(J832,"入社年月日に「基準日」の翌日以降の日付が入力されています。","")&amp;IF(I832,"入社年月日に数値以外（又は1900/1/1以前の日付）が入力されています。","")&amp;IF(H832,"雇用形態"&amp;IF(OR(K832,L832),",",""),"")&amp;IF(K832,"性別"&amp;IF(L832,",",""),"")&amp;IF(L832,"役職","")&amp;IF(OR(H832,K832,L832),"に、［入力シート］(4)「貴社」欄と異なる文言が入力されています。","")))))</f>
        <v/>
      </c>
      <c r="O832" s="298" t="str">
        <f>IF(B832="","",VLOOKUP('従業員情報(給与以外)'!$B832,入力シート!$S$37:$Z$62,5,0))</f>
        <v/>
      </c>
      <c r="P832" s="298" t="str">
        <f>IF(ISNUMBER(C832)=FALSE,"",IF(C832&gt;入力シート!$J$24,"",_xlfn.DAYS(入力シート!$J$24,'従業員情報(給与以外)'!$C832)/365))</f>
        <v/>
      </c>
      <c r="Q832" s="298" t="str">
        <f>IF(P832="","",VLOOKUP(_xlfn.DAYS(入力シート!$J$24,'従業員情報(給与以外)'!$C832)/365,入力リスト!$K$18:$L$26,2,2))</f>
        <v/>
      </c>
      <c r="R832" s="298" t="str">
        <f>IF(D832="","",VLOOKUP('従業員情報(給与以外)'!$D832,入力シート!$AW$37:$BB$38,4,0))</f>
        <v/>
      </c>
      <c r="S832" s="298" t="str">
        <f>IF(A832="","",IF(E832="","非役職",VLOOKUP('従業員情報(給与以外)'!$E832,入力シート!$AH$37:$AO$62,5,0)))</f>
        <v/>
      </c>
      <c r="T832" s="299" t="str">
        <f>IF(OR(入力シート!$C$5&lt;&gt;入力リスト!$C$3,COUNTIF(入力シート!$J$16:$S$23,入力リスト!$H$9)=0),"",IF($A832="","",IF(ISERROR(AVERAGEIF(従業員の給与情報!$B:$B,$A832,従業員の給与情報!$C:$C)),0,IF(ISERROR(AVERAGEIF(従業員の給与情報!$B:$B,$A832,従業員の給与情報!$C:$C)),0,AVERAGEIF(従業員の給与情報!$B:$B,$A832,従業員の給与情報!$C:$C)))))</f>
        <v/>
      </c>
      <c r="U832" s="299" t="str">
        <f>IF(OR(入力シート!$C$5&lt;&gt;入力リスト!$C$3,COUNTIF(入力シート!$J$16:$S$23,入力リスト!$H$9)=0),"",IF(A832="","",IF(ISERROR(AVERAGEIF(従業員の給与情報!$B:$B,$A832,従業員の給与情報!$D:$D)),0,IF(ISERROR(AVERAGEIF(従業員の給与情報!$B:$B,$A832,従業員の給与情報!$D:$D)),0,AVERAGEIF(従業員の給与情報!$B:$B,$A832,従業員の給与情報!$D:$D)))))</f>
        <v/>
      </c>
      <c r="V832" s="299" t="str">
        <f>IF(OR(入力シート!$C$5&lt;&gt;入力リスト!$C$3,COUNTIF(入力シート!$J$16:$S$23,入力リスト!$H$9)=0),"",IF(A832="","",IF(ISERROR(AVERAGEIF(従業員の給与情報!$B:$B,$A832,従業員の給与情報!$E:$E)),0,IF(ISERROR(AVERAGEIF(従業員の給与情報!$B:$B,$A832,従業員の給与情報!$E:$E)),0,AVERAGEIF(従業員の給与情報!$B:$B,$A832,従業員の給与情報!$E:$E)))))</f>
        <v/>
      </c>
      <c r="W832" s="299" t="str">
        <f>IF(OR(入力シート!$C$5&lt;&gt;入力リスト!$C$3,COUNTIF(入力シート!$J$16:$S$23,入力リスト!$H$9)=0),"",IF(A832="","",IF(ISERROR(AVERAGEIF(従業員の給与情報!$B:$B,$A832,従業員の給与情報!$F:$F)),0,IF(ISERROR(AVERAGEIF(従業員の給与情報!$B:$B,$A832,従業員の給与情報!$F:$F)),0,AVERAGEIF(従業員の給与情報!$B:$B,$A832,従業員の給与情報!$F:$F)))))</f>
        <v/>
      </c>
      <c r="X832" s="581" t="s">
        <v>5571</v>
      </c>
    </row>
    <row r="833" spans="6:24">
      <c r="F833" s="297" t="str">
        <f>IF($G$1,"",IF(COUNTIF(A833:E833,"")=5,"",IF(G833,入力リスト!$K$28,IF(OR(A833="",B833="",IF(COUNTIF($C$3,"*不要*"),"",C833=""),D833=""),IF(A833="","従業員番号","")&amp;IF(B833="","「雇用形態」","")&amp;IF(OR(入力シート!$J$18=入力リスト!$H$9,入力シート!$J$22=入力リスト!$H$9),IF(C833="","「入社年月日」",""),"")&amp;IF(D833="","「性別」","")&amp;IF(IF(A833="","従業員番号","")&amp;IF(B833="","「雇用形態」","")&amp;IF(OR(入力シート!$J$18=入力リスト!$H$9,入力シート!$J$22=入力リスト!$H$9),IF(C833="","「入社年月日」",""),"")&amp;IF(D833="","「性別」","")="","",入力リスト!$K$29),IF(J833,入力リスト!$K$30,"")&amp;IF(I833,入力リスト!$K$31,"")&amp;IF(H833,"「雇用形態」","")&amp;IF(K833,"「性別」","")&amp;IF(L833,"「役職」","")&amp;IF(OR(H833,K833,L833),入力リスト!$K$32,"")))))</f>
        <v/>
      </c>
      <c r="G833" s="298" t="b">
        <f>COUNTIF($A$4:A832,$A833)&gt;0</f>
        <v>0</v>
      </c>
      <c r="H833" s="298" t="b">
        <f>IF($H$1,FALSE,COUNTIF(入力シート!$S$37:$V$62,B833)=0)</f>
        <v>0</v>
      </c>
      <c r="I833" s="298" t="b">
        <f t="shared" si="27"/>
        <v>0</v>
      </c>
      <c r="J833" s="298" t="b">
        <f>IF($J$1,FALSE,IF(I833=TRUE,FALSE,IF(I833,FALSE,C833&gt;入力シート!$J$24)))</f>
        <v>0</v>
      </c>
      <c r="K833" s="298" t="b">
        <f>IF($K$1,FALSE,COUNTIF(入力シート!$AW$37:$BB$38,D833)=0)</f>
        <v>0</v>
      </c>
      <c r="L833" s="298" t="b">
        <f>IF($L$1,FALSE,IF($L$3,FALSE,IF(E833="",FALSE,COUNTIF(入力シート!$AH$37:$AK$62,E833)=0)))</f>
        <v>0</v>
      </c>
      <c r="M833" s="298" t="str">
        <f t="shared" si="28"/>
        <v/>
      </c>
      <c r="N833" s="298" t="str">
        <f>IF(G833,"この従業員番号は、すでに他のセルで入力されています。",IF(入力シート!$C$5=入力リスト!$C$4,"",IF(AND(A833="",B833="",C833="",D833="",E833=""),"",IF(OR(A833="",B833="",C833="",D833=""),IF(A833="","従業員番号","")&amp;IF(AND(A833="",OR(B833="",C833="",D833="")),",","")&amp;IF(B833="","雇用形態","")&amp;IF(AND(B833="",OR(C833="",D833="")),",","")&amp;IF(OR(入力シート!$J$18=入力リスト!$H$9,入力シート!$J$22=入力リスト!$H$9),IF(C833="","入社年月日",""),"")&amp;IF(AND(C833="",D833=""),",","")&amp;IF(D833="","性別","")&amp;IF(IF(A833="","従業員番号","")&amp;IF(B833="","雇用形態","")&amp;IF(OR(入力シート!$J$18=入力リスト!$H$9,入力シート!$J$22=入力リスト!$H$9),IF(C833="","入社年月日",""),"")&amp;IF(D833="","性別","")="","","が空白です。"),IF(J833,"入社年月日に「基準日」の翌日以降の日付が入力されています。","")&amp;IF(I833,"入社年月日に数値以外（又は1900/1/1以前の日付）が入力されています。","")&amp;IF(H833,"雇用形態"&amp;IF(OR(K833,L833),",",""),"")&amp;IF(K833,"性別"&amp;IF(L833,",",""),"")&amp;IF(L833,"役職","")&amp;IF(OR(H833,K833,L833),"に、［入力シート］(4)「貴社」欄と異なる文言が入力されています。","")))))</f>
        <v/>
      </c>
      <c r="O833" s="298" t="str">
        <f>IF(B833="","",VLOOKUP('従業員情報(給与以外)'!$B833,入力シート!$S$37:$Z$62,5,0))</f>
        <v/>
      </c>
      <c r="P833" s="298" t="str">
        <f>IF(ISNUMBER(C833)=FALSE,"",IF(C833&gt;入力シート!$J$24,"",_xlfn.DAYS(入力シート!$J$24,'従業員情報(給与以外)'!$C833)/365))</f>
        <v/>
      </c>
      <c r="Q833" s="298" t="str">
        <f>IF(P833="","",VLOOKUP(_xlfn.DAYS(入力シート!$J$24,'従業員情報(給与以外)'!$C833)/365,入力リスト!$K$18:$L$26,2,2))</f>
        <v/>
      </c>
      <c r="R833" s="298" t="str">
        <f>IF(D833="","",VLOOKUP('従業員情報(給与以外)'!$D833,入力シート!$AW$37:$BB$38,4,0))</f>
        <v/>
      </c>
      <c r="S833" s="298" t="str">
        <f>IF(A833="","",IF(E833="","非役職",VLOOKUP('従業員情報(給与以外)'!$E833,入力シート!$AH$37:$AO$62,5,0)))</f>
        <v/>
      </c>
      <c r="T833" s="299" t="str">
        <f>IF(OR(入力シート!$C$5&lt;&gt;入力リスト!$C$3,COUNTIF(入力シート!$J$16:$S$23,入力リスト!$H$9)=0),"",IF($A833="","",IF(ISERROR(AVERAGEIF(従業員の給与情報!$B:$B,$A833,従業員の給与情報!$C:$C)),0,IF(ISERROR(AVERAGEIF(従業員の給与情報!$B:$B,$A833,従業員の給与情報!$C:$C)),0,AVERAGEIF(従業員の給与情報!$B:$B,$A833,従業員の給与情報!$C:$C)))))</f>
        <v/>
      </c>
      <c r="U833" s="299" t="str">
        <f>IF(OR(入力シート!$C$5&lt;&gt;入力リスト!$C$3,COUNTIF(入力シート!$J$16:$S$23,入力リスト!$H$9)=0),"",IF(A833="","",IF(ISERROR(AVERAGEIF(従業員の給与情報!$B:$B,$A833,従業員の給与情報!$D:$D)),0,IF(ISERROR(AVERAGEIF(従業員の給与情報!$B:$B,$A833,従業員の給与情報!$D:$D)),0,AVERAGEIF(従業員の給与情報!$B:$B,$A833,従業員の給与情報!$D:$D)))))</f>
        <v/>
      </c>
      <c r="V833" s="299" t="str">
        <f>IF(OR(入力シート!$C$5&lt;&gt;入力リスト!$C$3,COUNTIF(入力シート!$J$16:$S$23,入力リスト!$H$9)=0),"",IF(A833="","",IF(ISERROR(AVERAGEIF(従業員の給与情報!$B:$B,$A833,従業員の給与情報!$E:$E)),0,IF(ISERROR(AVERAGEIF(従業員の給与情報!$B:$B,$A833,従業員の給与情報!$E:$E)),0,AVERAGEIF(従業員の給与情報!$B:$B,$A833,従業員の給与情報!$E:$E)))))</f>
        <v/>
      </c>
      <c r="W833" s="299" t="str">
        <f>IF(OR(入力シート!$C$5&lt;&gt;入力リスト!$C$3,COUNTIF(入力シート!$J$16:$S$23,入力リスト!$H$9)=0),"",IF(A833="","",IF(ISERROR(AVERAGEIF(従業員の給与情報!$B:$B,$A833,従業員の給与情報!$F:$F)),0,IF(ISERROR(AVERAGEIF(従業員の給与情報!$B:$B,$A833,従業員の給与情報!$F:$F)),0,AVERAGEIF(従業員の給与情報!$B:$B,$A833,従業員の給与情報!$F:$F)))))</f>
        <v/>
      </c>
      <c r="X833" s="581" t="s">
        <v>5572</v>
      </c>
    </row>
    <row r="834" spans="6:24">
      <c r="F834" s="297" t="str">
        <f>IF($G$1,"",IF(COUNTIF(A834:E834,"")=5,"",IF(G834,入力リスト!$K$28,IF(OR(A834="",B834="",IF(COUNTIF($C$3,"*不要*"),"",C834=""),D834=""),IF(A834="","従業員番号","")&amp;IF(B834="","「雇用形態」","")&amp;IF(OR(入力シート!$J$18=入力リスト!$H$9,入力シート!$J$22=入力リスト!$H$9),IF(C834="","「入社年月日」",""),"")&amp;IF(D834="","「性別」","")&amp;IF(IF(A834="","従業員番号","")&amp;IF(B834="","「雇用形態」","")&amp;IF(OR(入力シート!$J$18=入力リスト!$H$9,入力シート!$J$22=入力リスト!$H$9),IF(C834="","「入社年月日」",""),"")&amp;IF(D834="","「性別」","")="","",入力リスト!$K$29),IF(J834,入力リスト!$K$30,"")&amp;IF(I834,入力リスト!$K$31,"")&amp;IF(H834,"「雇用形態」","")&amp;IF(K834,"「性別」","")&amp;IF(L834,"「役職」","")&amp;IF(OR(H834,K834,L834),入力リスト!$K$32,"")))))</f>
        <v/>
      </c>
      <c r="G834" s="298" t="b">
        <f>COUNTIF($A$4:A833,$A834)&gt;0</f>
        <v>0</v>
      </c>
      <c r="H834" s="298" t="b">
        <f>IF($H$1,FALSE,COUNTIF(入力シート!$S$37:$V$62,B834)=0)</f>
        <v>0</v>
      </c>
      <c r="I834" s="298" t="b">
        <f t="shared" si="27"/>
        <v>0</v>
      </c>
      <c r="J834" s="298" t="b">
        <f>IF($J$1,FALSE,IF(I834=TRUE,FALSE,IF(I834,FALSE,C834&gt;入力シート!$J$24)))</f>
        <v>0</v>
      </c>
      <c r="K834" s="298" t="b">
        <f>IF($K$1,FALSE,COUNTIF(入力シート!$AW$37:$BB$38,D834)=0)</f>
        <v>0</v>
      </c>
      <c r="L834" s="298" t="b">
        <f>IF($L$1,FALSE,IF($L$3,FALSE,IF(E834="",FALSE,COUNTIF(入力シート!$AH$37:$AK$62,E834)=0)))</f>
        <v>0</v>
      </c>
      <c r="M834" s="298" t="str">
        <f t="shared" si="28"/>
        <v/>
      </c>
      <c r="N834" s="298" t="str">
        <f>IF(G834,"この従業員番号は、すでに他のセルで入力されています。",IF(入力シート!$C$5=入力リスト!$C$4,"",IF(AND(A834="",B834="",C834="",D834="",E834=""),"",IF(OR(A834="",B834="",C834="",D834=""),IF(A834="","従業員番号","")&amp;IF(AND(A834="",OR(B834="",C834="",D834="")),",","")&amp;IF(B834="","雇用形態","")&amp;IF(AND(B834="",OR(C834="",D834="")),",","")&amp;IF(OR(入力シート!$J$18=入力リスト!$H$9,入力シート!$J$22=入力リスト!$H$9),IF(C834="","入社年月日",""),"")&amp;IF(AND(C834="",D834=""),",","")&amp;IF(D834="","性別","")&amp;IF(IF(A834="","従業員番号","")&amp;IF(B834="","雇用形態","")&amp;IF(OR(入力シート!$J$18=入力リスト!$H$9,入力シート!$J$22=入力リスト!$H$9),IF(C834="","入社年月日",""),"")&amp;IF(D834="","性別","")="","","が空白です。"),IF(J834,"入社年月日に「基準日」の翌日以降の日付が入力されています。","")&amp;IF(I834,"入社年月日に数値以外（又は1900/1/1以前の日付）が入力されています。","")&amp;IF(H834,"雇用形態"&amp;IF(OR(K834,L834),",",""),"")&amp;IF(K834,"性別"&amp;IF(L834,",",""),"")&amp;IF(L834,"役職","")&amp;IF(OR(H834,K834,L834),"に、［入力シート］(4)「貴社」欄と異なる文言が入力されています。","")))))</f>
        <v/>
      </c>
      <c r="O834" s="298" t="str">
        <f>IF(B834="","",VLOOKUP('従業員情報(給与以外)'!$B834,入力シート!$S$37:$Z$62,5,0))</f>
        <v/>
      </c>
      <c r="P834" s="298" t="str">
        <f>IF(ISNUMBER(C834)=FALSE,"",IF(C834&gt;入力シート!$J$24,"",_xlfn.DAYS(入力シート!$J$24,'従業員情報(給与以外)'!$C834)/365))</f>
        <v/>
      </c>
      <c r="Q834" s="298" t="str">
        <f>IF(P834="","",VLOOKUP(_xlfn.DAYS(入力シート!$J$24,'従業員情報(給与以外)'!$C834)/365,入力リスト!$K$18:$L$26,2,2))</f>
        <v/>
      </c>
      <c r="R834" s="298" t="str">
        <f>IF(D834="","",VLOOKUP('従業員情報(給与以外)'!$D834,入力シート!$AW$37:$BB$38,4,0))</f>
        <v/>
      </c>
      <c r="S834" s="298" t="str">
        <f>IF(A834="","",IF(E834="","非役職",VLOOKUP('従業員情報(給与以外)'!$E834,入力シート!$AH$37:$AO$62,5,0)))</f>
        <v/>
      </c>
      <c r="T834" s="299" t="str">
        <f>IF(OR(入力シート!$C$5&lt;&gt;入力リスト!$C$3,COUNTIF(入力シート!$J$16:$S$23,入力リスト!$H$9)=0),"",IF($A834="","",IF(ISERROR(AVERAGEIF(従業員の給与情報!$B:$B,$A834,従業員の給与情報!$C:$C)),0,IF(ISERROR(AVERAGEIF(従業員の給与情報!$B:$B,$A834,従業員の給与情報!$C:$C)),0,AVERAGEIF(従業員の給与情報!$B:$B,$A834,従業員の給与情報!$C:$C)))))</f>
        <v/>
      </c>
      <c r="U834" s="299" t="str">
        <f>IF(OR(入力シート!$C$5&lt;&gt;入力リスト!$C$3,COUNTIF(入力シート!$J$16:$S$23,入力リスト!$H$9)=0),"",IF(A834="","",IF(ISERROR(AVERAGEIF(従業員の給与情報!$B:$B,$A834,従業員の給与情報!$D:$D)),0,IF(ISERROR(AVERAGEIF(従業員の給与情報!$B:$B,$A834,従業員の給与情報!$D:$D)),0,AVERAGEIF(従業員の給与情報!$B:$B,$A834,従業員の給与情報!$D:$D)))))</f>
        <v/>
      </c>
      <c r="V834" s="299" t="str">
        <f>IF(OR(入力シート!$C$5&lt;&gt;入力リスト!$C$3,COUNTIF(入力シート!$J$16:$S$23,入力リスト!$H$9)=0),"",IF(A834="","",IF(ISERROR(AVERAGEIF(従業員の給与情報!$B:$B,$A834,従業員の給与情報!$E:$E)),0,IF(ISERROR(AVERAGEIF(従業員の給与情報!$B:$B,$A834,従業員の給与情報!$E:$E)),0,AVERAGEIF(従業員の給与情報!$B:$B,$A834,従業員の給与情報!$E:$E)))))</f>
        <v/>
      </c>
      <c r="W834" s="299" t="str">
        <f>IF(OR(入力シート!$C$5&lt;&gt;入力リスト!$C$3,COUNTIF(入力シート!$J$16:$S$23,入力リスト!$H$9)=0),"",IF(A834="","",IF(ISERROR(AVERAGEIF(従業員の給与情報!$B:$B,$A834,従業員の給与情報!$F:$F)),0,IF(ISERROR(AVERAGEIF(従業員の給与情報!$B:$B,$A834,従業員の給与情報!$F:$F)),0,AVERAGEIF(従業員の給与情報!$B:$B,$A834,従業員の給与情報!$F:$F)))))</f>
        <v/>
      </c>
      <c r="X834" s="581" t="s">
        <v>5573</v>
      </c>
    </row>
    <row r="835" spans="6:24">
      <c r="F835" s="297" t="str">
        <f>IF($G$1,"",IF(COUNTIF(A835:E835,"")=5,"",IF(G835,入力リスト!$K$28,IF(OR(A835="",B835="",IF(COUNTIF($C$3,"*不要*"),"",C835=""),D835=""),IF(A835="","従業員番号","")&amp;IF(B835="","「雇用形態」","")&amp;IF(OR(入力シート!$J$18=入力リスト!$H$9,入力シート!$J$22=入力リスト!$H$9),IF(C835="","「入社年月日」",""),"")&amp;IF(D835="","「性別」","")&amp;IF(IF(A835="","従業員番号","")&amp;IF(B835="","「雇用形態」","")&amp;IF(OR(入力シート!$J$18=入力リスト!$H$9,入力シート!$J$22=入力リスト!$H$9),IF(C835="","「入社年月日」",""),"")&amp;IF(D835="","「性別」","")="","",入力リスト!$K$29),IF(J835,入力リスト!$K$30,"")&amp;IF(I835,入力リスト!$K$31,"")&amp;IF(H835,"「雇用形態」","")&amp;IF(K835,"「性別」","")&amp;IF(L835,"「役職」","")&amp;IF(OR(H835,K835,L835),入力リスト!$K$32,"")))))</f>
        <v/>
      </c>
      <c r="G835" s="298" t="b">
        <f>COUNTIF($A$4:A834,$A835)&gt;0</f>
        <v>0</v>
      </c>
      <c r="H835" s="298" t="b">
        <f>IF($H$1,FALSE,COUNTIF(入力シート!$S$37:$V$62,B835)=0)</f>
        <v>0</v>
      </c>
      <c r="I835" s="298" t="b">
        <f t="shared" si="27"/>
        <v>0</v>
      </c>
      <c r="J835" s="298" t="b">
        <f>IF($J$1,FALSE,IF(I835=TRUE,FALSE,IF(I835,FALSE,C835&gt;入力シート!$J$24)))</f>
        <v>0</v>
      </c>
      <c r="K835" s="298" t="b">
        <f>IF($K$1,FALSE,COUNTIF(入力シート!$AW$37:$BB$38,D835)=0)</f>
        <v>0</v>
      </c>
      <c r="L835" s="298" t="b">
        <f>IF($L$1,FALSE,IF($L$3,FALSE,IF(E835="",FALSE,COUNTIF(入力シート!$AH$37:$AK$62,E835)=0)))</f>
        <v>0</v>
      </c>
      <c r="M835" s="298" t="str">
        <f t="shared" si="28"/>
        <v/>
      </c>
      <c r="N835" s="298" t="str">
        <f>IF(G835,"この従業員番号は、すでに他のセルで入力されています。",IF(入力シート!$C$5=入力リスト!$C$4,"",IF(AND(A835="",B835="",C835="",D835="",E835=""),"",IF(OR(A835="",B835="",C835="",D835=""),IF(A835="","従業員番号","")&amp;IF(AND(A835="",OR(B835="",C835="",D835="")),",","")&amp;IF(B835="","雇用形態","")&amp;IF(AND(B835="",OR(C835="",D835="")),",","")&amp;IF(OR(入力シート!$J$18=入力リスト!$H$9,入力シート!$J$22=入力リスト!$H$9),IF(C835="","入社年月日",""),"")&amp;IF(AND(C835="",D835=""),",","")&amp;IF(D835="","性別","")&amp;IF(IF(A835="","従業員番号","")&amp;IF(B835="","雇用形態","")&amp;IF(OR(入力シート!$J$18=入力リスト!$H$9,入力シート!$J$22=入力リスト!$H$9),IF(C835="","入社年月日",""),"")&amp;IF(D835="","性別","")="","","が空白です。"),IF(J835,"入社年月日に「基準日」の翌日以降の日付が入力されています。","")&amp;IF(I835,"入社年月日に数値以外（又は1900/1/1以前の日付）が入力されています。","")&amp;IF(H835,"雇用形態"&amp;IF(OR(K835,L835),",",""),"")&amp;IF(K835,"性別"&amp;IF(L835,",",""),"")&amp;IF(L835,"役職","")&amp;IF(OR(H835,K835,L835),"に、［入力シート］(4)「貴社」欄と異なる文言が入力されています。","")))))</f>
        <v/>
      </c>
      <c r="O835" s="298" t="str">
        <f>IF(B835="","",VLOOKUP('従業員情報(給与以外)'!$B835,入力シート!$S$37:$Z$62,5,0))</f>
        <v/>
      </c>
      <c r="P835" s="298" t="str">
        <f>IF(ISNUMBER(C835)=FALSE,"",IF(C835&gt;入力シート!$J$24,"",_xlfn.DAYS(入力シート!$J$24,'従業員情報(給与以外)'!$C835)/365))</f>
        <v/>
      </c>
      <c r="Q835" s="298" t="str">
        <f>IF(P835="","",VLOOKUP(_xlfn.DAYS(入力シート!$J$24,'従業員情報(給与以外)'!$C835)/365,入力リスト!$K$18:$L$26,2,2))</f>
        <v/>
      </c>
      <c r="R835" s="298" t="str">
        <f>IF(D835="","",VLOOKUP('従業員情報(給与以外)'!$D835,入力シート!$AW$37:$BB$38,4,0))</f>
        <v/>
      </c>
      <c r="S835" s="298" t="str">
        <f>IF(A835="","",IF(E835="","非役職",VLOOKUP('従業員情報(給与以外)'!$E835,入力シート!$AH$37:$AO$62,5,0)))</f>
        <v/>
      </c>
      <c r="T835" s="299" t="str">
        <f>IF(OR(入力シート!$C$5&lt;&gt;入力リスト!$C$3,COUNTIF(入力シート!$J$16:$S$23,入力リスト!$H$9)=0),"",IF($A835="","",IF(ISERROR(AVERAGEIF(従業員の給与情報!$B:$B,$A835,従業員の給与情報!$C:$C)),0,IF(ISERROR(AVERAGEIF(従業員の給与情報!$B:$B,$A835,従業員の給与情報!$C:$C)),0,AVERAGEIF(従業員の給与情報!$B:$B,$A835,従業員の給与情報!$C:$C)))))</f>
        <v/>
      </c>
      <c r="U835" s="299" t="str">
        <f>IF(OR(入力シート!$C$5&lt;&gt;入力リスト!$C$3,COUNTIF(入力シート!$J$16:$S$23,入力リスト!$H$9)=0),"",IF(A835="","",IF(ISERROR(AVERAGEIF(従業員の給与情報!$B:$B,$A835,従業員の給与情報!$D:$D)),0,IF(ISERROR(AVERAGEIF(従業員の給与情報!$B:$B,$A835,従業員の給与情報!$D:$D)),0,AVERAGEIF(従業員の給与情報!$B:$B,$A835,従業員の給与情報!$D:$D)))))</f>
        <v/>
      </c>
      <c r="V835" s="299" t="str">
        <f>IF(OR(入力シート!$C$5&lt;&gt;入力リスト!$C$3,COUNTIF(入力シート!$J$16:$S$23,入力リスト!$H$9)=0),"",IF(A835="","",IF(ISERROR(AVERAGEIF(従業員の給与情報!$B:$B,$A835,従業員の給与情報!$E:$E)),0,IF(ISERROR(AVERAGEIF(従業員の給与情報!$B:$B,$A835,従業員の給与情報!$E:$E)),0,AVERAGEIF(従業員の給与情報!$B:$B,$A835,従業員の給与情報!$E:$E)))))</f>
        <v/>
      </c>
      <c r="W835" s="299" t="str">
        <f>IF(OR(入力シート!$C$5&lt;&gt;入力リスト!$C$3,COUNTIF(入力シート!$J$16:$S$23,入力リスト!$H$9)=0),"",IF(A835="","",IF(ISERROR(AVERAGEIF(従業員の給与情報!$B:$B,$A835,従業員の給与情報!$F:$F)),0,IF(ISERROR(AVERAGEIF(従業員の給与情報!$B:$B,$A835,従業員の給与情報!$F:$F)),0,AVERAGEIF(従業員の給与情報!$B:$B,$A835,従業員の給与情報!$F:$F)))))</f>
        <v/>
      </c>
      <c r="X835" s="581" t="s">
        <v>5574</v>
      </c>
    </row>
    <row r="836" spans="6:24">
      <c r="F836" s="297" t="str">
        <f>IF($G$1,"",IF(COUNTIF(A836:E836,"")=5,"",IF(G836,入力リスト!$K$28,IF(OR(A836="",B836="",IF(COUNTIF($C$3,"*不要*"),"",C836=""),D836=""),IF(A836="","従業員番号","")&amp;IF(B836="","「雇用形態」","")&amp;IF(OR(入力シート!$J$18=入力リスト!$H$9,入力シート!$J$22=入力リスト!$H$9),IF(C836="","「入社年月日」",""),"")&amp;IF(D836="","「性別」","")&amp;IF(IF(A836="","従業員番号","")&amp;IF(B836="","「雇用形態」","")&amp;IF(OR(入力シート!$J$18=入力リスト!$H$9,入力シート!$J$22=入力リスト!$H$9),IF(C836="","「入社年月日」",""),"")&amp;IF(D836="","「性別」","")="","",入力リスト!$K$29),IF(J836,入力リスト!$K$30,"")&amp;IF(I836,入力リスト!$K$31,"")&amp;IF(H836,"「雇用形態」","")&amp;IF(K836,"「性別」","")&amp;IF(L836,"「役職」","")&amp;IF(OR(H836,K836,L836),入力リスト!$K$32,"")))))</f>
        <v/>
      </c>
      <c r="G836" s="298" t="b">
        <f>COUNTIF($A$4:A835,$A836)&gt;0</f>
        <v>0</v>
      </c>
      <c r="H836" s="298" t="b">
        <f>IF($H$1,FALSE,COUNTIF(入力シート!$S$37:$V$62,B836)=0)</f>
        <v>0</v>
      </c>
      <c r="I836" s="298" t="b">
        <f t="shared" si="27"/>
        <v>0</v>
      </c>
      <c r="J836" s="298" t="b">
        <f>IF($J$1,FALSE,IF(I836=TRUE,FALSE,IF(I836,FALSE,C836&gt;入力シート!$J$24)))</f>
        <v>0</v>
      </c>
      <c r="K836" s="298" t="b">
        <f>IF($K$1,FALSE,COUNTIF(入力シート!$AW$37:$BB$38,D836)=0)</f>
        <v>0</v>
      </c>
      <c r="L836" s="298" t="b">
        <f>IF($L$1,FALSE,IF($L$3,FALSE,IF(E836="",FALSE,COUNTIF(入力シート!$AH$37:$AK$62,E836)=0)))</f>
        <v>0</v>
      </c>
      <c r="M836" s="298" t="str">
        <f t="shared" si="28"/>
        <v/>
      </c>
      <c r="N836" s="298" t="str">
        <f>IF(G836,"この従業員番号は、すでに他のセルで入力されています。",IF(入力シート!$C$5=入力リスト!$C$4,"",IF(AND(A836="",B836="",C836="",D836="",E836=""),"",IF(OR(A836="",B836="",C836="",D836=""),IF(A836="","従業員番号","")&amp;IF(AND(A836="",OR(B836="",C836="",D836="")),",","")&amp;IF(B836="","雇用形態","")&amp;IF(AND(B836="",OR(C836="",D836="")),",","")&amp;IF(OR(入力シート!$J$18=入力リスト!$H$9,入力シート!$J$22=入力リスト!$H$9),IF(C836="","入社年月日",""),"")&amp;IF(AND(C836="",D836=""),",","")&amp;IF(D836="","性別","")&amp;IF(IF(A836="","従業員番号","")&amp;IF(B836="","雇用形態","")&amp;IF(OR(入力シート!$J$18=入力リスト!$H$9,入力シート!$J$22=入力リスト!$H$9),IF(C836="","入社年月日",""),"")&amp;IF(D836="","性別","")="","","が空白です。"),IF(J836,"入社年月日に「基準日」の翌日以降の日付が入力されています。","")&amp;IF(I836,"入社年月日に数値以外（又は1900/1/1以前の日付）が入力されています。","")&amp;IF(H836,"雇用形態"&amp;IF(OR(K836,L836),",",""),"")&amp;IF(K836,"性別"&amp;IF(L836,",",""),"")&amp;IF(L836,"役職","")&amp;IF(OR(H836,K836,L836),"に、［入力シート］(4)「貴社」欄と異なる文言が入力されています。","")))))</f>
        <v/>
      </c>
      <c r="O836" s="298" t="str">
        <f>IF(B836="","",VLOOKUP('従業員情報(給与以外)'!$B836,入力シート!$S$37:$Z$62,5,0))</f>
        <v/>
      </c>
      <c r="P836" s="298" t="str">
        <f>IF(ISNUMBER(C836)=FALSE,"",IF(C836&gt;入力シート!$J$24,"",_xlfn.DAYS(入力シート!$J$24,'従業員情報(給与以外)'!$C836)/365))</f>
        <v/>
      </c>
      <c r="Q836" s="298" t="str">
        <f>IF(P836="","",VLOOKUP(_xlfn.DAYS(入力シート!$J$24,'従業員情報(給与以外)'!$C836)/365,入力リスト!$K$18:$L$26,2,2))</f>
        <v/>
      </c>
      <c r="R836" s="298" t="str">
        <f>IF(D836="","",VLOOKUP('従業員情報(給与以外)'!$D836,入力シート!$AW$37:$BB$38,4,0))</f>
        <v/>
      </c>
      <c r="S836" s="298" t="str">
        <f>IF(A836="","",IF(E836="","非役職",VLOOKUP('従業員情報(給与以外)'!$E836,入力シート!$AH$37:$AO$62,5,0)))</f>
        <v/>
      </c>
      <c r="T836" s="299" t="str">
        <f>IF(OR(入力シート!$C$5&lt;&gt;入力リスト!$C$3,COUNTIF(入力シート!$J$16:$S$23,入力リスト!$H$9)=0),"",IF($A836="","",IF(ISERROR(AVERAGEIF(従業員の給与情報!$B:$B,$A836,従業員の給与情報!$C:$C)),0,IF(ISERROR(AVERAGEIF(従業員の給与情報!$B:$B,$A836,従業員の給与情報!$C:$C)),0,AVERAGEIF(従業員の給与情報!$B:$B,$A836,従業員の給与情報!$C:$C)))))</f>
        <v/>
      </c>
      <c r="U836" s="299" t="str">
        <f>IF(OR(入力シート!$C$5&lt;&gt;入力リスト!$C$3,COUNTIF(入力シート!$J$16:$S$23,入力リスト!$H$9)=0),"",IF(A836="","",IF(ISERROR(AVERAGEIF(従業員の給与情報!$B:$B,$A836,従業員の給与情報!$D:$D)),0,IF(ISERROR(AVERAGEIF(従業員の給与情報!$B:$B,$A836,従業員の給与情報!$D:$D)),0,AVERAGEIF(従業員の給与情報!$B:$B,$A836,従業員の給与情報!$D:$D)))))</f>
        <v/>
      </c>
      <c r="V836" s="299" t="str">
        <f>IF(OR(入力シート!$C$5&lt;&gt;入力リスト!$C$3,COUNTIF(入力シート!$J$16:$S$23,入力リスト!$H$9)=0),"",IF(A836="","",IF(ISERROR(AVERAGEIF(従業員の給与情報!$B:$B,$A836,従業員の給与情報!$E:$E)),0,IF(ISERROR(AVERAGEIF(従業員の給与情報!$B:$B,$A836,従業員の給与情報!$E:$E)),0,AVERAGEIF(従業員の給与情報!$B:$B,$A836,従業員の給与情報!$E:$E)))))</f>
        <v/>
      </c>
      <c r="W836" s="299" t="str">
        <f>IF(OR(入力シート!$C$5&lt;&gt;入力リスト!$C$3,COUNTIF(入力シート!$J$16:$S$23,入力リスト!$H$9)=0),"",IF(A836="","",IF(ISERROR(AVERAGEIF(従業員の給与情報!$B:$B,$A836,従業員の給与情報!$F:$F)),0,IF(ISERROR(AVERAGEIF(従業員の給与情報!$B:$B,$A836,従業員の給与情報!$F:$F)),0,AVERAGEIF(従業員の給与情報!$B:$B,$A836,従業員の給与情報!$F:$F)))))</f>
        <v/>
      </c>
      <c r="X836" s="581" t="s">
        <v>5575</v>
      </c>
    </row>
    <row r="837" spans="6:24">
      <c r="F837" s="297" t="str">
        <f>IF($G$1,"",IF(COUNTIF(A837:E837,"")=5,"",IF(G837,入力リスト!$K$28,IF(OR(A837="",B837="",IF(COUNTIF($C$3,"*不要*"),"",C837=""),D837=""),IF(A837="","従業員番号","")&amp;IF(B837="","「雇用形態」","")&amp;IF(OR(入力シート!$J$18=入力リスト!$H$9,入力シート!$J$22=入力リスト!$H$9),IF(C837="","「入社年月日」",""),"")&amp;IF(D837="","「性別」","")&amp;IF(IF(A837="","従業員番号","")&amp;IF(B837="","「雇用形態」","")&amp;IF(OR(入力シート!$J$18=入力リスト!$H$9,入力シート!$J$22=入力リスト!$H$9),IF(C837="","「入社年月日」",""),"")&amp;IF(D837="","「性別」","")="","",入力リスト!$K$29),IF(J837,入力リスト!$K$30,"")&amp;IF(I837,入力リスト!$K$31,"")&amp;IF(H837,"「雇用形態」","")&amp;IF(K837,"「性別」","")&amp;IF(L837,"「役職」","")&amp;IF(OR(H837,K837,L837),入力リスト!$K$32,"")))))</f>
        <v/>
      </c>
      <c r="G837" s="298" t="b">
        <f>COUNTIF($A$4:A836,$A837)&gt;0</f>
        <v>0</v>
      </c>
      <c r="H837" s="298" t="b">
        <f>IF($H$1,FALSE,COUNTIF(入力シート!$S$37:$V$62,B837)=0)</f>
        <v>0</v>
      </c>
      <c r="I837" s="298" t="b">
        <f t="shared" si="27"/>
        <v>0</v>
      </c>
      <c r="J837" s="298" t="b">
        <f>IF($J$1,FALSE,IF(I837=TRUE,FALSE,IF(I837,FALSE,C837&gt;入力シート!$J$24)))</f>
        <v>0</v>
      </c>
      <c r="K837" s="298" t="b">
        <f>IF($K$1,FALSE,COUNTIF(入力シート!$AW$37:$BB$38,D837)=0)</f>
        <v>0</v>
      </c>
      <c r="L837" s="298" t="b">
        <f>IF($L$1,FALSE,IF($L$3,FALSE,IF(E837="",FALSE,COUNTIF(入力シート!$AH$37:$AK$62,E837)=0)))</f>
        <v>0</v>
      </c>
      <c r="M837" s="298" t="str">
        <f t="shared" si="28"/>
        <v/>
      </c>
      <c r="N837" s="298" t="str">
        <f>IF(G837,"この従業員番号は、すでに他のセルで入力されています。",IF(入力シート!$C$5=入力リスト!$C$4,"",IF(AND(A837="",B837="",C837="",D837="",E837=""),"",IF(OR(A837="",B837="",C837="",D837=""),IF(A837="","従業員番号","")&amp;IF(AND(A837="",OR(B837="",C837="",D837="")),",","")&amp;IF(B837="","雇用形態","")&amp;IF(AND(B837="",OR(C837="",D837="")),",","")&amp;IF(OR(入力シート!$J$18=入力リスト!$H$9,入力シート!$J$22=入力リスト!$H$9),IF(C837="","入社年月日",""),"")&amp;IF(AND(C837="",D837=""),",","")&amp;IF(D837="","性別","")&amp;IF(IF(A837="","従業員番号","")&amp;IF(B837="","雇用形態","")&amp;IF(OR(入力シート!$J$18=入力リスト!$H$9,入力シート!$J$22=入力リスト!$H$9),IF(C837="","入社年月日",""),"")&amp;IF(D837="","性別","")="","","が空白です。"),IF(J837,"入社年月日に「基準日」の翌日以降の日付が入力されています。","")&amp;IF(I837,"入社年月日に数値以外（又は1900/1/1以前の日付）が入力されています。","")&amp;IF(H837,"雇用形態"&amp;IF(OR(K837,L837),",",""),"")&amp;IF(K837,"性別"&amp;IF(L837,",",""),"")&amp;IF(L837,"役職","")&amp;IF(OR(H837,K837,L837),"に、［入力シート］(4)「貴社」欄と異なる文言が入力されています。","")))))</f>
        <v/>
      </c>
      <c r="O837" s="298" t="str">
        <f>IF(B837="","",VLOOKUP('従業員情報(給与以外)'!$B837,入力シート!$S$37:$Z$62,5,0))</f>
        <v/>
      </c>
      <c r="P837" s="298" t="str">
        <f>IF(ISNUMBER(C837)=FALSE,"",IF(C837&gt;入力シート!$J$24,"",_xlfn.DAYS(入力シート!$J$24,'従業員情報(給与以外)'!$C837)/365))</f>
        <v/>
      </c>
      <c r="Q837" s="298" t="str">
        <f>IF(P837="","",VLOOKUP(_xlfn.DAYS(入力シート!$J$24,'従業員情報(給与以外)'!$C837)/365,入力リスト!$K$18:$L$26,2,2))</f>
        <v/>
      </c>
      <c r="R837" s="298" t="str">
        <f>IF(D837="","",VLOOKUP('従業員情報(給与以外)'!$D837,入力シート!$AW$37:$BB$38,4,0))</f>
        <v/>
      </c>
      <c r="S837" s="298" t="str">
        <f>IF(A837="","",IF(E837="","非役職",VLOOKUP('従業員情報(給与以外)'!$E837,入力シート!$AH$37:$AO$62,5,0)))</f>
        <v/>
      </c>
      <c r="T837" s="299" t="str">
        <f>IF(OR(入力シート!$C$5&lt;&gt;入力リスト!$C$3,COUNTIF(入力シート!$J$16:$S$23,入力リスト!$H$9)=0),"",IF($A837="","",IF(ISERROR(AVERAGEIF(従業員の給与情報!$B:$B,$A837,従業員の給与情報!$C:$C)),0,IF(ISERROR(AVERAGEIF(従業員の給与情報!$B:$B,$A837,従業員の給与情報!$C:$C)),0,AVERAGEIF(従業員の給与情報!$B:$B,$A837,従業員の給与情報!$C:$C)))))</f>
        <v/>
      </c>
      <c r="U837" s="299" t="str">
        <f>IF(OR(入力シート!$C$5&lt;&gt;入力リスト!$C$3,COUNTIF(入力シート!$J$16:$S$23,入力リスト!$H$9)=0),"",IF(A837="","",IF(ISERROR(AVERAGEIF(従業員の給与情報!$B:$B,$A837,従業員の給与情報!$D:$D)),0,IF(ISERROR(AVERAGEIF(従業員の給与情報!$B:$B,$A837,従業員の給与情報!$D:$D)),0,AVERAGEIF(従業員の給与情報!$B:$B,$A837,従業員の給与情報!$D:$D)))))</f>
        <v/>
      </c>
      <c r="V837" s="299" t="str">
        <f>IF(OR(入力シート!$C$5&lt;&gt;入力リスト!$C$3,COUNTIF(入力シート!$J$16:$S$23,入力リスト!$H$9)=0),"",IF(A837="","",IF(ISERROR(AVERAGEIF(従業員の給与情報!$B:$B,$A837,従業員の給与情報!$E:$E)),0,IF(ISERROR(AVERAGEIF(従業員の給与情報!$B:$B,$A837,従業員の給与情報!$E:$E)),0,AVERAGEIF(従業員の給与情報!$B:$B,$A837,従業員の給与情報!$E:$E)))))</f>
        <v/>
      </c>
      <c r="W837" s="299" t="str">
        <f>IF(OR(入力シート!$C$5&lt;&gt;入力リスト!$C$3,COUNTIF(入力シート!$J$16:$S$23,入力リスト!$H$9)=0),"",IF(A837="","",IF(ISERROR(AVERAGEIF(従業員の給与情報!$B:$B,$A837,従業員の給与情報!$F:$F)),0,IF(ISERROR(AVERAGEIF(従業員の給与情報!$B:$B,$A837,従業員の給与情報!$F:$F)),0,AVERAGEIF(従業員の給与情報!$B:$B,$A837,従業員の給与情報!$F:$F)))))</f>
        <v/>
      </c>
      <c r="X837" s="581" t="s">
        <v>5576</v>
      </c>
    </row>
    <row r="838" spans="6:24">
      <c r="F838" s="297" t="str">
        <f>IF($G$1,"",IF(COUNTIF(A838:E838,"")=5,"",IF(G838,入力リスト!$K$28,IF(OR(A838="",B838="",IF(COUNTIF($C$3,"*不要*"),"",C838=""),D838=""),IF(A838="","従業員番号","")&amp;IF(B838="","「雇用形態」","")&amp;IF(OR(入力シート!$J$18=入力リスト!$H$9,入力シート!$J$22=入力リスト!$H$9),IF(C838="","「入社年月日」",""),"")&amp;IF(D838="","「性別」","")&amp;IF(IF(A838="","従業員番号","")&amp;IF(B838="","「雇用形態」","")&amp;IF(OR(入力シート!$J$18=入力リスト!$H$9,入力シート!$J$22=入力リスト!$H$9),IF(C838="","「入社年月日」",""),"")&amp;IF(D838="","「性別」","")="","",入力リスト!$K$29),IF(J838,入力リスト!$K$30,"")&amp;IF(I838,入力リスト!$K$31,"")&amp;IF(H838,"「雇用形態」","")&amp;IF(K838,"「性別」","")&amp;IF(L838,"「役職」","")&amp;IF(OR(H838,K838,L838),入力リスト!$K$32,"")))))</f>
        <v/>
      </c>
      <c r="G838" s="298" t="b">
        <f>COUNTIF($A$4:A837,$A838)&gt;0</f>
        <v>0</v>
      </c>
      <c r="H838" s="298" t="b">
        <f>IF($H$1,FALSE,COUNTIF(入力シート!$S$37:$V$62,B838)=0)</f>
        <v>0</v>
      </c>
      <c r="I838" s="298" t="b">
        <f t="shared" si="27"/>
        <v>0</v>
      </c>
      <c r="J838" s="298" t="b">
        <f>IF($J$1,FALSE,IF(I838=TRUE,FALSE,IF(I838,FALSE,C838&gt;入力シート!$J$24)))</f>
        <v>0</v>
      </c>
      <c r="K838" s="298" t="b">
        <f>IF($K$1,FALSE,COUNTIF(入力シート!$AW$37:$BB$38,D838)=0)</f>
        <v>0</v>
      </c>
      <c r="L838" s="298" t="b">
        <f>IF($L$1,FALSE,IF($L$3,FALSE,IF(E838="",FALSE,COUNTIF(入力シート!$AH$37:$AK$62,E838)=0)))</f>
        <v>0</v>
      </c>
      <c r="M838" s="298" t="str">
        <f t="shared" si="28"/>
        <v/>
      </c>
      <c r="N838" s="298" t="str">
        <f>IF(G838,"この従業員番号は、すでに他のセルで入力されています。",IF(入力シート!$C$5=入力リスト!$C$4,"",IF(AND(A838="",B838="",C838="",D838="",E838=""),"",IF(OR(A838="",B838="",C838="",D838=""),IF(A838="","従業員番号","")&amp;IF(AND(A838="",OR(B838="",C838="",D838="")),",","")&amp;IF(B838="","雇用形態","")&amp;IF(AND(B838="",OR(C838="",D838="")),",","")&amp;IF(OR(入力シート!$J$18=入力リスト!$H$9,入力シート!$J$22=入力リスト!$H$9),IF(C838="","入社年月日",""),"")&amp;IF(AND(C838="",D838=""),",","")&amp;IF(D838="","性別","")&amp;IF(IF(A838="","従業員番号","")&amp;IF(B838="","雇用形態","")&amp;IF(OR(入力シート!$J$18=入力リスト!$H$9,入力シート!$J$22=入力リスト!$H$9),IF(C838="","入社年月日",""),"")&amp;IF(D838="","性別","")="","","が空白です。"),IF(J838,"入社年月日に「基準日」の翌日以降の日付が入力されています。","")&amp;IF(I838,"入社年月日に数値以外（又は1900/1/1以前の日付）が入力されています。","")&amp;IF(H838,"雇用形態"&amp;IF(OR(K838,L838),",",""),"")&amp;IF(K838,"性別"&amp;IF(L838,",",""),"")&amp;IF(L838,"役職","")&amp;IF(OR(H838,K838,L838),"に、［入力シート］(4)「貴社」欄と異なる文言が入力されています。","")))))</f>
        <v/>
      </c>
      <c r="O838" s="298" t="str">
        <f>IF(B838="","",VLOOKUP('従業員情報(給与以外)'!$B838,入力シート!$S$37:$Z$62,5,0))</f>
        <v/>
      </c>
      <c r="P838" s="298" t="str">
        <f>IF(ISNUMBER(C838)=FALSE,"",IF(C838&gt;入力シート!$J$24,"",_xlfn.DAYS(入力シート!$J$24,'従業員情報(給与以外)'!$C838)/365))</f>
        <v/>
      </c>
      <c r="Q838" s="298" t="str">
        <f>IF(P838="","",VLOOKUP(_xlfn.DAYS(入力シート!$J$24,'従業員情報(給与以外)'!$C838)/365,入力リスト!$K$18:$L$26,2,2))</f>
        <v/>
      </c>
      <c r="R838" s="298" t="str">
        <f>IF(D838="","",VLOOKUP('従業員情報(給与以外)'!$D838,入力シート!$AW$37:$BB$38,4,0))</f>
        <v/>
      </c>
      <c r="S838" s="298" t="str">
        <f>IF(A838="","",IF(E838="","非役職",VLOOKUP('従業員情報(給与以外)'!$E838,入力シート!$AH$37:$AO$62,5,0)))</f>
        <v/>
      </c>
      <c r="T838" s="299" t="str">
        <f>IF(OR(入力シート!$C$5&lt;&gt;入力リスト!$C$3,COUNTIF(入力シート!$J$16:$S$23,入力リスト!$H$9)=0),"",IF($A838="","",IF(ISERROR(AVERAGEIF(従業員の給与情報!$B:$B,$A838,従業員の給与情報!$C:$C)),0,IF(ISERROR(AVERAGEIF(従業員の給与情報!$B:$B,$A838,従業員の給与情報!$C:$C)),0,AVERAGEIF(従業員の給与情報!$B:$B,$A838,従業員の給与情報!$C:$C)))))</f>
        <v/>
      </c>
      <c r="U838" s="299" t="str">
        <f>IF(OR(入力シート!$C$5&lt;&gt;入力リスト!$C$3,COUNTIF(入力シート!$J$16:$S$23,入力リスト!$H$9)=0),"",IF(A838="","",IF(ISERROR(AVERAGEIF(従業員の給与情報!$B:$B,$A838,従業員の給与情報!$D:$D)),0,IF(ISERROR(AVERAGEIF(従業員の給与情報!$B:$B,$A838,従業員の給与情報!$D:$D)),0,AVERAGEIF(従業員の給与情報!$B:$B,$A838,従業員の給与情報!$D:$D)))))</f>
        <v/>
      </c>
      <c r="V838" s="299" t="str">
        <f>IF(OR(入力シート!$C$5&lt;&gt;入力リスト!$C$3,COUNTIF(入力シート!$J$16:$S$23,入力リスト!$H$9)=0),"",IF(A838="","",IF(ISERROR(AVERAGEIF(従業員の給与情報!$B:$B,$A838,従業員の給与情報!$E:$E)),0,IF(ISERROR(AVERAGEIF(従業員の給与情報!$B:$B,$A838,従業員の給与情報!$E:$E)),0,AVERAGEIF(従業員の給与情報!$B:$B,$A838,従業員の給与情報!$E:$E)))))</f>
        <v/>
      </c>
      <c r="W838" s="299" t="str">
        <f>IF(OR(入力シート!$C$5&lt;&gt;入力リスト!$C$3,COUNTIF(入力シート!$J$16:$S$23,入力リスト!$H$9)=0),"",IF(A838="","",IF(ISERROR(AVERAGEIF(従業員の給与情報!$B:$B,$A838,従業員の給与情報!$F:$F)),0,IF(ISERROR(AVERAGEIF(従業員の給与情報!$B:$B,$A838,従業員の給与情報!$F:$F)),0,AVERAGEIF(従業員の給与情報!$B:$B,$A838,従業員の給与情報!$F:$F)))))</f>
        <v/>
      </c>
      <c r="X838" s="581" t="s">
        <v>5577</v>
      </c>
    </row>
    <row r="839" spans="6:24">
      <c r="F839" s="297" t="str">
        <f>IF($G$1,"",IF(COUNTIF(A839:E839,"")=5,"",IF(G839,入力リスト!$K$28,IF(OR(A839="",B839="",IF(COUNTIF($C$3,"*不要*"),"",C839=""),D839=""),IF(A839="","従業員番号","")&amp;IF(B839="","「雇用形態」","")&amp;IF(OR(入力シート!$J$18=入力リスト!$H$9,入力シート!$J$22=入力リスト!$H$9),IF(C839="","「入社年月日」",""),"")&amp;IF(D839="","「性別」","")&amp;IF(IF(A839="","従業員番号","")&amp;IF(B839="","「雇用形態」","")&amp;IF(OR(入力シート!$J$18=入力リスト!$H$9,入力シート!$J$22=入力リスト!$H$9),IF(C839="","「入社年月日」",""),"")&amp;IF(D839="","「性別」","")="","",入力リスト!$K$29),IF(J839,入力リスト!$K$30,"")&amp;IF(I839,入力リスト!$K$31,"")&amp;IF(H839,"「雇用形態」","")&amp;IF(K839,"「性別」","")&amp;IF(L839,"「役職」","")&amp;IF(OR(H839,K839,L839),入力リスト!$K$32,"")))))</f>
        <v/>
      </c>
      <c r="G839" s="298" t="b">
        <f>COUNTIF($A$4:A838,$A839)&gt;0</f>
        <v>0</v>
      </c>
      <c r="H839" s="298" t="b">
        <f>IF($H$1,FALSE,COUNTIF(入力シート!$S$37:$V$62,B839)=0)</f>
        <v>0</v>
      </c>
      <c r="I839" s="298" t="b">
        <f t="shared" si="27"/>
        <v>0</v>
      </c>
      <c r="J839" s="298" t="b">
        <f>IF($J$1,FALSE,IF(I839=TRUE,FALSE,IF(I839,FALSE,C839&gt;入力シート!$J$24)))</f>
        <v>0</v>
      </c>
      <c r="K839" s="298" t="b">
        <f>IF($K$1,FALSE,COUNTIF(入力シート!$AW$37:$BB$38,D839)=0)</f>
        <v>0</v>
      </c>
      <c r="L839" s="298" t="b">
        <f>IF($L$1,FALSE,IF($L$3,FALSE,IF(E839="",FALSE,COUNTIF(入力シート!$AH$37:$AK$62,E839)=0)))</f>
        <v>0</v>
      </c>
      <c r="M839" s="298" t="str">
        <f t="shared" si="28"/>
        <v/>
      </c>
      <c r="N839" s="298" t="str">
        <f>IF(G839,"この従業員番号は、すでに他のセルで入力されています。",IF(入力シート!$C$5=入力リスト!$C$4,"",IF(AND(A839="",B839="",C839="",D839="",E839=""),"",IF(OR(A839="",B839="",C839="",D839=""),IF(A839="","従業員番号","")&amp;IF(AND(A839="",OR(B839="",C839="",D839="")),",","")&amp;IF(B839="","雇用形態","")&amp;IF(AND(B839="",OR(C839="",D839="")),",","")&amp;IF(OR(入力シート!$J$18=入力リスト!$H$9,入力シート!$J$22=入力リスト!$H$9),IF(C839="","入社年月日",""),"")&amp;IF(AND(C839="",D839=""),",","")&amp;IF(D839="","性別","")&amp;IF(IF(A839="","従業員番号","")&amp;IF(B839="","雇用形態","")&amp;IF(OR(入力シート!$J$18=入力リスト!$H$9,入力シート!$J$22=入力リスト!$H$9),IF(C839="","入社年月日",""),"")&amp;IF(D839="","性別","")="","","が空白です。"),IF(J839,"入社年月日に「基準日」の翌日以降の日付が入力されています。","")&amp;IF(I839,"入社年月日に数値以外（又は1900/1/1以前の日付）が入力されています。","")&amp;IF(H839,"雇用形態"&amp;IF(OR(K839,L839),",",""),"")&amp;IF(K839,"性別"&amp;IF(L839,",",""),"")&amp;IF(L839,"役職","")&amp;IF(OR(H839,K839,L839),"に、［入力シート］(4)「貴社」欄と異なる文言が入力されています。","")))))</f>
        <v/>
      </c>
      <c r="O839" s="298" t="str">
        <f>IF(B839="","",VLOOKUP('従業員情報(給与以外)'!$B839,入力シート!$S$37:$Z$62,5,0))</f>
        <v/>
      </c>
      <c r="P839" s="298" t="str">
        <f>IF(ISNUMBER(C839)=FALSE,"",IF(C839&gt;入力シート!$J$24,"",_xlfn.DAYS(入力シート!$J$24,'従業員情報(給与以外)'!$C839)/365))</f>
        <v/>
      </c>
      <c r="Q839" s="298" t="str">
        <f>IF(P839="","",VLOOKUP(_xlfn.DAYS(入力シート!$J$24,'従業員情報(給与以外)'!$C839)/365,入力リスト!$K$18:$L$26,2,2))</f>
        <v/>
      </c>
      <c r="R839" s="298" t="str">
        <f>IF(D839="","",VLOOKUP('従業員情報(給与以外)'!$D839,入力シート!$AW$37:$BB$38,4,0))</f>
        <v/>
      </c>
      <c r="S839" s="298" t="str">
        <f>IF(A839="","",IF(E839="","非役職",VLOOKUP('従業員情報(給与以外)'!$E839,入力シート!$AH$37:$AO$62,5,0)))</f>
        <v/>
      </c>
      <c r="T839" s="299" t="str">
        <f>IF(OR(入力シート!$C$5&lt;&gt;入力リスト!$C$3,COUNTIF(入力シート!$J$16:$S$23,入力リスト!$H$9)=0),"",IF($A839="","",IF(ISERROR(AVERAGEIF(従業員の給与情報!$B:$B,$A839,従業員の給与情報!$C:$C)),0,IF(ISERROR(AVERAGEIF(従業員の給与情報!$B:$B,$A839,従業員の給与情報!$C:$C)),0,AVERAGEIF(従業員の給与情報!$B:$B,$A839,従業員の給与情報!$C:$C)))))</f>
        <v/>
      </c>
      <c r="U839" s="299" t="str">
        <f>IF(OR(入力シート!$C$5&lt;&gt;入力リスト!$C$3,COUNTIF(入力シート!$J$16:$S$23,入力リスト!$H$9)=0),"",IF(A839="","",IF(ISERROR(AVERAGEIF(従業員の給与情報!$B:$B,$A839,従業員の給与情報!$D:$D)),0,IF(ISERROR(AVERAGEIF(従業員の給与情報!$B:$B,$A839,従業員の給与情報!$D:$D)),0,AVERAGEIF(従業員の給与情報!$B:$B,$A839,従業員の給与情報!$D:$D)))))</f>
        <v/>
      </c>
      <c r="V839" s="299" t="str">
        <f>IF(OR(入力シート!$C$5&lt;&gt;入力リスト!$C$3,COUNTIF(入力シート!$J$16:$S$23,入力リスト!$H$9)=0),"",IF(A839="","",IF(ISERROR(AVERAGEIF(従業員の給与情報!$B:$B,$A839,従業員の給与情報!$E:$E)),0,IF(ISERROR(AVERAGEIF(従業員の給与情報!$B:$B,$A839,従業員の給与情報!$E:$E)),0,AVERAGEIF(従業員の給与情報!$B:$B,$A839,従業員の給与情報!$E:$E)))))</f>
        <v/>
      </c>
      <c r="W839" s="299" t="str">
        <f>IF(OR(入力シート!$C$5&lt;&gt;入力リスト!$C$3,COUNTIF(入力シート!$J$16:$S$23,入力リスト!$H$9)=0),"",IF(A839="","",IF(ISERROR(AVERAGEIF(従業員の給与情報!$B:$B,$A839,従業員の給与情報!$F:$F)),0,IF(ISERROR(AVERAGEIF(従業員の給与情報!$B:$B,$A839,従業員の給与情報!$F:$F)),0,AVERAGEIF(従業員の給与情報!$B:$B,$A839,従業員の給与情報!$F:$F)))))</f>
        <v/>
      </c>
      <c r="X839" s="581" t="s">
        <v>5578</v>
      </c>
    </row>
    <row r="840" spans="6:24">
      <c r="F840" s="297" t="str">
        <f>IF($G$1,"",IF(COUNTIF(A840:E840,"")=5,"",IF(G840,入力リスト!$K$28,IF(OR(A840="",B840="",IF(COUNTIF($C$3,"*不要*"),"",C840=""),D840=""),IF(A840="","従業員番号","")&amp;IF(B840="","「雇用形態」","")&amp;IF(OR(入力シート!$J$18=入力リスト!$H$9,入力シート!$J$22=入力リスト!$H$9),IF(C840="","「入社年月日」",""),"")&amp;IF(D840="","「性別」","")&amp;IF(IF(A840="","従業員番号","")&amp;IF(B840="","「雇用形態」","")&amp;IF(OR(入力シート!$J$18=入力リスト!$H$9,入力シート!$J$22=入力リスト!$H$9),IF(C840="","「入社年月日」",""),"")&amp;IF(D840="","「性別」","")="","",入力リスト!$K$29),IF(J840,入力リスト!$K$30,"")&amp;IF(I840,入力リスト!$K$31,"")&amp;IF(H840,"「雇用形態」","")&amp;IF(K840,"「性別」","")&amp;IF(L840,"「役職」","")&amp;IF(OR(H840,K840,L840),入力リスト!$K$32,"")))))</f>
        <v/>
      </c>
      <c r="G840" s="298" t="b">
        <f>COUNTIF($A$4:A839,$A840)&gt;0</f>
        <v>0</v>
      </c>
      <c r="H840" s="298" t="b">
        <f>IF($H$1,FALSE,COUNTIF(入力シート!$S$37:$V$62,B840)=0)</f>
        <v>0</v>
      </c>
      <c r="I840" s="298" t="b">
        <f t="shared" si="27"/>
        <v>0</v>
      </c>
      <c r="J840" s="298" t="b">
        <f>IF($J$1,FALSE,IF(I840=TRUE,FALSE,IF(I840,FALSE,C840&gt;入力シート!$J$24)))</f>
        <v>0</v>
      </c>
      <c r="K840" s="298" t="b">
        <f>IF($K$1,FALSE,COUNTIF(入力シート!$AW$37:$BB$38,D840)=0)</f>
        <v>0</v>
      </c>
      <c r="L840" s="298" t="b">
        <f>IF($L$1,FALSE,IF($L$3,FALSE,IF(E840="",FALSE,COUNTIF(入力シート!$AH$37:$AK$62,E840)=0)))</f>
        <v>0</v>
      </c>
      <c r="M840" s="298" t="str">
        <f t="shared" si="28"/>
        <v/>
      </c>
      <c r="N840" s="298" t="str">
        <f>IF(G840,"この従業員番号は、すでに他のセルで入力されています。",IF(入力シート!$C$5=入力リスト!$C$4,"",IF(AND(A840="",B840="",C840="",D840="",E840=""),"",IF(OR(A840="",B840="",C840="",D840=""),IF(A840="","従業員番号","")&amp;IF(AND(A840="",OR(B840="",C840="",D840="")),",","")&amp;IF(B840="","雇用形態","")&amp;IF(AND(B840="",OR(C840="",D840="")),",","")&amp;IF(OR(入力シート!$J$18=入力リスト!$H$9,入力シート!$J$22=入力リスト!$H$9),IF(C840="","入社年月日",""),"")&amp;IF(AND(C840="",D840=""),",","")&amp;IF(D840="","性別","")&amp;IF(IF(A840="","従業員番号","")&amp;IF(B840="","雇用形態","")&amp;IF(OR(入力シート!$J$18=入力リスト!$H$9,入力シート!$J$22=入力リスト!$H$9),IF(C840="","入社年月日",""),"")&amp;IF(D840="","性別","")="","","が空白です。"),IF(J840,"入社年月日に「基準日」の翌日以降の日付が入力されています。","")&amp;IF(I840,"入社年月日に数値以外（又は1900/1/1以前の日付）が入力されています。","")&amp;IF(H840,"雇用形態"&amp;IF(OR(K840,L840),",",""),"")&amp;IF(K840,"性別"&amp;IF(L840,",",""),"")&amp;IF(L840,"役職","")&amp;IF(OR(H840,K840,L840),"に、［入力シート］(4)「貴社」欄と異なる文言が入力されています。","")))))</f>
        <v/>
      </c>
      <c r="O840" s="298" t="str">
        <f>IF(B840="","",VLOOKUP('従業員情報(給与以外)'!$B840,入力シート!$S$37:$Z$62,5,0))</f>
        <v/>
      </c>
      <c r="P840" s="298" t="str">
        <f>IF(ISNUMBER(C840)=FALSE,"",IF(C840&gt;入力シート!$J$24,"",_xlfn.DAYS(入力シート!$J$24,'従業員情報(給与以外)'!$C840)/365))</f>
        <v/>
      </c>
      <c r="Q840" s="298" t="str">
        <f>IF(P840="","",VLOOKUP(_xlfn.DAYS(入力シート!$J$24,'従業員情報(給与以外)'!$C840)/365,入力リスト!$K$18:$L$26,2,2))</f>
        <v/>
      </c>
      <c r="R840" s="298" t="str">
        <f>IF(D840="","",VLOOKUP('従業員情報(給与以外)'!$D840,入力シート!$AW$37:$BB$38,4,0))</f>
        <v/>
      </c>
      <c r="S840" s="298" t="str">
        <f>IF(A840="","",IF(E840="","非役職",VLOOKUP('従業員情報(給与以外)'!$E840,入力シート!$AH$37:$AO$62,5,0)))</f>
        <v/>
      </c>
      <c r="T840" s="299" t="str">
        <f>IF(OR(入力シート!$C$5&lt;&gt;入力リスト!$C$3,COUNTIF(入力シート!$J$16:$S$23,入力リスト!$H$9)=0),"",IF($A840="","",IF(ISERROR(AVERAGEIF(従業員の給与情報!$B:$B,$A840,従業員の給与情報!$C:$C)),0,IF(ISERROR(AVERAGEIF(従業員の給与情報!$B:$B,$A840,従業員の給与情報!$C:$C)),0,AVERAGEIF(従業員の給与情報!$B:$B,$A840,従業員の給与情報!$C:$C)))))</f>
        <v/>
      </c>
      <c r="U840" s="299" t="str">
        <f>IF(OR(入力シート!$C$5&lt;&gt;入力リスト!$C$3,COUNTIF(入力シート!$J$16:$S$23,入力リスト!$H$9)=0),"",IF(A840="","",IF(ISERROR(AVERAGEIF(従業員の給与情報!$B:$B,$A840,従業員の給与情報!$D:$D)),0,IF(ISERROR(AVERAGEIF(従業員の給与情報!$B:$B,$A840,従業員の給与情報!$D:$D)),0,AVERAGEIF(従業員の給与情報!$B:$B,$A840,従業員の給与情報!$D:$D)))))</f>
        <v/>
      </c>
      <c r="V840" s="299" t="str">
        <f>IF(OR(入力シート!$C$5&lt;&gt;入力リスト!$C$3,COUNTIF(入力シート!$J$16:$S$23,入力リスト!$H$9)=0),"",IF(A840="","",IF(ISERROR(AVERAGEIF(従業員の給与情報!$B:$B,$A840,従業員の給与情報!$E:$E)),0,IF(ISERROR(AVERAGEIF(従業員の給与情報!$B:$B,$A840,従業員の給与情報!$E:$E)),0,AVERAGEIF(従業員の給与情報!$B:$B,$A840,従業員の給与情報!$E:$E)))))</f>
        <v/>
      </c>
      <c r="W840" s="299" t="str">
        <f>IF(OR(入力シート!$C$5&lt;&gt;入力リスト!$C$3,COUNTIF(入力シート!$J$16:$S$23,入力リスト!$H$9)=0),"",IF(A840="","",IF(ISERROR(AVERAGEIF(従業員の給与情報!$B:$B,$A840,従業員の給与情報!$F:$F)),0,IF(ISERROR(AVERAGEIF(従業員の給与情報!$B:$B,$A840,従業員の給与情報!$F:$F)),0,AVERAGEIF(従業員の給与情報!$B:$B,$A840,従業員の給与情報!$F:$F)))))</f>
        <v/>
      </c>
      <c r="X840" s="581" t="s">
        <v>5579</v>
      </c>
    </row>
    <row r="841" spans="6:24">
      <c r="F841" s="297" t="str">
        <f>IF($G$1,"",IF(COUNTIF(A841:E841,"")=5,"",IF(G841,入力リスト!$K$28,IF(OR(A841="",B841="",IF(COUNTIF($C$3,"*不要*"),"",C841=""),D841=""),IF(A841="","従業員番号","")&amp;IF(B841="","「雇用形態」","")&amp;IF(OR(入力シート!$J$18=入力リスト!$H$9,入力シート!$J$22=入力リスト!$H$9),IF(C841="","「入社年月日」",""),"")&amp;IF(D841="","「性別」","")&amp;IF(IF(A841="","従業員番号","")&amp;IF(B841="","「雇用形態」","")&amp;IF(OR(入力シート!$J$18=入力リスト!$H$9,入力シート!$J$22=入力リスト!$H$9),IF(C841="","「入社年月日」",""),"")&amp;IF(D841="","「性別」","")="","",入力リスト!$K$29),IF(J841,入力リスト!$K$30,"")&amp;IF(I841,入力リスト!$K$31,"")&amp;IF(H841,"「雇用形態」","")&amp;IF(K841,"「性別」","")&amp;IF(L841,"「役職」","")&amp;IF(OR(H841,K841,L841),入力リスト!$K$32,"")))))</f>
        <v/>
      </c>
      <c r="G841" s="298" t="b">
        <f>COUNTIF($A$4:A840,$A841)&gt;0</f>
        <v>0</v>
      </c>
      <c r="H841" s="298" t="b">
        <f>IF($H$1,FALSE,COUNTIF(入力シート!$S$37:$V$62,B841)=0)</f>
        <v>0</v>
      </c>
      <c r="I841" s="298" t="b">
        <f t="shared" si="27"/>
        <v>0</v>
      </c>
      <c r="J841" s="298" t="b">
        <f>IF($J$1,FALSE,IF(I841=TRUE,FALSE,IF(I841,FALSE,C841&gt;入力シート!$J$24)))</f>
        <v>0</v>
      </c>
      <c r="K841" s="298" t="b">
        <f>IF($K$1,FALSE,COUNTIF(入力シート!$AW$37:$BB$38,D841)=0)</f>
        <v>0</v>
      </c>
      <c r="L841" s="298" t="b">
        <f>IF($L$1,FALSE,IF($L$3,FALSE,IF(E841="",FALSE,COUNTIF(入力シート!$AH$37:$AK$62,E841)=0)))</f>
        <v>0</v>
      </c>
      <c r="M841" s="298" t="str">
        <f t="shared" si="28"/>
        <v/>
      </c>
      <c r="N841" s="298" t="str">
        <f>IF(G841,"この従業員番号は、すでに他のセルで入力されています。",IF(入力シート!$C$5=入力リスト!$C$4,"",IF(AND(A841="",B841="",C841="",D841="",E841=""),"",IF(OR(A841="",B841="",C841="",D841=""),IF(A841="","従業員番号","")&amp;IF(AND(A841="",OR(B841="",C841="",D841="")),",","")&amp;IF(B841="","雇用形態","")&amp;IF(AND(B841="",OR(C841="",D841="")),",","")&amp;IF(OR(入力シート!$J$18=入力リスト!$H$9,入力シート!$J$22=入力リスト!$H$9),IF(C841="","入社年月日",""),"")&amp;IF(AND(C841="",D841=""),",","")&amp;IF(D841="","性別","")&amp;IF(IF(A841="","従業員番号","")&amp;IF(B841="","雇用形態","")&amp;IF(OR(入力シート!$J$18=入力リスト!$H$9,入力シート!$J$22=入力リスト!$H$9),IF(C841="","入社年月日",""),"")&amp;IF(D841="","性別","")="","","が空白です。"),IF(J841,"入社年月日に「基準日」の翌日以降の日付が入力されています。","")&amp;IF(I841,"入社年月日に数値以外（又は1900/1/1以前の日付）が入力されています。","")&amp;IF(H841,"雇用形態"&amp;IF(OR(K841,L841),",",""),"")&amp;IF(K841,"性別"&amp;IF(L841,",",""),"")&amp;IF(L841,"役職","")&amp;IF(OR(H841,K841,L841),"に、［入力シート］(4)「貴社」欄と異なる文言が入力されています。","")))))</f>
        <v/>
      </c>
      <c r="O841" s="298" t="str">
        <f>IF(B841="","",VLOOKUP('従業員情報(給与以外)'!$B841,入力シート!$S$37:$Z$62,5,0))</f>
        <v/>
      </c>
      <c r="P841" s="298" t="str">
        <f>IF(ISNUMBER(C841)=FALSE,"",IF(C841&gt;入力シート!$J$24,"",_xlfn.DAYS(入力シート!$J$24,'従業員情報(給与以外)'!$C841)/365))</f>
        <v/>
      </c>
      <c r="Q841" s="298" t="str">
        <f>IF(P841="","",VLOOKUP(_xlfn.DAYS(入力シート!$J$24,'従業員情報(給与以外)'!$C841)/365,入力リスト!$K$18:$L$26,2,2))</f>
        <v/>
      </c>
      <c r="R841" s="298" t="str">
        <f>IF(D841="","",VLOOKUP('従業員情報(給与以外)'!$D841,入力シート!$AW$37:$BB$38,4,0))</f>
        <v/>
      </c>
      <c r="S841" s="298" t="str">
        <f>IF(A841="","",IF(E841="","非役職",VLOOKUP('従業員情報(給与以外)'!$E841,入力シート!$AH$37:$AO$62,5,0)))</f>
        <v/>
      </c>
      <c r="T841" s="299" t="str">
        <f>IF(OR(入力シート!$C$5&lt;&gt;入力リスト!$C$3,COUNTIF(入力シート!$J$16:$S$23,入力リスト!$H$9)=0),"",IF($A841="","",IF(ISERROR(AVERAGEIF(従業員の給与情報!$B:$B,$A841,従業員の給与情報!$C:$C)),0,IF(ISERROR(AVERAGEIF(従業員の給与情報!$B:$B,$A841,従業員の給与情報!$C:$C)),0,AVERAGEIF(従業員の給与情報!$B:$B,$A841,従業員の給与情報!$C:$C)))))</f>
        <v/>
      </c>
      <c r="U841" s="299" t="str">
        <f>IF(OR(入力シート!$C$5&lt;&gt;入力リスト!$C$3,COUNTIF(入力シート!$J$16:$S$23,入力リスト!$H$9)=0),"",IF(A841="","",IF(ISERROR(AVERAGEIF(従業員の給与情報!$B:$B,$A841,従業員の給与情報!$D:$D)),0,IF(ISERROR(AVERAGEIF(従業員の給与情報!$B:$B,$A841,従業員の給与情報!$D:$D)),0,AVERAGEIF(従業員の給与情報!$B:$B,$A841,従業員の給与情報!$D:$D)))))</f>
        <v/>
      </c>
      <c r="V841" s="299" t="str">
        <f>IF(OR(入力シート!$C$5&lt;&gt;入力リスト!$C$3,COUNTIF(入力シート!$J$16:$S$23,入力リスト!$H$9)=0),"",IF(A841="","",IF(ISERROR(AVERAGEIF(従業員の給与情報!$B:$B,$A841,従業員の給与情報!$E:$E)),0,IF(ISERROR(AVERAGEIF(従業員の給与情報!$B:$B,$A841,従業員の給与情報!$E:$E)),0,AVERAGEIF(従業員の給与情報!$B:$B,$A841,従業員の給与情報!$E:$E)))))</f>
        <v/>
      </c>
      <c r="W841" s="299" t="str">
        <f>IF(OR(入力シート!$C$5&lt;&gt;入力リスト!$C$3,COUNTIF(入力シート!$J$16:$S$23,入力リスト!$H$9)=0),"",IF(A841="","",IF(ISERROR(AVERAGEIF(従業員の給与情報!$B:$B,$A841,従業員の給与情報!$F:$F)),0,IF(ISERROR(AVERAGEIF(従業員の給与情報!$B:$B,$A841,従業員の給与情報!$F:$F)),0,AVERAGEIF(従業員の給与情報!$B:$B,$A841,従業員の給与情報!$F:$F)))))</f>
        <v/>
      </c>
      <c r="X841" s="581" t="s">
        <v>5580</v>
      </c>
    </row>
    <row r="842" spans="6:24">
      <c r="F842" s="297" t="str">
        <f>IF($G$1,"",IF(COUNTIF(A842:E842,"")=5,"",IF(G842,入力リスト!$K$28,IF(OR(A842="",B842="",IF(COUNTIF($C$3,"*不要*"),"",C842=""),D842=""),IF(A842="","従業員番号","")&amp;IF(B842="","「雇用形態」","")&amp;IF(OR(入力シート!$J$18=入力リスト!$H$9,入力シート!$J$22=入力リスト!$H$9),IF(C842="","「入社年月日」",""),"")&amp;IF(D842="","「性別」","")&amp;IF(IF(A842="","従業員番号","")&amp;IF(B842="","「雇用形態」","")&amp;IF(OR(入力シート!$J$18=入力リスト!$H$9,入力シート!$J$22=入力リスト!$H$9),IF(C842="","「入社年月日」",""),"")&amp;IF(D842="","「性別」","")="","",入力リスト!$K$29),IF(J842,入力リスト!$K$30,"")&amp;IF(I842,入力リスト!$K$31,"")&amp;IF(H842,"「雇用形態」","")&amp;IF(K842,"「性別」","")&amp;IF(L842,"「役職」","")&amp;IF(OR(H842,K842,L842),入力リスト!$K$32,"")))))</f>
        <v/>
      </c>
      <c r="G842" s="298" t="b">
        <f>COUNTIF($A$4:A841,$A842)&gt;0</f>
        <v>0</v>
      </c>
      <c r="H842" s="298" t="b">
        <f>IF($H$1,FALSE,COUNTIF(入力シート!$S$37:$V$62,B842)=0)</f>
        <v>0</v>
      </c>
      <c r="I842" s="298" t="b">
        <f t="shared" si="27"/>
        <v>0</v>
      </c>
      <c r="J842" s="298" t="b">
        <f>IF($J$1,FALSE,IF(I842=TRUE,FALSE,IF(I842,FALSE,C842&gt;入力シート!$J$24)))</f>
        <v>0</v>
      </c>
      <c r="K842" s="298" t="b">
        <f>IF($K$1,FALSE,COUNTIF(入力シート!$AW$37:$BB$38,D842)=0)</f>
        <v>0</v>
      </c>
      <c r="L842" s="298" t="b">
        <f>IF($L$1,FALSE,IF($L$3,FALSE,IF(E842="",FALSE,COUNTIF(入力シート!$AH$37:$AK$62,E842)=0)))</f>
        <v>0</v>
      </c>
      <c r="M842" s="298" t="str">
        <f t="shared" si="28"/>
        <v/>
      </c>
      <c r="N842" s="298" t="str">
        <f>IF(G842,"この従業員番号は、すでに他のセルで入力されています。",IF(入力シート!$C$5=入力リスト!$C$4,"",IF(AND(A842="",B842="",C842="",D842="",E842=""),"",IF(OR(A842="",B842="",C842="",D842=""),IF(A842="","従業員番号","")&amp;IF(AND(A842="",OR(B842="",C842="",D842="")),",","")&amp;IF(B842="","雇用形態","")&amp;IF(AND(B842="",OR(C842="",D842="")),",","")&amp;IF(OR(入力シート!$J$18=入力リスト!$H$9,入力シート!$J$22=入力リスト!$H$9),IF(C842="","入社年月日",""),"")&amp;IF(AND(C842="",D842=""),",","")&amp;IF(D842="","性別","")&amp;IF(IF(A842="","従業員番号","")&amp;IF(B842="","雇用形態","")&amp;IF(OR(入力シート!$J$18=入力リスト!$H$9,入力シート!$J$22=入力リスト!$H$9),IF(C842="","入社年月日",""),"")&amp;IF(D842="","性別","")="","","が空白です。"),IF(J842,"入社年月日に「基準日」の翌日以降の日付が入力されています。","")&amp;IF(I842,"入社年月日に数値以外（又は1900/1/1以前の日付）が入力されています。","")&amp;IF(H842,"雇用形態"&amp;IF(OR(K842,L842),",",""),"")&amp;IF(K842,"性別"&amp;IF(L842,",",""),"")&amp;IF(L842,"役職","")&amp;IF(OR(H842,K842,L842),"に、［入力シート］(4)「貴社」欄と異なる文言が入力されています。","")))))</f>
        <v/>
      </c>
      <c r="O842" s="298" t="str">
        <f>IF(B842="","",VLOOKUP('従業員情報(給与以外)'!$B842,入力シート!$S$37:$Z$62,5,0))</f>
        <v/>
      </c>
      <c r="P842" s="298" t="str">
        <f>IF(ISNUMBER(C842)=FALSE,"",IF(C842&gt;入力シート!$J$24,"",_xlfn.DAYS(入力シート!$J$24,'従業員情報(給与以外)'!$C842)/365))</f>
        <v/>
      </c>
      <c r="Q842" s="298" t="str">
        <f>IF(P842="","",VLOOKUP(_xlfn.DAYS(入力シート!$J$24,'従業員情報(給与以外)'!$C842)/365,入力リスト!$K$18:$L$26,2,2))</f>
        <v/>
      </c>
      <c r="R842" s="298" t="str">
        <f>IF(D842="","",VLOOKUP('従業員情報(給与以外)'!$D842,入力シート!$AW$37:$BB$38,4,0))</f>
        <v/>
      </c>
      <c r="S842" s="298" t="str">
        <f>IF(A842="","",IF(E842="","非役職",VLOOKUP('従業員情報(給与以外)'!$E842,入力シート!$AH$37:$AO$62,5,0)))</f>
        <v/>
      </c>
      <c r="T842" s="299" t="str">
        <f>IF(OR(入力シート!$C$5&lt;&gt;入力リスト!$C$3,COUNTIF(入力シート!$J$16:$S$23,入力リスト!$H$9)=0),"",IF($A842="","",IF(ISERROR(AVERAGEIF(従業員の給与情報!$B:$B,$A842,従業員の給与情報!$C:$C)),0,IF(ISERROR(AVERAGEIF(従業員の給与情報!$B:$B,$A842,従業員の給与情報!$C:$C)),0,AVERAGEIF(従業員の給与情報!$B:$B,$A842,従業員の給与情報!$C:$C)))))</f>
        <v/>
      </c>
      <c r="U842" s="299" t="str">
        <f>IF(OR(入力シート!$C$5&lt;&gt;入力リスト!$C$3,COUNTIF(入力シート!$J$16:$S$23,入力リスト!$H$9)=0),"",IF(A842="","",IF(ISERROR(AVERAGEIF(従業員の給与情報!$B:$B,$A842,従業員の給与情報!$D:$D)),0,IF(ISERROR(AVERAGEIF(従業員の給与情報!$B:$B,$A842,従業員の給与情報!$D:$D)),0,AVERAGEIF(従業員の給与情報!$B:$B,$A842,従業員の給与情報!$D:$D)))))</f>
        <v/>
      </c>
      <c r="V842" s="299" t="str">
        <f>IF(OR(入力シート!$C$5&lt;&gt;入力リスト!$C$3,COUNTIF(入力シート!$J$16:$S$23,入力リスト!$H$9)=0),"",IF(A842="","",IF(ISERROR(AVERAGEIF(従業員の給与情報!$B:$B,$A842,従業員の給与情報!$E:$E)),0,IF(ISERROR(AVERAGEIF(従業員の給与情報!$B:$B,$A842,従業員の給与情報!$E:$E)),0,AVERAGEIF(従業員の給与情報!$B:$B,$A842,従業員の給与情報!$E:$E)))))</f>
        <v/>
      </c>
      <c r="W842" s="299" t="str">
        <f>IF(OR(入力シート!$C$5&lt;&gt;入力リスト!$C$3,COUNTIF(入力シート!$J$16:$S$23,入力リスト!$H$9)=0),"",IF(A842="","",IF(ISERROR(AVERAGEIF(従業員の給与情報!$B:$B,$A842,従業員の給与情報!$F:$F)),0,IF(ISERROR(AVERAGEIF(従業員の給与情報!$B:$B,$A842,従業員の給与情報!$F:$F)),0,AVERAGEIF(従業員の給与情報!$B:$B,$A842,従業員の給与情報!$F:$F)))))</f>
        <v/>
      </c>
      <c r="X842" s="581" t="s">
        <v>5581</v>
      </c>
    </row>
    <row r="843" spans="6:24">
      <c r="F843" s="297" t="str">
        <f>IF($G$1,"",IF(COUNTIF(A843:E843,"")=5,"",IF(G843,入力リスト!$K$28,IF(OR(A843="",B843="",IF(COUNTIF($C$3,"*不要*"),"",C843=""),D843=""),IF(A843="","従業員番号","")&amp;IF(B843="","「雇用形態」","")&amp;IF(OR(入力シート!$J$18=入力リスト!$H$9,入力シート!$J$22=入力リスト!$H$9),IF(C843="","「入社年月日」",""),"")&amp;IF(D843="","「性別」","")&amp;IF(IF(A843="","従業員番号","")&amp;IF(B843="","「雇用形態」","")&amp;IF(OR(入力シート!$J$18=入力リスト!$H$9,入力シート!$J$22=入力リスト!$H$9),IF(C843="","「入社年月日」",""),"")&amp;IF(D843="","「性別」","")="","",入力リスト!$K$29),IF(J843,入力リスト!$K$30,"")&amp;IF(I843,入力リスト!$K$31,"")&amp;IF(H843,"「雇用形態」","")&amp;IF(K843,"「性別」","")&amp;IF(L843,"「役職」","")&amp;IF(OR(H843,K843,L843),入力リスト!$K$32,"")))))</f>
        <v/>
      </c>
      <c r="G843" s="298" t="b">
        <f>COUNTIF($A$4:A842,$A843)&gt;0</f>
        <v>0</v>
      </c>
      <c r="H843" s="298" t="b">
        <f>IF($H$1,FALSE,COUNTIF(入力シート!$S$37:$V$62,B843)=0)</f>
        <v>0</v>
      </c>
      <c r="I843" s="298" t="b">
        <f t="shared" si="27"/>
        <v>0</v>
      </c>
      <c r="J843" s="298" t="b">
        <f>IF($J$1,FALSE,IF(I843=TRUE,FALSE,IF(I843,FALSE,C843&gt;入力シート!$J$24)))</f>
        <v>0</v>
      </c>
      <c r="K843" s="298" t="b">
        <f>IF($K$1,FALSE,COUNTIF(入力シート!$AW$37:$BB$38,D843)=0)</f>
        <v>0</v>
      </c>
      <c r="L843" s="298" t="b">
        <f>IF($L$1,FALSE,IF($L$3,FALSE,IF(E843="",FALSE,COUNTIF(入力シート!$AH$37:$AK$62,E843)=0)))</f>
        <v>0</v>
      </c>
      <c r="M843" s="298" t="str">
        <f t="shared" si="28"/>
        <v/>
      </c>
      <c r="N843" s="298" t="str">
        <f>IF(G843,"この従業員番号は、すでに他のセルで入力されています。",IF(入力シート!$C$5=入力リスト!$C$4,"",IF(AND(A843="",B843="",C843="",D843="",E843=""),"",IF(OR(A843="",B843="",C843="",D843=""),IF(A843="","従業員番号","")&amp;IF(AND(A843="",OR(B843="",C843="",D843="")),",","")&amp;IF(B843="","雇用形態","")&amp;IF(AND(B843="",OR(C843="",D843="")),",","")&amp;IF(OR(入力シート!$J$18=入力リスト!$H$9,入力シート!$J$22=入力リスト!$H$9),IF(C843="","入社年月日",""),"")&amp;IF(AND(C843="",D843=""),",","")&amp;IF(D843="","性別","")&amp;IF(IF(A843="","従業員番号","")&amp;IF(B843="","雇用形態","")&amp;IF(OR(入力シート!$J$18=入力リスト!$H$9,入力シート!$J$22=入力リスト!$H$9),IF(C843="","入社年月日",""),"")&amp;IF(D843="","性別","")="","","が空白です。"),IF(J843,"入社年月日に「基準日」の翌日以降の日付が入力されています。","")&amp;IF(I843,"入社年月日に数値以外（又は1900/1/1以前の日付）が入力されています。","")&amp;IF(H843,"雇用形態"&amp;IF(OR(K843,L843),",",""),"")&amp;IF(K843,"性別"&amp;IF(L843,",",""),"")&amp;IF(L843,"役職","")&amp;IF(OR(H843,K843,L843),"に、［入力シート］(4)「貴社」欄と異なる文言が入力されています。","")))))</f>
        <v/>
      </c>
      <c r="O843" s="298" t="str">
        <f>IF(B843="","",VLOOKUP('従業員情報(給与以外)'!$B843,入力シート!$S$37:$Z$62,5,0))</f>
        <v/>
      </c>
      <c r="P843" s="298" t="str">
        <f>IF(ISNUMBER(C843)=FALSE,"",IF(C843&gt;入力シート!$J$24,"",_xlfn.DAYS(入力シート!$J$24,'従業員情報(給与以外)'!$C843)/365))</f>
        <v/>
      </c>
      <c r="Q843" s="298" t="str">
        <f>IF(P843="","",VLOOKUP(_xlfn.DAYS(入力シート!$J$24,'従業員情報(給与以外)'!$C843)/365,入力リスト!$K$18:$L$26,2,2))</f>
        <v/>
      </c>
      <c r="R843" s="298" t="str">
        <f>IF(D843="","",VLOOKUP('従業員情報(給与以外)'!$D843,入力シート!$AW$37:$BB$38,4,0))</f>
        <v/>
      </c>
      <c r="S843" s="298" t="str">
        <f>IF(A843="","",IF(E843="","非役職",VLOOKUP('従業員情報(給与以外)'!$E843,入力シート!$AH$37:$AO$62,5,0)))</f>
        <v/>
      </c>
      <c r="T843" s="299" t="str">
        <f>IF(OR(入力シート!$C$5&lt;&gt;入力リスト!$C$3,COUNTIF(入力シート!$J$16:$S$23,入力リスト!$H$9)=0),"",IF($A843="","",IF(ISERROR(AVERAGEIF(従業員の給与情報!$B:$B,$A843,従業員の給与情報!$C:$C)),0,IF(ISERROR(AVERAGEIF(従業員の給与情報!$B:$B,$A843,従業員の給与情報!$C:$C)),0,AVERAGEIF(従業員の給与情報!$B:$B,$A843,従業員の給与情報!$C:$C)))))</f>
        <v/>
      </c>
      <c r="U843" s="299" t="str">
        <f>IF(OR(入力シート!$C$5&lt;&gt;入力リスト!$C$3,COUNTIF(入力シート!$J$16:$S$23,入力リスト!$H$9)=0),"",IF(A843="","",IF(ISERROR(AVERAGEIF(従業員の給与情報!$B:$B,$A843,従業員の給与情報!$D:$D)),0,IF(ISERROR(AVERAGEIF(従業員の給与情報!$B:$B,$A843,従業員の給与情報!$D:$D)),0,AVERAGEIF(従業員の給与情報!$B:$B,$A843,従業員の給与情報!$D:$D)))))</f>
        <v/>
      </c>
      <c r="V843" s="299" t="str">
        <f>IF(OR(入力シート!$C$5&lt;&gt;入力リスト!$C$3,COUNTIF(入力シート!$J$16:$S$23,入力リスト!$H$9)=0),"",IF(A843="","",IF(ISERROR(AVERAGEIF(従業員の給与情報!$B:$B,$A843,従業員の給与情報!$E:$E)),0,IF(ISERROR(AVERAGEIF(従業員の給与情報!$B:$B,$A843,従業員の給与情報!$E:$E)),0,AVERAGEIF(従業員の給与情報!$B:$B,$A843,従業員の給与情報!$E:$E)))))</f>
        <v/>
      </c>
      <c r="W843" s="299" t="str">
        <f>IF(OR(入力シート!$C$5&lt;&gt;入力リスト!$C$3,COUNTIF(入力シート!$J$16:$S$23,入力リスト!$H$9)=0),"",IF(A843="","",IF(ISERROR(AVERAGEIF(従業員の給与情報!$B:$B,$A843,従業員の給与情報!$F:$F)),0,IF(ISERROR(AVERAGEIF(従業員の給与情報!$B:$B,$A843,従業員の給与情報!$F:$F)),0,AVERAGEIF(従業員の給与情報!$B:$B,$A843,従業員の給与情報!$F:$F)))))</f>
        <v/>
      </c>
      <c r="X843" s="581" t="s">
        <v>5582</v>
      </c>
    </row>
    <row r="844" spans="6:24">
      <c r="F844" s="297" t="str">
        <f>IF($G$1,"",IF(COUNTIF(A844:E844,"")=5,"",IF(G844,入力リスト!$K$28,IF(OR(A844="",B844="",IF(COUNTIF($C$3,"*不要*"),"",C844=""),D844=""),IF(A844="","従業員番号","")&amp;IF(B844="","「雇用形態」","")&amp;IF(OR(入力シート!$J$18=入力リスト!$H$9,入力シート!$J$22=入力リスト!$H$9),IF(C844="","「入社年月日」",""),"")&amp;IF(D844="","「性別」","")&amp;IF(IF(A844="","従業員番号","")&amp;IF(B844="","「雇用形態」","")&amp;IF(OR(入力シート!$J$18=入力リスト!$H$9,入力シート!$J$22=入力リスト!$H$9),IF(C844="","「入社年月日」",""),"")&amp;IF(D844="","「性別」","")="","",入力リスト!$K$29),IF(J844,入力リスト!$K$30,"")&amp;IF(I844,入力リスト!$K$31,"")&amp;IF(H844,"「雇用形態」","")&amp;IF(K844,"「性別」","")&amp;IF(L844,"「役職」","")&amp;IF(OR(H844,K844,L844),入力リスト!$K$32,"")))))</f>
        <v/>
      </c>
      <c r="G844" s="298" t="b">
        <f>COUNTIF($A$4:A843,$A844)&gt;0</f>
        <v>0</v>
      </c>
      <c r="H844" s="298" t="b">
        <f>IF($H$1,FALSE,COUNTIF(入力シート!$S$37:$V$62,B844)=0)</f>
        <v>0</v>
      </c>
      <c r="I844" s="298" t="b">
        <f t="shared" si="27"/>
        <v>0</v>
      </c>
      <c r="J844" s="298" t="b">
        <f>IF($J$1,FALSE,IF(I844=TRUE,FALSE,IF(I844,FALSE,C844&gt;入力シート!$J$24)))</f>
        <v>0</v>
      </c>
      <c r="K844" s="298" t="b">
        <f>IF($K$1,FALSE,COUNTIF(入力シート!$AW$37:$BB$38,D844)=0)</f>
        <v>0</v>
      </c>
      <c r="L844" s="298" t="b">
        <f>IF($L$1,FALSE,IF($L$3,FALSE,IF(E844="",FALSE,COUNTIF(入力シート!$AH$37:$AK$62,E844)=0)))</f>
        <v>0</v>
      </c>
      <c r="M844" s="298" t="str">
        <f t="shared" si="28"/>
        <v/>
      </c>
      <c r="N844" s="298" t="str">
        <f>IF(G844,"この従業員番号は、すでに他のセルで入力されています。",IF(入力シート!$C$5=入力リスト!$C$4,"",IF(AND(A844="",B844="",C844="",D844="",E844=""),"",IF(OR(A844="",B844="",C844="",D844=""),IF(A844="","従業員番号","")&amp;IF(AND(A844="",OR(B844="",C844="",D844="")),",","")&amp;IF(B844="","雇用形態","")&amp;IF(AND(B844="",OR(C844="",D844="")),",","")&amp;IF(OR(入力シート!$J$18=入力リスト!$H$9,入力シート!$J$22=入力リスト!$H$9),IF(C844="","入社年月日",""),"")&amp;IF(AND(C844="",D844=""),",","")&amp;IF(D844="","性別","")&amp;IF(IF(A844="","従業員番号","")&amp;IF(B844="","雇用形態","")&amp;IF(OR(入力シート!$J$18=入力リスト!$H$9,入力シート!$J$22=入力リスト!$H$9),IF(C844="","入社年月日",""),"")&amp;IF(D844="","性別","")="","","が空白です。"),IF(J844,"入社年月日に「基準日」の翌日以降の日付が入力されています。","")&amp;IF(I844,"入社年月日に数値以外（又は1900/1/1以前の日付）が入力されています。","")&amp;IF(H844,"雇用形態"&amp;IF(OR(K844,L844),",",""),"")&amp;IF(K844,"性別"&amp;IF(L844,",",""),"")&amp;IF(L844,"役職","")&amp;IF(OR(H844,K844,L844),"に、［入力シート］(4)「貴社」欄と異なる文言が入力されています。","")))))</f>
        <v/>
      </c>
      <c r="O844" s="298" t="str">
        <f>IF(B844="","",VLOOKUP('従業員情報(給与以外)'!$B844,入力シート!$S$37:$Z$62,5,0))</f>
        <v/>
      </c>
      <c r="P844" s="298" t="str">
        <f>IF(ISNUMBER(C844)=FALSE,"",IF(C844&gt;入力シート!$J$24,"",_xlfn.DAYS(入力シート!$J$24,'従業員情報(給与以外)'!$C844)/365))</f>
        <v/>
      </c>
      <c r="Q844" s="298" t="str">
        <f>IF(P844="","",VLOOKUP(_xlfn.DAYS(入力シート!$J$24,'従業員情報(給与以外)'!$C844)/365,入力リスト!$K$18:$L$26,2,2))</f>
        <v/>
      </c>
      <c r="R844" s="298" t="str">
        <f>IF(D844="","",VLOOKUP('従業員情報(給与以外)'!$D844,入力シート!$AW$37:$BB$38,4,0))</f>
        <v/>
      </c>
      <c r="S844" s="298" t="str">
        <f>IF(A844="","",IF(E844="","非役職",VLOOKUP('従業員情報(給与以外)'!$E844,入力シート!$AH$37:$AO$62,5,0)))</f>
        <v/>
      </c>
      <c r="T844" s="299" t="str">
        <f>IF(OR(入力シート!$C$5&lt;&gt;入力リスト!$C$3,COUNTIF(入力シート!$J$16:$S$23,入力リスト!$H$9)=0),"",IF($A844="","",IF(ISERROR(AVERAGEIF(従業員の給与情報!$B:$B,$A844,従業員の給与情報!$C:$C)),0,IF(ISERROR(AVERAGEIF(従業員の給与情報!$B:$B,$A844,従業員の給与情報!$C:$C)),0,AVERAGEIF(従業員の給与情報!$B:$B,$A844,従業員の給与情報!$C:$C)))))</f>
        <v/>
      </c>
      <c r="U844" s="299" t="str">
        <f>IF(OR(入力シート!$C$5&lt;&gt;入力リスト!$C$3,COUNTIF(入力シート!$J$16:$S$23,入力リスト!$H$9)=0),"",IF(A844="","",IF(ISERROR(AVERAGEIF(従業員の給与情報!$B:$B,$A844,従業員の給与情報!$D:$D)),0,IF(ISERROR(AVERAGEIF(従業員の給与情報!$B:$B,$A844,従業員の給与情報!$D:$D)),0,AVERAGEIF(従業員の給与情報!$B:$B,$A844,従業員の給与情報!$D:$D)))))</f>
        <v/>
      </c>
      <c r="V844" s="299" t="str">
        <f>IF(OR(入力シート!$C$5&lt;&gt;入力リスト!$C$3,COUNTIF(入力シート!$J$16:$S$23,入力リスト!$H$9)=0),"",IF(A844="","",IF(ISERROR(AVERAGEIF(従業員の給与情報!$B:$B,$A844,従業員の給与情報!$E:$E)),0,IF(ISERROR(AVERAGEIF(従業員の給与情報!$B:$B,$A844,従業員の給与情報!$E:$E)),0,AVERAGEIF(従業員の給与情報!$B:$B,$A844,従業員の給与情報!$E:$E)))))</f>
        <v/>
      </c>
      <c r="W844" s="299" t="str">
        <f>IF(OR(入力シート!$C$5&lt;&gt;入力リスト!$C$3,COUNTIF(入力シート!$J$16:$S$23,入力リスト!$H$9)=0),"",IF(A844="","",IF(ISERROR(AVERAGEIF(従業員の給与情報!$B:$B,$A844,従業員の給与情報!$F:$F)),0,IF(ISERROR(AVERAGEIF(従業員の給与情報!$B:$B,$A844,従業員の給与情報!$F:$F)),0,AVERAGEIF(従業員の給与情報!$B:$B,$A844,従業員の給与情報!$F:$F)))))</f>
        <v/>
      </c>
      <c r="X844" s="581" t="s">
        <v>5583</v>
      </c>
    </row>
    <row r="845" spans="6:24">
      <c r="F845" s="297" t="str">
        <f>IF($G$1,"",IF(COUNTIF(A845:E845,"")=5,"",IF(G845,入力リスト!$K$28,IF(OR(A845="",B845="",IF(COUNTIF($C$3,"*不要*"),"",C845=""),D845=""),IF(A845="","従業員番号","")&amp;IF(B845="","「雇用形態」","")&amp;IF(OR(入力シート!$J$18=入力リスト!$H$9,入力シート!$J$22=入力リスト!$H$9),IF(C845="","「入社年月日」",""),"")&amp;IF(D845="","「性別」","")&amp;IF(IF(A845="","従業員番号","")&amp;IF(B845="","「雇用形態」","")&amp;IF(OR(入力シート!$J$18=入力リスト!$H$9,入力シート!$J$22=入力リスト!$H$9),IF(C845="","「入社年月日」",""),"")&amp;IF(D845="","「性別」","")="","",入力リスト!$K$29),IF(J845,入力リスト!$K$30,"")&amp;IF(I845,入力リスト!$K$31,"")&amp;IF(H845,"「雇用形態」","")&amp;IF(K845,"「性別」","")&amp;IF(L845,"「役職」","")&amp;IF(OR(H845,K845,L845),入力リスト!$K$32,"")))))</f>
        <v/>
      </c>
      <c r="G845" s="298" t="b">
        <f>COUNTIF($A$4:A844,$A845)&gt;0</f>
        <v>0</v>
      </c>
      <c r="H845" s="298" t="b">
        <f>IF($H$1,FALSE,COUNTIF(入力シート!$S$37:$V$62,B845)=0)</f>
        <v>0</v>
      </c>
      <c r="I845" s="298" t="b">
        <f t="shared" si="27"/>
        <v>0</v>
      </c>
      <c r="J845" s="298" t="b">
        <f>IF($J$1,FALSE,IF(I845=TRUE,FALSE,IF(I845,FALSE,C845&gt;入力シート!$J$24)))</f>
        <v>0</v>
      </c>
      <c r="K845" s="298" t="b">
        <f>IF($K$1,FALSE,COUNTIF(入力シート!$AW$37:$BB$38,D845)=0)</f>
        <v>0</v>
      </c>
      <c r="L845" s="298" t="b">
        <f>IF($L$1,FALSE,IF($L$3,FALSE,IF(E845="",FALSE,COUNTIF(入力シート!$AH$37:$AK$62,E845)=0)))</f>
        <v>0</v>
      </c>
      <c r="M845" s="298" t="str">
        <f t="shared" si="28"/>
        <v/>
      </c>
      <c r="N845" s="298" t="str">
        <f>IF(G845,"この従業員番号は、すでに他のセルで入力されています。",IF(入力シート!$C$5=入力リスト!$C$4,"",IF(AND(A845="",B845="",C845="",D845="",E845=""),"",IF(OR(A845="",B845="",C845="",D845=""),IF(A845="","従業員番号","")&amp;IF(AND(A845="",OR(B845="",C845="",D845="")),",","")&amp;IF(B845="","雇用形態","")&amp;IF(AND(B845="",OR(C845="",D845="")),",","")&amp;IF(OR(入力シート!$J$18=入力リスト!$H$9,入力シート!$J$22=入力リスト!$H$9),IF(C845="","入社年月日",""),"")&amp;IF(AND(C845="",D845=""),",","")&amp;IF(D845="","性別","")&amp;IF(IF(A845="","従業員番号","")&amp;IF(B845="","雇用形態","")&amp;IF(OR(入力シート!$J$18=入力リスト!$H$9,入力シート!$J$22=入力リスト!$H$9),IF(C845="","入社年月日",""),"")&amp;IF(D845="","性別","")="","","が空白です。"),IF(J845,"入社年月日に「基準日」の翌日以降の日付が入力されています。","")&amp;IF(I845,"入社年月日に数値以外（又は1900/1/1以前の日付）が入力されています。","")&amp;IF(H845,"雇用形態"&amp;IF(OR(K845,L845),",",""),"")&amp;IF(K845,"性別"&amp;IF(L845,",",""),"")&amp;IF(L845,"役職","")&amp;IF(OR(H845,K845,L845),"に、［入力シート］(4)「貴社」欄と異なる文言が入力されています。","")))))</f>
        <v/>
      </c>
      <c r="O845" s="298" t="str">
        <f>IF(B845="","",VLOOKUP('従業員情報(給与以外)'!$B845,入力シート!$S$37:$Z$62,5,0))</f>
        <v/>
      </c>
      <c r="P845" s="298" t="str">
        <f>IF(ISNUMBER(C845)=FALSE,"",IF(C845&gt;入力シート!$J$24,"",_xlfn.DAYS(入力シート!$J$24,'従業員情報(給与以外)'!$C845)/365))</f>
        <v/>
      </c>
      <c r="Q845" s="298" t="str">
        <f>IF(P845="","",VLOOKUP(_xlfn.DAYS(入力シート!$J$24,'従業員情報(給与以外)'!$C845)/365,入力リスト!$K$18:$L$26,2,2))</f>
        <v/>
      </c>
      <c r="R845" s="298" t="str">
        <f>IF(D845="","",VLOOKUP('従業員情報(給与以外)'!$D845,入力シート!$AW$37:$BB$38,4,0))</f>
        <v/>
      </c>
      <c r="S845" s="298" t="str">
        <f>IF(A845="","",IF(E845="","非役職",VLOOKUP('従業員情報(給与以外)'!$E845,入力シート!$AH$37:$AO$62,5,0)))</f>
        <v/>
      </c>
      <c r="T845" s="299" t="str">
        <f>IF(OR(入力シート!$C$5&lt;&gt;入力リスト!$C$3,COUNTIF(入力シート!$J$16:$S$23,入力リスト!$H$9)=0),"",IF($A845="","",IF(ISERROR(AVERAGEIF(従業員の給与情報!$B:$B,$A845,従業員の給与情報!$C:$C)),0,IF(ISERROR(AVERAGEIF(従業員の給与情報!$B:$B,$A845,従業員の給与情報!$C:$C)),0,AVERAGEIF(従業員の給与情報!$B:$B,$A845,従業員の給与情報!$C:$C)))))</f>
        <v/>
      </c>
      <c r="U845" s="299" t="str">
        <f>IF(OR(入力シート!$C$5&lt;&gt;入力リスト!$C$3,COUNTIF(入力シート!$J$16:$S$23,入力リスト!$H$9)=0),"",IF(A845="","",IF(ISERROR(AVERAGEIF(従業員の給与情報!$B:$B,$A845,従業員の給与情報!$D:$D)),0,IF(ISERROR(AVERAGEIF(従業員の給与情報!$B:$B,$A845,従業員の給与情報!$D:$D)),0,AVERAGEIF(従業員の給与情報!$B:$B,$A845,従業員の給与情報!$D:$D)))))</f>
        <v/>
      </c>
      <c r="V845" s="299" t="str">
        <f>IF(OR(入力シート!$C$5&lt;&gt;入力リスト!$C$3,COUNTIF(入力シート!$J$16:$S$23,入力リスト!$H$9)=0),"",IF(A845="","",IF(ISERROR(AVERAGEIF(従業員の給与情報!$B:$B,$A845,従業員の給与情報!$E:$E)),0,IF(ISERROR(AVERAGEIF(従業員の給与情報!$B:$B,$A845,従業員の給与情報!$E:$E)),0,AVERAGEIF(従業員の給与情報!$B:$B,$A845,従業員の給与情報!$E:$E)))))</f>
        <v/>
      </c>
      <c r="W845" s="299" t="str">
        <f>IF(OR(入力シート!$C$5&lt;&gt;入力リスト!$C$3,COUNTIF(入力シート!$J$16:$S$23,入力リスト!$H$9)=0),"",IF(A845="","",IF(ISERROR(AVERAGEIF(従業員の給与情報!$B:$B,$A845,従業員の給与情報!$F:$F)),0,IF(ISERROR(AVERAGEIF(従業員の給与情報!$B:$B,$A845,従業員の給与情報!$F:$F)),0,AVERAGEIF(従業員の給与情報!$B:$B,$A845,従業員の給与情報!$F:$F)))))</f>
        <v/>
      </c>
      <c r="X845" s="581" t="s">
        <v>5584</v>
      </c>
    </row>
    <row r="846" spans="6:24">
      <c r="F846" s="297" t="str">
        <f>IF($G$1,"",IF(COUNTIF(A846:E846,"")=5,"",IF(G846,入力リスト!$K$28,IF(OR(A846="",B846="",IF(COUNTIF($C$3,"*不要*"),"",C846=""),D846=""),IF(A846="","従業員番号","")&amp;IF(B846="","「雇用形態」","")&amp;IF(OR(入力シート!$J$18=入力リスト!$H$9,入力シート!$J$22=入力リスト!$H$9),IF(C846="","「入社年月日」",""),"")&amp;IF(D846="","「性別」","")&amp;IF(IF(A846="","従業員番号","")&amp;IF(B846="","「雇用形態」","")&amp;IF(OR(入力シート!$J$18=入力リスト!$H$9,入力シート!$J$22=入力リスト!$H$9),IF(C846="","「入社年月日」",""),"")&amp;IF(D846="","「性別」","")="","",入力リスト!$K$29),IF(J846,入力リスト!$K$30,"")&amp;IF(I846,入力リスト!$K$31,"")&amp;IF(H846,"「雇用形態」","")&amp;IF(K846,"「性別」","")&amp;IF(L846,"「役職」","")&amp;IF(OR(H846,K846,L846),入力リスト!$K$32,"")))))</f>
        <v/>
      </c>
      <c r="G846" s="298" t="b">
        <f>COUNTIF($A$4:A845,$A846)&gt;0</f>
        <v>0</v>
      </c>
      <c r="H846" s="298" t="b">
        <f>IF($H$1,FALSE,COUNTIF(入力シート!$S$37:$V$62,B846)=0)</f>
        <v>0</v>
      </c>
      <c r="I846" s="298" t="b">
        <f t="shared" si="27"/>
        <v>0</v>
      </c>
      <c r="J846" s="298" t="b">
        <f>IF($J$1,FALSE,IF(I846=TRUE,FALSE,IF(I846,FALSE,C846&gt;入力シート!$J$24)))</f>
        <v>0</v>
      </c>
      <c r="K846" s="298" t="b">
        <f>IF($K$1,FALSE,COUNTIF(入力シート!$AW$37:$BB$38,D846)=0)</f>
        <v>0</v>
      </c>
      <c r="L846" s="298" t="b">
        <f>IF($L$1,FALSE,IF($L$3,FALSE,IF(E846="",FALSE,COUNTIF(入力シート!$AH$37:$AK$62,E846)=0)))</f>
        <v>0</v>
      </c>
      <c r="M846" s="298" t="str">
        <f t="shared" si="28"/>
        <v/>
      </c>
      <c r="N846" s="298" t="str">
        <f>IF(G846,"この従業員番号は、すでに他のセルで入力されています。",IF(入力シート!$C$5=入力リスト!$C$4,"",IF(AND(A846="",B846="",C846="",D846="",E846=""),"",IF(OR(A846="",B846="",C846="",D846=""),IF(A846="","従業員番号","")&amp;IF(AND(A846="",OR(B846="",C846="",D846="")),",","")&amp;IF(B846="","雇用形態","")&amp;IF(AND(B846="",OR(C846="",D846="")),",","")&amp;IF(OR(入力シート!$J$18=入力リスト!$H$9,入力シート!$J$22=入力リスト!$H$9),IF(C846="","入社年月日",""),"")&amp;IF(AND(C846="",D846=""),",","")&amp;IF(D846="","性別","")&amp;IF(IF(A846="","従業員番号","")&amp;IF(B846="","雇用形態","")&amp;IF(OR(入力シート!$J$18=入力リスト!$H$9,入力シート!$J$22=入力リスト!$H$9),IF(C846="","入社年月日",""),"")&amp;IF(D846="","性別","")="","","が空白です。"),IF(J846,"入社年月日に「基準日」の翌日以降の日付が入力されています。","")&amp;IF(I846,"入社年月日に数値以外（又は1900/1/1以前の日付）が入力されています。","")&amp;IF(H846,"雇用形態"&amp;IF(OR(K846,L846),",",""),"")&amp;IF(K846,"性別"&amp;IF(L846,",",""),"")&amp;IF(L846,"役職","")&amp;IF(OR(H846,K846,L846),"に、［入力シート］(4)「貴社」欄と異なる文言が入力されています。","")))))</f>
        <v/>
      </c>
      <c r="O846" s="298" t="str">
        <f>IF(B846="","",VLOOKUP('従業員情報(給与以外)'!$B846,入力シート!$S$37:$Z$62,5,0))</f>
        <v/>
      </c>
      <c r="P846" s="298" t="str">
        <f>IF(ISNUMBER(C846)=FALSE,"",IF(C846&gt;入力シート!$J$24,"",_xlfn.DAYS(入力シート!$J$24,'従業員情報(給与以外)'!$C846)/365))</f>
        <v/>
      </c>
      <c r="Q846" s="298" t="str">
        <f>IF(P846="","",VLOOKUP(_xlfn.DAYS(入力シート!$J$24,'従業員情報(給与以外)'!$C846)/365,入力リスト!$K$18:$L$26,2,2))</f>
        <v/>
      </c>
      <c r="R846" s="298" t="str">
        <f>IF(D846="","",VLOOKUP('従業員情報(給与以外)'!$D846,入力シート!$AW$37:$BB$38,4,0))</f>
        <v/>
      </c>
      <c r="S846" s="298" t="str">
        <f>IF(A846="","",IF(E846="","非役職",VLOOKUP('従業員情報(給与以外)'!$E846,入力シート!$AH$37:$AO$62,5,0)))</f>
        <v/>
      </c>
      <c r="T846" s="299" t="str">
        <f>IF(OR(入力シート!$C$5&lt;&gt;入力リスト!$C$3,COUNTIF(入力シート!$J$16:$S$23,入力リスト!$H$9)=0),"",IF($A846="","",IF(ISERROR(AVERAGEIF(従業員の給与情報!$B:$B,$A846,従業員の給与情報!$C:$C)),0,IF(ISERROR(AVERAGEIF(従業員の給与情報!$B:$B,$A846,従業員の給与情報!$C:$C)),0,AVERAGEIF(従業員の給与情報!$B:$B,$A846,従業員の給与情報!$C:$C)))))</f>
        <v/>
      </c>
      <c r="U846" s="299" t="str">
        <f>IF(OR(入力シート!$C$5&lt;&gt;入力リスト!$C$3,COUNTIF(入力シート!$J$16:$S$23,入力リスト!$H$9)=0),"",IF(A846="","",IF(ISERROR(AVERAGEIF(従業員の給与情報!$B:$B,$A846,従業員の給与情報!$D:$D)),0,IF(ISERROR(AVERAGEIF(従業員の給与情報!$B:$B,$A846,従業員の給与情報!$D:$D)),0,AVERAGEIF(従業員の給与情報!$B:$B,$A846,従業員の給与情報!$D:$D)))))</f>
        <v/>
      </c>
      <c r="V846" s="299" t="str">
        <f>IF(OR(入力シート!$C$5&lt;&gt;入力リスト!$C$3,COUNTIF(入力シート!$J$16:$S$23,入力リスト!$H$9)=0),"",IF(A846="","",IF(ISERROR(AVERAGEIF(従業員の給与情報!$B:$B,$A846,従業員の給与情報!$E:$E)),0,IF(ISERROR(AVERAGEIF(従業員の給与情報!$B:$B,$A846,従業員の給与情報!$E:$E)),0,AVERAGEIF(従業員の給与情報!$B:$B,$A846,従業員の給与情報!$E:$E)))))</f>
        <v/>
      </c>
      <c r="W846" s="299" t="str">
        <f>IF(OR(入力シート!$C$5&lt;&gt;入力リスト!$C$3,COUNTIF(入力シート!$J$16:$S$23,入力リスト!$H$9)=0),"",IF(A846="","",IF(ISERROR(AVERAGEIF(従業員の給与情報!$B:$B,$A846,従業員の給与情報!$F:$F)),0,IF(ISERROR(AVERAGEIF(従業員の給与情報!$B:$B,$A846,従業員の給与情報!$F:$F)),0,AVERAGEIF(従業員の給与情報!$B:$B,$A846,従業員の給与情報!$F:$F)))))</f>
        <v/>
      </c>
      <c r="X846" s="581" t="s">
        <v>5585</v>
      </c>
    </row>
    <row r="847" spans="6:24">
      <c r="F847" s="297" t="str">
        <f>IF($G$1,"",IF(COUNTIF(A847:E847,"")=5,"",IF(G847,入力リスト!$K$28,IF(OR(A847="",B847="",IF(COUNTIF($C$3,"*不要*"),"",C847=""),D847=""),IF(A847="","従業員番号","")&amp;IF(B847="","「雇用形態」","")&amp;IF(OR(入力シート!$J$18=入力リスト!$H$9,入力シート!$J$22=入力リスト!$H$9),IF(C847="","「入社年月日」",""),"")&amp;IF(D847="","「性別」","")&amp;IF(IF(A847="","従業員番号","")&amp;IF(B847="","「雇用形態」","")&amp;IF(OR(入力シート!$J$18=入力リスト!$H$9,入力シート!$J$22=入力リスト!$H$9),IF(C847="","「入社年月日」",""),"")&amp;IF(D847="","「性別」","")="","",入力リスト!$K$29),IF(J847,入力リスト!$K$30,"")&amp;IF(I847,入力リスト!$K$31,"")&amp;IF(H847,"「雇用形態」","")&amp;IF(K847,"「性別」","")&amp;IF(L847,"「役職」","")&amp;IF(OR(H847,K847,L847),入力リスト!$K$32,"")))))</f>
        <v/>
      </c>
      <c r="G847" s="298" t="b">
        <f>COUNTIF($A$4:A846,$A847)&gt;0</f>
        <v>0</v>
      </c>
      <c r="H847" s="298" t="b">
        <f>IF($H$1,FALSE,COUNTIF(入力シート!$S$37:$V$62,B847)=0)</f>
        <v>0</v>
      </c>
      <c r="I847" s="298" t="b">
        <f t="shared" si="27"/>
        <v>0</v>
      </c>
      <c r="J847" s="298" t="b">
        <f>IF($J$1,FALSE,IF(I847=TRUE,FALSE,IF(I847,FALSE,C847&gt;入力シート!$J$24)))</f>
        <v>0</v>
      </c>
      <c r="K847" s="298" t="b">
        <f>IF($K$1,FALSE,COUNTIF(入力シート!$AW$37:$BB$38,D847)=0)</f>
        <v>0</v>
      </c>
      <c r="L847" s="298" t="b">
        <f>IF($L$1,FALSE,IF($L$3,FALSE,IF(E847="",FALSE,COUNTIF(入力シート!$AH$37:$AK$62,E847)=0)))</f>
        <v>0</v>
      </c>
      <c r="M847" s="298" t="str">
        <f t="shared" si="28"/>
        <v/>
      </c>
      <c r="N847" s="298" t="str">
        <f>IF(G847,"この従業員番号は、すでに他のセルで入力されています。",IF(入力シート!$C$5=入力リスト!$C$4,"",IF(AND(A847="",B847="",C847="",D847="",E847=""),"",IF(OR(A847="",B847="",C847="",D847=""),IF(A847="","従業員番号","")&amp;IF(AND(A847="",OR(B847="",C847="",D847="")),",","")&amp;IF(B847="","雇用形態","")&amp;IF(AND(B847="",OR(C847="",D847="")),",","")&amp;IF(OR(入力シート!$J$18=入力リスト!$H$9,入力シート!$J$22=入力リスト!$H$9),IF(C847="","入社年月日",""),"")&amp;IF(AND(C847="",D847=""),",","")&amp;IF(D847="","性別","")&amp;IF(IF(A847="","従業員番号","")&amp;IF(B847="","雇用形態","")&amp;IF(OR(入力シート!$J$18=入力リスト!$H$9,入力シート!$J$22=入力リスト!$H$9),IF(C847="","入社年月日",""),"")&amp;IF(D847="","性別","")="","","が空白です。"),IF(J847,"入社年月日に「基準日」の翌日以降の日付が入力されています。","")&amp;IF(I847,"入社年月日に数値以外（又は1900/1/1以前の日付）が入力されています。","")&amp;IF(H847,"雇用形態"&amp;IF(OR(K847,L847),",",""),"")&amp;IF(K847,"性別"&amp;IF(L847,",",""),"")&amp;IF(L847,"役職","")&amp;IF(OR(H847,K847,L847),"に、［入力シート］(4)「貴社」欄と異なる文言が入力されています。","")))))</f>
        <v/>
      </c>
      <c r="O847" s="298" t="str">
        <f>IF(B847="","",VLOOKUP('従業員情報(給与以外)'!$B847,入力シート!$S$37:$Z$62,5,0))</f>
        <v/>
      </c>
      <c r="P847" s="298" t="str">
        <f>IF(ISNUMBER(C847)=FALSE,"",IF(C847&gt;入力シート!$J$24,"",_xlfn.DAYS(入力シート!$J$24,'従業員情報(給与以外)'!$C847)/365))</f>
        <v/>
      </c>
      <c r="Q847" s="298" t="str">
        <f>IF(P847="","",VLOOKUP(_xlfn.DAYS(入力シート!$J$24,'従業員情報(給与以外)'!$C847)/365,入力リスト!$K$18:$L$26,2,2))</f>
        <v/>
      </c>
      <c r="R847" s="298" t="str">
        <f>IF(D847="","",VLOOKUP('従業員情報(給与以外)'!$D847,入力シート!$AW$37:$BB$38,4,0))</f>
        <v/>
      </c>
      <c r="S847" s="298" t="str">
        <f>IF(A847="","",IF(E847="","非役職",VLOOKUP('従業員情報(給与以外)'!$E847,入力シート!$AH$37:$AO$62,5,0)))</f>
        <v/>
      </c>
      <c r="T847" s="299" t="str">
        <f>IF(OR(入力シート!$C$5&lt;&gt;入力リスト!$C$3,COUNTIF(入力シート!$J$16:$S$23,入力リスト!$H$9)=0),"",IF($A847="","",IF(ISERROR(AVERAGEIF(従業員の給与情報!$B:$B,$A847,従業員の給与情報!$C:$C)),0,IF(ISERROR(AVERAGEIF(従業員の給与情報!$B:$B,$A847,従業員の給与情報!$C:$C)),0,AVERAGEIF(従業員の給与情報!$B:$B,$A847,従業員の給与情報!$C:$C)))))</f>
        <v/>
      </c>
      <c r="U847" s="299" t="str">
        <f>IF(OR(入力シート!$C$5&lt;&gt;入力リスト!$C$3,COUNTIF(入力シート!$J$16:$S$23,入力リスト!$H$9)=0),"",IF(A847="","",IF(ISERROR(AVERAGEIF(従業員の給与情報!$B:$B,$A847,従業員の給与情報!$D:$D)),0,IF(ISERROR(AVERAGEIF(従業員の給与情報!$B:$B,$A847,従業員の給与情報!$D:$D)),0,AVERAGEIF(従業員の給与情報!$B:$B,$A847,従業員の給与情報!$D:$D)))))</f>
        <v/>
      </c>
      <c r="V847" s="299" t="str">
        <f>IF(OR(入力シート!$C$5&lt;&gt;入力リスト!$C$3,COUNTIF(入力シート!$J$16:$S$23,入力リスト!$H$9)=0),"",IF(A847="","",IF(ISERROR(AVERAGEIF(従業員の給与情報!$B:$B,$A847,従業員の給与情報!$E:$E)),0,IF(ISERROR(AVERAGEIF(従業員の給与情報!$B:$B,$A847,従業員の給与情報!$E:$E)),0,AVERAGEIF(従業員の給与情報!$B:$B,$A847,従業員の給与情報!$E:$E)))))</f>
        <v/>
      </c>
      <c r="W847" s="299" t="str">
        <f>IF(OR(入力シート!$C$5&lt;&gt;入力リスト!$C$3,COUNTIF(入力シート!$J$16:$S$23,入力リスト!$H$9)=0),"",IF(A847="","",IF(ISERROR(AVERAGEIF(従業員の給与情報!$B:$B,$A847,従業員の給与情報!$F:$F)),0,IF(ISERROR(AVERAGEIF(従業員の給与情報!$B:$B,$A847,従業員の給与情報!$F:$F)),0,AVERAGEIF(従業員の給与情報!$B:$B,$A847,従業員の給与情報!$F:$F)))))</f>
        <v/>
      </c>
      <c r="X847" s="581" t="s">
        <v>5586</v>
      </c>
    </row>
    <row r="848" spans="6:24">
      <c r="F848" s="297" t="str">
        <f>IF($G$1,"",IF(COUNTIF(A848:E848,"")=5,"",IF(G848,入力リスト!$K$28,IF(OR(A848="",B848="",IF(COUNTIF($C$3,"*不要*"),"",C848=""),D848=""),IF(A848="","従業員番号","")&amp;IF(B848="","「雇用形態」","")&amp;IF(OR(入力シート!$J$18=入力リスト!$H$9,入力シート!$J$22=入力リスト!$H$9),IF(C848="","「入社年月日」",""),"")&amp;IF(D848="","「性別」","")&amp;IF(IF(A848="","従業員番号","")&amp;IF(B848="","「雇用形態」","")&amp;IF(OR(入力シート!$J$18=入力リスト!$H$9,入力シート!$J$22=入力リスト!$H$9),IF(C848="","「入社年月日」",""),"")&amp;IF(D848="","「性別」","")="","",入力リスト!$K$29),IF(J848,入力リスト!$K$30,"")&amp;IF(I848,入力リスト!$K$31,"")&amp;IF(H848,"「雇用形態」","")&amp;IF(K848,"「性別」","")&amp;IF(L848,"「役職」","")&amp;IF(OR(H848,K848,L848),入力リスト!$K$32,"")))))</f>
        <v/>
      </c>
      <c r="G848" s="298" t="b">
        <f>COUNTIF($A$4:A847,$A848)&gt;0</f>
        <v>0</v>
      </c>
      <c r="H848" s="298" t="b">
        <f>IF($H$1,FALSE,COUNTIF(入力シート!$S$37:$V$62,B848)=0)</f>
        <v>0</v>
      </c>
      <c r="I848" s="298" t="b">
        <f t="shared" si="27"/>
        <v>0</v>
      </c>
      <c r="J848" s="298" t="b">
        <f>IF($J$1,FALSE,IF(I848=TRUE,FALSE,IF(I848,FALSE,C848&gt;入力シート!$J$24)))</f>
        <v>0</v>
      </c>
      <c r="K848" s="298" t="b">
        <f>IF($K$1,FALSE,COUNTIF(入力シート!$AW$37:$BB$38,D848)=0)</f>
        <v>0</v>
      </c>
      <c r="L848" s="298" t="b">
        <f>IF($L$1,FALSE,IF($L$3,FALSE,IF(E848="",FALSE,COUNTIF(入力シート!$AH$37:$AK$62,E848)=0)))</f>
        <v>0</v>
      </c>
      <c r="M848" s="298" t="str">
        <f t="shared" si="28"/>
        <v/>
      </c>
      <c r="N848" s="298" t="str">
        <f>IF(G848,"この従業員番号は、すでに他のセルで入力されています。",IF(入力シート!$C$5=入力リスト!$C$4,"",IF(AND(A848="",B848="",C848="",D848="",E848=""),"",IF(OR(A848="",B848="",C848="",D848=""),IF(A848="","従業員番号","")&amp;IF(AND(A848="",OR(B848="",C848="",D848="")),",","")&amp;IF(B848="","雇用形態","")&amp;IF(AND(B848="",OR(C848="",D848="")),",","")&amp;IF(OR(入力シート!$J$18=入力リスト!$H$9,入力シート!$J$22=入力リスト!$H$9),IF(C848="","入社年月日",""),"")&amp;IF(AND(C848="",D848=""),",","")&amp;IF(D848="","性別","")&amp;IF(IF(A848="","従業員番号","")&amp;IF(B848="","雇用形態","")&amp;IF(OR(入力シート!$J$18=入力リスト!$H$9,入力シート!$J$22=入力リスト!$H$9),IF(C848="","入社年月日",""),"")&amp;IF(D848="","性別","")="","","が空白です。"),IF(J848,"入社年月日に「基準日」の翌日以降の日付が入力されています。","")&amp;IF(I848,"入社年月日に数値以外（又は1900/1/1以前の日付）が入力されています。","")&amp;IF(H848,"雇用形態"&amp;IF(OR(K848,L848),",",""),"")&amp;IF(K848,"性別"&amp;IF(L848,",",""),"")&amp;IF(L848,"役職","")&amp;IF(OR(H848,K848,L848),"に、［入力シート］(4)「貴社」欄と異なる文言が入力されています。","")))))</f>
        <v/>
      </c>
      <c r="O848" s="298" t="str">
        <f>IF(B848="","",VLOOKUP('従業員情報(給与以外)'!$B848,入力シート!$S$37:$Z$62,5,0))</f>
        <v/>
      </c>
      <c r="P848" s="298" t="str">
        <f>IF(ISNUMBER(C848)=FALSE,"",IF(C848&gt;入力シート!$J$24,"",_xlfn.DAYS(入力シート!$J$24,'従業員情報(給与以外)'!$C848)/365))</f>
        <v/>
      </c>
      <c r="Q848" s="298" t="str">
        <f>IF(P848="","",VLOOKUP(_xlfn.DAYS(入力シート!$J$24,'従業員情報(給与以外)'!$C848)/365,入力リスト!$K$18:$L$26,2,2))</f>
        <v/>
      </c>
      <c r="R848" s="298" t="str">
        <f>IF(D848="","",VLOOKUP('従業員情報(給与以外)'!$D848,入力シート!$AW$37:$BB$38,4,0))</f>
        <v/>
      </c>
      <c r="S848" s="298" t="str">
        <f>IF(A848="","",IF(E848="","非役職",VLOOKUP('従業員情報(給与以外)'!$E848,入力シート!$AH$37:$AO$62,5,0)))</f>
        <v/>
      </c>
      <c r="T848" s="299" t="str">
        <f>IF(OR(入力シート!$C$5&lt;&gt;入力リスト!$C$3,COUNTIF(入力シート!$J$16:$S$23,入力リスト!$H$9)=0),"",IF($A848="","",IF(ISERROR(AVERAGEIF(従業員の給与情報!$B:$B,$A848,従業員の給与情報!$C:$C)),0,IF(ISERROR(AVERAGEIF(従業員の給与情報!$B:$B,$A848,従業員の給与情報!$C:$C)),0,AVERAGEIF(従業員の給与情報!$B:$B,$A848,従業員の給与情報!$C:$C)))))</f>
        <v/>
      </c>
      <c r="U848" s="299" t="str">
        <f>IF(OR(入力シート!$C$5&lt;&gt;入力リスト!$C$3,COUNTIF(入力シート!$J$16:$S$23,入力リスト!$H$9)=0),"",IF(A848="","",IF(ISERROR(AVERAGEIF(従業員の給与情報!$B:$B,$A848,従業員の給与情報!$D:$D)),0,IF(ISERROR(AVERAGEIF(従業員の給与情報!$B:$B,$A848,従業員の給与情報!$D:$D)),0,AVERAGEIF(従業員の給与情報!$B:$B,$A848,従業員の給与情報!$D:$D)))))</f>
        <v/>
      </c>
      <c r="V848" s="299" t="str">
        <f>IF(OR(入力シート!$C$5&lt;&gt;入力リスト!$C$3,COUNTIF(入力シート!$J$16:$S$23,入力リスト!$H$9)=0),"",IF(A848="","",IF(ISERROR(AVERAGEIF(従業員の給与情報!$B:$B,$A848,従業員の給与情報!$E:$E)),0,IF(ISERROR(AVERAGEIF(従業員の給与情報!$B:$B,$A848,従業員の給与情報!$E:$E)),0,AVERAGEIF(従業員の給与情報!$B:$B,$A848,従業員の給与情報!$E:$E)))))</f>
        <v/>
      </c>
      <c r="W848" s="299" t="str">
        <f>IF(OR(入力シート!$C$5&lt;&gt;入力リスト!$C$3,COUNTIF(入力シート!$J$16:$S$23,入力リスト!$H$9)=0),"",IF(A848="","",IF(ISERROR(AVERAGEIF(従業員の給与情報!$B:$B,$A848,従業員の給与情報!$F:$F)),0,IF(ISERROR(AVERAGEIF(従業員の給与情報!$B:$B,$A848,従業員の給与情報!$F:$F)),0,AVERAGEIF(従業員の給与情報!$B:$B,$A848,従業員の給与情報!$F:$F)))))</f>
        <v/>
      </c>
      <c r="X848" s="581" t="s">
        <v>5587</v>
      </c>
    </row>
    <row r="849" spans="6:24">
      <c r="F849" s="297" t="str">
        <f>IF($G$1,"",IF(COUNTIF(A849:E849,"")=5,"",IF(G849,入力リスト!$K$28,IF(OR(A849="",B849="",IF(COUNTIF($C$3,"*不要*"),"",C849=""),D849=""),IF(A849="","従業員番号","")&amp;IF(B849="","「雇用形態」","")&amp;IF(OR(入力シート!$J$18=入力リスト!$H$9,入力シート!$J$22=入力リスト!$H$9),IF(C849="","「入社年月日」",""),"")&amp;IF(D849="","「性別」","")&amp;IF(IF(A849="","従業員番号","")&amp;IF(B849="","「雇用形態」","")&amp;IF(OR(入力シート!$J$18=入力リスト!$H$9,入力シート!$J$22=入力リスト!$H$9),IF(C849="","「入社年月日」",""),"")&amp;IF(D849="","「性別」","")="","",入力リスト!$K$29),IF(J849,入力リスト!$K$30,"")&amp;IF(I849,入力リスト!$K$31,"")&amp;IF(H849,"「雇用形態」","")&amp;IF(K849,"「性別」","")&amp;IF(L849,"「役職」","")&amp;IF(OR(H849,K849,L849),入力リスト!$K$32,"")))))</f>
        <v/>
      </c>
      <c r="G849" s="298" t="b">
        <f>COUNTIF($A$4:A848,$A849)&gt;0</f>
        <v>0</v>
      </c>
      <c r="H849" s="298" t="b">
        <f>IF($H$1,FALSE,COUNTIF(入力シート!$S$37:$V$62,B849)=0)</f>
        <v>0</v>
      </c>
      <c r="I849" s="298" t="b">
        <f t="shared" si="27"/>
        <v>0</v>
      </c>
      <c r="J849" s="298" t="b">
        <f>IF($J$1,FALSE,IF(I849=TRUE,FALSE,IF(I849,FALSE,C849&gt;入力シート!$J$24)))</f>
        <v>0</v>
      </c>
      <c r="K849" s="298" t="b">
        <f>IF($K$1,FALSE,COUNTIF(入力シート!$AW$37:$BB$38,D849)=0)</f>
        <v>0</v>
      </c>
      <c r="L849" s="298" t="b">
        <f>IF($L$1,FALSE,IF($L$3,FALSE,IF(E849="",FALSE,COUNTIF(入力シート!$AH$37:$AK$62,E849)=0)))</f>
        <v>0</v>
      </c>
      <c r="M849" s="298" t="str">
        <f t="shared" si="28"/>
        <v/>
      </c>
      <c r="N849" s="298" t="str">
        <f>IF(G849,"この従業員番号は、すでに他のセルで入力されています。",IF(入力シート!$C$5=入力リスト!$C$4,"",IF(AND(A849="",B849="",C849="",D849="",E849=""),"",IF(OR(A849="",B849="",C849="",D849=""),IF(A849="","従業員番号","")&amp;IF(AND(A849="",OR(B849="",C849="",D849="")),",","")&amp;IF(B849="","雇用形態","")&amp;IF(AND(B849="",OR(C849="",D849="")),",","")&amp;IF(OR(入力シート!$J$18=入力リスト!$H$9,入力シート!$J$22=入力リスト!$H$9),IF(C849="","入社年月日",""),"")&amp;IF(AND(C849="",D849=""),",","")&amp;IF(D849="","性別","")&amp;IF(IF(A849="","従業員番号","")&amp;IF(B849="","雇用形態","")&amp;IF(OR(入力シート!$J$18=入力リスト!$H$9,入力シート!$J$22=入力リスト!$H$9),IF(C849="","入社年月日",""),"")&amp;IF(D849="","性別","")="","","が空白です。"),IF(J849,"入社年月日に「基準日」の翌日以降の日付が入力されています。","")&amp;IF(I849,"入社年月日に数値以外（又は1900/1/1以前の日付）が入力されています。","")&amp;IF(H849,"雇用形態"&amp;IF(OR(K849,L849),",",""),"")&amp;IF(K849,"性別"&amp;IF(L849,",",""),"")&amp;IF(L849,"役職","")&amp;IF(OR(H849,K849,L849),"に、［入力シート］(4)「貴社」欄と異なる文言が入力されています。","")))))</f>
        <v/>
      </c>
      <c r="O849" s="298" t="str">
        <f>IF(B849="","",VLOOKUP('従業員情報(給与以外)'!$B849,入力シート!$S$37:$Z$62,5,0))</f>
        <v/>
      </c>
      <c r="P849" s="298" t="str">
        <f>IF(ISNUMBER(C849)=FALSE,"",IF(C849&gt;入力シート!$J$24,"",_xlfn.DAYS(入力シート!$J$24,'従業員情報(給与以外)'!$C849)/365))</f>
        <v/>
      </c>
      <c r="Q849" s="298" t="str">
        <f>IF(P849="","",VLOOKUP(_xlfn.DAYS(入力シート!$J$24,'従業員情報(給与以外)'!$C849)/365,入力リスト!$K$18:$L$26,2,2))</f>
        <v/>
      </c>
      <c r="R849" s="298" t="str">
        <f>IF(D849="","",VLOOKUP('従業員情報(給与以外)'!$D849,入力シート!$AW$37:$BB$38,4,0))</f>
        <v/>
      </c>
      <c r="S849" s="298" t="str">
        <f>IF(A849="","",IF(E849="","非役職",VLOOKUP('従業員情報(給与以外)'!$E849,入力シート!$AH$37:$AO$62,5,0)))</f>
        <v/>
      </c>
      <c r="T849" s="299" t="str">
        <f>IF(OR(入力シート!$C$5&lt;&gt;入力リスト!$C$3,COUNTIF(入力シート!$J$16:$S$23,入力リスト!$H$9)=0),"",IF($A849="","",IF(ISERROR(AVERAGEIF(従業員の給与情報!$B:$B,$A849,従業員の給与情報!$C:$C)),0,IF(ISERROR(AVERAGEIF(従業員の給与情報!$B:$B,$A849,従業員の給与情報!$C:$C)),0,AVERAGEIF(従業員の給与情報!$B:$B,$A849,従業員の給与情報!$C:$C)))))</f>
        <v/>
      </c>
      <c r="U849" s="299" t="str">
        <f>IF(OR(入力シート!$C$5&lt;&gt;入力リスト!$C$3,COUNTIF(入力シート!$J$16:$S$23,入力リスト!$H$9)=0),"",IF(A849="","",IF(ISERROR(AVERAGEIF(従業員の給与情報!$B:$B,$A849,従業員の給与情報!$D:$D)),0,IF(ISERROR(AVERAGEIF(従業員の給与情報!$B:$B,$A849,従業員の給与情報!$D:$D)),0,AVERAGEIF(従業員の給与情報!$B:$B,$A849,従業員の給与情報!$D:$D)))))</f>
        <v/>
      </c>
      <c r="V849" s="299" t="str">
        <f>IF(OR(入力シート!$C$5&lt;&gt;入力リスト!$C$3,COUNTIF(入力シート!$J$16:$S$23,入力リスト!$H$9)=0),"",IF(A849="","",IF(ISERROR(AVERAGEIF(従業員の給与情報!$B:$B,$A849,従業員の給与情報!$E:$E)),0,IF(ISERROR(AVERAGEIF(従業員の給与情報!$B:$B,$A849,従業員の給与情報!$E:$E)),0,AVERAGEIF(従業員の給与情報!$B:$B,$A849,従業員の給与情報!$E:$E)))))</f>
        <v/>
      </c>
      <c r="W849" s="299" t="str">
        <f>IF(OR(入力シート!$C$5&lt;&gt;入力リスト!$C$3,COUNTIF(入力シート!$J$16:$S$23,入力リスト!$H$9)=0),"",IF(A849="","",IF(ISERROR(AVERAGEIF(従業員の給与情報!$B:$B,$A849,従業員の給与情報!$F:$F)),0,IF(ISERROR(AVERAGEIF(従業員の給与情報!$B:$B,$A849,従業員の給与情報!$F:$F)),0,AVERAGEIF(従業員の給与情報!$B:$B,$A849,従業員の給与情報!$F:$F)))))</f>
        <v/>
      </c>
      <c r="X849" s="581" t="s">
        <v>5588</v>
      </c>
    </row>
    <row r="850" spans="6:24">
      <c r="F850" s="297" t="str">
        <f>IF($G$1,"",IF(COUNTIF(A850:E850,"")=5,"",IF(G850,入力リスト!$K$28,IF(OR(A850="",B850="",IF(COUNTIF($C$3,"*不要*"),"",C850=""),D850=""),IF(A850="","従業員番号","")&amp;IF(B850="","「雇用形態」","")&amp;IF(OR(入力シート!$J$18=入力リスト!$H$9,入力シート!$J$22=入力リスト!$H$9),IF(C850="","「入社年月日」",""),"")&amp;IF(D850="","「性別」","")&amp;IF(IF(A850="","従業員番号","")&amp;IF(B850="","「雇用形態」","")&amp;IF(OR(入力シート!$J$18=入力リスト!$H$9,入力シート!$J$22=入力リスト!$H$9),IF(C850="","「入社年月日」",""),"")&amp;IF(D850="","「性別」","")="","",入力リスト!$K$29),IF(J850,入力リスト!$K$30,"")&amp;IF(I850,入力リスト!$K$31,"")&amp;IF(H850,"「雇用形態」","")&amp;IF(K850,"「性別」","")&amp;IF(L850,"「役職」","")&amp;IF(OR(H850,K850,L850),入力リスト!$K$32,"")))))</f>
        <v/>
      </c>
      <c r="G850" s="298" t="b">
        <f>COUNTIF($A$4:A849,$A850)&gt;0</f>
        <v>0</v>
      </c>
      <c r="H850" s="298" t="b">
        <f>IF($H$1,FALSE,COUNTIF(入力シート!$S$37:$V$62,B850)=0)</f>
        <v>0</v>
      </c>
      <c r="I850" s="298" t="b">
        <f t="shared" si="27"/>
        <v>0</v>
      </c>
      <c r="J850" s="298" t="b">
        <f>IF($J$1,FALSE,IF(I850=TRUE,FALSE,IF(I850,FALSE,C850&gt;入力シート!$J$24)))</f>
        <v>0</v>
      </c>
      <c r="K850" s="298" t="b">
        <f>IF($K$1,FALSE,COUNTIF(入力シート!$AW$37:$BB$38,D850)=0)</f>
        <v>0</v>
      </c>
      <c r="L850" s="298" t="b">
        <f>IF($L$1,FALSE,IF($L$3,FALSE,IF(E850="",FALSE,COUNTIF(入力シート!$AH$37:$AK$62,E850)=0)))</f>
        <v>0</v>
      </c>
      <c r="M850" s="298" t="str">
        <f t="shared" si="28"/>
        <v/>
      </c>
      <c r="N850" s="298" t="str">
        <f>IF(G850,"この従業員番号は、すでに他のセルで入力されています。",IF(入力シート!$C$5=入力リスト!$C$4,"",IF(AND(A850="",B850="",C850="",D850="",E850=""),"",IF(OR(A850="",B850="",C850="",D850=""),IF(A850="","従業員番号","")&amp;IF(AND(A850="",OR(B850="",C850="",D850="")),",","")&amp;IF(B850="","雇用形態","")&amp;IF(AND(B850="",OR(C850="",D850="")),",","")&amp;IF(OR(入力シート!$J$18=入力リスト!$H$9,入力シート!$J$22=入力リスト!$H$9),IF(C850="","入社年月日",""),"")&amp;IF(AND(C850="",D850=""),",","")&amp;IF(D850="","性別","")&amp;IF(IF(A850="","従業員番号","")&amp;IF(B850="","雇用形態","")&amp;IF(OR(入力シート!$J$18=入力リスト!$H$9,入力シート!$J$22=入力リスト!$H$9),IF(C850="","入社年月日",""),"")&amp;IF(D850="","性別","")="","","が空白です。"),IF(J850,"入社年月日に「基準日」の翌日以降の日付が入力されています。","")&amp;IF(I850,"入社年月日に数値以外（又は1900/1/1以前の日付）が入力されています。","")&amp;IF(H850,"雇用形態"&amp;IF(OR(K850,L850),",",""),"")&amp;IF(K850,"性別"&amp;IF(L850,",",""),"")&amp;IF(L850,"役職","")&amp;IF(OR(H850,K850,L850),"に、［入力シート］(4)「貴社」欄と異なる文言が入力されています。","")))))</f>
        <v/>
      </c>
      <c r="O850" s="298" t="str">
        <f>IF(B850="","",VLOOKUP('従業員情報(給与以外)'!$B850,入力シート!$S$37:$Z$62,5,0))</f>
        <v/>
      </c>
      <c r="P850" s="298" t="str">
        <f>IF(ISNUMBER(C850)=FALSE,"",IF(C850&gt;入力シート!$J$24,"",_xlfn.DAYS(入力シート!$J$24,'従業員情報(給与以外)'!$C850)/365))</f>
        <v/>
      </c>
      <c r="Q850" s="298" t="str">
        <f>IF(P850="","",VLOOKUP(_xlfn.DAYS(入力シート!$J$24,'従業員情報(給与以外)'!$C850)/365,入力リスト!$K$18:$L$26,2,2))</f>
        <v/>
      </c>
      <c r="R850" s="298" t="str">
        <f>IF(D850="","",VLOOKUP('従業員情報(給与以外)'!$D850,入力シート!$AW$37:$BB$38,4,0))</f>
        <v/>
      </c>
      <c r="S850" s="298" t="str">
        <f>IF(A850="","",IF(E850="","非役職",VLOOKUP('従業員情報(給与以外)'!$E850,入力シート!$AH$37:$AO$62,5,0)))</f>
        <v/>
      </c>
      <c r="T850" s="299" t="str">
        <f>IF(OR(入力シート!$C$5&lt;&gt;入力リスト!$C$3,COUNTIF(入力シート!$J$16:$S$23,入力リスト!$H$9)=0),"",IF($A850="","",IF(ISERROR(AVERAGEIF(従業員の給与情報!$B:$B,$A850,従業員の給与情報!$C:$C)),0,IF(ISERROR(AVERAGEIF(従業員の給与情報!$B:$B,$A850,従業員の給与情報!$C:$C)),0,AVERAGEIF(従業員の給与情報!$B:$B,$A850,従業員の給与情報!$C:$C)))))</f>
        <v/>
      </c>
      <c r="U850" s="299" t="str">
        <f>IF(OR(入力シート!$C$5&lt;&gt;入力リスト!$C$3,COUNTIF(入力シート!$J$16:$S$23,入力リスト!$H$9)=0),"",IF(A850="","",IF(ISERROR(AVERAGEIF(従業員の給与情報!$B:$B,$A850,従業員の給与情報!$D:$D)),0,IF(ISERROR(AVERAGEIF(従業員の給与情報!$B:$B,$A850,従業員の給与情報!$D:$D)),0,AVERAGEIF(従業員の給与情報!$B:$B,$A850,従業員の給与情報!$D:$D)))))</f>
        <v/>
      </c>
      <c r="V850" s="299" t="str">
        <f>IF(OR(入力シート!$C$5&lt;&gt;入力リスト!$C$3,COUNTIF(入力シート!$J$16:$S$23,入力リスト!$H$9)=0),"",IF(A850="","",IF(ISERROR(AVERAGEIF(従業員の給与情報!$B:$B,$A850,従業員の給与情報!$E:$E)),0,IF(ISERROR(AVERAGEIF(従業員の給与情報!$B:$B,$A850,従業員の給与情報!$E:$E)),0,AVERAGEIF(従業員の給与情報!$B:$B,$A850,従業員の給与情報!$E:$E)))))</f>
        <v/>
      </c>
      <c r="W850" s="299" t="str">
        <f>IF(OR(入力シート!$C$5&lt;&gt;入力リスト!$C$3,COUNTIF(入力シート!$J$16:$S$23,入力リスト!$H$9)=0),"",IF(A850="","",IF(ISERROR(AVERAGEIF(従業員の給与情報!$B:$B,$A850,従業員の給与情報!$F:$F)),0,IF(ISERROR(AVERAGEIF(従業員の給与情報!$B:$B,$A850,従業員の給与情報!$F:$F)),0,AVERAGEIF(従業員の給与情報!$B:$B,$A850,従業員の給与情報!$F:$F)))))</f>
        <v/>
      </c>
      <c r="X850" s="581" t="s">
        <v>5589</v>
      </c>
    </row>
    <row r="851" spans="6:24">
      <c r="F851" s="297" t="str">
        <f>IF($G$1,"",IF(COUNTIF(A851:E851,"")=5,"",IF(G851,入力リスト!$K$28,IF(OR(A851="",B851="",IF(COUNTIF($C$3,"*不要*"),"",C851=""),D851=""),IF(A851="","従業員番号","")&amp;IF(B851="","「雇用形態」","")&amp;IF(OR(入力シート!$J$18=入力リスト!$H$9,入力シート!$J$22=入力リスト!$H$9),IF(C851="","「入社年月日」",""),"")&amp;IF(D851="","「性別」","")&amp;IF(IF(A851="","従業員番号","")&amp;IF(B851="","「雇用形態」","")&amp;IF(OR(入力シート!$J$18=入力リスト!$H$9,入力シート!$J$22=入力リスト!$H$9),IF(C851="","「入社年月日」",""),"")&amp;IF(D851="","「性別」","")="","",入力リスト!$K$29),IF(J851,入力リスト!$K$30,"")&amp;IF(I851,入力リスト!$K$31,"")&amp;IF(H851,"「雇用形態」","")&amp;IF(K851,"「性別」","")&amp;IF(L851,"「役職」","")&amp;IF(OR(H851,K851,L851),入力リスト!$K$32,"")))))</f>
        <v/>
      </c>
      <c r="G851" s="298" t="b">
        <f>COUNTIF($A$4:A850,$A851)&gt;0</f>
        <v>0</v>
      </c>
      <c r="H851" s="298" t="b">
        <f>IF($H$1,FALSE,COUNTIF(入力シート!$S$37:$V$62,B851)=0)</f>
        <v>0</v>
      </c>
      <c r="I851" s="298" t="b">
        <f t="shared" si="27"/>
        <v>0</v>
      </c>
      <c r="J851" s="298" t="b">
        <f>IF($J$1,FALSE,IF(I851=TRUE,FALSE,IF(I851,FALSE,C851&gt;入力シート!$J$24)))</f>
        <v>0</v>
      </c>
      <c r="K851" s="298" t="b">
        <f>IF($K$1,FALSE,COUNTIF(入力シート!$AW$37:$BB$38,D851)=0)</f>
        <v>0</v>
      </c>
      <c r="L851" s="298" t="b">
        <f>IF($L$1,FALSE,IF($L$3,FALSE,IF(E851="",FALSE,COUNTIF(入力シート!$AH$37:$AK$62,E851)=0)))</f>
        <v>0</v>
      </c>
      <c r="M851" s="298" t="str">
        <f t="shared" si="28"/>
        <v/>
      </c>
      <c r="N851" s="298" t="str">
        <f>IF(G851,"この従業員番号は、すでに他のセルで入力されています。",IF(入力シート!$C$5=入力リスト!$C$4,"",IF(AND(A851="",B851="",C851="",D851="",E851=""),"",IF(OR(A851="",B851="",C851="",D851=""),IF(A851="","従業員番号","")&amp;IF(AND(A851="",OR(B851="",C851="",D851="")),",","")&amp;IF(B851="","雇用形態","")&amp;IF(AND(B851="",OR(C851="",D851="")),",","")&amp;IF(OR(入力シート!$J$18=入力リスト!$H$9,入力シート!$J$22=入力リスト!$H$9),IF(C851="","入社年月日",""),"")&amp;IF(AND(C851="",D851=""),",","")&amp;IF(D851="","性別","")&amp;IF(IF(A851="","従業員番号","")&amp;IF(B851="","雇用形態","")&amp;IF(OR(入力シート!$J$18=入力リスト!$H$9,入力シート!$J$22=入力リスト!$H$9),IF(C851="","入社年月日",""),"")&amp;IF(D851="","性別","")="","","が空白です。"),IF(J851,"入社年月日に「基準日」の翌日以降の日付が入力されています。","")&amp;IF(I851,"入社年月日に数値以外（又は1900/1/1以前の日付）が入力されています。","")&amp;IF(H851,"雇用形態"&amp;IF(OR(K851,L851),",",""),"")&amp;IF(K851,"性別"&amp;IF(L851,",",""),"")&amp;IF(L851,"役職","")&amp;IF(OR(H851,K851,L851),"に、［入力シート］(4)「貴社」欄と異なる文言が入力されています。","")))))</f>
        <v/>
      </c>
      <c r="O851" s="298" t="str">
        <f>IF(B851="","",VLOOKUP('従業員情報(給与以外)'!$B851,入力シート!$S$37:$Z$62,5,0))</f>
        <v/>
      </c>
      <c r="P851" s="298" t="str">
        <f>IF(ISNUMBER(C851)=FALSE,"",IF(C851&gt;入力シート!$J$24,"",_xlfn.DAYS(入力シート!$J$24,'従業員情報(給与以外)'!$C851)/365))</f>
        <v/>
      </c>
      <c r="Q851" s="298" t="str">
        <f>IF(P851="","",VLOOKUP(_xlfn.DAYS(入力シート!$J$24,'従業員情報(給与以外)'!$C851)/365,入力リスト!$K$18:$L$26,2,2))</f>
        <v/>
      </c>
      <c r="R851" s="298" t="str">
        <f>IF(D851="","",VLOOKUP('従業員情報(給与以外)'!$D851,入力シート!$AW$37:$BB$38,4,0))</f>
        <v/>
      </c>
      <c r="S851" s="298" t="str">
        <f>IF(A851="","",IF(E851="","非役職",VLOOKUP('従業員情報(給与以外)'!$E851,入力シート!$AH$37:$AO$62,5,0)))</f>
        <v/>
      </c>
      <c r="T851" s="299" t="str">
        <f>IF(OR(入力シート!$C$5&lt;&gt;入力リスト!$C$3,COUNTIF(入力シート!$J$16:$S$23,入力リスト!$H$9)=0),"",IF($A851="","",IF(ISERROR(AVERAGEIF(従業員の給与情報!$B:$B,$A851,従業員の給与情報!$C:$C)),0,IF(ISERROR(AVERAGEIF(従業員の給与情報!$B:$B,$A851,従業員の給与情報!$C:$C)),0,AVERAGEIF(従業員の給与情報!$B:$B,$A851,従業員の給与情報!$C:$C)))))</f>
        <v/>
      </c>
      <c r="U851" s="299" t="str">
        <f>IF(OR(入力シート!$C$5&lt;&gt;入力リスト!$C$3,COUNTIF(入力シート!$J$16:$S$23,入力リスト!$H$9)=0),"",IF(A851="","",IF(ISERROR(AVERAGEIF(従業員の給与情報!$B:$B,$A851,従業員の給与情報!$D:$D)),0,IF(ISERROR(AVERAGEIF(従業員の給与情報!$B:$B,$A851,従業員の給与情報!$D:$D)),0,AVERAGEIF(従業員の給与情報!$B:$B,$A851,従業員の給与情報!$D:$D)))))</f>
        <v/>
      </c>
      <c r="V851" s="299" t="str">
        <f>IF(OR(入力シート!$C$5&lt;&gt;入力リスト!$C$3,COUNTIF(入力シート!$J$16:$S$23,入力リスト!$H$9)=0),"",IF(A851="","",IF(ISERROR(AVERAGEIF(従業員の給与情報!$B:$B,$A851,従業員の給与情報!$E:$E)),0,IF(ISERROR(AVERAGEIF(従業員の給与情報!$B:$B,$A851,従業員の給与情報!$E:$E)),0,AVERAGEIF(従業員の給与情報!$B:$B,$A851,従業員の給与情報!$E:$E)))))</f>
        <v/>
      </c>
      <c r="W851" s="299" t="str">
        <f>IF(OR(入力シート!$C$5&lt;&gt;入力リスト!$C$3,COUNTIF(入力シート!$J$16:$S$23,入力リスト!$H$9)=0),"",IF(A851="","",IF(ISERROR(AVERAGEIF(従業員の給与情報!$B:$B,$A851,従業員の給与情報!$F:$F)),0,IF(ISERROR(AVERAGEIF(従業員の給与情報!$B:$B,$A851,従業員の給与情報!$F:$F)),0,AVERAGEIF(従業員の給与情報!$B:$B,$A851,従業員の給与情報!$F:$F)))))</f>
        <v/>
      </c>
      <c r="X851" s="581" t="s">
        <v>5590</v>
      </c>
    </row>
    <row r="852" spans="6:24">
      <c r="F852" s="297" t="str">
        <f>IF($G$1,"",IF(COUNTIF(A852:E852,"")=5,"",IF(G852,入力リスト!$K$28,IF(OR(A852="",B852="",IF(COUNTIF($C$3,"*不要*"),"",C852=""),D852=""),IF(A852="","従業員番号","")&amp;IF(B852="","「雇用形態」","")&amp;IF(OR(入力シート!$J$18=入力リスト!$H$9,入力シート!$J$22=入力リスト!$H$9),IF(C852="","「入社年月日」",""),"")&amp;IF(D852="","「性別」","")&amp;IF(IF(A852="","従業員番号","")&amp;IF(B852="","「雇用形態」","")&amp;IF(OR(入力シート!$J$18=入力リスト!$H$9,入力シート!$J$22=入力リスト!$H$9),IF(C852="","「入社年月日」",""),"")&amp;IF(D852="","「性別」","")="","",入力リスト!$K$29),IF(J852,入力リスト!$K$30,"")&amp;IF(I852,入力リスト!$K$31,"")&amp;IF(H852,"「雇用形態」","")&amp;IF(K852,"「性別」","")&amp;IF(L852,"「役職」","")&amp;IF(OR(H852,K852,L852),入力リスト!$K$32,"")))))</f>
        <v/>
      </c>
      <c r="G852" s="298" t="b">
        <f>COUNTIF($A$4:A851,$A852)&gt;0</f>
        <v>0</v>
      </c>
      <c r="H852" s="298" t="b">
        <f>IF($H$1,FALSE,COUNTIF(入力シート!$S$37:$V$62,B852)=0)</f>
        <v>0</v>
      </c>
      <c r="I852" s="298" t="b">
        <f t="shared" si="27"/>
        <v>0</v>
      </c>
      <c r="J852" s="298" t="b">
        <f>IF($J$1,FALSE,IF(I852=TRUE,FALSE,IF(I852,FALSE,C852&gt;入力シート!$J$24)))</f>
        <v>0</v>
      </c>
      <c r="K852" s="298" t="b">
        <f>IF($K$1,FALSE,COUNTIF(入力シート!$AW$37:$BB$38,D852)=0)</f>
        <v>0</v>
      </c>
      <c r="L852" s="298" t="b">
        <f>IF($L$1,FALSE,IF($L$3,FALSE,IF(E852="",FALSE,COUNTIF(入力シート!$AH$37:$AK$62,E852)=0)))</f>
        <v>0</v>
      </c>
      <c r="M852" s="298" t="str">
        <f t="shared" si="28"/>
        <v/>
      </c>
      <c r="N852" s="298" t="str">
        <f>IF(G852,"この従業員番号は、すでに他のセルで入力されています。",IF(入力シート!$C$5=入力リスト!$C$4,"",IF(AND(A852="",B852="",C852="",D852="",E852=""),"",IF(OR(A852="",B852="",C852="",D852=""),IF(A852="","従業員番号","")&amp;IF(AND(A852="",OR(B852="",C852="",D852="")),",","")&amp;IF(B852="","雇用形態","")&amp;IF(AND(B852="",OR(C852="",D852="")),",","")&amp;IF(OR(入力シート!$J$18=入力リスト!$H$9,入力シート!$J$22=入力リスト!$H$9),IF(C852="","入社年月日",""),"")&amp;IF(AND(C852="",D852=""),",","")&amp;IF(D852="","性別","")&amp;IF(IF(A852="","従業員番号","")&amp;IF(B852="","雇用形態","")&amp;IF(OR(入力シート!$J$18=入力リスト!$H$9,入力シート!$J$22=入力リスト!$H$9),IF(C852="","入社年月日",""),"")&amp;IF(D852="","性別","")="","","が空白です。"),IF(J852,"入社年月日に「基準日」の翌日以降の日付が入力されています。","")&amp;IF(I852,"入社年月日に数値以外（又は1900/1/1以前の日付）が入力されています。","")&amp;IF(H852,"雇用形態"&amp;IF(OR(K852,L852),",",""),"")&amp;IF(K852,"性別"&amp;IF(L852,",",""),"")&amp;IF(L852,"役職","")&amp;IF(OR(H852,K852,L852),"に、［入力シート］(4)「貴社」欄と異なる文言が入力されています。","")))))</f>
        <v/>
      </c>
      <c r="O852" s="298" t="str">
        <f>IF(B852="","",VLOOKUP('従業員情報(給与以外)'!$B852,入力シート!$S$37:$Z$62,5,0))</f>
        <v/>
      </c>
      <c r="P852" s="298" t="str">
        <f>IF(ISNUMBER(C852)=FALSE,"",IF(C852&gt;入力シート!$J$24,"",_xlfn.DAYS(入力シート!$J$24,'従業員情報(給与以外)'!$C852)/365))</f>
        <v/>
      </c>
      <c r="Q852" s="298" t="str">
        <f>IF(P852="","",VLOOKUP(_xlfn.DAYS(入力シート!$J$24,'従業員情報(給与以外)'!$C852)/365,入力リスト!$K$18:$L$26,2,2))</f>
        <v/>
      </c>
      <c r="R852" s="298" t="str">
        <f>IF(D852="","",VLOOKUP('従業員情報(給与以外)'!$D852,入力シート!$AW$37:$BB$38,4,0))</f>
        <v/>
      </c>
      <c r="S852" s="298" t="str">
        <f>IF(A852="","",IF(E852="","非役職",VLOOKUP('従業員情報(給与以外)'!$E852,入力シート!$AH$37:$AO$62,5,0)))</f>
        <v/>
      </c>
      <c r="T852" s="299" t="str">
        <f>IF(OR(入力シート!$C$5&lt;&gt;入力リスト!$C$3,COUNTIF(入力シート!$J$16:$S$23,入力リスト!$H$9)=0),"",IF($A852="","",IF(ISERROR(AVERAGEIF(従業員の給与情報!$B:$B,$A852,従業員の給与情報!$C:$C)),0,IF(ISERROR(AVERAGEIF(従業員の給与情報!$B:$B,$A852,従業員の給与情報!$C:$C)),0,AVERAGEIF(従業員の給与情報!$B:$B,$A852,従業員の給与情報!$C:$C)))))</f>
        <v/>
      </c>
      <c r="U852" s="299" t="str">
        <f>IF(OR(入力シート!$C$5&lt;&gt;入力リスト!$C$3,COUNTIF(入力シート!$J$16:$S$23,入力リスト!$H$9)=0),"",IF(A852="","",IF(ISERROR(AVERAGEIF(従業員の給与情報!$B:$B,$A852,従業員の給与情報!$D:$D)),0,IF(ISERROR(AVERAGEIF(従業員の給与情報!$B:$B,$A852,従業員の給与情報!$D:$D)),0,AVERAGEIF(従業員の給与情報!$B:$B,$A852,従業員の給与情報!$D:$D)))))</f>
        <v/>
      </c>
      <c r="V852" s="299" t="str">
        <f>IF(OR(入力シート!$C$5&lt;&gt;入力リスト!$C$3,COUNTIF(入力シート!$J$16:$S$23,入力リスト!$H$9)=0),"",IF(A852="","",IF(ISERROR(AVERAGEIF(従業員の給与情報!$B:$B,$A852,従業員の給与情報!$E:$E)),0,IF(ISERROR(AVERAGEIF(従業員の給与情報!$B:$B,$A852,従業員の給与情報!$E:$E)),0,AVERAGEIF(従業員の給与情報!$B:$B,$A852,従業員の給与情報!$E:$E)))))</f>
        <v/>
      </c>
      <c r="W852" s="299" t="str">
        <f>IF(OR(入力シート!$C$5&lt;&gt;入力リスト!$C$3,COUNTIF(入力シート!$J$16:$S$23,入力リスト!$H$9)=0),"",IF(A852="","",IF(ISERROR(AVERAGEIF(従業員の給与情報!$B:$B,$A852,従業員の給与情報!$F:$F)),0,IF(ISERROR(AVERAGEIF(従業員の給与情報!$B:$B,$A852,従業員の給与情報!$F:$F)),0,AVERAGEIF(従業員の給与情報!$B:$B,$A852,従業員の給与情報!$F:$F)))))</f>
        <v/>
      </c>
      <c r="X852" s="581" t="s">
        <v>5591</v>
      </c>
    </row>
    <row r="853" spans="6:24">
      <c r="F853" s="297" t="str">
        <f>IF($G$1,"",IF(COUNTIF(A853:E853,"")=5,"",IF(G853,入力リスト!$K$28,IF(OR(A853="",B853="",IF(COUNTIF($C$3,"*不要*"),"",C853=""),D853=""),IF(A853="","従業員番号","")&amp;IF(B853="","「雇用形態」","")&amp;IF(OR(入力シート!$J$18=入力リスト!$H$9,入力シート!$J$22=入力リスト!$H$9),IF(C853="","「入社年月日」",""),"")&amp;IF(D853="","「性別」","")&amp;IF(IF(A853="","従業員番号","")&amp;IF(B853="","「雇用形態」","")&amp;IF(OR(入力シート!$J$18=入力リスト!$H$9,入力シート!$J$22=入力リスト!$H$9),IF(C853="","「入社年月日」",""),"")&amp;IF(D853="","「性別」","")="","",入力リスト!$K$29),IF(J853,入力リスト!$K$30,"")&amp;IF(I853,入力リスト!$K$31,"")&amp;IF(H853,"「雇用形態」","")&amp;IF(K853,"「性別」","")&amp;IF(L853,"「役職」","")&amp;IF(OR(H853,K853,L853),入力リスト!$K$32,"")))))</f>
        <v/>
      </c>
      <c r="G853" s="298" t="b">
        <f>COUNTIF($A$4:A852,$A853)&gt;0</f>
        <v>0</v>
      </c>
      <c r="H853" s="298" t="b">
        <f>IF($H$1,FALSE,COUNTIF(入力シート!$S$37:$V$62,B853)=0)</f>
        <v>0</v>
      </c>
      <c r="I853" s="298" t="b">
        <f t="shared" si="27"/>
        <v>0</v>
      </c>
      <c r="J853" s="298" t="b">
        <f>IF($J$1,FALSE,IF(I853=TRUE,FALSE,IF(I853,FALSE,C853&gt;入力シート!$J$24)))</f>
        <v>0</v>
      </c>
      <c r="K853" s="298" t="b">
        <f>IF($K$1,FALSE,COUNTIF(入力シート!$AW$37:$BB$38,D853)=0)</f>
        <v>0</v>
      </c>
      <c r="L853" s="298" t="b">
        <f>IF($L$1,FALSE,IF($L$3,FALSE,IF(E853="",FALSE,COUNTIF(入力シート!$AH$37:$AK$62,E853)=0)))</f>
        <v>0</v>
      </c>
      <c r="M853" s="298" t="str">
        <f t="shared" si="28"/>
        <v/>
      </c>
      <c r="N853" s="298" t="str">
        <f>IF(G853,"この従業員番号は、すでに他のセルで入力されています。",IF(入力シート!$C$5=入力リスト!$C$4,"",IF(AND(A853="",B853="",C853="",D853="",E853=""),"",IF(OR(A853="",B853="",C853="",D853=""),IF(A853="","従業員番号","")&amp;IF(AND(A853="",OR(B853="",C853="",D853="")),",","")&amp;IF(B853="","雇用形態","")&amp;IF(AND(B853="",OR(C853="",D853="")),",","")&amp;IF(OR(入力シート!$J$18=入力リスト!$H$9,入力シート!$J$22=入力リスト!$H$9),IF(C853="","入社年月日",""),"")&amp;IF(AND(C853="",D853=""),",","")&amp;IF(D853="","性別","")&amp;IF(IF(A853="","従業員番号","")&amp;IF(B853="","雇用形態","")&amp;IF(OR(入力シート!$J$18=入力リスト!$H$9,入力シート!$J$22=入力リスト!$H$9),IF(C853="","入社年月日",""),"")&amp;IF(D853="","性別","")="","","が空白です。"),IF(J853,"入社年月日に「基準日」の翌日以降の日付が入力されています。","")&amp;IF(I853,"入社年月日に数値以外（又は1900/1/1以前の日付）が入力されています。","")&amp;IF(H853,"雇用形態"&amp;IF(OR(K853,L853),",",""),"")&amp;IF(K853,"性別"&amp;IF(L853,",",""),"")&amp;IF(L853,"役職","")&amp;IF(OR(H853,K853,L853),"に、［入力シート］(4)「貴社」欄と異なる文言が入力されています。","")))))</f>
        <v/>
      </c>
      <c r="O853" s="298" t="str">
        <f>IF(B853="","",VLOOKUP('従業員情報(給与以外)'!$B853,入力シート!$S$37:$Z$62,5,0))</f>
        <v/>
      </c>
      <c r="P853" s="298" t="str">
        <f>IF(ISNUMBER(C853)=FALSE,"",IF(C853&gt;入力シート!$J$24,"",_xlfn.DAYS(入力シート!$J$24,'従業員情報(給与以外)'!$C853)/365))</f>
        <v/>
      </c>
      <c r="Q853" s="298" t="str">
        <f>IF(P853="","",VLOOKUP(_xlfn.DAYS(入力シート!$J$24,'従業員情報(給与以外)'!$C853)/365,入力リスト!$K$18:$L$26,2,2))</f>
        <v/>
      </c>
      <c r="R853" s="298" t="str">
        <f>IF(D853="","",VLOOKUP('従業員情報(給与以外)'!$D853,入力シート!$AW$37:$BB$38,4,0))</f>
        <v/>
      </c>
      <c r="S853" s="298" t="str">
        <f>IF(A853="","",IF(E853="","非役職",VLOOKUP('従業員情報(給与以外)'!$E853,入力シート!$AH$37:$AO$62,5,0)))</f>
        <v/>
      </c>
      <c r="T853" s="299" t="str">
        <f>IF(OR(入力シート!$C$5&lt;&gt;入力リスト!$C$3,COUNTIF(入力シート!$J$16:$S$23,入力リスト!$H$9)=0),"",IF($A853="","",IF(ISERROR(AVERAGEIF(従業員の給与情報!$B:$B,$A853,従業員の給与情報!$C:$C)),0,IF(ISERROR(AVERAGEIF(従業員の給与情報!$B:$B,$A853,従業員の給与情報!$C:$C)),0,AVERAGEIF(従業員の給与情報!$B:$B,$A853,従業員の給与情報!$C:$C)))))</f>
        <v/>
      </c>
      <c r="U853" s="299" t="str">
        <f>IF(OR(入力シート!$C$5&lt;&gt;入力リスト!$C$3,COUNTIF(入力シート!$J$16:$S$23,入力リスト!$H$9)=0),"",IF(A853="","",IF(ISERROR(AVERAGEIF(従業員の給与情報!$B:$B,$A853,従業員の給与情報!$D:$D)),0,IF(ISERROR(AVERAGEIF(従業員の給与情報!$B:$B,$A853,従業員の給与情報!$D:$D)),0,AVERAGEIF(従業員の給与情報!$B:$B,$A853,従業員の給与情報!$D:$D)))))</f>
        <v/>
      </c>
      <c r="V853" s="299" t="str">
        <f>IF(OR(入力シート!$C$5&lt;&gt;入力リスト!$C$3,COUNTIF(入力シート!$J$16:$S$23,入力リスト!$H$9)=0),"",IF(A853="","",IF(ISERROR(AVERAGEIF(従業員の給与情報!$B:$B,$A853,従業員の給与情報!$E:$E)),0,IF(ISERROR(AVERAGEIF(従業員の給与情報!$B:$B,$A853,従業員の給与情報!$E:$E)),0,AVERAGEIF(従業員の給与情報!$B:$B,$A853,従業員の給与情報!$E:$E)))))</f>
        <v/>
      </c>
      <c r="W853" s="299" t="str">
        <f>IF(OR(入力シート!$C$5&lt;&gt;入力リスト!$C$3,COUNTIF(入力シート!$J$16:$S$23,入力リスト!$H$9)=0),"",IF(A853="","",IF(ISERROR(AVERAGEIF(従業員の給与情報!$B:$B,$A853,従業員の給与情報!$F:$F)),0,IF(ISERROR(AVERAGEIF(従業員の給与情報!$B:$B,$A853,従業員の給与情報!$F:$F)),0,AVERAGEIF(従業員の給与情報!$B:$B,$A853,従業員の給与情報!$F:$F)))))</f>
        <v/>
      </c>
      <c r="X853" s="581" t="s">
        <v>5592</v>
      </c>
    </row>
    <row r="854" spans="6:24">
      <c r="F854" s="297" t="str">
        <f>IF($G$1,"",IF(COUNTIF(A854:E854,"")=5,"",IF(G854,入力リスト!$K$28,IF(OR(A854="",B854="",IF(COUNTIF($C$3,"*不要*"),"",C854=""),D854=""),IF(A854="","従業員番号","")&amp;IF(B854="","「雇用形態」","")&amp;IF(OR(入力シート!$J$18=入力リスト!$H$9,入力シート!$J$22=入力リスト!$H$9),IF(C854="","「入社年月日」",""),"")&amp;IF(D854="","「性別」","")&amp;IF(IF(A854="","従業員番号","")&amp;IF(B854="","「雇用形態」","")&amp;IF(OR(入力シート!$J$18=入力リスト!$H$9,入力シート!$J$22=入力リスト!$H$9),IF(C854="","「入社年月日」",""),"")&amp;IF(D854="","「性別」","")="","",入力リスト!$K$29),IF(J854,入力リスト!$K$30,"")&amp;IF(I854,入力リスト!$K$31,"")&amp;IF(H854,"「雇用形態」","")&amp;IF(K854,"「性別」","")&amp;IF(L854,"「役職」","")&amp;IF(OR(H854,K854,L854),入力リスト!$K$32,"")))))</f>
        <v/>
      </c>
      <c r="G854" s="298" t="b">
        <f>COUNTIF($A$4:A853,$A854)&gt;0</f>
        <v>0</v>
      </c>
      <c r="H854" s="298" t="b">
        <f>IF($H$1,FALSE,COUNTIF(入力シート!$S$37:$V$62,B854)=0)</f>
        <v>0</v>
      </c>
      <c r="I854" s="298" t="b">
        <f t="shared" si="27"/>
        <v>0</v>
      </c>
      <c r="J854" s="298" t="b">
        <f>IF($J$1,FALSE,IF(I854=TRUE,FALSE,IF(I854,FALSE,C854&gt;入力シート!$J$24)))</f>
        <v>0</v>
      </c>
      <c r="K854" s="298" t="b">
        <f>IF($K$1,FALSE,COUNTIF(入力シート!$AW$37:$BB$38,D854)=0)</f>
        <v>0</v>
      </c>
      <c r="L854" s="298" t="b">
        <f>IF($L$1,FALSE,IF($L$3,FALSE,IF(E854="",FALSE,COUNTIF(入力シート!$AH$37:$AK$62,E854)=0)))</f>
        <v>0</v>
      </c>
      <c r="M854" s="298" t="str">
        <f t="shared" si="28"/>
        <v/>
      </c>
      <c r="N854" s="298" t="str">
        <f>IF(G854,"この従業員番号は、すでに他のセルで入力されています。",IF(入力シート!$C$5=入力リスト!$C$4,"",IF(AND(A854="",B854="",C854="",D854="",E854=""),"",IF(OR(A854="",B854="",C854="",D854=""),IF(A854="","従業員番号","")&amp;IF(AND(A854="",OR(B854="",C854="",D854="")),",","")&amp;IF(B854="","雇用形態","")&amp;IF(AND(B854="",OR(C854="",D854="")),",","")&amp;IF(OR(入力シート!$J$18=入力リスト!$H$9,入力シート!$J$22=入力リスト!$H$9),IF(C854="","入社年月日",""),"")&amp;IF(AND(C854="",D854=""),",","")&amp;IF(D854="","性別","")&amp;IF(IF(A854="","従業員番号","")&amp;IF(B854="","雇用形態","")&amp;IF(OR(入力シート!$J$18=入力リスト!$H$9,入力シート!$J$22=入力リスト!$H$9),IF(C854="","入社年月日",""),"")&amp;IF(D854="","性別","")="","","が空白です。"),IF(J854,"入社年月日に「基準日」の翌日以降の日付が入力されています。","")&amp;IF(I854,"入社年月日に数値以外（又は1900/1/1以前の日付）が入力されています。","")&amp;IF(H854,"雇用形態"&amp;IF(OR(K854,L854),",",""),"")&amp;IF(K854,"性別"&amp;IF(L854,",",""),"")&amp;IF(L854,"役職","")&amp;IF(OR(H854,K854,L854),"に、［入力シート］(4)「貴社」欄と異なる文言が入力されています。","")))))</f>
        <v/>
      </c>
      <c r="O854" s="298" t="str">
        <f>IF(B854="","",VLOOKUP('従業員情報(給与以外)'!$B854,入力シート!$S$37:$Z$62,5,0))</f>
        <v/>
      </c>
      <c r="P854" s="298" t="str">
        <f>IF(ISNUMBER(C854)=FALSE,"",IF(C854&gt;入力シート!$J$24,"",_xlfn.DAYS(入力シート!$J$24,'従業員情報(給与以外)'!$C854)/365))</f>
        <v/>
      </c>
      <c r="Q854" s="298" t="str">
        <f>IF(P854="","",VLOOKUP(_xlfn.DAYS(入力シート!$J$24,'従業員情報(給与以外)'!$C854)/365,入力リスト!$K$18:$L$26,2,2))</f>
        <v/>
      </c>
      <c r="R854" s="298" t="str">
        <f>IF(D854="","",VLOOKUP('従業員情報(給与以外)'!$D854,入力シート!$AW$37:$BB$38,4,0))</f>
        <v/>
      </c>
      <c r="S854" s="298" t="str">
        <f>IF(A854="","",IF(E854="","非役職",VLOOKUP('従業員情報(給与以外)'!$E854,入力シート!$AH$37:$AO$62,5,0)))</f>
        <v/>
      </c>
      <c r="T854" s="299" t="str">
        <f>IF(OR(入力シート!$C$5&lt;&gt;入力リスト!$C$3,COUNTIF(入力シート!$J$16:$S$23,入力リスト!$H$9)=0),"",IF($A854="","",IF(ISERROR(AVERAGEIF(従業員の給与情報!$B:$B,$A854,従業員の給与情報!$C:$C)),0,IF(ISERROR(AVERAGEIF(従業員の給与情報!$B:$B,$A854,従業員の給与情報!$C:$C)),0,AVERAGEIF(従業員の給与情報!$B:$B,$A854,従業員の給与情報!$C:$C)))))</f>
        <v/>
      </c>
      <c r="U854" s="299" t="str">
        <f>IF(OR(入力シート!$C$5&lt;&gt;入力リスト!$C$3,COUNTIF(入力シート!$J$16:$S$23,入力リスト!$H$9)=0),"",IF(A854="","",IF(ISERROR(AVERAGEIF(従業員の給与情報!$B:$B,$A854,従業員の給与情報!$D:$D)),0,IF(ISERROR(AVERAGEIF(従業員の給与情報!$B:$B,$A854,従業員の給与情報!$D:$D)),0,AVERAGEIF(従業員の給与情報!$B:$B,$A854,従業員の給与情報!$D:$D)))))</f>
        <v/>
      </c>
      <c r="V854" s="299" t="str">
        <f>IF(OR(入力シート!$C$5&lt;&gt;入力リスト!$C$3,COUNTIF(入力シート!$J$16:$S$23,入力リスト!$H$9)=0),"",IF(A854="","",IF(ISERROR(AVERAGEIF(従業員の給与情報!$B:$B,$A854,従業員の給与情報!$E:$E)),0,IF(ISERROR(AVERAGEIF(従業員の給与情報!$B:$B,$A854,従業員の給与情報!$E:$E)),0,AVERAGEIF(従業員の給与情報!$B:$B,$A854,従業員の給与情報!$E:$E)))))</f>
        <v/>
      </c>
      <c r="W854" s="299" t="str">
        <f>IF(OR(入力シート!$C$5&lt;&gt;入力リスト!$C$3,COUNTIF(入力シート!$J$16:$S$23,入力リスト!$H$9)=0),"",IF(A854="","",IF(ISERROR(AVERAGEIF(従業員の給与情報!$B:$B,$A854,従業員の給与情報!$F:$F)),0,IF(ISERROR(AVERAGEIF(従業員の給与情報!$B:$B,$A854,従業員の給与情報!$F:$F)),0,AVERAGEIF(従業員の給与情報!$B:$B,$A854,従業員の給与情報!$F:$F)))))</f>
        <v/>
      </c>
      <c r="X854" s="581" t="s">
        <v>5593</v>
      </c>
    </row>
    <row r="855" spans="6:24">
      <c r="F855" s="297" t="str">
        <f>IF($G$1,"",IF(COUNTIF(A855:E855,"")=5,"",IF(G855,入力リスト!$K$28,IF(OR(A855="",B855="",IF(COUNTIF($C$3,"*不要*"),"",C855=""),D855=""),IF(A855="","従業員番号","")&amp;IF(B855="","「雇用形態」","")&amp;IF(OR(入力シート!$J$18=入力リスト!$H$9,入力シート!$J$22=入力リスト!$H$9),IF(C855="","「入社年月日」",""),"")&amp;IF(D855="","「性別」","")&amp;IF(IF(A855="","従業員番号","")&amp;IF(B855="","「雇用形態」","")&amp;IF(OR(入力シート!$J$18=入力リスト!$H$9,入力シート!$J$22=入力リスト!$H$9),IF(C855="","「入社年月日」",""),"")&amp;IF(D855="","「性別」","")="","",入力リスト!$K$29),IF(J855,入力リスト!$K$30,"")&amp;IF(I855,入力リスト!$K$31,"")&amp;IF(H855,"「雇用形態」","")&amp;IF(K855,"「性別」","")&amp;IF(L855,"「役職」","")&amp;IF(OR(H855,K855,L855),入力リスト!$K$32,"")))))</f>
        <v/>
      </c>
      <c r="G855" s="298" t="b">
        <f>COUNTIF($A$4:A854,$A855)&gt;0</f>
        <v>0</v>
      </c>
      <c r="H855" s="298" t="b">
        <f>IF($H$1,FALSE,COUNTIF(入力シート!$S$37:$V$62,B855)=0)</f>
        <v>0</v>
      </c>
      <c r="I855" s="298" t="b">
        <f t="shared" si="27"/>
        <v>0</v>
      </c>
      <c r="J855" s="298" t="b">
        <f>IF($J$1,FALSE,IF(I855=TRUE,FALSE,IF(I855,FALSE,C855&gt;入力シート!$J$24)))</f>
        <v>0</v>
      </c>
      <c r="K855" s="298" t="b">
        <f>IF($K$1,FALSE,COUNTIF(入力シート!$AW$37:$BB$38,D855)=0)</f>
        <v>0</v>
      </c>
      <c r="L855" s="298" t="b">
        <f>IF($L$1,FALSE,IF($L$3,FALSE,IF(E855="",FALSE,COUNTIF(入力シート!$AH$37:$AK$62,E855)=0)))</f>
        <v>0</v>
      </c>
      <c r="M855" s="298" t="str">
        <f t="shared" si="28"/>
        <v/>
      </c>
      <c r="N855" s="298" t="str">
        <f>IF(G855,"この従業員番号は、すでに他のセルで入力されています。",IF(入力シート!$C$5=入力リスト!$C$4,"",IF(AND(A855="",B855="",C855="",D855="",E855=""),"",IF(OR(A855="",B855="",C855="",D855=""),IF(A855="","従業員番号","")&amp;IF(AND(A855="",OR(B855="",C855="",D855="")),",","")&amp;IF(B855="","雇用形態","")&amp;IF(AND(B855="",OR(C855="",D855="")),",","")&amp;IF(OR(入力シート!$J$18=入力リスト!$H$9,入力シート!$J$22=入力リスト!$H$9),IF(C855="","入社年月日",""),"")&amp;IF(AND(C855="",D855=""),",","")&amp;IF(D855="","性別","")&amp;IF(IF(A855="","従業員番号","")&amp;IF(B855="","雇用形態","")&amp;IF(OR(入力シート!$J$18=入力リスト!$H$9,入力シート!$J$22=入力リスト!$H$9),IF(C855="","入社年月日",""),"")&amp;IF(D855="","性別","")="","","が空白です。"),IF(J855,"入社年月日に「基準日」の翌日以降の日付が入力されています。","")&amp;IF(I855,"入社年月日に数値以外（又は1900/1/1以前の日付）が入力されています。","")&amp;IF(H855,"雇用形態"&amp;IF(OR(K855,L855),",",""),"")&amp;IF(K855,"性別"&amp;IF(L855,",",""),"")&amp;IF(L855,"役職","")&amp;IF(OR(H855,K855,L855),"に、［入力シート］(4)「貴社」欄と異なる文言が入力されています。","")))))</f>
        <v/>
      </c>
      <c r="O855" s="298" t="str">
        <f>IF(B855="","",VLOOKUP('従業員情報(給与以外)'!$B855,入力シート!$S$37:$Z$62,5,0))</f>
        <v/>
      </c>
      <c r="P855" s="298" t="str">
        <f>IF(ISNUMBER(C855)=FALSE,"",IF(C855&gt;入力シート!$J$24,"",_xlfn.DAYS(入力シート!$J$24,'従業員情報(給与以外)'!$C855)/365))</f>
        <v/>
      </c>
      <c r="Q855" s="298" t="str">
        <f>IF(P855="","",VLOOKUP(_xlfn.DAYS(入力シート!$J$24,'従業員情報(給与以外)'!$C855)/365,入力リスト!$K$18:$L$26,2,2))</f>
        <v/>
      </c>
      <c r="R855" s="298" t="str">
        <f>IF(D855="","",VLOOKUP('従業員情報(給与以外)'!$D855,入力シート!$AW$37:$BB$38,4,0))</f>
        <v/>
      </c>
      <c r="S855" s="298" t="str">
        <f>IF(A855="","",IF(E855="","非役職",VLOOKUP('従業員情報(給与以外)'!$E855,入力シート!$AH$37:$AO$62,5,0)))</f>
        <v/>
      </c>
      <c r="T855" s="299" t="str">
        <f>IF(OR(入力シート!$C$5&lt;&gt;入力リスト!$C$3,COUNTIF(入力シート!$J$16:$S$23,入力リスト!$H$9)=0),"",IF($A855="","",IF(ISERROR(AVERAGEIF(従業員の給与情報!$B:$B,$A855,従業員の給与情報!$C:$C)),0,IF(ISERROR(AVERAGEIF(従業員の給与情報!$B:$B,$A855,従業員の給与情報!$C:$C)),0,AVERAGEIF(従業員の給与情報!$B:$B,$A855,従業員の給与情報!$C:$C)))))</f>
        <v/>
      </c>
      <c r="U855" s="299" t="str">
        <f>IF(OR(入力シート!$C$5&lt;&gt;入力リスト!$C$3,COUNTIF(入力シート!$J$16:$S$23,入力リスト!$H$9)=0),"",IF(A855="","",IF(ISERROR(AVERAGEIF(従業員の給与情報!$B:$B,$A855,従業員の給与情報!$D:$D)),0,IF(ISERROR(AVERAGEIF(従業員の給与情報!$B:$B,$A855,従業員の給与情報!$D:$D)),0,AVERAGEIF(従業員の給与情報!$B:$B,$A855,従業員の給与情報!$D:$D)))))</f>
        <v/>
      </c>
      <c r="V855" s="299" t="str">
        <f>IF(OR(入力シート!$C$5&lt;&gt;入力リスト!$C$3,COUNTIF(入力シート!$J$16:$S$23,入力リスト!$H$9)=0),"",IF(A855="","",IF(ISERROR(AVERAGEIF(従業員の給与情報!$B:$B,$A855,従業員の給与情報!$E:$E)),0,IF(ISERROR(AVERAGEIF(従業員の給与情報!$B:$B,$A855,従業員の給与情報!$E:$E)),0,AVERAGEIF(従業員の給与情報!$B:$B,$A855,従業員の給与情報!$E:$E)))))</f>
        <v/>
      </c>
      <c r="W855" s="299" t="str">
        <f>IF(OR(入力シート!$C$5&lt;&gt;入力リスト!$C$3,COUNTIF(入力シート!$J$16:$S$23,入力リスト!$H$9)=0),"",IF(A855="","",IF(ISERROR(AVERAGEIF(従業員の給与情報!$B:$B,$A855,従業員の給与情報!$F:$F)),0,IF(ISERROR(AVERAGEIF(従業員の給与情報!$B:$B,$A855,従業員の給与情報!$F:$F)),0,AVERAGEIF(従業員の給与情報!$B:$B,$A855,従業員の給与情報!$F:$F)))))</f>
        <v/>
      </c>
      <c r="X855" s="581" t="s">
        <v>5594</v>
      </c>
    </row>
    <row r="856" spans="6:24">
      <c r="F856" s="297" t="str">
        <f>IF($G$1,"",IF(COUNTIF(A856:E856,"")=5,"",IF(G856,入力リスト!$K$28,IF(OR(A856="",B856="",IF(COUNTIF($C$3,"*不要*"),"",C856=""),D856=""),IF(A856="","従業員番号","")&amp;IF(B856="","「雇用形態」","")&amp;IF(OR(入力シート!$J$18=入力リスト!$H$9,入力シート!$J$22=入力リスト!$H$9),IF(C856="","「入社年月日」",""),"")&amp;IF(D856="","「性別」","")&amp;IF(IF(A856="","従業員番号","")&amp;IF(B856="","「雇用形態」","")&amp;IF(OR(入力シート!$J$18=入力リスト!$H$9,入力シート!$J$22=入力リスト!$H$9),IF(C856="","「入社年月日」",""),"")&amp;IF(D856="","「性別」","")="","",入力リスト!$K$29),IF(J856,入力リスト!$K$30,"")&amp;IF(I856,入力リスト!$K$31,"")&amp;IF(H856,"「雇用形態」","")&amp;IF(K856,"「性別」","")&amp;IF(L856,"「役職」","")&amp;IF(OR(H856,K856,L856),入力リスト!$K$32,"")))))</f>
        <v/>
      </c>
      <c r="G856" s="298" t="b">
        <f>COUNTIF($A$4:A855,$A856)&gt;0</f>
        <v>0</v>
      </c>
      <c r="H856" s="298" t="b">
        <f>IF($H$1,FALSE,COUNTIF(入力シート!$S$37:$V$62,B856)=0)</f>
        <v>0</v>
      </c>
      <c r="I856" s="298" t="b">
        <f t="shared" si="27"/>
        <v>0</v>
      </c>
      <c r="J856" s="298" t="b">
        <f>IF($J$1,FALSE,IF(I856=TRUE,FALSE,IF(I856,FALSE,C856&gt;入力シート!$J$24)))</f>
        <v>0</v>
      </c>
      <c r="K856" s="298" t="b">
        <f>IF($K$1,FALSE,COUNTIF(入力シート!$AW$37:$BB$38,D856)=0)</f>
        <v>0</v>
      </c>
      <c r="L856" s="298" t="b">
        <f>IF($L$1,FALSE,IF($L$3,FALSE,IF(E856="",FALSE,COUNTIF(入力シート!$AH$37:$AK$62,E856)=0)))</f>
        <v>0</v>
      </c>
      <c r="M856" s="298" t="str">
        <f t="shared" si="28"/>
        <v/>
      </c>
      <c r="N856" s="298" t="str">
        <f>IF(G856,"この従業員番号は、すでに他のセルで入力されています。",IF(入力シート!$C$5=入力リスト!$C$4,"",IF(AND(A856="",B856="",C856="",D856="",E856=""),"",IF(OR(A856="",B856="",C856="",D856=""),IF(A856="","従業員番号","")&amp;IF(AND(A856="",OR(B856="",C856="",D856="")),",","")&amp;IF(B856="","雇用形態","")&amp;IF(AND(B856="",OR(C856="",D856="")),",","")&amp;IF(OR(入力シート!$J$18=入力リスト!$H$9,入力シート!$J$22=入力リスト!$H$9),IF(C856="","入社年月日",""),"")&amp;IF(AND(C856="",D856=""),",","")&amp;IF(D856="","性別","")&amp;IF(IF(A856="","従業員番号","")&amp;IF(B856="","雇用形態","")&amp;IF(OR(入力シート!$J$18=入力リスト!$H$9,入力シート!$J$22=入力リスト!$H$9),IF(C856="","入社年月日",""),"")&amp;IF(D856="","性別","")="","","が空白です。"),IF(J856,"入社年月日に「基準日」の翌日以降の日付が入力されています。","")&amp;IF(I856,"入社年月日に数値以外（又は1900/1/1以前の日付）が入力されています。","")&amp;IF(H856,"雇用形態"&amp;IF(OR(K856,L856),",",""),"")&amp;IF(K856,"性別"&amp;IF(L856,",",""),"")&amp;IF(L856,"役職","")&amp;IF(OR(H856,K856,L856),"に、［入力シート］(4)「貴社」欄と異なる文言が入力されています。","")))))</f>
        <v/>
      </c>
      <c r="O856" s="298" t="str">
        <f>IF(B856="","",VLOOKUP('従業員情報(給与以外)'!$B856,入力シート!$S$37:$Z$62,5,0))</f>
        <v/>
      </c>
      <c r="P856" s="298" t="str">
        <f>IF(ISNUMBER(C856)=FALSE,"",IF(C856&gt;入力シート!$J$24,"",_xlfn.DAYS(入力シート!$J$24,'従業員情報(給与以外)'!$C856)/365))</f>
        <v/>
      </c>
      <c r="Q856" s="298" t="str">
        <f>IF(P856="","",VLOOKUP(_xlfn.DAYS(入力シート!$J$24,'従業員情報(給与以外)'!$C856)/365,入力リスト!$K$18:$L$26,2,2))</f>
        <v/>
      </c>
      <c r="R856" s="298" t="str">
        <f>IF(D856="","",VLOOKUP('従業員情報(給与以外)'!$D856,入力シート!$AW$37:$BB$38,4,0))</f>
        <v/>
      </c>
      <c r="S856" s="298" t="str">
        <f>IF(A856="","",IF(E856="","非役職",VLOOKUP('従業員情報(給与以外)'!$E856,入力シート!$AH$37:$AO$62,5,0)))</f>
        <v/>
      </c>
      <c r="T856" s="299" t="str">
        <f>IF(OR(入力シート!$C$5&lt;&gt;入力リスト!$C$3,COUNTIF(入力シート!$J$16:$S$23,入力リスト!$H$9)=0),"",IF($A856="","",IF(ISERROR(AVERAGEIF(従業員の給与情報!$B:$B,$A856,従業員の給与情報!$C:$C)),0,IF(ISERROR(AVERAGEIF(従業員の給与情報!$B:$B,$A856,従業員の給与情報!$C:$C)),0,AVERAGEIF(従業員の給与情報!$B:$B,$A856,従業員の給与情報!$C:$C)))))</f>
        <v/>
      </c>
      <c r="U856" s="299" t="str">
        <f>IF(OR(入力シート!$C$5&lt;&gt;入力リスト!$C$3,COUNTIF(入力シート!$J$16:$S$23,入力リスト!$H$9)=0),"",IF(A856="","",IF(ISERROR(AVERAGEIF(従業員の給与情報!$B:$B,$A856,従業員の給与情報!$D:$D)),0,IF(ISERROR(AVERAGEIF(従業員の給与情報!$B:$B,$A856,従業員の給与情報!$D:$D)),0,AVERAGEIF(従業員の給与情報!$B:$B,$A856,従業員の給与情報!$D:$D)))))</f>
        <v/>
      </c>
      <c r="V856" s="299" t="str">
        <f>IF(OR(入力シート!$C$5&lt;&gt;入力リスト!$C$3,COUNTIF(入力シート!$J$16:$S$23,入力リスト!$H$9)=0),"",IF(A856="","",IF(ISERROR(AVERAGEIF(従業員の給与情報!$B:$B,$A856,従業員の給与情報!$E:$E)),0,IF(ISERROR(AVERAGEIF(従業員の給与情報!$B:$B,$A856,従業員の給与情報!$E:$E)),0,AVERAGEIF(従業員の給与情報!$B:$B,$A856,従業員の給与情報!$E:$E)))))</f>
        <v/>
      </c>
      <c r="W856" s="299" t="str">
        <f>IF(OR(入力シート!$C$5&lt;&gt;入力リスト!$C$3,COUNTIF(入力シート!$J$16:$S$23,入力リスト!$H$9)=0),"",IF(A856="","",IF(ISERROR(AVERAGEIF(従業員の給与情報!$B:$B,$A856,従業員の給与情報!$F:$F)),0,IF(ISERROR(AVERAGEIF(従業員の給与情報!$B:$B,$A856,従業員の給与情報!$F:$F)),0,AVERAGEIF(従業員の給与情報!$B:$B,$A856,従業員の給与情報!$F:$F)))))</f>
        <v/>
      </c>
      <c r="X856" s="581" t="s">
        <v>5595</v>
      </c>
    </row>
    <row r="857" spans="6:24">
      <c r="F857" s="297" t="str">
        <f>IF($G$1,"",IF(COUNTIF(A857:E857,"")=5,"",IF(G857,入力リスト!$K$28,IF(OR(A857="",B857="",IF(COUNTIF($C$3,"*不要*"),"",C857=""),D857=""),IF(A857="","従業員番号","")&amp;IF(B857="","「雇用形態」","")&amp;IF(OR(入力シート!$J$18=入力リスト!$H$9,入力シート!$J$22=入力リスト!$H$9),IF(C857="","「入社年月日」",""),"")&amp;IF(D857="","「性別」","")&amp;IF(IF(A857="","従業員番号","")&amp;IF(B857="","「雇用形態」","")&amp;IF(OR(入力シート!$J$18=入力リスト!$H$9,入力シート!$J$22=入力リスト!$H$9),IF(C857="","「入社年月日」",""),"")&amp;IF(D857="","「性別」","")="","",入力リスト!$K$29),IF(J857,入力リスト!$K$30,"")&amp;IF(I857,入力リスト!$K$31,"")&amp;IF(H857,"「雇用形態」","")&amp;IF(K857,"「性別」","")&amp;IF(L857,"「役職」","")&amp;IF(OR(H857,K857,L857),入力リスト!$K$32,"")))))</f>
        <v/>
      </c>
      <c r="G857" s="298" t="b">
        <f>COUNTIF($A$4:A856,$A857)&gt;0</f>
        <v>0</v>
      </c>
      <c r="H857" s="298" t="b">
        <f>IF($H$1,FALSE,COUNTIF(入力シート!$S$37:$V$62,B857)=0)</f>
        <v>0</v>
      </c>
      <c r="I857" s="298" t="b">
        <f t="shared" si="27"/>
        <v>0</v>
      </c>
      <c r="J857" s="298" t="b">
        <f>IF($J$1,FALSE,IF(I857=TRUE,FALSE,IF(I857,FALSE,C857&gt;入力シート!$J$24)))</f>
        <v>0</v>
      </c>
      <c r="K857" s="298" t="b">
        <f>IF($K$1,FALSE,COUNTIF(入力シート!$AW$37:$BB$38,D857)=0)</f>
        <v>0</v>
      </c>
      <c r="L857" s="298" t="b">
        <f>IF($L$1,FALSE,IF($L$3,FALSE,IF(E857="",FALSE,COUNTIF(入力シート!$AH$37:$AK$62,E857)=0)))</f>
        <v>0</v>
      </c>
      <c r="M857" s="298" t="str">
        <f t="shared" si="28"/>
        <v/>
      </c>
      <c r="N857" s="298" t="str">
        <f>IF(G857,"この従業員番号は、すでに他のセルで入力されています。",IF(入力シート!$C$5=入力リスト!$C$4,"",IF(AND(A857="",B857="",C857="",D857="",E857=""),"",IF(OR(A857="",B857="",C857="",D857=""),IF(A857="","従業員番号","")&amp;IF(AND(A857="",OR(B857="",C857="",D857="")),",","")&amp;IF(B857="","雇用形態","")&amp;IF(AND(B857="",OR(C857="",D857="")),",","")&amp;IF(OR(入力シート!$J$18=入力リスト!$H$9,入力シート!$J$22=入力リスト!$H$9),IF(C857="","入社年月日",""),"")&amp;IF(AND(C857="",D857=""),",","")&amp;IF(D857="","性別","")&amp;IF(IF(A857="","従業員番号","")&amp;IF(B857="","雇用形態","")&amp;IF(OR(入力シート!$J$18=入力リスト!$H$9,入力シート!$J$22=入力リスト!$H$9),IF(C857="","入社年月日",""),"")&amp;IF(D857="","性別","")="","","が空白です。"),IF(J857,"入社年月日に「基準日」の翌日以降の日付が入力されています。","")&amp;IF(I857,"入社年月日に数値以外（又は1900/1/1以前の日付）が入力されています。","")&amp;IF(H857,"雇用形態"&amp;IF(OR(K857,L857),",",""),"")&amp;IF(K857,"性別"&amp;IF(L857,",",""),"")&amp;IF(L857,"役職","")&amp;IF(OR(H857,K857,L857),"に、［入力シート］(4)「貴社」欄と異なる文言が入力されています。","")))))</f>
        <v/>
      </c>
      <c r="O857" s="298" t="str">
        <f>IF(B857="","",VLOOKUP('従業員情報(給与以外)'!$B857,入力シート!$S$37:$Z$62,5,0))</f>
        <v/>
      </c>
      <c r="P857" s="298" t="str">
        <f>IF(ISNUMBER(C857)=FALSE,"",IF(C857&gt;入力シート!$J$24,"",_xlfn.DAYS(入力シート!$J$24,'従業員情報(給与以外)'!$C857)/365))</f>
        <v/>
      </c>
      <c r="Q857" s="298" t="str">
        <f>IF(P857="","",VLOOKUP(_xlfn.DAYS(入力シート!$J$24,'従業員情報(給与以外)'!$C857)/365,入力リスト!$K$18:$L$26,2,2))</f>
        <v/>
      </c>
      <c r="R857" s="298" t="str">
        <f>IF(D857="","",VLOOKUP('従業員情報(給与以外)'!$D857,入力シート!$AW$37:$BB$38,4,0))</f>
        <v/>
      </c>
      <c r="S857" s="298" t="str">
        <f>IF(A857="","",IF(E857="","非役職",VLOOKUP('従業員情報(給与以外)'!$E857,入力シート!$AH$37:$AO$62,5,0)))</f>
        <v/>
      </c>
      <c r="T857" s="299" t="str">
        <f>IF(OR(入力シート!$C$5&lt;&gt;入力リスト!$C$3,COUNTIF(入力シート!$J$16:$S$23,入力リスト!$H$9)=0),"",IF($A857="","",IF(ISERROR(AVERAGEIF(従業員の給与情報!$B:$B,$A857,従業員の給与情報!$C:$C)),0,IF(ISERROR(AVERAGEIF(従業員の給与情報!$B:$B,$A857,従業員の給与情報!$C:$C)),0,AVERAGEIF(従業員の給与情報!$B:$B,$A857,従業員の給与情報!$C:$C)))))</f>
        <v/>
      </c>
      <c r="U857" s="299" t="str">
        <f>IF(OR(入力シート!$C$5&lt;&gt;入力リスト!$C$3,COUNTIF(入力シート!$J$16:$S$23,入力リスト!$H$9)=0),"",IF(A857="","",IF(ISERROR(AVERAGEIF(従業員の給与情報!$B:$B,$A857,従業員の給与情報!$D:$D)),0,IF(ISERROR(AVERAGEIF(従業員の給与情報!$B:$B,$A857,従業員の給与情報!$D:$D)),0,AVERAGEIF(従業員の給与情報!$B:$B,$A857,従業員の給与情報!$D:$D)))))</f>
        <v/>
      </c>
      <c r="V857" s="299" t="str">
        <f>IF(OR(入力シート!$C$5&lt;&gt;入力リスト!$C$3,COUNTIF(入力シート!$J$16:$S$23,入力リスト!$H$9)=0),"",IF(A857="","",IF(ISERROR(AVERAGEIF(従業員の給与情報!$B:$B,$A857,従業員の給与情報!$E:$E)),0,IF(ISERROR(AVERAGEIF(従業員の給与情報!$B:$B,$A857,従業員の給与情報!$E:$E)),0,AVERAGEIF(従業員の給与情報!$B:$B,$A857,従業員の給与情報!$E:$E)))))</f>
        <v/>
      </c>
      <c r="W857" s="299" t="str">
        <f>IF(OR(入力シート!$C$5&lt;&gt;入力リスト!$C$3,COUNTIF(入力シート!$J$16:$S$23,入力リスト!$H$9)=0),"",IF(A857="","",IF(ISERROR(AVERAGEIF(従業員の給与情報!$B:$B,$A857,従業員の給与情報!$F:$F)),0,IF(ISERROR(AVERAGEIF(従業員の給与情報!$B:$B,$A857,従業員の給与情報!$F:$F)),0,AVERAGEIF(従業員の給与情報!$B:$B,$A857,従業員の給与情報!$F:$F)))))</f>
        <v/>
      </c>
      <c r="X857" s="581" t="s">
        <v>5596</v>
      </c>
    </row>
    <row r="858" spans="6:24">
      <c r="F858" s="297" t="str">
        <f>IF($G$1,"",IF(COUNTIF(A858:E858,"")=5,"",IF(G858,入力リスト!$K$28,IF(OR(A858="",B858="",IF(COUNTIF($C$3,"*不要*"),"",C858=""),D858=""),IF(A858="","従業員番号","")&amp;IF(B858="","「雇用形態」","")&amp;IF(OR(入力シート!$J$18=入力リスト!$H$9,入力シート!$J$22=入力リスト!$H$9),IF(C858="","「入社年月日」",""),"")&amp;IF(D858="","「性別」","")&amp;IF(IF(A858="","従業員番号","")&amp;IF(B858="","「雇用形態」","")&amp;IF(OR(入力シート!$J$18=入力リスト!$H$9,入力シート!$J$22=入力リスト!$H$9),IF(C858="","「入社年月日」",""),"")&amp;IF(D858="","「性別」","")="","",入力リスト!$K$29),IF(J858,入力リスト!$K$30,"")&amp;IF(I858,入力リスト!$K$31,"")&amp;IF(H858,"「雇用形態」","")&amp;IF(K858,"「性別」","")&amp;IF(L858,"「役職」","")&amp;IF(OR(H858,K858,L858),入力リスト!$K$32,"")))))</f>
        <v/>
      </c>
      <c r="G858" s="298" t="b">
        <f>COUNTIF($A$4:A857,$A858)&gt;0</f>
        <v>0</v>
      </c>
      <c r="H858" s="298" t="b">
        <f>IF($H$1,FALSE,COUNTIF(入力シート!$S$37:$V$62,B858)=0)</f>
        <v>0</v>
      </c>
      <c r="I858" s="298" t="b">
        <f t="shared" si="27"/>
        <v>0</v>
      </c>
      <c r="J858" s="298" t="b">
        <f>IF($J$1,FALSE,IF(I858=TRUE,FALSE,IF(I858,FALSE,C858&gt;入力シート!$J$24)))</f>
        <v>0</v>
      </c>
      <c r="K858" s="298" t="b">
        <f>IF($K$1,FALSE,COUNTIF(入力シート!$AW$37:$BB$38,D858)=0)</f>
        <v>0</v>
      </c>
      <c r="L858" s="298" t="b">
        <f>IF($L$1,FALSE,IF($L$3,FALSE,IF(E858="",FALSE,COUNTIF(入力シート!$AH$37:$AK$62,E858)=0)))</f>
        <v>0</v>
      </c>
      <c r="M858" s="298" t="str">
        <f t="shared" si="28"/>
        <v/>
      </c>
      <c r="N858" s="298" t="str">
        <f>IF(G858,"この従業員番号は、すでに他のセルで入力されています。",IF(入力シート!$C$5=入力リスト!$C$4,"",IF(AND(A858="",B858="",C858="",D858="",E858=""),"",IF(OR(A858="",B858="",C858="",D858=""),IF(A858="","従業員番号","")&amp;IF(AND(A858="",OR(B858="",C858="",D858="")),",","")&amp;IF(B858="","雇用形態","")&amp;IF(AND(B858="",OR(C858="",D858="")),",","")&amp;IF(OR(入力シート!$J$18=入力リスト!$H$9,入力シート!$J$22=入力リスト!$H$9),IF(C858="","入社年月日",""),"")&amp;IF(AND(C858="",D858=""),",","")&amp;IF(D858="","性別","")&amp;IF(IF(A858="","従業員番号","")&amp;IF(B858="","雇用形態","")&amp;IF(OR(入力シート!$J$18=入力リスト!$H$9,入力シート!$J$22=入力リスト!$H$9),IF(C858="","入社年月日",""),"")&amp;IF(D858="","性別","")="","","が空白です。"),IF(J858,"入社年月日に「基準日」の翌日以降の日付が入力されています。","")&amp;IF(I858,"入社年月日に数値以外（又は1900/1/1以前の日付）が入力されています。","")&amp;IF(H858,"雇用形態"&amp;IF(OR(K858,L858),",",""),"")&amp;IF(K858,"性別"&amp;IF(L858,",",""),"")&amp;IF(L858,"役職","")&amp;IF(OR(H858,K858,L858),"に、［入力シート］(4)「貴社」欄と異なる文言が入力されています。","")))))</f>
        <v/>
      </c>
      <c r="O858" s="298" t="str">
        <f>IF(B858="","",VLOOKUP('従業員情報(給与以外)'!$B858,入力シート!$S$37:$Z$62,5,0))</f>
        <v/>
      </c>
      <c r="P858" s="298" t="str">
        <f>IF(ISNUMBER(C858)=FALSE,"",IF(C858&gt;入力シート!$J$24,"",_xlfn.DAYS(入力シート!$J$24,'従業員情報(給与以外)'!$C858)/365))</f>
        <v/>
      </c>
      <c r="Q858" s="298" t="str">
        <f>IF(P858="","",VLOOKUP(_xlfn.DAYS(入力シート!$J$24,'従業員情報(給与以外)'!$C858)/365,入力リスト!$K$18:$L$26,2,2))</f>
        <v/>
      </c>
      <c r="R858" s="298" t="str">
        <f>IF(D858="","",VLOOKUP('従業員情報(給与以外)'!$D858,入力シート!$AW$37:$BB$38,4,0))</f>
        <v/>
      </c>
      <c r="S858" s="298" t="str">
        <f>IF(A858="","",IF(E858="","非役職",VLOOKUP('従業員情報(給与以外)'!$E858,入力シート!$AH$37:$AO$62,5,0)))</f>
        <v/>
      </c>
      <c r="T858" s="299" t="str">
        <f>IF(OR(入力シート!$C$5&lt;&gt;入力リスト!$C$3,COUNTIF(入力シート!$J$16:$S$23,入力リスト!$H$9)=0),"",IF($A858="","",IF(ISERROR(AVERAGEIF(従業員の給与情報!$B:$B,$A858,従業員の給与情報!$C:$C)),0,IF(ISERROR(AVERAGEIF(従業員の給与情報!$B:$B,$A858,従業員の給与情報!$C:$C)),0,AVERAGEIF(従業員の給与情報!$B:$B,$A858,従業員の給与情報!$C:$C)))))</f>
        <v/>
      </c>
      <c r="U858" s="299" t="str">
        <f>IF(OR(入力シート!$C$5&lt;&gt;入力リスト!$C$3,COUNTIF(入力シート!$J$16:$S$23,入力リスト!$H$9)=0),"",IF(A858="","",IF(ISERROR(AVERAGEIF(従業員の給与情報!$B:$B,$A858,従業員の給与情報!$D:$D)),0,IF(ISERROR(AVERAGEIF(従業員の給与情報!$B:$B,$A858,従業員の給与情報!$D:$D)),0,AVERAGEIF(従業員の給与情報!$B:$B,$A858,従業員の給与情報!$D:$D)))))</f>
        <v/>
      </c>
      <c r="V858" s="299" t="str">
        <f>IF(OR(入力シート!$C$5&lt;&gt;入力リスト!$C$3,COUNTIF(入力シート!$J$16:$S$23,入力リスト!$H$9)=0),"",IF(A858="","",IF(ISERROR(AVERAGEIF(従業員の給与情報!$B:$B,$A858,従業員の給与情報!$E:$E)),0,IF(ISERROR(AVERAGEIF(従業員の給与情報!$B:$B,$A858,従業員の給与情報!$E:$E)),0,AVERAGEIF(従業員の給与情報!$B:$B,$A858,従業員の給与情報!$E:$E)))))</f>
        <v/>
      </c>
      <c r="W858" s="299" t="str">
        <f>IF(OR(入力シート!$C$5&lt;&gt;入力リスト!$C$3,COUNTIF(入力シート!$J$16:$S$23,入力リスト!$H$9)=0),"",IF(A858="","",IF(ISERROR(AVERAGEIF(従業員の給与情報!$B:$B,$A858,従業員の給与情報!$F:$F)),0,IF(ISERROR(AVERAGEIF(従業員の給与情報!$B:$B,$A858,従業員の給与情報!$F:$F)),0,AVERAGEIF(従業員の給与情報!$B:$B,$A858,従業員の給与情報!$F:$F)))))</f>
        <v/>
      </c>
      <c r="X858" s="581" t="s">
        <v>5597</v>
      </c>
    </row>
    <row r="859" spans="6:24">
      <c r="F859" s="297" t="str">
        <f>IF($G$1,"",IF(COUNTIF(A859:E859,"")=5,"",IF(G859,入力リスト!$K$28,IF(OR(A859="",B859="",IF(COUNTIF($C$3,"*不要*"),"",C859=""),D859=""),IF(A859="","従業員番号","")&amp;IF(B859="","「雇用形態」","")&amp;IF(OR(入力シート!$J$18=入力リスト!$H$9,入力シート!$J$22=入力リスト!$H$9),IF(C859="","「入社年月日」",""),"")&amp;IF(D859="","「性別」","")&amp;IF(IF(A859="","従業員番号","")&amp;IF(B859="","「雇用形態」","")&amp;IF(OR(入力シート!$J$18=入力リスト!$H$9,入力シート!$J$22=入力リスト!$H$9),IF(C859="","「入社年月日」",""),"")&amp;IF(D859="","「性別」","")="","",入力リスト!$K$29),IF(J859,入力リスト!$K$30,"")&amp;IF(I859,入力リスト!$K$31,"")&amp;IF(H859,"「雇用形態」","")&amp;IF(K859,"「性別」","")&amp;IF(L859,"「役職」","")&amp;IF(OR(H859,K859,L859),入力リスト!$K$32,"")))))</f>
        <v/>
      </c>
      <c r="G859" s="298" t="b">
        <f>COUNTIF($A$4:A858,$A859)&gt;0</f>
        <v>0</v>
      </c>
      <c r="H859" s="298" t="b">
        <f>IF($H$1,FALSE,COUNTIF(入力シート!$S$37:$V$62,B859)=0)</f>
        <v>0</v>
      </c>
      <c r="I859" s="298" t="b">
        <f t="shared" si="27"/>
        <v>0</v>
      </c>
      <c r="J859" s="298" t="b">
        <f>IF($J$1,FALSE,IF(I859=TRUE,FALSE,IF(I859,FALSE,C859&gt;入力シート!$J$24)))</f>
        <v>0</v>
      </c>
      <c r="K859" s="298" t="b">
        <f>IF($K$1,FALSE,COUNTIF(入力シート!$AW$37:$BB$38,D859)=0)</f>
        <v>0</v>
      </c>
      <c r="L859" s="298" t="b">
        <f>IF($L$1,FALSE,IF($L$3,FALSE,IF(E859="",FALSE,COUNTIF(入力シート!$AH$37:$AK$62,E859)=0)))</f>
        <v>0</v>
      </c>
      <c r="M859" s="298" t="str">
        <f t="shared" si="28"/>
        <v/>
      </c>
      <c r="N859" s="298" t="str">
        <f>IF(G859,"この従業員番号は、すでに他のセルで入力されています。",IF(入力シート!$C$5=入力リスト!$C$4,"",IF(AND(A859="",B859="",C859="",D859="",E859=""),"",IF(OR(A859="",B859="",C859="",D859=""),IF(A859="","従業員番号","")&amp;IF(AND(A859="",OR(B859="",C859="",D859="")),",","")&amp;IF(B859="","雇用形態","")&amp;IF(AND(B859="",OR(C859="",D859="")),",","")&amp;IF(OR(入力シート!$J$18=入力リスト!$H$9,入力シート!$J$22=入力リスト!$H$9),IF(C859="","入社年月日",""),"")&amp;IF(AND(C859="",D859=""),",","")&amp;IF(D859="","性別","")&amp;IF(IF(A859="","従業員番号","")&amp;IF(B859="","雇用形態","")&amp;IF(OR(入力シート!$J$18=入力リスト!$H$9,入力シート!$J$22=入力リスト!$H$9),IF(C859="","入社年月日",""),"")&amp;IF(D859="","性別","")="","","が空白です。"),IF(J859,"入社年月日に「基準日」の翌日以降の日付が入力されています。","")&amp;IF(I859,"入社年月日に数値以外（又は1900/1/1以前の日付）が入力されています。","")&amp;IF(H859,"雇用形態"&amp;IF(OR(K859,L859),",",""),"")&amp;IF(K859,"性別"&amp;IF(L859,",",""),"")&amp;IF(L859,"役職","")&amp;IF(OR(H859,K859,L859),"に、［入力シート］(4)「貴社」欄と異なる文言が入力されています。","")))))</f>
        <v/>
      </c>
      <c r="O859" s="298" t="str">
        <f>IF(B859="","",VLOOKUP('従業員情報(給与以外)'!$B859,入力シート!$S$37:$Z$62,5,0))</f>
        <v/>
      </c>
      <c r="P859" s="298" t="str">
        <f>IF(ISNUMBER(C859)=FALSE,"",IF(C859&gt;入力シート!$J$24,"",_xlfn.DAYS(入力シート!$J$24,'従業員情報(給与以外)'!$C859)/365))</f>
        <v/>
      </c>
      <c r="Q859" s="298" t="str">
        <f>IF(P859="","",VLOOKUP(_xlfn.DAYS(入力シート!$J$24,'従業員情報(給与以外)'!$C859)/365,入力リスト!$K$18:$L$26,2,2))</f>
        <v/>
      </c>
      <c r="R859" s="298" t="str">
        <f>IF(D859="","",VLOOKUP('従業員情報(給与以外)'!$D859,入力シート!$AW$37:$BB$38,4,0))</f>
        <v/>
      </c>
      <c r="S859" s="298" t="str">
        <f>IF(A859="","",IF(E859="","非役職",VLOOKUP('従業員情報(給与以外)'!$E859,入力シート!$AH$37:$AO$62,5,0)))</f>
        <v/>
      </c>
      <c r="T859" s="299" t="str">
        <f>IF(OR(入力シート!$C$5&lt;&gt;入力リスト!$C$3,COUNTIF(入力シート!$J$16:$S$23,入力リスト!$H$9)=0),"",IF($A859="","",IF(ISERROR(AVERAGEIF(従業員の給与情報!$B:$B,$A859,従業員の給与情報!$C:$C)),0,IF(ISERROR(AVERAGEIF(従業員の給与情報!$B:$B,$A859,従業員の給与情報!$C:$C)),0,AVERAGEIF(従業員の給与情報!$B:$B,$A859,従業員の給与情報!$C:$C)))))</f>
        <v/>
      </c>
      <c r="U859" s="299" t="str">
        <f>IF(OR(入力シート!$C$5&lt;&gt;入力リスト!$C$3,COUNTIF(入力シート!$J$16:$S$23,入力リスト!$H$9)=0),"",IF(A859="","",IF(ISERROR(AVERAGEIF(従業員の給与情報!$B:$B,$A859,従業員の給与情報!$D:$D)),0,IF(ISERROR(AVERAGEIF(従業員の給与情報!$B:$B,$A859,従業員の給与情報!$D:$D)),0,AVERAGEIF(従業員の給与情報!$B:$B,$A859,従業員の給与情報!$D:$D)))))</f>
        <v/>
      </c>
      <c r="V859" s="299" t="str">
        <f>IF(OR(入力シート!$C$5&lt;&gt;入力リスト!$C$3,COUNTIF(入力シート!$J$16:$S$23,入力リスト!$H$9)=0),"",IF(A859="","",IF(ISERROR(AVERAGEIF(従業員の給与情報!$B:$B,$A859,従業員の給与情報!$E:$E)),0,IF(ISERROR(AVERAGEIF(従業員の給与情報!$B:$B,$A859,従業員の給与情報!$E:$E)),0,AVERAGEIF(従業員の給与情報!$B:$B,$A859,従業員の給与情報!$E:$E)))))</f>
        <v/>
      </c>
      <c r="W859" s="299" t="str">
        <f>IF(OR(入力シート!$C$5&lt;&gt;入力リスト!$C$3,COUNTIF(入力シート!$J$16:$S$23,入力リスト!$H$9)=0),"",IF(A859="","",IF(ISERROR(AVERAGEIF(従業員の給与情報!$B:$B,$A859,従業員の給与情報!$F:$F)),0,IF(ISERROR(AVERAGEIF(従業員の給与情報!$B:$B,$A859,従業員の給与情報!$F:$F)),0,AVERAGEIF(従業員の給与情報!$B:$B,$A859,従業員の給与情報!$F:$F)))))</f>
        <v/>
      </c>
      <c r="X859" s="581" t="s">
        <v>5598</v>
      </c>
    </row>
    <row r="860" spans="6:24">
      <c r="F860" s="297" t="str">
        <f>IF($G$1,"",IF(COUNTIF(A860:E860,"")=5,"",IF(G860,入力リスト!$K$28,IF(OR(A860="",B860="",IF(COUNTIF($C$3,"*不要*"),"",C860=""),D860=""),IF(A860="","従業員番号","")&amp;IF(B860="","「雇用形態」","")&amp;IF(OR(入力シート!$J$18=入力リスト!$H$9,入力シート!$J$22=入力リスト!$H$9),IF(C860="","「入社年月日」",""),"")&amp;IF(D860="","「性別」","")&amp;IF(IF(A860="","従業員番号","")&amp;IF(B860="","「雇用形態」","")&amp;IF(OR(入力シート!$J$18=入力リスト!$H$9,入力シート!$J$22=入力リスト!$H$9),IF(C860="","「入社年月日」",""),"")&amp;IF(D860="","「性別」","")="","",入力リスト!$K$29),IF(J860,入力リスト!$K$30,"")&amp;IF(I860,入力リスト!$K$31,"")&amp;IF(H860,"「雇用形態」","")&amp;IF(K860,"「性別」","")&amp;IF(L860,"「役職」","")&amp;IF(OR(H860,K860,L860),入力リスト!$K$32,"")))))</f>
        <v/>
      </c>
      <c r="G860" s="298" t="b">
        <f>COUNTIF($A$4:A859,$A860)&gt;0</f>
        <v>0</v>
      </c>
      <c r="H860" s="298" t="b">
        <f>IF($H$1,FALSE,COUNTIF(入力シート!$S$37:$V$62,B860)=0)</f>
        <v>0</v>
      </c>
      <c r="I860" s="298" t="b">
        <f t="shared" si="27"/>
        <v>0</v>
      </c>
      <c r="J860" s="298" t="b">
        <f>IF($J$1,FALSE,IF(I860=TRUE,FALSE,IF(I860,FALSE,C860&gt;入力シート!$J$24)))</f>
        <v>0</v>
      </c>
      <c r="K860" s="298" t="b">
        <f>IF($K$1,FALSE,COUNTIF(入力シート!$AW$37:$BB$38,D860)=0)</f>
        <v>0</v>
      </c>
      <c r="L860" s="298" t="b">
        <f>IF($L$1,FALSE,IF($L$3,FALSE,IF(E860="",FALSE,COUNTIF(入力シート!$AH$37:$AK$62,E860)=0)))</f>
        <v>0</v>
      </c>
      <c r="M860" s="298" t="str">
        <f t="shared" si="28"/>
        <v/>
      </c>
      <c r="N860" s="298" t="str">
        <f>IF(G860,"この従業員番号は、すでに他のセルで入力されています。",IF(入力シート!$C$5=入力リスト!$C$4,"",IF(AND(A860="",B860="",C860="",D860="",E860=""),"",IF(OR(A860="",B860="",C860="",D860=""),IF(A860="","従業員番号","")&amp;IF(AND(A860="",OR(B860="",C860="",D860="")),",","")&amp;IF(B860="","雇用形態","")&amp;IF(AND(B860="",OR(C860="",D860="")),",","")&amp;IF(OR(入力シート!$J$18=入力リスト!$H$9,入力シート!$J$22=入力リスト!$H$9),IF(C860="","入社年月日",""),"")&amp;IF(AND(C860="",D860=""),",","")&amp;IF(D860="","性別","")&amp;IF(IF(A860="","従業員番号","")&amp;IF(B860="","雇用形態","")&amp;IF(OR(入力シート!$J$18=入力リスト!$H$9,入力シート!$J$22=入力リスト!$H$9),IF(C860="","入社年月日",""),"")&amp;IF(D860="","性別","")="","","が空白です。"),IF(J860,"入社年月日に「基準日」の翌日以降の日付が入力されています。","")&amp;IF(I860,"入社年月日に数値以外（又は1900/1/1以前の日付）が入力されています。","")&amp;IF(H860,"雇用形態"&amp;IF(OR(K860,L860),",",""),"")&amp;IF(K860,"性別"&amp;IF(L860,",",""),"")&amp;IF(L860,"役職","")&amp;IF(OR(H860,K860,L860),"に、［入力シート］(4)「貴社」欄と異なる文言が入力されています。","")))))</f>
        <v/>
      </c>
      <c r="O860" s="298" t="str">
        <f>IF(B860="","",VLOOKUP('従業員情報(給与以外)'!$B860,入力シート!$S$37:$Z$62,5,0))</f>
        <v/>
      </c>
      <c r="P860" s="298" t="str">
        <f>IF(ISNUMBER(C860)=FALSE,"",IF(C860&gt;入力シート!$J$24,"",_xlfn.DAYS(入力シート!$J$24,'従業員情報(給与以外)'!$C860)/365))</f>
        <v/>
      </c>
      <c r="Q860" s="298" t="str">
        <f>IF(P860="","",VLOOKUP(_xlfn.DAYS(入力シート!$J$24,'従業員情報(給与以外)'!$C860)/365,入力リスト!$K$18:$L$26,2,2))</f>
        <v/>
      </c>
      <c r="R860" s="298" t="str">
        <f>IF(D860="","",VLOOKUP('従業員情報(給与以外)'!$D860,入力シート!$AW$37:$BB$38,4,0))</f>
        <v/>
      </c>
      <c r="S860" s="298" t="str">
        <f>IF(A860="","",IF(E860="","非役職",VLOOKUP('従業員情報(給与以外)'!$E860,入力シート!$AH$37:$AO$62,5,0)))</f>
        <v/>
      </c>
      <c r="T860" s="299" t="str">
        <f>IF(OR(入力シート!$C$5&lt;&gt;入力リスト!$C$3,COUNTIF(入力シート!$J$16:$S$23,入力リスト!$H$9)=0),"",IF($A860="","",IF(ISERROR(AVERAGEIF(従業員の給与情報!$B:$B,$A860,従業員の給与情報!$C:$C)),0,IF(ISERROR(AVERAGEIF(従業員の給与情報!$B:$B,$A860,従業員の給与情報!$C:$C)),0,AVERAGEIF(従業員の給与情報!$B:$B,$A860,従業員の給与情報!$C:$C)))))</f>
        <v/>
      </c>
      <c r="U860" s="299" t="str">
        <f>IF(OR(入力シート!$C$5&lt;&gt;入力リスト!$C$3,COUNTIF(入力シート!$J$16:$S$23,入力リスト!$H$9)=0),"",IF(A860="","",IF(ISERROR(AVERAGEIF(従業員の給与情報!$B:$B,$A860,従業員の給与情報!$D:$D)),0,IF(ISERROR(AVERAGEIF(従業員の給与情報!$B:$B,$A860,従業員の給与情報!$D:$D)),0,AVERAGEIF(従業員の給与情報!$B:$B,$A860,従業員の給与情報!$D:$D)))))</f>
        <v/>
      </c>
      <c r="V860" s="299" t="str">
        <f>IF(OR(入力シート!$C$5&lt;&gt;入力リスト!$C$3,COUNTIF(入力シート!$J$16:$S$23,入力リスト!$H$9)=0),"",IF(A860="","",IF(ISERROR(AVERAGEIF(従業員の給与情報!$B:$B,$A860,従業員の給与情報!$E:$E)),0,IF(ISERROR(AVERAGEIF(従業員の給与情報!$B:$B,$A860,従業員の給与情報!$E:$E)),0,AVERAGEIF(従業員の給与情報!$B:$B,$A860,従業員の給与情報!$E:$E)))))</f>
        <v/>
      </c>
      <c r="W860" s="299" t="str">
        <f>IF(OR(入力シート!$C$5&lt;&gt;入力リスト!$C$3,COUNTIF(入力シート!$J$16:$S$23,入力リスト!$H$9)=0),"",IF(A860="","",IF(ISERROR(AVERAGEIF(従業員の給与情報!$B:$B,$A860,従業員の給与情報!$F:$F)),0,IF(ISERROR(AVERAGEIF(従業員の給与情報!$B:$B,$A860,従業員の給与情報!$F:$F)),0,AVERAGEIF(従業員の給与情報!$B:$B,$A860,従業員の給与情報!$F:$F)))))</f>
        <v/>
      </c>
      <c r="X860" s="581" t="s">
        <v>5599</v>
      </c>
    </row>
    <row r="861" spans="6:24">
      <c r="F861" s="297" t="str">
        <f>IF($G$1,"",IF(COUNTIF(A861:E861,"")=5,"",IF(G861,入力リスト!$K$28,IF(OR(A861="",B861="",IF(COUNTIF($C$3,"*不要*"),"",C861=""),D861=""),IF(A861="","従業員番号","")&amp;IF(B861="","「雇用形態」","")&amp;IF(OR(入力シート!$J$18=入力リスト!$H$9,入力シート!$J$22=入力リスト!$H$9),IF(C861="","「入社年月日」",""),"")&amp;IF(D861="","「性別」","")&amp;IF(IF(A861="","従業員番号","")&amp;IF(B861="","「雇用形態」","")&amp;IF(OR(入力シート!$J$18=入力リスト!$H$9,入力シート!$J$22=入力リスト!$H$9),IF(C861="","「入社年月日」",""),"")&amp;IF(D861="","「性別」","")="","",入力リスト!$K$29),IF(J861,入力リスト!$K$30,"")&amp;IF(I861,入力リスト!$K$31,"")&amp;IF(H861,"「雇用形態」","")&amp;IF(K861,"「性別」","")&amp;IF(L861,"「役職」","")&amp;IF(OR(H861,K861,L861),入力リスト!$K$32,"")))))</f>
        <v/>
      </c>
      <c r="G861" s="298" t="b">
        <f>COUNTIF($A$4:A860,$A861)&gt;0</f>
        <v>0</v>
      </c>
      <c r="H861" s="298" t="b">
        <f>IF($H$1,FALSE,COUNTIF(入力シート!$S$37:$V$62,B861)=0)</f>
        <v>0</v>
      </c>
      <c r="I861" s="298" t="b">
        <f t="shared" si="27"/>
        <v>0</v>
      </c>
      <c r="J861" s="298" t="b">
        <f>IF($J$1,FALSE,IF(I861=TRUE,FALSE,IF(I861,FALSE,C861&gt;入力シート!$J$24)))</f>
        <v>0</v>
      </c>
      <c r="K861" s="298" t="b">
        <f>IF($K$1,FALSE,COUNTIF(入力シート!$AW$37:$BB$38,D861)=0)</f>
        <v>0</v>
      </c>
      <c r="L861" s="298" t="b">
        <f>IF($L$1,FALSE,IF($L$3,FALSE,IF(E861="",FALSE,COUNTIF(入力シート!$AH$37:$AK$62,E861)=0)))</f>
        <v>0</v>
      </c>
      <c r="M861" s="298" t="str">
        <f t="shared" si="28"/>
        <v/>
      </c>
      <c r="N861" s="298" t="str">
        <f>IF(G861,"この従業員番号は、すでに他のセルで入力されています。",IF(入力シート!$C$5=入力リスト!$C$4,"",IF(AND(A861="",B861="",C861="",D861="",E861=""),"",IF(OR(A861="",B861="",C861="",D861=""),IF(A861="","従業員番号","")&amp;IF(AND(A861="",OR(B861="",C861="",D861="")),",","")&amp;IF(B861="","雇用形態","")&amp;IF(AND(B861="",OR(C861="",D861="")),",","")&amp;IF(OR(入力シート!$J$18=入力リスト!$H$9,入力シート!$J$22=入力リスト!$H$9),IF(C861="","入社年月日",""),"")&amp;IF(AND(C861="",D861=""),",","")&amp;IF(D861="","性別","")&amp;IF(IF(A861="","従業員番号","")&amp;IF(B861="","雇用形態","")&amp;IF(OR(入力シート!$J$18=入力リスト!$H$9,入力シート!$J$22=入力リスト!$H$9),IF(C861="","入社年月日",""),"")&amp;IF(D861="","性別","")="","","が空白です。"),IF(J861,"入社年月日に「基準日」の翌日以降の日付が入力されています。","")&amp;IF(I861,"入社年月日に数値以外（又は1900/1/1以前の日付）が入力されています。","")&amp;IF(H861,"雇用形態"&amp;IF(OR(K861,L861),",",""),"")&amp;IF(K861,"性別"&amp;IF(L861,",",""),"")&amp;IF(L861,"役職","")&amp;IF(OR(H861,K861,L861),"に、［入力シート］(4)「貴社」欄と異なる文言が入力されています。","")))))</f>
        <v/>
      </c>
      <c r="O861" s="298" t="str">
        <f>IF(B861="","",VLOOKUP('従業員情報(給与以外)'!$B861,入力シート!$S$37:$Z$62,5,0))</f>
        <v/>
      </c>
      <c r="P861" s="298" t="str">
        <f>IF(ISNUMBER(C861)=FALSE,"",IF(C861&gt;入力シート!$J$24,"",_xlfn.DAYS(入力シート!$J$24,'従業員情報(給与以外)'!$C861)/365))</f>
        <v/>
      </c>
      <c r="Q861" s="298" t="str">
        <f>IF(P861="","",VLOOKUP(_xlfn.DAYS(入力シート!$J$24,'従業員情報(給与以外)'!$C861)/365,入力リスト!$K$18:$L$26,2,2))</f>
        <v/>
      </c>
      <c r="R861" s="298" t="str">
        <f>IF(D861="","",VLOOKUP('従業員情報(給与以外)'!$D861,入力シート!$AW$37:$BB$38,4,0))</f>
        <v/>
      </c>
      <c r="S861" s="298" t="str">
        <f>IF(A861="","",IF(E861="","非役職",VLOOKUP('従業員情報(給与以外)'!$E861,入力シート!$AH$37:$AO$62,5,0)))</f>
        <v/>
      </c>
      <c r="T861" s="299" t="str">
        <f>IF(OR(入力シート!$C$5&lt;&gt;入力リスト!$C$3,COUNTIF(入力シート!$J$16:$S$23,入力リスト!$H$9)=0),"",IF($A861="","",IF(ISERROR(AVERAGEIF(従業員の給与情報!$B:$B,$A861,従業員の給与情報!$C:$C)),0,IF(ISERROR(AVERAGEIF(従業員の給与情報!$B:$B,$A861,従業員の給与情報!$C:$C)),0,AVERAGEIF(従業員の給与情報!$B:$B,$A861,従業員の給与情報!$C:$C)))))</f>
        <v/>
      </c>
      <c r="U861" s="299" t="str">
        <f>IF(OR(入力シート!$C$5&lt;&gt;入力リスト!$C$3,COUNTIF(入力シート!$J$16:$S$23,入力リスト!$H$9)=0),"",IF(A861="","",IF(ISERROR(AVERAGEIF(従業員の給与情報!$B:$B,$A861,従業員の給与情報!$D:$D)),0,IF(ISERROR(AVERAGEIF(従業員の給与情報!$B:$B,$A861,従業員の給与情報!$D:$D)),0,AVERAGEIF(従業員の給与情報!$B:$B,$A861,従業員の給与情報!$D:$D)))))</f>
        <v/>
      </c>
      <c r="V861" s="299" t="str">
        <f>IF(OR(入力シート!$C$5&lt;&gt;入力リスト!$C$3,COUNTIF(入力シート!$J$16:$S$23,入力リスト!$H$9)=0),"",IF(A861="","",IF(ISERROR(AVERAGEIF(従業員の給与情報!$B:$B,$A861,従業員の給与情報!$E:$E)),0,IF(ISERROR(AVERAGEIF(従業員の給与情報!$B:$B,$A861,従業員の給与情報!$E:$E)),0,AVERAGEIF(従業員の給与情報!$B:$B,$A861,従業員の給与情報!$E:$E)))))</f>
        <v/>
      </c>
      <c r="W861" s="299" t="str">
        <f>IF(OR(入力シート!$C$5&lt;&gt;入力リスト!$C$3,COUNTIF(入力シート!$J$16:$S$23,入力リスト!$H$9)=0),"",IF(A861="","",IF(ISERROR(AVERAGEIF(従業員の給与情報!$B:$B,$A861,従業員の給与情報!$F:$F)),0,IF(ISERROR(AVERAGEIF(従業員の給与情報!$B:$B,$A861,従業員の給与情報!$F:$F)),0,AVERAGEIF(従業員の給与情報!$B:$B,$A861,従業員の給与情報!$F:$F)))))</f>
        <v/>
      </c>
      <c r="X861" s="581" t="s">
        <v>5600</v>
      </c>
    </row>
    <row r="862" spans="6:24">
      <c r="F862" s="297" t="str">
        <f>IF($G$1,"",IF(COUNTIF(A862:E862,"")=5,"",IF(G862,入力リスト!$K$28,IF(OR(A862="",B862="",IF(COUNTIF($C$3,"*不要*"),"",C862=""),D862=""),IF(A862="","従業員番号","")&amp;IF(B862="","「雇用形態」","")&amp;IF(OR(入力シート!$J$18=入力リスト!$H$9,入力シート!$J$22=入力リスト!$H$9),IF(C862="","「入社年月日」",""),"")&amp;IF(D862="","「性別」","")&amp;IF(IF(A862="","従業員番号","")&amp;IF(B862="","「雇用形態」","")&amp;IF(OR(入力シート!$J$18=入力リスト!$H$9,入力シート!$J$22=入力リスト!$H$9),IF(C862="","「入社年月日」",""),"")&amp;IF(D862="","「性別」","")="","",入力リスト!$K$29),IF(J862,入力リスト!$K$30,"")&amp;IF(I862,入力リスト!$K$31,"")&amp;IF(H862,"「雇用形態」","")&amp;IF(K862,"「性別」","")&amp;IF(L862,"「役職」","")&amp;IF(OR(H862,K862,L862),入力リスト!$K$32,"")))))</f>
        <v/>
      </c>
      <c r="G862" s="298" t="b">
        <f>COUNTIF($A$4:A861,$A862)&gt;0</f>
        <v>0</v>
      </c>
      <c r="H862" s="298" t="b">
        <f>IF($H$1,FALSE,COUNTIF(入力シート!$S$37:$V$62,B862)=0)</f>
        <v>0</v>
      </c>
      <c r="I862" s="298" t="b">
        <f t="shared" si="27"/>
        <v>0</v>
      </c>
      <c r="J862" s="298" t="b">
        <f>IF($J$1,FALSE,IF(I862=TRUE,FALSE,IF(I862,FALSE,C862&gt;入力シート!$J$24)))</f>
        <v>0</v>
      </c>
      <c r="K862" s="298" t="b">
        <f>IF($K$1,FALSE,COUNTIF(入力シート!$AW$37:$BB$38,D862)=0)</f>
        <v>0</v>
      </c>
      <c r="L862" s="298" t="b">
        <f>IF($L$1,FALSE,IF($L$3,FALSE,IF(E862="",FALSE,COUNTIF(入力シート!$AH$37:$AK$62,E862)=0)))</f>
        <v>0</v>
      </c>
      <c r="M862" s="298" t="str">
        <f t="shared" si="28"/>
        <v/>
      </c>
      <c r="N862" s="298" t="str">
        <f>IF(G862,"この従業員番号は、すでに他のセルで入力されています。",IF(入力シート!$C$5=入力リスト!$C$4,"",IF(AND(A862="",B862="",C862="",D862="",E862=""),"",IF(OR(A862="",B862="",C862="",D862=""),IF(A862="","従業員番号","")&amp;IF(AND(A862="",OR(B862="",C862="",D862="")),",","")&amp;IF(B862="","雇用形態","")&amp;IF(AND(B862="",OR(C862="",D862="")),",","")&amp;IF(OR(入力シート!$J$18=入力リスト!$H$9,入力シート!$J$22=入力リスト!$H$9),IF(C862="","入社年月日",""),"")&amp;IF(AND(C862="",D862=""),",","")&amp;IF(D862="","性別","")&amp;IF(IF(A862="","従業員番号","")&amp;IF(B862="","雇用形態","")&amp;IF(OR(入力シート!$J$18=入力リスト!$H$9,入力シート!$J$22=入力リスト!$H$9),IF(C862="","入社年月日",""),"")&amp;IF(D862="","性別","")="","","が空白です。"),IF(J862,"入社年月日に「基準日」の翌日以降の日付が入力されています。","")&amp;IF(I862,"入社年月日に数値以外（又は1900/1/1以前の日付）が入力されています。","")&amp;IF(H862,"雇用形態"&amp;IF(OR(K862,L862),",",""),"")&amp;IF(K862,"性別"&amp;IF(L862,",",""),"")&amp;IF(L862,"役職","")&amp;IF(OR(H862,K862,L862),"に、［入力シート］(4)「貴社」欄と異なる文言が入力されています。","")))))</f>
        <v/>
      </c>
      <c r="O862" s="298" t="str">
        <f>IF(B862="","",VLOOKUP('従業員情報(給与以外)'!$B862,入力シート!$S$37:$Z$62,5,0))</f>
        <v/>
      </c>
      <c r="P862" s="298" t="str">
        <f>IF(ISNUMBER(C862)=FALSE,"",IF(C862&gt;入力シート!$J$24,"",_xlfn.DAYS(入力シート!$J$24,'従業員情報(給与以外)'!$C862)/365))</f>
        <v/>
      </c>
      <c r="Q862" s="298" t="str">
        <f>IF(P862="","",VLOOKUP(_xlfn.DAYS(入力シート!$J$24,'従業員情報(給与以外)'!$C862)/365,入力リスト!$K$18:$L$26,2,2))</f>
        <v/>
      </c>
      <c r="R862" s="298" t="str">
        <f>IF(D862="","",VLOOKUP('従業員情報(給与以外)'!$D862,入力シート!$AW$37:$BB$38,4,0))</f>
        <v/>
      </c>
      <c r="S862" s="298" t="str">
        <f>IF(A862="","",IF(E862="","非役職",VLOOKUP('従業員情報(給与以外)'!$E862,入力シート!$AH$37:$AO$62,5,0)))</f>
        <v/>
      </c>
      <c r="T862" s="299" t="str">
        <f>IF(OR(入力シート!$C$5&lt;&gt;入力リスト!$C$3,COUNTIF(入力シート!$J$16:$S$23,入力リスト!$H$9)=0),"",IF($A862="","",IF(ISERROR(AVERAGEIF(従業員の給与情報!$B:$B,$A862,従業員の給与情報!$C:$C)),0,IF(ISERROR(AVERAGEIF(従業員の給与情報!$B:$B,$A862,従業員の給与情報!$C:$C)),0,AVERAGEIF(従業員の給与情報!$B:$B,$A862,従業員の給与情報!$C:$C)))))</f>
        <v/>
      </c>
      <c r="U862" s="299" t="str">
        <f>IF(OR(入力シート!$C$5&lt;&gt;入力リスト!$C$3,COUNTIF(入力シート!$J$16:$S$23,入力リスト!$H$9)=0),"",IF(A862="","",IF(ISERROR(AVERAGEIF(従業員の給与情報!$B:$B,$A862,従業員の給与情報!$D:$D)),0,IF(ISERROR(AVERAGEIF(従業員の給与情報!$B:$B,$A862,従業員の給与情報!$D:$D)),0,AVERAGEIF(従業員の給与情報!$B:$B,$A862,従業員の給与情報!$D:$D)))))</f>
        <v/>
      </c>
      <c r="V862" s="299" t="str">
        <f>IF(OR(入力シート!$C$5&lt;&gt;入力リスト!$C$3,COUNTIF(入力シート!$J$16:$S$23,入力リスト!$H$9)=0),"",IF(A862="","",IF(ISERROR(AVERAGEIF(従業員の給与情報!$B:$B,$A862,従業員の給与情報!$E:$E)),0,IF(ISERROR(AVERAGEIF(従業員の給与情報!$B:$B,$A862,従業員の給与情報!$E:$E)),0,AVERAGEIF(従業員の給与情報!$B:$B,$A862,従業員の給与情報!$E:$E)))))</f>
        <v/>
      </c>
      <c r="W862" s="299" t="str">
        <f>IF(OR(入力シート!$C$5&lt;&gt;入力リスト!$C$3,COUNTIF(入力シート!$J$16:$S$23,入力リスト!$H$9)=0),"",IF(A862="","",IF(ISERROR(AVERAGEIF(従業員の給与情報!$B:$B,$A862,従業員の給与情報!$F:$F)),0,IF(ISERROR(AVERAGEIF(従業員の給与情報!$B:$B,$A862,従業員の給与情報!$F:$F)),0,AVERAGEIF(従業員の給与情報!$B:$B,$A862,従業員の給与情報!$F:$F)))))</f>
        <v/>
      </c>
      <c r="X862" s="581" t="s">
        <v>5601</v>
      </c>
    </row>
    <row r="863" spans="6:24">
      <c r="F863" s="297" t="str">
        <f>IF($G$1,"",IF(COUNTIF(A863:E863,"")=5,"",IF(G863,入力リスト!$K$28,IF(OR(A863="",B863="",IF(COUNTIF($C$3,"*不要*"),"",C863=""),D863=""),IF(A863="","従業員番号","")&amp;IF(B863="","「雇用形態」","")&amp;IF(OR(入力シート!$J$18=入力リスト!$H$9,入力シート!$J$22=入力リスト!$H$9),IF(C863="","「入社年月日」",""),"")&amp;IF(D863="","「性別」","")&amp;IF(IF(A863="","従業員番号","")&amp;IF(B863="","「雇用形態」","")&amp;IF(OR(入力シート!$J$18=入力リスト!$H$9,入力シート!$J$22=入力リスト!$H$9),IF(C863="","「入社年月日」",""),"")&amp;IF(D863="","「性別」","")="","",入力リスト!$K$29),IF(J863,入力リスト!$K$30,"")&amp;IF(I863,入力リスト!$K$31,"")&amp;IF(H863,"「雇用形態」","")&amp;IF(K863,"「性別」","")&amp;IF(L863,"「役職」","")&amp;IF(OR(H863,K863,L863),入力リスト!$K$32,"")))))</f>
        <v/>
      </c>
      <c r="G863" s="298" t="b">
        <f>COUNTIF($A$4:A862,$A863)&gt;0</f>
        <v>0</v>
      </c>
      <c r="H863" s="298" t="b">
        <f>IF($H$1,FALSE,COUNTIF(入力シート!$S$37:$V$62,B863)=0)</f>
        <v>0</v>
      </c>
      <c r="I863" s="298" t="b">
        <f t="shared" si="27"/>
        <v>0</v>
      </c>
      <c r="J863" s="298" t="b">
        <f>IF($J$1,FALSE,IF(I863=TRUE,FALSE,IF(I863,FALSE,C863&gt;入力シート!$J$24)))</f>
        <v>0</v>
      </c>
      <c r="K863" s="298" t="b">
        <f>IF($K$1,FALSE,COUNTIF(入力シート!$AW$37:$BB$38,D863)=0)</f>
        <v>0</v>
      </c>
      <c r="L863" s="298" t="b">
        <f>IF($L$1,FALSE,IF($L$3,FALSE,IF(E863="",FALSE,COUNTIF(入力シート!$AH$37:$AK$62,E863)=0)))</f>
        <v>0</v>
      </c>
      <c r="M863" s="298" t="str">
        <f t="shared" si="28"/>
        <v/>
      </c>
      <c r="N863" s="298" t="str">
        <f>IF(G863,"この従業員番号は、すでに他のセルで入力されています。",IF(入力シート!$C$5=入力リスト!$C$4,"",IF(AND(A863="",B863="",C863="",D863="",E863=""),"",IF(OR(A863="",B863="",C863="",D863=""),IF(A863="","従業員番号","")&amp;IF(AND(A863="",OR(B863="",C863="",D863="")),",","")&amp;IF(B863="","雇用形態","")&amp;IF(AND(B863="",OR(C863="",D863="")),",","")&amp;IF(OR(入力シート!$J$18=入力リスト!$H$9,入力シート!$J$22=入力リスト!$H$9),IF(C863="","入社年月日",""),"")&amp;IF(AND(C863="",D863=""),",","")&amp;IF(D863="","性別","")&amp;IF(IF(A863="","従業員番号","")&amp;IF(B863="","雇用形態","")&amp;IF(OR(入力シート!$J$18=入力リスト!$H$9,入力シート!$J$22=入力リスト!$H$9),IF(C863="","入社年月日",""),"")&amp;IF(D863="","性別","")="","","が空白です。"),IF(J863,"入社年月日に「基準日」の翌日以降の日付が入力されています。","")&amp;IF(I863,"入社年月日に数値以外（又は1900/1/1以前の日付）が入力されています。","")&amp;IF(H863,"雇用形態"&amp;IF(OR(K863,L863),",",""),"")&amp;IF(K863,"性別"&amp;IF(L863,",",""),"")&amp;IF(L863,"役職","")&amp;IF(OR(H863,K863,L863),"に、［入力シート］(4)「貴社」欄と異なる文言が入力されています。","")))))</f>
        <v/>
      </c>
      <c r="O863" s="298" t="str">
        <f>IF(B863="","",VLOOKUP('従業員情報(給与以外)'!$B863,入力シート!$S$37:$Z$62,5,0))</f>
        <v/>
      </c>
      <c r="P863" s="298" t="str">
        <f>IF(ISNUMBER(C863)=FALSE,"",IF(C863&gt;入力シート!$J$24,"",_xlfn.DAYS(入力シート!$J$24,'従業員情報(給与以外)'!$C863)/365))</f>
        <v/>
      </c>
      <c r="Q863" s="298" t="str">
        <f>IF(P863="","",VLOOKUP(_xlfn.DAYS(入力シート!$J$24,'従業員情報(給与以外)'!$C863)/365,入力リスト!$K$18:$L$26,2,2))</f>
        <v/>
      </c>
      <c r="R863" s="298" t="str">
        <f>IF(D863="","",VLOOKUP('従業員情報(給与以外)'!$D863,入力シート!$AW$37:$BB$38,4,0))</f>
        <v/>
      </c>
      <c r="S863" s="298" t="str">
        <f>IF(A863="","",IF(E863="","非役職",VLOOKUP('従業員情報(給与以外)'!$E863,入力シート!$AH$37:$AO$62,5,0)))</f>
        <v/>
      </c>
      <c r="T863" s="299" t="str">
        <f>IF(OR(入力シート!$C$5&lt;&gt;入力リスト!$C$3,COUNTIF(入力シート!$J$16:$S$23,入力リスト!$H$9)=0),"",IF($A863="","",IF(ISERROR(AVERAGEIF(従業員の給与情報!$B:$B,$A863,従業員の給与情報!$C:$C)),0,IF(ISERROR(AVERAGEIF(従業員の給与情報!$B:$B,$A863,従業員の給与情報!$C:$C)),0,AVERAGEIF(従業員の給与情報!$B:$B,$A863,従業員の給与情報!$C:$C)))))</f>
        <v/>
      </c>
      <c r="U863" s="299" t="str">
        <f>IF(OR(入力シート!$C$5&lt;&gt;入力リスト!$C$3,COUNTIF(入力シート!$J$16:$S$23,入力リスト!$H$9)=0),"",IF(A863="","",IF(ISERROR(AVERAGEIF(従業員の給与情報!$B:$B,$A863,従業員の給与情報!$D:$D)),0,IF(ISERROR(AVERAGEIF(従業員の給与情報!$B:$B,$A863,従業員の給与情報!$D:$D)),0,AVERAGEIF(従業員の給与情報!$B:$B,$A863,従業員の給与情報!$D:$D)))))</f>
        <v/>
      </c>
      <c r="V863" s="299" t="str">
        <f>IF(OR(入力シート!$C$5&lt;&gt;入力リスト!$C$3,COUNTIF(入力シート!$J$16:$S$23,入力リスト!$H$9)=0),"",IF(A863="","",IF(ISERROR(AVERAGEIF(従業員の給与情報!$B:$B,$A863,従業員の給与情報!$E:$E)),0,IF(ISERROR(AVERAGEIF(従業員の給与情報!$B:$B,$A863,従業員の給与情報!$E:$E)),0,AVERAGEIF(従業員の給与情報!$B:$B,$A863,従業員の給与情報!$E:$E)))))</f>
        <v/>
      </c>
      <c r="W863" s="299" t="str">
        <f>IF(OR(入力シート!$C$5&lt;&gt;入力リスト!$C$3,COUNTIF(入力シート!$J$16:$S$23,入力リスト!$H$9)=0),"",IF(A863="","",IF(ISERROR(AVERAGEIF(従業員の給与情報!$B:$B,$A863,従業員の給与情報!$F:$F)),0,IF(ISERROR(AVERAGEIF(従業員の給与情報!$B:$B,$A863,従業員の給与情報!$F:$F)),0,AVERAGEIF(従業員の給与情報!$B:$B,$A863,従業員の給与情報!$F:$F)))))</f>
        <v/>
      </c>
      <c r="X863" s="581" t="s">
        <v>5602</v>
      </c>
    </row>
    <row r="864" spans="6:24">
      <c r="F864" s="297" t="str">
        <f>IF($G$1,"",IF(COUNTIF(A864:E864,"")=5,"",IF(G864,入力リスト!$K$28,IF(OR(A864="",B864="",IF(COUNTIF($C$3,"*不要*"),"",C864=""),D864=""),IF(A864="","従業員番号","")&amp;IF(B864="","「雇用形態」","")&amp;IF(OR(入力シート!$J$18=入力リスト!$H$9,入力シート!$J$22=入力リスト!$H$9),IF(C864="","「入社年月日」",""),"")&amp;IF(D864="","「性別」","")&amp;IF(IF(A864="","従業員番号","")&amp;IF(B864="","「雇用形態」","")&amp;IF(OR(入力シート!$J$18=入力リスト!$H$9,入力シート!$J$22=入力リスト!$H$9),IF(C864="","「入社年月日」",""),"")&amp;IF(D864="","「性別」","")="","",入力リスト!$K$29),IF(J864,入力リスト!$K$30,"")&amp;IF(I864,入力リスト!$K$31,"")&amp;IF(H864,"「雇用形態」","")&amp;IF(K864,"「性別」","")&amp;IF(L864,"「役職」","")&amp;IF(OR(H864,K864,L864),入力リスト!$K$32,"")))))</f>
        <v/>
      </c>
      <c r="G864" s="298" t="b">
        <f>COUNTIF($A$4:A863,$A864)&gt;0</f>
        <v>0</v>
      </c>
      <c r="H864" s="298" t="b">
        <f>IF($H$1,FALSE,COUNTIF(入力シート!$S$37:$V$62,B864)=0)</f>
        <v>0</v>
      </c>
      <c r="I864" s="298" t="b">
        <f t="shared" si="27"/>
        <v>0</v>
      </c>
      <c r="J864" s="298" t="b">
        <f>IF($J$1,FALSE,IF(I864=TRUE,FALSE,IF(I864,FALSE,C864&gt;入力シート!$J$24)))</f>
        <v>0</v>
      </c>
      <c r="K864" s="298" t="b">
        <f>IF($K$1,FALSE,COUNTIF(入力シート!$AW$37:$BB$38,D864)=0)</f>
        <v>0</v>
      </c>
      <c r="L864" s="298" t="b">
        <f>IF($L$1,FALSE,IF($L$3,FALSE,IF(E864="",FALSE,COUNTIF(入力シート!$AH$37:$AK$62,E864)=0)))</f>
        <v>0</v>
      </c>
      <c r="M864" s="298" t="str">
        <f t="shared" si="28"/>
        <v/>
      </c>
      <c r="N864" s="298" t="str">
        <f>IF(G864,"この従業員番号は、すでに他のセルで入力されています。",IF(入力シート!$C$5=入力リスト!$C$4,"",IF(AND(A864="",B864="",C864="",D864="",E864=""),"",IF(OR(A864="",B864="",C864="",D864=""),IF(A864="","従業員番号","")&amp;IF(AND(A864="",OR(B864="",C864="",D864="")),",","")&amp;IF(B864="","雇用形態","")&amp;IF(AND(B864="",OR(C864="",D864="")),",","")&amp;IF(OR(入力シート!$J$18=入力リスト!$H$9,入力シート!$J$22=入力リスト!$H$9),IF(C864="","入社年月日",""),"")&amp;IF(AND(C864="",D864=""),",","")&amp;IF(D864="","性別","")&amp;IF(IF(A864="","従業員番号","")&amp;IF(B864="","雇用形態","")&amp;IF(OR(入力シート!$J$18=入力リスト!$H$9,入力シート!$J$22=入力リスト!$H$9),IF(C864="","入社年月日",""),"")&amp;IF(D864="","性別","")="","","が空白です。"),IF(J864,"入社年月日に「基準日」の翌日以降の日付が入力されています。","")&amp;IF(I864,"入社年月日に数値以外（又は1900/1/1以前の日付）が入力されています。","")&amp;IF(H864,"雇用形態"&amp;IF(OR(K864,L864),",",""),"")&amp;IF(K864,"性別"&amp;IF(L864,",",""),"")&amp;IF(L864,"役職","")&amp;IF(OR(H864,K864,L864),"に、［入力シート］(4)「貴社」欄と異なる文言が入力されています。","")))))</f>
        <v/>
      </c>
      <c r="O864" s="298" t="str">
        <f>IF(B864="","",VLOOKUP('従業員情報(給与以外)'!$B864,入力シート!$S$37:$Z$62,5,0))</f>
        <v/>
      </c>
      <c r="P864" s="298" t="str">
        <f>IF(ISNUMBER(C864)=FALSE,"",IF(C864&gt;入力シート!$J$24,"",_xlfn.DAYS(入力シート!$J$24,'従業員情報(給与以外)'!$C864)/365))</f>
        <v/>
      </c>
      <c r="Q864" s="298" t="str">
        <f>IF(P864="","",VLOOKUP(_xlfn.DAYS(入力シート!$J$24,'従業員情報(給与以外)'!$C864)/365,入力リスト!$K$18:$L$26,2,2))</f>
        <v/>
      </c>
      <c r="R864" s="298" t="str">
        <f>IF(D864="","",VLOOKUP('従業員情報(給与以外)'!$D864,入力シート!$AW$37:$BB$38,4,0))</f>
        <v/>
      </c>
      <c r="S864" s="298" t="str">
        <f>IF(A864="","",IF(E864="","非役職",VLOOKUP('従業員情報(給与以外)'!$E864,入力シート!$AH$37:$AO$62,5,0)))</f>
        <v/>
      </c>
      <c r="T864" s="299" t="str">
        <f>IF(OR(入力シート!$C$5&lt;&gt;入力リスト!$C$3,COUNTIF(入力シート!$J$16:$S$23,入力リスト!$H$9)=0),"",IF($A864="","",IF(ISERROR(AVERAGEIF(従業員の給与情報!$B:$B,$A864,従業員の給与情報!$C:$C)),0,IF(ISERROR(AVERAGEIF(従業員の給与情報!$B:$B,$A864,従業員の給与情報!$C:$C)),0,AVERAGEIF(従業員の給与情報!$B:$B,$A864,従業員の給与情報!$C:$C)))))</f>
        <v/>
      </c>
      <c r="U864" s="299" t="str">
        <f>IF(OR(入力シート!$C$5&lt;&gt;入力リスト!$C$3,COUNTIF(入力シート!$J$16:$S$23,入力リスト!$H$9)=0),"",IF(A864="","",IF(ISERROR(AVERAGEIF(従業員の給与情報!$B:$B,$A864,従業員の給与情報!$D:$D)),0,IF(ISERROR(AVERAGEIF(従業員の給与情報!$B:$B,$A864,従業員の給与情報!$D:$D)),0,AVERAGEIF(従業員の給与情報!$B:$B,$A864,従業員の給与情報!$D:$D)))))</f>
        <v/>
      </c>
      <c r="V864" s="299" t="str">
        <f>IF(OR(入力シート!$C$5&lt;&gt;入力リスト!$C$3,COUNTIF(入力シート!$J$16:$S$23,入力リスト!$H$9)=0),"",IF(A864="","",IF(ISERROR(AVERAGEIF(従業員の給与情報!$B:$B,$A864,従業員の給与情報!$E:$E)),0,IF(ISERROR(AVERAGEIF(従業員の給与情報!$B:$B,$A864,従業員の給与情報!$E:$E)),0,AVERAGEIF(従業員の給与情報!$B:$B,$A864,従業員の給与情報!$E:$E)))))</f>
        <v/>
      </c>
      <c r="W864" s="299" t="str">
        <f>IF(OR(入力シート!$C$5&lt;&gt;入力リスト!$C$3,COUNTIF(入力シート!$J$16:$S$23,入力リスト!$H$9)=0),"",IF(A864="","",IF(ISERROR(AVERAGEIF(従業員の給与情報!$B:$B,$A864,従業員の給与情報!$F:$F)),0,IF(ISERROR(AVERAGEIF(従業員の給与情報!$B:$B,$A864,従業員の給与情報!$F:$F)),0,AVERAGEIF(従業員の給与情報!$B:$B,$A864,従業員の給与情報!$F:$F)))))</f>
        <v/>
      </c>
      <c r="X864" s="581" t="s">
        <v>5603</v>
      </c>
    </row>
    <row r="865" spans="6:24">
      <c r="F865" s="297" t="str">
        <f>IF($G$1,"",IF(COUNTIF(A865:E865,"")=5,"",IF(G865,入力リスト!$K$28,IF(OR(A865="",B865="",IF(COUNTIF($C$3,"*不要*"),"",C865=""),D865=""),IF(A865="","従業員番号","")&amp;IF(B865="","「雇用形態」","")&amp;IF(OR(入力シート!$J$18=入力リスト!$H$9,入力シート!$J$22=入力リスト!$H$9),IF(C865="","「入社年月日」",""),"")&amp;IF(D865="","「性別」","")&amp;IF(IF(A865="","従業員番号","")&amp;IF(B865="","「雇用形態」","")&amp;IF(OR(入力シート!$J$18=入力リスト!$H$9,入力シート!$J$22=入力リスト!$H$9),IF(C865="","「入社年月日」",""),"")&amp;IF(D865="","「性別」","")="","",入力リスト!$K$29),IF(J865,入力リスト!$K$30,"")&amp;IF(I865,入力リスト!$K$31,"")&amp;IF(H865,"「雇用形態」","")&amp;IF(K865,"「性別」","")&amp;IF(L865,"「役職」","")&amp;IF(OR(H865,K865,L865),入力リスト!$K$32,"")))))</f>
        <v/>
      </c>
      <c r="G865" s="298" t="b">
        <f>COUNTIF($A$4:A864,$A865)&gt;0</f>
        <v>0</v>
      </c>
      <c r="H865" s="298" t="b">
        <f>IF($H$1,FALSE,COUNTIF(入力シート!$S$37:$V$62,B865)=0)</f>
        <v>0</v>
      </c>
      <c r="I865" s="298" t="b">
        <f t="shared" si="27"/>
        <v>0</v>
      </c>
      <c r="J865" s="298" t="b">
        <f>IF($J$1,FALSE,IF(I865=TRUE,FALSE,IF(I865,FALSE,C865&gt;入力シート!$J$24)))</f>
        <v>0</v>
      </c>
      <c r="K865" s="298" t="b">
        <f>IF($K$1,FALSE,COUNTIF(入力シート!$AW$37:$BB$38,D865)=0)</f>
        <v>0</v>
      </c>
      <c r="L865" s="298" t="b">
        <f>IF($L$1,FALSE,IF($L$3,FALSE,IF(E865="",FALSE,COUNTIF(入力シート!$AH$37:$AK$62,E865)=0)))</f>
        <v>0</v>
      </c>
      <c r="M865" s="298" t="str">
        <f t="shared" si="28"/>
        <v/>
      </c>
      <c r="N865" s="298" t="str">
        <f>IF(G865,"この従業員番号は、すでに他のセルで入力されています。",IF(入力シート!$C$5=入力リスト!$C$4,"",IF(AND(A865="",B865="",C865="",D865="",E865=""),"",IF(OR(A865="",B865="",C865="",D865=""),IF(A865="","従業員番号","")&amp;IF(AND(A865="",OR(B865="",C865="",D865="")),",","")&amp;IF(B865="","雇用形態","")&amp;IF(AND(B865="",OR(C865="",D865="")),",","")&amp;IF(OR(入力シート!$J$18=入力リスト!$H$9,入力シート!$J$22=入力リスト!$H$9),IF(C865="","入社年月日",""),"")&amp;IF(AND(C865="",D865=""),",","")&amp;IF(D865="","性別","")&amp;IF(IF(A865="","従業員番号","")&amp;IF(B865="","雇用形態","")&amp;IF(OR(入力シート!$J$18=入力リスト!$H$9,入力シート!$J$22=入力リスト!$H$9),IF(C865="","入社年月日",""),"")&amp;IF(D865="","性別","")="","","が空白です。"),IF(J865,"入社年月日に「基準日」の翌日以降の日付が入力されています。","")&amp;IF(I865,"入社年月日に数値以外（又は1900/1/1以前の日付）が入力されています。","")&amp;IF(H865,"雇用形態"&amp;IF(OR(K865,L865),",",""),"")&amp;IF(K865,"性別"&amp;IF(L865,",",""),"")&amp;IF(L865,"役職","")&amp;IF(OR(H865,K865,L865),"に、［入力シート］(4)「貴社」欄と異なる文言が入力されています。","")))))</f>
        <v/>
      </c>
      <c r="O865" s="298" t="str">
        <f>IF(B865="","",VLOOKUP('従業員情報(給与以外)'!$B865,入力シート!$S$37:$Z$62,5,0))</f>
        <v/>
      </c>
      <c r="P865" s="298" t="str">
        <f>IF(ISNUMBER(C865)=FALSE,"",IF(C865&gt;入力シート!$J$24,"",_xlfn.DAYS(入力シート!$J$24,'従業員情報(給与以外)'!$C865)/365))</f>
        <v/>
      </c>
      <c r="Q865" s="298" t="str">
        <f>IF(P865="","",VLOOKUP(_xlfn.DAYS(入力シート!$J$24,'従業員情報(給与以外)'!$C865)/365,入力リスト!$K$18:$L$26,2,2))</f>
        <v/>
      </c>
      <c r="R865" s="298" t="str">
        <f>IF(D865="","",VLOOKUP('従業員情報(給与以外)'!$D865,入力シート!$AW$37:$BB$38,4,0))</f>
        <v/>
      </c>
      <c r="S865" s="298" t="str">
        <f>IF(A865="","",IF(E865="","非役職",VLOOKUP('従業員情報(給与以外)'!$E865,入力シート!$AH$37:$AO$62,5,0)))</f>
        <v/>
      </c>
      <c r="T865" s="299" t="str">
        <f>IF(OR(入力シート!$C$5&lt;&gt;入力リスト!$C$3,COUNTIF(入力シート!$J$16:$S$23,入力リスト!$H$9)=0),"",IF($A865="","",IF(ISERROR(AVERAGEIF(従業員の給与情報!$B:$B,$A865,従業員の給与情報!$C:$C)),0,IF(ISERROR(AVERAGEIF(従業員の給与情報!$B:$B,$A865,従業員の給与情報!$C:$C)),0,AVERAGEIF(従業員の給与情報!$B:$B,$A865,従業員の給与情報!$C:$C)))))</f>
        <v/>
      </c>
      <c r="U865" s="299" t="str">
        <f>IF(OR(入力シート!$C$5&lt;&gt;入力リスト!$C$3,COUNTIF(入力シート!$J$16:$S$23,入力リスト!$H$9)=0),"",IF(A865="","",IF(ISERROR(AVERAGEIF(従業員の給与情報!$B:$B,$A865,従業員の給与情報!$D:$D)),0,IF(ISERROR(AVERAGEIF(従業員の給与情報!$B:$B,$A865,従業員の給与情報!$D:$D)),0,AVERAGEIF(従業員の給与情報!$B:$B,$A865,従業員の給与情報!$D:$D)))))</f>
        <v/>
      </c>
      <c r="V865" s="299" t="str">
        <f>IF(OR(入力シート!$C$5&lt;&gt;入力リスト!$C$3,COUNTIF(入力シート!$J$16:$S$23,入力リスト!$H$9)=0),"",IF(A865="","",IF(ISERROR(AVERAGEIF(従業員の給与情報!$B:$B,$A865,従業員の給与情報!$E:$E)),0,IF(ISERROR(AVERAGEIF(従業員の給与情報!$B:$B,$A865,従業員の給与情報!$E:$E)),0,AVERAGEIF(従業員の給与情報!$B:$B,$A865,従業員の給与情報!$E:$E)))))</f>
        <v/>
      </c>
      <c r="W865" s="299" t="str">
        <f>IF(OR(入力シート!$C$5&lt;&gt;入力リスト!$C$3,COUNTIF(入力シート!$J$16:$S$23,入力リスト!$H$9)=0),"",IF(A865="","",IF(ISERROR(AVERAGEIF(従業員の給与情報!$B:$B,$A865,従業員の給与情報!$F:$F)),0,IF(ISERROR(AVERAGEIF(従業員の給与情報!$B:$B,$A865,従業員の給与情報!$F:$F)),0,AVERAGEIF(従業員の給与情報!$B:$B,$A865,従業員の給与情報!$F:$F)))))</f>
        <v/>
      </c>
      <c r="X865" s="581" t="s">
        <v>5604</v>
      </c>
    </row>
    <row r="866" spans="6:24">
      <c r="F866" s="297" t="str">
        <f>IF($G$1,"",IF(COUNTIF(A866:E866,"")=5,"",IF(G866,入力リスト!$K$28,IF(OR(A866="",B866="",IF(COUNTIF($C$3,"*不要*"),"",C866=""),D866=""),IF(A866="","従業員番号","")&amp;IF(B866="","「雇用形態」","")&amp;IF(OR(入力シート!$J$18=入力リスト!$H$9,入力シート!$J$22=入力リスト!$H$9),IF(C866="","「入社年月日」",""),"")&amp;IF(D866="","「性別」","")&amp;IF(IF(A866="","従業員番号","")&amp;IF(B866="","「雇用形態」","")&amp;IF(OR(入力シート!$J$18=入力リスト!$H$9,入力シート!$J$22=入力リスト!$H$9),IF(C866="","「入社年月日」",""),"")&amp;IF(D866="","「性別」","")="","",入力リスト!$K$29),IF(J866,入力リスト!$K$30,"")&amp;IF(I866,入力リスト!$K$31,"")&amp;IF(H866,"「雇用形態」","")&amp;IF(K866,"「性別」","")&amp;IF(L866,"「役職」","")&amp;IF(OR(H866,K866,L866),入力リスト!$K$32,"")))))</f>
        <v/>
      </c>
      <c r="G866" s="298" t="b">
        <f>COUNTIF($A$4:A865,$A866)&gt;0</f>
        <v>0</v>
      </c>
      <c r="H866" s="298" t="b">
        <f>IF($H$1,FALSE,COUNTIF(入力シート!$S$37:$V$62,B866)=0)</f>
        <v>0</v>
      </c>
      <c r="I866" s="298" t="b">
        <f t="shared" si="27"/>
        <v>0</v>
      </c>
      <c r="J866" s="298" t="b">
        <f>IF($J$1,FALSE,IF(I866=TRUE,FALSE,IF(I866,FALSE,C866&gt;入力シート!$J$24)))</f>
        <v>0</v>
      </c>
      <c r="K866" s="298" t="b">
        <f>IF($K$1,FALSE,COUNTIF(入力シート!$AW$37:$BB$38,D866)=0)</f>
        <v>0</v>
      </c>
      <c r="L866" s="298" t="b">
        <f>IF($L$1,FALSE,IF($L$3,FALSE,IF(E866="",FALSE,COUNTIF(入力シート!$AH$37:$AK$62,E866)=0)))</f>
        <v>0</v>
      </c>
      <c r="M866" s="298" t="str">
        <f t="shared" si="28"/>
        <v/>
      </c>
      <c r="N866" s="298" t="str">
        <f>IF(G866,"この従業員番号は、すでに他のセルで入力されています。",IF(入力シート!$C$5=入力リスト!$C$4,"",IF(AND(A866="",B866="",C866="",D866="",E866=""),"",IF(OR(A866="",B866="",C866="",D866=""),IF(A866="","従業員番号","")&amp;IF(AND(A866="",OR(B866="",C866="",D866="")),",","")&amp;IF(B866="","雇用形態","")&amp;IF(AND(B866="",OR(C866="",D866="")),",","")&amp;IF(OR(入力シート!$J$18=入力リスト!$H$9,入力シート!$J$22=入力リスト!$H$9),IF(C866="","入社年月日",""),"")&amp;IF(AND(C866="",D866=""),",","")&amp;IF(D866="","性別","")&amp;IF(IF(A866="","従業員番号","")&amp;IF(B866="","雇用形態","")&amp;IF(OR(入力シート!$J$18=入力リスト!$H$9,入力シート!$J$22=入力リスト!$H$9),IF(C866="","入社年月日",""),"")&amp;IF(D866="","性別","")="","","が空白です。"),IF(J866,"入社年月日に「基準日」の翌日以降の日付が入力されています。","")&amp;IF(I866,"入社年月日に数値以外（又は1900/1/1以前の日付）が入力されています。","")&amp;IF(H866,"雇用形態"&amp;IF(OR(K866,L866),",",""),"")&amp;IF(K866,"性別"&amp;IF(L866,",",""),"")&amp;IF(L866,"役職","")&amp;IF(OR(H866,K866,L866),"に、［入力シート］(4)「貴社」欄と異なる文言が入力されています。","")))))</f>
        <v/>
      </c>
      <c r="O866" s="298" t="str">
        <f>IF(B866="","",VLOOKUP('従業員情報(給与以外)'!$B866,入力シート!$S$37:$Z$62,5,0))</f>
        <v/>
      </c>
      <c r="P866" s="298" t="str">
        <f>IF(ISNUMBER(C866)=FALSE,"",IF(C866&gt;入力シート!$J$24,"",_xlfn.DAYS(入力シート!$J$24,'従業員情報(給与以外)'!$C866)/365))</f>
        <v/>
      </c>
      <c r="Q866" s="298" t="str">
        <f>IF(P866="","",VLOOKUP(_xlfn.DAYS(入力シート!$J$24,'従業員情報(給与以外)'!$C866)/365,入力リスト!$K$18:$L$26,2,2))</f>
        <v/>
      </c>
      <c r="R866" s="298" t="str">
        <f>IF(D866="","",VLOOKUP('従業員情報(給与以外)'!$D866,入力シート!$AW$37:$BB$38,4,0))</f>
        <v/>
      </c>
      <c r="S866" s="298" t="str">
        <f>IF(A866="","",IF(E866="","非役職",VLOOKUP('従業員情報(給与以外)'!$E866,入力シート!$AH$37:$AO$62,5,0)))</f>
        <v/>
      </c>
      <c r="T866" s="299" t="str">
        <f>IF(OR(入力シート!$C$5&lt;&gt;入力リスト!$C$3,COUNTIF(入力シート!$J$16:$S$23,入力リスト!$H$9)=0),"",IF($A866="","",IF(ISERROR(AVERAGEIF(従業員の給与情報!$B:$B,$A866,従業員の給与情報!$C:$C)),0,IF(ISERROR(AVERAGEIF(従業員の給与情報!$B:$B,$A866,従業員の給与情報!$C:$C)),0,AVERAGEIF(従業員の給与情報!$B:$B,$A866,従業員の給与情報!$C:$C)))))</f>
        <v/>
      </c>
      <c r="U866" s="299" t="str">
        <f>IF(OR(入力シート!$C$5&lt;&gt;入力リスト!$C$3,COUNTIF(入力シート!$J$16:$S$23,入力リスト!$H$9)=0),"",IF(A866="","",IF(ISERROR(AVERAGEIF(従業員の給与情報!$B:$B,$A866,従業員の給与情報!$D:$D)),0,IF(ISERROR(AVERAGEIF(従業員の給与情報!$B:$B,$A866,従業員の給与情報!$D:$D)),0,AVERAGEIF(従業員の給与情報!$B:$B,$A866,従業員の給与情報!$D:$D)))))</f>
        <v/>
      </c>
      <c r="V866" s="299" t="str">
        <f>IF(OR(入力シート!$C$5&lt;&gt;入力リスト!$C$3,COUNTIF(入力シート!$J$16:$S$23,入力リスト!$H$9)=0),"",IF(A866="","",IF(ISERROR(AVERAGEIF(従業員の給与情報!$B:$B,$A866,従業員の給与情報!$E:$E)),0,IF(ISERROR(AVERAGEIF(従業員の給与情報!$B:$B,$A866,従業員の給与情報!$E:$E)),0,AVERAGEIF(従業員の給与情報!$B:$B,$A866,従業員の給与情報!$E:$E)))))</f>
        <v/>
      </c>
      <c r="W866" s="299" t="str">
        <f>IF(OR(入力シート!$C$5&lt;&gt;入力リスト!$C$3,COUNTIF(入力シート!$J$16:$S$23,入力リスト!$H$9)=0),"",IF(A866="","",IF(ISERROR(AVERAGEIF(従業員の給与情報!$B:$B,$A866,従業員の給与情報!$F:$F)),0,IF(ISERROR(AVERAGEIF(従業員の給与情報!$B:$B,$A866,従業員の給与情報!$F:$F)),0,AVERAGEIF(従業員の給与情報!$B:$B,$A866,従業員の給与情報!$F:$F)))))</f>
        <v/>
      </c>
      <c r="X866" s="581" t="s">
        <v>5605</v>
      </c>
    </row>
    <row r="867" spans="6:24">
      <c r="F867" s="297" t="str">
        <f>IF($G$1,"",IF(COUNTIF(A867:E867,"")=5,"",IF(G867,入力リスト!$K$28,IF(OR(A867="",B867="",IF(COUNTIF($C$3,"*不要*"),"",C867=""),D867=""),IF(A867="","従業員番号","")&amp;IF(B867="","「雇用形態」","")&amp;IF(OR(入力シート!$J$18=入力リスト!$H$9,入力シート!$J$22=入力リスト!$H$9),IF(C867="","「入社年月日」",""),"")&amp;IF(D867="","「性別」","")&amp;IF(IF(A867="","従業員番号","")&amp;IF(B867="","「雇用形態」","")&amp;IF(OR(入力シート!$J$18=入力リスト!$H$9,入力シート!$J$22=入力リスト!$H$9),IF(C867="","「入社年月日」",""),"")&amp;IF(D867="","「性別」","")="","",入力リスト!$K$29),IF(J867,入力リスト!$K$30,"")&amp;IF(I867,入力リスト!$K$31,"")&amp;IF(H867,"「雇用形態」","")&amp;IF(K867,"「性別」","")&amp;IF(L867,"「役職」","")&amp;IF(OR(H867,K867,L867),入力リスト!$K$32,"")))))</f>
        <v/>
      </c>
      <c r="G867" s="298" t="b">
        <f>COUNTIF($A$4:A866,$A867)&gt;0</f>
        <v>0</v>
      </c>
      <c r="H867" s="298" t="b">
        <f>IF($H$1,FALSE,COUNTIF(入力シート!$S$37:$V$62,B867)=0)</f>
        <v>0</v>
      </c>
      <c r="I867" s="298" t="b">
        <f t="shared" si="27"/>
        <v>0</v>
      </c>
      <c r="J867" s="298" t="b">
        <f>IF($J$1,FALSE,IF(I867=TRUE,FALSE,IF(I867,FALSE,C867&gt;入力シート!$J$24)))</f>
        <v>0</v>
      </c>
      <c r="K867" s="298" t="b">
        <f>IF($K$1,FALSE,COUNTIF(入力シート!$AW$37:$BB$38,D867)=0)</f>
        <v>0</v>
      </c>
      <c r="L867" s="298" t="b">
        <f>IF($L$1,FALSE,IF($L$3,FALSE,IF(E867="",FALSE,COUNTIF(入力シート!$AH$37:$AK$62,E867)=0)))</f>
        <v>0</v>
      </c>
      <c r="M867" s="298" t="str">
        <f t="shared" si="28"/>
        <v/>
      </c>
      <c r="N867" s="298" t="str">
        <f>IF(G867,"この従業員番号は、すでに他のセルで入力されています。",IF(入力シート!$C$5=入力リスト!$C$4,"",IF(AND(A867="",B867="",C867="",D867="",E867=""),"",IF(OR(A867="",B867="",C867="",D867=""),IF(A867="","従業員番号","")&amp;IF(AND(A867="",OR(B867="",C867="",D867="")),",","")&amp;IF(B867="","雇用形態","")&amp;IF(AND(B867="",OR(C867="",D867="")),",","")&amp;IF(OR(入力シート!$J$18=入力リスト!$H$9,入力シート!$J$22=入力リスト!$H$9),IF(C867="","入社年月日",""),"")&amp;IF(AND(C867="",D867=""),",","")&amp;IF(D867="","性別","")&amp;IF(IF(A867="","従業員番号","")&amp;IF(B867="","雇用形態","")&amp;IF(OR(入力シート!$J$18=入力リスト!$H$9,入力シート!$J$22=入力リスト!$H$9),IF(C867="","入社年月日",""),"")&amp;IF(D867="","性別","")="","","が空白です。"),IF(J867,"入社年月日に「基準日」の翌日以降の日付が入力されています。","")&amp;IF(I867,"入社年月日に数値以外（又は1900/1/1以前の日付）が入力されています。","")&amp;IF(H867,"雇用形態"&amp;IF(OR(K867,L867),",",""),"")&amp;IF(K867,"性別"&amp;IF(L867,",",""),"")&amp;IF(L867,"役職","")&amp;IF(OR(H867,K867,L867),"に、［入力シート］(4)「貴社」欄と異なる文言が入力されています。","")))))</f>
        <v/>
      </c>
      <c r="O867" s="298" t="str">
        <f>IF(B867="","",VLOOKUP('従業員情報(給与以外)'!$B867,入力シート!$S$37:$Z$62,5,0))</f>
        <v/>
      </c>
      <c r="P867" s="298" t="str">
        <f>IF(ISNUMBER(C867)=FALSE,"",IF(C867&gt;入力シート!$J$24,"",_xlfn.DAYS(入力シート!$J$24,'従業員情報(給与以外)'!$C867)/365))</f>
        <v/>
      </c>
      <c r="Q867" s="298" t="str">
        <f>IF(P867="","",VLOOKUP(_xlfn.DAYS(入力シート!$J$24,'従業員情報(給与以外)'!$C867)/365,入力リスト!$K$18:$L$26,2,2))</f>
        <v/>
      </c>
      <c r="R867" s="298" t="str">
        <f>IF(D867="","",VLOOKUP('従業員情報(給与以外)'!$D867,入力シート!$AW$37:$BB$38,4,0))</f>
        <v/>
      </c>
      <c r="S867" s="298" t="str">
        <f>IF(A867="","",IF(E867="","非役職",VLOOKUP('従業員情報(給与以外)'!$E867,入力シート!$AH$37:$AO$62,5,0)))</f>
        <v/>
      </c>
      <c r="T867" s="299" t="str">
        <f>IF(OR(入力シート!$C$5&lt;&gt;入力リスト!$C$3,COUNTIF(入力シート!$J$16:$S$23,入力リスト!$H$9)=0),"",IF($A867="","",IF(ISERROR(AVERAGEIF(従業員の給与情報!$B:$B,$A867,従業員の給与情報!$C:$C)),0,IF(ISERROR(AVERAGEIF(従業員の給与情報!$B:$B,$A867,従業員の給与情報!$C:$C)),0,AVERAGEIF(従業員の給与情報!$B:$B,$A867,従業員の給与情報!$C:$C)))))</f>
        <v/>
      </c>
      <c r="U867" s="299" t="str">
        <f>IF(OR(入力シート!$C$5&lt;&gt;入力リスト!$C$3,COUNTIF(入力シート!$J$16:$S$23,入力リスト!$H$9)=0),"",IF(A867="","",IF(ISERROR(AVERAGEIF(従業員の給与情報!$B:$B,$A867,従業員の給与情報!$D:$D)),0,IF(ISERROR(AVERAGEIF(従業員の給与情報!$B:$B,$A867,従業員の給与情報!$D:$D)),0,AVERAGEIF(従業員の給与情報!$B:$B,$A867,従業員の給与情報!$D:$D)))))</f>
        <v/>
      </c>
      <c r="V867" s="299" t="str">
        <f>IF(OR(入力シート!$C$5&lt;&gt;入力リスト!$C$3,COUNTIF(入力シート!$J$16:$S$23,入力リスト!$H$9)=0),"",IF(A867="","",IF(ISERROR(AVERAGEIF(従業員の給与情報!$B:$B,$A867,従業員の給与情報!$E:$E)),0,IF(ISERROR(AVERAGEIF(従業員の給与情報!$B:$B,$A867,従業員の給与情報!$E:$E)),0,AVERAGEIF(従業員の給与情報!$B:$B,$A867,従業員の給与情報!$E:$E)))))</f>
        <v/>
      </c>
      <c r="W867" s="299" t="str">
        <f>IF(OR(入力シート!$C$5&lt;&gt;入力リスト!$C$3,COUNTIF(入力シート!$J$16:$S$23,入力リスト!$H$9)=0),"",IF(A867="","",IF(ISERROR(AVERAGEIF(従業員の給与情報!$B:$B,$A867,従業員の給与情報!$F:$F)),0,IF(ISERROR(AVERAGEIF(従業員の給与情報!$B:$B,$A867,従業員の給与情報!$F:$F)),0,AVERAGEIF(従業員の給与情報!$B:$B,$A867,従業員の給与情報!$F:$F)))))</f>
        <v/>
      </c>
      <c r="X867" s="581" t="s">
        <v>5606</v>
      </c>
    </row>
    <row r="868" spans="6:24">
      <c r="F868" s="297" t="str">
        <f>IF($G$1,"",IF(COUNTIF(A868:E868,"")=5,"",IF(G868,入力リスト!$K$28,IF(OR(A868="",B868="",IF(COUNTIF($C$3,"*不要*"),"",C868=""),D868=""),IF(A868="","従業員番号","")&amp;IF(B868="","「雇用形態」","")&amp;IF(OR(入力シート!$J$18=入力リスト!$H$9,入力シート!$J$22=入力リスト!$H$9),IF(C868="","「入社年月日」",""),"")&amp;IF(D868="","「性別」","")&amp;IF(IF(A868="","従業員番号","")&amp;IF(B868="","「雇用形態」","")&amp;IF(OR(入力シート!$J$18=入力リスト!$H$9,入力シート!$J$22=入力リスト!$H$9),IF(C868="","「入社年月日」",""),"")&amp;IF(D868="","「性別」","")="","",入力リスト!$K$29),IF(J868,入力リスト!$K$30,"")&amp;IF(I868,入力リスト!$K$31,"")&amp;IF(H868,"「雇用形態」","")&amp;IF(K868,"「性別」","")&amp;IF(L868,"「役職」","")&amp;IF(OR(H868,K868,L868),入力リスト!$K$32,"")))))</f>
        <v/>
      </c>
      <c r="G868" s="298" t="b">
        <f>COUNTIF($A$4:A867,$A868)&gt;0</f>
        <v>0</v>
      </c>
      <c r="H868" s="298" t="b">
        <f>IF($H$1,FALSE,COUNTIF(入力シート!$S$37:$V$62,B868)=0)</f>
        <v>0</v>
      </c>
      <c r="I868" s="298" t="b">
        <f t="shared" si="27"/>
        <v>0</v>
      </c>
      <c r="J868" s="298" t="b">
        <f>IF($J$1,FALSE,IF(I868=TRUE,FALSE,IF(I868,FALSE,C868&gt;入力シート!$J$24)))</f>
        <v>0</v>
      </c>
      <c r="K868" s="298" t="b">
        <f>IF($K$1,FALSE,COUNTIF(入力シート!$AW$37:$BB$38,D868)=0)</f>
        <v>0</v>
      </c>
      <c r="L868" s="298" t="b">
        <f>IF($L$1,FALSE,IF($L$3,FALSE,IF(E868="",FALSE,COUNTIF(入力シート!$AH$37:$AK$62,E868)=0)))</f>
        <v>0</v>
      </c>
      <c r="M868" s="298" t="str">
        <f t="shared" si="28"/>
        <v/>
      </c>
      <c r="N868" s="298" t="str">
        <f>IF(G868,"この従業員番号は、すでに他のセルで入力されています。",IF(入力シート!$C$5=入力リスト!$C$4,"",IF(AND(A868="",B868="",C868="",D868="",E868=""),"",IF(OR(A868="",B868="",C868="",D868=""),IF(A868="","従業員番号","")&amp;IF(AND(A868="",OR(B868="",C868="",D868="")),",","")&amp;IF(B868="","雇用形態","")&amp;IF(AND(B868="",OR(C868="",D868="")),",","")&amp;IF(OR(入力シート!$J$18=入力リスト!$H$9,入力シート!$J$22=入力リスト!$H$9),IF(C868="","入社年月日",""),"")&amp;IF(AND(C868="",D868=""),",","")&amp;IF(D868="","性別","")&amp;IF(IF(A868="","従業員番号","")&amp;IF(B868="","雇用形態","")&amp;IF(OR(入力シート!$J$18=入力リスト!$H$9,入力シート!$J$22=入力リスト!$H$9),IF(C868="","入社年月日",""),"")&amp;IF(D868="","性別","")="","","が空白です。"),IF(J868,"入社年月日に「基準日」の翌日以降の日付が入力されています。","")&amp;IF(I868,"入社年月日に数値以外（又は1900/1/1以前の日付）が入力されています。","")&amp;IF(H868,"雇用形態"&amp;IF(OR(K868,L868),",",""),"")&amp;IF(K868,"性別"&amp;IF(L868,",",""),"")&amp;IF(L868,"役職","")&amp;IF(OR(H868,K868,L868),"に、［入力シート］(4)「貴社」欄と異なる文言が入力されています。","")))))</f>
        <v/>
      </c>
      <c r="O868" s="298" t="str">
        <f>IF(B868="","",VLOOKUP('従業員情報(給与以外)'!$B868,入力シート!$S$37:$Z$62,5,0))</f>
        <v/>
      </c>
      <c r="P868" s="298" t="str">
        <f>IF(ISNUMBER(C868)=FALSE,"",IF(C868&gt;入力シート!$J$24,"",_xlfn.DAYS(入力シート!$J$24,'従業員情報(給与以外)'!$C868)/365))</f>
        <v/>
      </c>
      <c r="Q868" s="298" t="str">
        <f>IF(P868="","",VLOOKUP(_xlfn.DAYS(入力シート!$J$24,'従業員情報(給与以外)'!$C868)/365,入力リスト!$K$18:$L$26,2,2))</f>
        <v/>
      </c>
      <c r="R868" s="298" t="str">
        <f>IF(D868="","",VLOOKUP('従業員情報(給与以外)'!$D868,入力シート!$AW$37:$BB$38,4,0))</f>
        <v/>
      </c>
      <c r="S868" s="298" t="str">
        <f>IF(A868="","",IF(E868="","非役職",VLOOKUP('従業員情報(給与以外)'!$E868,入力シート!$AH$37:$AO$62,5,0)))</f>
        <v/>
      </c>
      <c r="T868" s="299" t="str">
        <f>IF(OR(入力シート!$C$5&lt;&gt;入力リスト!$C$3,COUNTIF(入力シート!$J$16:$S$23,入力リスト!$H$9)=0),"",IF($A868="","",IF(ISERROR(AVERAGEIF(従業員の給与情報!$B:$B,$A868,従業員の給与情報!$C:$C)),0,IF(ISERROR(AVERAGEIF(従業員の給与情報!$B:$B,$A868,従業員の給与情報!$C:$C)),0,AVERAGEIF(従業員の給与情報!$B:$B,$A868,従業員の給与情報!$C:$C)))))</f>
        <v/>
      </c>
      <c r="U868" s="299" t="str">
        <f>IF(OR(入力シート!$C$5&lt;&gt;入力リスト!$C$3,COUNTIF(入力シート!$J$16:$S$23,入力リスト!$H$9)=0),"",IF(A868="","",IF(ISERROR(AVERAGEIF(従業員の給与情報!$B:$B,$A868,従業員の給与情報!$D:$D)),0,IF(ISERROR(AVERAGEIF(従業員の給与情報!$B:$B,$A868,従業員の給与情報!$D:$D)),0,AVERAGEIF(従業員の給与情報!$B:$B,$A868,従業員の給与情報!$D:$D)))))</f>
        <v/>
      </c>
      <c r="V868" s="299" t="str">
        <f>IF(OR(入力シート!$C$5&lt;&gt;入力リスト!$C$3,COUNTIF(入力シート!$J$16:$S$23,入力リスト!$H$9)=0),"",IF(A868="","",IF(ISERROR(AVERAGEIF(従業員の給与情報!$B:$B,$A868,従業員の給与情報!$E:$E)),0,IF(ISERROR(AVERAGEIF(従業員の給与情報!$B:$B,$A868,従業員の給与情報!$E:$E)),0,AVERAGEIF(従業員の給与情報!$B:$B,$A868,従業員の給与情報!$E:$E)))))</f>
        <v/>
      </c>
      <c r="W868" s="299" t="str">
        <f>IF(OR(入力シート!$C$5&lt;&gt;入力リスト!$C$3,COUNTIF(入力シート!$J$16:$S$23,入力リスト!$H$9)=0),"",IF(A868="","",IF(ISERROR(AVERAGEIF(従業員の給与情報!$B:$B,$A868,従業員の給与情報!$F:$F)),0,IF(ISERROR(AVERAGEIF(従業員の給与情報!$B:$B,$A868,従業員の給与情報!$F:$F)),0,AVERAGEIF(従業員の給与情報!$B:$B,$A868,従業員の給与情報!$F:$F)))))</f>
        <v/>
      </c>
      <c r="X868" s="581" t="s">
        <v>5607</v>
      </c>
    </row>
    <row r="869" spans="6:24">
      <c r="F869" s="297" t="str">
        <f>IF($G$1,"",IF(COUNTIF(A869:E869,"")=5,"",IF(G869,入力リスト!$K$28,IF(OR(A869="",B869="",IF(COUNTIF($C$3,"*不要*"),"",C869=""),D869=""),IF(A869="","従業員番号","")&amp;IF(B869="","「雇用形態」","")&amp;IF(OR(入力シート!$J$18=入力リスト!$H$9,入力シート!$J$22=入力リスト!$H$9),IF(C869="","「入社年月日」",""),"")&amp;IF(D869="","「性別」","")&amp;IF(IF(A869="","従業員番号","")&amp;IF(B869="","「雇用形態」","")&amp;IF(OR(入力シート!$J$18=入力リスト!$H$9,入力シート!$J$22=入力リスト!$H$9),IF(C869="","「入社年月日」",""),"")&amp;IF(D869="","「性別」","")="","",入力リスト!$K$29),IF(J869,入力リスト!$K$30,"")&amp;IF(I869,入力リスト!$K$31,"")&amp;IF(H869,"「雇用形態」","")&amp;IF(K869,"「性別」","")&amp;IF(L869,"「役職」","")&amp;IF(OR(H869,K869,L869),入力リスト!$K$32,"")))))</f>
        <v/>
      </c>
      <c r="G869" s="298" t="b">
        <f>COUNTIF($A$4:A868,$A869)&gt;0</f>
        <v>0</v>
      </c>
      <c r="H869" s="298" t="b">
        <f>IF($H$1,FALSE,COUNTIF(入力シート!$S$37:$V$62,B869)=0)</f>
        <v>0</v>
      </c>
      <c r="I869" s="298" t="b">
        <f t="shared" si="27"/>
        <v>0</v>
      </c>
      <c r="J869" s="298" t="b">
        <f>IF($J$1,FALSE,IF(I869=TRUE,FALSE,IF(I869,FALSE,C869&gt;入力シート!$J$24)))</f>
        <v>0</v>
      </c>
      <c r="K869" s="298" t="b">
        <f>IF($K$1,FALSE,COUNTIF(入力シート!$AW$37:$BB$38,D869)=0)</f>
        <v>0</v>
      </c>
      <c r="L869" s="298" t="b">
        <f>IF($L$1,FALSE,IF($L$3,FALSE,IF(E869="",FALSE,COUNTIF(入力シート!$AH$37:$AK$62,E869)=0)))</f>
        <v>0</v>
      </c>
      <c r="M869" s="298" t="str">
        <f t="shared" si="28"/>
        <v/>
      </c>
      <c r="N869" s="298" t="str">
        <f>IF(G869,"この従業員番号は、すでに他のセルで入力されています。",IF(入力シート!$C$5=入力リスト!$C$4,"",IF(AND(A869="",B869="",C869="",D869="",E869=""),"",IF(OR(A869="",B869="",C869="",D869=""),IF(A869="","従業員番号","")&amp;IF(AND(A869="",OR(B869="",C869="",D869="")),",","")&amp;IF(B869="","雇用形態","")&amp;IF(AND(B869="",OR(C869="",D869="")),",","")&amp;IF(OR(入力シート!$J$18=入力リスト!$H$9,入力シート!$J$22=入力リスト!$H$9),IF(C869="","入社年月日",""),"")&amp;IF(AND(C869="",D869=""),",","")&amp;IF(D869="","性別","")&amp;IF(IF(A869="","従業員番号","")&amp;IF(B869="","雇用形態","")&amp;IF(OR(入力シート!$J$18=入力リスト!$H$9,入力シート!$J$22=入力リスト!$H$9),IF(C869="","入社年月日",""),"")&amp;IF(D869="","性別","")="","","が空白です。"),IF(J869,"入社年月日に「基準日」の翌日以降の日付が入力されています。","")&amp;IF(I869,"入社年月日に数値以外（又は1900/1/1以前の日付）が入力されています。","")&amp;IF(H869,"雇用形態"&amp;IF(OR(K869,L869),",",""),"")&amp;IF(K869,"性別"&amp;IF(L869,",",""),"")&amp;IF(L869,"役職","")&amp;IF(OR(H869,K869,L869),"に、［入力シート］(4)「貴社」欄と異なる文言が入力されています。","")))))</f>
        <v/>
      </c>
      <c r="O869" s="298" t="str">
        <f>IF(B869="","",VLOOKUP('従業員情報(給与以外)'!$B869,入力シート!$S$37:$Z$62,5,0))</f>
        <v/>
      </c>
      <c r="P869" s="298" t="str">
        <f>IF(ISNUMBER(C869)=FALSE,"",IF(C869&gt;入力シート!$J$24,"",_xlfn.DAYS(入力シート!$J$24,'従業員情報(給与以外)'!$C869)/365))</f>
        <v/>
      </c>
      <c r="Q869" s="298" t="str">
        <f>IF(P869="","",VLOOKUP(_xlfn.DAYS(入力シート!$J$24,'従業員情報(給与以外)'!$C869)/365,入力リスト!$K$18:$L$26,2,2))</f>
        <v/>
      </c>
      <c r="R869" s="298" t="str">
        <f>IF(D869="","",VLOOKUP('従業員情報(給与以外)'!$D869,入力シート!$AW$37:$BB$38,4,0))</f>
        <v/>
      </c>
      <c r="S869" s="298" t="str">
        <f>IF(A869="","",IF(E869="","非役職",VLOOKUP('従業員情報(給与以外)'!$E869,入力シート!$AH$37:$AO$62,5,0)))</f>
        <v/>
      </c>
      <c r="T869" s="299" t="str">
        <f>IF(OR(入力シート!$C$5&lt;&gt;入力リスト!$C$3,COUNTIF(入力シート!$J$16:$S$23,入力リスト!$H$9)=0),"",IF($A869="","",IF(ISERROR(AVERAGEIF(従業員の給与情報!$B:$B,$A869,従業員の給与情報!$C:$C)),0,IF(ISERROR(AVERAGEIF(従業員の給与情報!$B:$B,$A869,従業員の給与情報!$C:$C)),0,AVERAGEIF(従業員の給与情報!$B:$B,$A869,従業員の給与情報!$C:$C)))))</f>
        <v/>
      </c>
      <c r="U869" s="299" t="str">
        <f>IF(OR(入力シート!$C$5&lt;&gt;入力リスト!$C$3,COUNTIF(入力シート!$J$16:$S$23,入力リスト!$H$9)=0),"",IF(A869="","",IF(ISERROR(AVERAGEIF(従業員の給与情報!$B:$B,$A869,従業員の給与情報!$D:$D)),0,IF(ISERROR(AVERAGEIF(従業員の給与情報!$B:$B,$A869,従業員の給与情報!$D:$D)),0,AVERAGEIF(従業員の給与情報!$B:$B,$A869,従業員の給与情報!$D:$D)))))</f>
        <v/>
      </c>
      <c r="V869" s="299" t="str">
        <f>IF(OR(入力シート!$C$5&lt;&gt;入力リスト!$C$3,COUNTIF(入力シート!$J$16:$S$23,入力リスト!$H$9)=0),"",IF(A869="","",IF(ISERROR(AVERAGEIF(従業員の給与情報!$B:$B,$A869,従業員の給与情報!$E:$E)),0,IF(ISERROR(AVERAGEIF(従業員の給与情報!$B:$B,$A869,従業員の給与情報!$E:$E)),0,AVERAGEIF(従業員の給与情報!$B:$B,$A869,従業員の給与情報!$E:$E)))))</f>
        <v/>
      </c>
      <c r="W869" s="299" t="str">
        <f>IF(OR(入力シート!$C$5&lt;&gt;入力リスト!$C$3,COUNTIF(入力シート!$J$16:$S$23,入力リスト!$H$9)=0),"",IF(A869="","",IF(ISERROR(AVERAGEIF(従業員の給与情報!$B:$B,$A869,従業員の給与情報!$F:$F)),0,IF(ISERROR(AVERAGEIF(従業員の給与情報!$B:$B,$A869,従業員の給与情報!$F:$F)),0,AVERAGEIF(従業員の給与情報!$B:$B,$A869,従業員の給与情報!$F:$F)))))</f>
        <v/>
      </c>
      <c r="X869" s="581" t="s">
        <v>5608</v>
      </c>
    </row>
    <row r="870" spans="6:24">
      <c r="F870" s="297" t="str">
        <f>IF($G$1,"",IF(COUNTIF(A870:E870,"")=5,"",IF(G870,入力リスト!$K$28,IF(OR(A870="",B870="",IF(COUNTIF($C$3,"*不要*"),"",C870=""),D870=""),IF(A870="","従業員番号","")&amp;IF(B870="","「雇用形態」","")&amp;IF(OR(入力シート!$J$18=入力リスト!$H$9,入力シート!$J$22=入力リスト!$H$9),IF(C870="","「入社年月日」",""),"")&amp;IF(D870="","「性別」","")&amp;IF(IF(A870="","従業員番号","")&amp;IF(B870="","「雇用形態」","")&amp;IF(OR(入力シート!$J$18=入力リスト!$H$9,入力シート!$J$22=入力リスト!$H$9),IF(C870="","「入社年月日」",""),"")&amp;IF(D870="","「性別」","")="","",入力リスト!$K$29),IF(J870,入力リスト!$K$30,"")&amp;IF(I870,入力リスト!$K$31,"")&amp;IF(H870,"「雇用形態」","")&amp;IF(K870,"「性別」","")&amp;IF(L870,"「役職」","")&amp;IF(OR(H870,K870,L870),入力リスト!$K$32,"")))))</f>
        <v/>
      </c>
      <c r="G870" s="298" t="b">
        <f>COUNTIF($A$4:A869,$A870)&gt;0</f>
        <v>0</v>
      </c>
      <c r="H870" s="298" t="b">
        <f>IF($H$1,FALSE,COUNTIF(入力シート!$S$37:$V$62,B870)=0)</f>
        <v>0</v>
      </c>
      <c r="I870" s="298" t="b">
        <f t="shared" si="27"/>
        <v>0</v>
      </c>
      <c r="J870" s="298" t="b">
        <f>IF($J$1,FALSE,IF(I870=TRUE,FALSE,IF(I870,FALSE,C870&gt;入力シート!$J$24)))</f>
        <v>0</v>
      </c>
      <c r="K870" s="298" t="b">
        <f>IF($K$1,FALSE,COUNTIF(入力シート!$AW$37:$BB$38,D870)=0)</f>
        <v>0</v>
      </c>
      <c r="L870" s="298" t="b">
        <f>IF($L$1,FALSE,IF($L$3,FALSE,IF(E870="",FALSE,COUNTIF(入力シート!$AH$37:$AK$62,E870)=0)))</f>
        <v>0</v>
      </c>
      <c r="M870" s="298" t="str">
        <f t="shared" si="28"/>
        <v/>
      </c>
      <c r="N870" s="298" t="str">
        <f>IF(G870,"この従業員番号は、すでに他のセルで入力されています。",IF(入力シート!$C$5=入力リスト!$C$4,"",IF(AND(A870="",B870="",C870="",D870="",E870=""),"",IF(OR(A870="",B870="",C870="",D870=""),IF(A870="","従業員番号","")&amp;IF(AND(A870="",OR(B870="",C870="",D870="")),",","")&amp;IF(B870="","雇用形態","")&amp;IF(AND(B870="",OR(C870="",D870="")),",","")&amp;IF(OR(入力シート!$J$18=入力リスト!$H$9,入力シート!$J$22=入力リスト!$H$9),IF(C870="","入社年月日",""),"")&amp;IF(AND(C870="",D870=""),",","")&amp;IF(D870="","性別","")&amp;IF(IF(A870="","従業員番号","")&amp;IF(B870="","雇用形態","")&amp;IF(OR(入力シート!$J$18=入力リスト!$H$9,入力シート!$J$22=入力リスト!$H$9),IF(C870="","入社年月日",""),"")&amp;IF(D870="","性別","")="","","が空白です。"),IF(J870,"入社年月日に「基準日」の翌日以降の日付が入力されています。","")&amp;IF(I870,"入社年月日に数値以外（又は1900/1/1以前の日付）が入力されています。","")&amp;IF(H870,"雇用形態"&amp;IF(OR(K870,L870),",",""),"")&amp;IF(K870,"性別"&amp;IF(L870,",",""),"")&amp;IF(L870,"役職","")&amp;IF(OR(H870,K870,L870),"に、［入力シート］(4)「貴社」欄と異なる文言が入力されています。","")))))</f>
        <v/>
      </c>
      <c r="O870" s="298" t="str">
        <f>IF(B870="","",VLOOKUP('従業員情報(給与以外)'!$B870,入力シート!$S$37:$Z$62,5,0))</f>
        <v/>
      </c>
      <c r="P870" s="298" t="str">
        <f>IF(ISNUMBER(C870)=FALSE,"",IF(C870&gt;入力シート!$J$24,"",_xlfn.DAYS(入力シート!$J$24,'従業員情報(給与以外)'!$C870)/365))</f>
        <v/>
      </c>
      <c r="Q870" s="298" t="str">
        <f>IF(P870="","",VLOOKUP(_xlfn.DAYS(入力シート!$J$24,'従業員情報(給与以外)'!$C870)/365,入力リスト!$K$18:$L$26,2,2))</f>
        <v/>
      </c>
      <c r="R870" s="298" t="str">
        <f>IF(D870="","",VLOOKUP('従業員情報(給与以外)'!$D870,入力シート!$AW$37:$BB$38,4,0))</f>
        <v/>
      </c>
      <c r="S870" s="298" t="str">
        <f>IF(A870="","",IF(E870="","非役職",VLOOKUP('従業員情報(給与以外)'!$E870,入力シート!$AH$37:$AO$62,5,0)))</f>
        <v/>
      </c>
      <c r="T870" s="299" t="str">
        <f>IF(OR(入力シート!$C$5&lt;&gt;入力リスト!$C$3,COUNTIF(入力シート!$J$16:$S$23,入力リスト!$H$9)=0),"",IF($A870="","",IF(ISERROR(AVERAGEIF(従業員の給与情報!$B:$B,$A870,従業員の給与情報!$C:$C)),0,IF(ISERROR(AVERAGEIF(従業員の給与情報!$B:$B,$A870,従業員の給与情報!$C:$C)),0,AVERAGEIF(従業員の給与情報!$B:$B,$A870,従業員の給与情報!$C:$C)))))</f>
        <v/>
      </c>
      <c r="U870" s="299" t="str">
        <f>IF(OR(入力シート!$C$5&lt;&gt;入力リスト!$C$3,COUNTIF(入力シート!$J$16:$S$23,入力リスト!$H$9)=0),"",IF(A870="","",IF(ISERROR(AVERAGEIF(従業員の給与情報!$B:$B,$A870,従業員の給与情報!$D:$D)),0,IF(ISERROR(AVERAGEIF(従業員の給与情報!$B:$B,$A870,従業員の給与情報!$D:$D)),0,AVERAGEIF(従業員の給与情報!$B:$B,$A870,従業員の給与情報!$D:$D)))))</f>
        <v/>
      </c>
      <c r="V870" s="299" t="str">
        <f>IF(OR(入力シート!$C$5&lt;&gt;入力リスト!$C$3,COUNTIF(入力シート!$J$16:$S$23,入力リスト!$H$9)=0),"",IF(A870="","",IF(ISERROR(AVERAGEIF(従業員の給与情報!$B:$B,$A870,従業員の給与情報!$E:$E)),0,IF(ISERROR(AVERAGEIF(従業員の給与情報!$B:$B,$A870,従業員の給与情報!$E:$E)),0,AVERAGEIF(従業員の給与情報!$B:$B,$A870,従業員の給与情報!$E:$E)))))</f>
        <v/>
      </c>
      <c r="W870" s="299" t="str">
        <f>IF(OR(入力シート!$C$5&lt;&gt;入力リスト!$C$3,COUNTIF(入力シート!$J$16:$S$23,入力リスト!$H$9)=0),"",IF(A870="","",IF(ISERROR(AVERAGEIF(従業員の給与情報!$B:$B,$A870,従業員の給与情報!$F:$F)),0,IF(ISERROR(AVERAGEIF(従業員の給与情報!$B:$B,$A870,従業員の給与情報!$F:$F)),0,AVERAGEIF(従業員の給与情報!$B:$B,$A870,従業員の給与情報!$F:$F)))))</f>
        <v/>
      </c>
      <c r="X870" s="581" t="s">
        <v>5609</v>
      </c>
    </row>
  </sheetData>
  <sheetProtection algorithmName="SHA-512" hashValue="5phGsagiZ18vYGyBE+EUwruX5RnHuPnlCjCaHxNPtx0NSxYeS95IEPtmbAjJsOJMpteFASkS7ERuHQ1TMiOvHw==" saltValue="4Pfdb9hqfD/gVBgVE5KRXQ==" spinCount="100000" sheet="1" objects="1" scenarios="1"/>
  <mergeCells count="15">
    <mergeCell ref="A1:A2"/>
    <mergeCell ref="E1:E2"/>
    <mergeCell ref="D1:D2"/>
    <mergeCell ref="C1:C2"/>
    <mergeCell ref="T2:T3"/>
    <mergeCell ref="U2:U3"/>
    <mergeCell ref="V2:V3"/>
    <mergeCell ref="W2:W3"/>
    <mergeCell ref="B1:B2"/>
    <mergeCell ref="O2:O3"/>
    <mergeCell ref="P2:P3"/>
    <mergeCell ref="Q2:Q3"/>
    <mergeCell ref="R2:R3"/>
    <mergeCell ref="S2:S3"/>
    <mergeCell ref="M1:M2"/>
  </mergeCells>
  <phoneticPr fontId="3"/>
  <conditionalFormatting sqref="C3">
    <cfRule type="expression" dxfId="10" priority="654">
      <formula>$C$3="この項目への入力は不要です。"&amp;CHAR(10)&amp;"↓"</formula>
    </cfRule>
  </conditionalFormatting>
  <conditionalFormatting sqref="E3">
    <cfRule type="expression" dxfId="8" priority="2" stopIfTrue="1">
      <formula>$E$3="この項目への入力は不要です。"&amp;CHAR(10)&amp;"↓"</formula>
    </cfRule>
  </conditionalFormatting>
  <conditionalFormatting sqref="F4:F507">
    <cfRule type="expression" dxfId="5" priority="13">
      <formula>$F4&lt;&gt;""</formula>
    </cfRule>
  </conditionalFormatting>
  <pageMargins left="0.7" right="0.7" top="0.75" bottom="0.75" header="0.3" footer="0.3"/>
  <rowBreaks count="1" manualBreakCount="1">
    <brk id="31" max="4" man="1"/>
  </rowBreaks>
  <ignoredErrors>
    <ignoredError sqref="M4:M501" unlockedFormula="1"/>
  </ignoredErrors>
  <extLst>
    <ext xmlns:x14="http://schemas.microsoft.com/office/spreadsheetml/2009/9/main" uri="{78C0D931-6437-407d-A8EE-F0AAD7539E65}">
      <x14:conditionalFormattings>
        <x14:conditionalFormatting xmlns:xm="http://schemas.microsoft.com/office/excel/2006/main">
          <x14:cfRule type="expression" priority="1" id="{BA3B893B-DFD5-4A5B-9742-2085B2887C39}">
            <xm:f>VLOOKUP(TRUE,エラー表示用!$N$4:$R$24,5,0)&lt;&gt;2</xm:f>
            <x14:dxf>
              <font>
                <color theme="0" tint="-0.14996795556505021"/>
              </font>
              <fill>
                <patternFill>
                  <bgColor theme="0" tint="-0.14996795556505021"/>
                </patternFill>
              </fill>
            </x14:dxf>
          </x14:cfRule>
          <xm:sqref>A4:E502</xm:sqref>
        </x14:conditionalFormatting>
        <x14:conditionalFormatting xmlns:xm="http://schemas.microsoft.com/office/excel/2006/main">
          <x14:cfRule type="expression" priority="679" id="{00000000-000E-0000-0200-000003000000}">
            <xm:f>OR(AND(入力シート!$J$18&lt;&gt;入力リスト!$H$9,入力シート!$J$22&lt;&gt;入力リスト!$H$9),AND(入力シート!$J$18="",入力シート!$J$22=""))</xm:f>
            <x14:dxf>
              <font>
                <color theme="0" tint="-0.14996795556505021"/>
              </font>
              <fill>
                <patternFill>
                  <bgColor theme="0" tint="-0.14996795556505021"/>
                </patternFill>
              </fill>
            </x14:dxf>
          </x14:cfRule>
          <xm:sqref>C4:C502</xm:sqref>
        </x14:conditionalFormatting>
        <x14:conditionalFormatting xmlns:xm="http://schemas.microsoft.com/office/excel/2006/main">
          <x14:cfRule type="expression" priority="4" id="{B9171B1D-31D4-4272-9A24-8607C456E6FC}">
            <xm:f>OR(入力シート!$J$20="",入力シート!$J$20=入力リスト!$H$10)</xm:f>
            <x14:dxf>
              <font>
                <color theme="0" tint="-0.14996795556505021"/>
              </font>
              <fill>
                <patternFill>
                  <bgColor theme="0" tint="-0.14996795556505021"/>
                </patternFill>
              </fill>
            </x14:dxf>
          </x14:cfRule>
          <xm:sqref>E4:E502</xm:sqref>
        </x14:conditionalFormatting>
        <x14:conditionalFormatting xmlns:xm="http://schemas.microsoft.com/office/excel/2006/main">
          <x14:cfRule type="expression" priority="688" stopIfTrue="1" id="{00000000-000E-0000-0200-000006000000}">
            <xm:f>VLOOKUP($F$1,エラー表示用!$I$28:$K$34,3,0)=1</xm:f>
            <x14:dxf>
              <font>
                <color rgb="FFC00000"/>
              </font>
            </x14:dxf>
          </x14:cfRule>
          <xm:sqref>F1:F2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1BCFD-B633-9342-B254-F78C4DCCE6FB}">
  <dimension ref="A1:Q2504"/>
  <sheetViews>
    <sheetView view="pageBreakPreview" zoomScaleNormal="125" zoomScaleSheetLayoutView="100" workbookViewId="0">
      <pane ySplit="3" topLeftCell="A4" activePane="bottomLeft" state="frozen"/>
      <selection activeCell="F45" sqref="F45"/>
      <selection pane="bottomLeft" activeCell="A4" sqref="A4"/>
    </sheetView>
  </sheetViews>
  <sheetFormatPr defaultColWidth="11.54296875" defaultRowHeight="19.8"/>
  <cols>
    <col min="1" max="1" width="10.7265625" style="216" customWidth="1"/>
    <col min="2" max="2" width="11.26953125" style="217" customWidth="1"/>
    <col min="3" max="3" width="10.7265625" style="217" customWidth="1"/>
    <col min="4" max="4" width="10.7265625" style="218" customWidth="1"/>
    <col min="5" max="5" width="10.7265625" style="217" customWidth="1"/>
    <col min="6" max="6" width="12.08984375" style="219" customWidth="1"/>
    <col min="7" max="7" width="47.90625" style="584" bestFit="1" customWidth="1"/>
    <col min="8" max="8" width="8.81640625" style="584" hidden="1" customWidth="1"/>
    <col min="9" max="13" width="12.08984375" style="217" hidden="1" customWidth="1"/>
    <col min="14" max="14" width="12.08984375" style="219" hidden="1" customWidth="1"/>
    <col min="15" max="15" width="12.08984375" style="217" hidden="1" customWidth="1"/>
    <col min="16" max="16" width="2.453125" style="217" customWidth="1"/>
    <col min="17" max="17" width="47.81640625" style="300" customWidth="1"/>
  </cols>
  <sheetData>
    <row r="1" spans="1:17" ht="58.8" customHeight="1">
      <c r="A1" s="1096" t="s">
        <v>413</v>
      </c>
      <c r="B1" s="1094" t="s">
        <v>1159</v>
      </c>
      <c r="C1" s="1092" t="s">
        <v>89</v>
      </c>
      <c r="D1" s="1092" t="s">
        <v>1225</v>
      </c>
      <c r="E1" s="1099" t="s">
        <v>1160</v>
      </c>
      <c r="F1" s="214" t="s">
        <v>1132</v>
      </c>
      <c r="G1" s="99" t="str">
        <f>IF(VLOOKUP(TRUE,エラー表示用!$N$4:$R$24,5,0)=0,エラー表示用!G39,IF(VLOOKUP(TRUE,エラー表示用!$N$4:$R$24,5,0)=1,エラー表示用!G40,IF(VLOOKUP(TRUE,エラー表示用!$B$28:$K$32,10,0)=1,エラー表示用!G41,VLOOKUP(TRUE,エラー表示用!$B$36:$I$38,6,0))))</f>
        <v>［入力シート］の入力が完了していません。</v>
      </c>
      <c r="H1" s="99"/>
      <c r="I1" s="223"/>
      <c r="J1" s="223"/>
      <c r="K1" s="224"/>
      <c r="L1" s="224"/>
      <c r="M1" s="224"/>
      <c r="N1" s="225" t="b">
        <f>OR(入力シート!$C$5&lt;&gt;入力リスト!$C$3,入力シート!$J$22&lt;&gt;入力リスト!$H$9)</f>
        <v>1</v>
      </c>
      <c r="O1" s="224"/>
      <c r="P1" s="1098" t="s">
        <v>5002</v>
      </c>
      <c r="Q1" s="1098"/>
    </row>
    <row r="2" spans="1:17" ht="43.2" customHeight="1">
      <c r="A2" s="1097"/>
      <c r="B2" s="1095"/>
      <c r="C2" s="1093"/>
      <c r="D2" s="1093"/>
      <c r="E2" s="1100"/>
      <c r="F2" s="59"/>
      <c r="G2" s="222" t="str">
        <f>IF(VLOOKUP(TRUE,エラー表示用!$N$4:$R$24,5,0)=0,"※［入力シート］へ移動して、入力完了させてください。",IF(VLOOKUP(TRUE,エラー表示用!$N$4:$R$24,5,0)=1,"※［分析結果］へ移動してください。",IF(VLOOKUP(TRUE,エラー表示用!$B$28:$K$32,10,0)=1,"※［従業員情報（給与以外）］の入力が完了していません。",IF(VLOOKUP(TRUE,エラー表示用!$B$36:$I$38,7,0)="","",VLOOKUP(TRUE,エラー表示用!$B$36:$I$38,7,0)))))</f>
        <v>※［入力シート］へ移動して、入力完了させてください。</v>
      </c>
      <c r="H2" s="222"/>
      <c r="I2" s="223"/>
      <c r="J2" s="223"/>
      <c r="K2" s="224"/>
      <c r="L2" s="224"/>
      <c r="M2" s="224"/>
      <c r="N2" s="225" t="b">
        <f>OR(入力シート!$C$5&lt;&gt;入力リスト!$C$3,入力シート!$J$22&lt;&gt;入力リスト!$H$9)</f>
        <v>1</v>
      </c>
      <c r="O2" s="224"/>
      <c r="P2" s="1098"/>
      <c r="Q2" s="1098"/>
    </row>
    <row r="3" spans="1:17" ht="111" customHeight="1">
      <c r="A3" s="226" t="s">
        <v>1131</v>
      </c>
      <c r="B3" s="227" t="s">
        <v>1230</v>
      </c>
      <c r="C3" s="228" t="s">
        <v>1165</v>
      </c>
      <c r="D3" s="229" t="s">
        <v>1164</v>
      </c>
      <c r="E3" s="230" t="str">
        <f>"258892.84"</f>
        <v>258892.84</v>
      </c>
      <c r="F3" s="231" t="str">
        <f>IF(AND(VLOOKUP(TRUE,エラー表示用!$N$4:$R$24,5,0)=1,入力シート!$J$22=入力リスト!$H$10),"この項目への入力は不要です。"&amp;CHAR(10)&amp;"↓","32.5(32.5時間)=
32.30(32時間30分)"&amp;CHAR(10)&amp;CHAR(10))</f>
        <v xml:space="preserve">32.5(32.5時間)=
32.30(32時間30分)
</v>
      </c>
      <c r="G3" s="206" t="s">
        <v>5041</v>
      </c>
      <c r="H3" s="206"/>
      <c r="I3" s="11" t="s">
        <v>1171</v>
      </c>
      <c r="J3" s="11" t="s">
        <v>89</v>
      </c>
      <c r="K3" s="11" t="s">
        <v>90</v>
      </c>
      <c r="L3" s="11" t="s">
        <v>88</v>
      </c>
      <c r="M3" s="11" t="s">
        <v>87</v>
      </c>
      <c r="N3" s="11" t="s">
        <v>140</v>
      </c>
      <c r="O3" s="11"/>
      <c r="P3" s="1098"/>
      <c r="Q3" s="1098"/>
    </row>
    <row r="4" spans="1:17" ht="19.95" customHeight="1">
      <c r="A4" s="105"/>
      <c r="B4" s="248"/>
      <c r="C4" s="254"/>
      <c r="D4" s="254"/>
      <c r="E4" s="254"/>
      <c r="F4" s="256"/>
      <c r="G4" s="215" t="str">
        <f>IF(AND($B4="",OR(B4&lt;&gt;"",C4&lt;&gt;"",D4&lt;&gt;"",E4&lt;&gt;"",F4&lt;&gt;"")),入力リスト!$K$34,IF($I4=TRUE,入力リスト!$K$35,IF(J4=FALSE,"「毎月の固定給与額」","")&amp;IF(AND(J4=FALSE,OR(K4=FALSE,L4=FALSE,M4=FALSE)),",","")&amp;IF(K4=FALSE,"「賞与額等」","")&amp;IF(AND(K4=FALSE,OR(L4=FALSE,M4=FALSE)),",","")&amp;IF(L4=FALSE,"「残業手当」","")&amp;IF(AND(L4=FALSE,M4=FALSE),",","")&amp;IF(M4=FALSE,"「残業時間」","")&amp;IF(OR(J4=FALSE,K4=FALSE,L4=FALSE,M4=FALSE),入力リスト!$K$36,"")&amp;IF(N4,"",入力リスト!$K$37)))</f>
        <v/>
      </c>
      <c r="H4" s="215"/>
      <c r="I4" s="1" t="b">
        <f>IF(B4="",FALSE,COUNTIF('従業員情報(給与以外)'!$A$4:$A$1000000,$B4)=0)</f>
        <v>0</v>
      </c>
      <c r="J4" s="8" t="b">
        <f>OR(C4="",ISNUMBER(C4))</f>
        <v>1</v>
      </c>
      <c r="K4" s="8" t="b">
        <f>OR(D4="",ISNUMBER(D4))</f>
        <v>1</v>
      </c>
      <c r="L4" s="8" t="b">
        <f>OR(E4="",ISNUMBER(E4))</f>
        <v>1</v>
      </c>
      <c r="M4" s="8" t="b">
        <f>OR(F4="",ISNUMBER(F4))</f>
        <v>1</v>
      </c>
      <c r="N4" s="1" t="b">
        <f>IF($N$1,TRUE,IF($N$2,IF(F4-INT(F4)&lt;0.6,TRUE,FALSE),TRUE))</f>
        <v>1</v>
      </c>
      <c r="O4" s="8" t="str">
        <f>IF(F4="","",IF($F$2=入力リスト!$H$25,ROUNDDOWN(INT(F4)+ROUNDDOWN((F4-INT(F4))*100,0)/60,2),F4))</f>
        <v/>
      </c>
      <c r="P4" s="7"/>
      <c r="Q4" s="232"/>
    </row>
    <row r="5" spans="1:17" ht="19.95" customHeight="1">
      <c r="A5" s="105"/>
      <c r="B5" s="258"/>
      <c r="C5" s="254"/>
      <c r="D5" s="254"/>
      <c r="E5" s="254"/>
      <c r="F5" s="256"/>
      <c r="G5" s="215" t="str">
        <f>IF(AND($B5="",OR(B5&lt;&gt;"",C5&lt;&gt;"",D5&lt;&gt;"",E5&lt;&gt;"",F5&lt;&gt;"")),入力リスト!$K$34,IF($I5=TRUE,入力リスト!$K$35,IF(J5=FALSE,"「毎月の固定給与額」","")&amp;IF(AND(J5=FALSE,OR(K5=FALSE,L5=FALSE,M5=FALSE)),",","")&amp;IF(K5=FALSE,"「賞与額等」","")&amp;IF(AND(K5=FALSE,OR(L5=FALSE,M5=FALSE)),",","")&amp;IF(L5=FALSE,"「残業手当」","")&amp;IF(AND(L5=FALSE,M5=FALSE),",","")&amp;IF(M5=FALSE,"「残業時間」","")&amp;IF(OR(J5=FALSE,K5=FALSE,L5=FALSE,M5=FALSE),入力リスト!$K$36,"")&amp;IF(N5,"",入力リスト!$K$37)))</f>
        <v/>
      </c>
      <c r="H5" s="215"/>
      <c r="I5" s="1" t="b">
        <f>IF(B5="",FALSE,COUNTIF('従業員情報(給与以外)'!$A$4:$A$1000000,$B5)=0)</f>
        <v>0</v>
      </c>
      <c r="J5" s="8" t="b">
        <f t="shared" ref="J5:J68" si="0">OR(C5="",ISNUMBER(C5))</f>
        <v>1</v>
      </c>
      <c r="K5" s="8" t="b">
        <f t="shared" ref="K5:K68" si="1">OR(D5="",ISNUMBER(D5))</f>
        <v>1</v>
      </c>
      <c r="L5" s="8" t="b">
        <f t="shared" ref="L5:L68" si="2">OR(E5="",ISNUMBER(E5))</f>
        <v>1</v>
      </c>
      <c r="M5" s="8" t="b">
        <f t="shared" ref="M5:M68" si="3">OR(F5="",ISNUMBER(F5))</f>
        <v>1</v>
      </c>
      <c r="N5" s="1" t="b">
        <f t="shared" ref="N5:N68" si="4">IF($N$1,TRUE,IF($N$2,IF(F5-INT(F5)&lt;0.6,TRUE,FALSE),TRUE))</f>
        <v>1</v>
      </c>
      <c r="O5" s="8" t="str">
        <f>IF(F5="","",IF($F$2=入力リスト!$H$25,ROUNDDOWN(INT(F5)+ROUNDDOWN((F5-INT(F5))*100,0)/60,2),F5))</f>
        <v/>
      </c>
      <c r="P5" s="7"/>
      <c r="Q5" s="233"/>
    </row>
    <row r="6" spans="1:17" ht="19.95" customHeight="1">
      <c r="A6" s="105"/>
      <c r="B6" s="248"/>
      <c r="C6" s="254"/>
      <c r="D6" s="254"/>
      <c r="E6" s="254"/>
      <c r="F6" s="255"/>
      <c r="G6" s="215" t="str">
        <f>IF(AND($B6="",OR(B6&lt;&gt;"",C6&lt;&gt;"",D6&lt;&gt;"",E6&lt;&gt;"",F6&lt;&gt;"")),入力リスト!$K$34,IF($I6=TRUE,入力リスト!$K$35,IF(J6=FALSE,"「毎月の固定給与額」","")&amp;IF(AND(J6=FALSE,OR(K6=FALSE,L6=FALSE,M6=FALSE)),",","")&amp;IF(K6=FALSE,"「賞与額等」","")&amp;IF(AND(K6=FALSE,OR(L6=FALSE,M6=FALSE)),",","")&amp;IF(L6=FALSE,"「残業手当」","")&amp;IF(AND(L6=FALSE,M6=FALSE),",","")&amp;IF(M6=FALSE,"「残業時間」","")&amp;IF(OR(J6=FALSE,K6=FALSE,L6=FALSE,M6=FALSE),入力リスト!$K$36,"")&amp;IF(N6,"",入力リスト!$K$37)))</f>
        <v/>
      </c>
      <c r="H6" s="215"/>
      <c r="I6" s="1" t="b">
        <f>IF(B6="",FALSE,COUNTIF('従業員情報(給与以外)'!$A$4:$A$1000000,$B6)=0)</f>
        <v>0</v>
      </c>
      <c r="J6" s="8" t="b">
        <f t="shared" si="0"/>
        <v>1</v>
      </c>
      <c r="K6" s="8" t="b">
        <f t="shared" si="1"/>
        <v>1</v>
      </c>
      <c r="L6" s="8" t="b">
        <f t="shared" si="2"/>
        <v>1</v>
      </c>
      <c r="M6" s="8" t="b">
        <f t="shared" si="3"/>
        <v>1</v>
      </c>
      <c r="N6" s="1" t="b">
        <f t="shared" si="4"/>
        <v>1</v>
      </c>
      <c r="O6" s="8" t="str">
        <f>IF(F6="","",IF($F$2=入力リスト!$H$25,ROUNDDOWN(INT(F6)+ROUNDDOWN((F6-INT(F6))*100,0)/60,2),F6))</f>
        <v/>
      </c>
      <c r="P6" s="7"/>
      <c r="Q6" s="14"/>
    </row>
    <row r="7" spans="1:17" ht="19.95" customHeight="1">
      <c r="A7" s="105"/>
      <c r="B7" s="248"/>
      <c r="C7" s="254"/>
      <c r="D7" s="254"/>
      <c r="E7" s="254"/>
      <c r="F7" s="255"/>
      <c r="G7" s="215" t="str">
        <f>IF(AND($B7="",OR(B7&lt;&gt;"",C7&lt;&gt;"",D7&lt;&gt;"",E7&lt;&gt;"",F7&lt;&gt;"")),入力リスト!$K$34,IF($I7=TRUE,入力リスト!$K$35,IF(J7=FALSE,"「毎月の固定給与額」","")&amp;IF(AND(J7=FALSE,OR(K7=FALSE,L7=FALSE,M7=FALSE)),",","")&amp;IF(K7=FALSE,"「賞与額等」","")&amp;IF(AND(K7=FALSE,OR(L7=FALSE,M7=FALSE)),",","")&amp;IF(L7=FALSE,"「残業手当」","")&amp;IF(AND(L7=FALSE,M7=FALSE),",","")&amp;IF(M7=FALSE,"「残業時間」","")&amp;IF(OR(J7=FALSE,K7=FALSE,L7=FALSE,M7=FALSE),入力リスト!$K$36,"")&amp;IF(N7,"",入力リスト!$K$37)))</f>
        <v/>
      </c>
      <c r="H7" s="215"/>
      <c r="I7" s="1" t="b">
        <f>IF(B7="",FALSE,COUNTIF('従業員情報(給与以外)'!$A$4:$A$1000000,$B7)=0)</f>
        <v>0</v>
      </c>
      <c r="J7" s="8" t="b">
        <f t="shared" si="0"/>
        <v>1</v>
      </c>
      <c r="K7" s="8" t="b">
        <f t="shared" si="1"/>
        <v>1</v>
      </c>
      <c r="L7" s="8" t="b">
        <f t="shared" si="2"/>
        <v>1</v>
      </c>
      <c r="M7" s="8" t="b">
        <f t="shared" si="3"/>
        <v>1</v>
      </c>
      <c r="N7" s="1" t="b">
        <f t="shared" si="4"/>
        <v>1</v>
      </c>
      <c r="O7" s="8" t="str">
        <f>IF(F7="","",IF($F$2=入力リスト!$H$25,ROUNDDOWN(INT(F7)+ROUNDDOWN((F7-INT(F7))*100,0)/60,2),F7))</f>
        <v/>
      </c>
      <c r="P7" s="7"/>
      <c r="Q7" s="14"/>
    </row>
    <row r="8" spans="1:17" ht="19.95" customHeight="1">
      <c r="A8" s="105"/>
      <c r="B8" s="248"/>
      <c r="C8" s="254"/>
      <c r="D8" s="254"/>
      <c r="E8" s="254"/>
      <c r="F8" s="255"/>
      <c r="G8" s="215" t="str">
        <f>IF(AND($B8="",OR(B8&lt;&gt;"",C8&lt;&gt;"",D8&lt;&gt;"",E8&lt;&gt;"",F8&lt;&gt;"")),入力リスト!$K$34,IF($I8=TRUE,入力リスト!$K$35,IF(J8=FALSE,"「毎月の固定給与額」","")&amp;IF(AND(J8=FALSE,OR(K8=FALSE,L8=FALSE,M8=FALSE)),",","")&amp;IF(K8=FALSE,"「賞与額等」","")&amp;IF(AND(K8=FALSE,OR(L8=FALSE,M8=FALSE)),",","")&amp;IF(L8=FALSE,"「残業手当」","")&amp;IF(AND(L8=FALSE,M8=FALSE),",","")&amp;IF(M8=FALSE,"「残業時間」","")&amp;IF(OR(J8=FALSE,K8=FALSE,L8=FALSE,M8=FALSE),入力リスト!$K$36,"")&amp;IF(N8,"",入力リスト!$K$37)))</f>
        <v/>
      </c>
      <c r="H8" s="215"/>
      <c r="I8" s="1" t="b">
        <f>IF(B8="",FALSE,COUNTIF('従業員情報(給与以外)'!$A$4:$A$1000000,$B8)=0)</f>
        <v>0</v>
      </c>
      <c r="J8" s="8" t="b">
        <f t="shared" si="0"/>
        <v>1</v>
      </c>
      <c r="K8" s="8" t="b">
        <f t="shared" si="1"/>
        <v>1</v>
      </c>
      <c r="L8" s="8" t="b">
        <f t="shared" si="2"/>
        <v>1</v>
      </c>
      <c r="M8" s="8" t="b">
        <f t="shared" si="3"/>
        <v>1</v>
      </c>
      <c r="N8" s="1" t="b">
        <f t="shared" si="4"/>
        <v>1</v>
      </c>
      <c r="O8" s="8" t="str">
        <f>IF(F8="","",IF($F$2=入力リスト!$H$25,ROUNDDOWN(INT(F8)+ROUNDDOWN((F8-INT(F8))*100,0)/60,2),F8))</f>
        <v/>
      </c>
      <c r="P8" s="7"/>
      <c r="Q8" s="14"/>
    </row>
    <row r="9" spans="1:17" ht="19.95" customHeight="1">
      <c r="A9" s="105"/>
      <c r="B9" s="248"/>
      <c r="C9" s="254"/>
      <c r="D9" s="254"/>
      <c r="E9" s="254"/>
      <c r="F9" s="255"/>
      <c r="G9" s="215" t="str">
        <f>IF(AND($B9="",OR(B9&lt;&gt;"",C9&lt;&gt;"",D9&lt;&gt;"",E9&lt;&gt;"",F9&lt;&gt;"")),入力リスト!$K$34,IF($I9=TRUE,入力リスト!$K$35,IF(J9=FALSE,"「毎月の固定給与額」","")&amp;IF(AND(J9=FALSE,OR(K9=FALSE,L9=FALSE,M9=FALSE)),",","")&amp;IF(K9=FALSE,"「賞与額等」","")&amp;IF(AND(K9=FALSE,OR(L9=FALSE,M9=FALSE)),",","")&amp;IF(L9=FALSE,"「残業手当」","")&amp;IF(AND(L9=FALSE,M9=FALSE),",","")&amp;IF(M9=FALSE,"「残業時間」","")&amp;IF(OR(J9=FALSE,K9=FALSE,L9=FALSE,M9=FALSE),入力リスト!$K$36,"")&amp;IF(N9,"",入力リスト!$K$37)))</f>
        <v/>
      </c>
      <c r="H9" s="215"/>
      <c r="I9" s="1" t="b">
        <f>IF(B9="",FALSE,COUNTIF('従業員情報(給与以外)'!$A$4:$A$1000000,$B9)=0)</f>
        <v>0</v>
      </c>
      <c r="J9" s="8" t="b">
        <f t="shared" si="0"/>
        <v>1</v>
      </c>
      <c r="K9" s="8" t="b">
        <f t="shared" si="1"/>
        <v>1</v>
      </c>
      <c r="L9" s="8" t="b">
        <f t="shared" si="2"/>
        <v>1</v>
      </c>
      <c r="M9" s="8" t="b">
        <f t="shared" si="3"/>
        <v>1</v>
      </c>
      <c r="N9" s="1" t="b">
        <f t="shared" si="4"/>
        <v>1</v>
      </c>
      <c r="O9" s="8" t="str">
        <f>IF(F9="","",IF($F$2=入力リスト!$H$25,ROUNDDOWN(INT(F9)+ROUNDDOWN((F9-INT(F9))*100,0)/60,2),F9))</f>
        <v/>
      </c>
      <c r="P9" s="7"/>
      <c r="Q9" s="14"/>
    </row>
    <row r="10" spans="1:17" ht="19.95" customHeight="1">
      <c r="A10" s="105"/>
      <c r="B10" s="248"/>
      <c r="C10" s="254"/>
      <c r="D10" s="254"/>
      <c r="E10" s="254"/>
      <c r="F10" s="255"/>
      <c r="G10" s="215" t="str">
        <f>IF(AND($B10="",OR(B10&lt;&gt;"",C10&lt;&gt;"",D10&lt;&gt;"",E10&lt;&gt;"",F10&lt;&gt;"")),入力リスト!$K$34,IF($I10=TRUE,入力リスト!$K$35,IF(J10=FALSE,"「毎月の固定給与額」","")&amp;IF(AND(J10=FALSE,OR(K10=FALSE,L10=FALSE,M10=FALSE)),",","")&amp;IF(K10=FALSE,"「賞与額等」","")&amp;IF(AND(K10=FALSE,OR(L10=FALSE,M10=FALSE)),",","")&amp;IF(L10=FALSE,"「残業手当」","")&amp;IF(AND(L10=FALSE,M10=FALSE),",","")&amp;IF(M10=FALSE,"「残業時間」","")&amp;IF(OR(J10=FALSE,K10=FALSE,L10=FALSE,M10=FALSE),入力リスト!$K$36,"")&amp;IF(N10,"",入力リスト!$K$37)))</f>
        <v/>
      </c>
      <c r="H10" s="215"/>
      <c r="I10" s="1" t="b">
        <f>IF(B10="",FALSE,COUNTIF('従業員情報(給与以外)'!$A$4:$A$1000000,$B10)=0)</f>
        <v>0</v>
      </c>
      <c r="J10" s="8" t="b">
        <f t="shared" si="0"/>
        <v>1</v>
      </c>
      <c r="K10" s="8" t="b">
        <f t="shared" si="1"/>
        <v>1</v>
      </c>
      <c r="L10" s="8" t="b">
        <f t="shared" si="2"/>
        <v>1</v>
      </c>
      <c r="M10" s="8" t="b">
        <f t="shared" si="3"/>
        <v>1</v>
      </c>
      <c r="N10" s="1" t="b">
        <f t="shared" si="4"/>
        <v>1</v>
      </c>
      <c r="O10" s="8" t="str">
        <f>IF(F10="","",IF($F$2=入力リスト!$H$25,ROUNDDOWN(INT(F10)+ROUNDDOWN((F10-INT(F10))*100,0)/60,2),F10))</f>
        <v/>
      </c>
      <c r="P10" s="7"/>
      <c r="Q10" s="7"/>
    </row>
    <row r="11" spans="1:17" ht="19.95" customHeight="1">
      <c r="A11" s="105"/>
      <c r="B11" s="248"/>
      <c r="C11" s="254"/>
      <c r="D11" s="254"/>
      <c r="E11" s="254"/>
      <c r="F11" s="255"/>
      <c r="G11" s="215" t="str">
        <f>IF(AND($B11="",OR(B11&lt;&gt;"",C11&lt;&gt;"",D11&lt;&gt;"",E11&lt;&gt;"",F11&lt;&gt;"")),入力リスト!$K$34,IF($I11=TRUE,入力リスト!$K$35,IF(J11=FALSE,"「毎月の固定給与額」","")&amp;IF(AND(J11=FALSE,OR(K11=FALSE,L11=FALSE,M11=FALSE)),",","")&amp;IF(K11=FALSE,"「賞与額等」","")&amp;IF(AND(K11=FALSE,OR(L11=FALSE,M11=FALSE)),",","")&amp;IF(L11=FALSE,"「残業手当」","")&amp;IF(AND(L11=FALSE,M11=FALSE),",","")&amp;IF(M11=FALSE,"「残業時間」","")&amp;IF(OR(J11=FALSE,K11=FALSE,L11=FALSE,M11=FALSE),入力リスト!$K$36,"")&amp;IF(N11,"",入力リスト!$K$37)))</f>
        <v/>
      </c>
      <c r="H11" s="215"/>
      <c r="I11" s="1" t="b">
        <f>IF(B11="",FALSE,COUNTIF('従業員情報(給与以外)'!$A$4:$A$1000000,$B11)=0)</f>
        <v>0</v>
      </c>
      <c r="J11" s="8" t="b">
        <f t="shared" si="0"/>
        <v>1</v>
      </c>
      <c r="K11" s="8" t="b">
        <f t="shared" si="1"/>
        <v>1</v>
      </c>
      <c r="L11" s="8" t="b">
        <f t="shared" si="2"/>
        <v>1</v>
      </c>
      <c r="M11" s="8" t="b">
        <f t="shared" si="3"/>
        <v>1</v>
      </c>
      <c r="N11" s="1" t="b">
        <f t="shared" si="4"/>
        <v>1</v>
      </c>
      <c r="O11" s="8" t="str">
        <f>IF(F11="","",IF($F$2=入力リスト!$H$25,ROUNDDOWN(INT(F11)+ROUNDDOWN((F11-INT(F11))*100,0)/60,2),F11))</f>
        <v/>
      </c>
      <c r="P11" s="7"/>
      <c r="Q11" s="7"/>
    </row>
    <row r="12" spans="1:17" ht="19.95" customHeight="1">
      <c r="A12" s="105"/>
      <c r="B12" s="248"/>
      <c r="C12" s="254"/>
      <c r="D12" s="254"/>
      <c r="E12" s="254"/>
      <c r="F12" s="255"/>
      <c r="G12" s="215" t="str">
        <f>IF(AND($B12="",OR(B12&lt;&gt;"",C12&lt;&gt;"",D12&lt;&gt;"",E12&lt;&gt;"",F12&lt;&gt;"")),入力リスト!$K$34,IF($I12=TRUE,入力リスト!$K$35,IF(J12=FALSE,"「毎月の固定給与額」","")&amp;IF(AND(J12=FALSE,OR(K12=FALSE,L12=FALSE,M12=FALSE)),",","")&amp;IF(K12=FALSE,"「賞与額等」","")&amp;IF(AND(K12=FALSE,OR(L12=FALSE,M12=FALSE)),",","")&amp;IF(L12=FALSE,"「残業手当」","")&amp;IF(AND(L12=FALSE,M12=FALSE),",","")&amp;IF(M12=FALSE,"「残業時間」","")&amp;IF(OR(J12=FALSE,K12=FALSE,L12=FALSE,M12=FALSE),入力リスト!$K$36,"")&amp;IF(N12,"",入力リスト!$K$37)))</f>
        <v/>
      </c>
      <c r="H12" s="215"/>
      <c r="I12" s="1" t="b">
        <f>IF(B12="",FALSE,COUNTIF('従業員情報(給与以外)'!$A$4:$A$1000000,$B12)=0)</f>
        <v>0</v>
      </c>
      <c r="J12" s="8" t="b">
        <f t="shared" si="0"/>
        <v>1</v>
      </c>
      <c r="K12" s="8" t="b">
        <f t="shared" si="1"/>
        <v>1</v>
      </c>
      <c r="L12" s="8" t="b">
        <f t="shared" si="2"/>
        <v>1</v>
      </c>
      <c r="M12" s="8" t="b">
        <f t="shared" si="3"/>
        <v>1</v>
      </c>
      <c r="N12" s="1" t="b">
        <f t="shared" si="4"/>
        <v>1</v>
      </c>
      <c r="O12" s="8" t="str">
        <f>IF(F12="","",IF($F$2=入力リスト!$H$25,ROUNDDOWN(INT(F12)+ROUNDDOWN((F12-INT(F12))*100,0)/60,2),F12))</f>
        <v/>
      </c>
      <c r="P12" s="7"/>
      <c r="Q12" s="7"/>
    </row>
    <row r="13" spans="1:17" ht="19.95" customHeight="1">
      <c r="A13" s="105"/>
      <c r="B13" s="248"/>
      <c r="C13" s="254"/>
      <c r="D13" s="254"/>
      <c r="E13" s="254"/>
      <c r="F13" s="255"/>
      <c r="G13" s="215" t="str">
        <f>IF(AND($B13="",OR(B13&lt;&gt;"",C13&lt;&gt;"",D13&lt;&gt;"",E13&lt;&gt;"",F13&lt;&gt;"")),入力リスト!$K$34,IF($I13=TRUE,入力リスト!$K$35,IF(J13=FALSE,"「毎月の固定給与額」","")&amp;IF(AND(J13=FALSE,OR(K13=FALSE,L13=FALSE,M13=FALSE)),",","")&amp;IF(K13=FALSE,"「賞与額等」","")&amp;IF(AND(K13=FALSE,OR(L13=FALSE,M13=FALSE)),",","")&amp;IF(L13=FALSE,"「残業手当」","")&amp;IF(AND(L13=FALSE,M13=FALSE),",","")&amp;IF(M13=FALSE,"「残業時間」","")&amp;IF(OR(J13=FALSE,K13=FALSE,L13=FALSE,M13=FALSE),入力リスト!$K$36,"")&amp;IF(N13,"",入力リスト!$K$37)))</f>
        <v/>
      </c>
      <c r="H13" s="215"/>
      <c r="I13" s="1" t="b">
        <f>IF(B13="",FALSE,COUNTIF('従業員情報(給与以外)'!$A$4:$A$1000000,$B13)=0)</f>
        <v>0</v>
      </c>
      <c r="J13" s="8" t="b">
        <f t="shared" si="0"/>
        <v>1</v>
      </c>
      <c r="K13" s="8" t="b">
        <f t="shared" si="1"/>
        <v>1</v>
      </c>
      <c r="L13" s="8" t="b">
        <f t="shared" si="2"/>
        <v>1</v>
      </c>
      <c r="M13" s="8" t="b">
        <f t="shared" si="3"/>
        <v>1</v>
      </c>
      <c r="N13" s="1" t="b">
        <f t="shared" si="4"/>
        <v>1</v>
      </c>
      <c r="O13" s="8" t="str">
        <f>IF(F13="","",IF($F$2=入力リスト!$H$25,ROUNDDOWN(INT(F13)+ROUNDDOWN((F13-INT(F13))*100,0)/60,2),F13))</f>
        <v/>
      </c>
      <c r="P13" s="7"/>
      <c r="Q13" s="7"/>
    </row>
    <row r="14" spans="1:17" ht="19.95" customHeight="1">
      <c r="A14" s="105"/>
      <c r="B14" s="248"/>
      <c r="C14" s="254"/>
      <c r="D14" s="254"/>
      <c r="E14" s="254"/>
      <c r="F14" s="255"/>
      <c r="G14" s="215" t="str">
        <f>IF(AND($B14="",OR(B14&lt;&gt;"",C14&lt;&gt;"",D14&lt;&gt;"",E14&lt;&gt;"",F14&lt;&gt;"")),入力リスト!$K$34,IF($I14=TRUE,入力リスト!$K$35,IF(J14=FALSE,"「毎月の固定給与額」","")&amp;IF(AND(J14=FALSE,OR(K14=FALSE,L14=FALSE,M14=FALSE)),",","")&amp;IF(K14=FALSE,"「賞与額等」","")&amp;IF(AND(K14=FALSE,OR(L14=FALSE,M14=FALSE)),",","")&amp;IF(L14=FALSE,"「残業手当」","")&amp;IF(AND(L14=FALSE,M14=FALSE),",","")&amp;IF(M14=FALSE,"「残業時間」","")&amp;IF(OR(J14=FALSE,K14=FALSE,L14=FALSE,M14=FALSE),入力リスト!$K$36,"")&amp;IF(N14,"",入力リスト!$K$37)))</f>
        <v/>
      </c>
      <c r="H14" s="215"/>
      <c r="I14" s="1" t="b">
        <f>IF(B14="",FALSE,COUNTIF('従業員情報(給与以外)'!$A$4:$A$1000000,$B14)=0)</f>
        <v>0</v>
      </c>
      <c r="J14" s="8" t="b">
        <f t="shared" si="0"/>
        <v>1</v>
      </c>
      <c r="K14" s="8" t="b">
        <f t="shared" si="1"/>
        <v>1</v>
      </c>
      <c r="L14" s="8" t="b">
        <f t="shared" si="2"/>
        <v>1</v>
      </c>
      <c r="M14" s="8" t="b">
        <f t="shared" si="3"/>
        <v>1</v>
      </c>
      <c r="N14" s="1" t="b">
        <f t="shared" si="4"/>
        <v>1</v>
      </c>
      <c r="O14" s="8" t="str">
        <f>IF(F14="","",IF($F$2=入力リスト!$H$25,ROUNDDOWN(INT(F14)+ROUNDDOWN((F14-INT(F14))*100,0)/60,2),F14))</f>
        <v/>
      </c>
      <c r="P14" s="7"/>
      <c r="Q14" s="7"/>
    </row>
    <row r="15" spans="1:17" ht="19.95" customHeight="1">
      <c r="A15" s="105"/>
      <c r="B15" s="248"/>
      <c r="C15" s="254"/>
      <c r="D15" s="254"/>
      <c r="E15" s="254"/>
      <c r="F15" s="255"/>
      <c r="G15" s="215" t="str">
        <f>IF(AND($B15="",OR(B15&lt;&gt;"",C15&lt;&gt;"",D15&lt;&gt;"",E15&lt;&gt;"",F15&lt;&gt;"")),入力リスト!$K$34,IF($I15=TRUE,入力リスト!$K$35,IF(J15=FALSE,"「毎月の固定給与額」","")&amp;IF(AND(J15=FALSE,OR(K15=FALSE,L15=FALSE,M15=FALSE)),",","")&amp;IF(K15=FALSE,"「賞与額等」","")&amp;IF(AND(K15=FALSE,OR(L15=FALSE,M15=FALSE)),",","")&amp;IF(L15=FALSE,"「残業手当」","")&amp;IF(AND(L15=FALSE,M15=FALSE),",","")&amp;IF(M15=FALSE,"「残業時間」","")&amp;IF(OR(J15=FALSE,K15=FALSE,L15=FALSE,M15=FALSE),入力リスト!$K$36,"")&amp;IF(N15,"",入力リスト!$K$37)))</f>
        <v/>
      </c>
      <c r="H15" s="215"/>
      <c r="I15" s="1" t="b">
        <f>IF(B15="",FALSE,COUNTIF('従業員情報(給与以外)'!$A$4:$A$1000000,$B15)=0)</f>
        <v>0</v>
      </c>
      <c r="J15" s="8" t="b">
        <f t="shared" si="0"/>
        <v>1</v>
      </c>
      <c r="K15" s="8" t="b">
        <f t="shared" si="1"/>
        <v>1</v>
      </c>
      <c r="L15" s="8" t="b">
        <f t="shared" si="2"/>
        <v>1</v>
      </c>
      <c r="M15" s="8" t="b">
        <f t="shared" si="3"/>
        <v>1</v>
      </c>
      <c r="N15" s="1" t="b">
        <f t="shared" si="4"/>
        <v>1</v>
      </c>
      <c r="O15" s="8" t="str">
        <f>IF(F15="","",IF($F$2=入力リスト!$H$25,ROUNDDOWN(INT(F15)+ROUNDDOWN((F15-INT(F15))*100,0)/60,2),F15))</f>
        <v/>
      </c>
      <c r="P15" s="7"/>
      <c r="Q15" s="7"/>
    </row>
    <row r="16" spans="1:17" ht="19.95" customHeight="1">
      <c r="A16" s="105"/>
      <c r="B16" s="248"/>
      <c r="C16" s="254"/>
      <c r="D16" s="254"/>
      <c r="E16" s="254"/>
      <c r="F16" s="255"/>
      <c r="G16" s="215" t="str">
        <f>IF(AND($B16="",OR(B16&lt;&gt;"",C16&lt;&gt;"",D16&lt;&gt;"",E16&lt;&gt;"",F16&lt;&gt;"")),入力リスト!$K$34,IF($I16=TRUE,入力リスト!$K$35,IF(J16=FALSE,"「毎月の固定給与額」","")&amp;IF(AND(J16=FALSE,OR(K16=FALSE,L16=FALSE,M16=FALSE)),",","")&amp;IF(K16=FALSE,"「賞与額等」","")&amp;IF(AND(K16=FALSE,OR(L16=FALSE,M16=FALSE)),",","")&amp;IF(L16=FALSE,"「残業手当」","")&amp;IF(AND(L16=FALSE,M16=FALSE),",","")&amp;IF(M16=FALSE,"「残業時間」","")&amp;IF(OR(J16=FALSE,K16=FALSE,L16=FALSE,M16=FALSE),入力リスト!$K$36,"")&amp;IF(N16,"",入力リスト!$K$37)))</f>
        <v/>
      </c>
      <c r="H16" s="215"/>
      <c r="I16" s="1" t="b">
        <f>IF(B16="",FALSE,COUNTIF('従業員情報(給与以外)'!$A$4:$A$1000000,$B16)=0)</f>
        <v>0</v>
      </c>
      <c r="J16" s="8" t="b">
        <f t="shared" si="0"/>
        <v>1</v>
      </c>
      <c r="K16" s="8" t="b">
        <f t="shared" si="1"/>
        <v>1</v>
      </c>
      <c r="L16" s="8" t="b">
        <f t="shared" si="2"/>
        <v>1</v>
      </c>
      <c r="M16" s="8" t="b">
        <f t="shared" si="3"/>
        <v>1</v>
      </c>
      <c r="N16" s="1" t="b">
        <f t="shared" si="4"/>
        <v>1</v>
      </c>
      <c r="O16" s="8" t="str">
        <f>IF(F16="","",IF($F$2=入力リスト!$H$25,ROUNDDOWN(INT(F16)+ROUNDDOWN((F16-INT(F16))*100,0)/60,2),F16))</f>
        <v/>
      </c>
      <c r="P16" s="7"/>
      <c r="Q16" s="7"/>
    </row>
    <row r="17" spans="1:17" ht="19.95" customHeight="1">
      <c r="A17" s="105"/>
      <c r="B17" s="248"/>
      <c r="C17" s="254"/>
      <c r="D17" s="254"/>
      <c r="E17" s="254"/>
      <c r="F17" s="255"/>
      <c r="G17" s="215" t="str">
        <f>IF(AND($B17="",OR(B17&lt;&gt;"",C17&lt;&gt;"",D17&lt;&gt;"",E17&lt;&gt;"",F17&lt;&gt;"")),入力リスト!$K$34,IF($I17=TRUE,入力リスト!$K$35,IF(J17=FALSE,"「毎月の固定給与額」","")&amp;IF(AND(J17=FALSE,OR(K17=FALSE,L17=FALSE,M17=FALSE)),",","")&amp;IF(K17=FALSE,"「賞与額等」","")&amp;IF(AND(K17=FALSE,OR(L17=FALSE,M17=FALSE)),",","")&amp;IF(L17=FALSE,"「残業手当」","")&amp;IF(AND(L17=FALSE,M17=FALSE),",","")&amp;IF(M17=FALSE,"「残業時間」","")&amp;IF(OR(J17=FALSE,K17=FALSE,L17=FALSE,M17=FALSE),入力リスト!$K$36,"")&amp;IF(N17,"",入力リスト!$K$37)))</f>
        <v/>
      </c>
      <c r="H17" s="215"/>
      <c r="I17" s="1" t="b">
        <f>IF(B17="",FALSE,COUNTIF('従業員情報(給与以外)'!$A$4:$A$1000000,$B17)=0)</f>
        <v>0</v>
      </c>
      <c r="J17" s="8" t="b">
        <f t="shared" si="0"/>
        <v>1</v>
      </c>
      <c r="K17" s="8" t="b">
        <f t="shared" si="1"/>
        <v>1</v>
      </c>
      <c r="L17" s="8" t="b">
        <f t="shared" si="2"/>
        <v>1</v>
      </c>
      <c r="M17" s="8" t="b">
        <f t="shared" si="3"/>
        <v>1</v>
      </c>
      <c r="N17" s="1" t="b">
        <f t="shared" si="4"/>
        <v>1</v>
      </c>
      <c r="O17" s="8" t="str">
        <f>IF(F17="","",IF($F$2=入力リスト!$H$25,ROUNDDOWN(INT(F17)+ROUNDDOWN((F17-INT(F17))*100,0)/60,2),F17))</f>
        <v/>
      </c>
      <c r="P17" s="7"/>
      <c r="Q17" s="7"/>
    </row>
    <row r="18" spans="1:17" ht="19.95" customHeight="1">
      <c r="A18" s="105"/>
      <c r="B18" s="2"/>
      <c r="C18" s="254"/>
      <c r="D18" s="254"/>
      <c r="E18" s="254"/>
      <c r="F18" s="255"/>
      <c r="G18" s="215" t="str">
        <f>IF(AND($B18="",OR(B18&lt;&gt;"",C18&lt;&gt;"",D18&lt;&gt;"",E18&lt;&gt;"",F18&lt;&gt;"")),入力リスト!$K$34,IF($I18=TRUE,入力リスト!$K$35,IF(J18=FALSE,"「毎月の固定給与額」","")&amp;IF(AND(J18=FALSE,OR(K18=FALSE,L18=FALSE,M18=FALSE)),",","")&amp;IF(K18=FALSE,"「賞与額等」","")&amp;IF(AND(K18=FALSE,OR(L18=FALSE,M18=FALSE)),",","")&amp;IF(L18=FALSE,"「残業手当」","")&amp;IF(AND(L18=FALSE,M18=FALSE),",","")&amp;IF(M18=FALSE,"「残業時間」","")&amp;IF(OR(J18=FALSE,K18=FALSE,L18=FALSE,M18=FALSE),入力リスト!$K$36,"")&amp;IF(N18,"",入力リスト!$K$37)))</f>
        <v/>
      </c>
      <c r="H18" s="215"/>
      <c r="I18" s="1" t="b">
        <f>IF(B18="",FALSE,COUNTIF('従業員情報(給与以外)'!$A$4:$A$1000000,$B18)=0)</f>
        <v>0</v>
      </c>
      <c r="J18" s="8" t="b">
        <f t="shared" si="0"/>
        <v>1</v>
      </c>
      <c r="K18" s="8" t="b">
        <f t="shared" si="1"/>
        <v>1</v>
      </c>
      <c r="L18" s="8" t="b">
        <f t="shared" si="2"/>
        <v>1</v>
      </c>
      <c r="M18" s="8" t="b">
        <f t="shared" si="3"/>
        <v>1</v>
      </c>
      <c r="N18" s="1" t="b">
        <f t="shared" si="4"/>
        <v>1</v>
      </c>
      <c r="O18" s="8" t="str">
        <f>IF(F18="","",IF($F$2=入力リスト!$H$25,ROUNDDOWN(INT(F18)+ROUNDDOWN((F18-INT(F18))*100,0)/60,2),F18))</f>
        <v/>
      </c>
      <c r="P18" s="7"/>
      <c r="Q18" s="7"/>
    </row>
    <row r="19" spans="1:17" ht="19.95" customHeight="1">
      <c r="A19" s="105"/>
      <c r="B19" s="2"/>
      <c r="C19" s="254"/>
      <c r="D19" s="254"/>
      <c r="E19" s="254"/>
      <c r="F19" s="255"/>
      <c r="G19" s="215" t="str">
        <f>IF(AND($B19="",OR(B19&lt;&gt;"",C19&lt;&gt;"",D19&lt;&gt;"",E19&lt;&gt;"",F19&lt;&gt;"")),入力リスト!$K$34,IF($I19=TRUE,入力リスト!$K$35,IF(J19=FALSE,"「毎月の固定給与額」","")&amp;IF(AND(J19=FALSE,OR(K19=FALSE,L19=FALSE,M19=FALSE)),",","")&amp;IF(K19=FALSE,"「賞与額等」","")&amp;IF(AND(K19=FALSE,OR(L19=FALSE,M19=FALSE)),",","")&amp;IF(L19=FALSE,"「残業手当」","")&amp;IF(AND(L19=FALSE,M19=FALSE),",","")&amp;IF(M19=FALSE,"「残業時間」","")&amp;IF(OR(J19=FALSE,K19=FALSE,L19=FALSE,M19=FALSE),入力リスト!$K$36,"")&amp;IF(N19,"",入力リスト!$K$37)))</f>
        <v/>
      </c>
      <c r="H19" s="215"/>
      <c r="I19" s="1" t="b">
        <f>IF(B19="",FALSE,COUNTIF('従業員情報(給与以外)'!$A$4:$A$1000000,$B19)=0)</f>
        <v>0</v>
      </c>
      <c r="J19" s="8" t="b">
        <f t="shared" si="0"/>
        <v>1</v>
      </c>
      <c r="K19" s="8" t="b">
        <f t="shared" si="1"/>
        <v>1</v>
      </c>
      <c r="L19" s="8" t="b">
        <f t="shared" si="2"/>
        <v>1</v>
      </c>
      <c r="M19" s="8" t="b">
        <f t="shared" si="3"/>
        <v>1</v>
      </c>
      <c r="N19" s="1" t="b">
        <f t="shared" si="4"/>
        <v>1</v>
      </c>
      <c r="O19" s="8" t="str">
        <f>IF(F19="","",IF($F$2=入力リスト!$H$25,ROUNDDOWN(INT(F19)+ROUNDDOWN((F19-INT(F19))*100,0)/60,2),F19))</f>
        <v/>
      </c>
      <c r="P19" s="7"/>
      <c r="Q19" s="7"/>
    </row>
    <row r="20" spans="1:17" ht="19.95" customHeight="1">
      <c r="A20" s="105"/>
      <c r="B20" s="2"/>
      <c r="C20" s="254"/>
      <c r="D20" s="254"/>
      <c r="E20" s="254"/>
      <c r="F20" s="255"/>
      <c r="G20" s="215" t="str">
        <f>IF(AND($B20="",OR(B20&lt;&gt;"",C20&lt;&gt;"",D20&lt;&gt;"",E20&lt;&gt;"",F20&lt;&gt;"")),入力リスト!$K$34,IF($I20=TRUE,入力リスト!$K$35,IF(J20=FALSE,"「毎月の固定給与額」","")&amp;IF(AND(J20=FALSE,OR(K20=FALSE,L20=FALSE,M20=FALSE)),",","")&amp;IF(K20=FALSE,"「賞与額等」","")&amp;IF(AND(K20=FALSE,OR(L20=FALSE,M20=FALSE)),",","")&amp;IF(L20=FALSE,"「残業手当」","")&amp;IF(AND(L20=FALSE,M20=FALSE),",","")&amp;IF(M20=FALSE,"「残業時間」","")&amp;IF(OR(J20=FALSE,K20=FALSE,L20=FALSE,M20=FALSE),入力リスト!$K$36,"")&amp;IF(N20,"",入力リスト!$K$37)))</f>
        <v/>
      </c>
      <c r="H20" s="215"/>
      <c r="I20" s="1" t="b">
        <f>IF(B20="",FALSE,COUNTIF('従業員情報(給与以外)'!$A$4:$A$1000000,$B20)=0)</f>
        <v>0</v>
      </c>
      <c r="J20" s="8" t="b">
        <f t="shared" si="0"/>
        <v>1</v>
      </c>
      <c r="K20" s="8" t="b">
        <f t="shared" si="1"/>
        <v>1</v>
      </c>
      <c r="L20" s="8" t="b">
        <f t="shared" si="2"/>
        <v>1</v>
      </c>
      <c r="M20" s="8" t="b">
        <f t="shared" si="3"/>
        <v>1</v>
      </c>
      <c r="N20" s="1" t="b">
        <f t="shared" si="4"/>
        <v>1</v>
      </c>
      <c r="O20" s="8" t="str">
        <f>IF(F20="","",IF($F$2=入力リスト!$H$25,ROUNDDOWN(INT(F20)+ROUNDDOWN((F20-INT(F20))*100,0)/60,2),F20))</f>
        <v/>
      </c>
      <c r="P20" s="7"/>
      <c r="Q20" s="7"/>
    </row>
    <row r="21" spans="1:17" ht="19.95" customHeight="1">
      <c r="A21" s="105"/>
      <c r="B21" s="2"/>
      <c r="C21" s="254"/>
      <c r="D21" s="254"/>
      <c r="E21" s="254"/>
      <c r="F21" s="255"/>
      <c r="G21" s="215" t="str">
        <f>IF(AND($B21="",OR(B21&lt;&gt;"",C21&lt;&gt;"",D21&lt;&gt;"",E21&lt;&gt;"",F21&lt;&gt;"")),入力リスト!$K$34,IF($I21=TRUE,入力リスト!$K$35,IF(J21=FALSE,"「毎月の固定給与額」","")&amp;IF(AND(J21=FALSE,OR(K21=FALSE,L21=FALSE,M21=FALSE)),",","")&amp;IF(K21=FALSE,"「賞与額等」","")&amp;IF(AND(K21=FALSE,OR(L21=FALSE,M21=FALSE)),",","")&amp;IF(L21=FALSE,"「残業手当」","")&amp;IF(AND(L21=FALSE,M21=FALSE),",","")&amp;IF(M21=FALSE,"「残業時間」","")&amp;IF(OR(J21=FALSE,K21=FALSE,L21=FALSE,M21=FALSE),入力リスト!$K$36,"")&amp;IF(N21,"",入力リスト!$K$37)))</f>
        <v/>
      </c>
      <c r="H21" s="215"/>
      <c r="I21" s="1" t="b">
        <f>IF(B21="",FALSE,COUNTIF('従業員情報(給与以外)'!$A$4:$A$1000000,$B21)=0)</f>
        <v>0</v>
      </c>
      <c r="J21" s="8" t="b">
        <f t="shared" si="0"/>
        <v>1</v>
      </c>
      <c r="K21" s="8" t="b">
        <f t="shared" si="1"/>
        <v>1</v>
      </c>
      <c r="L21" s="8" t="b">
        <f t="shared" si="2"/>
        <v>1</v>
      </c>
      <c r="M21" s="8" t="b">
        <f t="shared" si="3"/>
        <v>1</v>
      </c>
      <c r="N21" s="1" t="b">
        <f t="shared" si="4"/>
        <v>1</v>
      </c>
      <c r="O21" s="8" t="str">
        <f>IF(F21="","",IF($F$2=入力リスト!$H$25,ROUNDDOWN(INT(F21)+ROUNDDOWN((F21-INT(F21))*100,0)/60,2),F21))</f>
        <v/>
      </c>
      <c r="P21" s="7"/>
      <c r="Q21" s="7"/>
    </row>
    <row r="22" spans="1:17" ht="19.95" customHeight="1">
      <c r="A22" s="105"/>
      <c r="B22" s="2"/>
      <c r="C22" s="254"/>
      <c r="D22" s="254"/>
      <c r="E22" s="254"/>
      <c r="F22" s="255"/>
      <c r="G22" s="215" t="str">
        <f>IF(AND($B22="",OR(B22&lt;&gt;"",C22&lt;&gt;"",D22&lt;&gt;"",E22&lt;&gt;"",F22&lt;&gt;"")),入力リスト!$K$34,IF($I22=TRUE,入力リスト!$K$35,IF(J22=FALSE,"「毎月の固定給与額」","")&amp;IF(AND(J22=FALSE,OR(K22=FALSE,L22=FALSE,M22=FALSE)),",","")&amp;IF(K22=FALSE,"「賞与額等」","")&amp;IF(AND(K22=FALSE,OR(L22=FALSE,M22=FALSE)),",","")&amp;IF(L22=FALSE,"「残業手当」","")&amp;IF(AND(L22=FALSE,M22=FALSE),",","")&amp;IF(M22=FALSE,"「残業時間」","")&amp;IF(OR(J22=FALSE,K22=FALSE,L22=FALSE,M22=FALSE),入力リスト!$K$36,"")&amp;IF(N22,"",入力リスト!$K$37)))</f>
        <v/>
      </c>
      <c r="H22" s="215"/>
      <c r="I22" s="1" t="b">
        <f>IF(B22="",FALSE,COUNTIF('従業員情報(給与以外)'!$A$4:$A$1000000,$B22)=0)</f>
        <v>0</v>
      </c>
      <c r="J22" s="8" t="b">
        <f t="shared" si="0"/>
        <v>1</v>
      </c>
      <c r="K22" s="8" t="b">
        <f t="shared" si="1"/>
        <v>1</v>
      </c>
      <c r="L22" s="8" t="b">
        <f t="shared" si="2"/>
        <v>1</v>
      </c>
      <c r="M22" s="8" t="b">
        <f t="shared" si="3"/>
        <v>1</v>
      </c>
      <c r="N22" s="1" t="b">
        <f t="shared" si="4"/>
        <v>1</v>
      </c>
      <c r="O22" s="8" t="str">
        <f>IF(F22="","",IF($F$2=入力リスト!$H$25,ROUNDDOWN(INT(F22)+ROUNDDOWN((F22-INT(F22))*100,0)/60,2),F22))</f>
        <v/>
      </c>
      <c r="P22" s="7"/>
      <c r="Q22" s="7"/>
    </row>
    <row r="23" spans="1:17" ht="19.95" customHeight="1">
      <c r="A23" s="105"/>
      <c r="B23" s="2"/>
      <c r="C23" s="254"/>
      <c r="D23" s="254"/>
      <c r="E23" s="254"/>
      <c r="F23" s="255"/>
      <c r="G23" s="215" t="str">
        <f>IF(AND($B23="",OR(B23&lt;&gt;"",C23&lt;&gt;"",D23&lt;&gt;"",E23&lt;&gt;"",F23&lt;&gt;"")),入力リスト!$K$34,IF($I23=TRUE,入力リスト!$K$35,IF(J23=FALSE,"「毎月の固定給与額」","")&amp;IF(AND(J23=FALSE,OR(K23=FALSE,L23=FALSE,M23=FALSE)),",","")&amp;IF(K23=FALSE,"「賞与額等」","")&amp;IF(AND(K23=FALSE,OR(L23=FALSE,M23=FALSE)),",","")&amp;IF(L23=FALSE,"「残業手当」","")&amp;IF(AND(L23=FALSE,M23=FALSE),",","")&amp;IF(M23=FALSE,"「残業時間」","")&amp;IF(OR(J23=FALSE,K23=FALSE,L23=FALSE,M23=FALSE),入力リスト!$K$36,"")&amp;IF(N23,"",入力リスト!$K$37)))</f>
        <v/>
      </c>
      <c r="H23" s="215"/>
      <c r="I23" s="1" t="b">
        <f>IF(B23="",FALSE,COUNTIF('従業員情報(給与以外)'!$A$4:$A$1000000,$B23)=0)</f>
        <v>0</v>
      </c>
      <c r="J23" s="8" t="b">
        <f t="shared" si="0"/>
        <v>1</v>
      </c>
      <c r="K23" s="8" t="b">
        <f t="shared" si="1"/>
        <v>1</v>
      </c>
      <c r="L23" s="8" t="b">
        <f t="shared" si="2"/>
        <v>1</v>
      </c>
      <c r="M23" s="8" t="b">
        <f t="shared" si="3"/>
        <v>1</v>
      </c>
      <c r="N23" s="1" t="b">
        <f t="shared" si="4"/>
        <v>1</v>
      </c>
      <c r="O23" s="8" t="str">
        <f>IF(F23="","",IF($F$2=入力リスト!$H$25,ROUNDDOWN(INT(F23)+ROUNDDOWN((F23-INT(F23))*100,0)/60,2),F23))</f>
        <v/>
      </c>
      <c r="P23" s="7"/>
      <c r="Q23" s="7"/>
    </row>
    <row r="24" spans="1:17">
      <c r="A24" s="105"/>
      <c r="B24" s="2"/>
      <c r="C24" s="254"/>
      <c r="D24" s="254"/>
      <c r="E24" s="254"/>
      <c r="F24" s="255"/>
      <c r="G24" s="215" t="str">
        <f>IF(AND($B24="",OR(B24&lt;&gt;"",C24&lt;&gt;"",D24&lt;&gt;"",E24&lt;&gt;"",F24&lt;&gt;"")),入力リスト!$K$34,IF($I24=TRUE,入力リスト!$K$35,IF(J24=FALSE,"「毎月の固定給与額」","")&amp;IF(AND(J24=FALSE,OR(K24=FALSE,L24=FALSE,M24=FALSE)),",","")&amp;IF(K24=FALSE,"「賞与額等」","")&amp;IF(AND(K24=FALSE,OR(L24=FALSE,M24=FALSE)),",","")&amp;IF(L24=FALSE,"「残業手当」","")&amp;IF(AND(L24=FALSE,M24=FALSE),",","")&amp;IF(M24=FALSE,"「残業時間」","")&amp;IF(OR(J24=FALSE,K24=FALSE,L24=FALSE,M24=FALSE),入力リスト!$K$36,"")&amp;IF(N24,"",入力リスト!$K$37)))</f>
        <v/>
      </c>
      <c r="H24" s="215"/>
      <c r="I24" s="1" t="b">
        <f>IF(B24="",FALSE,COUNTIF('従業員情報(給与以外)'!$A$4:$A$1000000,$B24)=0)</f>
        <v>0</v>
      </c>
      <c r="J24" s="8" t="b">
        <f t="shared" si="0"/>
        <v>1</v>
      </c>
      <c r="K24" s="8" t="b">
        <f t="shared" si="1"/>
        <v>1</v>
      </c>
      <c r="L24" s="8" t="b">
        <f t="shared" si="2"/>
        <v>1</v>
      </c>
      <c r="M24" s="8" t="b">
        <f t="shared" si="3"/>
        <v>1</v>
      </c>
      <c r="N24" s="1" t="b">
        <f t="shared" si="4"/>
        <v>1</v>
      </c>
      <c r="O24" s="8" t="str">
        <f>IF(F24="","",IF($F$2=入力リスト!$H$25,ROUNDDOWN(INT(F24)+ROUNDDOWN((F24-INT(F24))*100,0)/60,2),F24))</f>
        <v/>
      </c>
      <c r="P24" s="7"/>
      <c r="Q24" s="7"/>
    </row>
    <row r="25" spans="1:17">
      <c r="A25" s="105"/>
      <c r="B25" s="2"/>
      <c r="C25" s="254"/>
      <c r="D25" s="254"/>
      <c r="E25" s="254"/>
      <c r="F25" s="255"/>
      <c r="G25" s="215" t="str">
        <f>IF(AND($B25="",OR(B25&lt;&gt;"",C25&lt;&gt;"",D25&lt;&gt;"",E25&lt;&gt;"",F25&lt;&gt;"")),入力リスト!$K$34,IF($I25=TRUE,入力リスト!$K$35,IF(J25=FALSE,"「毎月の固定給与額」","")&amp;IF(AND(J25=FALSE,OR(K25=FALSE,L25=FALSE,M25=FALSE)),",","")&amp;IF(K25=FALSE,"「賞与額等」","")&amp;IF(AND(K25=FALSE,OR(L25=FALSE,M25=FALSE)),",","")&amp;IF(L25=FALSE,"「残業手当」","")&amp;IF(AND(L25=FALSE,M25=FALSE),",","")&amp;IF(M25=FALSE,"「残業時間」","")&amp;IF(OR(J25=FALSE,K25=FALSE,L25=FALSE,M25=FALSE),入力リスト!$K$36,"")&amp;IF(N25,"",入力リスト!$K$37)))</f>
        <v/>
      </c>
      <c r="H25" s="215"/>
      <c r="I25" s="1" t="b">
        <f>IF(B25="",FALSE,COUNTIF('従業員情報(給与以外)'!$A$4:$A$1000000,$B25)=0)</f>
        <v>0</v>
      </c>
      <c r="J25" s="8" t="b">
        <f t="shared" si="0"/>
        <v>1</v>
      </c>
      <c r="K25" s="8" t="b">
        <f t="shared" si="1"/>
        <v>1</v>
      </c>
      <c r="L25" s="8" t="b">
        <f t="shared" si="2"/>
        <v>1</v>
      </c>
      <c r="M25" s="8" t="b">
        <f t="shared" si="3"/>
        <v>1</v>
      </c>
      <c r="N25" s="1" t="b">
        <f t="shared" si="4"/>
        <v>1</v>
      </c>
      <c r="O25" s="8" t="str">
        <f>IF(F25="","",IF($F$2=入力リスト!$H$25,ROUNDDOWN(INT(F25)+ROUNDDOWN((F25-INT(F25))*100,0)/60,2),F25))</f>
        <v/>
      </c>
      <c r="P25" s="7"/>
      <c r="Q25" s="7"/>
    </row>
    <row r="26" spans="1:17">
      <c r="A26" s="105"/>
      <c r="B26" s="2"/>
      <c r="C26" s="254"/>
      <c r="D26" s="254"/>
      <c r="E26" s="254"/>
      <c r="F26" s="255"/>
      <c r="G26" s="215" t="str">
        <f>IF(AND($B26="",OR(B26&lt;&gt;"",C26&lt;&gt;"",D26&lt;&gt;"",E26&lt;&gt;"",F26&lt;&gt;"")),入力リスト!$K$34,IF($I26=TRUE,入力リスト!$K$35,IF(J26=FALSE,"「毎月の固定給与額」","")&amp;IF(AND(J26=FALSE,OR(K26=FALSE,L26=FALSE,M26=FALSE)),",","")&amp;IF(K26=FALSE,"「賞与額等」","")&amp;IF(AND(K26=FALSE,OR(L26=FALSE,M26=FALSE)),",","")&amp;IF(L26=FALSE,"「残業手当」","")&amp;IF(AND(L26=FALSE,M26=FALSE),",","")&amp;IF(M26=FALSE,"「残業時間」","")&amp;IF(OR(J26=FALSE,K26=FALSE,L26=FALSE,M26=FALSE),入力リスト!$K$36,"")&amp;IF(N26,"",入力リスト!$K$37)))</f>
        <v/>
      </c>
      <c r="H26" s="215"/>
      <c r="I26" s="1" t="b">
        <f>IF(B26="",FALSE,COUNTIF('従業員情報(給与以外)'!$A$4:$A$1000000,$B26)=0)</f>
        <v>0</v>
      </c>
      <c r="J26" s="8" t="b">
        <f t="shared" si="0"/>
        <v>1</v>
      </c>
      <c r="K26" s="8" t="b">
        <f t="shared" si="1"/>
        <v>1</v>
      </c>
      <c r="L26" s="8" t="b">
        <f t="shared" si="2"/>
        <v>1</v>
      </c>
      <c r="M26" s="8" t="b">
        <f t="shared" si="3"/>
        <v>1</v>
      </c>
      <c r="N26" s="1" t="b">
        <f t="shared" si="4"/>
        <v>1</v>
      </c>
      <c r="O26" s="8" t="str">
        <f>IF(F26="","",IF($F$2=入力リスト!$H$25,ROUNDDOWN(INT(F26)+ROUNDDOWN((F26-INT(F26))*100,0)/60,2),F26))</f>
        <v/>
      </c>
      <c r="P26" s="7"/>
      <c r="Q26" s="7"/>
    </row>
    <row r="27" spans="1:17">
      <c r="A27" s="105"/>
      <c r="B27" s="2"/>
      <c r="C27" s="254"/>
      <c r="D27" s="254"/>
      <c r="E27" s="254"/>
      <c r="F27" s="255"/>
      <c r="G27" s="215" t="str">
        <f>IF(AND($B27="",OR(B27&lt;&gt;"",C27&lt;&gt;"",D27&lt;&gt;"",E27&lt;&gt;"",F27&lt;&gt;"")),入力リスト!$K$34,IF($I27=TRUE,入力リスト!$K$35,IF(J27=FALSE,"「毎月の固定給与額」","")&amp;IF(AND(J27=FALSE,OR(K27=FALSE,L27=FALSE,M27=FALSE)),",","")&amp;IF(K27=FALSE,"「賞与額等」","")&amp;IF(AND(K27=FALSE,OR(L27=FALSE,M27=FALSE)),",","")&amp;IF(L27=FALSE,"「残業手当」","")&amp;IF(AND(L27=FALSE,M27=FALSE),",","")&amp;IF(M27=FALSE,"「残業時間」","")&amp;IF(OR(J27=FALSE,K27=FALSE,L27=FALSE,M27=FALSE),入力リスト!$K$36,"")&amp;IF(N27,"",入力リスト!$K$37)))</f>
        <v/>
      </c>
      <c r="H27" s="215"/>
      <c r="I27" s="1" t="b">
        <f>IF(B27="",FALSE,COUNTIF('従業員情報(給与以外)'!$A$4:$A$1000000,$B27)=0)</f>
        <v>0</v>
      </c>
      <c r="J27" s="8" t="b">
        <f t="shared" si="0"/>
        <v>1</v>
      </c>
      <c r="K27" s="8" t="b">
        <f t="shared" si="1"/>
        <v>1</v>
      </c>
      <c r="L27" s="8" t="b">
        <f t="shared" si="2"/>
        <v>1</v>
      </c>
      <c r="M27" s="8" t="b">
        <f t="shared" si="3"/>
        <v>1</v>
      </c>
      <c r="N27" s="1" t="b">
        <f t="shared" si="4"/>
        <v>1</v>
      </c>
      <c r="O27" s="8" t="str">
        <f>IF(F27="","",IF($F$2=入力リスト!$H$25,ROUNDDOWN(INT(F27)+ROUNDDOWN((F27-INT(F27))*100,0)/60,2),F27))</f>
        <v/>
      </c>
      <c r="P27" s="7"/>
      <c r="Q27" s="7"/>
    </row>
    <row r="28" spans="1:17">
      <c r="A28" s="105"/>
      <c r="B28" s="2"/>
      <c r="C28" s="254"/>
      <c r="D28" s="254"/>
      <c r="E28" s="254"/>
      <c r="F28" s="255"/>
      <c r="G28" s="215" t="str">
        <f>IF(AND($B28="",OR(B28&lt;&gt;"",C28&lt;&gt;"",D28&lt;&gt;"",E28&lt;&gt;"",F28&lt;&gt;"")),入力リスト!$K$34,IF($I28=TRUE,入力リスト!$K$35,IF(J28=FALSE,"「毎月の固定給与額」","")&amp;IF(AND(J28=FALSE,OR(K28=FALSE,L28=FALSE,M28=FALSE)),",","")&amp;IF(K28=FALSE,"「賞与額等」","")&amp;IF(AND(K28=FALSE,OR(L28=FALSE,M28=FALSE)),",","")&amp;IF(L28=FALSE,"「残業手当」","")&amp;IF(AND(L28=FALSE,M28=FALSE),",","")&amp;IF(M28=FALSE,"「残業時間」","")&amp;IF(OR(J28=FALSE,K28=FALSE,L28=FALSE,M28=FALSE),入力リスト!$K$36,"")&amp;IF(N28,"",入力リスト!$K$37)))</f>
        <v/>
      </c>
      <c r="H28" s="215"/>
      <c r="I28" s="1" t="b">
        <f>IF(B28="",FALSE,COUNTIF('従業員情報(給与以外)'!$A$4:$A$1000000,$B28)=0)</f>
        <v>0</v>
      </c>
      <c r="J28" s="8" t="b">
        <f t="shared" si="0"/>
        <v>1</v>
      </c>
      <c r="K28" s="8" t="b">
        <f t="shared" si="1"/>
        <v>1</v>
      </c>
      <c r="L28" s="8" t="b">
        <f t="shared" si="2"/>
        <v>1</v>
      </c>
      <c r="M28" s="8" t="b">
        <f t="shared" si="3"/>
        <v>1</v>
      </c>
      <c r="N28" s="1" t="b">
        <f t="shared" si="4"/>
        <v>1</v>
      </c>
      <c r="O28" s="8" t="str">
        <f>IF(F28="","",IF($F$2=入力リスト!$H$25,ROUNDDOWN(INT(F28)+ROUNDDOWN((F28-INT(F28))*100,0)/60,2),F28))</f>
        <v/>
      </c>
      <c r="P28" s="7"/>
      <c r="Q28" s="7"/>
    </row>
    <row r="29" spans="1:17">
      <c r="A29" s="105"/>
      <c r="B29" s="2"/>
      <c r="C29" s="254"/>
      <c r="D29" s="254"/>
      <c r="E29" s="254"/>
      <c r="F29" s="255"/>
      <c r="G29" s="215" t="str">
        <f>IF(AND($B29="",OR(B29&lt;&gt;"",C29&lt;&gt;"",D29&lt;&gt;"",E29&lt;&gt;"",F29&lt;&gt;"")),入力リスト!$K$34,IF($I29=TRUE,入力リスト!$K$35,IF(J29=FALSE,"「毎月の固定給与額」","")&amp;IF(AND(J29=FALSE,OR(K29=FALSE,L29=FALSE,M29=FALSE)),",","")&amp;IF(K29=FALSE,"「賞与額等」","")&amp;IF(AND(K29=FALSE,OR(L29=FALSE,M29=FALSE)),",","")&amp;IF(L29=FALSE,"「残業手当」","")&amp;IF(AND(L29=FALSE,M29=FALSE),",","")&amp;IF(M29=FALSE,"「残業時間」","")&amp;IF(OR(J29=FALSE,K29=FALSE,L29=FALSE,M29=FALSE),入力リスト!$K$36,"")&amp;IF(N29,"",入力リスト!$K$37)))</f>
        <v/>
      </c>
      <c r="H29" s="215"/>
      <c r="I29" s="1" t="b">
        <f>IF(B29="",FALSE,COUNTIF('従業員情報(給与以外)'!$A$4:$A$1000000,$B29)=0)</f>
        <v>0</v>
      </c>
      <c r="J29" s="8" t="b">
        <f t="shared" si="0"/>
        <v>1</v>
      </c>
      <c r="K29" s="8" t="b">
        <f t="shared" si="1"/>
        <v>1</v>
      </c>
      <c r="L29" s="8" t="b">
        <f t="shared" si="2"/>
        <v>1</v>
      </c>
      <c r="M29" s="8" t="b">
        <f t="shared" si="3"/>
        <v>1</v>
      </c>
      <c r="N29" s="1" t="b">
        <f t="shared" si="4"/>
        <v>1</v>
      </c>
      <c r="O29" s="8" t="str">
        <f>IF(F29="","",IF($F$2=入力リスト!$H$25,ROUNDDOWN(INT(F29)+ROUNDDOWN((F29-INT(F29))*100,0)/60,2),F29))</f>
        <v/>
      </c>
      <c r="P29" s="7"/>
      <c r="Q29" s="7"/>
    </row>
    <row r="30" spans="1:17">
      <c r="A30" s="105"/>
      <c r="B30" s="2"/>
      <c r="C30" s="254"/>
      <c r="D30" s="254"/>
      <c r="E30" s="254"/>
      <c r="F30" s="255"/>
      <c r="G30" s="215" t="str">
        <f>IF(AND($B30="",OR(B30&lt;&gt;"",C30&lt;&gt;"",D30&lt;&gt;"",E30&lt;&gt;"",F30&lt;&gt;"")),入力リスト!$K$34,IF($I30=TRUE,入力リスト!$K$35,IF(J30=FALSE,"「毎月の固定給与額」","")&amp;IF(AND(J30=FALSE,OR(K30=FALSE,L30=FALSE,M30=FALSE)),",","")&amp;IF(K30=FALSE,"「賞与額等」","")&amp;IF(AND(K30=FALSE,OR(L30=FALSE,M30=FALSE)),",","")&amp;IF(L30=FALSE,"「残業手当」","")&amp;IF(AND(L30=FALSE,M30=FALSE),",","")&amp;IF(M30=FALSE,"「残業時間」","")&amp;IF(OR(J30=FALSE,K30=FALSE,L30=FALSE,M30=FALSE),入力リスト!$K$36,"")&amp;IF(N30,"",入力リスト!$K$37)))</f>
        <v/>
      </c>
      <c r="H30" s="215"/>
      <c r="I30" s="1" t="b">
        <f>IF(B30="",FALSE,COUNTIF('従業員情報(給与以外)'!$A$4:$A$1000000,$B30)=0)</f>
        <v>0</v>
      </c>
      <c r="J30" s="8" t="b">
        <f t="shared" si="0"/>
        <v>1</v>
      </c>
      <c r="K30" s="8" t="b">
        <f t="shared" si="1"/>
        <v>1</v>
      </c>
      <c r="L30" s="8" t="b">
        <f t="shared" si="2"/>
        <v>1</v>
      </c>
      <c r="M30" s="8" t="b">
        <f t="shared" si="3"/>
        <v>1</v>
      </c>
      <c r="N30" s="1" t="b">
        <f t="shared" si="4"/>
        <v>1</v>
      </c>
      <c r="O30" s="8" t="str">
        <f>IF(F30="","",IF($F$2=入力リスト!$H$25,ROUNDDOWN(INT(F30)+ROUNDDOWN((F30-INT(F30))*100,0)/60,2),F30))</f>
        <v/>
      </c>
      <c r="P30" s="7"/>
      <c r="Q30" s="7"/>
    </row>
    <row r="31" spans="1:17">
      <c r="A31" s="105"/>
      <c r="B31" s="2"/>
      <c r="C31" s="254"/>
      <c r="D31" s="254"/>
      <c r="E31" s="254"/>
      <c r="F31" s="255"/>
      <c r="G31" s="215" t="str">
        <f>IF(AND($B31="",OR(B31&lt;&gt;"",C31&lt;&gt;"",D31&lt;&gt;"",E31&lt;&gt;"",F31&lt;&gt;"")),入力リスト!$K$34,IF($I31=TRUE,入力リスト!$K$35,IF(J31=FALSE,"「毎月の固定給与額」","")&amp;IF(AND(J31=FALSE,OR(K31=FALSE,L31=FALSE,M31=FALSE)),",","")&amp;IF(K31=FALSE,"「賞与額等」","")&amp;IF(AND(K31=FALSE,OR(L31=FALSE,M31=FALSE)),",","")&amp;IF(L31=FALSE,"「残業手当」","")&amp;IF(AND(L31=FALSE,M31=FALSE),",","")&amp;IF(M31=FALSE,"「残業時間」","")&amp;IF(OR(J31=FALSE,K31=FALSE,L31=FALSE,M31=FALSE),入力リスト!$K$36,"")&amp;IF(N31,"",入力リスト!$K$37)))</f>
        <v/>
      </c>
      <c r="H31" s="215"/>
      <c r="I31" s="1" t="b">
        <f>IF(B31="",FALSE,COUNTIF('従業員情報(給与以外)'!$A$4:$A$1000000,$B31)=0)</f>
        <v>0</v>
      </c>
      <c r="J31" s="8" t="b">
        <f t="shared" si="0"/>
        <v>1</v>
      </c>
      <c r="K31" s="8" t="b">
        <f t="shared" si="1"/>
        <v>1</v>
      </c>
      <c r="L31" s="8" t="b">
        <f t="shared" si="2"/>
        <v>1</v>
      </c>
      <c r="M31" s="8" t="b">
        <f t="shared" si="3"/>
        <v>1</v>
      </c>
      <c r="N31" s="1" t="b">
        <f t="shared" si="4"/>
        <v>1</v>
      </c>
      <c r="O31" s="8" t="str">
        <f>IF(F31="","",IF($F$2=入力リスト!$H$25,ROUNDDOWN(INT(F31)+ROUNDDOWN((F31-INT(F31))*100,0)/60,2),F31))</f>
        <v/>
      </c>
      <c r="P31" s="7"/>
      <c r="Q31" s="7"/>
    </row>
    <row r="32" spans="1:17">
      <c r="A32" s="105"/>
      <c r="B32" s="2"/>
      <c r="C32" s="254"/>
      <c r="D32" s="254"/>
      <c r="E32" s="254"/>
      <c r="F32" s="255"/>
      <c r="G32" s="215" t="str">
        <f>IF(AND($B32="",OR(B32&lt;&gt;"",C32&lt;&gt;"",D32&lt;&gt;"",E32&lt;&gt;"",F32&lt;&gt;"")),入力リスト!$K$34,IF($I32=TRUE,入力リスト!$K$35,IF(J32=FALSE,"「毎月の固定給与額」","")&amp;IF(AND(J32=FALSE,OR(K32=FALSE,L32=FALSE,M32=FALSE)),",","")&amp;IF(K32=FALSE,"「賞与額等」","")&amp;IF(AND(K32=FALSE,OR(L32=FALSE,M32=FALSE)),",","")&amp;IF(L32=FALSE,"「残業手当」","")&amp;IF(AND(L32=FALSE,M32=FALSE),",","")&amp;IF(M32=FALSE,"「残業時間」","")&amp;IF(OR(J32=FALSE,K32=FALSE,L32=FALSE,M32=FALSE),入力リスト!$K$36,"")&amp;IF(N32,"",入力リスト!$K$37)))</f>
        <v/>
      </c>
      <c r="H32" s="215"/>
      <c r="I32" s="1" t="b">
        <f>IF(B32="",FALSE,COUNTIF('従業員情報(給与以外)'!$A$4:$A$1000000,$B32)=0)</f>
        <v>0</v>
      </c>
      <c r="J32" s="8" t="b">
        <f t="shared" si="0"/>
        <v>1</v>
      </c>
      <c r="K32" s="8" t="b">
        <f t="shared" si="1"/>
        <v>1</v>
      </c>
      <c r="L32" s="8" t="b">
        <f t="shared" si="2"/>
        <v>1</v>
      </c>
      <c r="M32" s="8" t="b">
        <f t="shared" si="3"/>
        <v>1</v>
      </c>
      <c r="N32" s="1" t="b">
        <f t="shared" si="4"/>
        <v>1</v>
      </c>
      <c r="O32" s="8" t="str">
        <f>IF(F32="","",IF($F$2=入力リスト!$H$25,ROUNDDOWN(INT(F32)+ROUNDDOWN((F32-INT(F32))*100,0)/60,2),F32))</f>
        <v/>
      </c>
      <c r="P32" s="7"/>
      <c r="Q32" s="7"/>
    </row>
    <row r="33" spans="1:17">
      <c r="A33" s="105"/>
      <c r="B33" s="2"/>
      <c r="C33" s="254"/>
      <c r="D33" s="254"/>
      <c r="E33" s="254"/>
      <c r="F33" s="255"/>
      <c r="G33" s="215" t="str">
        <f>IF(AND($B33="",OR(B33&lt;&gt;"",C33&lt;&gt;"",D33&lt;&gt;"",E33&lt;&gt;"",F33&lt;&gt;"")),入力リスト!$K$34,IF($I33=TRUE,入力リスト!$K$35,IF(J33=FALSE,"「毎月の固定給与額」","")&amp;IF(AND(J33=FALSE,OR(K33=FALSE,L33=FALSE,M33=FALSE)),",","")&amp;IF(K33=FALSE,"「賞与額等」","")&amp;IF(AND(K33=FALSE,OR(L33=FALSE,M33=FALSE)),",","")&amp;IF(L33=FALSE,"「残業手当」","")&amp;IF(AND(L33=FALSE,M33=FALSE),",","")&amp;IF(M33=FALSE,"「残業時間」","")&amp;IF(OR(J33=FALSE,K33=FALSE,L33=FALSE,M33=FALSE),入力リスト!$K$36,"")&amp;IF(N33,"",入力リスト!$K$37)))</f>
        <v/>
      </c>
      <c r="H33" s="215"/>
      <c r="I33" s="1" t="b">
        <f>IF(B33="",FALSE,COUNTIF('従業員情報(給与以外)'!$A$4:$A$1000000,$B33)=0)</f>
        <v>0</v>
      </c>
      <c r="J33" s="8" t="b">
        <f t="shared" si="0"/>
        <v>1</v>
      </c>
      <c r="K33" s="8" t="b">
        <f t="shared" si="1"/>
        <v>1</v>
      </c>
      <c r="L33" s="8" t="b">
        <f t="shared" si="2"/>
        <v>1</v>
      </c>
      <c r="M33" s="8" t="b">
        <f t="shared" si="3"/>
        <v>1</v>
      </c>
      <c r="N33" s="1" t="b">
        <f t="shared" si="4"/>
        <v>1</v>
      </c>
      <c r="O33" s="8" t="str">
        <f>IF(F33="","",IF($F$2=入力リスト!$H$25,ROUNDDOWN(INT(F33)+ROUNDDOWN((F33-INT(F33))*100,0)/60,2),F33))</f>
        <v/>
      </c>
      <c r="P33" s="7"/>
      <c r="Q33" s="7"/>
    </row>
    <row r="34" spans="1:17">
      <c r="A34" s="105"/>
      <c r="B34" s="2"/>
      <c r="C34" s="254"/>
      <c r="D34" s="254"/>
      <c r="E34" s="254"/>
      <c r="F34" s="255"/>
      <c r="G34" s="215" t="str">
        <f>IF(AND($B34="",OR(B34&lt;&gt;"",C34&lt;&gt;"",D34&lt;&gt;"",E34&lt;&gt;"",F34&lt;&gt;"")),入力リスト!$K$34,IF($I34=TRUE,入力リスト!$K$35,IF(J34=FALSE,"「毎月の固定給与額」","")&amp;IF(AND(J34=FALSE,OR(K34=FALSE,L34=FALSE,M34=FALSE)),",","")&amp;IF(K34=FALSE,"「賞与額等」","")&amp;IF(AND(K34=FALSE,OR(L34=FALSE,M34=FALSE)),",","")&amp;IF(L34=FALSE,"「残業手当」","")&amp;IF(AND(L34=FALSE,M34=FALSE),",","")&amp;IF(M34=FALSE,"「残業時間」","")&amp;IF(OR(J34=FALSE,K34=FALSE,L34=FALSE,M34=FALSE),入力リスト!$K$36,"")&amp;IF(N34,"",入力リスト!$K$37)))</f>
        <v/>
      </c>
      <c r="H34" s="215"/>
      <c r="I34" s="1" t="b">
        <f>IF(B34="",FALSE,COUNTIF('従業員情報(給与以外)'!$A$4:$A$1000000,$B34)=0)</f>
        <v>0</v>
      </c>
      <c r="J34" s="8" t="b">
        <f t="shared" si="0"/>
        <v>1</v>
      </c>
      <c r="K34" s="8" t="b">
        <f t="shared" si="1"/>
        <v>1</v>
      </c>
      <c r="L34" s="8" t="b">
        <f t="shared" si="2"/>
        <v>1</v>
      </c>
      <c r="M34" s="8" t="b">
        <f t="shared" si="3"/>
        <v>1</v>
      </c>
      <c r="N34" s="1" t="b">
        <f t="shared" si="4"/>
        <v>1</v>
      </c>
      <c r="O34" s="8" t="str">
        <f>IF(F34="","",IF($F$2=入力リスト!$H$25,ROUNDDOWN(INT(F34)+ROUNDDOWN((F34-INT(F34))*100,0)/60,2),F34))</f>
        <v/>
      </c>
      <c r="P34" s="7"/>
      <c r="Q34" s="7"/>
    </row>
    <row r="35" spans="1:17">
      <c r="A35" s="105"/>
      <c r="B35" s="2"/>
      <c r="C35" s="254"/>
      <c r="D35" s="254"/>
      <c r="E35" s="254"/>
      <c r="F35" s="255"/>
      <c r="G35" s="215" t="str">
        <f>IF(AND($B35="",OR(B35&lt;&gt;"",C35&lt;&gt;"",D35&lt;&gt;"",E35&lt;&gt;"",F35&lt;&gt;"")),入力リスト!$K$34,IF($I35=TRUE,入力リスト!$K$35,IF(J35=FALSE,"「毎月の固定給与額」","")&amp;IF(AND(J35=FALSE,OR(K35=FALSE,L35=FALSE,M35=FALSE)),",","")&amp;IF(K35=FALSE,"「賞与額等」","")&amp;IF(AND(K35=FALSE,OR(L35=FALSE,M35=FALSE)),",","")&amp;IF(L35=FALSE,"「残業手当」","")&amp;IF(AND(L35=FALSE,M35=FALSE),",","")&amp;IF(M35=FALSE,"「残業時間」","")&amp;IF(OR(J35=FALSE,K35=FALSE,L35=FALSE,M35=FALSE),入力リスト!$K$36,"")&amp;IF(N35,"",入力リスト!$K$37)))</f>
        <v/>
      </c>
      <c r="H35" s="215"/>
      <c r="I35" s="1" t="b">
        <f>IF(B35="",FALSE,COUNTIF('従業員情報(給与以外)'!$A$4:$A$1000000,$B35)=0)</f>
        <v>0</v>
      </c>
      <c r="J35" s="8" t="b">
        <f t="shared" si="0"/>
        <v>1</v>
      </c>
      <c r="K35" s="8" t="b">
        <f t="shared" si="1"/>
        <v>1</v>
      </c>
      <c r="L35" s="8" t="b">
        <f t="shared" si="2"/>
        <v>1</v>
      </c>
      <c r="M35" s="8" t="b">
        <f t="shared" si="3"/>
        <v>1</v>
      </c>
      <c r="N35" s="1" t="b">
        <f t="shared" si="4"/>
        <v>1</v>
      </c>
      <c r="O35" s="8" t="str">
        <f>IF(F35="","",IF($F$2=入力リスト!$H$25,ROUNDDOWN(INT(F35)+ROUNDDOWN((F35-INT(F35))*100,0)/60,2),F35))</f>
        <v/>
      </c>
      <c r="P35" s="7"/>
      <c r="Q35" s="7"/>
    </row>
    <row r="36" spans="1:17">
      <c r="A36" s="105"/>
      <c r="B36" s="2"/>
      <c r="C36" s="254"/>
      <c r="D36" s="254"/>
      <c r="E36" s="254"/>
      <c r="F36" s="255"/>
      <c r="G36" s="215" t="str">
        <f>IF(AND($B36="",OR(B36&lt;&gt;"",C36&lt;&gt;"",D36&lt;&gt;"",E36&lt;&gt;"",F36&lt;&gt;"")),入力リスト!$K$34,IF($I36=TRUE,入力リスト!$K$35,IF(J36=FALSE,"「毎月の固定給与額」","")&amp;IF(AND(J36=FALSE,OR(K36=FALSE,L36=FALSE,M36=FALSE)),",","")&amp;IF(K36=FALSE,"「賞与額等」","")&amp;IF(AND(K36=FALSE,OR(L36=FALSE,M36=FALSE)),",","")&amp;IF(L36=FALSE,"「残業手当」","")&amp;IF(AND(L36=FALSE,M36=FALSE),",","")&amp;IF(M36=FALSE,"「残業時間」","")&amp;IF(OR(J36=FALSE,K36=FALSE,L36=FALSE,M36=FALSE),入力リスト!$K$36,"")&amp;IF(N36,"",入力リスト!$K$37)))</f>
        <v/>
      </c>
      <c r="H36" s="215"/>
      <c r="I36" s="1" t="b">
        <f>IF(B36="",FALSE,COUNTIF('従業員情報(給与以外)'!$A$4:$A$1000000,$B36)=0)</f>
        <v>0</v>
      </c>
      <c r="J36" s="8" t="b">
        <f t="shared" si="0"/>
        <v>1</v>
      </c>
      <c r="K36" s="8" t="b">
        <f t="shared" si="1"/>
        <v>1</v>
      </c>
      <c r="L36" s="8" t="b">
        <f t="shared" si="2"/>
        <v>1</v>
      </c>
      <c r="M36" s="8" t="b">
        <f t="shared" si="3"/>
        <v>1</v>
      </c>
      <c r="N36" s="1" t="b">
        <f t="shared" si="4"/>
        <v>1</v>
      </c>
      <c r="O36" s="8" t="str">
        <f>IF(F36="","",IF($F$2=入力リスト!$H$25,ROUNDDOWN(INT(F36)+ROUNDDOWN((F36-INT(F36))*100,0)/60,2),F36))</f>
        <v/>
      </c>
      <c r="P36" s="7"/>
      <c r="Q36" s="7"/>
    </row>
    <row r="37" spans="1:17">
      <c r="A37" s="105"/>
      <c r="B37" s="2"/>
      <c r="C37" s="254"/>
      <c r="D37" s="254"/>
      <c r="E37" s="254"/>
      <c r="F37" s="255"/>
      <c r="G37" s="215" t="str">
        <f>IF(AND($B37="",OR(B37&lt;&gt;"",C37&lt;&gt;"",D37&lt;&gt;"",E37&lt;&gt;"",F37&lt;&gt;"")),入力リスト!$K$34,IF($I37=TRUE,入力リスト!$K$35,IF(J37=FALSE,"「毎月の固定給与額」","")&amp;IF(AND(J37=FALSE,OR(K37=FALSE,L37=FALSE,M37=FALSE)),",","")&amp;IF(K37=FALSE,"「賞与額等」","")&amp;IF(AND(K37=FALSE,OR(L37=FALSE,M37=FALSE)),",","")&amp;IF(L37=FALSE,"「残業手当」","")&amp;IF(AND(L37=FALSE,M37=FALSE),",","")&amp;IF(M37=FALSE,"「残業時間」","")&amp;IF(OR(J37=FALSE,K37=FALSE,L37=FALSE,M37=FALSE),入力リスト!$K$36,"")&amp;IF(N37,"",入力リスト!$K$37)))</f>
        <v/>
      </c>
      <c r="H37" s="215"/>
      <c r="I37" s="1" t="b">
        <f>IF(B37="",FALSE,COUNTIF('従業員情報(給与以外)'!$A$4:$A$1000000,$B37)=0)</f>
        <v>0</v>
      </c>
      <c r="J37" s="8" t="b">
        <f t="shared" si="0"/>
        <v>1</v>
      </c>
      <c r="K37" s="8" t="b">
        <f t="shared" si="1"/>
        <v>1</v>
      </c>
      <c r="L37" s="8" t="b">
        <f t="shared" si="2"/>
        <v>1</v>
      </c>
      <c r="M37" s="8" t="b">
        <f t="shared" si="3"/>
        <v>1</v>
      </c>
      <c r="N37" s="1" t="b">
        <f t="shared" si="4"/>
        <v>1</v>
      </c>
      <c r="O37" s="8" t="str">
        <f>IF(F37="","",IF($F$2=入力リスト!$H$25,ROUNDDOWN(INT(F37)+ROUNDDOWN((F37-INT(F37))*100,0)/60,2),F37))</f>
        <v/>
      </c>
      <c r="P37" s="7"/>
      <c r="Q37" s="7"/>
    </row>
    <row r="38" spans="1:17">
      <c r="A38" s="105"/>
      <c r="B38" s="2"/>
      <c r="C38" s="254"/>
      <c r="D38" s="254"/>
      <c r="E38" s="254"/>
      <c r="F38" s="255"/>
      <c r="G38" s="215" t="str">
        <f>IF(AND($B38="",OR(B38&lt;&gt;"",C38&lt;&gt;"",D38&lt;&gt;"",E38&lt;&gt;"",F38&lt;&gt;"")),入力リスト!$K$34,IF($I38=TRUE,入力リスト!$K$35,IF(J38=FALSE,"「毎月の固定給与額」","")&amp;IF(AND(J38=FALSE,OR(K38=FALSE,L38=FALSE,M38=FALSE)),",","")&amp;IF(K38=FALSE,"「賞与額等」","")&amp;IF(AND(K38=FALSE,OR(L38=FALSE,M38=FALSE)),",","")&amp;IF(L38=FALSE,"「残業手当」","")&amp;IF(AND(L38=FALSE,M38=FALSE),",","")&amp;IF(M38=FALSE,"「残業時間」","")&amp;IF(OR(J38=FALSE,K38=FALSE,L38=FALSE,M38=FALSE),入力リスト!$K$36,"")&amp;IF(N38,"",入力リスト!$K$37)))</f>
        <v/>
      </c>
      <c r="H38" s="215"/>
      <c r="I38" s="1" t="b">
        <f>IF(B38="",FALSE,COUNTIF('従業員情報(給与以外)'!$A$4:$A$1000000,$B38)=0)</f>
        <v>0</v>
      </c>
      <c r="J38" s="8" t="b">
        <f t="shared" si="0"/>
        <v>1</v>
      </c>
      <c r="K38" s="8" t="b">
        <f t="shared" si="1"/>
        <v>1</v>
      </c>
      <c r="L38" s="8" t="b">
        <f t="shared" si="2"/>
        <v>1</v>
      </c>
      <c r="M38" s="8" t="b">
        <f t="shared" si="3"/>
        <v>1</v>
      </c>
      <c r="N38" s="1" t="b">
        <f t="shared" si="4"/>
        <v>1</v>
      </c>
      <c r="O38" s="8" t="str">
        <f>IF(F38="","",IF($F$2=入力リスト!$H$25,ROUNDDOWN(INT(F38)+ROUNDDOWN((F38-INT(F38))*100,0)/60,2),F38))</f>
        <v/>
      </c>
      <c r="P38" s="7"/>
      <c r="Q38" s="7"/>
    </row>
    <row r="39" spans="1:17">
      <c r="A39" s="105"/>
      <c r="B39" s="2"/>
      <c r="C39" s="254"/>
      <c r="D39" s="254"/>
      <c r="E39" s="254"/>
      <c r="F39" s="255"/>
      <c r="G39" s="215" t="str">
        <f>IF(AND($B39="",OR(B39&lt;&gt;"",C39&lt;&gt;"",D39&lt;&gt;"",E39&lt;&gt;"",F39&lt;&gt;"")),入力リスト!$K$34,IF($I39=TRUE,入力リスト!$K$35,IF(J39=FALSE,"「毎月の固定給与額」","")&amp;IF(AND(J39=FALSE,OR(K39=FALSE,L39=FALSE,M39=FALSE)),",","")&amp;IF(K39=FALSE,"「賞与額等」","")&amp;IF(AND(K39=FALSE,OR(L39=FALSE,M39=FALSE)),",","")&amp;IF(L39=FALSE,"「残業手当」","")&amp;IF(AND(L39=FALSE,M39=FALSE),",","")&amp;IF(M39=FALSE,"「残業時間」","")&amp;IF(OR(J39=FALSE,K39=FALSE,L39=FALSE,M39=FALSE),入力リスト!$K$36,"")&amp;IF(N39,"",入力リスト!$K$37)))</f>
        <v/>
      </c>
      <c r="H39" s="215"/>
      <c r="I39" s="1" t="b">
        <f>IF(B39="",FALSE,COUNTIF('従業員情報(給与以外)'!$A$4:$A$1000000,$B39)=0)</f>
        <v>0</v>
      </c>
      <c r="J39" s="8" t="b">
        <f t="shared" si="0"/>
        <v>1</v>
      </c>
      <c r="K39" s="8" t="b">
        <f t="shared" si="1"/>
        <v>1</v>
      </c>
      <c r="L39" s="8" t="b">
        <f t="shared" si="2"/>
        <v>1</v>
      </c>
      <c r="M39" s="8" t="b">
        <f t="shared" si="3"/>
        <v>1</v>
      </c>
      <c r="N39" s="1" t="b">
        <f t="shared" si="4"/>
        <v>1</v>
      </c>
      <c r="O39" s="8" t="str">
        <f>IF(F39="","",IF($F$2=入力リスト!$H$25,ROUNDDOWN(INT(F39)+ROUNDDOWN((F39-INT(F39))*100,0)/60,2),F39))</f>
        <v/>
      </c>
      <c r="P39" s="7"/>
      <c r="Q39" s="7"/>
    </row>
    <row r="40" spans="1:17">
      <c r="A40" s="105"/>
      <c r="B40" s="2"/>
      <c r="C40" s="254"/>
      <c r="D40" s="254"/>
      <c r="E40" s="254"/>
      <c r="F40" s="255"/>
      <c r="G40" s="215" t="str">
        <f>IF(AND($B40="",OR(B40&lt;&gt;"",C40&lt;&gt;"",D40&lt;&gt;"",E40&lt;&gt;"",F40&lt;&gt;"")),入力リスト!$K$34,IF($I40=TRUE,入力リスト!$K$35,IF(J40=FALSE,"「毎月の固定給与額」","")&amp;IF(AND(J40=FALSE,OR(K40=FALSE,L40=FALSE,M40=FALSE)),",","")&amp;IF(K40=FALSE,"「賞与額等」","")&amp;IF(AND(K40=FALSE,OR(L40=FALSE,M40=FALSE)),",","")&amp;IF(L40=FALSE,"「残業手当」","")&amp;IF(AND(L40=FALSE,M40=FALSE),",","")&amp;IF(M40=FALSE,"「残業時間」","")&amp;IF(OR(J40=FALSE,K40=FALSE,L40=FALSE,M40=FALSE),入力リスト!$K$36,"")&amp;IF(N40,"",入力リスト!$K$37)))</f>
        <v/>
      </c>
      <c r="H40" s="215"/>
      <c r="I40" s="1" t="b">
        <f>IF(B40="",FALSE,COUNTIF('従業員情報(給与以外)'!$A$4:$A$1000000,$B40)=0)</f>
        <v>0</v>
      </c>
      <c r="J40" s="8" t="b">
        <f t="shared" si="0"/>
        <v>1</v>
      </c>
      <c r="K40" s="8" t="b">
        <f t="shared" si="1"/>
        <v>1</v>
      </c>
      <c r="L40" s="8" t="b">
        <f t="shared" si="2"/>
        <v>1</v>
      </c>
      <c r="M40" s="8" t="b">
        <f t="shared" si="3"/>
        <v>1</v>
      </c>
      <c r="N40" s="1" t="b">
        <f t="shared" si="4"/>
        <v>1</v>
      </c>
      <c r="O40" s="8" t="str">
        <f>IF(F40="","",IF($F$2=入力リスト!$H$25,ROUNDDOWN(INT(F40)+ROUNDDOWN((F40-INT(F40))*100,0)/60,2),F40))</f>
        <v/>
      </c>
      <c r="P40" s="7"/>
      <c r="Q40" s="7"/>
    </row>
    <row r="41" spans="1:17">
      <c r="A41" s="105"/>
      <c r="B41" s="2"/>
      <c r="C41" s="254"/>
      <c r="D41" s="254"/>
      <c r="E41" s="254"/>
      <c r="F41" s="255"/>
      <c r="G41" s="215" t="str">
        <f>IF(AND($B41="",OR(B41&lt;&gt;"",C41&lt;&gt;"",D41&lt;&gt;"",E41&lt;&gt;"",F41&lt;&gt;"")),入力リスト!$K$34,IF($I41=TRUE,入力リスト!$K$35,IF(J41=FALSE,"「毎月の固定給与額」","")&amp;IF(AND(J41=FALSE,OR(K41=FALSE,L41=FALSE,M41=FALSE)),",","")&amp;IF(K41=FALSE,"「賞与額等」","")&amp;IF(AND(K41=FALSE,OR(L41=FALSE,M41=FALSE)),",","")&amp;IF(L41=FALSE,"「残業手当」","")&amp;IF(AND(L41=FALSE,M41=FALSE),",","")&amp;IF(M41=FALSE,"「残業時間」","")&amp;IF(OR(J41=FALSE,K41=FALSE,L41=FALSE,M41=FALSE),入力リスト!$K$36,"")&amp;IF(N41,"",入力リスト!$K$37)))</f>
        <v/>
      </c>
      <c r="H41" s="215"/>
      <c r="I41" s="1" t="b">
        <f>IF(B41="",FALSE,COUNTIF('従業員情報(給与以外)'!$A$4:$A$1000000,$B41)=0)</f>
        <v>0</v>
      </c>
      <c r="J41" s="8" t="b">
        <f t="shared" si="0"/>
        <v>1</v>
      </c>
      <c r="K41" s="8" t="b">
        <f t="shared" si="1"/>
        <v>1</v>
      </c>
      <c r="L41" s="8" t="b">
        <f t="shared" si="2"/>
        <v>1</v>
      </c>
      <c r="M41" s="8" t="b">
        <f t="shared" si="3"/>
        <v>1</v>
      </c>
      <c r="N41" s="1" t="b">
        <f t="shared" si="4"/>
        <v>1</v>
      </c>
      <c r="O41" s="8" t="str">
        <f>IF(F41="","",IF($F$2=入力リスト!$H$25,ROUNDDOWN(INT(F41)+ROUNDDOWN((F41-INT(F41))*100,0)/60,2),F41))</f>
        <v/>
      </c>
      <c r="P41" s="7"/>
      <c r="Q41" s="7"/>
    </row>
    <row r="42" spans="1:17">
      <c r="A42" s="105"/>
      <c r="B42" s="2"/>
      <c r="C42" s="254"/>
      <c r="D42" s="254"/>
      <c r="E42" s="254"/>
      <c r="F42" s="255"/>
      <c r="G42" s="215" t="str">
        <f>IF(AND($B42="",OR(B42&lt;&gt;"",C42&lt;&gt;"",D42&lt;&gt;"",E42&lt;&gt;"",F42&lt;&gt;"")),入力リスト!$K$34,IF($I42=TRUE,入力リスト!$K$35,IF(J42=FALSE,"「毎月の固定給与額」","")&amp;IF(AND(J42=FALSE,OR(K42=FALSE,L42=FALSE,M42=FALSE)),",","")&amp;IF(K42=FALSE,"「賞与額等」","")&amp;IF(AND(K42=FALSE,OR(L42=FALSE,M42=FALSE)),",","")&amp;IF(L42=FALSE,"「残業手当」","")&amp;IF(AND(L42=FALSE,M42=FALSE),",","")&amp;IF(M42=FALSE,"「残業時間」","")&amp;IF(OR(J42=FALSE,K42=FALSE,L42=FALSE,M42=FALSE),入力リスト!$K$36,"")&amp;IF(N42,"",入力リスト!$K$37)))</f>
        <v/>
      </c>
      <c r="H42" s="215"/>
      <c r="I42" s="1" t="b">
        <f>IF(B42="",FALSE,COUNTIF('従業員情報(給与以外)'!$A$4:$A$1000000,$B42)=0)</f>
        <v>0</v>
      </c>
      <c r="J42" s="8" t="b">
        <f t="shared" si="0"/>
        <v>1</v>
      </c>
      <c r="K42" s="8" t="b">
        <f t="shared" si="1"/>
        <v>1</v>
      </c>
      <c r="L42" s="8" t="b">
        <f t="shared" si="2"/>
        <v>1</v>
      </c>
      <c r="M42" s="8" t="b">
        <f t="shared" si="3"/>
        <v>1</v>
      </c>
      <c r="N42" s="1" t="b">
        <f t="shared" si="4"/>
        <v>1</v>
      </c>
      <c r="O42" s="8" t="str">
        <f>IF(F42="","",IF($F$2=入力リスト!$H$25,ROUNDDOWN(INT(F42)+ROUNDDOWN((F42-INT(F42))*100,0)/60,2),F42))</f>
        <v/>
      </c>
      <c r="P42" s="7"/>
      <c r="Q42" s="7"/>
    </row>
    <row r="43" spans="1:17">
      <c r="A43" s="105"/>
      <c r="B43" s="2"/>
      <c r="C43" s="254"/>
      <c r="D43" s="254"/>
      <c r="E43" s="254"/>
      <c r="F43" s="255"/>
      <c r="G43" s="215" t="str">
        <f>IF(AND($B43="",OR(B43&lt;&gt;"",C43&lt;&gt;"",D43&lt;&gt;"",E43&lt;&gt;"",F43&lt;&gt;"")),入力リスト!$K$34,IF($I43=TRUE,入力リスト!$K$35,IF(J43=FALSE,"「毎月の固定給与額」","")&amp;IF(AND(J43=FALSE,OR(K43=FALSE,L43=FALSE,M43=FALSE)),",","")&amp;IF(K43=FALSE,"「賞与額等」","")&amp;IF(AND(K43=FALSE,OR(L43=FALSE,M43=FALSE)),",","")&amp;IF(L43=FALSE,"「残業手当」","")&amp;IF(AND(L43=FALSE,M43=FALSE),",","")&amp;IF(M43=FALSE,"「残業時間」","")&amp;IF(OR(J43=FALSE,K43=FALSE,L43=FALSE,M43=FALSE),入力リスト!$K$36,"")&amp;IF(N43,"",入力リスト!$K$37)))</f>
        <v/>
      </c>
      <c r="H43" s="215"/>
      <c r="I43" s="1" t="b">
        <f>IF(B43="",FALSE,COUNTIF('従業員情報(給与以外)'!$A$4:$A$1000000,$B43)=0)</f>
        <v>0</v>
      </c>
      <c r="J43" s="8" t="b">
        <f t="shared" si="0"/>
        <v>1</v>
      </c>
      <c r="K43" s="8" t="b">
        <f t="shared" si="1"/>
        <v>1</v>
      </c>
      <c r="L43" s="8" t="b">
        <f t="shared" si="2"/>
        <v>1</v>
      </c>
      <c r="M43" s="8" t="b">
        <f t="shared" si="3"/>
        <v>1</v>
      </c>
      <c r="N43" s="1" t="b">
        <f t="shared" si="4"/>
        <v>1</v>
      </c>
      <c r="O43" s="8" t="str">
        <f>IF(F43="","",IF($F$2=入力リスト!$H$25,ROUNDDOWN(INT(F43)+ROUNDDOWN((F43-INT(F43))*100,0)/60,2),F43))</f>
        <v/>
      </c>
      <c r="P43" s="7"/>
      <c r="Q43" s="7"/>
    </row>
    <row r="44" spans="1:17">
      <c r="A44" s="105"/>
      <c r="B44" s="2"/>
      <c r="C44" s="254"/>
      <c r="D44" s="254"/>
      <c r="E44" s="254"/>
      <c r="F44" s="255"/>
      <c r="G44" s="215" t="str">
        <f>IF(AND($B44="",OR(B44&lt;&gt;"",C44&lt;&gt;"",D44&lt;&gt;"",E44&lt;&gt;"",F44&lt;&gt;"")),入力リスト!$K$34,IF($I44=TRUE,入力リスト!$K$35,IF(J44=FALSE,"「毎月の固定給与額」","")&amp;IF(AND(J44=FALSE,OR(K44=FALSE,L44=FALSE,M44=FALSE)),",","")&amp;IF(K44=FALSE,"「賞与額等」","")&amp;IF(AND(K44=FALSE,OR(L44=FALSE,M44=FALSE)),",","")&amp;IF(L44=FALSE,"「残業手当」","")&amp;IF(AND(L44=FALSE,M44=FALSE),",","")&amp;IF(M44=FALSE,"「残業時間」","")&amp;IF(OR(J44=FALSE,K44=FALSE,L44=FALSE,M44=FALSE),入力リスト!$K$36,"")&amp;IF(N44,"",入力リスト!$K$37)))</f>
        <v/>
      </c>
      <c r="H44" s="215"/>
      <c r="I44" s="1" t="b">
        <f>IF(B44="",FALSE,COUNTIF('従業員情報(給与以外)'!$A$4:$A$1000000,$B44)=0)</f>
        <v>0</v>
      </c>
      <c r="J44" s="8" t="b">
        <f t="shared" si="0"/>
        <v>1</v>
      </c>
      <c r="K44" s="8" t="b">
        <f t="shared" si="1"/>
        <v>1</v>
      </c>
      <c r="L44" s="8" t="b">
        <f t="shared" si="2"/>
        <v>1</v>
      </c>
      <c r="M44" s="8" t="b">
        <f t="shared" si="3"/>
        <v>1</v>
      </c>
      <c r="N44" s="1" t="b">
        <f t="shared" si="4"/>
        <v>1</v>
      </c>
      <c r="O44" s="8" t="str">
        <f>IF(F44="","",IF($F$2=入力リスト!$H$25,ROUNDDOWN(INT(F44)+ROUNDDOWN((F44-INT(F44))*100,0)/60,2),F44))</f>
        <v/>
      </c>
      <c r="P44" s="7"/>
      <c r="Q44" s="7"/>
    </row>
    <row r="45" spans="1:17">
      <c r="A45" s="105"/>
      <c r="B45" s="2"/>
      <c r="C45" s="254"/>
      <c r="D45" s="254"/>
      <c r="E45" s="254"/>
      <c r="F45" s="255"/>
      <c r="G45" s="215" t="str">
        <f>IF(AND($B45="",OR(B45&lt;&gt;"",C45&lt;&gt;"",D45&lt;&gt;"",E45&lt;&gt;"",F45&lt;&gt;"")),入力リスト!$K$34,IF($I45=TRUE,入力リスト!$K$35,IF(J45=FALSE,"「毎月の固定給与額」","")&amp;IF(AND(J45=FALSE,OR(K45=FALSE,L45=FALSE,M45=FALSE)),",","")&amp;IF(K45=FALSE,"「賞与額等」","")&amp;IF(AND(K45=FALSE,OR(L45=FALSE,M45=FALSE)),",","")&amp;IF(L45=FALSE,"「残業手当」","")&amp;IF(AND(L45=FALSE,M45=FALSE),",","")&amp;IF(M45=FALSE,"「残業時間」","")&amp;IF(OR(J45=FALSE,K45=FALSE,L45=FALSE,M45=FALSE),入力リスト!$K$36,"")&amp;IF(N45,"",入力リスト!$K$37)))</f>
        <v/>
      </c>
      <c r="H45" s="215"/>
      <c r="I45" s="1" t="b">
        <f>IF(B45="",FALSE,COUNTIF('従業員情報(給与以外)'!$A$4:$A$1000000,$B45)=0)</f>
        <v>0</v>
      </c>
      <c r="J45" s="8" t="b">
        <f t="shared" si="0"/>
        <v>1</v>
      </c>
      <c r="K45" s="8" t="b">
        <f t="shared" si="1"/>
        <v>1</v>
      </c>
      <c r="L45" s="8" t="b">
        <f t="shared" si="2"/>
        <v>1</v>
      </c>
      <c r="M45" s="8" t="b">
        <f t="shared" si="3"/>
        <v>1</v>
      </c>
      <c r="N45" s="1" t="b">
        <f t="shared" si="4"/>
        <v>1</v>
      </c>
      <c r="O45" s="8" t="str">
        <f>IF(F45="","",IF($F$2=入力リスト!$H$25,ROUNDDOWN(INT(F45)+ROUNDDOWN((F45-INT(F45))*100,0)/60,2),F45))</f>
        <v/>
      </c>
      <c r="P45" s="7"/>
      <c r="Q45" s="7"/>
    </row>
    <row r="46" spans="1:17">
      <c r="A46" s="105"/>
      <c r="B46" s="2"/>
      <c r="C46" s="254"/>
      <c r="D46" s="254"/>
      <c r="E46" s="254"/>
      <c r="F46" s="255"/>
      <c r="G46" s="215" t="str">
        <f>IF(AND($B46="",OR(B46&lt;&gt;"",C46&lt;&gt;"",D46&lt;&gt;"",E46&lt;&gt;"",F46&lt;&gt;"")),入力リスト!$K$34,IF($I46=TRUE,入力リスト!$K$35,IF(J46=FALSE,"「毎月の固定給与額」","")&amp;IF(AND(J46=FALSE,OR(K46=FALSE,L46=FALSE,M46=FALSE)),",","")&amp;IF(K46=FALSE,"「賞与額等」","")&amp;IF(AND(K46=FALSE,OR(L46=FALSE,M46=FALSE)),",","")&amp;IF(L46=FALSE,"「残業手当」","")&amp;IF(AND(L46=FALSE,M46=FALSE),",","")&amp;IF(M46=FALSE,"「残業時間」","")&amp;IF(OR(J46=FALSE,K46=FALSE,L46=FALSE,M46=FALSE),入力リスト!$K$36,"")&amp;IF(N46,"",入力リスト!$K$37)))</f>
        <v/>
      </c>
      <c r="H46" s="215"/>
      <c r="I46" s="1" t="b">
        <f>IF(B46="",FALSE,COUNTIF('従業員情報(給与以外)'!$A$4:$A$1000000,$B46)=0)</f>
        <v>0</v>
      </c>
      <c r="J46" s="8" t="b">
        <f t="shared" si="0"/>
        <v>1</v>
      </c>
      <c r="K46" s="8" t="b">
        <f t="shared" si="1"/>
        <v>1</v>
      </c>
      <c r="L46" s="8" t="b">
        <f t="shared" si="2"/>
        <v>1</v>
      </c>
      <c r="M46" s="8" t="b">
        <f t="shared" si="3"/>
        <v>1</v>
      </c>
      <c r="N46" s="1" t="b">
        <f t="shared" si="4"/>
        <v>1</v>
      </c>
      <c r="O46" s="8" t="str">
        <f>IF(F46="","",IF($F$2=入力リスト!$H$25,ROUNDDOWN(INT(F46)+ROUNDDOWN((F46-INT(F46))*100,0)/60,2),F46))</f>
        <v/>
      </c>
      <c r="P46" s="7"/>
      <c r="Q46" s="7"/>
    </row>
    <row r="47" spans="1:17">
      <c r="A47" s="105"/>
      <c r="B47" s="2"/>
      <c r="C47" s="254"/>
      <c r="D47" s="254"/>
      <c r="E47" s="254"/>
      <c r="F47" s="255"/>
      <c r="G47" s="215" t="str">
        <f>IF(AND($B47="",OR(B47&lt;&gt;"",C47&lt;&gt;"",D47&lt;&gt;"",E47&lt;&gt;"",F47&lt;&gt;"")),入力リスト!$K$34,IF($I47=TRUE,入力リスト!$K$35,IF(J47=FALSE,"「毎月の固定給与額」","")&amp;IF(AND(J47=FALSE,OR(K47=FALSE,L47=FALSE,M47=FALSE)),",","")&amp;IF(K47=FALSE,"「賞与額等」","")&amp;IF(AND(K47=FALSE,OR(L47=FALSE,M47=FALSE)),",","")&amp;IF(L47=FALSE,"「残業手当」","")&amp;IF(AND(L47=FALSE,M47=FALSE),",","")&amp;IF(M47=FALSE,"「残業時間」","")&amp;IF(OR(J47=FALSE,K47=FALSE,L47=FALSE,M47=FALSE),入力リスト!$K$36,"")&amp;IF(N47,"",入力リスト!$K$37)))</f>
        <v/>
      </c>
      <c r="H47" s="215"/>
      <c r="I47" s="1" t="b">
        <f>IF(B47="",FALSE,COUNTIF('従業員情報(給与以外)'!$A$4:$A$1000000,$B47)=0)</f>
        <v>0</v>
      </c>
      <c r="J47" s="8" t="b">
        <f t="shared" si="0"/>
        <v>1</v>
      </c>
      <c r="K47" s="8" t="b">
        <f t="shared" si="1"/>
        <v>1</v>
      </c>
      <c r="L47" s="8" t="b">
        <f t="shared" si="2"/>
        <v>1</v>
      </c>
      <c r="M47" s="8" t="b">
        <f t="shared" si="3"/>
        <v>1</v>
      </c>
      <c r="N47" s="1" t="b">
        <f t="shared" si="4"/>
        <v>1</v>
      </c>
      <c r="O47" s="8" t="str">
        <f>IF(F47="","",IF($F$2=入力リスト!$H$25,ROUNDDOWN(INT(F47)+ROUNDDOWN((F47-INT(F47))*100,0)/60,2),F47))</f>
        <v/>
      </c>
      <c r="P47" s="7"/>
      <c r="Q47" s="7"/>
    </row>
    <row r="48" spans="1:17">
      <c r="A48" s="105"/>
      <c r="B48" s="2"/>
      <c r="C48" s="254"/>
      <c r="D48" s="254"/>
      <c r="E48" s="254"/>
      <c r="F48" s="255"/>
      <c r="G48" s="215" t="str">
        <f>IF(AND($B48="",OR(B48&lt;&gt;"",C48&lt;&gt;"",D48&lt;&gt;"",E48&lt;&gt;"",F48&lt;&gt;"")),入力リスト!$K$34,IF($I48=TRUE,入力リスト!$K$35,IF(J48=FALSE,"「毎月の固定給与額」","")&amp;IF(AND(J48=FALSE,OR(K48=FALSE,L48=FALSE,M48=FALSE)),",","")&amp;IF(K48=FALSE,"「賞与額等」","")&amp;IF(AND(K48=FALSE,OR(L48=FALSE,M48=FALSE)),",","")&amp;IF(L48=FALSE,"「残業手当」","")&amp;IF(AND(L48=FALSE,M48=FALSE),",","")&amp;IF(M48=FALSE,"「残業時間」","")&amp;IF(OR(J48=FALSE,K48=FALSE,L48=FALSE,M48=FALSE),入力リスト!$K$36,"")&amp;IF(N48,"",入力リスト!$K$37)))</f>
        <v/>
      </c>
      <c r="H48" s="215"/>
      <c r="I48" s="1" t="b">
        <f>IF(B48="",FALSE,COUNTIF('従業員情報(給与以外)'!$A$4:$A$1000000,$B48)=0)</f>
        <v>0</v>
      </c>
      <c r="J48" s="8" t="b">
        <f t="shared" si="0"/>
        <v>1</v>
      </c>
      <c r="K48" s="8" t="b">
        <f t="shared" si="1"/>
        <v>1</v>
      </c>
      <c r="L48" s="8" t="b">
        <f t="shared" si="2"/>
        <v>1</v>
      </c>
      <c r="M48" s="8" t="b">
        <f t="shared" si="3"/>
        <v>1</v>
      </c>
      <c r="N48" s="1" t="b">
        <f t="shared" si="4"/>
        <v>1</v>
      </c>
      <c r="O48" s="8" t="str">
        <f>IF(F48="","",IF($F$2=入力リスト!$H$25,ROUNDDOWN(INT(F48)+ROUNDDOWN((F48-INT(F48))*100,0)/60,2),F48))</f>
        <v/>
      </c>
      <c r="P48" s="7"/>
      <c r="Q48" s="7"/>
    </row>
    <row r="49" spans="1:17">
      <c r="A49" s="105"/>
      <c r="B49" s="2"/>
      <c r="C49" s="254"/>
      <c r="D49" s="254"/>
      <c r="E49" s="254"/>
      <c r="F49" s="255"/>
      <c r="G49" s="215" t="str">
        <f>IF(AND($B49="",OR(B49&lt;&gt;"",C49&lt;&gt;"",D49&lt;&gt;"",E49&lt;&gt;"",F49&lt;&gt;"")),入力リスト!$K$34,IF($I49=TRUE,入力リスト!$K$35,IF(J49=FALSE,"「毎月の固定給与額」","")&amp;IF(AND(J49=FALSE,OR(K49=FALSE,L49=FALSE,M49=FALSE)),",","")&amp;IF(K49=FALSE,"「賞与額等」","")&amp;IF(AND(K49=FALSE,OR(L49=FALSE,M49=FALSE)),",","")&amp;IF(L49=FALSE,"「残業手当」","")&amp;IF(AND(L49=FALSE,M49=FALSE),",","")&amp;IF(M49=FALSE,"「残業時間」","")&amp;IF(OR(J49=FALSE,K49=FALSE,L49=FALSE,M49=FALSE),入力リスト!$K$36,"")&amp;IF(N49,"",入力リスト!$K$37)))</f>
        <v/>
      </c>
      <c r="H49" s="215"/>
      <c r="I49" s="1" t="b">
        <f>IF(B49="",FALSE,COUNTIF('従業員情報(給与以外)'!$A$4:$A$1000000,$B49)=0)</f>
        <v>0</v>
      </c>
      <c r="J49" s="8" t="b">
        <f t="shared" si="0"/>
        <v>1</v>
      </c>
      <c r="K49" s="8" t="b">
        <f t="shared" si="1"/>
        <v>1</v>
      </c>
      <c r="L49" s="8" t="b">
        <f t="shared" si="2"/>
        <v>1</v>
      </c>
      <c r="M49" s="8" t="b">
        <f t="shared" si="3"/>
        <v>1</v>
      </c>
      <c r="N49" s="1" t="b">
        <f t="shared" si="4"/>
        <v>1</v>
      </c>
      <c r="O49" s="8" t="str">
        <f>IF(F49="","",IF($F$2=入力リスト!$H$25,ROUNDDOWN(INT(F49)+ROUNDDOWN((F49-INT(F49))*100,0)/60,2),F49))</f>
        <v/>
      </c>
      <c r="P49" s="7"/>
      <c r="Q49" s="7"/>
    </row>
    <row r="50" spans="1:17">
      <c r="A50" s="105"/>
      <c r="B50" s="2"/>
      <c r="C50" s="254"/>
      <c r="D50" s="254"/>
      <c r="E50" s="254"/>
      <c r="F50" s="255"/>
      <c r="G50" s="215" t="str">
        <f>IF(AND($B50="",OR(B50&lt;&gt;"",C50&lt;&gt;"",D50&lt;&gt;"",E50&lt;&gt;"",F50&lt;&gt;"")),入力リスト!$K$34,IF($I50=TRUE,入力リスト!$K$35,IF(J50=FALSE,"「毎月の固定給与額」","")&amp;IF(AND(J50=FALSE,OR(K50=FALSE,L50=FALSE,M50=FALSE)),",","")&amp;IF(K50=FALSE,"「賞与額等」","")&amp;IF(AND(K50=FALSE,OR(L50=FALSE,M50=FALSE)),",","")&amp;IF(L50=FALSE,"「残業手当」","")&amp;IF(AND(L50=FALSE,M50=FALSE),",","")&amp;IF(M50=FALSE,"「残業時間」","")&amp;IF(OR(J50=FALSE,K50=FALSE,L50=FALSE,M50=FALSE),入力リスト!$K$36,"")&amp;IF(N50,"",入力リスト!$K$37)))</f>
        <v/>
      </c>
      <c r="H50" s="215"/>
      <c r="I50" s="1" t="b">
        <f>IF(B50="",FALSE,COUNTIF('従業員情報(給与以外)'!$A$4:$A$1000000,$B50)=0)</f>
        <v>0</v>
      </c>
      <c r="J50" s="8" t="b">
        <f t="shared" si="0"/>
        <v>1</v>
      </c>
      <c r="K50" s="8" t="b">
        <f t="shared" si="1"/>
        <v>1</v>
      </c>
      <c r="L50" s="8" t="b">
        <f t="shared" si="2"/>
        <v>1</v>
      </c>
      <c r="M50" s="8" t="b">
        <f t="shared" si="3"/>
        <v>1</v>
      </c>
      <c r="N50" s="1" t="b">
        <f t="shared" si="4"/>
        <v>1</v>
      </c>
      <c r="O50" s="8" t="str">
        <f>IF(F50="","",IF($F$2=入力リスト!$H$25,ROUNDDOWN(INT(F50)+ROUNDDOWN((F50-INT(F50))*100,0)/60,2),F50))</f>
        <v/>
      </c>
      <c r="P50" s="7"/>
      <c r="Q50" s="7"/>
    </row>
    <row r="51" spans="1:17">
      <c r="A51" s="105"/>
      <c r="B51" s="2"/>
      <c r="C51" s="254"/>
      <c r="D51" s="254"/>
      <c r="E51" s="254"/>
      <c r="F51" s="255"/>
      <c r="G51" s="215" t="str">
        <f>IF(AND($B51="",OR(B51&lt;&gt;"",C51&lt;&gt;"",D51&lt;&gt;"",E51&lt;&gt;"",F51&lt;&gt;"")),入力リスト!$K$34,IF($I51=TRUE,入力リスト!$K$35,IF(J51=FALSE,"「毎月の固定給与額」","")&amp;IF(AND(J51=FALSE,OR(K51=FALSE,L51=FALSE,M51=FALSE)),",","")&amp;IF(K51=FALSE,"「賞与額等」","")&amp;IF(AND(K51=FALSE,OR(L51=FALSE,M51=FALSE)),",","")&amp;IF(L51=FALSE,"「残業手当」","")&amp;IF(AND(L51=FALSE,M51=FALSE),",","")&amp;IF(M51=FALSE,"「残業時間」","")&amp;IF(OR(J51=FALSE,K51=FALSE,L51=FALSE,M51=FALSE),入力リスト!$K$36,"")&amp;IF(N51,"",入力リスト!$K$37)))</f>
        <v/>
      </c>
      <c r="H51" s="215"/>
      <c r="I51" s="1" t="b">
        <f>IF(B51="",FALSE,COUNTIF('従業員情報(給与以外)'!$A$4:$A$1000000,$B51)=0)</f>
        <v>0</v>
      </c>
      <c r="J51" s="8" t="b">
        <f t="shared" si="0"/>
        <v>1</v>
      </c>
      <c r="K51" s="8" t="b">
        <f t="shared" si="1"/>
        <v>1</v>
      </c>
      <c r="L51" s="8" t="b">
        <f t="shared" si="2"/>
        <v>1</v>
      </c>
      <c r="M51" s="8" t="b">
        <f t="shared" si="3"/>
        <v>1</v>
      </c>
      <c r="N51" s="1" t="b">
        <f t="shared" si="4"/>
        <v>1</v>
      </c>
      <c r="O51" s="8" t="str">
        <f>IF(F51="","",IF($F$2=入力リスト!$H$25,ROUNDDOWN(INT(F51)+ROUNDDOWN((F51-INT(F51))*100,0)/60,2),F51))</f>
        <v/>
      </c>
      <c r="P51" s="7"/>
      <c r="Q51" s="7"/>
    </row>
    <row r="52" spans="1:17">
      <c r="A52" s="105"/>
      <c r="B52" s="2"/>
      <c r="C52" s="254"/>
      <c r="D52" s="254"/>
      <c r="E52" s="254"/>
      <c r="F52" s="255"/>
      <c r="G52" s="215" t="str">
        <f>IF(AND($B52="",OR(B52&lt;&gt;"",C52&lt;&gt;"",D52&lt;&gt;"",E52&lt;&gt;"",F52&lt;&gt;"")),入力リスト!$K$34,IF($I52=TRUE,入力リスト!$K$35,IF(J52=FALSE,"「毎月の固定給与額」","")&amp;IF(AND(J52=FALSE,OR(K52=FALSE,L52=FALSE,M52=FALSE)),",","")&amp;IF(K52=FALSE,"「賞与額等」","")&amp;IF(AND(K52=FALSE,OR(L52=FALSE,M52=FALSE)),",","")&amp;IF(L52=FALSE,"「残業手当」","")&amp;IF(AND(L52=FALSE,M52=FALSE),",","")&amp;IF(M52=FALSE,"「残業時間」","")&amp;IF(OR(J52=FALSE,K52=FALSE,L52=FALSE,M52=FALSE),入力リスト!$K$36,"")&amp;IF(N52,"",入力リスト!$K$37)))</f>
        <v/>
      </c>
      <c r="H52" s="215"/>
      <c r="I52" s="1" t="b">
        <f>IF(B52="",FALSE,COUNTIF('従業員情報(給与以外)'!$A$4:$A$1000000,$B52)=0)</f>
        <v>0</v>
      </c>
      <c r="J52" s="8" t="b">
        <f t="shared" si="0"/>
        <v>1</v>
      </c>
      <c r="K52" s="8" t="b">
        <f t="shared" si="1"/>
        <v>1</v>
      </c>
      <c r="L52" s="8" t="b">
        <f t="shared" si="2"/>
        <v>1</v>
      </c>
      <c r="M52" s="8" t="b">
        <f t="shared" si="3"/>
        <v>1</v>
      </c>
      <c r="N52" s="1" t="b">
        <f t="shared" si="4"/>
        <v>1</v>
      </c>
      <c r="O52" s="8" t="str">
        <f>IF(F52="","",IF($F$2=入力リスト!$H$25,ROUNDDOWN(INT(F52)+ROUNDDOWN((F52-INT(F52))*100,0)/60,2),F52))</f>
        <v/>
      </c>
      <c r="P52" s="7"/>
      <c r="Q52" s="7"/>
    </row>
    <row r="53" spans="1:17">
      <c r="A53" s="105"/>
      <c r="B53" s="2"/>
      <c r="C53" s="254"/>
      <c r="D53" s="254"/>
      <c r="E53" s="254"/>
      <c r="F53" s="255"/>
      <c r="G53" s="215" t="str">
        <f>IF(AND($B53="",OR(B53&lt;&gt;"",C53&lt;&gt;"",D53&lt;&gt;"",E53&lt;&gt;"",F53&lt;&gt;"")),入力リスト!$K$34,IF($I53=TRUE,入力リスト!$K$35,IF(J53=FALSE,"「毎月の固定給与額」","")&amp;IF(AND(J53=FALSE,OR(K53=FALSE,L53=FALSE,M53=FALSE)),",","")&amp;IF(K53=FALSE,"「賞与額等」","")&amp;IF(AND(K53=FALSE,OR(L53=FALSE,M53=FALSE)),",","")&amp;IF(L53=FALSE,"「残業手当」","")&amp;IF(AND(L53=FALSE,M53=FALSE),",","")&amp;IF(M53=FALSE,"「残業時間」","")&amp;IF(OR(J53=FALSE,K53=FALSE,L53=FALSE,M53=FALSE),入力リスト!$K$36,"")&amp;IF(N53,"",入力リスト!$K$37)))</f>
        <v/>
      </c>
      <c r="H53" s="215"/>
      <c r="I53" s="1" t="b">
        <f>IF(B53="",FALSE,COUNTIF('従業員情報(給与以外)'!$A$4:$A$1000000,$B53)=0)</f>
        <v>0</v>
      </c>
      <c r="J53" s="8" t="b">
        <f t="shared" si="0"/>
        <v>1</v>
      </c>
      <c r="K53" s="8" t="b">
        <f t="shared" si="1"/>
        <v>1</v>
      </c>
      <c r="L53" s="8" t="b">
        <f t="shared" si="2"/>
        <v>1</v>
      </c>
      <c r="M53" s="8" t="b">
        <f t="shared" si="3"/>
        <v>1</v>
      </c>
      <c r="N53" s="1" t="b">
        <f t="shared" si="4"/>
        <v>1</v>
      </c>
      <c r="O53" s="8" t="str">
        <f>IF(F53="","",IF($F$2=入力リスト!$H$25,ROUNDDOWN(INT(F53)+ROUNDDOWN((F53-INT(F53))*100,0)/60,2),F53))</f>
        <v/>
      </c>
      <c r="P53" s="7"/>
      <c r="Q53" s="7"/>
    </row>
    <row r="54" spans="1:17">
      <c r="A54" s="105"/>
      <c r="B54" s="2"/>
      <c r="C54" s="254"/>
      <c r="D54" s="254"/>
      <c r="E54" s="254"/>
      <c r="F54" s="255"/>
      <c r="G54" s="215" t="str">
        <f>IF(AND($B54="",OR(B54&lt;&gt;"",C54&lt;&gt;"",D54&lt;&gt;"",E54&lt;&gt;"",F54&lt;&gt;"")),入力リスト!$K$34,IF($I54=TRUE,入力リスト!$K$35,IF(J54=FALSE,"「毎月の固定給与額」","")&amp;IF(AND(J54=FALSE,OR(K54=FALSE,L54=FALSE,M54=FALSE)),",","")&amp;IF(K54=FALSE,"「賞与額等」","")&amp;IF(AND(K54=FALSE,OR(L54=FALSE,M54=FALSE)),",","")&amp;IF(L54=FALSE,"「残業手当」","")&amp;IF(AND(L54=FALSE,M54=FALSE),",","")&amp;IF(M54=FALSE,"「残業時間」","")&amp;IF(OR(J54=FALSE,K54=FALSE,L54=FALSE,M54=FALSE),入力リスト!$K$36,"")&amp;IF(N54,"",入力リスト!$K$37)))</f>
        <v/>
      </c>
      <c r="H54" s="215"/>
      <c r="I54" s="1" t="b">
        <f>IF(B54="",FALSE,COUNTIF('従業員情報(給与以外)'!$A$4:$A$1000000,$B54)=0)</f>
        <v>0</v>
      </c>
      <c r="J54" s="8" t="b">
        <f t="shared" si="0"/>
        <v>1</v>
      </c>
      <c r="K54" s="8" t="b">
        <f t="shared" si="1"/>
        <v>1</v>
      </c>
      <c r="L54" s="8" t="b">
        <f t="shared" si="2"/>
        <v>1</v>
      </c>
      <c r="M54" s="8" t="b">
        <f t="shared" si="3"/>
        <v>1</v>
      </c>
      <c r="N54" s="1" t="b">
        <f t="shared" si="4"/>
        <v>1</v>
      </c>
      <c r="O54" s="8" t="str">
        <f>IF(F54="","",IF($F$2=入力リスト!$H$25,ROUNDDOWN(INT(F54)+ROUNDDOWN((F54-INT(F54))*100,0)/60,2),F54))</f>
        <v/>
      </c>
      <c r="P54" s="7"/>
      <c r="Q54" s="7"/>
    </row>
    <row r="55" spans="1:17">
      <c r="A55" s="105"/>
      <c r="B55" s="2"/>
      <c r="C55" s="254"/>
      <c r="D55" s="254"/>
      <c r="E55" s="254"/>
      <c r="F55" s="255"/>
      <c r="G55" s="215" t="str">
        <f>IF(AND($B55="",OR(B55&lt;&gt;"",C55&lt;&gt;"",D55&lt;&gt;"",E55&lt;&gt;"",F55&lt;&gt;"")),入力リスト!$K$34,IF($I55=TRUE,入力リスト!$K$35,IF(J55=FALSE,"「毎月の固定給与額」","")&amp;IF(AND(J55=FALSE,OR(K55=FALSE,L55=FALSE,M55=FALSE)),",","")&amp;IF(K55=FALSE,"「賞与額等」","")&amp;IF(AND(K55=FALSE,OR(L55=FALSE,M55=FALSE)),",","")&amp;IF(L55=FALSE,"「残業手当」","")&amp;IF(AND(L55=FALSE,M55=FALSE),",","")&amp;IF(M55=FALSE,"「残業時間」","")&amp;IF(OR(J55=FALSE,K55=FALSE,L55=FALSE,M55=FALSE),入力リスト!$K$36,"")&amp;IF(N55,"",入力リスト!$K$37)))</f>
        <v/>
      </c>
      <c r="H55" s="215"/>
      <c r="I55" s="1" t="b">
        <f>IF(B55="",FALSE,COUNTIF('従業員情報(給与以外)'!$A$4:$A$1000000,$B55)=0)</f>
        <v>0</v>
      </c>
      <c r="J55" s="8" t="b">
        <f t="shared" si="0"/>
        <v>1</v>
      </c>
      <c r="K55" s="8" t="b">
        <f t="shared" si="1"/>
        <v>1</v>
      </c>
      <c r="L55" s="8" t="b">
        <f t="shared" si="2"/>
        <v>1</v>
      </c>
      <c r="M55" s="8" t="b">
        <f t="shared" si="3"/>
        <v>1</v>
      </c>
      <c r="N55" s="1" t="b">
        <f t="shared" si="4"/>
        <v>1</v>
      </c>
      <c r="O55" s="8" t="str">
        <f>IF(F55="","",IF($F$2=入力リスト!$H$25,ROUNDDOWN(INT(F55)+ROUNDDOWN((F55-INT(F55))*100,0)/60,2),F55))</f>
        <v/>
      </c>
      <c r="P55" s="7"/>
      <c r="Q55" s="7"/>
    </row>
    <row r="56" spans="1:17">
      <c r="A56" s="105"/>
      <c r="B56" s="2"/>
      <c r="C56" s="254"/>
      <c r="D56" s="254"/>
      <c r="E56" s="254"/>
      <c r="F56" s="255"/>
      <c r="G56" s="215" t="str">
        <f>IF(AND($B56="",OR(B56&lt;&gt;"",C56&lt;&gt;"",D56&lt;&gt;"",E56&lt;&gt;"",F56&lt;&gt;"")),入力リスト!$K$34,IF($I56=TRUE,入力リスト!$K$35,IF(J56=FALSE,"「毎月の固定給与額」","")&amp;IF(AND(J56=FALSE,OR(K56=FALSE,L56=FALSE,M56=FALSE)),",","")&amp;IF(K56=FALSE,"「賞与額等」","")&amp;IF(AND(K56=FALSE,OR(L56=FALSE,M56=FALSE)),",","")&amp;IF(L56=FALSE,"「残業手当」","")&amp;IF(AND(L56=FALSE,M56=FALSE),",","")&amp;IF(M56=FALSE,"「残業時間」","")&amp;IF(OR(J56=FALSE,K56=FALSE,L56=FALSE,M56=FALSE),入力リスト!$K$36,"")&amp;IF(N56,"",入力リスト!$K$37)))</f>
        <v/>
      </c>
      <c r="H56" s="215"/>
      <c r="I56" s="1" t="b">
        <f>IF(B56="",FALSE,COUNTIF('従業員情報(給与以外)'!$A$4:$A$1000000,$B56)=0)</f>
        <v>0</v>
      </c>
      <c r="J56" s="8" t="b">
        <f t="shared" si="0"/>
        <v>1</v>
      </c>
      <c r="K56" s="8" t="b">
        <f t="shared" si="1"/>
        <v>1</v>
      </c>
      <c r="L56" s="8" t="b">
        <f t="shared" si="2"/>
        <v>1</v>
      </c>
      <c r="M56" s="8" t="b">
        <f t="shared" si="3"/>
        <v>1</v>
      </c>
      <c r="N56" s="1" t="b">
        <f t="shared" si="4"/>
        <v>1</v>
      </c>
      <c r="O56" s="8" t="str">
        <f>IF(F56="","",IF($F$2=入力リスト!$H$25,ROUNDDOWN(INT(F56)+ROUNDDOWN((F56-INT(F56))*100,0)/60,2),F56))</f>
        <v/>
      </c>
      <c r="P56" s="7"/>
      <c r="Q56" s="7"/>
    </row>
    <row r="57" spans="1:17">
      <c r="A57" s="105"/>
      <c r="B57" s="2"/>
      <c r="C57" s="254"/>
      <c r="D57" s="254"/>
      <c r="E57" s="254"/>
      <c r="F57" s="255"/>
      <c r="G57" s="215" t="str">
        <f>IF(AND($B57="",OR(B57&lt;&gt;"",C57&lt;&gt;"",D57&lt;&gt;"",E57&lt;&gt;"",F57&lt;&gt;"")),入力リスト!$K$34,IF($I57=TRUE,入力リスト!$K$35,IF(J57=FALSE,"「毎月の固定給与額」","")&amp;IF(AND(J57=FALSE,OR(K57=FALSE,L57=FALSE,M57=FALSE)),",","")&amp;IF(K57=FALSE,"「賞与額等」","")&amp;IF(AND(K57=FALSE,OR(L57=FALSE,M57=FALSE)),",","")&amp;IF(L57=FALSE,"「残業手当」","")&amp;IF(AND(L57=FALSE,M57=FALSE),",","")&amp;IF(M57=FALSE,"「残業時間」","")&amp;IF(OR(J57=FALSE,K57=FALSE,L57=FALSE,M57=FALSE),入力リスト!$K$36,"")&amp;IF(N57,"",入力リスト!$K$37)))</f>
        <v/>
      </c>
      <c r="H57" s="215"/>
      <c r="I57" s="1" t="b">
        <f>IF(B57="",FALSE,COUNTIF('従業員情報(給与以外)'!$A$4:$A$1000000,$B57)=0)</f>
        <v>0</v>
      </c>
      <c r="J57" s="8" t="b">
        <f t="shared" si="0"/>
        <v>1</v>
      </c>
      <c r="K57" s="8" t="b">
        <f t="shared" si="1"/>
        <v>1</v>
      </c>
      <c r="L57" s="8" t="b">
        <f t="shared" si="2"/>
        <v>1</v>
      </c>
      <c r="M57" s="8" t="b">
        <f t="shared" si="3"/>
        <v>1</v>
      </c>
      <c r="N57" s="1" t="b">
        <f t="shared" si="4"/>
        <v>1</v>
      </c>
      <c r="O57" s="8" t="str">
        <f>IF(F57="","",IF($F$2=入力リスト!$H$25,ROUNDDOWN(INT(F57)+ROUNDDOWN((F57-INT(F57))*100,0)/60,2),F57))</f>
        <v/>
      </c>
      <c r="P57" s="7"/>
      <c r="Q57" s="7"/>
    </row>
    <row r="58" spans="1:17">
      <c r="A58" s="105"/>
      <c r="B58" s="2"/>
      <c r="C58" s="254"/>
      <c r="D58" s="254"/>
      <c r="E58" s="254"/>
      <c r="F58" s="255"/>
      <c r="G58" s="215" t="str">
        <f>IF(AND($B58="",OR(B58&lt;&gt;"",C58&lt;&gt;"",D58&lt;&gt;"",E58&lt;&gt;"",F58&lt;&gt;"")),入力リスト!$K$34,IF($I58=TRUE,入力リスト!$K$35,IF(J58=FALSE,"「毎月の固定給与額」","")&amp;IF(AND(J58=FALSE,OR(K58=FALSE,L58=FALSE,M58=FALSE)),",","")&amp;IF(K58=FALSE,"「賞与額等」","")&amp;IF(AND(K58=FALSE,OR(L58=FALSE,M58=FALSE)),",","")&amp;IF(L58=FALSE,"「残業手当」","")&amp;IF(AND(L58=FALSE,M58=FALSE),",","")&amp;IF(M58=FALSE,"「残業時間」","")&amp;IF(OR(J58=FALSE,K58=FALSE,L58=FALSE,M58=FALSE),入力リスト!$K$36,"")&amp;IF(N58,"",入力リスト!$K$37)))</f>
        <v/>
      </c>
      <c r="H58" s="215"/>
      <c r="I58" s="1" t="b">
        <f>IF(B58="",FALSE,COUNTIF('従業員情報(給与以外)'!$A$4:$A$1000000,$B58)=0)</f>
        <v>0</v>
      </c>
      <c r="J58" s="8" t="b">
        <f t="shared" si="0"/>
        <v>1</v>
      </c>
      <c r="K58" s="8" t="b">
        <f t="shared" si="1"/>
        <v>1</v>
      </c>
      <c r="L58" s="8" t="b">
        <f t="shared" si="2"/>
        <v>1</v>
      </c>
      <c r="M58" s="8" t="b">
        <f t="shared" si="3"/>
        <v>1</v>
      </c>
      <c r="N58" s="1" t="b">
        <f t="shared" si="4"/>
        <v>1</v>
      </c>
      <c r="O58" s="8" t="str">
        <f>IF(F58="","",IF($F$2=入力リスト!$H$25,ROUNDDOWN(INT(F58)+ROUNDDOWN((F58-INT(F58))*100,0)/60,2),F58))</f>
        <v/>
      </c>
      <c r="P58" s="7"/>
      <c r="Q58" s="7"/>
    </row>
    <row r="59" spans="1:17">
      <c r="A59" s="105"/>
      <c r="B59" s="2"/>
      <c r="C59" s="254"/>
      <c r="D59" s="254"/>
      <c r="E59" s="254"/>
      <c r="F59" s="255"/>
      <c r="G59" s="215" t="str">
        <f>IF(AND($B59="",OR(B59&lt;&gt;"",C59&lt;&gt;"",D59&lt;&gt;"",E59&lt;&gt;"",F59&lt;&gt;"")),入力リスト!$K$34,IF($I59=TRUE,入力リスト!$K$35,IF(J59=FALSE,"「毎月の固定給与額」","")&amp;IF(AND(J59=FALSE,OR(K59=FALSE,L59=FALSE,M59=FALSE)),",","")&amp;IF(K59=FALSE,"「賞与額等」","")&amp;IF(AND(K59=FALSE,OR(L59=FALSE,M59=FALSE)),",","")&amp;IF(L59=FALSE,"「残業手当」","")&amp;IF(AND(L59=FALSE,M59=FALSE),",","")&amp;IF(M59=FALSE,"「残業時間」","")&amp;IF(OR(J59=FALSE,K59=FALSE,L59=FALSE,M59=FALSE),入力リスト!$K$36,"")&amp;IF(N59,"",入力リスト!$K$37)))</f>
        <v/>
      </c>
      <c r="H59" s="215"/>
      <c r="I59" s="1" t="b">
        <f>IF(B59="",FALSE,COUNTIF('従業員情報(給与以外)'!$A$4:$A$1000000,$B59)=0)</f>
        <v>0</v>
      </c>
      <c r="J59" s="8" t="b">
        <f t="shared" si="0"/>
        <v>1</v>
      </c>
      <c r="K59" s="8" t="b">
        <f t="shared" si="1"/>
        <v>1</v>
      </c>
      <c r="L59" s="8" t="b">
        <f t="shared" si="2"/>
        <v>1</v>
      </c>
      <c r="M59" s="8" t="b">
        <f t="shared" si="3"/>
        <v>1</v>
      </c>
      <c r="N59" s="1" t="b">
        <f t="shared" si="4"/>
        <v>1</v>
      </c>
      <c r="O59" s="8" t="str">
        <f>IF(F59="","",IF($F$2=入力リスト!$H$25,ROUNDDOWN(INT(F59)+ROUNDDOWN((F59-INT(F59))*100,0)/60,2),F59))</f>
        <v/>
      </c>
      <c r="P59" s="7"/>
      <c r="Q59" s="7"/>
    </row>
    <row r="60" spans="1:17">
      <c r="A60" s="105"/>
      <c r="B60" s="2"/>
      <c r="C60" s="254"/>
      <c r="D60" s="254"/>
      <c r="E60" s="254"/>
      <c r="F60" s="255"/>
      <c r="G60" s="215" t="str">
        <f>IF(AND($B60="",OR(B60&lt;&gt;"",C60&lt;&gt;"",D60&lt;&gt;"",E60&lt;&gt;"",F60&lt;&gt;"")),入力リスト!$K$34,IF($I60=TRUE,入力リスト!$K$35,IF(J60=FALSE,"「毎月の固定給与額」","")&amp;IF(AND(J60=FALSE,OR(K60=FALSE,L60=FALSE,M60=FALSE)),",","")&amp;IF(K60=FALSE,"「賞与額等」","")&amp;IF(AND(K60=FALSE,OR(L60=FALSE,M60=FALSE)),",","")&amp;IF(L60=FALSE,"「残業手当」","")&amp;IF(AND(L60=FALSE,M60=FALSE),",","")&amp;IF(M60=FALSE,"「残業時間」","")&amp;IF(OR(J60=FALSE,K60=FALSE,L60=FALSE,M60=FALSE),入力リスト!$K$36,"")&amp;IF(N60,"",入力リスト!$K$37)))</f>
        <v/>
      </c>
      <c r="H60" s="215"/>
      <c r="I60" s="1" t="b">
        <f>IF(B60="",FALSE,COUNTIF('従業員情報(給与以外)'!$A$4:$A$1000000,$B60)=0)</f>
        <v>0</v>
      </c>
      <c r="J60" s="8" t="b">
        <f t="shared" si="0"/>
        <v>1</v>
      </c>
      <c r="K60" s="8" t="b">
        <f t="shared" si="1"/>
        <v>1</v>
      </c>
      <c r="L60" s="8" t="b">
        <f t="shared" si="2"/>
        <v>1</v>
      </c>
      <c r="M60" s="8" t="b">
        <f t="shared" si="3"/>
        <v>1</v>
      </c>
      <c r="N60" s="1" t="b">
        <f t="shared" si="4"/>
        <v>1</v>
      </c>
      <c r="O60" s="8" t="str">
        <f>IF(F60="","",IF($F$2=入力リスト!$H$25,ROUNDDOWN(INT(F60)+ROUNDDOWN((F60-INT(F60))*100,0)/60,2),F60))</f>
        <v/>
      </c>
      <c r="P60" s="7"/>
      <c r="Q60" s="7"/>
    </row>
    <row r="61" spans="1:17">
      <c r="A61" s="105"/>
      <c r="B61" s="2"/>
      <c r="C61" s="254"/>
      <c r="D61" s="254"/>
      <c r="E61" s="254"/>
      <c r="F61" s="255"/>
      <c r="G61" s="215" t="str">
        <f>IF(AND($B61="",OR(B61&lt;&gt;"",C61&lt;&gt;"",D61&lt;&gt;"",E61&lt;&gt;"",F61&lt;&gt;"")),入力リスト!$K$34,IF($I61=TRUE,入力リスト!$K$35,IF(J61=FALSE,"「毎月の固定給与額」","")&amp;IF(AND(J61=FALSE,OR(K61=FALSE,L61=FALSE,M61=FALSE)),",","")&amp;IF(K61=FALSE,"「賞与額等」","")&amp;IF(AND(K61=FALSE,OR(L61=FALSE,M61=FALSE)),",","")&amp;IF(L61=FALSE,"「残業手当」","")&amp;IF(AND(L61=FALSE,M61=FALSE),",","")&amp;IF(M61=FALSE,"「残業時間」","")&amp;IF(OR(J61=FALSE,K61=FALSE,L61=FALSE,M61=FALSE),入力リスト!$K$36,"")&amp;IF(N61,"",入力リスト!$K$37)))</f>
        <v/>
      </c>
      <c r="H61" s="215"/>
      <c r="I61" s="1" t="b">
        <f>IF(B61="",FALSE,COUNTIF('従業員情報(給与以外)'!$A$4:$A$1000000,$B61)=0)</f>
        <v>0</v>
      </c>
      <c r="J61" s="8" t="b">
        <f t="shared" si="0"/>
        <v>1</v>
      </c>
      <c r="K61" s="8" t="b">
        <f t="shared" si="1"/>
        <v>1</v>
      </c>
      <c r="L61" s="8" t="b">
        <f t="shared" si="2"/>
        <v>1</v>
      </c>
      <c r="M61" s="8" t="b">
        <f t="shared" si="3"/>
        <v>1</v>
      </c>
      <c r="N61" s="1" t="b">
        <f t="shared" si="4"/>
        <v>1</v>
      </c>
      <c r="O61" s="8" t="str">
        <f>IF(F61="","",IF($F$2=入力リスト!$H$25,ROUNDDOWN(INT(F61)+ROUNDDOWN((F61-INT(F61))*100,0)/60,2),F61))</f>
        <v/>
      </c>
      <c r="P61" s="7"/>
      <c r="Q61" s="7"/>
    </row>
    <row r="62" spans="1:17">
      <c r="A62" s="105"/>
      <c r="B62" s="2"/>
      <c r="C62" s="254"/>
      <c r="D62" s="254"/>
      <c r="E62" s="254"/>
      <c r="F62" s="255"/>
      <c r="G62" s="215" t="str">
        <f>IF(AND($B62="",OR(B62&lt;&gt;"",C62&lt;&gt;"",D62&lt;&gt;"",E62&lt;&gt;"",F62&lt;&gt;"")),入力リスト!$K$34,IF($I62=TRUE,入力リスト!$K$35,IF(J62=FALSE,"「毎月の固定給与額」","")&amp;IF(AND(J62=FALSE,OR(K62=FALSE,L62=FALSE,M62=FALSE)),",","")&amp;IF(K62=FALSE,"「賞与額等」","")&amp;IF(AND(K62=FALSE,OR(L62=FALSE,M62=FALSE)),",","")&amp;IF(L62=FALSE,"「残業手当」","")&amp;IF(AND(L62=FALSE,M62=FALSE),",","")&amp;IF(M62=FALSE,"「残業時間」","")&amp;IF(OR(J62=FALSE,K62=FALSE,L62=FALSE,M62=FALSE),入力リスト!$K$36,"")&amp;IF(N62,"",入力リスト!$K$37)))</f>
        <v/>
      </c>
      <c r="H62" s="215"/>
      <c r="I62" s="1" t="b">
        <f>IF(B62="",FALSE,COUNTIF('従業員情報(給与以外)'!$A$4:$A$1000000,$B62)=0)</f>
        <v>0</v>
      </c>
      <c r="J62" s="8" t="b">
        <f t="shared" si="0"/>
        <v>1</v>
      </c>
      <c r="K62" s="8" t="b">
        <f t="shared" si="1"/>
        <v>1</v>
      </c>
      <c r="L62" s="8" t="b">
        <f t="shared" si="2"/>
        <v>1</v>
      </c>
      <c r="M62" s="8" t="b">
        <f t="shared" si="3"/>
        <v>1</v>
      </c>
      <c r="N62" s="1" t="b">
        <f t="shared" si="4"/>
        <v>1</v>
      </c>
      <c r="O62" s="8" t="str">
        <f>IF(F62="","",IF($F$2=入力リスト!$H$25,ROUNDDOWN(INT(F62)+ROUNDDOWN((F62-INT(F62))*100,0)/60,2),F62))</f>
        <v/>
      </c>
      <c r="P62" s="7"/>
      <c r="Q62" s="7"/>
    </row>
    <row r="63" spans="1:17">
      <c r="A63" s="105"/>
      <c r="B63" s="2"/>
      <c r="C63" s="254"/>
      <c r="D63" s="254"/>
      <c r="E63" s="254"/>
      <c r="F63" s="255"/>
      <c r="G63" s="215" t="str">
        <f>IF(AND($B63="",OR(B63&lt;&gt;"",C63&lt;&gt;"",D63&lt;&gt;"",E63&lt;&gt;"",F63&lt;&gt;"")),入力リスト!$K$34,IF($I63=TRUE,入力リスト!$K$35,IF(J63=FALSE,"「毎月の固定給与額」","")&amp;IF(AND(J63=FALSE,OR(K63=FALSE,L63=FALSE,M63=FALSE)),",","")&amp;IF(K63=FALSE,"「賞与額等」","")&amp;IF(AND(K63=FALSE,OR(L63=FALSE,M63=FALSE)),",","")&amp;IF(L63=FALSE,"「残業手当」","")&amp;IF(AND(L63=FALSE,M63=FALSE),",","")&amp;IF(M63=FALSE,"「残業時間」","")&amp;IF(OR(J63=FALSE,K63=FALSE,L63=FALSE,M63=FALSE),入力リスト!$K$36,"")&amp;IF(N63,"",入力リスト!$K$37)))</f>
        <v/>
      </c>
      <c r="H63" s="215"/>
      <c r="I63" s="1" t="b">
        <f>IF(B63="",FALSE,COUNTIF('従業員情報(給与以外)'!$A$4:$A$1000000,$B63)=0)</f>
        <v>0</v>
      </c>
      <c r="J63" s="8" t="b">
        <f t="shared" si="0"/>
        <v>1</v>
      </c>
      <c r="K63" s="8" t="b">
        <f t="shared" si="1"/>
        <v>1</v>
      </c>
      <c r="L63" s="8" t="b">
        <f t="shared" si="2"/>
        <v>1</v>
      </c>
      <c r="M63" s="8" t="b">
        <f t="shared" si="3"/>
        <v>1</v>
      </c>
      <c r="N63" s="1" t="b">
        <f t="shared" si="4"/>
        <v>1</v>
      </c>
      <c r="O63" s="8" t="str">
        <f>IF(F63="","",IF($F$2=入力リスト!$H$25,ROUNDDOWN(INT(F63)+ROUNDDOWN((F63-INT(F63))*100,0)/60,2),F63))</f>
        <v/>
      </c>
      <c r="P63" s="7"/>
      <c r="Q63" s="7"/>
    </row>
    <row r="64" spans="1:17">
      <c r="A64" s="105"/>
      <c r="B64" s="2"/>
      <c r="C64" s="254"/>
      <c r="D64" s="254"/>
      <c r="E64" s="254"/>
      <c r="F64" s="255"/>
      <c r="G64" s="215" t="str">
        <f>IF(AND($B64="",OR(B64&lt;&gt;"",C64&lt;&gt;"",D64&lt;&gt;"",E64&lt;&gt;"",F64&lt;&gt;"")),入力リスト!$K$34,IF($I64=TRUE,入力リスト!$K$35,IF(J64=FALSE,"「毎月の固定給与額」","")&amp;IF(AND(J64=FALSE,OR(K64=FALSE,L64=FALSE,M64=FALSE)),",","")&amp;IF(K64=FALSE,"「賞与額等」","")&amp;IF(AND(K64=FALSE,OR(L64=FALSE,M64=FALSE)),",","")&amp;IF(L64=FALSE,"「残業手当」","")&amp;IF(AND(L64=FALSE,M64=FALSE),",","")&amp;IF(M64=FALSE,"「残業時間」","")&amp;IF(OR(J64=FALSE,K64=FALSE,L64=FALSE,M64=FALSE),入力リスト!$K$36,"")&amp;IF(N64,"",入力リスト!$K$37)))</f>
        <v/>
      </c>
      <c r="H64" s="215"/>
      <c r="I64" s="1" t="b">
        <f>IF(B64="",FALSE,COUNTIF('従業員情報(給与以外)'!$A$4:$A$1000000,$B64)=0)</f>
        <v>0</v>
      </c>
      <c r="J64" s="8" t="b">
        <f t="shared" si="0"/>
        <v>1</v>
      </c>
      <c r="K64" s="8" t="b">
        <f t="shared" si="1"/>
        <v>1</v>
      </c>
      <c r="L64" s="8" t="b">
        <f t="shared" si="2"/>
        <v>1</v>
      </c>
      <c r="M64" s="8" t="b">
        <f t="shared" si="3"/>
        <v>1</v>
      </c>
      <c r="N64" s="1" t="b">
        <f t="shared" si="4"/>
        <v>1</v>
      </c>
      <c r="O64" s="8" t="str">
        <f>IF(F64="","",IF($F$2=入力リスト!$H$25,ROUNDDOWN(INT(F64)+ROUNDDOWN((F64-INT(F64))*100,0)/60,2),F64))</f>
        <v/>
      </c>
      <c r="P64" s="7"/>
      <c r="Q64" s="7"/>
    </row>
    <row r="65" spans="1:17">
      <c r="A65" s="105"/>
      <c r="B65" s="2"/>
      <c r="C65" s="254"/>
      <c r="D65" s="254"/>
      <c r="E65" s="254"/>
      <c r="F65" s="255"/>
      <c r="G65" s="215" t="str">
        <f>IF(AND($B65="",OR(B65&lt;&gt;"",C65&lt;&gt;"",D65&lt;&gt;"",E65&lt;&gt;"",F65&lt;&gt;"")),入力リスト!$K$34,IF($I65=TRUE,入力リスト!$K$35,IF(J65=FALSE,"「毎月の固定給与額」","")&amp;IF(AND(J65=FALSE,OR(K65=FALSE,L65=FALSE,M65=FALSE)),",","")&amp;IF(K65=FALSE,"「賞与額等」","")&amp;IF(AND(K65=FALSE,OR(L65=FALSE,M65=FALSE)),",","")&amp;IF(L65=FALSE,"「残業手当」","")&amp;IF(AND(L65=FALSE,M65=FALSE),",","")&amp;IF(M65=FALSE,"「残業時間」","")&amp;IF(OR(J65=FALSE,K65=FALSE,L65=FALSE,M65=FALSE),入力リスト!$K$36,"")&amp;IF(N65,"",入力リスト!$K$37)))</f>
        <v/>
      </c>
      <c r="H65" s="215"/>
      <c r="I65" s="1" t="b">
        <f>IF(B65="",FALSE,COUNTIF('従業員情報(給与以外)'!$A$4:$A$1000000,$B65)=0)</f>
        <v>0</v>
      </c>
      <c r="J65" s="8" t="b">
        <f t="shared" si="0"/>
        <v>1</v>
      </c>
      <c r="K65" s="8" t="b">
        <f t="shared" si="1"/>
        <v>1</v>
      </c>
      <c r="L65" s="8" t="b">
        <f t="shared" si="2"/>
        <v>1</v>
      </c>
      <c r="M65" s="8" t="b">
        <f t="shared" si="3"/>
        <v>1</v>
      </c>
      <c r="N65" s="1" t="b">
        <f t="shared" si="4"/>
        <v>1</v>
      </c>
      <c r="O65" s="8" t="str">
        <f>IF(F65="","",IF($F$2=入力リスト!$H$25,ROUNDDOWN(INT(F65)+ROUNDDOWN((F65-INT(F65))*100,0)/60,2),F65))</f>
        <v/>
      </c>
      <c r="P65" s="7"/>
      <c r="Q65" s="7"/>
    </row>
    <row r="66" spans="1:17">
      <c r="A66" s="105"/>
      <c r="B66" s="2"/>
      <c r="C66" s="254"/>
      <c r="D66" s="254"/>
      <c r="E66" s="254"/>
      <c r="F66" s="255"/>
      <c r="G66" s="215" t="str">
        <f>IF(AND($B66="",OR(B66&lt;&gt;"",C66&lt;&gt;"",D66&lt;&gt;"",E66&lt;&gt;"",F66&lt;&gt;"")),入力リスト!$K$34,IF($I66=TRUE,入力リスト!$K$35,IF(J66=FALSE,"「毎月の固定給与額」","")&amp;IF(AND(J66=FALSE,OR(K66=FALSE,L66=FALSE,M66=FALSE)),",","")&amp;IF(K66=FALSE,"「賞与額等」","")&amp;IF(AND(K66=FALSE,OR(L66=FALSE,M66=FALSE)),",","")&amp;IF(L66=FALSE,"「残業手当」","")&amp;IF(AND(L66=FALSE,M66=FALSE),",","")&amp;IF(M66=FALSE,"「残業時間」","")&amp;IF(OR(J66=FALSE,K66=FALSE,L66=FALSE,M66=FALSE),入力リスト!$K$36,"")&amp;IF(N66,"",入力リスト!$K$37)))</f>
        <v/>
      </c>
      <c r="H66" s="215"/>
      <c r="I66" s="1" t="b">
        <f>IF(B66="",FALSE,COUNTIF('従業員情報(給与以外)'!$A$4:$A$1000000,$B66)=0)</f>
        <v>0</v>
      </c>
      <c r="J66" s="8" t="b">
        <f t="shared" si="0"/>
        <v>1</v>
      </c>
      <c r="K66" s="8" t="b">
        <f t="shared" si="1"/>
        <v>1</v>
      </c>
      <c r="L66" s="8" t="b">
        <f t="shared" si="2"/>
        <v>1</v>
      </c>
      <c r="M66" s="8" t="b">
        <f t="shared" si="3"/>
        <v>1</v>
      </c>
      <c r="N66" s="1" t="b">
        <f t="shared" si="4"/>
        <v>1</v>
      </c>
      <c r="O66" s="8" t="str">
        <f>IF(F66="","",IF($F$2=入力リスト!$H$25,ROUNDDOWN(INT(F66)+ROUNDDOWN((F66-INT(F66))*100,0)/60,2),F66))</f>
        <v/>
      </c>
      <c r="P66" s="7"/>
      <c r="Q66" s="7"/>
    </row>
    <row r="67" spans="1:17">
      <c r="A67" s="105"/>
      <c r="B67" s="2"/>
      <c r="C67" s="254"/>
      <c r="D67" s="254"/>
      <c r="E67" s="254"/>
      <c r="F67" s="255"/>
      <c r="G67" s="215" t="str">
        <f>IF(AND($B67="",OR(B67&lt;&gt;"",C67&lt;&gt;"",D67&lt;&gt;"",E67&lt;&gt;"",F67&lt;&gt;"")),入力リスト!$K$34,IF($I67=TRUE,入力リスト!$K$35,IF(J67=FALSE,"「毎月の固定給与額」","")&amp;IF(AND(J67=FALSE,OR(K67=FALSE,L67=FALSE,M67=FALSE)),",","")&amp;IF(K67=FALSE,"「賞与額等」","")&amp;IF(AND(K67=FALSE,OR(L67=FALSE,M67=FALSE)),",","")&amp;IF(L67=FALSE,"「残業手当」","")&amp;IF(AND(L67=FALSE,M67=FALSE),",","")&amp;IF(M67=FALSE,"「残業時間」","")&amp;IF(OR(J67=FALSE,K67=FALSE,L67=FALSE,M67=FALSE),入力リスト!$K$36,"")&amp;IF(N67,"",入力リスト!$K$37)))</f>
        <v/>
      </c>
      <c r="H67" s="215"/>
      <c r="I67" s="1" t="b">
        <f>IF(B67="",FALSE,COUNTIF('従業員情報(給与以外)'!$A$4:$A$1000000,$B67)=0)</f>
        <v>0</v>
      </c>
      <c r="J67" s="8" t="b">
        <f t="shared" si="0"/>
        <v>1</v>
      </c>
      <c r="K67" s="8" t="b">
        <f t="shared" si="1"/>
        <v>1</v>
      </c>
      <c r="L67" s="8" t="b">
        <f t="shared" si="2"/>
        <v>1</v>
      </c>
      <c r="M67" s="8" t="b">
        <f t="shared" si="3"/>
        <v>1</v>
      </c>
      <c r="N67" s="1" t="b">
        <f t="shared" si="4"/>
        <v>1</v>
      </c>
      <c r="O67" s="8" t="str">
        <f>IF(F67="","",IF($F$2=入力リスト!$H$25,ROUNDDOWN(INT(F67)+ROUNDDOWN((F67-INT(F67))*100,0)/60,2),F67))</f>
        <v/>
      </c>
      <c r="P67" s="7"/>
      <c r="Q67" s="7"/>
    </row>
    <row r="68" spans="1:17">
      <c r="A68" s="105"/>
      <c r="B68" s="2"/>
      <c r="C68" s="254"/>
      <c r="D68" s="254"/>
      <c r="E68" s="254"/>
      <c r="F68" s="255"/>
      <c r="G68" s="215" t="str">
        <f>IF(AND($B68="",OR(B68&lt;&gt;"",C68&lt;&gt;"",D68&lt;&gt;"",E68&lt;&gt;"",F68&lt;&gt;"")),入力リスト!$K$34,IF($I68=TRUE,入力リスト!$K$35,IF(J68=FALSE,"「毎月の固定給与額」","")&amp;IF(AND(J68=FALSE,OR(K68=FALSE,L68=FALSE,M68=FALSE)),",","")&amp;IF(K68=FALSE,"「賞与額等」","")&amp;IF(AND(K68=FALSE,OR(L68=FALSE,M68=FALSE)),",","")&amp;IF(L68=FALSE,"「残業手当」","")&amp;IF(AND(L68=FALSE,M68=FALSE),",","")&amp;IF(M68=FALSE,"「残業時間」","")&amp;IF(OR(J68=FALSE,K68=FALSE,L68=FALSE,M68=FALSE),入力リスト!$K$36,"")&amp;IF(N68,"",入力リスト!$K$37)))</f>
        <v/>
      </c>
      <c r="H68" s="215"/>
      <c r="I68" s="1" t="b">
        <f>IF(B68="",FALSE,COUNTIF('従業員情報(給与以外)'!$A$4:$A$1000000,$B68)=0)</f>
        <v>0</v>
      </c>
      <c r="J68" s="8" t="b">
        <f t="shared" si="0"/>
        <v>1</v>
      </c>
      <c r="K68" s="8" t="b">
        <f t="shared" si="1"/>
        <v>1</v>
      </c>
      <c r="L68" s="8" t="b">
        <f t="shared" si="2"/>
        <v>1</v>
      </c>
      <c r="M68" s="8" t="b">
        <f t="shared" si="3"/>
        <v>1</v>
      </c>
      <c r="N68" s="1" t="b">
        <f t="shared" si="4"/>
        <v>1</v>
      </c>
      <c r="O68" s="8" t="str">
        <f>IF(F68="","",IF($F$2=入力リスト!$H$25,ROUNDDOWN(INT(F68)+ROUNDDOWN((F68-INT(F68))*100,0)/60,2),F68))</f>
        <v/>
      </c>
      <c r="P68" s="7"/>
      <c r="Q68" s="7"/>
    </row>
    <row r="69" spans="1:17">
      <c r="A69" s="105"/>
      <c r="B69" s="2"/>
      <c r="C69" s="254"/>
      <c r="D69" s="254"/>
      <c r="E69" s="254"/>
      <c r="F69" s="255"/>
      <c r="G69" s="215" t="str">
        <f>IF(AND($B69="",OR(B69&lt;&gt;"",C69&lt;&gt;"",D69&lt;&gt;"",E69&lt;&gt;"",F69&lt;&gt;"")),入力リスト!$K$34,IF($I69=TRUE,入力リスト!$K$35,IF(J69=FALSE,"「毎月の固定給与額」","")&amp;IF(AND(J69=FALSE,OR(K69=FALSE,L69=FALSE,M69=FALSE)),",","")&amp;IF(K69=FALSE,"「賞与額等」","")&amp;IF(AND(K69=FALSE,OR(L69=FALSE,M69=FALSE)),",","")&amp;IF(L69=FALSE,"「残業手当」","")&amp;IF(AND(L69=FALSE,M69=FALSE),",","")&amp;IF(M69=FALSE,"「残業時間」","")&amp;IF(OR(J69=FALSE,K69=FALSE,L69=FALSE,M69=FALSE),入力リスト!$K$36,"")&amp;IF(N69,"",入力リスト!$K$37)))</f>
        <v/>
      </c>
      <c r="H69" s="215"/>
      <c r="I69" s="1" t="b">
        <f>IF(B69="",FALSE,COUNTIF('従業員情報(給与以外)'!$A$4:$A$1000000,$B69)=0)</f>
        <v>0</v>
      </c>
      <c r="J69" s="8" t="b">
        <f t="shared" ref="J69:J132" si="5">OR(C69="",ISNUMBER(C69))</f>
        <v>1</v>
      </c>
      <c r="K69" s="8" t="b">
        <f t="shared" ref="K69:K132" si="6">OR(D69="",ISNUMBER(D69))</f>
        <v>1</v>
      </c>
      <c r="L69" s="8" t="b">
        <f t="shared" ref="L69:L132" si="7">OR(E69="",ISNUMBER(E69))</f>
        <v>1</v>
      </c>
      <c r="M69" s="8" t="b">
        <f t="shared" ref="M69:M132" si="8">OR(F69="",ISNUMBER(F69))</f>
        <v>1</v>
      </c>
      <c r="N69" s="1" t="b">
        <f t="shared" ref="N69:N132" si="9">IF($N$1,TRUE,IF($N$2,IF(F69-INT(F69)&lt;0.6,TRUE,FALSE),TRUE))</f>
        <v>1</v>
      </c>
      <c r="O69" s="8" t="str">
        <f>IF(F69="","",IF($F$2=入力リスト!$H$25,ROUNDDOWN(INT(F69)+ROUNDDOWN((F69-INT(F69))*100,0)/60,2),F69))</f>
        <v/>
      </c>
      <c r="P69" s="7"/>
      <c r="Q69" s="7"/>
    </row>
    <row r="70" spans="1:17">
      <c r="A70" s="105"/>
      <c r="B70" s="2"/>
      <c r="C70" s="254"/>
      <c r="D70" s="254"/>
      <c r="E70" s="254"/>
      <c r="F70" s="255"/>
      <c r="G70" s="215" t="str">
        <f>IF(AND($B70="",OR(B70&lt;&gt;"",C70&lt;&gt;"",D70&lt;&gt;"",E70&lt;&gt;"",F70&lt;&gt;"")),入力リスト!$K$34,IF($I70=TRUE,入力リスト!$K$35,IF(J70=FALSE,"「毎月の固定給与額」","")&amp;IF(AND(J70=FALSE,OR(K70=FALSE,L70=FALSE,M70=FALSE)),",","")&amp;IF(K70=FALSE,"「賞与額等」","")&amp;IF(AND(K70=FALSE,OR(L70=FALSE,M70=FALSE)),",","")&amp;IF(L70=FALSE,"「残業手当」","")&amp;IF(AND(L70=FALSE,M70=FALSE),",","")&amp;IF(M70=FALSE,"「残業時間」","")&amp;IF(OR(J70=FALSE,K70=FALSE,L70=FALSE,M70=FALSE),入力リスト!$K$36,"")&amp;IF(N70,"",入力リスト!$K$37)))</f>
        <v/>
      </c>
      <c r="H70" s="215"/>
      <c r="I70" s="1" t="b">
        <f>IF(B70="",FALSE,COUNTIF('従業員情報(給与以外)'!$A$4:$A$1000000,$B70)=0)</f>
        <v>0</v>
      </c>
      <c r="J70" s="8" t="b">
        <f t="shared" si="5"/>
        <v>1</v>
      </c>
      <c r="K70" s="8" t="b">
        <f t="shared" si="6"/>
        <v>1</v>
      </c>
      <c r="L70" s="8" t="b">
        <f t="shared" si="7"/>
        <v>1</v>
      </c>
      <c r="M70" s="8" t="b">
        <f t="shared" si="8"/>
        <v>1</v>
      </c>
      <c r="N70" s="1" t="b">
        <f t="shared" si="9"/>
        <v>1</v>
      </c>
      <c r="O70" s="8" t="str">
        <f>IF(F70="","",IF($F$2=入力リスト!$H$25,ROUNDDOWN(INT(F70)+ROUNDDOWN((F70-INT(F70))*100,0)/60,2),F70))</f>
        <v/>
      </c>
      <c r="P70" s="7"/>
      <c r="Q70" s="7"/>
    </row>
    <row r="71" spans="1:17">
      <c r="A71" s="105"/>
      <c r="B71" s="2"/>
      <c r="C71" s="254"/>
      <c r="D71" s="254"/>
      <c r="E71" s="254"/>
      <c r="F71" s="255"/>
      <c r="G71" s="215" t="str">
        <f>IF(AND($B71="",OR(B71&lt;&gt;"",C71&lt;&gt;"",D71&lt;&gt;"",E71&lt;&gt;"",F71&lt;&gt;"")),入力リスト!$K$34,IF($I71=TRUE,入力リスト!$K$35,IF(J71=FALSE,"「毎月の固定給与額」","")&amp;IF(AND(J71=FALSE,OR(K71=FALSE,L71=FALSE,M71=FALSE)),",","")&amp;IF(K71=FALSE,"「賞与額等」","")&amp;IF(AND(K71=FALSE,OR(L71=FALSE,M71=FALSE)),",","")&amp;IF(L71=FALSE,"「残業手当」","")&amp;IF(AND(L71=FALSE,M71=FALSE),",","")&amp;IF(M71=FALSE,"「残業時間」","")&amp;IF(OR(J71=FALSE,K71=FALSE,L71=FALSE,M71=FALSE),入力リスト!$K$36,"")&amp;IF(N71,"",入力リスト!$K$37)))</f>
        <v/>
      </c>
      <c r="H71" s="215"/>
      <c r="I71" s="1" t="b">
        <f>IF(B71="",FALSE,COUNTIF('従業員情報(給与以外)'!$A$4:$A$1000000,$B71)=0)</f>
        <v>0</v>
      </c>
      <c r="J71" s="8" t="b">
        <f t="shared" si="5"/>
        <v>1</v>
      </c>
      <c r="K71" s="8" t="b">
        <f t="shared" si="6"/>
        <v>1</v>
      </c>
      <c r="L71" s="8" t="b">
        <f t="shared" si="7"/>
        <v>1</v>
      </c>
      <c r="M71" s="8" t="b">
        <f t="shared" si="8"/>
        <v>1</v>
      </c>
      <c r="N71" s="1" t="b">
        <f t="shared" si="9"/>
        <v>1</v>
      </c>
      <c r="O71" s="8" t="str">
        <f>IF(F71="","",IF($F$2=入力リスト!$H$25,ROUNDDOWN(INT(F71)+ROUNDDOWN((F71-INT(F71))*100,0)/60,2),F71))</f>
        <v/>
      </c>
      <c r="P71" s="7"/>
      <c r="Q71" s="7"/>
    </row>
    <row r="72" spans="1:17">
      <c r="A72" s="105"/>
      <c r="B72" s="2"/>
      <c r="C72" s="254"/>
      <c r="D72" s="254"/>
      <c r="E72" s="254"/>
      <c r="F72" s="255"/>
      <c r="G72" s="215" t="str">
        <f>IF(AND($B72="",OR(B72&lt;&gt;"",C72&lt;&gt;"",D72&lt;&gt;"",E72&lt;&gt;"",F72&lt;&gt;"")),入力リスト!$K$34,IF($I72=TRUE,入力リスト!$K$35,IF(J72=FALSE,"「毎月の固定給与額」","")&amp;IF(AND(J72=FALSE,OR(K72=FALSE,L72=FALSE,M72=FALSE)),",","")&amp;IF(K72=FALSE,"「賞与額等」","")&amp;IF(AND(K72=FALSE,OR(L72=FALSE,M72=FALSE)),",","")&amp;IF(L72=FALSE,"「残業手当」","")&amp;IF(AND(L72=FALSE,M72=FALSE),",","")&amp;IF(M72=FALSE,"「残業時間」","")&amp;IF(OR(J72=FALSE,K72=FALSE,L72=FALSE,M72=FALSE),入力リスト!$K$36,"")&amp;IF(N72,"",入力リスト!$K$37)))</f>
        <v/>
      </c>
      <c r="H72" s="215"/>
      <c r="I72" s="1" t="b">
        <f>IF(B72="",FALSE,COUNTIF('従業員情報(給与以外)'!$A$4:$A$1000000,$B72)=0)</f>
        <v>0</v>
      </c>
      <c r="J72" s="8" t="b">
        <f t="shared" si="5"/>
        <v>1</v>
      </c>
      <c r="K72" s="8" t="b">
        <f t="shared" si="6"/>
        <v>1</v>
      </c>
      <c r="L72" s="8" t="b">
        <f t="shared" si="7"/>
        <v>1</v>
      </c>
      <c r="M72" s="8" t="b">
        <f t="shared" si="8"/>
        <v>1</v>
      </c>
      <c r="N72" s="1" t="b">
        <f t="shared" si="9"/>
        <v>1</v>
      </c>
      <c r="O72" s="8" t="str">
        <f>IF(F72="","",IF($F$2=入力リスト!$H$25,ROUNDDOWN(INT(F72)+ROUNDDOWN((F72-INT(F72))*100,0)/60,2),F72))</f>
        <v/>
      </c>
      <c r="P72" s="7"/>
      <c r="Q72" s="7"/>
    </row>
    <row r="73" spans="1:17">
      <c r="A73" s="105"/>
      <c r="B73" s="2"/>
      <c r="C73" s="254"/>
      <c r="D73" s="254"/>
      <c r="E73" s="254"/>
      <c r="F73" s="255"/>
      <c r="G73" s="215" t="str">
        <f>IF(AND($B73="",OR(B73&lt;&gt;"",C73&lt;&gt;"",D73&lt;&gt;"",E73&lt;&gt;"",F73&lt;&gt;"")),入力リスト!$K$34,IF($I73=TRUE,入力リスト!$K$35,IF(J73=FALSE,"「毎月の固定給与額」","")&amp;IF(AND(J73=FALSE,OR(K73=FALSE,L73=FALSE,M73=FALSE)),",","")&amp;IF(K73=FALSE,"「賞与額等」","")&amp;IF(AND(K73=FALSE,OR(L73=FALSE,M73=FALSE)),",","")&amp;IF(L73=FALSE,"「残業手当」","")&amp;IF(AND(L73=FALSE,M73=FALSE),",","")&amp;IF(M73=FALSE,"「残業時間」","")&amp;IF(OR(J73=FALSE,K73=FALSE,L73=FALSE,M73=FALSE),入力リスト!$K$36,"")&amp;IF(N73,"",入力リスト!$K$37)))</f>
        <v/>
      </c>
      <c r="H73" s="215"/>
      <c r="I73" s="1" t="b">
        <f>IF(B73="",FALSE,COUNTIF('従業員情報(給与以外)'!$A$4:$A$1000000,$B73)=0)</f>
        <v>0</v>
      </c>
      <c r="J73" s="8" t="b">
        <f t="shared" si="5"/>
        <v>1</v>
      </c>
      <c r="K73" s="8" t="b">
        <f t="shared" si="6"/>
        <v>1</v>
      </c>
      <c r="L73" s="8" t="b">
        <f t="shared" si="7"/>
        <v>1</v>
      </c>
      <c r="M73" s="8" t="b">
        <f t="shared" si="8"/>
        <v>1</v>
      </c>
      <c r="N73" s="1" t="b">
        <f t="shared" si="9"/>
        <v>1</v>
      </c>
      <c r="O73" s="8" t="str">
        <f>IF(F73="","",IF($F$2=入力リスト!$H$25,ROUNDDOWN(INT(F73)+ROUNDDOWN((F73-INT(F73))*100,0)/60,2),F73))</f>
        <v/>
      </c>
      <c r="P73" s="7"/>
      <c r="Q73" s="7"/>
    </row>
    <row r="74" spans="1:17">
      <c r="A74" s="105"/>
      <c r="B74" s="2"/>
      <c r="C74" s="254"/>
      <c r="D74" s="254"/>
      <c r="E74" s="254"/>
      <c r="F74" s="255"/>
      <c r="G74" s="215" t="str">
        <f>IF(AND($B74="",OR(B74&lt;&gt;"",C74&lt;&gt;"",D74&lt;&gt;"",E74&lt;&gt;"",F74&lt;&gt;"")),入力リスト!$K$34,IF($I74=TRUE,入力リスト!$K$35,IF(J74=FALSE,"「毎月の固定給与額」","")&amp;IF(AND(J74=FALSE,OR(K74=FALSE,L74=FALSE,M74=FALSE)),",","")&amp;IF(K74=FALSE,"「賞与額等」","")&amp;IF(AND(K74=FALSE,OR(L74=FALSE,M74=FALSE)),",","")&amp;IF(L74=FALSE,"「残業手当」","")&amp;IF(AND(L74=FALSE,M74=FALSE),",","")&amp;IF(M74=FALSE,"「残業時間」","")&amp;IF(OR(J74=FALSE,K74=FALSE,L74=FALSE,M74=FALSE),入力リスト!$K$36,"")&amp;IF(N74,"",入力リスト!$K$37)))</f>
        <v/>
      </c>
      <c r="H74" s="215"/>
      <c r="I74" s="1" t="b">
        <f>IF(B74="",FALSE,COUNTIF('従業員情報(給与以外)'!$A$4:$A$1000000,$B74)=0)</f>
        <v>0</v>
      </c>
      <c r="J74" s="8" t="b">
        <f t="shared" si="5"/>
        <v>1</v>
      </c>
      <c r="K74" s="8" t="b">
        <f t="shared" si="6"/>
        <v>1</v>
      </c>
      <c r="L74" s="8" t="b">
        <f t="shared" si="7"/>
        <v>1</v>
      </c>
      <c r="M74" s="8" t="b">
        <f t="shared" si="8"/>
        <v>1</v>
      </c>
      <c r="N74" s="1" t="b">
        <f t="shared" si="9"/>
        <v>1</v>
      </c>
      <c r="O74" s="8" t="str">
        <f>IF(F74="","",IF($F$2=入力リスト!$H$25,ROUNDDOWN(INT(F74)+ROUNDDOWN((F74-INT(F74))*100,0)/60,2),F74))</f>
        <v/>
      </c>
      <c r="P74" s="7"/>
      <c r="Q74" s="7"/>
    </row>
    <row r="75" spans="1:17">
      <c r="A75" s="105"/>
      <c r="B75" s="2"/>
      <c r="C75" s="254"/>
      <c r="D75" s="254"/>
      <c r="E75" s="254"/>
      <c r="F75" s="255"/>
      <c r="G75" s="215" t="str">
        <f>IF(AND($B75="",OR(B75&lt;&gt;"",C75&lt;&gt;"",D75&lt;&gt;"",E75&lt;&gt;"",F75&lt;&gt;"")),入力リスト!$K$34,IF($I75=TRUE,入力リスト!$K$35,IF(J75=FALSE,"「毎月の固定給与額」","")&amp;IF(AND(J75=FALSE,OR(K75=FALSE,L75=FALSE,M75=FALSE)),",","")&amp;IF(K75=FALSE,"「賞与額等」","")&amp;IF(AND(K75=FALSE,OR(L75=FALSE,M75=FALSE)),",","")&amp;IF(L75=FALSE,"「残業手当」","")&amp;IF(AND(L75=FALSE,M75=FALSE),",","")&amp;IF(M75=FALSE,"「残業時間」","")&amp;IF(OR(J75=FALSE,K75=FALSE,L75=FALSE,M75=FALSE),入力リスト!$K$36,"")&amp;IF(N75,"",入力リスト!$K$37)))</f>
        <v/>
      </c>
      <c r="H75" s="215"/>
      <c r="I75" s="1" t="b">
        <f>IF(B75="",FALSE,COUNTIF('従業員情報(給与以外)'!$A$4:$A$1000000,$B75)=0)</f>
        <v>0</v>
      </c>
      <c r="J75" s="8" t="b">
        <f t="shared" si="5"/>
        <v>1</v>
      </c>
      <c r="K75" s="8" t="b">
        <f t="shared" si="6"/>
        <v>1</v>
      </c>
      <c r="L75" s="8" t="b">
        <f t="shared" si="7"/>
        <v>1</v>
      </c>
      <c r="M75" s="8" t="b">
        <f t="shared" si="8"/>
        <v>1</v>
      </c>
      <c r="N75" s="1" t="b">
        <f t="shared" si="9"/>
        <v>1</v>
      </c>
      <c r="O75" s="8" t="str">
        <f>IF(F75="","",IF($F$2=入力リスト!$H$25,ROUNDDOWN(INT(F75)+ROUNDDOWN((F75-INT(F75))*100,0)/60,2),F75))</f>
        <v/>
      </c>
      <c r="P75" s="7"/>
      <c r="Q75" s="7"/>
    </row>
    <row r="76" spans="1:17">
      <c r="A76" s="105"/>
      <c r="B76" s="2"/>
      <c r="C76" s="254"/>
      <c r="D76" s="254"/>
      <c r="E76" s="254"/>
      <c r="F76" s="255"/>
      <c r="G76" s="215" t="str">
        <f>IF(AND($B76="",OR(B76&lt;&gt;"",C76&lt;&gt;"",D76&lt;&gt;"",E76&lt;&gt;"",F76&lt;&gt;"")),入力リスト!$K$34,IF($I76=TRUE,入力リスト!$K$35,IF(J76=FALSE,"「毎月の固定給与額」","")&amp;IF(AND(J76=FALSE,OR(K76=FALSE,L76=FALSE,M76=FALSE)),",","")&amp;IF(K76=FALSE,"「賞与額等」","")&amp;IF(AND(K76=FALSE,OR(L76=FALSE,M76=FALSE)),",","")&amp;IF(L76=FALSE,"「残業手当」","")&amp;IF(AND(L76=FALSE,M76=FALSE),",","")&amp;IF(M76=FALSE,"「残業時間」","")&amp;IF(OR(J76=FALSE,K76=FALSE,L76=FALSE,M76=FALSE),入力リスト!$K$36,"")&amp;IF(N76,"",入力リスト!$K$37)))</f>
        <v/>
      </c>
      <c r="H76" s="215"/>
      <c r="I76" s="1" t="b">
        <f>IF(B76="",FALSE,COUNTIF('従業員情報(給与以外)'!$A$4:$A$1000000,$B76)=0)</f>
        <v>0</v>
      </c>
      <c r="J76" s="8" t="b">
        <f t="shared" si="5"/>
        <v>1</v>
      </c>
      <c r="K76" s="8" t="b">
        <f t="shared" si="6"/>
        <v>1</v>
      </c>
      <c r="L76" s="8" t="b">
        <f t="shared" si="7"/>
        <v>1</v>
      </c>
      <c r="M76" s="8" t="b">
        <f t="shared" si="8"/>
        <v>1</v>
      </c>
      <c r="N76" s="1" t="b">
        <f t="shared" si="9"/>
        <v>1</v>
      </c>
      <c r="O76" s="8" t="str">
        <f>IF(F76="","",IF($F$2=入力リスト!$H$25,ROUNDDOWN(INT(F76)+ROUNDDOWN((F76-INT(F76))*100,0)/60,2),F76))</f>
        <v/>
      </c>
      <c r="P76" s="7"/>
      <c r="Q76" s="7"/>
    </row>
    <row r="77" spans="1:17">
      <c r="A77" s="105"/>
      <c r="B77" s="2"/>
      <c r="C77" s="254"/>
      <c r="D77" s="254"/>
      <c r="E77" s="254"/>
      <c r="F77" s="255"/>
      <c r="G77" s="215" t="str">
        <f>IF(AND($B77="",OR(B77&lt;&gt;"",C77&lt;&gt;"",D77&lt;&gt;"",E77&lt;&gt;"",F77&lt;&gt;"")),入力リスト!$K$34,IF($I77=TRUE,入力リスト!$K$35,IF(J77=FALSE,"「毎月の固定給与額」","")&amp;IF(AND(J77=FALSE,OR(K77=FALSE,L77=FALSE,M77=FALSE)),",","")&amp;IF(K77=FALSE,"「賞与額等」","")&amp;IF(AND(K77=FALSE,OR(L77=FALSE,M77=FALSE)),",","")&amp;IF(L77=FALSE,"「残業手当」","")&amp;IF(AND(L77=FALSE,M77=FALSE),",","")&amp;IF(M77=FALSE,"「残業時間」","")&amp;IF(OR(J77=FALSE,K77=FALSE,L77=FALSE,M77=FALSE),入力リスト!$K$36,"")&amp;IF(N77,"",入力リスト!$K$37)))</f>
        <v/>
      </c>
      <c r="H77" s="215"/>
      <c r="I77" s="1" t="b">
        <f>IF(B77="",FALSE,COUNTIF('従業員情報(給与以外)'!$A$4:$A$1000000,$B77)=0)</f>
        <v>0</v>
      </c>
      <c r="J77" s="8" t="b">
        <f t="shared" si="5"/>
        <v>1</v>
      </c>
      <c r="K77" s="8" t="b">
        <f t="shared" si="6"/>
        <v>1</v>
      </c>
      <c r="L77" s="8" t="b">
        <f t="shared" si="7"/>
        <v>1</v>
      </c>
      <c r="M77" s="8" t="b">
        <f t="shared" si="8"/>
        <v>1</v>
      </c>
      <c r="N77" s="1" t="b">
        <f t="shared" si="9"/>
        <v>1</v>
      </c>
      <c r="O77" s="8" t="str">
        <f>IF(F77="","",IF($F$2=入力リスト!$H$25,ROUNDDOWN(INT(F77)+ROUNDDOWN((F77-INT(F77))*100,0)/60,2),F77))</f>
        <v/>
      </c>
      <c r="P77" s="7"/>
      <c r="Q77" s="7"/>
    </row>
    <row r="78" spans="1:17">
      <c r="A78" s="105"/>
      <c r="B78" s="2"/>
      <c r="C78" s="254"/>
      <c r="D78" s="254"/>
      <c r="E78" s="254"/>
      <c r="F78" s="255"/>
      <c r="G78" s="215" t="str">
        <f>IF(AND($B78="",OR(B78&lt;&gt;"",C78&lt;&gt;"",D78&lt;&gt;"",E78&lt;&gt;"",F78&lt;&gt;"")),入力リスト!$K$34,IF($I78=TRUE,入力リスト!$K$35,IF(J78=FALSE,"「毎月の固定給与額」","")&amp;IF(AND(J78=FALSE,OR(K78=FALSE,L78=FALSE,M78=FALSE)),",","")&amp;IF(K78=FALSE,"「賞与額等」","")&amp;IF(AND(K78=FALSE,OR(L78=FALSE,M78=FALSE)),",","")&amp;IF(L78=FALSE,"「残業手当」","")&amp;IF(AND(L78=FALSE,M78=FALSE),",","")&amp;IF(M78=FALSE,"「残業時間」","")&amp;IF(OR(J78=FALSE,K78=FALSE,L78=FALSE,M78=FALSE),入力リスト!$K$36,"")&amp;IF(N78,"",入力リスト!$K$37)))</f>
        <v/>
      </c>
      <c r="H78" s="215"/>
      <c r="I78" s="1" t="b">
        <f>IF(B78="",FALSE,COUNTIF('従業員情報(給与以外)'!$A$4:$A$1000000,$B78)=0)</f>
        <v>0</v>
      </c>
      <c r="J78" s="8" t="b">
        <f t="shared" si="5"/>
        <v>1</v>
      </c>
      <c r="K78" s="8" t="b">
        <f t="shared" si="6"/>
        <v>1</v>
      </c>
      <c r="L78" s="8" t="b">
        <f t="shared" si="7"/>
        <v>1</v>
      </c>
      <c r="M78" s="8" t="b">
        <f t="shared" si="8"/>
        <v>1</v>
      </c>
      <c r="N78" s="1" t="b">
        <f t="shared" si="9"/>
        <v>1</v>
      </c>
      <c r="O78" s="8" t="str">
        <f>IF(F78="","",IF($F$2=入力リスト!$H$25,ROUNDDOWN(INT(F78)+ROUNDDOWN((F78-INT(F78))*100,0)/60,2),F78))</f>
        <v/>
      </c>
      <c r="P78" s="7"/>
      <c r="Q78" s="7"/>
    </row>
    <row r="79" spans="1:17">
      <c r="A79" s="105"/>
      <c r="B79" s="2"/>
      <c r="C79" s="254"/>
      <c r="D79" s="254"/>
      <c r="E79" s="254"/>
      <c r="F79" s="255"/>
      <c r="G79" s="215" t="str">
        <f>IF(AND($B79="",OR(B79&lt;&gt;"",C79&lt;&gt;"",D79&lt;&gt;"",E79&lt;&gt;"",F79&lt;&gt;"")),入力リスト!$K$34,IF($I79=TRUE,入力リスト!$K$35,IF(J79=FALSE,"「毎月の固定給与額」","")&amp;IF(AND(J79=FALSE,OR(K79=FALSE,L79=FALSE,M79=FALSE)),",","")&amp;IF(K79=FALSE,"「賞与額等」","")&amp;IF(AND(K79=FALSE,OR(L79=FALSE,M79=FALSE)),",","")&amp;IF(L79=FALSE,"「残業手当」","")&amp;IF(AND(L79=FALSE,M79=FALSE),",","")&amp;IF(M79=FALSE,"「残業時間」","")&amp;IF(OR(J79=FALSE,K79=FALSE,L79=FALSE,M79=FALSE),入力リスト!$K$36,"")&amp;IF(N79,"",入力リスト!$K$37)))</f>
        <v/>
      </c>
      <c r="H79" s="215"/>
      <c r="I79" s="1" t="b">
        <f>IF(B79="",FALSE,COUNTIF('従業員情報(給与以外)'!$A$4:$A$1000000,$B79)=0)</f>
        <v>0</v>
      </c>
      <c r="J79" s="8" t="b">
        <f t="shared" si="5"/>
        <v>1</v>
      </c>
      <c r="K79" s="8" t="b">
        <f t="shared" si="6"/>
        <v>1</v>
      </c>
      <c r="L79" s="8" t="b">
        <f t="shared" si="7"/>
        <v>1</v>
      </c>
      <c r="M79" s="8" t="b">
        <f t="shared" si="8"/>
        <v>1</v>
      </c>
      <c r="N79" s="1" t="b">
        <f t="shared" si="9"/>
        <v>1</v>
      </c>
      <c r="O79" s="8" t="str">
        <f>IF(F79="","",IF($F$2=入力リスト!$H$25,ROUNDDOWN(INT(F79)+ROUNDDOWN((F79-INT(F79))*100,0)/60,2),F79))</f>
        <v/>
      </c>
      <c r="P79" s="7"/>
      <c r="Q79" s="7"/>
    </row>
    <row r="80" spans="1:17">
      <c r="A80" s="105"/>
      <c r="B80" s="2"/>
      <c r="C80" s="254"/>
      <c r="D80" s="254"/>
      <c r="E80" s="254"/>
      <c r="F80" s="255"/>
      <c r="G80" s="215" t="str">
        <f>IF(AND($B80="",OR(B80&lt;&gt;"",C80&lt;&gt;"",D80&lt;&gt;"",E80&lt;&gt;"",F80&lt;&gt;"")),入力リスト!$K$34,IF($I80=TRUE,入力リスト!$K$35,IF(J80=FALSE,"「毎月の固定給与額」","")&amp;IF(AND(J80=FALSE,OR(K80=FALSE,L80=FALSE,M80=FALSE)),",","")&amp;IF(K80=FALSE,"「賞与額等」","")&amp;IF(AND(K80=FALSE,OR(L80=FALSE,M80=FALSE)),",","")&amp;IF(L80=FALSE,"「残業手当」","")&amp;IF(AND(L80=FALSE,M80=FALSE),",","")&amp;IF(M80=FALSE,"「残業時間」","")&amp;IF(OR(J80=FALSE,K80=FALSE,L80=FALSE,M80=FALSE),入力リスト!$K$36,"")&amp;IF(N80,"",入力リスト!$K$37)))</f>
        <v/>
      </c>
      <c r="H80" s="215"/>
      <c r="I80" s="1" t="b">
        <f>IF(B80="",FALSE,COUNTIF('従業員情報(給与以外)'!$A$4:$A$1000000,$B80)=0)</f>
        <v>0</v>
      </c>
      <c r="J80" s="8" t="b">
        <f t="shared" si="5"/>
        <v>1</v>
      </c>
      <c r="K80" s="8" t="b">
        <f t="shared" si="6"/>
        <v>1</v>
      </c>
      <c r="L80" s="8" t="b">
        <f t="shared" si="7"/>
        <v>1</v>
      </c>
      <c r="M80" s="8" t="b">
        <f t="shared" si="8"/>
        <v>1</v>
      </c>
      <c r="N80" s="1" t="b">
        <f t="shared" si="9"/>
        <v>1</v>
      </c>
      <c r="O80" s="8" t="str">
        <f>IF(F80="","",IF($F$2=入力リスト!$H$25,ROUNDDOWN(INT(F80)+ROUNDDOWN((F80-INT(F80))*100,0)/60,2),F80))</f>
        <v/>
      </c>
      <c r="P80" s="7"/>
      <c r="Q80" s="7"/>
    </row>
    <row r="81" spans="1:17">
      <c r="A81" s="105"/>
      <c r="B81" s="2"/>
      <c r="C81" s="254"/>
      <c r="D81" s="254"/>
      <c r="E81" s="254"/>
      <c r="F81" s="255"/>
      <c r="G81" s="215" t="str">
        <f>IF(AND($B81="",OR(B81&lt;&gt;"",C81&lt;&gt;"",D81&lt;&gt;"",E81&lt;&gt;"",F81&lt;&gt;"")),入力リスト!$K$34,IF($I81=TRUE,入力リスト!$K$35,IF(J81=FALSE,"「毎月の固定給与額」","")&amp;IF(AND(J81=FALSE,OR(K81=FALSE,L81=FALSE,M81=FALSE)),",","")&amp;IF(K81=FALSE,"「賞与額等」","")&amp;IF(AND(K81=FALSE,OR(L81=FALSE,M81=FALSE)),",","")&amp;IF(L81=FALSE,"「残業手当」","")&amp;IF(AND(L81=FALSE,M81=FALSE),",","")&amp;IF(M81=FALSE,"「残業時間」","")&amp;IF(OR(J81=FALSE,K81=FALSE,L81=FALSE,M81=FALSE),入力リスト!$K$36,"")&amp;IF(N81,"",入力リスト!$K$37)))</f>
        <v/>
      </c>
      <c r="H81" s="215"/>
      <c r="I81" s="1" t="b">
        <f>IF(B81="",FALSE,COUNTIF('従業員情報(給与以外)'!$A$4:$A$1000000,$B81)=0)</f>
        <v>0</v>
      </c>
      <c r="J81" s="8" t="b">
        <f t="shared" si="5"/>
        <v>1</v>
      </c>
      <c r="K81" s="8" t="b">
        <f t="shared" si="6"/>
        <v>1</v>
      </c>
      <c r="L81" s="8" t="b">
        <f t="shared" si="7"/>
        <v>1</v>
      </c>
      <c r="M81" s="8" t="b">
        <f t="shared" si="8"/>
        <v>1</v>
      </c>
      <c r="N81" s="1" t="b">
        <f t="shared" si="9"/>
        <v>1</v>
      </c>
      <c r="O81" s="8" t="str">
        <f>IF(F81="","",IF($F$2=入力リスト!$H$25,ROUNDDOWN(INT(F81)+ROUNDDOWN((F81-INT(F81))*100,0)/60,2),F81))</f>
        <v/>
      </c>
      <c r="P81" s="7"/>
      <c r="Q81" s="7"/>
    </row>
    <row r="82" spans="1:17">
      <c r="A82" s="105"/>
      <c r="B82" s="2"/>
      <c r="C82" s="254"/>
      <c r="D82" s="254"/>
      <c r="E82" s="254"/>
      <c r="F82" s="255"/>
      <c r="G82" s="215" t="str">
        <f>IF(AND($B82="",OR(B82&lt;&gt;"",C82&lt;&gt;"",D82&lt;&gt;"",E82&lt;&gt;"",F82&lt;&gt;"")),入力リスト!$K$34,IF($I82=TRUE,入力リスト!$K$35,IF(J82=FALSE,"「毎月の固定給与額」","")&amp;IF(AND(J82=FALSE,OR(K82=FALSE,L82=FALSE,M82=FALSE)),",","")&amp;IF(K82=FALSE,"「賞与額等」","")&amp;IF(AND(K82=FALSE,OR(L82=FALSE,M82=FALSE)),",","")&amp;IF(L82=FALSE,"「残業手当」","")&amp;IF(AND(L82=FALSE,M82=FALSE),",","")&amp;IF(M82=FALSE,"「残業時間」","")&amp;IF(OR(J82=FALSE,K82=FALSE,L82=FALSE,M82=FALSE),入力リスト!$K$36,"")&amp;IF(N82,"",入力リスト!$K$37)))</f>
        <v/>
      </c>
      <c r="H82" s="215"/>
      <c r="I82" s="1" t="b">
        <f>IF(B82="",FALSE,COUNTIF('従業員情報(給与以外)'!$A$4:$A$1000000,$B82)=0)</f>
        <v>0</v>
      </c>
      <c r="J82" s="8" t="b">
        <f t="shared" si="5"/>
        <v>1</v>
      </c>
      <c r="K82" s="8" t="b">
        <f t="shared" si="6"/>
        <v>1</v>
      </c>
      <c r="L82" s="8" t="b">
        <f t="shared" si="7"/>
        <v>1</v>
      </c>
      <c r="M82" s="8" t="b">
        <f t="shared" si="8"/>
        <v>1</v>
      </c>
      <c r="N82" s="1" t="b">
        <f t="shared" si="9"/>
        <v>1</v>
      </c>
      <c r="O82" s="8" t="str">
        <f>IF(F82="","",IF($F$2=入力リスト!$H$25,ROUNDDOWN(INT(F82)+ROUNDDOWN((F82-INT(F82))*100,0)/60,2),F82))</f>
        <v/>
      </c>
      <c r="P82" s="7"/>
      <c r="Q82" s="7"/>
    </row>
    <row r="83" spans="1:17">
      <c r="A83" s="105"/>
      <c r="B83" s="2"/>
      <c r="C83" s="254"/>
      <c r="D83" s="254"/>
      <c r="E83" s="254"/>
      <c r="F83" s="255"/>
      <c r="G83" s="215" t="str">
        <f>IF(AND($B83="",OR(B83&lt;&gt;"",C83&lt;&gt;"",D83&lt;&gt;"",E83&lt;&gt;"",F83&lt;&gt;"")),入力リスト!$K$34,IF($I83=TRUE,入力リスト!$K$35,IF(J83=FALSE,"「毎月の固定給与額」","")&amp;IF(AND(J83=FALSE,OR(K83=FALSE,L83=FALSE,M83=FALSE)),",","")&amp;IF(K83=FALSE,"「賞与額等」","")&amp;IF(AND(K83=FALSE,OR(L83=FALSE,M83=FALSE)),",","")&amp;IF(L83=FALSE,"「残業手当」","")&amp;IF(AND(L83=FALSE,M83=FALSE),",","")&amp;IF(M83=FALSE,"「残業時間」","")&amp;IF(OR(J83=FALSE,K83=FALSE,L83=FALSE,M83=FALSE),入力リスト!$K$36,"")&amp;IF(N83,"",入力リスト!$K$37)))</f>
        <v/>
      </c>
      <c r="H83" s="215"/>
      <c r="I83" s="1" t="b">
        <f>IF(B83="",FALSE,COUNTIF('従業員情報(給与以外)'!$A$4:$A$1000000,$B83)=0)</f>
        <v>0</v>
      </c>
      <c r="J83" s="8" t="b">
        <f t="shared" si="5"/>
        <v>1</v>
      </c>
      <c r="K83" s="8" t="b">
        <f t="shared" si="6"/>
        <v>1</v>
      </c>
      <c r="L83" s="8" t="b">
        <f t="shared" si="7"/>
        <v>1</v>
      </c>
      <c r="M83" s="8" t="b">
        <f t="shared" si="8"/>
        <v>1</v>
      </c>
      <c r="N83" s="1" t="b">
        <f t="shared" si="9"/>
        <v>1</v>
      </c>
      <c r="O83" s="8" t="str">
        <f>IF(F83="","",IF($F$2=入力リスト!$H$25,ROUNDDOWN(INT(F83)+ROUNDDOWN((F83-INT(F83))*100,0)/60,2),F83))</f>
        <v/>
      </c>
      <c r="P83" s="7"/>
      <c r="Q83" s="7"/>
    </row>
    <row r="84" spans="1:17">
      <c r="A84" s="105"/>
      <c r="B84" s="2"/>
      <c r="C84" s="254"/>
      <c r="D84" s="254"/>
      <c r="E84" s="254"/>
      <c r="F84" s="255"/>
      <c r="G84" s="215" t="str">
        <f>IF(AND($B84="",OR(B84&lt;&gt;"",C84&lt;&gt;"",D84&lt;&gt;"",E84&lt;&gt;"",F84&lt;&gt;"")),入力リスト!$K$34,IF($I84=TRUE,入力リスト!$K$35,IF(J84=FALSE,"「毎月の固定給与額」","")&amp;IF(AND(J84=FALSE,OR(K84=FALSE,L84=FALSE,M84=FALSE)),",","")&amp;IF(K84=FALSE,"「賞与額等」","")&amp;IF(AND(K84=FALSE,OR(L84=FALSE,M84=FALSE)),",","")&amp;IF(L84=FALSE,"「残業手当」","")&amp;IF(AND(L84=FALSE,M84=FALSE),",","")&amp;IF(M84=FALSE,"「残業時間」","")&amp;IF(OR(J84=FALSE,K84=FALSE,L84=FALSE,M84=FALSE),入力リスト!$K$36,"")&amp;IF(N84,"",入力リスト!$K$37)))</f>
        <v/>
      </c>
      <c r="H84" s="215"/>
      <c r="I84" s="1" t="b">
        <f>IF(B84="",FALSE,COUNTIF('従業員情報(給与以外)'!$A$4:$A$1000000,$B84)=0)</f>
        <v>0</v>
      </c>
      <c r="J84" s="8" t="b">
        <f t="shared" si="5"/>
        <v>1</v>
      </c>
      <c r="K84" s="8" t="b">
        <f t="shared" si="6"/>
        <v>1</v>
      </c>
      <c r="L84" s="8" t="b">
        <f t="shared" si="7"/>
        <v>1</v>
      </c>
      <c r="M84" s="8" t="b">
        <f t="shared" si="8"/>
        <v>1</v>
      </c>
      <c r="N84" s="1" t="b">
        <f t="shared" si="9"/>
        <v>1</v>
      </c>
      <c r="O84" s="8" t="str">
        <f>IF(F84="","",IF($F$2=入力リスト!$H$25,ROUNDDOWN(INT(F84)+ROUNDDOWN((F84-INT(F84))*100,0)/60,2),F84))</f>
        <v/>
      </c>
      <c r="P84" s="7"/>
      <c r="Q84" s="7"/>
    </row>
    <row r="85" spans="1:17">
      <c r="A85" s="105"/>
      <c r="B85" s="2"/>
      <c r="C85" s="254"/>
      <c r="D85" s="254"/>
      <c r="E85" s="254"/>
      <c r="F85" s="255"/>
      <c r="G85" s="215" t="str">
        <f>IF(AND($B85="",OR(B85&lt;&gt;"",C85&lt;&gt;"",D85&lt;&gt;"",E85&lt;&gt;"",F85&lt;&gt;"")),入力リスト!$K$34,IF($I85=TRUE,入力リスト!$K$35,IF(J85=FALSE,"「毎月の固定給与額」","")&amp;IF(AND(J85=FALSE,OR(K85=FALSE,L85=FALSE,M85=FALSE)),",","")&amp;IF(K85=FALSE,"「賞与額等」","")&amp;IF(AND(K85=FALSE,OR(L85=FALSE,M85=FALSE)),",","")&amp;IF(L85=FALSE,"「残業手当」","")&amp;IF(AND(L85=FALSE,M85=FALSE),",","")&amp;IF(M85=FALSE,"「残業時間」","")&amp;IF(OR(J85=FALSE,K85=FALSE,L85=FALSE,M85=FALSE),入力リスト!$K$36,"")&amp;IF(N85,"",入力リスト!$K$37)))</f>
        <v/>
      </c>
      <c r="H85" s="215"/>
      <c r="I85" s="1" t="b">
        <f>IF(B85="",FALSE,COUNTIF('従業員情報(給与以外)'!$A$4:$A$1000000,$B85)=0)</f>
        <v>0</v>
      </c>
      <c r="J85" s="8" t="b">
        <f t="shared" si="5"/>
        <v>1</v>
      </c>
      <c r="K85" s="8" t="b">
        <f t="shared" si="6"/>
        <v>1</v>
      </c>
      <c r="L85" s="8" t="b">
        <f t="shared" si="7"/>
        <v>1</v>
      </c>
      <c r="M85" s="8" t="b">
        <f t="shared" si="8"/>
        <v>1</v>
      </c>
      <c r="N85" s="1" t="b">
        <f t="shared" si="9"/>
        <v>1</v>
      </c>
      <c r="O85" s="8" t="str">
        <f>IF(F85="","",IF($F$2=入力リスト!$H$25,ROUNDDOWN(INT(F85)+ROUNDDOWN((F85-INT(F85))*100,0)/60,2),F85))</f>
        <v/>
      </c>
      <c r="P85" s="7"/>
      <c r="Q85" s="7"/>
    </row>
    <row r="86" spans="1:17">
      <c r="A86" s="105"/>
      <c r="B86" s="2"/>
      <c r="C86" s="254"/>
      <c r="D86" s="254"/>
      <c r="E86" s="254"/>
      <c r="F86" s="255"/>
      <c r="G86" s="215" t="str">
        <f>IF(AND($B86="",OR(B86&lt;&gt;"",C86&lt;&gt;"",D86&lt;&gt;"",E86&lt;&gt;"",F86&lt;&gt;"")),入力リスト!$K$34,IF($I86=TRUE,入力リスト!$K$35,IF(J86=FALSE,"「毎月の固定給与額」","")&amp;IF(AND(J86=FALSE,OR(K86=FALSE,L86=FALSE,M86=FALSE)),",","")&amp;IF(K86=FALSE,"「賞与額等」","")&amp;IF(AND(K86=FALSE,OR(L86=FALSE,M86=FALSE)),",","")&amp;IF(L86=FALSE,"「残業手当」","")&amp;IF(AND(L86=FALSE,M86=FALSE),",","")&amp;IF(M86=FALSE,"「残業時間」","")&amp;IF(OR(J86=FALSE,K86=FALSE,L86=FALSE,M86=FALSE),入力リスト!$K$36,"")&amp;IF(N86,"",入力リスト!$K$37)))</f>
        <v/>
      </c>
      <c r="H86" s="215"/>
      <c r="I86" s="1" t="b">
        <f>IF(B86="",FALSE,COUNTIF('従業員情報(給与以外)'!$A$4:$A$1000000,$B86)=0)</f>
        <v>0</v>
      </c>
      <c r="J86" s="8" t="b">
        <f t="shared" si="5"/>
        <v>1</v>
      </c>
      <c r="K86" s="8" t="b">
        <f t="shared" si="6"/>
        <v>1</v>
      </c>
      <c r="L86" s="8" t="b">
        <f t="shared" si="7"/>
        <v>1</v>
      </c>
      <c r="M86" s="8" t="b">
        <f t="shared" si="8"/>
        <v>1</v>
      </c>
      <c r="N86" s="1" t="b">
        <f t="shared" si="9"/>
        <v>1</v>
      </c>
      <c r="O86" s="8" t="str">
        <f>IF(F86="","",IF($F$2=入力リスト!$H$25,ROUNDDOWN(INT(F86)+ROUNDDOWN((F86-INT(F86))*100,0)/60,2),F86))</f>
        <v/>
      </c>
      <c r="P86" s="7"/>
      <c r="Q86" s="7"/>
    </row>
    <row r="87" spans="1:17">
      <c r="A87" s="105"/>
      <c r="B87" s="2"/>
      <c r="C87" s="254"/>
      <c r="D87" s="254"/>
      <c r="E87" s="254"/>
      <c r="F87" s="255"/>
      <c r="G87" s="215" t="str">
        <f>IF(AND($B87="",OR(B87&lt;&gt;"",C87&lt;&gt;"",D87&lt;&gt;"",E87&lt;&gt;"",F87&lt;&gt;"")),入力リスト!$K$34,IF($I87=TRUE,入力リスト!$K$35,IF(J87=FALSE,"「毎月の固定給与額」","")&amp;IF(AND(J87=FALSE,OR(K87=FALSE,L87=FALSE,M87=FALSE)),",","")&amp;IF(K87=FALSE,"「賞与額等」","")&amp;IF(AND(K87=FALSE,OR(L87=FALSE,M87=FALSE)),",","")&amp;IF(L87=FALSE,"「残業手当」","")&amp;IF(AND(L87=FALSE,M87=FALSE),",","")&amp;IF(M87=FALSE,"「残業時間」","")&amp;IF(OR(J87=FALSE,K87=FALSE,L87=FALSE,M87=FALSE),入力リスト!$K$36,"")&amp;IF(N87,"",入力リスト!$K$37)))</f>
        <v/>
      </c>
      <c r="H87" s="215"/>
      <c r="I87" s="1" t="b">
        <f>IF(B87="",FALSE,COUNTIF('従業員情報(給与以外)'!$A$4:$A$1000000,$B87)=0)</f>
        <v>0</v>
      </c>
      <c r="J87" s="8" t="b">
        <f t="shared" si="5"/>
        <v>1</v>
      </c>
      <c r="K87" s="8" t="b">
        <f t="shared" si="6"/>
        <v>1</v>
      </c>
      <c r="L87" s="8" t="b">
        <f t="shared" si="7"/>
        <v>1</v>
      </c>
      <c r="M87" s="8" t="b">
        <f t="shared" si="8"/>
        <v>1</v>
      </c>
      <c r="N87" s="1" t="b">
        <f t="shared" si="9"/>
        <v>1</v>
      </c>
      <c r="O87" s="8" t="str">
        <f>IF(F87="","",IF($F$2=入力リスト!$H$25,ROUNDDOWN(INT(F87)+ROUNDDOWN((F87-INT(F87))*100,0)/60,2),F87))</f>
        <v/>
      </c>
      <c r="P87" s="7"/>
      <c r="Q87" s="7"/>
    </row>
    <row r="88" spans="1:17">
      <c r="A88" s="105"/>
      <c r="B88" s="2"/>
      <c r="C88" s="254"/>
      <c r="D88" s="254"/>
      <c r="E88" s="254"/>
      <c r="F88" s="255"/>
      <c r="G88" s="215" t="str">
        <f>IF(AND($B88="",OR(B88&lt;&gt;"",C88&lt;&gt;"",D88&lt;&gt;"",E88&lt;&gt;"",F88&lt;&gt;"")),入力リスト!$K$34,IF($I88=TRUE,入力リスト!$K$35,IF(J88=FALSE,"「毎月の固定給与額」","")&amp;IF(AND(J88=FALSE,OR(K88=FALSE,L88=FALSE,M88=FALSE)),",","")&amp;IF(K88=FALSE,"「賞与額等」","")&amp;IF(AND(K88=FALSE,OR(L88=FALSE,M88=FALSE)),",","")&amp;IF(L88=FALSE,"「残業手当」","")&amp;IF(AND(L88=FALSE,M88=FALSE),",","")&amp;IF(M88=FALSE,"「残業時間」","")&amp;IF(OR(J88=FALSE,K88=FALSE,L88=FALSE,M88=FALSE),入力リスト!$K$36,"")&amp;IF(N88,"",入力リスト!$K$37)))</f>
        <v/>
      </c>
      <c r="H88" s="215"/>
      <c r="I88" s="1" t="b">
        <f>IF(B88="",FALSE,COUNTIF('従業員情報(給与以外)'!$A$4:$A$1000000,$B88)=0)</f>
        <v>0</v>
      </c>
      <c r="J88" s="8" t="b">
        <f t="shared" si="5"/>
        <v>1</v>
      </c>
      <c r="K88" s="8" t="b">
        <f t="shared" si="6"/>
        <v>1</v>
      </c>
      <c r="L88" s="8" t="b">
        <f t="shared" si="7"/>
        <v>1</v>
      </c>
      <c r="M88" s="8" t="b">
        <f t="shared" si="8"/>
        <v>1</v>
      </c>
      <c r="N88" s="1" t="b">
        <f t="shared" si="9"/>
        <v>1</v>
      </c>
      <c r="O88" s="8" t="str">
        <f>IF(F88="","",IF($F$2=入力リスト!$H$25,ROUNDDOWN(INT(F88)+ROUNDDOWN((F88-INT(F88))*100,0)/60,2),F88))</f>
        <v/>
      </c>
      <c r="P88" s="7"/>
      <c r="Q88" s="7"/>
    </row>
    <row r="89" spans="1:17">
      <c r="A89" s="105"/>
      <c r="B89" s="2"/>
      <c r="C89" s="254"/>
      <c r="D89" s="254"/>
      <c r="E89" s="254"/>
      <c r="F89" s="255"/>
      <c r="G89" s="215" t="str">
        <f>IF(AND($B89="",OR(B89&lt;&gt;"",C89&lt;&gt;"",D89&lt;&gt;"",E89&lt;&gt;"",F89&lt;&gt;"")),入力リスト!$K$34,IF($I89=TRUE,入力リスト!$K$35,IF(J89=FALSE,"「毎月の固定給与額」","")&amp;IF(AND(J89=FALSE,OR(K89=FALSE,L89=FALSE,M89=FALSE)),",","")&amp;IF(K89=FALSE,"「賞与額等」","")&amp;IF(AND(K89=FALSE,OR(L89=FALSE,M89=FALSE)),",","")&amp;IF(L89=FALSE,"「残業手当」","")&amp;IF(AND(L89=FALSE,M89=FALSE),",","")&amp;IF(M89=FALSE,"「残業時間」","")&amp;IF(OR(J89=FALSE,K89=FALSE,L89=FALSE,M89=FALSE),入力リスト!$K$36,"")&amp;IF(N89,"",入力リスト!$K$37)))</f>
        <v/>
      </c>
      <c r="H89" s="215"/>
      <c r="I89" s="1" t="b">
        <f>IF(B89="",FALSE,COUNTIF('従業員情報(給与以外)'!$A$4:$A$1000000,$B89)=0)</f>
        <v>0</v>
      </c>
      <c r="J89" s="8" t="b">
        <f t="shared" si="5"/>
        <v>1</v>
      </c>
      <c r="K89" s="8" t="b">
        <f t="shared" si="6"/>
        <v>1</v>
      </c>
      <c r="L89" s="8" t="b">
        <f t="shared" si="7"/>
        <v>1</v>
      </c>
      <c r="M89" s="8" t="b">
        <f t="shared" si="8"/>
        <v>1</v>
      </c>
      <c r="N89" s="1" t="b">
        <f t="shared" si="9"/>
        <v>1</v>
      </c>
      <c r="O89" s="8" t="str">
        <f>IF(F89="","",IF($F$2=入力リスト!$H$25,ROUNDDOWN(INT(F89)+ROUNDDOWN((F89-INT(F89))*100,0)/60,2),F89))</f>
        <v/>
      </c>
      <c r="P89" s="7"/>
      <c r="Q89" s="7"/>
    </row>
    <row r="90" spans="1:17">
      <c r="A90" s="105"/>
      <c r="B90" s="2"/>
      <c r="C90" s="254"/>
      <c r="D90" s="254"/>
      <c r="E90" s="254"/>
      <c r="F90" s="255"/>
      <c r="G90" s="215" t="str">
        <f>IF(AND($B90="",OR(B90&lt;&gt;"",C90&lt;&gt;"",D90&lt;&gt;"",E90&lt;&gt;"",F90&lt;&gt;"")),入力リスト!$K$34,IF($I90=TRUE,入力リスト!$K$35,IF(J90=FALSE,"「毎月の固定給与額」","")&amp;IF(AND(J90=FALSE,OR(K90=FALSE,L90=FALSE,M90=FALSE)),",","")&amp;IF(K90=FALSE,"「賞与額等」","")&amp;IF(AND(K90=FALSE,OR(L90=FALSE,M90=FALSE)),",","")&amp;IF(L90=FALSE,"「残業手当」","")&amp;IF(AND(L90=FALSE,M90=FALSE),",","")&amp;IF(M90=FALSE,"「残業時間」","")&amp;IF(OR(J90=FALSE,K90=FALSE,L90=FALSE,M90=FALSE),入力リスト!$K$36,"")&amp;IF(N90,"",入力リスト!$K$37)))</f>
        <v/>
      </c>
      <c r="H90" s="215"/>
      <c r="I90" s="1" t="b">
        <f>IF(B90="",FALSE,COUNTIF('従業員情報(給与以外)'!$A$4:$A$1000000,$B90)=0)</f>
        <v>0</v>
      </c>
      <c r="J90" s="8" t="b">
        <f t="shared" si="5"/>
        <v>1</v>
      </c>
      <c r="K90" s="8" t="b">
        <f t="shared" si="6"/>
        <v>1</v>
      </c>
      <c r="L90" s="8" t="b">
        <f t="shared" si="7"/>
        <v>1</v>
      </c>
      <c r="M90" s="8" t="b">
        <f t="shared" si="8"/>
        <v>1</v>
      </c>
      <c r="N90" s="1" t="b">
        <f t="shared" si="9"/>
        <v>1</v>
      </c>
      <c r="O90" s="8" t="str">
        <f>IF(F90="","",IF($F$2=入力リスト!$H$25,ROUNDDOWN(INT(F90)+ROUNDDOWN((F90-INT(F90))*100,0)/60,2),F90))</f>
        <v/>
      </c>
      <c r="P90" s="7"/>
      <c r="Q90" s="7"/>
    </row>
    <row r="91" spans="1:17">
      <c r="A91" s="105"/>
      <c r="B91" s="2"/>
      <c r="C91" s="254"/>
      <c r="D91" s="254"/>
      <c r="E91" s="254"/>
      <c r="F91" s="255"/>
      <c r="G91" s="215" t="str">
        <f>IF(AND($B91="",OR(B91&lt;&gt;"",C91&lt;&gt;"",D91&lt;&gt;"",E91&lt;&gt;"",F91&lt;&gt;"")),入力リスト!$K$34,IF($I91=TRUE,入力リスト!$K$35,IF(J91=FALSE,"「毎月の固定給与額」","")&amp;IF(AND(J91=FALSE,OR(K91=FALSE,L91=FALSE,M91=FALSE)),",","")&amp;IF(K91=FALSE,"「賞与額等」","")&amp;IF(AND(K91=FALSE,OR(L91=FALSE,M91=FALSE)),",","")&amp;IF(L91=FALSE,"「残業手当」","")&amp;IF(AND(L91=FALSE,M91=FALSE),",","")&amp;IF(M91=FALSE,"「残業時間」","")&amp;IF(OR(J91=FALSE,K91=FALSE,L91=FALSE,M91=FALSE),入力リスト!$K$36,"")&amp;IF(N91,"",入力リスト!$K$37)))</f>
        <v/>
      </c>
      <c r="H91" s="215"/>
      <c r="I91" s="1" t="b">
        <f>IF(B91="",FALSE,COUNTIF('従業員情報(給与以外)'!$A$4:$A$1000000,$B91)=0)</f>
        <v>0</v>
      </c>
      <c r="J91" s="8" t="b">
        <f t="shared" si="5"/>
        <v>1</v>
      </c>
      <c r="K91" s="8" t="b">
        <f t="shared" si="6"/>
        <v>1</v>
      </c>
      <c r="L91" s="8" t="b">
        <f t="shared" si="7"/>
        <v>1</v>
      </c>
      <c r="M91" s="8" t="b">
        <f t="shared" si="8"/>
        <v>1</v>
      </c>
      <c r="N91" s="1" t="b">
        <f t="shared" si="9"/>
        <v>1</v>
      </c>
      <c r="O91" s="8" t="str">
        <f>IF(F91="","",IF($F$2=入力リスト!$H$25,ROUNDDOWN(INT(F91)+ROUNDDOWN((F91-INT(F91))*100,0)/60,2),F91))</f>
        <v/>
      </c>
      <c r="P91" s="7"/>
      <c r="Q91" s="7"/>
    </row>
    <row r="92" spans="1:17">
      <c r="A92" s="105"/>
      <c r="B92" s="2"/>
      <c r="C92" s="254"/>
      <c r="D92" s="254"/>
      <c r="E92" s="254"/>
      <c r="F92" s="255"/>
      <c r="G92" s="215" t="str">
        <f>IF(AND($B92="",OR(B92&lt;&gt;"",C92&lt;&gt;"",D92&lt;&gt;"",E92&lt;&gt;"",F92&lt;&gt;"")),入力リスト!$K$34,IF($I92=TRUE,入力リスト!$K$35,IF(J92=FALSE,"「毎月の固定給与額」","")&amp;IF(AND(J92=FALSE,OR(K92=FALSE,L92=FALSE,M92=FALSE)),",","")&amp;IF(K92=FALSE,"「賞与額等」","")&amp;IF(AND(K92=FALSE,OR(L92=FALSE,M92=FALSE)),",","")&amp;IF(L92=FALSE,"「残業手当」","")&amp;IF(AND(L92=FALSE,M92=FALSE),",","")&amp;IF(M92=FALSE,"「残業時間」","")&amp;IF(OR(J92=FALSE,K92=FALSE,L92=FALSE,M92=FALSE),入力リスト!$K$36,"")&amp;IF(N92,"",入力リスト!$K$37)))</f>
        <v/>
      </c>
      <c r="H92" s="215"/>
      <c r="I92" s="1" t="b">
        <f>IF(B92="",FALSE,COUNTIF('従業員情報(給与以外)'!$A$4:$A$1000000,$B92)=0)</f>
        <v>0</v>
      </c>
      <c r="J92" s="8" t="b">
        <f t="shared" si="5"/>
        <v>1</v>
      </c>
      <c r="K92" s="8" t="b">
        <f t="shared" si="6"/>
        <v>1</v>
      </c>
      <c r="L92" s="8" t="b">
        <f t="shared" si="7"/>
        <v>1</v>
      </c>
      <c r="M92" s="8" t="b">
        <f t="shared" si="8"/>
        <v>1</v>
      </c>
      <c r="N92" s="1" t="b">
        <f t="shared" si="9"/>
        <v>1</v>
      </c>
      <c r="O92" s="8" t="str">
        <f>IF(F92="","",IF($F$2=入力リスト!$H$25,ROUNDDOWN(INT(F92)+ROUNDDOWN((F92-INT(F92))*100,0)/60,2),F92))</f>
        <v/>
      </c>
      <c r="P92" s="7"/>
      <c r="Q92" s="7"/>
    </row>
    <row r="93" spans="1:17">
      <c r="A93" s="105"/>
      <c r="B93" s="2"/>
      <c r="C93" s="254"/>
      <c r="D93" s="254"/>
      <c r="E93" s="254"/>
      <c r="F93" s="255"/>
      <c r="G93" s="215" t="str">
        <f>IF(AND($B93="",OR(B93&lt;&gt;"",C93&lt;&gt;"",D93&lt;&gt;"",E93&lt;&gt;"",F93&lt;&gt;"")),入力リスト!$K$34,IF($I93=TRUE,入力リスト!$K$35,IF(J93=FALSE,"「毎月の固定給与額」","")&amp;IF(AND(J93=FALSE,OR(K93=FALSE,L93=FALSE,M93=FALSE)),",","")&amp;IF(K93=FALSE,"「賞与額等」","")&amp;IF(AND(K93=FALSE,OR(L93=FALSE,M93=FALSE)),",","")&amp;IF(L93=FALSE,"「残業手当」","")&amp;IF(AND(L93=FALSE,M93=FALSE),",","")&amp;IF(M93=FALSE,"「残業時間」","")&amp;IF(OR(J93=FALSE,K93=FALSE,L93=FALSE,M93=FALSE),入力リスト!$K$36,"")&amp;IF(N93,"",入力リスト!$K$37)))</f>
        <v/>
      </c>
      <c r="H93" s="215"/>
      <c r="I93" s="1" t="b">
        <f>IF(B93="",FALSE,COUNTIF('従業員情報(給与以外)'!$A$4:$A$1000000,$B93)=0)</f>
        <v>0</v>
      </c>
      <c r="J93" s="8" t="b">
        <f t="shared" si="5"/>
        <v>1</v>
      </c>
      <c r="K93" s="8" t="b">
        <f t="shared" si="6"/>
        <v>1</v>
      </c>
      <c r="L93" s="8" t="b">
        <f t="shared" si="7"/>
        <v>1</v>
      </c>
      <c r="M93" s="8" t="b">
        <f t="shared" si="8"/>
        <v>1</v>
      </c>
      <c r="N93" s="1" t="b">
        <f t="shared" si="9"/>
        <v>1</v>
      </c>
      <c r="O93" s="8" t="str">
        <f>IF(F93="","",IF($F$2=入力リスト!$H$25,ROUNDDOWN(INT(F93)+ROUNDDOWN((F93-INT(F93))*100,0)/60,2),F93))</f>
        <v/>
      </c>
      <c r="P93" s="7"/>
      <c r="Q93" s="7"/>
    </row>
    <row r="94" spans="1:17">
      <c r="A94" s="105"/>
      <c r="B94" s="2"/>
      <c r="C94" s="254"/>
      <c r="D94" s="254"/>
      <c r="E94" s="254"/>
      <c r="F94" s="255"/>
      <c r="G94" s="215" t="str">
        <f>IF(AND($B94="",OR(B94&lt;&gt;"",C94&lt;&gt;"",D94&lt;&gt;"",E94&lt;&gt;"",F94&lt;&gt;"")),入力リスト!$K$34,IF($I94=TRUE,入力リスト!$K$35,IF(J94=FALSE,"「毎月の固定給与額」","")&amp;IF(AND(J94=FALSE,OR(K94=FALSE,L94=FALSE,M94=FALSE)),",","")&amp;IF(K94=FALSE,"「賞与額等」","")&amp;IF(AND(K94=FALSE,OR(L94=FALSE,M94=FALSE)),",","")&amp;IF(L94=FALSE,"「残業手当」","")&amp;IF(AND(L94=FALSE,M94=FALSE),",","")&amp;IF(M94=FALSE,"「残業時間」","")&amp;IF(OR(J94=FALSE,K94=FALSE,L94=FALSE,M94=FALSE),入力リスト!$K$36,"")&amp;IF(N94,"",入力リスト!$K$37)))</f>
        <v/>
      </c>
      <c r="H94" s="215"/>
      <c r="I94" s="1" t="b">
        <f>IF(B94="",FALSE,COUNTIF('従業員情報(給与以外)'!$A$4:$A$1000000,$B94)=0)</f>
        <v>0</v>
      </c>
      <c r="J94" s="8" t="b">
        <f t="shared" si="5"/>
        <v>1</v>
      </c>
      <c r="K94" s="8" t="b">
        <f t="shared" si="6"/>
        <v>1</v>
      </c>
      <c r="L94" s="8" t="b">
        <f t="shared" si="7"/>
        <v>1</v>
      </c>
      <c r="M94" s="8" t="b">
        <f t="shared" si="8"/>
        <v>1</v>
      </c>
      <c r="N94" s="1" t="b">
        <f t="shared" si="9"/>
        <v>1</v>
      </c>
      <c r="O94" s="8" t="str">
        <f>IF(F94="","",IF($F$2=入力リスト!$H$25,ROUNDDOWN(INT(F94)+ROUNDDOWN((F94-INT(F94))*100,0)/60,2),F94))</f>
        <v/>
      </c>
      <c r="P94" s="7"/>
      <c r="Q94" s="7"/>
    </row>
    <row r="95" spans="1:17">
      <c r="A95" s="105"/>
      <c r="B95" s="2"/>
      <c r="C95" s="254"/>
      <c r="D95" s="254"/>
      <c r="E95" s="254"/>
      <c r="F95" s="255"/>
      <c r="G95" s="215" t="str">
        <f>IF(AND($B95="",OR(B95&lt;&gt;"",C95&lt;&gt;"",D95&lt;&gt;"",E95&lt;&gt;"",F95&lt;&gt;"")),入力リスト!$K$34,IF($I95=TRUE,入力リスト!$K$35,IF(J95=FALSE,"「毎月の固定給与額」","")&amp;IF(AND(J95=FALSE,OR(K95=FALSE,L95=FALSE,M95=FALSE)),",","")&amp;IF(K95=FALSE,"「賞与額等」","")&amp;IF(AND(K95=FALSE,OR(L95=FALSE,M95=FALSE)),",","")&amp;IF(L95=FALSE,"「残業手当」","")&amp;IF(AND(L95=FALSE,M95=FALSE),",","")&amp;IF(M95=FALSE,"「残業時間」","")&amp;IF(OR(J95=FALSE,K95=FALSE,L95=FALSE,M95=FALSE),入力リスト!$K$36,"")&amp;IF(N95,"",入力リスト!$K$37)))</f>
        <v/>
      </c>
      <c r="H95" s="215"/>
      <c r="I95" s="1" t="b">
        <f>IF(B95="",FALSE,COUNTIF('従業員情報(給与以外)'!$A$4:$A$1000000,$B95)=0)</f>
        <v>0</v>
      </c>
      <c r="J95" s="8" t="b">
        <f t="shared" si="5"/>
        <v>1</v>
      </c>
      <c r="K95" s="8" t="b">
        <f t="shared" si="6"/>
        <v>1</v>
      </c>
      <c r="L95" s="8" t="b">
        <f t="shared" si="7"/>
        <v>1</v>
      </c>
      <c r="M95" s="8" t="b">
        <f t="shared" si="8"/>
        <v>1</v>
      </c>
      <c r="N95" s="1" t="b">
        <f t="shared" si="9"/>
        <v>1</v>
      </c>
      <c r="O95" s="8" t="str">
        <f>IF(F95="","",IF($F$2=入力リスト!$H$25,ROUNDDOWN(INT(F95)+ROUNDDOWN((F95-INT(F95))*100,0)/60,2),F95))</f>
        <v/>
      </c>
      <c r="P95" s="7"/>
      <c r="Q95" s="7"/>
    </row>
    <row r="96" spans="1:17">
      <c r="A96" s="105"/>
      <c r="B96" s="2"/>
      <c r="C96" s="254"/>
      <c r="D96" s="254"/>
      <c r="E96" s="254"/>
      <c r="F96" s="255"/>
      <c r="G96" s="215" t="str">
        <f>IF(AND($B96="",OR(B96&lt;&gt;"",C96&lt;&gt;"",D96&lt;&gt;"",E96&lt;&gt;"",F96&lt;&gt;"")),入力リスト!$K$34,IF($I96=TRUE,入力リスト!$K$35,IF(J96=FALSE,"「毎月の固定給与額」","")&amp;IF(AND(J96=FALSE,OR(K96=FALSE,L96=FALSE,M96=FALSE)),",","")&amp;IF(K96=FALSE,"「賞与額等」","")&amp;IF(AND(K96=FALSE,OR(L96=FALSE,M96=FALSE)),",","")&amp;IF(L96=FALSE,"「残業手当」","")&amp;IF(AND(L96=FALSE,M96=FALSE),",","")&amp;IF(M96=FALSE,"「残業時間」","")&amp;IF(OR(J96=FALSE,K96=FALSE,L96=FALSE,M96=FALSE),入力リスト!$K$36,"")&amp;IF(N96,"",入力リスト!$K$37)))</f>
        <v/>
      </c>
      <c r="H96" s="215"/>
      <c r="I96" s="1" t="b">
        <f>IF(B96="",FALSE,COUNTIF('従業員情報(給与以外)'!$A$4:$A$1000000,$B96)=0)</f>
        <v>0</v>
      </c>
      <c r="J96" s="8" t="b">
        <f t="shared" si="5"/>
        <v>1</v>
      </c>
      <c r="K96" s="8" t="b">
        <f t="shared" si="6"/>
        <v>1</v>
      </c>
      <c r="L96" s="8" t="b">
        <f t="shared" si="7"/>
        <v>1</v>
      </c>
      <c r="M96" s="8" t="b">
        <f t="shared" si="8"/>
        <v>1</v>
      </c>
      <c r="N96" s="1" t="b">
        <f t="shared" si="9"/>
        <v>1</v>
      </c>
      <c r="O96" s="8" t="str">
        <f>IF(F96="","",IF($F$2=入力リスト!$H$25,ROUNDDOWN(INT(F96)+ROUNDDOWN((F96-INT(F96))*100,0)/60,2),F96))</f>
        <v/>
      </c>
      <c r="P96" s="7"/>
      <c r="Q96" s="7"/>
    </row>
    <row r="97" spans="1:17">
      <c r="A97" s="105"/>
      <c r="B97" s="2"/>
      <c r="C97" s="254"/>
      <c r="D97" s="254"/>
      <c r="E97" s="254"/>
      <c r="F97" s="255"/>
      <c r="G97" s="215" t="str">
        <f>IF(AND($B97="",OR(B97&lt;&gt;"",C97&lt;&gt;"",D97&lt;&gt;"",E97&lt;&gt;"",F97&lt;&gt;"")),入力リスト!$K$34,IF($I97=TRUE,入力リスト!$K$35,IF(J97=FALSE,"「毎月の固定給与額」","")&amp;IF(AND(J97=FALSE,OR(K97=FALSE,L97=FALSE,M97=FALSE)),",","")&amp;IF(K97=FALSE,"「賞与額等」","")&amp;IF(AND(K97=FALSE,OR(L97=FALSE,M97=FALSE)),",","")&amp;IF(L97=FALSE,"「残業手当」","")&amp;IF(AND(L97=FALSE,M97=FALSE),",","")&amp;IF(M97=FALSE,"「残業時間」","")&amp;IF(OR(J97=FALSE,K97=FALSE,L97=FALSE,M97=FALSE),入力リスト!$K$36,"")&amp;IF(N97,"",入力リスト!$K$37)))</f>
        <v/>
      </c>
      <c r="H97" s="215"/>
      <c r="I97" s="1" t="b">
        <f>IF(B97="",FALSE,COUNTIF('従業員情報(給与以外)'!$A$4:$A$1000000,$B97)=0)</f>
        <v>0</v>
      </c>
      <c r="J97" s="8" t="b">
        <f t="shared" si="5"/>
        <v>1</v>
      </c>
      <c r="K97" s="8" t="b">
        <f t="shared" si="6"/>
        <v>1</v>
      </c>
      <c r="L97" s="8" t="b">
        <f t="shared" si="7"/>
        <v>1</v>
      </c>
      <c r="M97" s="8" t="b">
        <f t="shared" si="8"/>
        <v>1</v>
      </c>
      <c r="N97" s="1" t="b">
        <f t="shared" si="9"/>
        <v>1</v>
      </c>
      <c r="O97" s="8" t="str">
        <f>IF(F97="","",IF($F$2=入力リスト!$H$25,ROUNDDOWN(INT(F97)+ROUNDDOWN((F97-INT(F97))*100,0)/60,2),F97))</f>
        <v/>
      </c>
      <c r="P97" s="7"/>
      <c r="Q97" s="7"/>
    </row>
    <row r="98" spans="1:17">
      <c r="A98" s="105"/>
      <c r="B98" s="2"/>
      <c r="C98" s="254"/>
      <c r="D98" s="254"/>
      <c r="E98" s="254"/>
      <c r="F98" s="255"/>
      <c r="G98" s="215" t="str">
        <f>IF(AND($B98="",OR(B98&lt;&gt;"",C98&lt;&gt;"",D98&lt;&gt;"",E98&lt;&gt;"",F98&lt;&gt;"")),入力リスト!$K$34,IF($I98=TRUE,入力リスト!$K$35,IF(J98=FALSE,"「毎月の固定給与額」","")&amp;IF(AND(J98=FALSE,OR(K98=FALSE,L98=FALSE,M98=FALSE)),",","")&amp;IF(K98=FALSE,"「賞与額等」","")&amp;IF(AND(K98=FALSE,OR(L98=FALSE,M98=FALSE)),",","")&amp;IF(L98=FALSE,"「残業手当」","")&amp;IF(AND(L98=FALSE,M98=FALSE),",","")&amp;IF(M98=FALSE,"「残業時間」","")&amp;IF(OR(J98=FALSE,K98=FALSE,L98=FALSE,M98=FALSE),入力リスト!$K$36,"")&amp;IF(N98,"",入力リスト!$K$37)))</f>
        <v/>
      </c>
      <c r="H98" s="215"/>
      <c r="I98" s="1" t="b">
        <f>IF(B98="",FALSE,COUNTIF('従業員情報(給与以外)'!$A$4:$A$1000000,$B98)=0)</f>
        <v>0</v>
      </c>
      <c r="J98" s="8" t="b">
        <f t="shared" si="5"/>
        <v>1</v>
      </c>
      <c r="K98" s="8" t="b">
        <f t="shared" si="6"/>
        <v>1</v>
      </c>
      <c r="L98" s="8" t="b">
        <f t="shared" si="7"/>
        <v>1</v>
      </c>
      <c r="M98" s="8" t="b">
        <f t="shared" si="8"/>
        <v>1</v>
      </c>
      <c r="N98" s="1" t="b">
        <f t="shared" si="9"/>
        <v>1</v>
      </c>
      <c r="O98" s="8" t="str">
        <f>IF(F98="","",IF($F$2=入力リスト!$H$25,ROUNDDOWN(INT(F98)+ROUNDDOWN((F98-INT(F98))*100,0)/60,2),F98))</f>
        <v/>
      </c>
      <c r="P98" s="7"/>
      <c r="Q98" s="7"/>
    </row>
    <row r="99" spans="1:17">
      <c r="A99" s="105"/>
      <c r="B99" s="2"/>
      <c r="C99" s="254"/>
      <c r="D99" s="254"/>
      <c r="E99" s="254"/>
      <c r="F99" s="255"/>
      <c r="G99" s="215" t="str">
        <f>IF(AND($B99="",OR(B99&lt;&gt;"",C99&lt;&gt;"",D99&lt;&gt;"",E99&lt;&gt;"",F99&lt;&gt;"")),入力リスト!$K$34,IF($I99=TRUE,入力リスト!$K$35,IF(J99=FALSE,"「毎月の固定給与額」","")&amp;IF(AND(J99=FALSE,OR(K99=FALSE,L99=FALSE,M99=FALSE)),",","")&amp;IF(K99=FALSE,"「賞与額等」","")&amp;IF(AND(K99=FALSE,OR(L99=FALSE,M99=FALSE)),",","")&amp;IF(L99=FALSE,"「残業手当」","")&amp;IF(AND(L99=FALSE,M99=FALSE),",","")&amp;IF(M99=FALSE,"「残業時間」","")&amp;IF(OR(J99=FALSE,K99=FALSE,L99=FALSE,M99=FALSE),入力リスト!$K$36,"")&amp;IF(N99,"",入力リスト!$K$37)))</f>
        <v/>
      </c>
      <c r="H99" s="215"/>
      <c r="I99" s="1" t="b">
        <f>IF(B99="",FALSE,COUNTIF('従業員情報(給与以外)'!$A$4:$A$1000000,$B99)=0)</f>
        <v>0</v>
      </c>
      <c r="J99" s="8" t="b">
        <f t="shared" si="5"/>
        <v>1</v>
      </c>
      <c r="K99" s="8" t="b">
        <f t="shared" si="6"/>
        <v>1</v>
      </c>
      <c r="L99" s="8" t="b">
        <f t="shared" si="7"/>
        <v>1</v>
      </c>
      <c r="M99" s="8" t="b">
        <f t="shared" si="8"/>
        <v>1</v>
      </c>
      <c r="N99" s="1" t="b">
        <f t="shared" si="9"/>
        <v>1</v>
      </c>
      <c r="O99" s="8" t="str">
        <f>IF(F99="","",IF($F$2=入力リスト!$H$25,ROUNDDOWN(INT(F99)+ROUNDDOWN((F99-INT(F99))*100,0)/60,2),F99))</f>
        <v/>
      </c>
      <c r="P99" s="7"/>
      <c r="Q99" s="7"/>
    </row>
    <row r="100" spans="1:17">
      <c r="A100" s="105"/>
      <c r="B100" s="2"/>
      <c r="C100" s="254"/>
      <c r="D100" s="254"/>
      <c r="E100" s="254"/>
      <c r="F100" s="255"/>
      <c r="G100" s="215" t="str">
        <f>IF(AND($B100="",OR(B100&lt;&gt;"",C100&lt;&gt;"",D100&lt;&gt;"",E100&lt;&gt;"",F100&lt;&gt;"")),入力リスト!$K$34,IF($I100=TRUE,入力リスト!$K$35,IF(J100=FALSE,"「毎月の固定給与額」","")&amp;IF(AND(J100=FALSE,OR(K100=FALSE,L100=FALSE,M100=FALSE)),",","")&amp;IF(K100=FALSE,"「賞与額等」","")&amp;IF(AND(K100=FALSE,OR(L100=FALSE,M100=FALSE)),",","")&amp;IF(L100=FALSE,"「残業手当」","")&amp;IF(AND(L100=FALSE,M100=FALSE),",","")&amp;IF(M100=FALSE,"「残業時間」","")&amp;IF(OR(J100=FALSE,K100=FALSE,L100=FALSE,M100=FALSE),入力リスト!$K$36,"")&amp;IF(N100,"",入力リスト!$K$37)))</f>
        <v/>
      </c>
      <c r="H100" s="215"/>
      <c r="I100" s="1" t="b">
        <f>IF(B100="",FALSE,COUNTIF('従業員情報(給与以外)'!$A$4:$A$1000000,$B100)=0)</f>
        <v>0</v>
      </c>
      <c r="J100" s="8" t="b">
        <f t="shared" si="5"/>
        <v>1</v>
      </c>
      <c r="K100" s="8" t="b">
        <f t="shared" si="6"/>
        <v>1</v>
      </c>
      <c r="L100" s="8" t="b">
        <f t="shared" si="7"/>
        <v>1</v>
      </c>
      <c r="M100" s="8" t="b">
        <f t="shared" si="8"/>
        <v>1</v>
      </c>
      <c r="N100" s="1" t="b">
        <f t="shared" si="9"/>
        <v>1</v>
      </c>
      <c r="O100" s="8" t="str">
        <f>IF(F100="","",IF($F$2=入力リスト!$H$25,ROUNDDOWN(INT(F100)+ROUNDDOWN((F100-INT(F100))*100,0)/60,2),F100))</f>
        <v/>
      </c>
      <c r="P100" s="7"/>
      <c r="Q100" s="7"/>
    </row>
    <row r="101" spans="1:17">
      <c r="A101" s="105"/>
      <c r="B101" s="2"/>
      <c r="C101" s="254"/>
      <c r="D101" s="254"/>
      <c r="E101" s="254"/>
      <c r="F101" s="255"/>
      <c r="G101" s="215" t="str">
        <f>IF(AND($B101="",OR(B101&lt;&gt;"",C101&lt;&gt;"",D101&lt;&gt;"",E101&lt;&gt;"",F101&lt;&gt;"")),入力リスト!$K$34,IF($I101=TRUE,入力リスト!$K$35,IF(J101=FALSE,"「毎月の固定給与額」","")&amp;IF(AND(J101=FALSE,OR(K101=FALSE,L101=FALSE,M101=FALSE)),",","")&amp;IF(K101=FALSE,"「賞与額等」","")&amp;IF(AND(K101=FALSE,OR(L101=FALSE,M101=FALSE)),",","")&amp;IF(L101=FALSE,"「残業手当」","")&amp;IF(AND(L101=FALSE,M101=FALSE),",","")&amp;IF(M101=FALSE,"「残業時間」","")&amp;IF(OR(J101=FALSE,K101=FALSE,L101=FALSE,M101=FALSE),入力リスト!$K$36,"")&amp;IF(N101,"",入力リスト!$K$37)))</f>
        <v/>
      </c>
      <c r="H101" s="215"/>
      <c r="I101" s="1" t="b">
        <f>IF(B101="",FALSE,COUNTIF('従業員情報(給与以外)'!$A$4:$A$1000000,$B101)=0)</f>
        <v>0</v>
      </c>
      <c r="J101" s="8" t="b">
        <f t="shared" si="5"/>
        <v>1</v>
      </c>
      <c r="K101" s="8" t="b">
        <f t="shared" si="6"/>
        <v>1</v>
      </c>
      <c r="L101" s="8" t="b">
        <f t="shared" si="7"/>
        <v>1</v>
      </c>
      <c r="M101" s="8" t="b">
        <f t="shared" si="8"/>
        <v>1</v>
      </c>
      <c r="N101" s="1" t="b">
        <f t="shared" si="9"/>
        <v>1</v>
      </c>
      <c r="O101" s="8" t="str">
        <f>IF(F101="","",IF($F$2=入力リスト!$H$25,ROUNDDOWN(INT(F101)+ROUNDDOWN((F101-INT(F101))*100,0)/60,2),F101))</f>
        <v/>
      </c>
      <c r="P101" s="7"/>
      <c r="Q101" s="7"/>
    </row>
    <row r="102" spans="1:17">
      <c r="A102" s="105"/>
      <c r="B102" s="2"/>
      <c r="C102" s="254"/>
      <c r="D102" s="254"/>
      <c r="E102" s="254"/>
      <c r="F102" s="255"/>
      <c r="G102" s="215" t="str">
        <f>IF(AND($B102="",OR(B102&lt;&gt;"",C102&lt;&gt;"",D102&lt;&gt;"",E102&lt;&gt;"",F102&lt;&gt;"")),入力リスト!$K$34,IF($I102=TRUE,入力リスト!$K$35,IF(J102=FALSE,"「毎月の固定給与額」","")&amp;IF(AND(J102=FALSE,OR(K102=FALSE,L102=FALSE,M102=FALSE)),",","")&amp;IF(K102=FALSE,"「賞与額等」","")&amp;IF(AND(K102=FALSE,OR(L102=FALSE,M102=FALSE)),",","")&amp;IF(L102=FALSE,"「残業手当」","")&amp;IF(AND(L102=FALSE,M102=FALSE),",","")&amp;IF(M102=FALSE,"「残業時間」","")&amp;IF(OR(J102=FALSE,K102=FALSE,L102=FALSE,M102=FALSE),入力リスト!$K$36,"")&amp;IF(N102,"",入力リスト!$K$37)))</f>
        <v/>
      </c>
      <c r="H102" s="215"/>
      <c r="I102" s="1" t="b">
        <f>IF(B102="",FALSE,COUNTIF('従業員情報(給与以外)'!$A$4:$A$1000000,$B102)=0)</f>
        <v>0</v>
      </c>
      <c r="J102" s="8" t="b">
        <f t="shared" si="5"/>
        <v>1</v>
      </c>
      <c r="K102" s="8" t="b">
        <f t="shared" si="6"/>
        <v>1</v>
      </c>
      <c r="L102" s="8" t="b">
        <f t="shared" si="7"/>
        <v>1</v>
      </c>
      <c r="M102" s="8" t="b">
        <f t="shared" si="8"/>
        <v>1</v>
      </c>
      <c r="N102" s="1" t="b">
        <f t="shared" si="9"/>
        <v>1</v>
      </c>
      <c r="O102" s="8" t="str">
        <f>IF(F102="","",IF($F$2=入力リスト!$H$25,ROUNDDOWN(INT(F102)+ROUNDDOWN((F102-INT(F102))*100,0)/60,2),F102))</f>
        <v/>
      </c>
      <c r="P102" s="7"/>
      <c r="Q102" s="7"/>
    </row>
    <row r="103" spans="1:17">
      <c r="A103" s="105"/>
      <c r="B103" s="2"/>
      <c r="C103" s="254"/>
      <c r="D103" s="254"/>
      <c r="E103" s="254"/>
      <c r="F103" s="255"/>
      <c r="G103" s="215" t="str">
        <f>IF(AND($B103="",OR(B103&lt;&gt;"",C103&lt;&gt;"",D103&lt;&gt;"",E103&lt;&gt;"",F103&lt;&gt;"")),入力リスト!$K$34,IF($I103=TRUE,入力リスト!$K$35,IF(J103=FALSE,"「毎月の固定給与額」","")&amp;IF(AND(J103=FALSE,OR(K103=FALSE,L103=FALSE,M103=FALSE)),",","")&amp;IF(K103=FALSE,"「賞与額等」","")&amp;IF(AND(K103=FALSE,OR(L103=FALSE,M103=FALSE)),",","")&amp;IF(L103=FALSE,"「残業手当」","")&amp;IF(AND(L103=FALSE,M103=FALSE),",","")&amp;IF(M103=FALSE,"「残業時間」","")&amp;IF(OR(J103=FALSE,K103=FALSE,L103=FALSE,M103=FALSE),入力リスト!$K$36,"")&amp;IF(N103,"",入力リスト!$K$37)))</f>
        <v/>
      </c>
      <c r="H103" s="215"/>
      <c r="I103" s="1" t="b">
        <f>IF(B103="",FALSE,COUNTIF('従業員情報(給与以外)'!$A$4:$A$1000000,$B103)=0)</f>
        <v>0</v>
      </c>
      <c r="J103" s="8" t="b">
        <f t="shared" si="5"/>
        <v>1</v>
      </c>
      <c r="K103" s="8" t="b">
        <f t="shared" si="6"/>
        <v>1</v>
      </c>
      <c r="L103" s="8" t="b">
        <f t="shared" si="7"/>
        <v>1</v>
      </c>
      <c r="M103" s="8" t="b">
        <f t="shared" si="8"/>
        <v>1</v>
      </c>
      <c r="N103" s="1" t="b">
        <f t="shared" si="9"/>
        <v>1</v>
      </c>
      <c r="O103" s="8" t="str">
        <f>IF(F103="","",IF($F$2=入力リスト!$H$25,ROUNDDOWN(INT(F103)+ROUNDDOWN((F103-INT(F103))*100,0)/60,2),F103))</f>
        <v/>
      </c>
      <c r="P103" s="7"/>
      <c r="Q103" s="7"/>
    </row>
    <row r="104" spans="1:17">
      <c r="A104" s="105"/>
      <c r="B104" s="2"/>
      <c r="C104" s="254"/>
      <c r="D104" s="254"/>
      <c r="E104" s="254"/>
      <c r="F104" s="255"/>
      <c r="G104" s="215" t="str">
        <f>IF(AND($B104="",OR(B104&lt;&gt;"",C104&lt;&gt;"",D104&lt;&gt;"",E104&lt;&gt;"",F104&lt;&gt;"")),入力リスト!$K$34,IF($I104=TRUE,入力リスト!$K$35,IF(J104=FALSE,"「毎月の固定給与額」","")&amp;IF(AND(J104=FALSE,OR(K104=FALSE,L104=FALSE,M104=FALSE)),",","")&amp;IF(K104=FALSE,"「賞与額等」","")&amp;IF(AND(K104=FALSE,OR(L104=FALSE,M104=FALSE)),",","")&amp;IF(L104=FALSE,"「残業手当」","")&amp;IF(AND(L104=FALSE,M104=FALSE),",","")&amp;IF(M104=FALSE,"「残業時間」","")&amp;IF(OR(J104=FALSE,K104=FALSE,L104=FALSE,M104=FALSE),入力リスト!$K$36,"")&amp;IF(N104,"",入力リスト!$K$37)))</f>
        <v/>
      </c>
      <c r="H104" s="215"/>
      <c r="I104" s="1" t="b">
        <f>IF(B104="",FALSE,COUNTIF('従業員情報(給与以外)'!$A$4:$A$1000000,$B104)=0)</f>
        <v>0</v>
      </c>
      <c r="J104" s="8" t="b">
        <f t="shared" si="5"/>
        <v>1</v>
      </c>
      <c r="K104" s="8" t="b">
        <f t="shared" si="6"/>
        <v>1</v>
      </c>
      <c r="L104" s="8" t="b">
        <f t="shared" si="7"/>
        <v>1</v>
      </c>
      <c r="M104" s="8" t="b">
        <f t="shared" si="8"/>
        <v>1</v>
      </c>
      <c r="N104" s="1" t="b">
        <f t="shared" si="9"/>
        <v>1</v>
      </c>
      <c r="O104" s="8" t="str">
        <f>IF(F104="","",IF($F$2=入力リスト!$H$25,ROUNDDOWN(INT(F104)+ROUNDDOWN((F104-INT(F104))*100,0)/60,2),F104))</f>
        <v/>
      </c>
      <c r="P104" s="7"/>
      <c r="Q104" s="7"/>
    </row>
    <row r="105" spans="1:17">
      <c r="A105" s="105"/>
      <c r="B105" s="2"/>
      <c r="C105" s="254"/>
      <c r="D105" s="254"/>
      <c r="E105" s="254"/>
      <c r="F105" s="255"/>
      <c r="G105" s="215" t="str">
        <f>IF(AND($B105="",OR(B105&lt;&gt;"",C105&lt;&gt;"",D105&lt;&gt;"",E105&lt;&gt;"",F105&lt;&gt;"")),入力リスト!$K$34,IF($I105=TRUE,入力リスト!$K$35,IF(J105=FALSE,"「毎月の固定給与額」","")&amp;IF(AND(J105=FALSE,OR(K105=FALSE,L105=FALSE,M105=FALSE)),",","")&amp;IF(K105=FALSE,"「賞与額等」","")&amp;IF(AND(K105=FALSE,OR(L105=FALSE,M105=FALSE)),",","")&amp;IF(L105=FALSE,"「残業手当」","")&amp;IF(AND(L105=FALSE,M105=FALSE),",","")&amp;IF(M105=FALSE,"「残業時間」","")&amp;IF(OR(J105=FALSE,K105=FALSE,L105=FALSE,M105=FALSE),入力リスト!$K$36,"")&amp;IF(N105,"",入力リスト!$K$37)))</f>
        <v/>
      </c>
      <c r="H105" s="215"/>
      <c r="I105" s="1" t="b">
        <f>IF(B105="",FALSE,COUNTIF('従業員情報(給与以外)'!$A$4:$A$1000000,$B105)=0)</f>
        <v>0</v>
      </c>
      <c r="J105" s="8" t="b">
        <f t="shared" si="5"/>
        <v>1</v>
      </c>
      <c r="K105" s="8" t="b">
        <f t="shared" si="6"/>
        <v>1</v>
      </c>
      <c r="L105" s="8" t="b">
        <f t="shared" si="7"/>
        <v>1</v>
      </c>
      <c r="M105" s="8" t="b">
        <f t="shared" si="8"/>
        <v>1</v>
      </c>
      <c r="N105" s="1" t="b">
        <f t="shared" si="9"/>
        <v>1</v>
      </c>
      <c r="O105" s="8" t="str">
        <f>IF(F105="","",IF($F$2=入力リスト!$H$25,ROUNDDOWN(INT(F105)+ROUNDDOWN((F105-INT(F105))*100,0)/60,2),F105))</f>
        <v/>
      </c>
      <c r="P105" s="7"/>
      <c r="Q105" s="7"/>
    </row>
    <row r="106" spans="1:17">
      <c r="A106" s="105"/>
      <c r="B106" s="2"/>
      <c r="C106" s="254"/>
      <c r="D106" s="254"/>
      <c r="E106" s="254"/>
      <c r="F106" s="255"/>
      <c r="G106" s="215" t="str">
        <f>IF(AND($B106="",OR(B106&lt;&gt;"",C106&lt;&gt;"",D106&lt;&gt;"",E106&lt;&gt;"",F106&lt;&gt;"")),入力リスト!$K$34,IF($I106=TRUE,入力リスト!$K$35,IF(J106=FALSE,"「毎月の固定給与額」","")&amp;IF(AND(J106=FALSE,OR(K106=FALSE,L106=FALSE,M106=FALSE)),",","")&amp;IF(K106=FALSE,"「賞与額等」","")&amp;IF(AND(K106=FALSE,OR(L106=FALSE,M106=FALSE)),",","")&amp;IF(L106=FALSE,"「残業手当」","")&amp;IF(AND(L106=FALSE,M106=FALSE),",","")&amp;IF(M106=FALSE,"「残業時間」","")&amp;IF(OR(J106=FALSE,K106=FALSE,L106=FALSE,M106=FALSE),入力リスト!$K$36,"")&amp;IF(N106,"",入力リスト!$K$37)))</f>
        <v/>
      </c>
      <c r="H106" s="215"/>
      <c r="I106" s="1" t="b">
        <f>IF(B106="",FALSE,COUNTIF('従業員情報(給与以外)'!$A$4:$A$1000000,$B106)=0)</f>
        <v>0</v>
      </c>
      <c r="J106" s="8" t="b">
        <f t="shared" si="5"/>
        <v>1</v>
      </c>
      <c r="K106" s="8" t="b">
        <f t="shared" si="6"/>
        <v>1</v>
      </c>
      <c r="L106" s="8" t="b">
        <f t="shared" si="7"/>
        <v>1</v>
      </c>
      <c r="M106" s="8" t="b">
        <f t="shared" si="8"/>
        <v>1</v>
      </c>
      <c r="N106" s="1" t="b">
        <f t="shared" si="9"/>
        <v>1</v>
      </c>
      <c r="O106" s="8" t="str">
        <f>IF(F106="","",IF($F$2=入力リスト!$H$25,ROUNDDOWN(INT(F106)+ROUNDDOWN((F106-INT(F106))*100,0)/60,2),F106))</f>
        <v/>
      </c>
      <c r="P106" s="7"/>
      <c r="Q106" s="7"/>
    </row>
    <row r="107" spans="1:17">
      <c r="A107" s="105"/>
      <c r="B107" s="2"/>
      <c r="C107" s="254"/>
      <c r="D107" s="254"/>
      <c r="E107" s="254"/>
      <c r="F107" s="255"/>
      <c r="G107" s="215" t="str">
        <f>IF(AND($B107="",OR(B107&lt;&gt;"",C107&lt;&gt;"",D107&lt;&gt;"",E107&lt;&gt;"",F107&lt;&gt;"")),入力リスト!$K$34,IF($I107=TRUE,入力リスト!$K$35,IF(J107=FALSE,"「毎月の固定給与額」","")&amp;IF(AND(J107=FALSE,OR(K107=FALSE,L107=FALSE,M107=FALSE)),",","")&amp;IF(K107=FALSE,"「賞与額等」","")&amp;IF(AND(K107=FALSE,OR(L107=FALSE,M107=FALSE)),",","")&amp;IF(L107=FALSE,"「残業手当」","")&amp;IF(AND(L107=FALSE,M107=FALSE),",","")&amp;IF(M107=FALSE,"「残業時間」","")&amp;IF(OR(J107=FALSE,K107=FALSE,L107=FALSE,M107=FALSE),入力リスト!$K$36,"")&amp;IF(N107,"",入力リスト!$K$37)))</f>
        <v/>
      </c>
      <c r="H107" s="215"/>
      <c r="I107" s="1" t="b">
        <f>IF(B107="",FALSE,COUNTIF('従業員情報(給与以外)'!$A$4:$A$1000000,$B107)=0)</f>
        <v>0</v>
      </c>
      <c r="J107" s="8" t="b">
        <f t="shared" si="5"/>
        <v>1</v>
      </c>
      <c r="K107" s="8" t="b">
        <f t="shared" si="6"/>
        <v>1</v>
      </c>
      <c r="L107" s="8" t="b">
        <f t="shared" si="7"/>
        <v>1</v>
      </c>
      <c r="M107" s="8" t="b">
        <f t="shared" si="8"/>
        <v>1</v>
      </c>
      <c r="N107" s="1" t="b">
        <f t="shared" si="9"/>
        <v>1</v>
      </c>
      <c r="O107" s="8" t="str">
        <f>IF(F107="","",IF($F$2=入力リスト!$H$25,ROUNDDOWN(INT(F107)+ROUNDDOWN((F107-INT(F107))*100,0)/60,2),F107))</f>
        <v/>
      </c>
      <c r="P107" s="7"/>
      <c r="Q107" s="7"/>
    </row>
    <row r="108" spans="1:17">
      <c r="A108" s="105"/>
      <c r="B108" s="2"/>
      <c r="C108" s="254"/>
      <c r="D108" s="254"/>
      <c r="E108" s="254"/>
      <c r="F108" s="255"/>
      <c r="G108" s="215" t="str">
        <f>IF(AND($B108="",OR(B108&lt;&gt;"",C108&lt;&gt;"",D108&lt;&gt;"",E108&lt;&gt;"",F108&lt;&gt;"")),入力リスト!$K$34,IF($I108=TRUE,入力リスト!$K$35,IF(J108=FALSE,"「毎月の固定給与額」","")&amp;IF(AND(J108=FALSE,OR(K108=FALSE,L108=FALSE,M108=FALSE)),",","")&amp;IF(K108=FALSE,"「賞与額等」","")&amp;IF(AND(K108=FALSE,OR(L108=FALSE,M108=FALSE)),",","")&amp;IF(L108=FALSE,"「残業手当」","")&amp;IF(AND(L108=FALSE,M108=FALSE),",","")&amp;IF(M108=FALSE,"「残業時間」","")&amp;IF(OR(J108=FALSE,K108=FALSE,L108=FALSE,M108=FALSE),入力リスト!$K$36,"")&amp;IF(N108,"",入力リスト!$K$37)))</f>
        <v/>
      </c>
      <c r="H108" s="215"/>
      <c r="I108" s="1" t="b">
        <f>IF(B108="",FALSE,COUNTIF('従業員情報(給与以外)'!$A$4:$A$1000000,$B108)=0)</f>
        <v>0</v>
      </c>
      <c r="J108" s="8" t="b">
        <f t="shared" si="5"/>
        <v>1</v>
      </c>
      <c r="K108" s="8" t="b">
        <f t="shared" si="6"/>
        <v>1</v>
      </c>
      <c r="L108" s="8" t="b">
        <f t="shared" si="7"/>
        <v>1</v>
      </c>
      <c r="M108" s="8" t="b">
        <f t="shared" si="8"/>
        <v>1</v>
      </c>
      <c r="N108" s="1" t="b">
        <f t="shared" si="9"/>
        <v>1</v>
      </c>
      <c r="O108" s="8" t="str">
        <f>IF(F108="","",IF($F$2=入力リスト!$H$25,ROUNDDOWN(INT(F108)+ROUNDDOWN((F108-INT(F108))*100,0)/60,2),F108))</f>
        <v/>
      </c>
      <c r="P108" s="7"/>
      <c r="Q108" s="7"/>
    </row>
    <row r="109" spans="1:17">
      <c r="A109" s="105"/>
      <c r="B109" s="2"/>
      <c r="C109" s="254"/>
      <c r="D109" s="254"/>
      <c r="E109" s="254"/>
      <c r="F109" s="255"/>
      <c r="G109" s="215" t="str">
        <f>IF(AND($B109="",OR(B109&lt;&gt;"",C109&lt;&gt;"",D109&lt;&gt;"",E109&lt;&gt;"",F109&lt;&gt;"")),入力リスト!$K$34,IF($I109=TRUE,入力リスト!$K$35,IF(J109=FALSE,"「毎月の固定給与額」","")&amp;IF(AND(J109=FALSE,OR(K109=FALSE,L109=FALSE,M109=FALSE)),",","")&amp;IF(K109=FALSE,"「賞与額等」","")&amp;IF(AND(K109=FALSE,OR(L109=FALSE,M109=FALSE)),",","")&amp;IF(L109=FALSE,"「残業手当」","")&amp;IF(AND(L109=FALSE,M109=FALSE),",","")&amp;IF(M109=FALSE,"「残業時間」","")&amp;IF(OR(J109=FALSE,K109=FALSE,L109=FALSE,M109=FALSE),入力リスト!$K$36,"")&amp;IF(N109,"",入力リスト!$K$37)))</f>
        <v/>
      </c>
      <c r="H109" s="215"/>
      <c r="I109" s="1" t="b">
        <f>IF(B109="",FALSE,COUNTIF('従業員情報(給与以外)'!$A$4:$A$1000000,$B109)=0)</f>
        <v>0</v>
      </c>
      <c r="J109" s="8" t="b">
        <f t="shared" si="5"/>
        <v>1</v>
      </c>
      <c r="K109" s="8" t="b">
        <f t="shared" si="6"/>
        <v>1</v>
      </c>
      <c r="L109" s="8" t="b">
        <f t="shared" si="7"/>
        <v>1</v>
      </c>
      <c r="M109" s="8" t="b">
        <f t="shared" si="8"/>
        <v>1</v>
      </c>
      <c r="N109" s="1" t="b">
        <f t="shared" si="9"/>
        <v>1</v>
      </c>
      <c r="O109" s="8" t="str">
        <f>IF(F109="","",IF($F$2=入力リスト!$H$25,ROUNDDOWN(INT(F109)+ROUNDDOWN((F109-INT(F109))*100,0)/60,2),F109))</f>
        <v/>
      </c>
      <c r="P109" s="7"/>
      <c r="Q109" s="7"/>
    </row>
    <row r="110" spans="1:17">
      <c r="A110" s="105"/>
      <c r="B110" s="2"/>
      <c r="C110" s="254"/>
      <c r="D110" s="254"/>
      <c r="E110" s="254"/>
      <c r="F110" s="255"/>
      <c r="G110" s="215" t="str">
        <f>IF(AND($B110="",OR(B110&lt;&gt;"",C110&lt;&gt;"",D110&lt;&gt;"",E110&lt;&gt;"",F110&lt;&gt;"")),入力リスト!$K$34,IF($I110=TRUE,入力リスト!$K$35,IF(J110=FALSE,"「毎月の固定給与額」","")&amp;IF(AND(J110=FALSE,OR(K110=FALSE,L110=FALSE,M110=FALSE)),",","")&amp;IF(K110=FALSE,"「賞与額等」","")&amp;IF(AND(K110=FALSE,OR(L110=FALSE,M110=FALSE)),",","")&amp;IF(L110=FALSE,"「残業手当」","")&amp;IF(AND(L110=FALSE,M110=FALSE),",","")&amp;IF(M110=FALSE,"「残業時間」","")&amp;IF(OR(J110=FALSE,K110=FALSE,L110=FALSE,M110=FALSE),入力リスト!$K$36,"")&amp;IF(N110,"",入力リスト!$K$37)))</f>
        <v/>
      </c>
      <c r="H110" s="215"/>
      <c r="I110" s="1" t="b">
        <f>IF(B110="",FALSE,COUNTIF('従業員情報(給与以外)'!$A$4:$A$1000000,$B110)=0)</f>
        <v>0</v>
      </c>
      <c r="J110" s="8" t="b">
        <f t="shared" si="5"/>
        <v>1</v>
      </c>
      <c r="K110" s="8" t="b">
        <f t="shared" si="6"/>
        <v>1</v>
      </c>
      <c r="L110" s="8" t="b">
        <f t="shared" si="7"/>
        <v>1</v>
      </c>
      <c r="M110" s="8" t="b">
        <f t="shared" si="8"/>
        <v>1</v>
      </c>
      <c r="N110" s="1" t="b">
        <f t="shared" si="9"/>
        <v>1</v>
      </c>
      <c r="O110" s="8" t="str">
        <f>IF(F110="","",IF($F$2=入力リスト!$H$25,ROUNDDOWN(INT(F110)+ROUNDDOWN((F110-INT(F110))*100,0)/60,2),F110))</f>
        <v/>
      </c>
      <c r="P110" s="7"/>
      <c r="Q110" s="7"/>
    </row>
    <row r="111" spans="1:17">
      <c r="A111" s="105"/>
      <c r="B111" s="2"/>
      <c r="C111" s="254"/>
      <c r="D111" s="254"/>
      <c r="E111" s="254"/>
      <c r="F111" s="255"/>
      <c r="G111" s="215" t="str">
        <f>IF(AND($B111="",OR(B111&lt;&gt;"",C111&lt;&gt;"",D111&lt;&gt;"",E111&lt;&gt;"",F111&lt;&gt;"")),入力リスト!$K$34,IF($I111=TRUE,入力リスト!$K$35,IF(J111=FALSE,"「毎月の固定給与額」","")&amp;IF(AND(J111=FALSE,OR(K111=FALSE,L111=FALSE,M111=FALSE)),",","")&amp;IF(K111=FALSE,"「賞与額等」","")&amp;IF(AND(K111=FALSE,OR(L111=FALSE,M111=FALSE)),",","")&amp;IF(L111=FALSE,"「残業手当」","")&amp;IF(AND(L111=FALSE,M111=FALSE),",","")&amp;IF(M111=FALSE,"「残業時間」","")&amp;IF(OR(J111=FALSE,K111=FALSE,L111=FALSE,M111=FALSE),入力リスト!$K$36,"")&amp;IF(N111,"",入力リスト!$K$37)))</f>
        <v/>
      </c>
      <c r="H111" s="215"/>
      <c r="I111" s="1" t="b">
        <f>IF(B111="",FALSE,COUNTIF('従業員情報(給与以外)'!$A$4:$A$1000000,$B111)=0)</f>
        <v>0</v>
      </c>
      <c r="J111" s="8" t="b">
        <f t="shared" si="5"/>
        <v>1</v>
      </c>
      <c r="K111" s="8" t="b">
        <f t="shared" si="6"/>
        <v>1</v>
      </c>
      <c r="L111" s="8" t="b">
        <f t="shared" si="7"/>
        <v>1</v>
      </c>
      <c r="M111" s="8" t="b">
        <f t="shared" si="8"/>
        <v>1</v>
      </c>
      <c r="N111" s="1" t="b">
        <f t="shared" si="9"/>
        <v>1</v>
      </c>
      <c r="O111" s="8" t="str">
        <f>IF(F111="","",IF($F$2=入力リスト!$H$25,ROUNDDOWN(INT(F111)+ROUNDDOWN((F111-INT(F111))*100,0)/60,2),F111))</f>
        <v/>
      </c>
      <c r="P111" s="7"/>
      <c r="Q111" s="7"/>
    </row>
    <row r="112" spans="1:17">
      <c r="A112" s="105"/>
      <c r="B112" s="2"/>
      <c r="C112" s="254"/>
      <c r="D112" s="254"/>
      <c r="E112" s="254"/>
      <c r="F112" s="255"/>
      <c r="G112" s="215" t="str">
        <f>IF(AND($B112="",OR(B112&lt;&gt;"",C112&lt;&gt;"",D112&lt;&gt;"",E112&lt;&gt;"",F112&lt;&gt;"")),入力リスト!$K$34,IF($I112=TRUE,入力リスト!$K$35,IF(J112=FALSE,"「毎月の固定給与額」","")&amp;IF(AND(J112=FALSE,OR(K112=FALSE,L112=FALSE,M112=FALSE)),",","")&amp;IF(K112=FALSE,"「賞与額等」","")&amp;IF(AND(K112=FALSE,OR(L112=FALSE,M112=FALSE)),",","")&amp;IF(L112=FALSE,"「残業手当」","")&amp;IF(AND(L112=FALSE,M112=FALSE),",","")&amp;IF(M112=FALSE,"「残業時間」","")&amp;IF(OR(J112=FALSE,K112=FALSE,L112=FALSE,M112=FALSE),入力リスト!$K$36,"")&amp;IF(N112,"",入力リスト!$K$37)))</f>
        <v/>
      </c>
      <c r="H112" s="215"/>
      <c r="I112" s="1" t="b">
        <f>IF(B112="",FALSE,COUNTIF('従業員情報(給与以外)'!$A$4:$A$1000000,$B112)=0)</f>
        <v>0</v>
      </c>
      <c r="J112" s="8" t="b">
        <f t="shared" si="5"/>
        <v>1</v>
      </c>
      <c r="K112" s="8" t="b">
        <f t="shared" si="6"/>
        <v>1</v>
      </c>
      <c r="L112" s="8" t="b">
        <f t="shared" si="7"/>
        <v>1</v>
      </c>
      <c r="M112" s="8" t="b">
        <f t="shared" si="8"/>
        <v>1</v>
      </c>
      <c r="N112" s="1" t="b">
        <f t="shared" si="9"/>
        <v>1</v>
      </c>
      <c r="O112" s="8" t="str">
        <f>IF(F112="","",IF($F$2=入力リスト!$H$25,ROUNDDOWN(INT(F112)+ROUNDDOWN((F112-INT(F112))*100,0)/60,2),F112))</f>
        <v/>
      </c>
      <c r="P112" s="7"/>
      <c r="Q112" s="7"/>
    </row>
    <row r="113" spans="1:17">
      <c r="A113" s="105"/>
      <c r="B113" s="2"/>
      <c r="C113" s="254"/>
      <c r="D113" s="254"/>
      <c r="E113" s="254"/>
      <c r="F113" s="255"/>
      <c r="G113" s="215" t="str">
        <f>IF(AND($B113="",OR(B113&lt;&gt;"",C113&lt;&gt;"",D113&lt;&gt;"",E113&lt;&gt;"",F113&lt;&gt;"")),入力リスト!$K$34,IF($I113=TRUE,入力リスト!$K$35,IF(J113=FALSE,"「毎月の固定給与額」","")&amp;IF(AND(J113=FALSE,OR(K113=FALSE,L113=FALSE,M113=FALSE)),",","")&amp;IF(K113=FALSE,"「賞与額等」","")&amp;IF(AND(K113=FALSE,OR(L113=FALSE,M113=FALSE)),",","")&amp;IF(L113=FALSE,"「残業手当」","")&amp;IF(AND(L113=FALSE,M113=FALSE),",","")&amp;IF(M113=FALSE,"「残業時間」","")&amp;IF(OR(J113=FALSE,K113=FALSE,L113=FALSE,M113=FALSE),入力リスト!$K$36,"")&amp;IF(N113,"",入力リスト!$K$37)))</f>
        <v/>
      </c>
      <c r="H113" s="215"/>
      <c r="I113" s="1" t="b">
        <f>IF(B113="",FALSE,COUNTIF('従業員情報(給与以外)'!$A$4:$A$1000000,$B113)=0)</f>
        <v>0</v>
      </c>
      <c r="J113" s="8" t="b">
        <f t="shared" si="5"/>
        <v>1</v>
      </c>
      <c r="K113" s="8" t="b">
        <f t="shared" si="6"/>
        <v>1</v>
      </c>
      <c r="L113" s="8" t="b">
        <f t="shared" si="7"/>
        <v>1</v>
      </c>
      <c r="M113" s="8" t="b">
        <f t="shared" si="8"/>
        <v>1</v>
      </c>
      <c r="N113" s="1" t="b">
        <f t="shared" si="9"/>
        <v>1</v>
      </c>
      <c r="O113" s="8" t="str">
        <f>IF(F113="","",IF($F$2=入力リスト!$H$25,ROUNDDOWN(INT(F113)+ROUNDDOWN((F113-INT(F113))*100,0)/60,2),F113))</f>
        <v/>
      </c>
      <c r="P113" s="7"/>
      <c r="Q113" s="7"/>
    </row>
    <row r="114" spans="1:17">
      <c r="A114" s="105"/>
      <c r="B114" s="2"/>
      <c r="C114" s="254"/>
      <c r="D114" s="254"/>
      <c r="E114" s="254"/>
      <c r="F114" s="255"/>
      <c r="G114" s="215" t="str">
        <f>IF(AND($B114="",OR(B114&lt;&gt;"",C114&lt;&gt;"",D114&lt;&gt;"",E114&lt;&gt;"",F114&lt;&gt;"")),入力リスト!$K$34,IF($I114=TRUE,入力リスト!$K$35,IF(J114=FALSE,"「毎月の固定給与額」","")&amp;IF(AND(J114=FALSE,OR(K114=FALSE,L114=FALSE,M114=FALSE)),",","")&amp;IF(K114=FALSE,"「賞与額等」","")&amp;IF(AND(K114=FALSE,OR(L114=FALSE,M114=FALSE)),",","")&amp;IF(L114=FALSE,"「残業手当」","")&amp;IF(AND(L114=FALSE,M114=FALSE),",","")&amp;IF(M114=FALSE,"「残業時間」","")&amp;IF(OR(J114=FALSE,K114=FALSE,L114=FALSE,M114=FALSE),入力リスト!$K$36,"")&amp;IF(N114,"",入力リスト!$K$37)))</f>
        <v/>
      </c>
      <c r="H114" s="215"/>
      <c r="I114" s="1" t="b">
        <f>IF(B114="",FALSE,COUNTIF('従業員情報(給与以外)'!$A$4:$A$1000000,$B114)=0)</f>
        <v>0</v>
      </c>
      <c r="J114" s="8" t="b">
        <f t="shared" si="5"/>
        <v>1</v>
      </c>
      <c r="K114" s="8" t="b">
        <f t="shared" si="6"/>
        <v>1</v>
      </c>
      <c r="L114" s="8" t="b">
        <f t="shared" si="7"/>
        <v>1</v>
      </c>
      <c r="M114" s="8" t="b">
        <f t="shared" si="8"/>
        <v>1</v>
      </c>
      <c r="N114" s="1" t="b">
        <f t="shared" si="9"/>
        <v>1</v>
      </c>
      <c r="O114" s="8" t="str">
        <f>IF(F114="","",IF($F$2=入力リスト!$H$25,ROUNDDOWN(INT(F114)+ROUNDDOWN((F114-INT(F114))*100,0)/60,2),F114))</f>
        <v/>
      </c>
      <c r="P114" s="7"/>
      <c r="Q114" s="7"/>
    </row>
    <row r="115" spans="1:17">
      <c r="A115" s="105"/>
      <c r="B115" s="2"/>
      <c r="C115" s="254"/>
      <c r="D115" s="254"/>
      <c r="E115" s="254"/>
      <c r="F115" s="255"/>
      <c r="G115" s="215" t="str">
        <f>IF(AND($B115="",OR(B115&lt;&gt;"",C115&lt;&gt;"",D115&lt;&gt;"",E115&lt;&gt;"",F115&lt;&gt;"")),入力リスト!$K$34,IF($I115=TRUE,入力リスト!$K$35,IF(J115=FALSE,"「毎月の固定給与額」","")&amp;IF(AND(J115=FALSE,OR(K115=FALSE,L115=FALSE,M115=FALSE)),",","")&amp;IF(K115=FALSE,"「賞与額等」","")&amp;IF(AND(K115=FALSE,OR(L115=FALSE,M115=FALSE)),",","")&amp;IF(L115=FALSE,"「残業手当」","")&amp;IF(AND(L115=FALSE,M115=FALSE),",","")&amp;IF(M115=FALSE,"「残業時間」","")&amp;IF(OR(J115=FALSE,K115=FALSE,L115=FALSE,M115=FALSE),入力リスト!$K$36,"")&amp;IF(N115,"",入力リスト!$K$37)))</f>
        <v/>
      </c>
      <c r="H115" s="215"/>
      <c r="I115" s="1" t="b">
        <f>IF(B115="",FALSE,COUNTIF('従業員情報(給与以外)'!$A$4:$A$1000000,$B115)=0)</f>
        <v>0</v>
      </c>
      <c r="J115" s="8" t="b">
        <f t="shared" si="5"/>
        <v>1</v>
      </c>
      <c r="K115" s="8" t="b">
        <f t="shared" si="6"/>
        <v>1</v>
      </c>
      <c r="L115" s="8" t="b">
        <f t="shared" si="7"/>
        <v>1</v>
      </c>
      <c r="M115" s="8" t="b">
        <f t="shared" si="8"/>
        <v>1</v>
      </c>
      <c r="N115" s="1" t="b">
        <f t="shared" si="9"/>
        <v>1</v>
      </c>
      <c r="O115" s="8" t="str">
        <f>IF(F115="","",IF($F$2=入力リスト!$H$25,ROUNDDOWN(INT(F115)+ROUNDDOWN((F115-INT(F115))*100,0)/60,2),F115))</f>
        <v/>
      </c>
      <c r="P115" s="7"/>
      <c r="Q115" s="7"/>
    </row>
    <row r="116" spans="1:17">
      <c r="A116" s="105"/>
      <c r="B116" s="2"/>
      <c r="C116" s="254"/>
      <c r="D116" s="254"/>
      <c r="E116" s="254"/>
      <c r="F116" s="255"/>
      <c r="G116" s="215" t="str">
        <f>IF(AND($B116="",OR(B116&lt;&gt;"",C116&lt;&gt;"",D116&lt;&gt;"",E116&lt;&gt;"",F116&lt;&gt;"")),入力リスト!$K$34,IF($I116=TRUE,入力リスト!$K$35,IF(J116=FALSE,"「毎月の固定給与額」","")&amp;IF(AND(J116=FALSE,OR(K116=FALSE,L116=FALSE,M116=FALSE)),",","")&amp;IF(K116=FALSE,"「賞与額等」","")&amp;IF(AND(K116=FALSE,OR(L116=FALSE,M116=FALSE)),",","")&amp;IF(L116=FALSE,"「残業手当」","")&amp;IF(AND(L116=FALSE,M116=FALSE),",","")&amp;IF(M116=FALSE,"「残業時間」","")&amp;IF(OR(J116=FALSE,K116=FALSE,L116=FALSE,M116=FALSE),入力リスト!$K$36,"")&amp;IF(N116,"",入力リスト!$K$37)))</f>
        <v/>
      </c>
      <c r="H116" s="215"/>
      <c r="I116" s="1" t="b">
        <f>IF(B116="",FALSE,COUNTIF('従業員情報(給与以外)'!$A$4:$A$1000000,$B116)=0)</f>
        <v>0</v>
      </c>
      <c r="J116" s="8" t="b">
        <f t="shared" si="5"/>
        <v>1</v>
      </c>
      <c r="K116" s="8" t="b">
        <f t="shared" si="6"/>
        <v>1</v>
      </c>
      <c r="L116" s="8" t="b">
        <f t="shared" si="7"/>
        <v>1</v>
      </c>
      <c r="M116" s="8" t="b">
        <f t="shared" si="8"/>
        <v>1</v>
      </c>
      <c r="N116" s="1" t="b">
        <f t="shared" si="9"/>
        <v>1</v>
      </c>
      <c r="O116" s="8" t="str">
        <f>IF(F116="","",IF($F$2=入力リスト!$H$25,ROUNDDOWN(INT(F116)+ROUNDDOWN((F116-INT(F116))*100,0)/60,2),F116))</f>
        <v/>
      </c>
      <c r="P116" s="7"/>
      <c r="Q116" s="7"/>
    </row>
    <row r="117" spans="1:17">
      <c r="A117" s="105"/>
      <c r="B117" s="2"/>
      <c r="C117" s="254"/>
      <c r="D117" s="254"/>
      <c r="E117" s="254"/>
      <c r="F117" s="255"/>
      <c r="G117" s="215" t="str">
        <f>IF(AND($B117="",OR(B117&lt;&gt;"",C117&lt;&gt;"",D117&lt;&gt;"",E117&lt;&gt;"",F117&lt;&gt;"")),入力リスト!$K$34,IF($I117=TRUE,入力リスト!$K$35,IF(J117=FALSE,"「毎月の固定給与額」","")&amp;IF(AND(J117=FALSE,OR(K117=FALSE,L117=FALSE,M117=FALSE)),",","")&amp;IF(K117=FALSE,"「賞与額等」","")&amp;IF(AND(K117=FALSE,OR(L117=FALSE,M117=FALSE)),",","")&amp;IF(L117=FALSE,"「残業手当」","")&amp;IF(AND(L117=FALSE,M117=FALSE),",","")&amp;IF(M117=FALSE,"「残業時間」","")&amp;IF(OR(J117=FALSE,K117=FALSE,L117=FALSE,M117=FALSE),入力リスト!$K$36,"")&amp;IF(N117,"",入力リスト!$K$37)))</f>
        <v/>
      </c>
      <c r="H117" s="215"/>
      <c r="I117" s="1" t="b">
        <f>IF(B117="",FALSE,COUNTIF('従業員情報(給与以外)'!$A$4:$A$1000000,$B117)=0)</f>
        <v>0</v>
      </c>
      <c r="J117" s="8" t="b">
        <f t="shared" si="5"/>
        <v>1</v>
      </c>
      <c r="K117" s="8" t="b">
        <f t="shared" si="6"/>
        <v>1</v>
      </c>
      <c r="L117" s="8" t="b">
        <f t="shared" si="7"/>
        <v>1</v>
      </c>
      <c r="M117" s="8" t="b">
        <f t="shared" si="8"/>
        <v>1</v>
      </c>
      <c r="N117" s="1" t="b">
        <f t="shared" si="9"/>
        <v>1</v>
      </c>
      <c r="O117" s="8" t="str">
        <f>IF(F117="","",IF($F$2=入力リスト!$H$25,ROUNDDOWN(INT(F117)+ROUNDDOWN((F117-INT(F117))*100,0)/60,2),F117))</f>
        <v/>
      </c>
      <c r="P117" s="7"/>
      <c r="Q117" s="7"/>
    </row>
    <row r="118" spans="1:17">
      <c r="A118" s="105"/>
      <c r="B118" s="2"/>
      <c r="C118" s="254"/>
      <c r="D118" s="254"/>
      <c r="E118" s="254"/>
      <c r="F118" s="255"/>
      <c r="G118" s="215" t="str">
        <f>IF(AND($B118="",OR(B118&lt;&gt;"",C118&lt;&gt;"",D118&lt;&gt;"",E118&lt;&gt;"",F118&lt;&gt;"")),入力リスト!$K$34,IF($I118=TRUE,入力リスト!$K$35,IF(J118=FALSE,"「毎月の固定給与額」","")&amp;IF(AND(J118=FALSE,OR(K118=FALSE,L118=FALSE,M118=FALSE)),",","")&amp;IF(K118=FALSE,"「賞与額等」","")&amp;IF(AND(K118=FALSE,OR(L118=FALSE,M118=FALSE)),",","")&amp;IF(L118=FALSE,"「残業手当」","")&amp;IF(AND(L118=FALSE,M118=FALSE),",","")&amp;IF(M118=FALSE,"「残業時間」","")&amp;IF(OR(J118=FALSE,K118=FALSE,L118=FALSE,M118=FALSE),入力リスト!$K$36,"")&amp;IF(N118,"",入力リスト!$K$37)))</f>
        <v/>
      </c>
      <c r="H118" s="215"/>
      <c r="I118" s="1" t="b">
        <f>IF(B118="",FALSE,COUNTIF('従業員情報(給与以外)'!$A$4:$A$1000000,$B118)=0)</f>
        <v>0</v>
      </c>
      <c r="J118" s="8" t="b">
        <f t="shared" si="5"/>
        <v>1</v>
      </c>
      <c r="K118" s="8" t="b">
        <f t="shared" si="6"/>
        <v>1</v>
      </c>
      <c r="L118" s="8" t="b">
        <f t="shared" si="7"/>
        <v>1</v>
      </c>
      <c r="M118" s="8" t="b">
        <f t="shared" si="8"/>
        <v>1</v>
      </c>
      <c r="N118" s="1" t="b">
        <f t="shared" si="9"/>
        <v>1</v>
      </c>
      <c r="O118" s="8" t="str">
        <f>IF(F118="","",IF($F$2=入力リスト!$H$25,ROUNDDOWN(INT(F118)+ROUNDDOWN((F118-INT(F118))*100,0)/60,2),F118))</f>
        <v/>
      </c>
      <c r="P118" s="7"/>
      <c r="Q118" s="7"/>
    </row>
    <row r="119" spans="1:17">
      <c r="A119" s="105"/>
      <c r="B119" s="2"/>
      <c r="C119" s="254"/>
      <c r="D119" s="254"/>
      <c r="E119" s="254"/>
      <c r="F119" s="255"/>
      <c r="G119" s="215" t="str">
        <f>IF(AND($B119="",OR(B119&lt;&gt;"",C119&lt;&gt;"",D119&lt;&gt;"",E119&lt;&gt;"",F119&lt;&gt;"")),入力リスト!$K$34,IF($I119=TRUE,入力リスト!$K$35,IF(J119=FALSE,"「毎月の固定給与額」","")&amp;IF(AND(J119=FALSE,OR(K119=FALSE,L119=FALSE,M119=FALSE)),",","")&amp;IF(K119=FALSE,"「賞与額等」","")&amp;IF(AND(K119=FALSE,OR(L119=FALSE,M119=FALSE)),",","")&amp;IF(L119=FALSE,"「残業手当」","")&amp;IF(AND(L119=FALSE,M119=FALSE),",","")&amp;IF(M119=FALSE,"「残業時間」","")&amp;IF(OR(J119=FALSE,K119=FALSE,L119=FALSE,M119=FALSE),入力リスト!$K$36,"")&amp;IF(N119,"",入力リスト!$K$37)))</f>
        <v/>
      </c>
      <c r="H119" s="215"/>
      <c r="I119" s="1" t="b">
        <f>IF(B119="",FALSE,COUNTIF('従業員情報(給与以外)'!$A$4:$A$1000000,$B119)=0)</f>
        <v>0</v>
      </c>
      <c r="J119" s="8" t="b">
        <f t="shared" si="5"/>
        <v>1</v>
      </c>
      <c r="K119" s="8" t="b">
        <f t="shared" si="6"/>
        <v>1</v>
      </c>
      <c r="L119" s="8" t="b">
        <f t="shared" si="7"/>
        <v>1</v>
      </c>
      <c r="M119" s="8" t="b">
        <f t="shared" si="8"/>
        <v>1</v>
      </c>
      <c r="N119" s="1" t="b">
        <f t="shared" si="9"/>
        <v>1</v>
      </c>
      <c r="O119" s="8" t="str">
        <f>IF(F119="","",IF($F$2=入力リスト!$H$25,ROUNDDOWN(INT(F119)+ROUNDDOWN((F119-INT(F119))*100,0)/60,2),F119))</f>
        <v/>
      </c>
      <c r="P119" s="7"/>
      <c r="Q119" s="7"/>
    </row>
    <row r="120" spans="1:17">
      <c r="A120" s="105"/>
      <c r="B120" s="2"/>
      <c r="C120" s="254"/>
      <c r="D120" s="254"/>
      <c r="E120" s="254"/>
      <c r="F120" s="255"/>
      <c r="G120" s="215" t="str">
        <f>IF(AND($B120="",OR(B120&lt;&gt;"",C120&lt;&gt;"",D120&lt;&gt;"",E120&lt;&gt;"",F120&lt;&gt;"")),入力リスト!$K$34,IF($I120=TRUE,入力リスト!$K$35,IF(J120=FALSE,"「毎月の固定給与額」","")&amp;IF(AND(J120=FALSE,OR(K120=FALSE,L120=FALSE,M120=FALSE)),",","")&amp;IF(K120=FALSE,"「賞与額等」","")&amp;IF(AND(K120=FALSE,OR(L120=FALSE,M120=FALSE)),",","")&amp;IF(L120=FALSE,"「残業手当」","")&amp;IF(AND(L120=FALSE,M120=FALSE),",","")&amp;IF(M120=FALSE,"「残業時間」","")&amp;IF(OR(J120=FALSE,K120=FALSE,L120=FALSE,M120=FALSE),入力リスト!$K$36,"")&amp;IF(N120,"",入力リスト!$K$37)))</f>
        <v/>
      </c>
      <c r="H120" s="215"/>
      <c r="I120" s="1" t="b">
        <f>IF(B120="",FALSE,COUNTIF('従業員情報(給与以外)'!$A$4:$A$1000000,$B120)=0)</f>
        <v>0</v>
      </c>
      <c r="J120" s="8" t="b">
        <f t="shared" si="5"/>
        <v>1</v>
      </c>
      <c r="K120" s="8" t="b">
        <f t="shared" si="6"/>
        <v>1</v>
      </c>
      <c r="L120" s="8" t="b">
        <f t="shared" si="7"/>
        <v>1</v>
      </c>
      <c r="M120" s="8" t="b">
        <f t="shared" si="8"/>
        <v>1</v>
      </c>
      <c r="N120" s="1" t="b">
        <f t="shared" si="9"/>
        <v>1</v>
      </c>
      <c r="O120" s="8" t="str">
        <f>IF(F120="","",IF($F$2=入力リスト!$H$25,ROUNDDOWN(INT(F120)+ROUNDDOWN((F120-INT(F120))*100,0)/60,2),F120))</f>
        <v/>
      </c>
      <c r="P120" s="7"/>
      <c r="Q120" s="7"/>
    </row>
    <row r="121" spans="1:17">
      <c r="A121" s="105"/>
      <c r="B121" s="2"/>
      <c r="C121" s="254"/>
      <c r="D121" s="254"/>
      <c r="E121" s="254"/>
      <c r="F121" s="255"/>
      <c r="G121" s="215" t="str">
        <f>IF(AND($B121="",OR(B121&lt;&gt;"",C121&lt;&gt;"",D121&lt;&gt;"",E121&lt;&gt;"",F121&lt;&gt;"")),入力リスト!$K$34,IF($I121=TRUE,入力リスト!$K$35,IF(J121=FALSE,"「毎月の固定給与額」","")&amp;IF(AND(J121=FALSE,OR(K121=FALSE,L121=FALSE,M121=FALSE)),",","")&amp;IF(K121=FALSE,"「賞与額等」","")&amp;IF(AND(K121=FALSE,OR(L121=FALSE,M121=FALSE)),",","")&amp;IF(L121=FALSE,"「残業手当」","")&amp;IF(AND(L121=FALSE,M121=FALSE),",","")&amp;IF(M121=FALSE,"「残業時間」","")&amp;IF(OR(J121=FALSE,K121=FALSE,L121=FALSE,M121=FALSE),入力リスト!$K$36,"")&amp;IF(N121,"",入力リスト!$K$37)))</f>
        <v/>
      </c>
      <c r="H121" s="215"/>
      <c r="I121" s="1" t="b">
        <f>IF(B121="",FALSE,COUNTIF('従業員情報(給与以外)'!$A$4:$A$1000000,$B121)=0)</f>
        <v>0</v>
      </c>
      <c r="J121" s="8" t="b">
        <f t="shared" si="5"/>
        <v>1</v>
      </c>
      <c r="K121" s="8" t="b">
        <f t="shared" si="6"/>
        <v>1</v>
      </c>
      <c r="L121" s="8" t="b">
        <f t="shared" si="7"/>
        <v>1</v>
      </c>
      <c r="M121" s="8" t="b">
        <f t="shared" si="8"/>
        <v>1</v>
      </c>
      <c r="N121" s="1" t="b">
        <f t="shared" si="9"/>
        <v>1</v>
      </c>
      <c r="O121" s="8" t="str">
        <f>IF(F121="","",IF($F$2=入力リスト!$H$25,ROUNDDOWN(INT(F121)+ROUNDDOWN((F121-INT(F121))*100,0)/60,2),F121))</f>
        <v/>
      </c>
      <c r="P121" s="7"/>
      <c r="Q121" s="7"/>
    </row>
    <row r="122" spans="1:17">
      <c r="A122" s="105"/>
      <c r="B122" s="2"/>
      <c r="C122" s="254"/>
      <c r="D122" s="254"/>
      <c r="E122" s="254"/>
      <c r="F122" s="255"/>
      <c r="G122" s="215" t="str">
        <f>IF(AND($B122="",OR(B122&lt;&gt;"",C122&lt;&gt;"",D122&lt;&gt;"",E122&lt;&gt;"",F122&lt;&gt;"")),入力リスト!$K$34,IF($I122=TRUE,入力リスト!$K$35,IF(J122=FALSE,"「毎月の固定給与額」","")&amp;IF(AND(J122=FALSE,OR(K122=FALSE,L122=FALSE,M122=FALSE)),",","")&amp;IF(K122=FALSE,"「賞与額等」","")&amp;IF(AND(K122=FALSE,OR(L122=FALSE,M122=FALSE)),",","")&amp;IF(L122=FALSE,"「残業手当」","")&amp;IF(AND(L122=FALSE,M122=FALSE),",","")&amp;IF(M122=FALSE,"「残業時間」","")&amp;IF(OR(J122=FALSE,K122=FALSE,L122=FALSE,M122=FALSE),入力リスト!$K$36,"")&amp;IF(N122,"",入力リスト!$K$37)))</f>
        <v/>
      </c>
      <c r="H122" s="215"/>
      <c r="I122" s="1" t="b">
        <f>IF(B122="",FALSE,COUNTIF('従業員情報(給与以外)'!$A$4:$A$1000000,$B122)=0)</f>
        <v>0</v>
      </c>
      <c r="J122" s="8" t="b">
        <f t="shared" si="5"/>
        <v>1</v>
      </c>
      <c r="K122" s="8" t="b">
        <f t="shared" si="6"/>
        <v>1</v>
      </c>
      <c r="L122" s="8" t="b">
        <f t="shared" si="7"/>
        <v>1</v>
      </c>
      <c r="M122" s="8" t="b">
        <f t="shared" si="8"/>
        <v>1</v>
      </c>
      <c r="N122" s="1" t="b">
        <f t="shared" si="9"/>
        <v>1</v>
      </c>
      <c r="O122" s="8" t="str">
        <f>IF(F122="","",IF($F$2=入力リスト!$H$25,ROUNDDOWN(INT(F122)+ROUNDDOWN((F122-INT(F122))*100,0)/60,2),F122))</f>
        <v/>
      </c>
      <c r="P122" s="7"/>
      <c r="Q122" s="7"/>
    </row>
    <row r="123" spans="1:17">
      <c r="A123" s="105"/>
      <c r="B123" s="2"/>
      <c r="C123" s="254"/>
      <c r="D123" s="254"/>
      <c r="E123" s="254"/>
      <c r="F123" s="255"/>
      <c r="G123" s="215" t="str">
        <f>IF(AND($B123="",OR(B123&lt;&gt;"",C123&lt;&gt;"",D123&lt;&gt;"",E123&lt;&gt;"",F123&lt;&gt;"")),入力リスト!$K$34,IF($I123=TRUE,入力リスト!$K$35,IF(J123=FALSE,"「毎月の固定給与額」","")&amp;IF(AND(J123=FALSE,OR(K123=FALSE,L123=FALSE,M123=FALSE)),",","")&amp;IF(K123=FALSE,"「賞与額等」","")&amp;IF(AND(K123=FALSE,OR(L123=FALSE,M123=FALSE)),",","")&amp;IF(L123=FALSE,"「残業手当」","")&amp;IF(AND(L123=FALSE,M123=FALSE),",","")&amp;IF(M123=FALSE,"「残業時間」","")&amp;IF(OR(J123=FALSE,K123=FALSE,L123=FALSE,M123=FALSE),入力リスト!$K$36,"")&amp;IF(N123,"",入力リスト!$K$37)))</f>
        <v/>
      </c>
      <c r="H123" s="215"/>
      <c r="I123" s="1" t="b">
        <f>IF(B123="",FALSE,COUNTIF('従業員情報(給与以外)'!$A$4:$A$1000000,$B123)=0)</f>
        <v>0</v>
      </c>
      <c r="J123" s="8" t="b">
        <f t="shared" si="5"/>
        <v>1</v>
      </c>
      <c r="K123" s="8" t="b">
        <f t="shared" si="6"/>
        <v>1</v>
      </c>
      <c r="L123" s="8" t="b">
        <f t="shared" si="7"/>
        <v>1</v>
      </c>
      <c r="M123" s="8" t="b">
        <f t="shared" si="8"/>
        <v>1</v>
      </c>
      <c r="N123" s="1" t="b">
        <f t="shared" si="9"/>
        <v>1</v>
      </c>
      <c r="O123" s="8" t="str">
        <f>IF(F123="","",IF($F$2=入力リスト!$H$25,ROUNDDOWN(INT(F123)+ROUNDDOWN((F123-INT(F123))*100,0)/60,2),F123))</f>
        <v/>
      </c>
      <c r="P123" s="7"/>
      <c r="Q123" s="7"/>
    </row>
    <row r="124" spans="1:17">
      <c r="A124" s="105"/>
      <c r="B124" s="2"/>
      <c r="C124" s="254"/>
      <c r="D124" s="254"/>
      <c r="E124" s="254"/>
      <c r="F124" s="255"/>
      <c r="G124" s="215" t="str">
        <f>IF(AND($B124="",OR(B124&lt;&gt;"",C124&lt;&gt;"",D124&lt;&gt;"",E124&lt;&gt;"",F124&lt;&gt;"")),入力リスト!$K$34,IF($I124=TRUE,入力リスト!$K$35,IF(J124=FALSE,"「毎月の固定給与額」","")&amp;IF(AND(J124=FALSE,OR(K124=FALSE,L124=FALSE,M124=FALSE)),",","")&amp;IF(K124=FALSE,"「賞与額等」","")&amp;IF(AND(K124=FALSE,OR(L124=FALSE,M124=FALSE)),",","")&amp;IF(L124=FALSE,"「残業手当」","")&amp;IF(AND(L124=FALSE,M124=FALSE),",","")&amp;IF(M124=FALSE,"「残業時間」","")&amp;IF(OR(J124=FALSE,K124=FALSE,L124=FALSE,M124=FALSE),入力リスト!$K$36,"")&amp;IF(N124,"",入力リスト!$K$37)))</f>
        <v/>
      </c>
      <c r="H124" s="215"/>
      <c r="I124" s="1" t="b">
        <f>IF(B124="",FALSE,COUNTIF('従業員情報(給与以外)'!$A$4:$A$1000000,$B124)=0)</f>
        <v>0</v>
      </c>
      <c r="J124" s="8" t="b">
        <f t="shared" si="5"/>
        <v>1</v>
      </c>
      <c r="K124" s="8" t="b">
        <f t="shared" si="6"/>
        <v>1</v>
      </c>
      <c r="L124" s="8" t="b">
        <f t="shared" si="7"/>
        <v>1</v>
      </c>
      <c r="M124" s="8" t="b">
        <f t="shared" si="8"/>
        <v>1</v>
      </c>
      <c r="N124" s="1" t="b">
        <f t="shared" si="9"/>
        <v>1</v>
      </c>
      <c r="O124" s="8" t="str">
        <f>IF(F124="","",IF($F$2=入力リスト!$H$25,ROUNDDOWN(INT(F124)+ROUNDDOWN((F124-INT(F124))*100,0)/60,2),F124))</f>
        <v/>
      </c>
      <c r="P124" s="7"/>
      <c r="Q124" s="7"/>
    </row>
    <row r="125" spans="1:17">
      <c r="A125" s="105"/>
      <c r="B125" s="2"/>
      <c r="C125" s="254"/>
      <c r="D125" s="254"/>
      <c r="E125" s="254"/>
      <c r="F125" s="255"/>
      <c r="G125" s="215" t="str">
        <f>IF(AND($B125="",OR(B125&lt;&gt;"",C125&lt;&gt;"",D125&lt;&gt;"",E125&lt;&gt;"",F125&lt;&gt;"")),入力リスト!$K$34,IF($I125=TRUE,入力リスト!$K$35,IF(J125=FALSE,"「毎月の固定給与額」","")&amp;IF(AND(J125=FALSE,OR(K125=FALSE,L125=FALSE,M125=FALSE)),",","")&amp;IF(K125=FALSE,"「賞与額等」","")&amp;IF(AND(K125=FALSE,OR(L125=FALSE,M125=FALSE)),",","")&amp;IF(L125=FALSE,"「残業手当」","")&amp;IF(AND(L125=FALSE,M125=FALSE),",","")&amp;IF(M125=FALSE,"「残業時間」","")&amp;IF(OR(J125=FALSE,K125=FALSE,L125=FALSE,M125=FALSE),入力リスト!$K$36,"")&amp;IF(N125,"",入力リスト!$K$37)))</f>
        <v/>
      </c>
      <c r="H125" s="215"/>
      <c r="I125" s="1" t="b">
        <f>IF(B125="",FALSE,COUNTIF('従業員情報(給与以外)'!$A$4:$A$1000000,$B125)=0)</f>
        <v>0</v>
      </c>
      <c r="J125" s="8" t="b">
        <f t="shared" si="5"/>
        <v>1</v>
      </c>
      <c r="K125" s="8" t="b">
        <f t="shared" si="6"/>
        <v>1</v>
      </c>
      <c r="L125" s="8" t="b">
        <f t="shared" si="7"/>
        <v>1</v>
      </c>
      <c r="M125" s="8" t="b">
        <f t="shared" si="8"/>
        <v>1</v>
      </c>
      <c r="N125" s="1" t="b">
        <f t="shared" si="9"/>
        <v>1</v>
      </c>
      <c r="O125" s="8" t="str">
        <f>IF(F125="","",IF($F$2=入力リスト!$H$25,ROUNDDOWN(INT(F125)+ROUNDDOWN((F125-INT(F125))*100,0)/60,2),F125))</f>
        <v/>
      </c>
      <c r="P125" s="7"/>
      <c r="Q125" s="7"/>
    </row>
    <row r="126" spans="1:17">
      <c r="A126" s="105"/>
      <c r="B126" s="2"/>
      <c r="C126" s="254"/>
      <c r="D126" s="254"/>
      <c r="E126" s="254"/>
      <c r="F126" s="255"/>
      <c r="G126" s="215" t="str">
        <f>IF(AND($B126="",OR(B126&lt;&gt;"",C126&lt;&gt;"",D126&lt;&gt;"",E126&lt;&gt;"",F126&lt;&gt;"")),入力リスト!$K$34,IF($I126=TRUE,入力リスト!$K$35,IF(J126=FALSE,"「毎月の固定給与額」","")&amp;IF(AND(J126=FALSE,OR(K126=FALSE,L126=FALSE,M126=FALSE)),",","")&amp;IF(K126=FALSE,"「賞与額等」","")&amp;IF(AND(K126=FALSE,OR(L126=FALSE,M126=FALSE)),",","")&amp;IF(L126=FALSE,"「残業手当」","")&amp;IF(AND(L126=FALSE,M126=FALSE),",","")&amp;IF(M126=FALSE,"「残業時間」","")&amp;IF(OR(J126=FALSE,K126=FALSE,L126=FALSE,M126=FALSE),入力リスト!$K$36,"")&amp;IF(N126,"",入力リスト!$K$37)))</f>
        <v/>
      </c>
      <c r="H126" s="215"/>
      <c r="I126" s="1" t="b">
        <f>IF(B126="",FALSE,COUNTIF('従業員情報(給与以外)'!$A$4:$A$1000000,$B126)=0)</f>
        <v>0</v>
      </c>
      <c r="J126" s="8" t="b">
        <f t="shared" si="5"/>
        <v>1</v>
      </c>
      <c r="K126" s="8" t="b">
        <f t="shared" si="6"/>
        <v>1</v>
      </c>
      <c r="L126" s="8" t="b">
        <f t="shared" si="7"/>
        <v>1</v>
      </c>
      <c r="M126" s="8" t="b">
        <f t="shared" si="8"/>
        <v>1</v>
      </c>
      <c r="N126" s="1" t="b">
        <f t="shared" si="9"/>
        <v>1</v>
      </c>
      <c r="O126" s="8" t="str">
        <f>IF(F126="","",IF($F$2=入力リスト!$H$25,ROUNDDOWN(INT(F126)+ROUNDDOWN((F126-INT(F126))*100,0)/60,2),F126))</f>
        <v/>
      </c>
      <c r="P126" s="7"/>
      <c r="Q126" s="7"/>
    </row>
    <row r="127" spans="1:17">
      <c r="A127" s="105"/>
      <c r="B127" s="2"/>
      <c r="C127" s="254"/>
      <c r="D127" s="254"/>
      <c r="E127" s="254"/>
      <c r="F127" s="255"/>
      <c r="G127" s="215" t="str">
        <f>IF(AND($B127="",OR(B127&lt;&gt;"",C127&lt;&gt;"",D127&lt;&gt;"",E127&lt;&gt;"",F127&lt;&gt;"")),入力リスト!$K$34,IF($I127=TRUE,入力リスト!$K$35,IF(J127=FALSE,"「毎月の固定給与額」","")&amp;IF(AND(J127=FALSE,OR(K127=FALSE,L127=FALSE,M127=FALSE)),",","")&amp;IF(K127=FALSE,"「賞与額等」","")&amp;IF(AND(K127=FALSE,OR(L127=FALSE,M127=FALSE)),",","")&amp;IF(L127=FALSE,"「残業手当」","")&amp;IF(AND(L127=FALSE,M127=FALSE),",","")&amp;IF(M127=FALSE,"「残業時間」","")&amp;IF(OR(J127=FALSE,K127=FALSE,L127=FALSE,M127=FALSE),入力リスト!$K$36,"")&amp;IF(N127,"",入力リスト!$K$37)))</f>
        <v/>
      </c>
      <c r="H127" s="215"/>
      <c r="I127" s="1" t="b">
        <f>IF(B127="",FALSE,COUNTIF('従業員情報(給与以外)'!$A$4:$A$1000000,$B127)=0)</f>
        <v>0</v>
      </c>
      <c r="J127" s="8" t="b">
        <f t="shared" si="5"/>
        <v>1</v>
      </c>
      <c r="K127" s="8" t="b">
        <f t="shared" si="6"/>
        <v>1</v>
      </c>
      <c r="L127" s="8" t="b">
        <f t="shared" si="7"/>
        <v>1</v>
      </c>
      <c r="M127" s="8" t="b">
        <f t="shared" si="8"/>
        <v>1</v>
      </c>
      <c r="N127" s="1" t="b">
        <f t="shared" si="9"/>
        <v>1</v>
      </c>
      <c r="O127" s="8" t="str">
        <f>IF(F127="","",IF($F$2=入力リスト!$H$25,ROUNDDOWN(INT(F127)+ROUNDDOWN((F127-INT(F127))*100,0)/60,2),F127))</f>
        <v/>
      </c>
      <c r="P127" s="7"/>
      <c r="Q127" s="7"/>
    </row>
    <row r="128" spans="1:17">
      <c r="A128" s="105"/>
      <c r="B128" s="2"/>
      <c r="C128" s="254"/>
      <c r="D128" s="254"/>
      <c r="E128" s="254"/>
      <c r="F128" s="255"/>
      <c r="G128" s="215" t="str">
        <f>IF(AND($B128="",OR(B128&lt;&gt;"",C128&lt;&gt;"",D128&lt;&gt;"",E128&lt;&gt;"",F128&lt;&gt;"")),入力リスト!$K$34,IF($I128=TRUE,入力リスト!$K$35,IF(J128=FALSE,"「毎月の固定給与額」","")&amp;IF(AND(J128=FALSE,OR(K128=FALSE,L128=FALSE,M128=FALSE)),",","")&amp;IF(K128=FALSE,"「賞与額等」","")&amp;IF(AND(K128=FALSE,OR(L128=FALSE,M128=FALSE)),",","")&amp;IF(L128=FALSE,"「残業手当」","")&amp;IF(AND(L128=FALSE,M128=FALSE),",","")&amp;IF(M128=FALSE,"「残業時間」","")&amp;IF(OR(J128=FALSE,K128=FALSE,L128=FALSE,M128=FALSE),入力リスト!$K$36,"")&amp;IF(N128,"",入力リスト!$K$37)))</f>
        <v/>
      </c>
      <c r="H128" s="215"/>
      <c r="I128" s="1" t="b">
        <f>IF(B128="",FALSE,COUNTIF('従業員情報(給与以外)'!$A$4:$A$1000000,$B128)=0)</f>
        <v>0</v>
      </c>
      <c r="J128" s="8" t="b">
        <f t="shared" si="5"/>
        <v>1</v>
      </c>
      <c r="K128" s="8" t="b">
        <f t="shared" si="6"/>
        <v>1</v>
      </c>
      <c r="L128" s="8" t="b">
        <f t="shared" si="7"/>
        <v>1</v>
      </c>
      <c r="M128" s="8" t="b">
        <f t="shared" si="8"/>
        <v>1</v>
      </c>
      <c r="N128" s="1" t="b">
        <f t="shared" si="9"/>
        <v>1</v>
      </c>
      <c r="O128" s="8" t="str">
        <f>IF(F128="","",IF($F$2=入力リスト!$H$25,ROUNDDOWN(INT(F128)+ROUNDDOWN((F128-INT(F128))*100,0)/60,2),F128))</f>
        <v/>
      </c>
      <c r="P128" s="7"/>
      <c r="Q128" s="7"/>
    </row>
    <row r="129" spans="1:17">
      <c r="A129" s="105"/>
      <c r="B129" s="2"/>
      <c r="C129" s="254"/>
      <c r="D129" s="254"/>
      <c r="E129" s="254"/>
      <c r="F129" s="255"/>
      <c r="G129" s="215" t="str">
        <f>IF(AND($B129="",OR(B129&lt;&gt;"",C129&lt;&gt;"",D129&lt;&gt;"",E129&lt;&gt;"",F129&lt;&gt;"")),入力リスト!$K$34,IF($I129=TRUE,入力リスト!$K$35,IF(J129=FALSE,"「毎月の固定給与額」","")&amp;IF(AND(J129=FALSE,OR(K129=FALSE,L129=FALSE,M129=FALSE)),",","")&amp;IF(K129=FALSE,"「賞与額等」","")&amp;IF(AND(K129=FALSE,OR(L129=FALSE,M129=FALSE)),",","")&amp;IF(L129=FALSE,"「残業手当」","")&amp;IF(AND(L129=FALSE,M129=FALSE),",","")&amp;IF(M129=FALSE,"「残業時間」","")&amp;IF(OR(J129=FALSE,K129=FALSE,L129=FALSE,M129=FALSE),入力リスト!$K$36,"")&amp;IF(N129,"",入力リスト!$K$37)))</f>
        <v/>
      </c>
      <c r="H129" s="215"/>
      <c r="I129" s="1" t="b">
        <f>IF(B129="",FALSE,COUNTIF('従業員情報(給与以外)'!$A$4:$A$1000000,$B129)=0)</f>
        <v>0</v>
      </c>
      <c r="J129" s="8" t="b">
        <f t="shared" si="5"/>
        <v>1</v>
      </c>
      <c r="K129" s="8" t="b">
        <f t="shared" si="6"/>
        <v>1</v>
      </c>
      <c r="L129" s="8" t="b">
        <f t="shared" si="7"/>
        <v>1</v>
      </c>
      <c r="M129" s="8" t="b">
        <f t="shared" si="8"/>
        <v>1</v>
      </c>
      <c r="N129" s="1" t="b">
        <f t="shared" si="9"/>
        <v>1</v>
      </c>
      <c r="O129" s="8" t="str">
        <f>IF(F129="","",IF($F$2=入力リスト!$H$25,ROUNDDOWN(INT(F129)+ROUNDDOWN((F129-INT(F129))*100,0)/60,2),F129))</f>
        <v/>
      </c>
      <c r="P129" s="7"/>
      <c r="Q129" s="7"/>
    </row>
    <row r="130" spans="1:17">
      <c r="A130" s="105"/>
      <c r="B130" s="2"/>
      <c r="C130" s="254"/>
      <c r="D130" s="254"/>
      <c r="E130" s="254"/>
      <c r="F130" s="255"/>
      <c r="G130" s="215" t="str">
        <f>IF(AND($B130="",OR(B130&lt;&gt;"",C130&lt;&gt;"",D130&lt;&gt;"",E130&lt;&gt;"",F130&lt;&gt;"")),入力リスト!$K$34,IF($I130=TRUE,入力リスト!$K$35,IF(J130=FALSE,"「毎月の固定給与額」","")&amp;IF(AND(J130=FALSE,OR(K130=FALSE,L130=FALSE,M130=FALSE)),",","")&amp;IF(K130=FALSE,"「賞与額等」","")&amp;IF(AND(K130=FALSE,OR(L130=FALSE,M130=FALSE)),",","")&amp;IF(L130=FALSE,"「残業手当」","")&amp;IF(AND(L130=FALSE,M130=FALSE),",","")&amp;IF(M130=FALSE,"「残業時間」","")&amp;IF(OR(J130=FALSE,K130=FALSE,L130=FALSE,M130=FALSE),入力リスト!$K$36,"")&amp;IF(N130,"",入力リスト!$K$37)))</f>
        <v/>
      </c>
      <c r="H130" s="215"/>
      <c r="I130" s="1" t="b">
        <f>IF(B130="",FALSE,COUNTIF('従業員情報(給与以外)'!$A$4:$A$1000000,$B130)=0)</f>
        <v>0</v>
      </c>
      <c r="J130" s="8" t="b">
        <f t="shared" si="5"/>
        <v>1</v>
      </c>
      <c r="K130" s="8" t="b">
        <f t="shared" si="6"/>
        <v>1</v>
      </c>
      <c r="L130" s="8" t="b">
        <f t="shared" si="7"/>
        <v>1</v>
      </c>
      <c r="M130" s="8" t="b">
        <f t="shared" si="8"/>
        <v>1</v>
      </c>
      <c r="N130" s="1" t="b">
        <f t="shared" si="9"/>
        <v>1</v>
      </c>
      <c r="O130" s="8" t="str">
        <f>IF(F130="","",IF($F$2=入力リスト!$H$25,ROUNDDOWN(INT(F130)+ROUNDDOWN((F130-INT(F130))*100,0)/60,2),F130))</f>
        <v/>
      </c>
      <c r="P130" s="7"/>
      <c r="Q130" s="7"/>
    </row>
    <row r="131" spans="1:17">
      <c r="A131" s="105"/>
      <c r="B131" s="2"/>
      <c r="C131" s="254"/>
      <c r="D131" s="254"/>
      <c r="E131" s="254"/>
      <c r="F131" s="255"/>
      <c r="G131" s="215" t="str">
        <f>IF(AND($B131="",OR(B131&lt;&gt;"",C131&lt;&gt;"",D131&lt;&gt;"",E131&lt;&gt;"",F131&lt;&gt;"")),入力リスト!$K$34,IF($I131=TRUE,入力リスト!$K$35,IF(J131=FALSE,"「毎月の固定給与額」","")&amp;IF(AND(J131=FALSE,OR(K131=FALSE,L131=FALSE,M131=FALSE)),",","")&amp;IF(K131=FALSE,"「賞与額等」","")&amp;IF(AND(K131=FALSE,OR(L131=FALSE,M131=FALSE)),",","")&amp;IF(L131=FALSE,"「残業手当」","")&amp;IF(AND(L131=FALSE,M131=FALSE),",","")&amp;IF(M131=FALSE,"「残業時間」","")&amp;IF(OR(J131=FALSE,K131=FALSE,L131=FALSE,M131=FALSE),入力リスト!$K$36,"")&amp;IF(N131,"",入力リスト!$K$37)))</f>
        <v/>
      </c>
      <c r="H131" s="215"/>
      <c r="I131" s="1" t="b">
        <f>IF(B131="",FALSE,COUNTIF('従業員情報(給与以外)'!$A$4:$A$1000000,$B131)=0)</f>
        <v>0</v>
      </c>
      <c r="J131" s="8" t="b">
        <f t="shared" si="5"/>
        <v>1</v>
      </c>
      <c r="K131" s="8" t="b">
        <f t="shared" si="6"/>
        <v>1</v>
      </c>
      <c r="L131" s="8" t="b">
        <f t="shared" si="7"/>
        <v>1</v>
      </c>
      <c r="M131" s="8" t="b">
        <f t="shared" si="8"/>
        <v>1</v>
      </c>
      <c r="N131" s="1" t="b">
        <f t="shared" si="9"/>
        <v>1</v>
      </c>
      <c r="O131" s="8" t="str">
        <f>IF(F131="","",IF($F$2=入力リスト!$H$25,ROUNDDOWN(INT(F131)+ROUNDDOWN((F131-INT(F131))*100,0)/60,2),F131))</f>
        <v/>
      </c>
      <c r="P131" s="7"/>
      <c r="Q131" s="7"/>
    </row>
    <row r="132" spans="1:17">
      <c r="A132" s="105"/>
      <c r="B132" s="2"/>
      <c r="C132" s="254"/>
      <c r="D132" s="254"/>
      <c r="E132" s="254"/>
      <c r="F132" s="255"/>
      <c r="G132" s="215" t="str">
        <f>IF(AND($B132="",OR(B132&lt;&gt;"",C132&lt;&gt;"",D132&lt;&gt;"",E132&lt;&gt;"",F132&lt;&gt;"")),入力リスト!$K$34,IF($I132=TRUE,入力リスト!$K$35,IF(J132=FALSE,"「毎月の固定給与額」","")&amp;IF(AND(J132=FALSE,OR(K132=FALSE,L132=FALSE,M132=FALSE)),",","")&amp;IF(K132=FALSE,"「賞与額等」","")&amp;IF(AND(K132=FALSE,OR(L132=FALSE,M132=FALSE)),",","")&amp;IF(L132=FALSE,"「残業手当」","")&amp;IF(AND(L132=FALSE,M132=FALSE),",","")&amp;IF(M132=FALSE,"「残業時間」","")&amp;IF(OR(J132=FALSE,K132=FALSE,L132=FALSE,M132=FALSE),入力リスト!$K$36,"")&amp;IF(N132,"",入力リスト!$K$37)))</f>
        <v/>
      </c>
      <c r="H132" s="215"/>
      <c r="I132" s="1" t="b">
        <f>IF(B132="",FALSE,COUNTIF('従業員情報(給与以外)'!$A$4:$A$1000000,$B132)=0)</f>
        <v>0</v>
      </c>
      <c r="J132" s="8" t="b">
        <f t="shared" si="5"/>
        <v>1</v>
      </c>
      <c r="K132" s="8" t="b">
        <f t="shared" si="6"/>
        <v>1</v>
      </c>
      <c r="L132" s="8" t="b">
        <f t="shared" si="7"/>
        <v>1</v>
      </c>
      <c r="M132" s="8" t="b">
        <f t="shared" si="8"/>
        <v>1</v>
      </c>
      <c r="N132" s="1" t="b">
        <f t="shared" si="9"/>
        <v>1</v>
      </c>
      <c r="O132" s="8" t="str">
        <f>IF(F132="","",IF($F$2=入力リスト!$H$25,ROUNDDOWN(INT(F132)+ROUNDDOWN((F132-INT(F132))*100,0)/60,2),F132))</f>
        <v/>
      </c>
      <c r="P132" s="7"/>
      <c r="Q132" s="7"/>
    </row>
    <row r="133" spans="1:17">
      <c r="A133" s="105"/>
      <c r="B133" s="2"/>
      <c r="C133" s="254"/>
      <c r="D133" s="254"/>
      <c r="E133" s="254"/>
      <c r="F133" s="255"/>
      <c r="G133" s="215" t="str">
        <f>IF(AND($B133="",OR(B133&lt;&gt;"",C133&lt;&gt;"",D133&lt;&gt;"",E133&lt;&gt;"",F133&lt;&gt;"")),入力リスト!$K$34,IF($I133=TRUE,入力リスト!$K$35,IF(J133=FALSE,"「毎月の固定給与額」","")&amp;IF(AND(J133=FALSE,OR(K133=FALSE,L133=FALSE,M133=FALSE)),",","")&amp;IF(K133=FALSE,"「賞与額等」","")&amp;IF(AND(K133=FALSE,OR(L133=FALSE,M133=FALSE)),",","")&amp;IF(L133=FALSE,"「残業手当」","")&amp;IF(AND(L133=FALSE,M133=FALSE),",","")&amp;IF(M133=FALSE,"「残業時間」","")&amp;IF(OR(J133=FALSE,K133=FALSE,L133=FALSE,M133=FALSE),入力リスト!$K$36,"")&amp;IF(N133,"",入力リスト!$K$37)))</f>
        <v/>
      </c>
      <c r="H133" s="215"/>
      <c r="I133" s="1" t="b">
        <f>IF(B133="",FALSE,COUNTIF('従業員情報(給与以外)'!$A$4:$A$1000000,$B133)=0)</f>
        <v>0</v>
      </c>
      <c r="J133" s="8" t="b">
        <f t="shared" ref="J133:J196" si="10">OR(C133="",ISNUMBER(C133))</f>
        <v>1</v>
      </c>
      <c r="K133" s="8" t="b">
        <f t="shared" ref="K133:K196" si="11">OR(D133="",ISNUMBER(D133))</f>
        <v>1</v>
      </c>
      <c r="L133" s="8" t="b">
        <f t="shared" ref="L133:L196" si="12">OR(E133="",ISNUMBER(E133))</f>
        <v>1</v>
      </c>
      <c r="M133" s="8" t="b">
        <f t="shared" ref="M133:M196" si="13">OR(F133="",ISNUMBER(F133))</f>
        <v>1</v>
      </c>
      <c r="N133" s="1" t="b">
        <f t="shared" ref="N133:N196" si="14">IF($N$1,TRUE,IF($N$2,IF(F133-INT(F133)&lt;0.6,TRUE,FALSE),TRUE))</f>
        <v>1</v>
      </c>
      <c r="O133" s="8" t="str">
        <f>IF(F133="","",IF($F$2=入力リスト!$H$25,ROUNDDOWN(INT(F133)+ROUNDDOWN((F133-INT(F133))*100,0)/60,2),F133))</f>
        <v/>
      </c>
      <c r="P133" s="7"/>
      <c r="Q133" s="7"/>
    </row>
    <row r="134" spans="1:17">
      <c r="A134" s="105"/>
      <c r="B134" s="2"/>
      <c r="C134" s="254"/>
      <c r="D134" s="254"/>
      <c r="E134" s="254"/>
      <c r="F134" s="255"/>
      <c r="G134" s="215" t="str">
        <f>IF(AND($B134="",OR(B134&lt;&gt;"",C134&lt;&gt;"",D134&lt;&gt;"",E134&lt;&gt;"",F134&lt;&gt;"")),入力リスト!$K$34,IF($I134=TRUE,入力リスト!$K$35,IF(J134=FALSE,"「毎月の固定給与額」","")&amp;IF(AND(J134=FALSE,OR(K134=FALSE,L134=FALSE,M134=FALSE)),",","")&amp;IF(K134=FALSE,"「賞与額等」","")&amp;IF(AND(K134=FALSE,OR(L134=FALSE,M134=FALSE)),",","")&amp;IF(L134=FALSE,"「残業手当」","")&amp;IF(AND(L134=FALSE,M134=FALSE),",","")&amp;IF(M134=FALSE,"「残業時間」","")&amp;IF(OR(J134=FALSE,K134=FALSE,L134=FALSE,M134=FALSE),入力リスト!$K$36,"")&amp;IF(N134,"",入力リスト!$K$37)))</f>
        <v/>
      </c>
      <c r="H134" s="215"/>
      <c r="I134" s="1" t="b">
        <f>IF(B134="",FALSE,COUNTIF('従業員情報(給与以外)'!$A$4:$A$1000000,$B134)=0)</f>
        <v>0</v>
      </c>
      <c r="J134" s="8" t="b">
        <f t="shared" si="10"/>
        <v>1</v>
      </c>
      <c r="K134" s="8" t="b">
        <f t="shared" si="11"/>
        <v>1</v>
      </c>
      <c r="L134" s="8" t="b">
        <f t="shared" si="12"/>
        <v>1</v>
      </c>
      <c r="M134" s="8" t="b">
        <f t="shared" si="13"/>
        <v>1</v>
      </c>
      <c r="N134" s="1" t="b">
        <f t="shared" si="14"/>
        <v>1</v>
      </c>
      <c r="O134" s="8" t="str">
        <f>IF(F134="","",IF($F$2=入力リスト!$H$25,ROUNDDOWN(INT(F134)+ROUNDDOWN((F134-INT(F134))*100,0)/60,2),F134))</f>
        <v/>
      </c>
      <c r="P134" s="7"/>
      <c r="Q134" s="7"/>
    </row>
    <row r="135" spans="1:17">
      <c r="A135" s="105"/>
      <c r="B135" s="2"/>
      <c r="C135" s="254"/>
      <c r="D135" s="254"/>
      <c r="E135" s="254"/>
      <c r="F135" s="255"/>
      <c r="G135" s="215" t="str">
        <f>IF(AND($B135="",OR(B135&lt;&gt;"",C135&lt;&gt;"",D135&lt;&gt;"",E135&lt;&gt;"",F135&lt;&gt;"")),入力リスト!$K$34,IF($I135=TRUE,入力リスト!$K$35,IF(J135=FALSE,"「毎月の固定給与額」","")&amp;IF(AND(J135=FALSE,OR(K135=FALSE,L135=FALSE,M135=FALSE)),",","")&amp;IF(K135=FALSE,"「賞与額等」","")&amp;IF(AND(K135=FALSE,OR(L135=FALSE,M135=FALSE)),",","")&amp;IF(L135=FALSE,"「残業手当」","")&amp;IF(AND(L135=FALSE,M135=FALSE),",","")&amp;IF(M135=FALSE,"「残業時間」","")&amp;IF(OR(J135=FALSE,K135=FALSE,L135=FALSE,M135=FALSE),入力リスト!$K$36,"")&amp;IF(N135,"",入力リスト!$K$37)))</f>
        <v/>
      </c>
      <c r="H135" s="215"/>
      <c r="I135" s="1" t="b">
        <f>IF(B135="",FALSE,COUNTIF('従業員情報(給与以外)'!$A$4:$A$1000000,$B135)=0)</f>
        <v>0</v>
      </c>
      <c r="J135" s="8" t="b">
        <f t="shared" si="10"/>
        <v>1</v>
      </c>
      <c r="K135" s="8" t="b">
        <f t="shared" si="11"/>
        <v>1</v>
      </c>
      <c r="L135" s="8" t="b">
        <f t="shared" si="12"/>
        <v>1</v>
      </c>
      <c r="M135" s="8" t="b">
        <f t="shared" si="13"/>
        <v>1</v>
      </c>
      <c r="N135" s="1" t="b">
        <f t="shared" si="14"/>
        <v>1</v>
      </c>
      <c r="O135" s="8" t="str">
        <f>IF(F135="","",IF($F$2=入力リスト!$H$25,ROUNDDOWN(INT(F135)+ROUNDDOWN((F135-INT(F135))*100,0)/60,2),F135))</f>
        <v/>
      </c>
      <c r="P135" s="7"/>
      <c r="Q135" s="7"/>
    </row>
    <row r="136" spans="1:17">
      <c r="A136" s="105"/>
      <c r="B136" s="2"/>
      <c r="C136" s="254"/>
      <c r="D136" s="254"/>
      <c r="E136" s="254"/>
      <c r="F136" s="255"/>
      <c r="G136" s="215" t="str">
        <f>IF(AND($B136="",OR(B136&lt;&gt;"",C136&lt;&gt;"",D136&lt;&gt;"",E136&lt;&gt;"",F136&lt;&gt;"")),入力リスト!$K$34,IF($I136=TRUE,入力リスト!$K$35,IF(J136=FALSE,"「毎月の固定給与額」","")&amp;IF(AND(J136=FALSE,OR(K136=FALSE,L136=FALSE,M136=FALSE)),",","")&amp;IF(K136=FALSE,"「賞与額等」","")&amp;IF(AND(K136=FALSE,OR(L136=FALSE,M136=FALSE)),",","")&amp;IF(L136=FALSE,"「残業手当」","")&amp;IF(AND(L136=FALSE,M136=FALSE),",","")&amp;IF(M136=FALSE,"「残業時間」","")&amp;IF(OR(J136=FALSE,K136=FALSE,L136=FALSE,M136=FALSE),入力リスト!$K$36,"")&amp;IF(N136,"",入力リスト!$K$37)))</f>
        <v/>
      </c>
      <c r="H136" s="215"/>
      <c r="I136" s="1" t="b">
        <f>IF(B136="",FALSE,COUNTIF('従業員情報(給与以外)'!$A$4:$A$1000000,$B136)=0)</f>
        <v>0</v>
      </c>
      <c r="J136" s="8" t="b">
        <f t="shared" si="10"/>
        <v>1</v>
      </c>
      <c r="K136" s="8" t="b">
        <f t="shared" si="11"/>
        <v>1</v>
      </c>
      <c r="L136" s="8" t="b">
        <f t="shared" si="12"/>
        <v>1</v>
      </c>
      <c r="M136" s="8" t="b">
        <f t="shared" si="13"/>
        <v>1</v>
      </c>
      <c r="N136" s="1" t="b">
        <f t="shared" si="14"/>
        <v>1</v>
      </c>
      <c r="O136" s="8" t="str">
        <f>IF(F136="","",IF($F$2=入力リスト!$H$25,ROUNDDOWN(INT(F136)+ROUNDDOWN((F136-INT(F136))*100,0)/60,2),F136))</f>
        <v/>
      </c>
      <c r="P136" s="7"/>
      <c r="Q136" s="7"/>
    </row>
    <row r="137" spans="1:17">
      <c r="A137" s="105"/>
      <c r="B137" s="2"/>
      <c r="C137" s="254"/>
      <c r="D137" s="254"/>
      <c r="E137" s="254"/>
      <c r="F137" s="255"/>
      <c r="G137" s="215" t="str">
        <f>IF(AND($B137="",OR(B137&lt;&gt;"",C137&lt;&gt;"",D137&lt;&gt;"",E137&lt;&gt;"",F137&lt;&gt;"")),入力リスト!$K$34,IF($I137=TRUE,入力リスト!$K$35,IF(J137=FALSE,"「毎月の固定給与額」","")&amp;IF(AND(J137=FALSE,OR(K137=FALSE,L137=FALSE,M137=FALSE)),",","")&amp;IF(K137=FALSE,"「賞与額等」","")&amp;IF(AND(K137=FALSE,OR(L137=FALSE,M137=FALSE)),",","")&amp;IF(L137=FALSE,"「残業手当」","")&amp;IF(AND(L137=FALSE,M137=FALSE),",","")&amp;IF(M137=FALSE,"「残業時間」","")&amp;IF(OR(J137=FALSE,K137=FALSE,L137=FALSE,M137=FALSE),入力リスト!$K$36,"")&amp;IF(N137,"",入力リスト!$K$37)))</f>
        <v/>
      </c>
      <c r="H137" s="215"/>
      <c r="I137" s="1" t="b">
        <f>IF(B137="",FALSE,COUNTIF('従業員情報(給与以外)'!$A$4:$A$1000000,$B137)=0)</f>
        <v>0</v>
      </c>
      <c r="J137" s="8" t="b">
        <f t="shared" si="10"/>
        <v>1</v>
      </c>
      <c r="K137" s="8" t="b">
        <f t="shared" si="11"/>
        <v>1</v>
      </c>
      <c r="L137" s="8" t="b">
        <f t="shared" si="12"/>
        <v>1</v>
      </c>
      <c r="M137" s="8" t="b">
        <f t="shared" si="13"/>
        <v>1</v>
      </c>
      <c r="N137" s="1" t="b">
        <f t="shared" si="14"/>
        <v>1</v>
      </c>
      <c r="O137" s="8" t="str">
        <f>IF(F137="","",IF($F$2=入力リスト!$H$25,ROUNDDOWN(INT(F137)+ROUNDDOWN((F137-INT(F137))*100,0)/60,2),F137))</f>
        <v/>
      </c>
      <c r="P137" s="7"/>
      <c r="Q137" s="7"/>
    </row>
    <row r="138" spans="1:17">
      <c r="A138" s="105"/>
      <c r="B138" s="2"/>
      <c r="C138" s="254"/>
      <c r="D138" s="254"/>
      <c r="E138" s="254"/>
      <c r="F138" s="255"/>
      <c r="G138" s="215" t="str">
        <f>IF(AND($B138="",OR(B138&lt;&gt;"",C138&lt;&gt;"",D138&lt;&gt;"",E138&lt;&gt;"",F138&lt;&gt;"")),入力リスト!$K$34,IF($I138=TRUE,入力リスト!$K$35,IF(J138=FALSE,"「毎月の固定給与額」","")&amp;IF(AND(J138=FALSE,OR(K138=FALSE,L138=FALSE,M138=FALSE)),",","")&amp;IF(K138=FALSE,"「賞与額等」","")&amp;IF(AND(K138=FALSE,OR(L138=FALSE,M138=FALSE)),",","")&amp;IF(L138=FALSE,"「残業手当」","")&amp;IF(AND(L138=FALSE,M138=FALSE),",","")&amp;IF(M138=FALSE,"「残業時間」","")&amp;IF(OR(J138=FALSE,K138=FALSE,L138=FALSE,M138=FALSE),入力リスト!$K$36,"")&amp;IF(N138,"",入力リスト!$K$37)))</f>
        <v/>
      </c>
      <c r="H138" s="215"/>
      <c r="I138" s="1" t="b">
        <f>IF(B138="",FALSE,COUNTIF('従業員情報(給与以外)'!$A$4:$A$1000000,$B138)=0)</f>
        <v>0</v>
      </c>
      <c r="J138" s="8" t="b">
        <f t="shared" si="10"/>
        <v>1</v>
      </c>
      <c r="K138" s="8" t="b">
        <f t="shared" si="11"/>
        <v>1</v>
      </c>
      <c r="L138" s="8" t="b">
        <f t="shared" si="12"/>
        <v>1</v>
      </c>
      <c r="M138" s="8" t="b">
        <f t="shared" si="13"/>
        <v>1</v>
      </c>
      <c r="N138" s="1" t="b">
        <f t="shared" si="14"/>
        <v>1</v>
      </c>
      <c r="O138" s="8" t="str">
        <f>IF(F138="","",IF($F$2=入力リスト!$H$25,ROUNDDOWN(INT(F138)+ROUNDDOWN((F138-INT(F138))*100,0)/60,2),F138))</f>
        <v/>
      </c>
      <c r="P138" s="7"/>
      <c r="Q138" s="7"/>
    </row>
    <row r="139" spans="1:17">
      <c r="A139" s="105"/>
      <c r="B139" s="2"/>
      <c r="C139" s="254"/>
      <c r="D139" s="254"/>
      <c r="E139" s="254"/>
      <c r="F139" s="255"/>
      <c r="G139" s="215" t="str">
        <f>IF(AND($B139="",OR(B139&lt;&gt;"",C139&lt;&gt;"",D139&lt;&gt;"",E139&lt;&gt;"",F139&lt;&gt;"")),入力リスト!$K$34,IF($I139=TRUE,入力リスト!$K$35,IF(J139=FALSE,"「毎月の固定給与額」","")&amp;IF(AND(J139=FALSE,OR(K139=FALSE,L139=FALSE,M139=FALSE)),",","")&amp;IF(K139=FALSE,"「賞与額等」","")&amp;IF(AND(K139=FALSE,OR(L139=FALSE,M139=FALSE)),",","")&amp;IF(L139=FALSE,"「残業手当」","")&amp;IF(AND(L139=FALSE,M139=FALSE),",","")&amp;IF(M139=FALSE,"「残業時間」","")&amp;IF(OR(J139=FALSE,K139=FALSE,L139=FALSE,M139=FALSE),入力リスト!$K$36,"")&amp;IF(N139,"",入力リスト!$K$37)))</f>
        <v/>
      </c>
      <c r="H139" s="215"/>
      <c r="I139" s="1" t="b">
        <f>IF(B139="",FALSE,COUNTIF('従業員情報(給与以外)'!$A$4:$A$1000000,$B139)=0)</f>
        <v>0</v>
      </c>
      <c r="J139" s="8" t="b">
        <f t="shared" si="10"/>
        <v>1</v>
      </c>
      <c r="K139" s="8" t="b">
        <f t="shared" si="11"/>
        <v>1</v>
      </c>
      <c r="L139" s="8" t="b">
        <f t="shared" si="12"/>
        <v>1</v>
      </c>
      <c r="M139" s="8" t="b">
        <f t="shared" si="13"/>
        <v>1</v>
      </c>
      <c r="N139" s="1" t="b">
        <f t="shared" si="14"/>
        <v>1</v>
      </c>
      <c r="O139" s="8" t="str">
        <f>IF(F139="","",IF($F$2=入力リスト!$H$25,ROUNDDOWN(INT(F139)+ROUNDDOWN((F139-INT(F139))*100,0)/60,2),F139))</f>
        <v/>
      </c>
      <c r="P139" s="7"/>
      <c r="Q139" s="7"/>
    </row>
    <row r="140" spans="1:17">
      <c r="A140" s="105"/>
      <c r="B140" s="2"/>
      <c r="C140" s="254"/>
      <c r="D140" s="254"/>
      <c r="E140" s="254"/>
      <c r="F140" s="255"/>
      <c r="G140" s="215" t="str">
        <f>IF(AND($B140="",OR(B140&lt;&gt;"",C140&lt;&gt;"",D140&lt;&gt;"",E140&lt;&gt;"",F140&lt;&gt;"")),入力リスト!$K$34,IF($I140=TRUE,入力リスト!$K$35,IF(J140=FALSE,"「毎月の固定給与額」","")&amp;IF(AND(J140=FALSE,OR(K140=FALSE,L140=FALSE,M140=FALSE)),",","")&amp;IF(K140=FALSE,"「賞与額等」","")&amp;IF(AND(K140=FALSE,OR(L140=FALSE,M140=FALSE)),",","")&amp;IF(L140=FALSE,"「残業手当」","")&amp;IF(AND(L140=FALSE,M140=FALSE),",","")&amp;IF(M140=FALSE,"「残業時間」","")&amp;IF(OR(J140=FALSE,K140=FALSE,L140=FALSE,M140=FALSE),入力リスト!$K$36,"")&amp;IF(N140,"",入力リスト!$K$37)))</f>
        <v/>
      </c>
      <c r="H140" s="215"/>
      <c r="I140" s="1" t="b">
        <f>IF(B140="",FALSE,COUNTIF('従業員情報(給与以外)'!$A$4:$A$1000000,$B140)=0)</f>
        <v>0</v>
      </c>
      <c r="J140" s="8" t="b">
        <f t="shared" si="10"/>
        <v>1</v>
      </c>
      <c r="K140" s="8" t="b">
        <f t="shared" si="11"/>
        <v>1</v>
      </c>
      <c r="L140" s="8" t="b">
        <f t="shared" si="12"/>
        <v>1</v>
      </c>
      <c r="M140" s="8" t="b">
        <f t="shared" si="13"/>
        <v>1</v>
      </c>
      <c r="N140" s="1" t="b">
        <f t="shared" si="14"/>
        <v>1</v>
      </c>
      <c r="O140" s="8" t="str">
        <f>IF(F140="","",IF($F$2=入力リスト!$H$25,ROUNDDOWN(INT(F140)+ROUNDDOWN((F140-INT(F140))*100,0)/60,2),F140))</f>
        <v/>
      </c>
      <c r="P140" s="7"/>
      <c r="Q140" s="7"/>
    </row>
    <row r="141" spans="1:17">
      <c r="A141" s="105"/>
      <c r="B141" s="2"/>
      <c r="C141" s="254"/>
      <c r="D141" s="254"/>
      <c r="E141" s="254"/>
      <c r="F141" s="255"/>
      <c r="G141" s="215" t="str">
        <f>IF(AND($B141="",OR(B141&lt;&gt;"",C141&lt;&gt;"",D141&lt;&gt;"",E141&lt;&gt;"",F141&lt;&gt;"")),入力リスト!$K$34,IF($I141=TRUE,入力リスト!$K$35,IF(J141=FALSE,"「毎月の固定給与額」","")&amp;IF(AND(J141=FALSE,OR(K141=FALSE,L141=FALSE,M141=FALSE)),",","")&amp;IF(K141=FALSE,"「賞与額等」","")&amp;IF(AND(K141=FALSE,OR(L141=FALSE,M141=FALSE)),",","")&amp;IF(L141=FALSE,"「残業手当」","")&amp;IF(AND(L141=FALSE,M141=FALSE),",","")&amp;IF(M141=FALSE,"「残業時間」","")&amp;IF(OR(J141=FALSE,K141=FALSE,L141=FALSE,M141=FALSE),入力リスト!$K$36,"")&amp;IF(N141,"",入力リスト!$K$37)))</f>
        <v/>
      </c>
      <c r="H141" s="215"/>
      <c r="I141" s="1" t="b">
        <f>IF(B141="",FALSE,COUNTIF('従業員情報(給与以外)'!$A$4:$A$1000000,$B141)=0)</f>
        <v>0</v>
      </c>
      <c r="J141" s="8" t="b">
        <f t="shared" si="10"/>
        <v>1</v>
      </c>
      <c r="K141" s="8" t="b">
        <f t="shared" si="11"/>
        <v>1</v>
      </c>
      <c r="L141" s="8" t="b">
        <f t="shared" si="12"/>
        <v>1</v>
      </c>
      <c r="M141" s="8" t="b">
        <f t="shared" si="13"/>
        <v>1</v>
      </c>
      <c r="N141" s="1" t="b">
        <f t="shared" si="14"/>
        <v>1</v>
      </c>
      <c r="O141" s="8" t="str">
        <f>IF(F141="","",IF($F$2=入力リスト!$H$25,ROUNDDOWN(INT(F141)+ROUNDDOWN((F141-INT(F141))*100,0)/60,2),F141))</f>
        <v/>
      </c>
      <c r="P141" s="7"/>
      <c r="Q141" s="7"/>
    </row>
    <row r="142" spans="1:17">
      <c r="A142" s="105"/>
      <c r="B142" s="2"/>
      <c r="C142" s="254"/>
      <c r="D142" s="254"/>
      <c r="E142" s="254"/>
      <c r="F142" s="255"/>
      <c r="G142" s="215" t="str">
        <f>IF(AND($B142="",OR(B142&lt;&gt;"",C142&lt;&gt;"",D142&lt;&gt;"",E142&lt;&gt;"",F142&lt;&gt;"")),入力リスト!$K$34,IF($I142=TRUE,入力リスト!$K$35,IF(J142=FALSE,"「毎月の固定給与額」","")&amp;IF(AND(J142=FALSE,OR(K142=FALSE,L142=FALSE,M142=FALSE)),",","")&amp;IF(K142=FALSE,"「賞与額等」","")&amp;IF(AND(K142=FALSE,OR(L142=FALSE,M142=FALSE)),",","")&amp;IF(L142=FALSE,"「残業手当」","")&amp;IF(AND(L142=FALSE,M142=FALSE),",","")&amp;IF(M142=FALSE,"「残業時間」","")&amp;IF(OR(J142=FALSE,K142=FALSE,L142=FALSE,M142=FALSE),入力リスト!$K$36,"")&amp;IF(N142,"",入力リスト!$K$37)))</f>
        <v/>
      </c>
      <c r="H142" s="215"/>
      <c r="I142" s="1" t="b">
        <f>IF(B142="",FALSE,COUNTIF('従業員情報(給与以外)'!$A$4:$A$1000000,$B142)=0)</f>
        <v>0</v>
      </c>
      <c r="J142" s="8" t="b">
        <f t="shared" si="10"/>
        <v>1</v>
      </c>
      <c r="K142" s="8" t="b">
        <f t="shared" si="11"/>
        <v>1</v>
      </c>
      <c r="L142" s="8" t="b">
        <f t="shared" si="12"/>
        <v>1</v>
      </c>
      <c r="M142" s="8" t="b">
        <f t="shared" si="13"/>
        <v>1</v>
      </c>
      <c r="N142" s="1" t="b">
        <f t="shared" si="14"/>
        <v>1</v>
      </c>
      <c r="O142" s="8" t="str">
        <f>IF(F142="","",IF($F$2=入力リスト!$H$25,ROUNDDOWN(INT(F142)+ROUNDDOWN((F142-INT(F142))*100,0)/60,2),F142))</f>
        <v/>
      </c>
      <c r="P142" s="7"/>
      <c r="Q142" s="7"/>
    </row>
    <row r="143" spans="1:17">
      <c r="A143" s="105"/>
      <c r="B143" s="2"/>
      <c r="C143" s="254"/>
      <c r="D143" s="254"/>
      <c r="E143" s="254"/>
      <c r="F143" s="255"/>
      <c r="G143" s="215" t="str">
        <f>IF(AND($B143="",OR(B143&lt;&gt;"",C143&lt;&gt;"",D143&lt;&gt;"",E143&lt;&gt;"",F143&lt;&gt;"")),入力リスト!$K$34,IF($I143=TRUE,入力リスト!$K$35,IF(J143=FALSE,"「毎月の固定給与額」","")&amp;IF(AND(J143=FALSE,OR(K143=FALSE,L143=FALSE,M143=FALSE)),",","")&amp;IF(K143=FALSE,"「賞与額等」","")&amp;IF(AND(K143=FALSE,OR(L143=FALSE,M143=FALSE)),",","")&amp;IF(L143=FALSE,"「残業手当」","")&amp;IF(AND(L143=FALSE,M143=FALSE),",","")&amp;IF(M143=FALSE,"「残業時間」","")&amp;IF(OR(J143=FALSE,K143=FALSE,L143=FALSE,M143=FALSE),入力リスト!$K$36,"")&amp;IF(N143,"",入力リスト!$K$37)))</f>
        <v/>
      </c>
      <c r="H143" s="215"/>
      <c r="I143" s="1" t="b">
        <f>IF(B143="",FALSE,COUNTIF('従業員情報(給与以外)'!$A$4:$A$1000000,$B143)=0)</f>
        <v>0</v>
      </c>
      <c r="J143" s="8" t="b">
        <f t="shared" si="10"/>
        <v>1</v>
      </c>
      <c r="K143" s="8" t="b">
        <f t="shared" si="11"/>
        <v>1</v>
      </c>
      <c r="L143" s="8" t="b">
        <f t="shared" si="12"/>
        <v>1</v>
      </c>
      <c r="M143" s="8" t="b">
        <f t="shared" si="13"/>
        <v>1</v>
      </c>
      <c r="N143" s="1" t="b">
        <f t="shared" si="14"/>
        <v>1</v>
      </c>
      <c r="O143" s="8" t="str">
        <f>IF(F143="","",IF($F$2=入力リスト!$H$25,ROUNDDOWN(INT(F143)+ROUNDDOWN((F143-INT(F143))*100,0)/60,2),F143))</f>
        <v/>
      </c>
      <c r="P143" s="7"/>
      <c r="Q143" s="7"/>
    </row>
    <row r="144" spans="1:17">
      <c r="A144" s="105"/>
      <c r="B144" s="2"/>
      <c r="C144" s="254"/>
      <c r="D144" s="254"/>
      <c r="E144" s="254"/>
      <c r="F144" s="255"/>
      <c r="G144" s="215" t="str">
        <f>IF(AND($B144="",OR(B144&lt;&gt;"",C144&lt;&gt;"",D144&lt;&gt;"",E144&lt;&gt;"",F144&lt;&gt;"")),入力リスト!$K$34,IF($I144=TRUE,入力リスト!$K$35,IF(J144=FALSE,"「毎月の固定給与額」","")&amp;IF(AND(J144=FALSE,OR(K144=FALSE,L144=FALSE,M144=FALSE)),",","")&amp;IF(K144=FALSE,"「賞与額等」","")&amp;IF(AND(K144=FALSE,OR(L144=FALSE,M144=FALSE)),",","")&amp;IF(L144=FALSE,"「残業手当」","")&amp;IF(AND(L144=FALSE,M144=FALSE),",","")&amp;IF(M144=FALSE,"「残業時間」","")&amp;IF(OR(J144=FALSE,K144=FALSE,L144=FALSE,M144=FALSE),入力リスト!$K$36,"")&amp;IF(N144,"",入力リスト!$K$37)))</f>
        <v/>
      </c>
      <c r="H144" s="215"/>
      <c r="I144" s="1" t="b">
        <f>IF(B144="",FALSE,COUNTIF('従業員情報(給与以外)'!$A$4:$A$1000000,$B144)=0)</f>
        <v>0</v>
      </c>
      <c r="J144" s="8" t="b">
        <f t="shared" si="10"/>
        <v>1</v>
      </c>
      <c r="K144" s="8" t="b">
        <f t="shared" si="11"/>
        <v>1</v>
      </c>
      <c r="L144" s="8" t="b">
        <f t="shared" si="12"/>
        <v>1</v>
      </c>
      <c r="M144" s="8" t="b">
        <f t="shared" si="13"/>
        <v>1</v>
      </c>
      <c r="N144" s="1" t="b">
        <f t="shared" si="14"/>
        <v>1</v>
      </c>
      <c r="O144" s="8" t="str">
        <f>IF(F144="","",IF($F$2=入力リスト!$H$25,ROUNDDOWN(INT(F144)+ROUNDDOWN((F144-INT(F144))*100,0)/60,2),F144))</f>
        <v/>
      </c>
      <c r="P144" s="7"/>
      <c r="Q144" s="7"/>
    </row>
    <row r="145" spans="1:17">
      <c r="A145" s="105"/>
      <c r="B145" s="2"/>
      <c r="C145" s="254"/>
      <c r="D145" s="254"/>
      <c r="E145" s="254"/>
      <c r="F145" s="255"/>
      <c r="G145" s="215" t="str">
        <f>IF(AND($B145="",OR(B145&lt;&gt;"",C145&lt;&gt;"",D145&lt;&gt;"",E145&lt;&gt;"",F145&lt;&gt;"")),入力リスト!$K$34,IF($I145=TRUE,入力リスト!$K$35,IF(J145=FALSE,"「毎月の固定給与額」","")&amp;IF(AND(J145=FALSE,OR(K145=FALSE,L145=FALSE,M145=FALSE)),",","")&amp;IF(K145=FALSE,"「賞与額等」","")&amp;IF(AND(K145=FALSE,OR(L145=FALSE,M145=FALSE)),",","")&amp;IF(L145=FALSE,"「残業手当」","")&amp;IF(AND(L145=FALSE,M145=FALSE),",","")&amp;IF(M145=FALSE,"「残業時間」","")&amp;IF(OR(J145=FALSE,K145=FALSE,L145=FALSE,M145=FALSE),入力リスト!$K$36,"")&amp;IF(N145,"",入力リスト!$K$37)))</f>
        <v/>
      </c>
      <c r="H145" s="215"/>
      <c r="I145" s="1" t="b">
        <f>IF(B145="",FALSE,COUNTIF('従業員情報(給与以外)'!$A$4:$A$1000000,$B145)=0)</f>
        <v>0</v>
      </c>
      <c r="J145" s="8" t="b">
        <f t="shared" si="10"/>
        <v>1</v>
      </c>
      <c r="K145" s="8" t="b">
        <f t="shared" si="11"/>
        <v>1</v>
      </c>
      <c r="L145" s="8" t="b">
        <f t="shared" si="12"/>
        <v>1</v>
      </c>
      <c r="M145" s="8" t="b">
        <f t="shared" si="13"/>
        <v>1</v>
      </c>
      <c r="N145" s="1" t="b">
        <f t="shared" si="14"/>
        <v>1</v>
      </c>
      <c r="O145" s="8" t="str">
        <f>IF(F145="","",IF($F$2=入力リスト!$H$25,ROUNDDOWN(INT(F145)+ROUNDDOWN((F145-INT(F145))*100,0)/60,2),F145))</f>
        <v/>
      </c>
      <c r="P145" s="7"/>
      <c r="Q145" s="7"/>
    </row>
    <row r="146" spans="1:17">
      <c r="A146" s="105"/>
      <c r="B146" s="2"/>
      <c r="C146" s="254"/>
      <c r="D146" s="254"/>
      <c r="E146" s="254"/>
      <c r="F146" s="255"/>
      <c r="G146" s="215" t="str">
        <f>IF(AND($B146="",OR(B146&lt;&gt;"",C146&lt;&gt;"",D146&lt;&gt;"",E146&lt;&gt;"",F146&lt;&gt;"")),入力リスト!$K$34,IF($I146=TRUE,入力リスト!$K$35,IF(J146=FALSE,"「毎月の固定給与額」","")&amp;IF(AND(J146=FALSE,OR(K146=FALSE,L146=FALSE,M146=FALSE)),",","")&amp;IF(K146=FALSE,"「賞与額等」","")&amp;IF(AND(K146=FALSE,OR(L146=FALSE,M146=FALSE)),",","")&amp;IF(L146=FALSE,"「残業手当」","")&amp;IF(AND(L146=FALSE,M146=FALSE),",","")&amp;IF(M146=FALSE,"「残業時間」","")&amp;IF(OR(J146=FALSE,K146=FALSE,L146=FALSE,M146=FALSE),入力リスト!$K$36,"")&amp;IF(N146,"",入力リスト!$K$37)))</f>
        <v/>
      </c>
      <c r="H146" s="215"/>
      <c r="I146" s="1" t="b">
        <f>IF(B146="",FALSE,COUNTIF('従業員情報(給与以外)'!$A$4:$A$1000000,$B146)=0)</f>
        <v>0</v>
      </c>
      <c r="J146" s="8" t="b">
        <f t="shared" si="10"/>
        <v>1</v>
      </c>
      <c r="K146" s="8" t="b">
        <f t="shared" si="11"/>
        <v>1</v>
      </c>
      <c r="L146" s="8" t="b">
        <f t="shared" si="12"/>
        <v>1</v>
      </c>
      <c r="M146" s="8" t="b">
        <f t="shared" si="13"/>
        <v>1</v>
      </c>
      <c r="N146" s="1" t="b">
        <f t="shared" si="14"/>
        <v>1</v>
      </c>
      <c r="O146" s="8" t="str">
        <f>IF(F146="","",IF($F$2=入力リスト!$H$25,ROUNDDOWN(INT(F146)+ROUNDDOWN((F146-INT(F146))*100,0)/60,2),F146))</f>
        <v/>
      </c>
      <c r="P146" s="7"/>
      <c r="Q146" s="7"/>
    </row>
    <row r="147" spans="1:17">
      <c r="A147" s="105"/>
      <c r="B147" s="2"/>
      <c r="C147" s="254"/>
      <c r="D147" s="254"/>
      <c r="E147" s="254"/>
      <c r="F147" s="255"/>
      <c r="G147" s="215" t="str">
        <f>IF(AND($B147="",OR(B147&lt;&gt;"",C147&lt;&gt;"",D147&lt;&gt;"",E147&lt;&gt;"",F147&lt;&gt;"")),入力リスト!$K$34,IF($I147=TRUE,入力リスト!$K$35,IF(J147=FALSE,"「毎月の固定給与額」","")&amp;IF(AND(J147=FALSE,OR(K147=FALSE,L147=FALSE,M147=FALSE)),",","")&amp;IF(K147=FALSE,"「賞与額等」","")&amp;IF(AND(K147=FALSE,OR(L147=FALSE,M147=FALSE)),",","")&amp;IF(L147=FALSE,"「残業手当」","")&amp;IF(AND(L147=FALSE,M147=FALSE),",","")&amp;IF(M147=FALSE,"「残業時間」","")&amp;IF(OR(J147=FALSE,K147=FALSE,L147=FALSE,M147=FALSE),入力リスト!$K$36,"")&amp;IF(N147,"",入力リスト!$K$37)))</f>
        <v/>
      </c>
      <c r="H147" s="215"/>
      <c r="I147" s="1" t="b">
        <f>IF(B147="",FALSE,COUNTIF('従業員情報(給与以外)'!$A$4:$A$1000000,$B147)=0)</f>
        <v>0</v>
      </c>
      <c r="J147" s="8" t="b">
        <f t="shared" si="10"/>
        <v>1</v>
      </c>
      <c r="K147" s="8" t="b">
        <f t="shared" si="11"/>
        <v>1</v>
      </c>
      <c r="L147" s="8" t="b">
        <f t="shared" si="12"/>
        <v>1</v>
      </c>
      <c r="M147" s="8" t="b">
        <f t="shared" si="13"/>
        <v>1</v>
      </c>
      <c r="N147" s="1" t="b">
        <f t="shared" si="14"/>
        <v>1</v>
      </c>
      <c r="O147" s="8" t="str">
        <f>IF(F147="","",IF($F$2=入力リスト!$H$25,ROUNDDOWN(INT(F147)+ROUNDDOWN((F147-INT(F147))*100,0)/60,2),F147))</f>
        <v/>
      </c>
      <c r="P147" s="7"/>
      <c r="Q147" s="7"/>
    </row>
    <row r="148" spans="1:17">
      <c r="A148" s="105"/>
      <c r="B148" s="2"/>
      <c r="C148" s="254"/>
      <c r="D148" s="254"/>
      <c r="E148" s="254"/>
      <c r="F148" s="255"/>
      <c r="G148" s="215" t="str">
        <f>IF(AND($B148="",OR(B148&lt;&gt;"",C148&lt;&gt;"",D148&lt;&gt;"",E148&lt;&gt;"",F148&lt;&gt;"")),入力リスト!$K$34,IF($I148=TRUE,入力リスト!$K$35,IF(J148=FALSE,"「毎月の固定給与額」","")&amp;IF(AND(J148=FALSE,OR(K148=FALSE,L148=FALSE,M148=FALSE)),",","")&amp;IF(K148=FALSE,"「賞与額等」","")&amp;IF(AND(K148=FALSE,OR(L148=FALSE,M148=FALSE)),",","")&amp;IF(L148=FALSE,"「残業手当」","")&amp;IF(AND(L148=FALSE,M148=FALSE),",","")&amp;IF(M148=FALSE,"「残業時間」","")&amp;IF(OR(J148=FALSE,K148=FALSE,L148=FALSE,M148=FALSE),入力リスト!$K$36,"")&amp;IF(N148,"",入力リスト!$K$37)))</f>
        <v/>
      </c>
      <c r="H148" s="215"/>
      <c r="I148" s="1" t="b">
        <f>IF(B148="",FALSE,COUNTIF('従業員情報(給与以外)'!$A$4:$A$1000000,$B148)=0)</f>
        <v>0</v>
      </c>
      <c r="J148" s="8" t="b">
        <f t="shared" si="10"/>
        <v>1</v>
      </c>
      <c r="K148" s="8" t="b">
        <f t="shared" si="11"/>
        <v>1</v>
      </c>
      <c r="L148" s="8" t="b">
        <f t="shared" si="12"/>
        <v>1</v>
      </c>
      <c r="M148" s="8" t="b">
        <f t="shared" si="13"/>
        <v>1</v>
      </c>
      <c r="N148" s="1" t="b">
        <f t="shared" si="14"/>
        <v>1</v>
      </c>
      <c r="O148" s="8" t="str">
        <f>IF(F148="","",IF($F$2=入力リスト!$H$25,ROUNDDOWN(INT(F148)+ROUNDDOWN((F148-INT(F148))*100,0)/60,2),F148))</f>
        <v/>
      </c>
      <c r="P148" s="7"/>
      <c r="Q148" s="7"/>
    </row>
    <row r="149" spans="1:17">
      <c r="A149" s="105"/>
      <c r="B149" s="2"/>
      <c r="C149" s="254"/>
      <c r="D149" s="254"/>
      <c r="E149" s="254"/>
      <c r="F149" s="255"/>
      <c r="G149" s="215" t="str">
        <f>IF(AND($B149="",OR(B149&lt;&gt;"",C149&lt;&gt;"",D149&lt;&gt;"",E149&lt;&gt;"",F149&lt;&gt;"")),入力リスト!$K$34,IF($I149=TRUE,入力リスト!$K$35,IF(J149=FALSE,"「毎月の固定給与額」","")&amp;IF(AND(J149=FALSE,OR(K149=FALSE,L149=FALSE,M149=FALSE)),",","")&amp;IF(K149=FALSE,"「賞与額等」","")&amp;IF(AND(K149=FALSE,OR(L149=FALSE,M149=FALSE)),",","")&amp;IF(L149=FALSE,"「残業手当」","")&amp;IF(AND(L149=FALSE,M149=FALSE),",","")&amp;IF(M149=FALSE,"「残業時間」","")&amp;IF(OR(J149=FALSE,K149=FALSE,L149=FALSE,M149=FALSE),入力リスト!$K$36,"")&amp;IF(N149,"",入力リスト!$K$37)))</f>
        <v/>
      </c>
      <c r="H149" s="215"/>
      <c r="I149" s="1" t="b">
        <f>IF(B149="",FALSE,COUNTIF('従業員情報(給与以外)'!$A$4:$A$1000000,$B149)=0)</f>
        <v>0</v>
      </c>
      <c r="J149" s="8" t="b">
        <f t="shared" si="10"/>
        <v>1</v>
      </c>
      <c r="K149" s="8" t="b">
        <f t="shared" si="11"/>
        <v>1</v>
      </c>
      <c r="L149" s="8" t="b">
        <f t="shared" si="12"/>
        <v>1</v>
      </c>
      <c r="M149" s="8" t="b">
        <f t="shared" si="13"/>
        <v>1</v>
      </c>
      <c r="N149" s="1" t="b">
        <f t="shared" si="14"/>
        <v>1</v>
      </c>
      <c r="O149" s="8" t="str">
        <f>IF(F149="","",IF($F$2=入力リスト!$H$25,ROUNDDOWN(INT(F149)+ROUNDDOWN((F149-INT(F149))*100,0)/60,2),F149))</f>
        <v/>
      </c>
      <c r="P149" s="7"/>
      <c r="Q149" s="7"/>
    </row>
    <row r="150" spans="1:17">
      <c r="A150" s="105"/>
      <c r="B150" s="2"/>
      <c r="C150" s="254"/>
      <c r="D150" s="254"/>
      <c r="E150" s="254"/>
      <c r="F150" s="255"/>
      <c r="G150" s="215" t="str">
        <f>IF(AND($B150="",OR(B150&lt;&gt;"",C150&lt;&gt;"",D150&lt;&gt;"",E150&lt;&gt;"",F150&lt;&gt;"")),入力リスト!$K$34,IF($I150=TRUE,入力リスト!$K$35,IF(J150=FALSE,"「毎月の固定給与額」","")&amp;IF(AND(J150=FALSE,OR(K150=FALSE,L150=FALSE,M150=FALSE)),",","")&amp;IF(K150=FALSE,"「賞与額等」","")&amp;IF(AND(K150=FALSE,OR(L150=FALSE,M150=FALSE)),",","")&amp;IF(L150=FALSE,"「残業手当」","")&amp;IF(AND(L150=FALSE,M150=FALSE),",","")&amp;IF(M150=FALSE,"「残業時間」","")&amp;IF(OR(J150=FALSE,K150=FALSE,L150=FALSE,M150=FALSE),入力リスト!$K$36,"")&amp;IF(N150,"",入力リスト!$K$37)))</f>
        <v/>
      </c>
      <c r="H150" s="215"/>
      <c r="I150" s="1" t="b">
        <f>IF(B150="",FALSE,COUNTIF('従業員情報(給与以外)'!$A$4:$A$1000000,$B150)=0)</f>
        <v>0</v>
      </c>
      <c r="J150" s="8" t="b">
        <f t="shared" si="10"/>
        <v>1</v>
      </c>
      <c r="K150" s="8" t="b">
        <f t="shared" si="11"/>
        <v>1</v>
      </c>
      <c r="L150" s="8" t="b">
        <f t="shared" si="12"/>
        <v>1</v>
      </c>
      <c r="M150" s="8" t="b">
        <f t="shared" si="13"/>
        <v>1</v>
      </c>
      <c r="N150" s="1" t="b">
        <f t="shared" si="14"/>
        <v>1</v>
      </c>
      <c r="O150" s="8" t="str">
        <f>IF(F150="","",IF($F$2=入力リスト!$H$25,ROUNDDOWN(INT(F150)+ROUNDDOWN((F150-INT(F150))*100,0)/60,2),F150))</f>
        <v/>
      </c>
      <c r="P150" s="7"/>
      <c r="Q150" s="7"/>
    </row>
    <row r="151" spans="1:17">
      <c r="A151" s="105"/>
      <c r="B151" s="2"/>
      <c r="C151" s="254"/>
      <c r="D151" s="254"/>
      <c r="E151" s="254"/>
      <c r="F151" s="255"/>
      <c r="G151" s="215" t="str">
        <f>IF(AND($B151="",OR(B151&lt;&gt;"",C151&lt;&gt;"",D151&lt;&gt;"",E151&lt;&gt;"",F151&lt;&gt;"")),入力リスト!$K$34,IF($I151=TRUE,入力リスト!$K$35,IF(J151=FALSE,"「毎月の固定給与額」","")&amp;IF(AND(J151=FALSE,OR(K151=FALSE,L151=FALSE,M151=FALSE)),",","")&amp;IF(K151=FALSE,"「賞与額等」","")&amp;IF(AND(K151=FALSE,OR(L151=FALSE,M151=FALSE)),",","")&amp;IF(L151=FALSE,"「残業手当」","")&amp;IF(AND(L151=FALSE,M151=FALSE),",","")&amp;IF(M151=FALSE,"「残業時間」","")&amp;IF(OR(J151=FALSE,K151=FALSE,L151=FALSE,M151=FALSE),入力リスト!$K$36,"")&amp;IF(N151,"",入力リスト!$K$37)))</f>
        <v/>
      </c>
      <c r="H151" s="215"/>
      <c r="I151" s="1" t="b">
        <f>IF(B151="",FALSE,COUNTIF('従業員情報(給与以外)'!$A$4:$A$1000000,$B151)=0)</f>
        <v>0</v>
      </c>
      <c r="J151" s="8" t="b">
        <f t="shared" si="10"/>
        <v>1</v>
      </c>
      <c r="K151" s="8" t="b">
        <f t="shared" si="11"/>
        <v>1</v>
      </c>
      <c r="L151" s="8" t="b">
        <f t="shared" si="12"/>
        <v>1</v>
      </c>
      <c r="M151" s="8" t="b">
        <f t="shared" si="13"/>
        <v>1</v>
      </c>
      <c r="N151" s="1" t="b">
        <f t="shared" si="14"/>
        <v>1</v>
      </c>
      <c r="O151" s="8" t="str">
        <f>IF(F151="","",IF($F$2=入力リスト!$H$25,ROUNDDOWN(INT(F151)+ROUNDDOWN((F151-INT(F151))*100,0)/60,2),F151))</f>
        <v/>
      </c>
      <c r="P151" s="7"/>
      <c r="Q151" s="7"/>
    </row>
    <row r="152" spans="1:17">
      <c r="A152" s="105"/>
      <c r="B152" s="2"/>
      <c r="C152" s="254"/>
      <c r="D152" s="254"/>
      <c r="E152" s="254"/>
      <c r="F152" s="255"/>
      <c r="G152" s="215" t="str">
        <f>IF(AND($B152="",OR(B152&lt;&gt;"",C152&lt;&gt;"",D152&lt;&gt;"",E152&lt;&gt;"",F152&lt;&gt;"")),入力リスト!$K$34,IF($I152=TRUE,入力リスト!$K$35,IF(J152=FALSE,"「毎月の固定給与額」","")&amp;IF(AND(J152=FALSE,OR(K152=FALSE,L152=FALSE,M152=FALSE)),",","")&amp;IF(K152=FALSE,"「賞与額等」","")&amp;IF(AND(K152=FALSE,OR(L152=FALSE,M152=FALSE)),",","")&amp;IF(L152=FALSE,"「残業手当」","")&amp;IF(AND(L152=FALSE,M152=FALSE),",","")&amp;IF(M152=FALSE,"「残業時間」","")&amp;IF(OR(J152=FALSE,K152=FALSE,L152=FALSE,M152=FALSE),入力リスト!$K$36,"")&amp;IF(N152,"",入力リスト!$K$37)))</f>
        <v/>
      </c>
      <c r="H152" s="215"/>
      <c r="I152" s="1" t="b">
        <f>IF(B152="",FALSE,COUNTIF('従業員情報(給与以外)'!$A$4:$A$1000000,$B152)=0)</f>
        <v>0</v>
      </c>
      <c r="J152" s="8" t="b">
        <f t="shared" si="10"/>
        <v>1</v>
      </c>
      <c r="K152" s="8" t="b">
        <f t="shared" si="11"/>
        <v>1</v>
      </c>
      <c r="L152" s="8" t="b">
        <f t="shared" si="12"/>
        <v>1</v>
      </c>
      <c r="M152" s="8" t="b">
        <f t="shared" si="13"/>
        <v>1</v>
      </c>
      <c r="N152" s="1" t="b">
        <f t="shared" si="14"/>
        <v>1</v>
      </c>
      <c r="O152" s="8" t="str">
        <f>IF(F152="","",IF($F$2=入力リスト!$H$25,ROUNDDOWN(INT(F152)+ROUNDDOWN((F152-INT(F152))*100,0)/60,2),F152))</f>
        <v/>
      </c>
      <c r="P152" s="7"/>
      <c r="Q152" s="7"/>
    </row>
    <row r="153" spans="1:17">
      <c r="A153" s="105"/>
      <c r="B153" s="2"/>
      <c r="C153" s="254"/>
      <c r="D153" s="254"/>
      <c r="E153" s="254"/>
      <c r="F153" s="255"/>
      <c r="G153" s="215" t="str">
        <f>IF(AND($B153="",OR(B153&lt;&gt;"",C153&lt;&gt;"",D153&lt;&gt;"",E153&lt;&gt;"",F153&lt;&gt;"")),入力リスト!$K$34,IF($I153=TRUE,入力リスト!$K$35,IF(J153=FALSE,"「毎月の固定給与額」","")&amp;IF(AND(J153=FALSE,OR(K153=FALSE,L153=FALSE,M153=FALSE)),",","")&amp;IF(K153=FALSE,"「賞与額等」","")&amp;IF(AND(K153=FALSE,OR(L153=FALSE,M153=FALSE)),",","")&amp;IF(L153=FALSE,"「残業手当」","")&amp;IF(AND(L153=FALSE,M153=FALSE),",","")&amp;IF(M153=FALSE,"「残業時間」","")&amp;IF(OR(J153=FALSE,K153=FALSE,L153=FALSE,M153=FALSE),入力リスト!$K$36,"")&amp;IF(N153,"",入力リスト!$K$37)))</f>
        <v/>
      </c>
      <c r="H153" s="215"/>
      <c r="I153" s="1" t="b">
        <f>IF(B153="",FALSE,COUNTIF('従業員情報(給与以外)'!$A$4:$A$1000000,$B153)=0)</f>
        <v>0</v>
      </c>
      <c r="J153" s="8" t="b">
        <f t="shared" si="10"/>
        <v>1</v>
      </c>
      <c r="K153" s="8" t="b">
        <f t="shared" si="11"/>
        <v>1</v>
      </c>
      <c r="L153" s="8" t="b">
        <f t="shared" si="12"/>
        <v>1</v>
      </c>
      <c r="M153" s="8" t="b">
        <f t="shared" si="13"/>
        <v>1</v>
      </c>
      <c r="N153" s="1" t="b">
        <f t="shared" si="14"/>
        <v>1</v>
      </c>
      <c r="O153" s="8" t="str">
        <f>IF(F153="","",IF($F$2=入力リスト!$H$25,ROUNDDOWN(INT(F153)+ROUNDDOWN((F153-INT(F153))*100,0)/60,2),F153))</f>
        <v/>
      </c>
      <c r="P153" s="7"/>
      <c r="Q153" s="7"/>
    </row>
    <row r="154" spans="1:17">
      <c r="A154" s="105"/>
      <c r="B154" s="2"/>
      <c r="C154" s="254"/>
      <c r="D154" s="254"/>
      <c r="E154" s="254"/>
      <c r="F154" s="255"/>
      <c r="G154" s="215" t="str">
        <f>IF(AND($B154="",OR(B154&lt;&gt;"",C154&lt;&gt;"",D154&lt;&gt;"",E154&lt;&gt;"",F154&lt;&gt;"")),入力リスト!$K$34,IF($I154=TRUE,入力リスト!$K$35,IF(J154=FALSE,"「毎月の固定給与額」","")&amp;IF(AND(J154=FALSE,OR(K154=FALSE,L154=FALSE,M154=FALSE)),",","")&amp;IF(K154=FALSE,"「賞与額等」","")&amp;IF(AND(K154=FALSE,OR(L154=FALSE,M154=FALSE)),",","")&amp;IF(L154=FALSE,"「残業手当」","")&amp;IF(AND(L154=FALSE,M154=FALSE),",","")&amp;IF(M154=FALSE,"「残業時間」","")&amp;IF(OR(J154=FALSE,K154=FALSE,L154=FALSE,M154=FALSE),入力リスト!$K$36,"")&amp;IF(N154,"",入力リスト!$K$37)))</f>
        <v/>
      </c>
      <c r="H154" s="215"/>
      <c r="I154" s="1" t="b">
        <f>IF(B154="",FALSE,COUNTIF('従業員情報(給与以外)'!$A$4:$A$1000000,$B154)=0)</f>
        <v>0</v>
      </c>
      <c r="J154" s="8" t="b">
        <f t="shared" si="10"/>
        <v>1</v>
      </c>
      <c r="K154" s="8" t="b">
        <f t="shared" si="11"/>
        <v>1</v>
      </c>
      <c r="L154" s="8" t="b">
        <f t="shared" si="12"/>
        <v>1</v>
      </c>
      <c r="M154" s="8" t="b">
        <f t="shared" si="13"/>
        <v>1</v>
      </c>
      <c r="N154" s="1" t="b">
        <f t="shared" si="14"/>
        <v>1</v>
      </c>
      <c r="O154" s="8" t="str">
        <f>IF(F154="","",IF($F$2=入力リスト!$H$25,ROUNDDOWN(INT(F154)+ROUNDDOWN((F154-INT(F154))*100,0)/60,2),F154))</f>
        <v/>
      </c>
      <c r="P154" s="7"/>
      <c r="Q154" s="7"/>
    </row>
    <row r="155" spans="1:17">
      <c r="A155" s="105"/>
      <c r="B155" s="2"/>
      <c r="C155" s="254"/>
      <c r="D155" s="254"/>
      <c r="E155" s="254"/>
      <c r="F155" s="255"/>
      <c r="G155" s="215" t="str">
        <f>IF(AND($B155="",OR(B155&lt;&gt;"",C155&lt;&gt;"",D155&lt;&gt;"",E155&lt;&gt;"",F155&lt;&gt;"")),入力リスト!$K$34,IF($I155=TRUE,入力リスト!$K$35,IF(J155=FALSE,"「毎月の固定給与額」","")&amp;IF(AND(J155=FALSE,OR(K155=FALSE,L155=FALSE,M155=FALSE)),",","")&amp;IF(K155=FALSE,"「賞与額等」","")&amp;IF(AND(K155=FALSE,OR(L155=FALSE,M155=FALSE)),",","")&amp;IF(L155=FALSE,"「残業手当」","")&amp;IF(AND(L155=FALSE,M155=FALSE),",","")&amp;IF(M155=FALSE,"「残業時間」","")&amp;IF(OR(J155=FALSE,K155=FALSE,L155=FALSE,M155=FALSE),入力リスト!$K$36,"")&amp;IF(N155,"",入力リスト!$K$37)))</f>
        <v/>
      </c>
      <c r="H155" s="215"/>
      <c r="I155" s="1" t="b">
        <f>IF(B155="",FALSE,COUNTIF('従業員情報(給与以外)'!$A$4:$A$1000000,$B155)=0)</f>
        <v>0</v>
      </c>
      <c r="J155" s="8" t="b">
        <f t="shared" si="10"/>
        <v>1</v>
      </c>
      <c r="K155" s="8" t="b">
        <f t="shared" si="11"/>
        <v>1</v>
      </c>
      <c r="L155" s="8" t="b">
        <f t="shared" si="12"/>
        <v>1</v>
      </c>
      <c r="M155" s="8" t="b">
        <f t="shared" si="13"/>
        <v>1</v>
      </c>
      <c r="N155" s="1" t="b">
        <f t="shared" si="14"/>
        <v>1</v>
      </c>
      <c r="O155" s="8" t="str">
        <f>IF(F155="","",IF($F$2=入力リスト!$H$25,ROUNDDOWN(INT(F155)+ROUNDDOWN((F155-INT(F155))*100,0)/60,2),F155))</f>
        <v/>
      </c>
      <c r="P155" s="7"/>
      <c r="Q155" s="7"/>
    </row>
    <row r="156" spans="1:17">
      <c r="A156" s="105"/>
      <c r="B156" s="2"/>
      <c r="C156" s="254"/>
      <c r="D156" s="254"/>
      <c r="E156" s="254"/>
      <c r="F156" s="255"/>
      <c r="G156" s="215" t="str">
        <f>IF(AND($B156="",OR(B156&lt;&gt;"",C156&lt;&gt;"",D156&lt;&gt;"",E156&lt;&gt;"",F156&lt;&gt;"")),入力リスト!$K$34,IF($I156=TRUE,入力リスト!$K$35,IF(J156=FALSE,"「毎月の固定給与額」","")&amp;IF(AND(J156=FALSE,OR(K156=FALSE,L156=FALSE,M156=FALSE)),",","")&amp;IF(K156=FALSE,"「賞与額等」","")&amp;IF(AND(K156=FALSE,OR(L156=FALSE,M156=FALSE)),",","")&amp;IF(L156=FALSE,"「残業手当」","")&amp;IF(AND(L156=FALSE,M156=FALSE),",","")&amp;IF(M156=FALSE,"「残業時間」","")&amp;IF(OR(J156=FALSE,K156=FALSE,L156=FALSE,M156=FALSE),入力リスト!$K$36,"")&amp;IF(N156,"",入力リスト!$K$37)))</f>
        <v/>
      </c>
      <c r="H156" s="215"/>
      <c r="I156" s="1" t="b">
        <f>IF(B156="",FALSE,COUNTIF('従業員情報(給与以外)'!$A$4:$A$1000000,$B156)=0)</f>
        <v>0</v>
      </c>
      <c r="J156" s="8" t="b">
        <f t="shared" si="10"/>
        <v>1</v>
      </c>
      <c r="K156" s="8" t="b">
        <f t="shared" si="11"/>
        <v>1</v>
      </c>
      <c r="L156" s="8" t="b">
        <f t="shared" si="12"/>
        <v>1</v>
      </c>
      <c r="M156" s="8" t="b">
        <f t="shared" si="13"/>
        <v>1</v>
      </c>
      <c r="N156" s="1" t="b">
        <f t="shared" si="14"/>
        <v>1</v>
      </c>
      <c r="O156" s="8" t="str">
        <f>IF(F156="","",IF($F$2=入力リスト!$H$25,ROUNDDOWN(INT(F156)+ROUNDDOWN((F156-INT(F156))*100,0)/60,2),F156))</f>
        <v/>
      </c>
      <c r="P156" s="7"/>
      <c r="Q156" s="7"/>
    </row>
    <row r="157" spans="1:17">
      <c r="A157" s="105"/>
      <c r="B157" s="2"/>
      <c r="C157" s="254"/>
      <c r="D157" s="254"/>
      <c r="E157" s="254"/>
      <c r="F157" s="255"/>
      <c r="G157" s="215" t="str">
        <f>IF(AND($B157="",OR(B157&lt;&gt;"",C157&lt;&gt;"",D157&lt;&gt;"",E157&lt;&gt;"",F157&lt;&gt;"")),入力リスト!$K$34,IF($I157=TRUE,入力リスト!$K$35,IF(J157=FALSE,"「毎月の固定給与額」","")&amp;IF(AND(J157=FALSE,OR(K157=FALSE,L157=FALSE,M157=FALSE)),",","")&amp;IF(K157=FALSE,"「賞与額等」","")&amp;IF(AND(K157=FALSE,OR(L157=FALSE,M157=FALSE)),",","")&amp;IF(L157=FALSE,"「残業手当」","")&amp;IF(AND(L157=FALSE,M157=FALSE),",","")&amp;IF(M157=FALSE,"「残業時間」","")&amp;IF(OR(J157=FALSE,K157=FALSE,L157=FALSE,M157=FALSE),入力リスト!$K$36,"")&amp;IF(N157,"",入力リスト!$K$37)))</f>
        <v/>
      </c>
      <c r="H157" s="215"/>
      <c r="I157" s="1" t="b">
        <f>IF(B157="",FALSE,COUNTIF('従業員情報(給与以外)'!$A$4:$A$1000000,$B157)=0)</f>
        <v>0</v>
      </c>
      <c r="J157" s="8" t="b">
        <f t="shared" si="10"/>
        <v>1</v>
      </c>
      <c r="K157" s="8" t="b">
        <f t="shared" si="11"/>
        <v>1</v>
      </c>
      <c r="L157" s="8" t="b">
        <f t="shared" si="12"/>
        <v>1</v>
      </c>
      <c r="M157" s="8" t="b">
        <f t="shared" si="13"/>
        <v>1</v>
      </c>
      <c r="N157" s="1" t="b">
        <f t="shared" si="14"/>
        <v>1</v>
      </c>
      <c r="O157" s="8" t="str">
        <f>IF(F157="","",IF($F$2=入力リスト!$H$25,ROUNDDOWN(INT(F157)+ROUNDDOWN((F157-INT(F157))*100,0)/60,2),F157))</f>
        <v/>
      </c>
      <c r="P157" s="7"/>
      <c r="Q157" s="7"/>
    </row>
    <row r="158" spans="1:17">
      <c r="A158" s="105"/>
      <c r="B158" s="2"/>
      <c r="C158" s="254"/>
      <c r="D158" s="254"/>
      <c r="E158" s="254"/>
      <c r="F158" s="255"/>
      <c r="G158" s="215" t="str">
        <f>IF(AND($B158="",OR(B158&lt;&gt;"",C158&lt;&gt;"",D158&lt;&gt;"",E158&lt;&gt;"",F158&lt;&gt;"")),入力リスト!$K$34,IF($I158=TRUE,入力リスト!$K$35,IF(J158=FALSE,"「毎月の固定給与額」","")&amp;IF(AND(J158=FALSE,OR(K158=FALSE,L158=FALSE,M158=FALSE)),",","")&amp;IF(K158=FALSE,"「賞与額等」","")&amp;IF(AND(K158=FALSE,OR(L158=FALSE,M158=FALSE)),",","")&amp;IF(L158=FALSE,"「残業手当」","")&amp;IF(AND(L158=FALSE,M158=FALSE),",","")&amp;IF(M158=FALSE,"「残業時間」","")&amp;IF(OR(J158=FALSE,K158=FALSE,L158=FALSE,M158=FALSE),入力リスト!$K$36,"")&amp;IF(N158,"",入力リスト!$K$37)))</f>
        <v/>
      </c>
      <c r="H158" s="215"/>
      <c r="I158" s="1" t="b">
        <f>IF(B158="",FALSE,COUNTIF('従業員情報(給与以外)'!$A$4:$A$1000000,$B158)=0)</f>
        <v>0</v>
      </c>
      <c r="J158" s="8" t="b">
        <f t="shared" si="10"/>
        <v>1</v>
      </c>
      <c r="K158" s="8" t="b">
        <f t="shared" si="11"/>
        <v>1</v>
      </c>
      <c r="L158" s="8" t="b">
        <f t="shared" si="12"/>
        <v>1</v>
      </c>
      <c r="M158" s="8" t="b">
        <f t="shared" si="13"/>
        <v>1</v>
      </c>
      <c r="N158" s="1" t="b">
        <f t="shared" si="14"/>
        <v>1</v>
      </c>
      <c r="O158" s="8" t="str">
        <f>IF(F158="","",IF($F$2=入力リスト!$H$25,ROUNDDOWN(INT(F158)+ROUNDDOWN((F158-INT(F158))*100,0)/60,2),F158))</f>
        <v/>
      </c>
      <c r="P158" s="7"/>
      <c r="Q158" s="7"/>
    </row>
    <row r="159" spans="1:17">
      <c r="A159" s="105"/>
      <c r="B159" s="2"/>
      <c r="C159" s="254"/>
      <c r="D159" s="254"/>
      <c r="E159" s="254"/>
      <c r="F159" s="255"/>
      <c r="G159" s="215" t="str">
        <f>IF(AND($B159="",OR(B159&lt;&gt;"",C159&lt;&gt;"",D159&lt;&gt;"",E159&lt;&gt;"",F159&lt;&gt;"")),入力リスト!$K$34,IF($I159=TRUE,入力リスト!$K$35,IF(J159=FALSE,"「毎月の固定給与額」","")&amp;IF(AND(J159=FALSE,OR(K159=FALSE,L159=FALSE,M159=FALSE)),",","")&amp;IF(K159=FALSE,"「賞与額等」","")&amp;IF(AND(K159=FALSE,OR(L159=FALSE,M159=FALSE)),",","")&amp;IF(L159=FALSE,"「残業手当」","")&amp;IF(AND(L159=FALSE,M159=FALSE),",","")&amp;IF(M159=FALSE,"「残業時間」","")&amp;IF(OR(J159=FALSE,K159=FALSE,L159=FALSE,M159=FALSE),入力リスト!$K$36,"")&amp;IF(N159,"",入力リスト!$K$37)))</f>
        <v/>
      </c>
      <c r="H159" s="215"/>
      <c r="I159" s="1" t="b">
        <f>IF(B159="",FALSE,COUNTIF('従業員情報(給与以外)'!$A$4:$A$1000000,$B159)=0)</f>
        <v>0</v>
      </c>
      <c r="J159" s="8" t="b">
        <f t="shared" si="10"/>
        <v>1</v>
      </c>
      <c r="K159" s="8" t="b">
        <f t="shared" si="11"/>
        <v>1</v>
      </c>
      <c r="L159" s="8" t="b">
        <f t="shared" si="12"/>
        <v>1</v>
      </c>
      <c r="M159" s="8" t="b">
        <f t="shared" si="13"/>
        <v>1</v>
      </c>
      <c r="N159" s="1" t="b">
        <f t="shared" si="14"/>
        <v>1</v>
      </c>
      <c r="O159" s="8" t="str">
        <f>IF(F159="","",IF($F$2=入力リスト!$H$25,ROUNDDOWN(INT(F159)+ROUNDDOWN((F159-INT(F159))*100,0)/60,2),F159))</f>
        <v/>
      </c>
      <c r="P159" s="7"/>
      <c r="Q159" s="7"/>
    </row>
    <row r="160" spans="1:17">
      <c r="A160" s="105"/>
      <c r="B160" s="2"/>
      <c r="C160" s="254"/>
      <c r="D160" s="254"/>
      <c r="E160" s="254"/>
      <c r="F160" s="255"/>
      <c r="G160" s="215" t="str">
        <f>IF(AND($B160="",OR(B160&lt;&gt;"",C160&lt;&gt;"",D160&lt;&gt;"",E160&lt;&gt;"",F160&lt;&gt;"")),入力リスト!$K$34,IF($I160=TRUE,入力リスト!$K$35,IF(J160=FALSE,"「毎月の固定給与額」","")&amp;IF(AND(J160=FALSE,OR(K160=FALSE,L160=FALSE,M160=FALSE)),",","")&amp;IF(K160=FALSE,"「賞与額等」","")&amp;IF(AND(K160=FALSE,OR(L160=FALSE,M160=FALSE)),",","")&amp;IF(L160=FALSE,"「残業手当」","")&amp;IF(AND(L160=FALSE,M160=FALSE),",","")&amp;IF(M160=FALSE,"「残業時間」","")&amp;IF(OR(J160=FALSE,K160=FALSE,L160=FALSE,M160=FALSE),入力リスト!$K$36,"")&amp;IF(N160,"",入力リスト!$K$37)))</f>
        <v/>
      </c>
      <c r="H160" s="215"/>
      <c r="I160" s="1" t="b">
        <f>IF(B160="",FALSE,COUNTIF('従業員情報(給与以外)'!$A$4:$A$1000000,$B160)=0)</f>
        <v>0</v>
      </c>
      <c r="J160" s="8" t="b">
        <f t="shared" si="10"/>
        <v>1</v>
      </c>
      <c r="K160" s="8" t="b">
        <f t="shared" si="11"/>
        <v>1</v>
      </c>
      <c r="L160" s="8" t="b">
        <f t="shared" si="12"/>
        <v>1</v>
      </c>
      <c r="M160" s="8" t="b">
        <f t="shared" si="13"/>
        <v>1</v>
      </c>
      <c r="N160" s="1" t="b">
        <f t="shared" si="14"/>
        <v>1</v>
      </c>
      <c r="O160" s="8" t="str">
        <f>IF(F160="","",IF($F$2=入力リスト!$H$25,ROUNDDOWN(INT(F160)+ROUNDDOWN((F160-INT(F160))*100,0)/60,2),F160))</f>
        <v/>
      </c>
      <c r="P160" s="7"/>
      <c r="Q160" s="7"/>
    </row>
    <row r="161" spans="1:17">
      <c r="A161" s="105"/>
      <c r="B161" s="2"/>
      <c r="C161" s="254"/>
      <c r="D161" s="254"/>
      <c r="E161" s="254"/>
      <c r="F161" s="255"/>
      <c r="G161" s="215" t="str">
        <f>IF(AND($B161="",OR(B161&lt;&gt;"",C161&lt;&gt;"",D161&lt;&gt;"",E161&lt;&gt;"",F161&lt;&gt;"")),入力リスト!$K$34,IF($I161=TRUE,入力リスト!$K$35,IF(J161=FALSE,"「毎月の固定給与額」","")&amp;IF(AND(J161=FALSE,OR(K161=FALSE,L161=FALSE,M161=FALSE)),",","")&amp;IF(K161=FALSE,"「賞与額等」","")&amp;IF(AND(K161=FALSE,OR(L161=FALSE,M161=FALSE)),",","")&amp;IF(L161=FALSE,"「残業手当」","")&amp;IF(AND(L161=FALSE,M161=FALSE),",","")&amp;IF(M161=FALSE,"「残業時間」","")&amp;IF(OR(J161=FALSE,K161=FALSE,L161=FALSE,M161=FALSE),入力リスト!$K$36,"")&amp;IF(N161,"",入力リスト!$K$37)))</f>
        <v/>
      </c>
      <c r="H161" s="215"/>
      <c r="I161" s="1" t="b">
        <f>IF(B161="",FALSE,COUNTIF('従業員情報(給与以外)'!$A$4:$A$1000000,$B161)=0)</f>
        <v>0</v>
      </c>
      <c r="J161" s="8" t="b">
        <f t="shared" si="10"/>
        <v>1</v>
      </c>
      <c r="K161" s="8" t="b">
        <f t="shared" si="11"/>
        <v>1</v>
      </c>
      <c r="L161" s="8" t="b">
        <f t="shared" si="12"/>
        <v>1</v>
      </c>
      <c r="M161" s="8" t="b">
        <f t="shared" si="13"/>
        <v>1</v>
      </c>
      <c r="N161" s="1" t="b">
        <f t="shared" si="14"/>
        <v>1</v>
      </c>
      <c r="O161" s="8" t="str">
        <f>IF(F161="","",IF($F$2=入力リスト!$H$25,ROUNDDOWN(INT(F161)+ROUNDDOWN((F161-INT(F161))*100,0)/60,2),F161))</f>
        <v/>
      </c>
      <c r="P161" s="7"/>
      <c r="Q161" s="7"/>
    </row>
    <row r="162" spans="1:17">
      <c r="A162" s="105"/>
      <c r="B162" s="2"/>
      <c r="C162" s="254"/>
      <c r="D162" s="254"/>
      <c r="E162" s="254"/>
      <c r="F162" s="255"/>
      <c r="G162" s="215" t="str">
        <f>IF(AND($B162="",OR(B162&lt;&gt;"",C162&lt;&gt;"",D162&lt;&gt;"",E162&lt;&gt;"",F162&lt;&gt;"")),入力リスト!$K$34,IF($I162=TRUE,入力リスト!$K$35,IF(J162=FALSE,"「毎月の固定給与額」","")&amp;IF(AND(J162=FALSE,OR(K162=FALSE,L162=FALSE,M162=FALSE)),",","")&amp;IF(K162=FALSE,"「賞与額等」","")&amp;IF(AND(K162=FALSE,OR(L162=FALSE,M162=FALSE)),",","")&amp;IF(L162=FALSE,"「残業手当」","")&amp;IF(AND(L162=FALSE,M162=FALSE),",","")&amp;IF(M162=FALSE,"「残業時間」","")&amp;IF(OR(J162=FALSE,K162=FALSE,L162=FALSE,M162=FALSE),入力リスト!$K$36,"")&amp;IF(N162,"",入力リスト!$K$37)))</f>
        <v/>
      </c>
      <c r="H162" s="215"/>
      <c r="I162" s="1" t="b">
        <f>IF(B162="",FALSE,COUNTIF('従業員情報(給与以外)'!$A$4:$A$1000000,$B162)=0)</f>
        <v>0</v>
      </c>
      <c r="J162" s="8" t="b">
        <f t="shared" si="10"/>
        <v>1</v>
      </c>
      <c r="K162" s="8" t="b">
        <f t="shared" si="11"/>
        <v>1</v>
      </c>
      <c r="L162" s="8" t="b">
        <f t="shared" si="12"/>
        <v>1</v>
      </c>
      <c r="M162" s="8" t="b">
        <f t="shared" si="13"/>
        <v>1</v>
      </c>
      <c r="N162" s="1" t="b">
        <f t="shared" si="14"/>
        <v>1</v>
      </c>
      <c r="O162" s="8" t="str">
        <f>IF(F162="","",IF($F$2=入力リスト!$H$25,ROUNDDOWN(INT(F162)+ROUNDDOWN((F162-INT(F162))*100,0)/60,2),F162))</f>
        <v/>
      </c>
      <c r="P162" s="7"/>
      <c r="Q162" s="7"/>
    </row>
    <row r="163" spans="1:17">
      <c r="A163" s="105"/>
      <c r="B163" s="2"/>
      <c r="C163" s="254"/>
      <c r="D163" s="254"/>
      <c r="E163" s="254"/>
      <c r="F163" s="255"/>
      <c r="G163" s="215" t="str">
        <f>IF(AND($B163="",OR(B163&lt;&gt;"",C163&lt;&gt;"",D163&lt;&gt;"",E163&lt;&gt;"",F163&lt;&gt;"")),入力リスト!$K$34,IF($I163=TRUE,入力リスト!$K$35,IF(J163=FALSE,"「毎月の固定給与額」","")&amp;IF(AND(J163=FALSE,OR(K163=FALSE,L163=FALSE,M163=FALSE)),",","")&amp;IF(K163=FALSE,"「賞与額等」","")&amp;IF(AND(K163=FALSE,OR(L163=FALSE,M163=FALSE)),",","")&amp;IF(L163=FALSE,"「残業手当」","")&amp;IF(AND(L163=FALSE,M163=FALSE),",","")&amp;IF(M163=FALSE,"「残業時間」","")&amp;IF(OR(J163=FALSE,K163=FALSE,L163=FALSE,M163=FALSE),入力リスト!$K$36,"")&amp;IF(N163,"",入力リスト!$K$37)))</f>
        <v/>
      </c>
      <c r="H163" s="215"/>
      <c r="I163" s="1" t="b">
        <f>IF(B163="",FALSE,COUNTIF('従業員情報(給与以外)'!$A$4:$A$1000000,$B163)=0)</f>
        <v>0</v>
      </c>
      <c r="J163" s="8" t="b">
        <f t="shared" si="10"/>
        <v>1</v>
      </c>
      <c r="K163" s="8" t="b">
        <f t="shared" si="11"/>
        <v>1</v>
      </c>
      <c r="L163" s="8" t="b">
        <f t="shared" si="12"/>
        <v>1</v>
      </c>
      <c r="M163" s="8" t="b">
        <f t="shared" si="13"/>
        <v>1</v>
      </c>
      <c r="N163" s="1" t="b">
        <f t="shared" si="14"/>
        <v>1</v>
      </c>
      <c r="O163" s="8" t="str">
        <f>IF(F163="","",IF($F$2=入力リスト!$H$25,ROUNDDOWN(INT(F163)+ROUNDDOWN((F163-INT(F163))*100,0)/60,2),F163))</f>
        <v/>
      </c>
      <c r="P163" s="7"/>
      <c r="Q163" s="7"/>
    </row>
    <row r="164" spans="1:17">
      <c r="A164" s="105"/>
      <c r="B164" s="2"/>
      <c r="C164" s="254"/>
      <c r="D164" s="254"/>
      <c r="E164" s="254"/>
      <c r="F164" s="255"/>
      <c r="G164" s="215" t="str">
        <f>IF(AND($B164="",OR(B164&lt;&gt;"",C164&lt;&gt;"",D164&lt;&gt;"",E164&lt;&gt;"",F164&lt;&gt;"")),入力リスト!$K$34,IF($I164=TRUE,入力リスト!$K$35,IF(J164=FALSE,"「毎月の固定給与額」","")&amp;IF(AND(J164=FALSE,OR(K164=FALSE,L164=FALSE,M164=FALSE)),",","")&amp;IF(K164=FALSE,"「賞与額等」","")&amp;IF(AND(K164=FALSE,OR(L164=FALSE,M164=FALSE)),",","")&amp;IF(L164=FALSE,"「残業手当」","")&amp;IF(AND(L164=FALSE,M164=FALSE),",","")&amp;IF(M164=FALSE,"「残業時間」","")&amp;IF(OR(J164=FALSE,K164=FALSE,L164=FALSE,M164=FALSE),入力リスト!$K$36,"")&amp;IF(N164,"",入力リスト!$K$37)))</f>
        <v/>
      </c>
      <c r="H164" s="215"/>
      <c r="I164" s="1" t="b">
        <f>IF(B164="",FALSE,COUNTIF('従業員情報(給与以外)'!$A$4:$A$1000000,$B164)=0)</f>
        <v>0</v>
      </c>
      <c r="J164" s="8" t="b">
        <f t="shared" si="10"/>
        <v>1</v>
      </c>
      <c r="K164" s="8" t="b">
        <f t="shared" si="11"/>
        <v>1</v>
      </c>
      <c r="L164" s="8" t="b">
        <f t="shared" si="12"/>
        <v>1</v>
      </c>
      <c r="M164" s="8" t="b">
        <f t="shared" si="13"/>
        <v>1</v>
      </c>
      <c r="N164" s="1" t="b">
        <f t="shared" si="14"/>
        <v>1</v>
      </c>
      <c r="O164" s="8" t="str">
        <f>IF(F164="","",IF($F$2=入力リスト!$H$25,ROUNDDOWN(INT(F164)+ROUNDDOWN((F164-INT(F164))*100,0)/60,2),F164))</f>
        <v/>
      </c>
      <c r="P164" s="7"/>
      <c r="Q164" s="7"/>
    </row>
    <row r="165" spans="1:17">
      <c r="A165" s="105"/>
      <c r="B165" s="2"/>
      <c r="C165" s="254"/>
      <c r="D165" s="254"/>
      <c r="E165" s="254"/>
      <c r="F165" s="255"/>
      <c r="G165" s="215" t="str">
        <f>IF(AND($B165="",OR(B165&lt;&gt;"",C165&lt;&gt;"",D165&lt;&gt;"",E165&lt;&gt;"",F165&lt;&gt;"")),入力リスト!$K$34,IF($I165=TRUE,入力リスト!$K$35,IF(J165=FALSE,"「毎月の固定給与額」","")&amp;IF(AND(J165=FALSE,OR(K165=FALSE,L165=FALSE,M165=FALSE)),",","")&amp;IF(K165=FALSE,"「賞与額等」","")&amp;IF(AND(K165=FALSE,OR(L165=FALSE,M165=FALSE)),",","")&amp;IF(L165=FALSE,"「残業手当」","")&amp;IF(AND(L165=FALSE,M165=FALSE),",","")&amp;IF(M165=FALSE,"「残業時間」","")&amp;IF(OR(J165=FALSE,K165=FALSE,L165=FALSE,M165=FALSE),入力リスト!$K$36,"")&amp;IF(N165,"",入力リスト!$K$37)))</f>
        <v/>
      </c>
      <c r="H165" s="215"/>
      <c r="I165" s="1" t="b">
        <f>IF(B165="",FALSE,COUNTIF('従業員情報(給与以外)'!$A$4:$A$1000000,$B165)=0)</f>
        <v>0</v>
      </c>
      <c r="J165" s="8" t="b">
        <f t="shared" si="10"/>
        <v>1</v>
      </c>
      <c r="K165" s="8" t="b">
        <f t="shared" si="11"/>
        <v>1</v>
      </c>
      <c r="L165" s="8" t="b">
        <f t="shared" si="12"/>
        <v>1</v>
      </c>
      <c r="M165" s="8" t="b">
        <f t="shared" si="13"/>
        <v>1</v>
      </c>
      <c r="N165" s="1" t="b">
        <f t="shared" si="14"/>
        <v>1</v>
      </c>
      <c r="O165" s="8" t="str">
        <f>IF(F165="","",IF($F$2=入力リスト!$H$25,ROUNDDOWN(INT(F165)+ROUNDDOWN((F165-INT(F165))*100,0)/60,2),F165))</f>
        <v/>
      </c>
      <c r="P165" s="7"/>
      <c r="Q165" s="7"/>
    </row>
    <row r="166" spans="1:17">
      <c r="A166" s="105"/>
      <c r="B166" s="2"/>
      <c r="C166" s="254"/>
      <c r="D166" s="254"/>
      <c r="E166" s="254"/>
      <c r="F166" s="255"/>
      <c r="G166" s="215" t="str">
        <f>IF(AND($B166="",OR(B166&lt;&gt;"",C166&lt;&gt;"",D166&lt;&gt;"",E166&lt;&gt;"",F166&lt;&gt;"")),入力リスト!$K$34,IF($I166=TRUE,入力リスト!$K$35,IF(J166=FALSE,"「毎月の固定給与額」","")&amp;IF(AND(J166=FALSE,OR(K166=FALSE,L166=FALSE,M166=FALSE)),",","")&amp;IF(K166=FALSE,"「賞与額等」","")&amp;IF(AND(K166=FALSE,OR(L166=FALSE,M166=FALSE)),",","")&amp;IF(L166=FALSE,"「残業手当」","")&amp;IF(AND(L166=FALSE,M166=FALSE),",","")&amp;IF(M166=FALSE,"「残業時間」","")&amp;IF(OR(J166=FALSE,K166=FALSE,L166=FALSE,M166=FALSE),入力リスト!$K$36,"")&amp;IF(N166,"",入力リスト!$K$37)))</f>
        <v/>
      </c>
      <c r="H166" s="215"/>
      <c r="I166" s="1" t="b">
        <f>IF(B166="",FALSE,COUNTIF('従業員情報(給与以外)'!$A$4:$A$1000000,$B166)=0)</f>
        <v>0</v>
      </c>
      <c r="J166" s="8" t="b">
        <f t="shared" si="10"/>
        <v>1</v>
      </c>
      <c r="K166" s="8" t="b">
        <f t="shared" si="11"/>
        <v>1</v>
      </c>
      <c r="L166" s="8" t="b">
        <f t="shared" si="12"/>
        <v>1</v>
      </c>
      <c r="M166" s="8" t="b">
        <f t="shared" si="13"/>
        <v>1</v>
      </c>
      <c r="N166" s="1" t="b">
        <f t="shared" si="14"/>
        <v>1</v>
      </c>
      <c r="O166" s="8" t="str">
        <f>IF(F166="","",IF($F$2=入力リスト!$H$25,ROUNDDOWN(INT(F166)+ROUNDDOWN((F166-INT(F166))*100,0)/60,2),F166))</f>
        <v/>
      </c>
      <c r="P166" s="7"/>
      <c r="Q166" s="7"/>
    </row>
    <row r="167" spans="1:17">
      <c r="A167" s="105"/>
      <c r="B167" s="2"/>
      <c r="C167" s="254"/>
      <c r="D167" s="254"/>
      <c r="E167" s="254"/>
      <c r="F167" s="255"/>
      <c r="G167" s="215" t="str">
        <f>IF(AND($B167="",OR(B167&lt;&gt;"",C167&lt;&gt;"",D167&lt;&gt;"",E167&lt;&gt;"",F167&lt;&gt;"")),入力リスト!$K$34,IF($I167=TRUE,入力リスト!$K$35,IF(J167=FALSE,"「毎月の固定給与額」","")&amp;IF(AND(J167=FALSE,OR(K167=FALSE,L167=FALSE,M167=FALSE)),",","")&amp;IF(K167=FALSE,"「賞与額等」","")&amp;IF(AND(K167=FALSE,OR(L167=FALSE,M167=FALSE)),",","")&amp;IF(L167=FALSE,"「残業手当」","")&amp;IF(AND(L167=FALSE,M167=FALSE),",","")&amp;IF(M167=FALSE,"「残業時間」","")&amp;IF(OR(J167=FALSE,K167=FALSE,L167=FALSE,M167=FALSE),入力リスト!$K$36,"")&amp;IF(N167,"",入力リスト!$K$37)))</f>
        <v/>
      </c>
      <c r="H167" s="215"/>
      <c r="I167" s="1" t="b">
        <f>IF(B167="",FALSE,COUNTIF('従業員情報(給与以外)'!$A$4:$A$1000000,$B167)=0)</f>
        <v>0</v>
      </c>
      <c r="J167" s="8" t="b">
        <f t="shared" si="10"/>
        <v>1</v>
      </c>
      <c r="K167" s="8" t="b">
        <f t="shared" si="11"/>
        <v>1</v>
      </c>
      <c r="L167" s="8" t="b">
        <f t="shared" si="12"/>
        <v>1</v>
      </c>
      <c r="M167" s="8" t="b">
        <f t="shared" si="13"/>
        <v>1</v>
      </c>
      <c r="N167" s="1" t="b">
        <f t="shared" si="14"/>
        <v>1</v>
      </c>
      <c r="O167" s="8" t="str">
        <f>IF(F167="","",IF($F$2=入力リスト!$H$25,ROUNDDOWN(INT(F167)+ROUNDDOWN((F167-INT(F167))*100,0)/60,2),F167))</f>
        <v/>
      </c>
      <c r="P167" s="7"/>
      <c r="Q167" s="7"/>
    </row>
    <row r="168" spans="1:17">
      <c r="A168" s="105"/>
      <c r="B168" s="2"/>
      <c r="C168" s="254"/>
      <c r="D168" s="254"/>
      <c r="E168" s="254"/>
      <c r="F168" s="255"/>
      <c r="G168" s="215" t="str">
        <f>IF(AND($B168="",OR(B168&lt;&gt;"",C168&lt;&gt;"",D168&lt;&gt;"",E168&lt;&gt;"",F168&lt;&gt;"")),入力リスト!$K$34,IF($I168=TRUE,入力リスト!$K$35,IF(J168=FALSE,"「毎月の固定給与額」","")&amp;IF(AND(J168=FALSE,OR(K168=FALSE,L168=FALSE,M168=FALSE)),",","")&amp;IF(K168=FALSE,"「賞与額等」","")&amp;IF(AND(K168=FALSE,OR(L168=FALSE,M168=FALSE)),",","")&amp;IF(L168=FALSE,"「残業手当」","")&amp;IF(AND(L168=FALSE,M168=FALSE),",","")&amp;IF(M168=FALSE,"「残業時間」","")&amp;IF(OR(J168=FALSE,K168=FALSE,L168=FALSE,M168=FALSE),入力リスト!$K$36,"")&amp;IF(N168,"",入力リスト!$K$37)))</f>
        <v/>
      </c>
      <c r="H168" s="215"/>
      <c r="I168" s="1" t="b">
        <f>IF(B168="",FALSE,COUNTIF('従業員情報(給与以外)'!$A$4:$A$1000000,$B168)=0)</f>
        <v>0</v>
      </c>
      <c r="J168" s="8" t="b">
        <f t="shared" si="10"/>
        <v>1</v>
      </c>
      <c r="K168" s="8" t="b">
        <f t="shared" si="11"/>
        <v>1</v>
      </c>
      <c r="L168" s="8" t="b">
        <f t="shared" si="12"/>
        <v>1</v>
      </c>
      <c r="M168" s="8" t="b">
        <f t="shared" si="13"/>
        <v>1</v>
      </c>
      <c r="N168" s="1" t="b">
        <f t="shared" si="14"/>
        <v>1</v>
      </c>
      <c r="O168" s="8" t="str">
        <f>IF(F168="","",IF($F$2=入力リスト!$H$25,ROUNDDOWN(INT(F168)+ROUNDDOWN((F168-INT(F168))*100,0)/60,2),F168))</f>
        <v/>
      </c>
      <c r="P168" s="7"/>
      <c r="Q168" s="7"/>
    </row>
    <row r="169" spans="1:17">
      <c r="A169" s="105"/>
      <c r="B169" s="2"/>
      <c r="C169" s="254"/>
      <c r="D169" s="254"/>
      <c r="E169" s="254"/>
      <c r="F169" s="255"/>
      <c r="G169" s="215" t="str">
        <f>IF(AND($B169="",OR(B169&lt;&gt;"",C169&lt;&gt;"",D169&lt;&gt;"",E169&lt;&gt;"",F169&lt;&gt;"")),入力リスト!$K$34,IF($I169=TRUE,入力リスト!$K$35,IF(J169=FALSE,"「毎月の固定給与額」","")&amp;IF(AND(J169=FALSE,OR(K169=FALSE,L169=FALSE,M169=FALSE)),",","")&amp;IF(K169=FALSE,"「賞与額等」","")&amp;IF(AND(K169=FALSE,OR(L169=FALSE,M169=FALSE)),",","")&amp;IF(L169=FALSE,"「残業手当」","")&amp;IF(AND(L169=FALSE,M169=FALSE),",","")&amp;IF(M169=FALSE,"「残業時間」","")&amp;IF(OR(J169=FALSE,K169=FALSE,L169=FALSE,M169=FALSE),入力リスト!$K$36,"")&amp;IF(N169,"",入力リスト!$K$37)))</f>
        <v/>
      </c>
      <c r="H169" s="215"/>
      <c r="I169" s="1" t="b">
        <f>IF(B169="",FALSE,COUNTIF('従業員情報(給与以外)'!$A$4:$A$1000000,$B169)=0)</f>
        <v>0</v>
      </c>
      <c r="J169" s="8" t="b">
        <f t="shared" si="10"/>
        <v>1</v>
      </c>
      <c r="K169" s="8" t="b">
        <f t="shared" si="11"/>
        <v>1</v>
      </c>
      <c r="L169" s="8" t="b">
        <f t="shared" si="12"/>
        <v>1</v>
      </c>
      <c r="M169" s="8" t="b">
        <f t="shared" si="13"/>
        <v>1</v>
      </c>
      <c r="N169" s="1" t="b">
        <f t="shared" si="14"/>
        <v>1</v>
      </c>
      <c r="O169" s="8" t="str">
        <f>IF(F169="","",IF($F$2=入力リスト!$H$25,ROUNDDOWN(INT(F169)+ROUNDDOWN((F169-INT(F169))*100,0)/60,2),F169))</f>
        <v/>
      </c>
      <c r="P169" s="7"/>
      <c r="Q169" s="7"/>
    </row>
    <row r="170" spans="1:17">
      <c r="A170" s="105"/>
      <c r="B170" s="2"/>
      <c r="C170" s="254"/>
      <c r="D170" s="254"/>
      <c r="E170" s="254"/>
      <c r="F170" s="255"/>
      <c r="G170" s="215" t="str">
        <f>IF(AND($B170="",OR(B170&lt;&gt;"",C170&lt;&gt;"",D170&lt;&gt;"",E170&lt;&gt;"",F170&lt;&gt;"")),入力リスト!$K$34,IF($I170=TRUE,入力リスト!$K$35,IF(J170=FALSE,"「毎月の固定給与額」","")&amp;IF(AND(J170=FALSE,OR(K170=FALSE,L170=FALSE,M170=FALSE)),",","")&amp;IF(K170=FALSE,"「賞与額等」","")&amp;IF(AND(K170=FALSE,OR(L170=FALSE,M170=FALSE)),",","")&amp;IF(L170=FALSE,"「残業手当」","")&amp;IF(AND(L170=FALSE,M170=FALSE),",","")&amp;IF(M170=FALSE,"「残業時間」","")&amp;IF(OR(J170=FALSE,K170=FALSE,L170=FALSE,M170=FALSE),入力リスト!$K$36,"")&amp;IF(N170,"",入力リスト!$K$37)))</f>
        <v/>
      </c>
      <c r="H170" s="215"/>
      <c r="I170" s="1" t="b">
        <f>IF(B170="",FALSE,COUNTIF('従業員情報(給与以外)'!$A$4:$A$1000000,$B170)=0)</f>
        <v>0</v>
      </c>
      <c r="J170" s="8" t="b">
        <f t="shared" si="10"/>
        <v>1</v>
      </c>
      <c r="K170" s="8" t="b">
        <f t="shared" si="11"/>
        <v>1</v>
      </c>
      <c r="L170" s="8" t="b">
        <f t="shared" si="12"/>
        <v>1</v>
      </c>
      <c r="M170" s="8" t="b">
        <f t="shared" si="13"/>
        <v>1</v>
      </c>
      <c r="N170" s="1" t="b">
        <f t="shared" si="14"/>
        <v>1</v>
      </c>
      <c r="O170" s="8" t="str">
        <f>IF(F170="","",IF($F$2=入力リスト!$H$25,ROUNDDOWN(INT(F170)+ROUNDDOWN((F170-INT(F170))*100,0)/60,2),F170))</f>
        <v/>
      </c>
      <c r="P170" s="7"/>
      <c r="Q170" s="7"/>
    </row>
    <row r="171" spans="1:17">
      <c r="A171" s="105"/>
      <c r="B171" s="2"/>
      <c r="C171" s="254"/>
      <c r="D171" s="254"/>
      <c r="E171" s="254"/>
      <c r="F171" s="255"/>
      <c r="G171" s="215" t="str">
        <f>IF(AND($B171="",OR(B171&lt;&gt;"",C171&lt;&gt;"",D171&lt;&gt;"",E171&lt;&gt;"",F171&lt;&gt;"")),入力リスト!$K$34,IF($I171=TRUE,入力リスト!$K$35,IF(J171=FALSE,"「毎月の固定給与額」","")&amp;IF(AND(J171=FALSE,OR(K171=FALSE,L171=FALSE,M171=FALSE)),",","")&amp;IF(K171=FALSE,"「賞与額等」","")&amp;IF(AND(K171=FALSE,OR(L171=FALSE,M171=FALSE)),",","")&amp;IF(L171=FALSE,"「残業手当」","")&amp;IF(AND(L171=FALSE,M171=FALSE),",","")&amp;IF(M171=FALSE,"「残業時間」","")&amp;IF(OR(J171=FALSE,K171=FALSE,L171=FALSE,M171=FALSE),入力リスト!$K$36,"")&amp;IF(N171,"",入力リスト!$K$37)))</f>
        <v/>
      </c>
      <c r="H171" s="215"/>
      <c r="I171" s="1" t="b">
        <f>IF(B171="",FALSE,COUNTIF('従業員情報(給与以外)'!$A$4:$A$1000000,$B171)=0)</f>
        <v>0</v>
      </c>
      <c r="J171" s="8" t="b">
        <f t="shared" si="10"/>
        <v>1</v>
      </c>
      <c r="K171" s="8" t="b">
        <f t="shared" si="11"/>
        <v>1</v>
      </c>
      <c r="L171" s="8" t="b">
        <f t="shared" si="12"/>
        <v>1</v>
      </c>
      <c r="M171" s="8" t="b">
        <f t="shared" si="13"/>
        <v>1</v>
      </c>
      <c r="N171" s="1" t="b">
        <f t="shared" si="14"/>
        <v>1</v>
      </c>
      <c r="O171" s="8" t="str">
        <f>IF(F171="","",IF($F$2=入力リスト!$H$25,ROUNDDOWN(INT(F171)+ROUNDDOWN((F171-INT(F171))*100,0)/60,2),F171))</f>
        <v/>
      </c>
      <c r="P171" s="7"/>
      <c r="Q171" s="7"/>
    </row>
    <row r="172" spans="1:17">
      <c r="A172" s="105"/>
      <c r="B172" s="2"/>
      <c r="C172" s="254"/>
      <c r="D172" s="254"/>
      <c r="E172" s="254"/>
      <c r="F172" s="255"/>
      <c r="G172" s="215" t="str">
        <f>IF(AND($B172="",OR(B172&lt;&gt;"",C172&lt;&gt;"",D172&lt;&gt;"",E172&lt;&gt;"",F172&lt;&gt;"")),入力リスト!$K$34,IF($I172=TRUE,入力リスト!$K$35,IF(J172=FALSE,"「毎月の固定給与額」","")&amp;IF(AND(J172=FALSE,OR(K172=FALSE,L172=FALSE,M172=FALSE)),",","")&amp;IF(K172=FALSE,"「賞与額等」","")&amp;IF(AND(K172=FALSE,OR(L172=FALSE,M172=FALSE)),",","")&amp;IF(L172=FALSE,"「残業手当」","")&amp;IF(AND(L172=FALSE,M172=FALSE),",","")&amp;IF(M172=FALSE,"「残業時間」","")&amp;IF(OR(J172=FALSE,K172=FALSE,L172=FALSE,M172=FALSE),入力リスト!$K$36,"")&amp;IF(N172,"",入力リスト!$K$37)))</f>
        <v/>
      </c>
      <c r="H172" s="215"/>
      <c r="I172" s="1" t="b">
        <f>IF(B172="",FALSE,COUNTIF('従業員情報(給与以外)'!$A$4:$A$1000000,$B172)=0)</f>
        <v>0</v>
      </c>
      <c r="J172" s="8" t="b">
        <f t="shared" si="10"/>
        <v>1</v>
      </c>
      <c r="K172" s="8" t="b">
        <f t="shared" si="11"/>
        <v>1</v>
      </c>
      <c r="L172" s="8" t="b">
        <f t="shared" si="12"/>
        <v>1</v>
      </c>
      <c r="M172" s="8" t="b">
        <f t="shared" si="13"/>
        <v>1</v>
      </c>
      <c r="N172" s="1" t="b">
        <f t="shared" si="14"/>
        <v>1</v>
      </c>
      <c r="O172" s="8" t="str">
        <f>IF(F172="","",IF($F$2=入力リスト!$H$25,ROUNDDOWN(INT(F172)+ROUNDDOWN((F172-INT(F172))*100,0)/60,2),F172))</f>
        <v/>
      </c>
      <c r="P172" s="7"/>
      <c r="Q172" s="7"/>
    </row>
    <row r="173" spans="1:17">
      <c r="A173" s="105"/>
      <c r="B173" s="2"/>
      <c r="C173" s="254"/>
      <c r="D173" s="254"/>
      <c r="E173" s="254"/>
      <c r="F173" s="255"/>
      <c r="G173" s="215" t="str">
        <f>IF(AND($B173="",OR(B173&lt;&gt;"",C173&lt;&gt;"",D173&lt;&gt;"",E173&lt;&gt;"",F173&lt;&gt;"")),入力リスト!$K$34,IF($I173=TRUE,入力リスト!$K$35,IF(J173=FALSE,"「毎月の固定給与額」","")&amp;IF(AND(J173=FALSE,OR(K173=FALSE,L173=FALSE,M173=FALSE)),",","")&amp;IF(K173=FALSE,"「賞与額等」","")&amp;IF(AND(K173=FALSE,OR(L173=FALSE,M173=FALSE)),",","")&amp;IF(L173=FALSE,"「残業手当」","")&amp;IF(AND(L173=FALSE,M173=FALSE),",","")&amp;IF(M173=FALSE,"「残業時間」","")&amp;IF(OR(J173=FALSE,K173=FALSE,L173=FALSE,M173=FALSE),入力リスト!$K$36,"")&amp;IF(N173,"",入力リスト!$K$37)))</f>
        <v/>
      </c>
      <c r="H173" s="215"/>
      <c r="I173" s="1" t="b">
        <f>IF(B173="",FALSE,COUNTIF('従業員情報(給与以外)'!$A$4:$A$1000000,$B173)=0)</f>
        <v>0</v>
      </c>
      <c r="J173" s="8" t="b">
        <f t="shared" si="10"/>
        <v>1</v>
      </c>
      <c r="K173" s="8" t="b">
        <f t="shared" si="11"/>
        <v>1</v>
      </c>
      <c r="L173" s="8" t="b">
        <f t="shared" si="12"/>
        <v>1</v>
      </c>
      <c r="M173" s="8" t="b">
        <f t="shared" si="13"/>
        <v>1</v>
      </c>
      <c r="N173" s="1" t="b">
        <f t="shared" si="14"/>
        <v>1</v>
      </c>
      <c r="O173" s="8" t="str">
        <f>IF(F173="","",IF($F$2=入力リスト!$H$25,ROUNDDOWN(INT(F173)+ROUNDDOWN((F173-INT(F173))*100,0)/60,2),F173))</f>
        <v/>
      </c>
      <c r="P173" s="7"/>
      <c r="Q173" s="7"/>
    </row>
    <row r="174" spans="1:17">
      <c r="A174" s="105"/>
      <c r="B174" s="2"/>
      <c r="C174" s="254"/>
      <c r="D174" s="254"/>
      <c r="E174" s="254"/>
      <c r="F174" s="255"/>
      <c r="G174" s="215" t="str">
        <f>IF(AND($B174="",OR(B174&lt;&gt;"",C174&lt;&gt;"",D174&lt;&gt;"",E174&lt;&gt;"",F174&lt;&gt;"")),入力リスト!$K$34,IF($I174=TRUE,入力リスト!$K$35,IF(J174=FALSE,"「毎月の固定給与額」","")&amp;IF(AND(J174=FALSE,OR(K174=FALSE,L174=FALSE,M174=FALSE)),",","")&amp;IF(K174=FALSE,"「賞与額等」","")&amp;IF(AND(K174=FALSE,OR(L174=FALSE,M174=FALSE)),",","")&amp;IF(L174=FALSE,"「残業手当」","")&amp;IF(AND(L174=FALSE,M174=FALSE),",","")&amp;IF(M174=FALSE,"「残業時間」","")&amp;IF(OR(J174=FALSE,K174=FALSE,L174=FALSE,M174=FALSE),入力リスト!$K$36,"")&amp;IF(N174,"",入力リスト!$K$37)))</f>
        <v/>
      </c>
      <c r="H174" s="215"/>
      <c r="I174" s="1" t="b">
        <f>IF(B174="",FALSE,COUNTIF('従業員情報(給与以外)'!$A$4:$A$1000000,$B174)=0)</f>
        <v>0</v>
      </c>
      <c r="J174" s="8" t="b">
        <f t="shared" si="10"/>
        <v>1</v>
      </c>
      <c r="K174" s="8" t="b">
        <f t="shared" si="11"/>
        <v>1</v>
      </c>
      <c r="L174" s="8" t="b">
        <f t="shared" si="12"/>
        <v>1</v>
      </c>
      <c r="M174" s="8" t="b">
        <f t="shared" si="13"/>
        <v>1</v>
      </c>
      <c r="N174" s="1" t="b">
        <f t="shared" si="14"/>
        <v>1</v>
      </c>
      <c r="O174" s="8" t="str">
        <f>IF(F174="","",IF($F$2=入力リスト!$H$25,ROUNDDOWN(INT(F174)+ROUNDDOWN((F174-INT(F174))*100,0)/60,2),F174))</f>
        <v/>
      </c>
      <c r="P174" s="7"/>
      <c r="Q174" s="7"/>
    </row>
    <row r="175" spans="1:17">
      <c r="A175" s="105"/>
      <c r="B175" s="2"/>
      <c r="C175" s="254"/>
      <c r="D175" s="254"/>
      <c r="E175" s="254"/>
      <c r="F175" s="255"/>
      <c r="G175" s="215" t="str">
        <f>IF(AND($B175="",OR(B175&lt;&gt;"",C175&lt;&gt;"",D175&lt;&gt;"",E175&lt;&gt;"",F175&lt;&gt;"")),入力リスト!$K$34,IF($I175=TRUE,入力リスト!$K$35,IF(J175=FALSE,"「毎月の固定給与額」","")&amp;IF(AND(J175=FALSE,OR(K175=FALSE,L175=FALSE,M175=FALSE)),",","")&amp;IF(K175=FALSE,"「賞与額等」","")&amp;IF(AND(K175=FALSE,OR(L175=FALSE,M175=FALSE)),",","")&amp;IF(L175=FALSE,"「残業手当」","")&amp;IF(AND(L175=FALSE,M175=FALSE),",","")&amp;IF(M175=FALSE,"「残業時間」","")&amp;IF(OR(J175=FALSE,K175=FALSE,L175=FALSE,M175=FALSE),入力リスト!$K$36,"")&amp;IF(N175,"",入力リスト!$K$37)))</f>
        <v/>
      </c>
      <c r="H175" s="215"/>
      <c r="I175" s="1" t="b">
        <f>IF(B175="",FALSE,COUNTIF('従業員情報(給与以外)'!$A$4:$A$1000000,$B175)=0)</f>
        <v>0</v>
      </c>
      <c r="J175" s="8" t="b">
        <f t="shared" si="10"/>
        <v>1</v>
      </c>
      <c r="K175" s="8" t="b">
        <f t="shared" si="11"/>
        <v>1</v>
      </c>
      <c r="L175" s="8" t="b">
        <f t="shared" si="12"/>
        <v>1</v>
      </c>
      <c r="M175" s="8" t="b">
        <f t="shared" si="13"/>
        <v>1</v>
      </c>
      <c r="N175" s="1" t="b">
        <f t="shared" si="14"/>
        <v>1</v>
      </c>
      <c r="O175" s="8" t="str">
        <f>IF(F175="","",IF($F$2=入力リスト!$H$25,ROUNDDOWN(INT(F175)+ROUNDDOWN((F175-INT(F175))*100,0)/60,2),F175))</f>
        <v/>
      </c>
      <c r="P175" s="7"/>
      <c r="Q175" s="7"/>
    </row>
    <row r="176" spans="1:17">
      <c r="A176" s="105"/>
      <c r="B176" s="2"/>
      <c r="C176" s="254"/>
      <c r="D176" s="254"/>
      <c r="E176" s="254"/>
      <c r="F176" s="255"/>
      <c r="G176" s="215" t="str">
        <f>IF(AND($B176="",OR(B176&lt;&gt;"",C176&lt;&gt;"",D176&lt;&gt;"",E176&lt;&gt;"",F176&lt;&gt;"")),入力リスト!$K$34,IF($I176=TRUE,入力リスト!$K$35,IF(J176=FALSE,"「毎月の固定給与額」","")&amp;IF(AND(J176=FALSE,OR(K176=FALSE,L176=FALSE,M176=FALSE)),",","")&amp;IF(K176=FALSE,"「賞与額等」","")&amp;IF(AND(K176=FALSE,OR(L176=FALSE,M176=FALSE)),",","")&amp;IF(L176=FALSE,"「残業手当」","")&amp;IF(AND(L176=FALSE,M176=FALSE),",","")&amp;IF(M176=FALSE,"「残業時間」","")&amp;IF(OR(J176=FALSE,K176=FALSE,L176=FALSE,M176=FALSE),入力リスト!$K$36,"")&amp;IF(N176,"",入力リスト!$K$37)))</f>
        <v/>
      </c>
      <c r="H176" s="215"/>
      <c r="I176" s="1" t="b">
        <f>IF(B176="",FALSE,COUNTIF('従業員情報(給与以外)'!$A$4:$A$1000000,$B176)=0)</f>
        <v>0</v>
      </c>
      <c r="J176" s="8" t="b">
        <f t="shared" si="10"/>
        <v>1</v>
      </c>
      <c r="K176" s="8" t="b">
        <f t="shared" si="11"/>
        <v>1</v>
      </c>
      <c r="L176" s="8" t="b">
        <f t="shared" si="12"/>
        <v>1</v>
      </c>
      <c r="M176" s="8" t="b">
        <f t="shared" si="13"/>
        <v>1</v>
      </c>
      <c r="N176" s="1" t="b">
        <f t="shared" si="14"/>
        <v>1</v>
      </c>
      <c r="O176" s="8" t="str">
        <f>IF(F176="","",IF($F$2=入力リスト!$H$25,ROUNDDOWN(INT(F176)+ROUNDDOWN((F176-INT(F176))*100,0)/60,2),F176))</f>
        <v/>
      </c>
      <c r="P176" s="7"/>
      <c r="Q176" s="7"/>
    </row>
    <row r="177" spans="1:17">
      <c r="A177" s="105"/>
      <c r="B177" s="2"/>
      <c r="C177" s="254"/>
      <c r="D177" s="254"/>
      <c r="E177" s="254"/>
      <c r="F177" s="255"/>
      <c r="G177" s="215" t="str">
        <f>IF(AND($B177="",OR(B177&lt;&gt;"",C177&lt;&gt;"",D177&lt;&gt;"",E177&lt;&gt;"",F177&lt;&gt;"")),入力リスト!$K$34,IF($I177=TRUE,入力リスト!$K$35,IF(J177=FALSE,"「毎月の固定給与額」","")&amp;IF(AND(J177=FALSE,OR(K177=FALSE,L177=FALSE,M177=FALSE)),",","")&amp;IF(K177=FALSE,"「賞与額等」","")&amp;IF(AND(K177=FALSE,OR(L177=FALSE,M177=FALSE)),",","")&amp;IF(L177=FALSE,"「残業手当」","")&amp;IF(AND(L177=FALSE,M177=FALSE),",","")&amp;IF(M177=FALSE,"「残業時間」","")&amp;IF(OR(J177=FALSE,K177=FALSE,L177=FALSE,M177=FALSE),入力リスト!$K$36,"")&amp;IF(N177,"",入力リスト!$K$37)))</f>
        <v/>
      </c>
      <c r="H177" s="215"/>
      <c r="I177" s="1" t="b">
        <f>IF(B177="",FALSE,COUNTIF('従業員情報(給与以外)'!$A$4:$A$1000000,$B177)=0)</f>
        <v>0</v>
      </c>
      <c r="J177" s="8" t="b">
        <f t="shared" si="10"/>
        <v>1</v>
      </c>
      <c r="K177" s="8" t="b">
        <f t="shared" si="11"/>
        <v>1</v>
      </c>
      <c r="L177" s="8" t="b">
        <f t="shared" si="12"/>
        <v>1</v>
      </c>
      <c r="M177" s="8" t="b">
        <f t="shared" si="13"/>
        <v>1</v>
      </c>
      <c r="N177" s="1" t="b">
        <f t="shared" si="14"/>
        <v>1</v>
      </c>
      <c r="O177" s="8" t="str">
        <f>IF(F177="","",IF($F$2=入力リスト!$H$25,ROUNDDOWN(INT(F177)+ROUNDDOWN((F177-INT(F177))*100,0)/60,2),F177))</f>
        <v/>
      </c>
      <c r="P177" s="7"/>
      <c r="Q177" s="7"/>
    </row>
    <row r="178" spans="1:17">
      <c r="A178" s="105"/>
      <c r="B178" s="2"/>
      <c r="C178" s="254"/>
      <c r="D178" s="254"/>
      <c r="E178" s="254"/>
      <c r="F178" s="255"/>
      <c r="G178" s="215" t="str">
        <f>IF(AND($B178="",OR(B178&lt;&gt;"",C178&lt;&gt;"",D178&lt;&gt;"",E178&lt;&gt;"",F178&lt;&gt;"")),入力リスト!$K$34,IF($I178=TRUE,入力リスト!$K$35,IF(J178=FALSE,"「毎月の固定給与額」","")&amp;IF(AND(J178=FALSE,OR(K178=FALSE,L178=FALSE,M178=FALSE)),",","")&amp;IF(K178=FALSE,"「賞与額等」","")&amp;IF(AND(K178=FALSE,OR(L178=FALSE,M178=FALSE)),",","")&amp;IF(L178=FALSE,"「残業手当」","")&amp;IF(AND(L178=FALSE,M178=FALSE),",","")&amp;IF(M178=FALSE,"「残業時間」","")&amp;IF(OR(J178=FALSE,K178=FALSE,L178=FALSE,M178=FALSE),入力リスト!$K$36,"")&amp;IF(N178,"",入力リスト!$K$37)))</f>
        <v/>
      </c>
      <c r="H178" s="215"/>
      <c r="I178" s="1" t="b">
        <f>IF(B178="",FALSE,COUNTIF('従業員情報(給与以外)'!$A$4:$A$1000000,$B178)=0)</f>
        <v>0</v>
      </c>
      <c r="J178" s="8" t="b">
        <f t="shared" si="10"/>
        <v>1</v>
      </c>
      <c r="K178" s="8" t="b">
        <f t="shared" si="11"/>
        <v>1</v>
      </c>
      <c r="L178" s="8" t="b">
        <f t="shared" si="12"/>
        <v>1</v>
      </c>
      <c r="M178" s="8" t="b">
        <f t="shared" si="13"/>
        <v>1</v>
      </c>
      <c r="N178" s="1" t="b">
        <f t="shared" si="14"/>
        <v>1</v>
      </c>
      <c r="O178" s="8" t="str">
        <f>IF(F178="","",IF($F$2=入力リスト!$H$25,ROUNDDOWN(INT(F178)+ROUNDDOWN((F178-INT(F178))*100,0)/60,2),F178))</f>
        <v/>
      </c>
      <c r="P178" s="7"/>
      <c r="Q178" s="7"/>
    </row>
    <row r="179" spans="1:17">
      <c r="A179" s="105"/>
      <c r="B179" s="2"/>
      <c r="C179" s="254"/>
      <c r="D179" s="254"/>
      <c r="E179" s="254"/>
      <c r="F179" s="255"/>
      <c r="G179" s="215" t="str">
        <f>IF(AND($B179="",OR(B179&lt;&gt;"",C179&lt;&gt;"",D179&lt;&gt;"",E179&lt;&gt;"",F179&lt;&gt;"")),入力リスト!$K$34,IF($I179=TRUE,入力リスト!$K$35,IF(J179=FALSE,"「毎月の固定給与額」","")&amp;IF(AND(J179=FALSE,OR(K179=FALSE,L179=FALSE,M179=FALSE)),",","")&amp;IF(K179=FALSE,"「賞与額等」","")&amp;IF(AND(K179=FALSE,OR(L179=FALSE,M179=FALSE)),",","")&amp;IF(L179=FALSE,"「残業手当」","")&amp;IF(AND(L179=FALSE,M179=FALSE),",","")&amp;IF(M179=FALSE,"「残業時間」","")&amp;IF(OR(J179=FALSE,K179=FALSE,L179=FALSE,M179=FALSE),入力リスト!$K$36,"")&amp;IF(N179,"",入力リスト!$K$37)))</f>
        <v/>
      </c>
      <c r="H179" s="215"/>
      <c r="I179" s="1" t="b">
        <f>IF(B179="",FALSE,COUNTIF('従業員情報(給与以外)'!$A$4:$A$1000000,$B179)=0)</f>
        <v>0</v>
      </c>
      <c r="J179" s="8" t="b">
        <f t="shared" si="10"/>
        <v>1</v>
      </c>
      <c r="K179" s="8" t="b">
        <f t="shared" si="11"/>
        <v>1</v>
      </c>
      <c r="L179" s="8" t="b">
        <f t="shared" si="12"/>
        <v>1</v>
      </c>
      <c r="M179" s="8" t="b">
        <f t="shared" si="13"/>
        <v>1</v>
      </c>
      <c r="N179" s="1" t="b">
        <f t="shared" si="14"/>
        <v>1</v>
      </c>
      <c r="O179" s="8" t="str">
        <f>IF(F179="","",IF($F$2=入力リスト!$H$25,ROUNDDOWN(INT(F179)+ROUNDDOWN((F179-INT(F179))*100,0)/60,2),F179))</f>
        <v/>
      </c>
      <c r="P179" s="7"/>
      <c r="Q179" s="7"/>
    </row>
    <row r="180" spans="1:17">
      <c r="A180" s="105"/>
      <c r="B180" s="2"/>
      <c r="C180" s="254"/>
      <c r="D180" s="254"/>
      <c r="E180" s="254"/>
      <c r="F180" s="255"/>
      <c r="G180" s="215" t="str">
        <f>IF(AND($B180="",OR(B180&lt;&gt;"",C180&lt;&gt;"",D180&lt;&gt;"",E180&lt;&gt;"",F180&lt;&gt;"")),入力リスト!$K$34,IF($I180=TRUE,入力リスト!$K$35,IF(J180=FALSE,"「毎月の固定給与額」","")&amp;IF(AND(J180=FALSE,OR(K180=FALSE,L180=FALSE,M180=FALSE)),",","")&amp;IF(K180=FALSE,"「賞与額等」","")&amp;IF(AND(K180=FALSE,OR(L180=FALSE,M180=FALSE)),",","")&amp;IF(L180=FALSE,"「残業手当」","")&amp;IF(AND(L180=FALSE,M180=FALSE),",","")&amp;IF(M180=FALSE,"「残業時間」","")&amp;IF(OR(J180=FALSE,K180=FALSE,L180=FALSE,M180=FALSE),入力リスト!$K$36,"")&amp;IF(N180,"",入力リスト!$K$37)))</f>
        <v/>
      </c>
      <c r="H180" s="215"/>
      <c r="I180" s="1" t="b">
        <f>IF(B180="",FALSE,COUNTIF('従業員情報(給与以外)'!$A$4:$A$1000000,$B180)=0)</f>
        <v>0</v>
      </c>
      <c r="J180" s="8" t="b">
        <f t="shared" si="10"/>
        <v>1</v>
      </c>
      <c r="K180" s="8" t="b">
        <f t="shared" si="11"/>
        <v>1</v>
      </c>
      <c r="L180" s="8" t="b">
        <f t="shared" si="12"/>
        <v>1</v>
      </c>
      <c r="M180" s="8" t="b">
        <f t="shared" si="13"/>
        <v>1</v>
      </c>
      <c r="N180" s="1" t="b">
        <f t="shared" si="14"/>
        <v>1</v>
      </c>
      <c r="O180" s="8" t="str">
        <f>IF(F180="","",IF($F$2=入力リスト!$H$25,ROUNDDOWN(INT(F180)+ROUNDDOWN((F180-INT(F180))*100,0)/60,2),F180))</f>
        <v/>
      </c>
      <c r="P180" s="7"/>
      <c r="Q180" s="7"/>
    </row>
    <row r="181" spans="1:17">
      <c r="A181" s="105"/>
      <c r="B181" s="2"/>
      <c r="C181" s="254"/>
      <c r="D181" s="254"/>
      <c r="E181" s="254"/>
      <c r="F181" s="255"/>
      <c r="G181" s="215" t="str">
        <f>IF(AND($B181="",OR(B181&lt;&gt;"",C181&lt;&gt;"",D181&lt;&gt;"",E181&lt;&gt;"",F181&lt;&gt;"")),入力リスト!$K$34,IF($I181=TRUE,入力リスト!$K$35,IF(J181=FALSE,"「毎月の固定給与額」","")&amp;IF(AND(J181=FALSE,OR(K181=FALSE,L181=FALSE,M181=FALSE)),",","")&amp;IF(K181=FALSE,"「賞与額等」","")&amp;IF(AND(K181=FALSE,OR(L181=FALSE,M181=FALSE)),",","")&amp;IF(L181=FALSE,"「残業手当」","")&amp;IF(AND(L181=FALSE,M181=FALSE),",","")&amp;IF(M181=FALSE,"「残業時間」","")&amp;IF(OR(J181=FALSE,K181=FALSE,L181=FALSE,M181=FALSE),入力リスト!$K$36,"")&amp;IF(N181,"",入力リスト!$K$37)))</f>
        <v/>
      </c>
      <c r="H181" s="215"/>
      <c r="I181" s="1" t="b">
        <f>IF(B181="",FALSE,COUNTIF('従業員情報(給与以外)'!$A$4:$A$1000000,$B181)=0)</f>
        <v>0</v>
      </c>
      <c r="J181" s="8" t="b">
        <f t="shared" si="10"/>
        <v>1</v>
      </c>
      <c r="K181" s="8" t="b">
        <f t="shared" si="11"/>
        <v>1</v>
      </c>
      <c r="L181" s="8" t="b">
        <f t="shared" si="12"/>
        <v>1</v>
      </c>
      <c r="M181" s="8" t="b">
        <f t="shared" si="13"/>
        <v>1</v>
      </c>
      <c r="N181" s="1" t="b">
        <f t="shared" si="14"/>
        <v>1</v>
      </c>
      <c r="O181" s="8" t="str">
        <f>IF(F181="","",IF($F$2=入力リスト!$H$25,ROUNDDOWN(INT(F181)+ROUNDDOWN((F181-INT(F181))*100,0)/60,2),F181))</f>
        <v/>
      </c>
      <c r="P181" s="7"/>
      <c r="Q181" s="7"/>
    </row>
    <row r="182" spans="1:17">
      <c r="A182" s="105"/>
      <c r="B182" s="2"/>
      <c r="C182" s="254"/>
      <c r="D182" s="254"/>
      <c r="E182" s="254"/>
      <c r="F182" s="255"/>
      <c r="G182" s="215" t="str">
        <f>IF(AND($B182="",OR(B182&lt;&gt;"",C182&lt;&gt;"",D182&lt;&gt;"",E182&lt;&gt;"",F182&lt;&gt;"")),入力リスト!$K$34,IF($I182=TRUE,入力リスト!$K$35,IF(J182=FALSE,"「毎月の固定給与額」","")&amp;IF(AND(J182=FALSE,OR(K182=FALSE,L182=FALSE,M182=FALSE)),",","")&amp;IF(K182=FALSE,"「賞与額等」","")&amp;IF(AND(K182=FALSE,OR(L182=FALSE,M182=FALSE)),",","")&amp;IF(L182=FALSE,"「残業手当」","")&amp;IF(AND(L182=FALSE,M182=FALSE),",","")&amp;IF(M182=FALSE,"「残業時間」","")&amp;IF(OR(J182=FALSE,K182=FALSE,L182=FALSE,M182=FALSE),入力リスト!$K$36,"")&amp;IF(N182,"",入力リスト!$K$37)))</f>
        <v/>
      </c>
      <c r="H182" s="215"/>
      <c r="I182" s="1" t="b">
        <f>IF(B182="",FALSE,COUNTIF('従業員情報(給与以外)'!$A$4:$A$1000000,$B182)=0)</f>
        <v>0</v>
      </c>
      <c r="J182" s="8" t="b">
        <f t="shared" si="10"/>
        <v>1</v>
      </c>
      <c r="K182" s="8" t="b">
        <f t="shared" si="11"/>
        <v>1</v>
      </c>
      <c r="L182" s="8" t="b">
        <f t="shared" si="12"/>
        <v>1</v>
      </c>
      <c r="M182" s="8" t="b">
        <f t="shared" si="13"/>
        <v>1</v>
      </c>
      <c r="N182" s="1" t="b">
        <f t="shared" si="14"/>
        <v>1</v>
      </c>
      <c r="O182" s="8" t="str">
        <f>IF(F182="","",IF($F$2=入力リスト!$H$25,ROUNDDOWN(INT(F182)+ROUNDDOWN((F182-INT(F182))*100,0)/60,2),F182))</f>
        <v/>
      </c>
      <c r="P182" s="7"/>
      <c r="Q182" s="7"/>
    </row>
    <row r="183" spans="1:17">
      <c r="A183" s="105"/>
      <c r="B183" s="2"/>
      <c r="C183" s="254"/>
      <c r="D183" s="254"/>
      <c r="E183" s="254"/>
      <c r="F183" s="255"/>
      <c r="G183" s="215" t="str">
        <f>IF(AND($B183="",OR(B183&lt;&gt;"",C183&lt;&gt;"",D183&lt;&gt;"",E183&lt;&gt;"",F183&lt;&gt;"")),入力リスト!$K$34,IF($I183=TRUE,入力リスト!$K$35,IF(J183=FALSE,"「毎月の固定給与額」","")&amp;IF(AND(J183=FALSE,OR(K183=FALSE,L183=FALSE,M183=FALSE)),",","")&amp;IF(K183=FALSE,"「賞与額等」","")&amp;IF(AND(K183=FALSE,OR(L183=FALSE,M183=FALSE)),",","")&amp;IF(L183=FALSE,"「残業手当」","")&amp;IF(AND(L183=FALSE,M183=FALSE),",","")&amp;IF(M183=FALSE,"「残業時間」","")&amp;IF(OR(J183=FALSE,K183=FALSE,L183=FALSE,M183=FALSE),入力リスト!$K$36,"")&amp;IF(N183,"",入力リスト!$K$37)))</f>
        <v/>
      </c>
      <c r="H183" s="215"/>
      <c r="I183" s="1" t="b">
        <f>IF(B183="",FALSE,COUNTIF('従業員情報(給与以外)'!$A$4:$A$1000000,$B183)=0)</f>
        <v>0</v>
      </c>
      <c r="J183" s="8" t="b">
        <f t="shared" si="10"/>
        <v>1</v>
      </c>
      <c r="K183" s="8" t="b">
        <f t="shared" si="11"/>
        <v>1</v>
      </c>
      <c r="L183" s="8" t="b">
        <f t="shared" si="12"/>
        <v>1</v>
      </c>
      <c r="M183" s="8" t="b">
        <f t="shared" si="13"/>
        <v>1</v>
      </c>
      <c r="N183" s="1" t="b">
        <f t="shared" si="14"/>
        <v>1</v>
      </c>
      <c r="O183" s="8" t="str">
        <f>IF(F183="","",IF($F$2=入力リスト!$H$25,ROUNDDOWN(INT(F183)+ROUNDDOWN((F183-INT(F183))*100,0)/60,2),F183))</f>
        <v/>
      </c>
      <c r="P183" s="7"/>
      <c r="Q183" s="7"/>
    </row>
    <row r="184" spans="1:17">
      <c r="A184" s="105"/>
      <c r="B184" s="2"/>
      <c r="C184" s="254"/>
      <c r="D184" s="254"/>
      <c r="E184" s="254"/>
      <c r="F184" s="255"/>
      <c r="G184" s="215" t="str">
        <f>IF(AND($B184="",OR(B184&lt;&gt;"",C184&lt;&gt;"",D184&lt;&gt;"",E184&lt;&gt;"",F184&lt;&gt;"")),入力リスト!$K$34,IF($I184=TRUE,入力リスト!$K$35,IF(J184=FALSE,"「毎月の固定給与額」","")&amp;IF(AND(J184=FALSE,OR(K184=FALSE,L184=FALSE,M184=FALSE)),",","")&amp;IF(K184=FALSE,"「賞与額等」","")&amp;IF(AND(K184=FALSE,OR(L184=FALSE,M184=FALSE)),",","")&amp;IF(L184=FALSE,"「残業手当」","")&amp;IF(AND(L184=FALSE,M184=FALSE),",","")&amp;IF(M184=FALSE,"「残業時間」","")&amp;IF(OR(J184=FALSE,K184=FALSE,L184=FALSE,M184=FALSE),入力リスト!$K$36,"")&amp;IF(N184,"",入力リスト!$K$37)))</f>
        <v/>
      </c>
      <c r="H184" s="215"/>
      <c r="I184" s="1" t="b">
        <f>IF(B184="",FALSE,COUNTIF('従業員情報(給与以外)'!$A$4:$A$1000000,$B184)=0)</f>
        <v>0</v>
      </c>
      <c r="J184" s="8" t="b">
        <f t="shared" si="10"/>
        <v>1</v>
      </c>
      <c r="K184" s="8" t="b">
        <f t="shared" si="11"/>
        <v>1</v>
      </c>
      <c r="L184" s="8" t="b">
        <f t="shared" si="12"/>
        <v>1</v>
      </c>
      <c r="M184" s="8" t="b">
        <f t="shared" si="13"/>
        <v>1</v>
      </c>
      <c r="N184" s="1" t="b">
        <f t="shared" si="14"/>
        <v>1</v>
      </c>
      <c r="O184" s="8" t="str">
        <f>IF(F184="","",IF($F$2=入力リスト!$H$25,ROUNDDOWN(INT(F184)+ROUNDDOWN((F184-INT(F184))*100,0)/60,2),F184))</f>
        <v/>
      </c>
      <c r="P184" s="7"/>
      <c r="Q184" s="7"/>
    </row>
    <row r="185" spans="1:17">
      <c r="A185" s="105"/>
      <c r="B185" s="2"/>
      <c r="C185" s="254"/>
      <c r="D185" s="254"/>
      <c r="E185" s="254"/>
      <c r="F185" s="255"/>
      <c r="G185" s="215" t="str">
        <f>IF(AND($B185="",OR(B185&lt;&gt;"",C185&lt;&gt;"",D185&lt;&gt;"",E185&lt;&gt;"",F185&lt;&gt;"")),入力リスト!$K$34,IF($I185=TRUE,入力リスト!$K$35,IF(J185=FALSE,"「毎月の固定給与額」","")&amp;IF(AND(J185=FALSE,OR(K185=FALSE,L185=FALSE,M185=FALSE)),",","")&amp;IF(K185=FALSE,"「賞与額等」","")&amp;IF(AND(K185=FALSE,OR(L185=FALSE,M185=FALSE)),",","")&amp;IF(L185=FALSE,"「残業手当」","")&amp;IF(AND(L185=FALSE,M185=FALSE),",","")&amp;IF(M185=FALSE,"「残業時間」","")&amp;IF(OR(J185=FALSE,K185=FALSE,L185=FALSE,M185=FALSE),入力リスト!$K$36,"")&amp;IF(N185,"",入力リスト!$K$37)))</f>
        <v/>
      </c>
      <c r="H185" s="215"/>
      <c r="I185" s="1" t="b">
        <f>IF(B185="",FALSE,COUNTIF('従業員情報(給与以外)'!$A$4:$A$1000000,$B185)=0)</f>
        <v>0</v>
      </c>
      <c r="J185" s="8" t="b">
        <f t="shared" si="10"/>
        <v>1</v>
      </c>
      <c r="K185" s="8" t="b">
        <f t="shared" si="11"/>
        <v>1</v>
      </c>
      <c r="L185" s="8" t="b">
        <f t="shared" si="12"/>
        <v>1</v>
      </c>
      <c r="M185" s="8" t="b">
        <f t="shared" si="13"/>
        <v>1</v>
      </c>
      <c r="N185" s="1" t="b">
        <f t="shared" si="14"/>
        <v>1</v>
      </c>
      <c r="O185" s="8" t="str">
        <f>IF(F185="","",IF($F$2=入力リスト!$H$25,ROUNDDOWN(INT(F185)+ROUNDDOWN((F185-INT(F185))*100,0)/60,2),F185))</f>
        <v/>
      </c>
      <c r="P185" s="7"/>
      <c r="Q185" s="7"/>
    </row>
    <row r="186" spans="1:17">
      <c r="A186" s="105"/>
      <c r="B186" s="2"/>
      <c r="C186" s="254"/>
      <c r="D186" s="254"/>
      <c r="E186" s="254"/>
      <c r="F186" s="255"/>
      <c r="G186" s="215" t="str">
        <f>IF(AND($B186="",OR(B186&lt;&gt;"",C186&lt;&gt;"",D186&lt;&gt;"",E186&lt;&gt;"",F186&lt;&gt;"")),入力リスト!$K$34,IF($I186=TRUE,入力リスト!$K$35,IF(J186=FALSE,"「毎月の固定給与額」","")&amp;IF(AND(J186=FALSE,OR(K186=FALSE,L186=FALSE,M186=FALSE)),",","")&amp;IF(K186=FALSE,"「賞与額等」","")&amp;IF(AND(K186=FALSE,OR(L186=FALSE,M186=FALSE)),",","")&amp;IF(L186=FALSE,"「残業手当」","")&amp;IF(AND(L186=FALSE,M186=FALSE),",","")&amp;IF(M186=FALSE,"「残業時間」","")&amp;IF(OR(J186=FALSE,K186=FALSE,L186=FALSE,M186=FALSE),入力リスト!$K$36,"")&amp;IF(N186,"",入力リスト!$K$37)))</f>
        <v/>
      </c>
      <c r="H186" s="215"/>
      <c r="I186" s="1" t="b">
        <f>IF(B186="",FALSE,COUNTIF('従業員情報(給与以外)'!$A$4:$A$1000000,$B186)=0)</f>
        <v>0</v>
      </c>
      <c r="J186" s="8" t="b">
        <f t="shared" si="10"/>
        <v>1</v>
      </c>
      <c r="K186" s="8" t="b">
        <f t="shared" si="11"/>
        <v>1</v>
      </c>
      <c r="L186" s="8" t="b">
        <f t="shared" si="12"/>
        <v>1</v>
      </c>
      <c r="M186" s="8" t="b">
        <f t="shared" si="13"/>
        <v>1</v>
      </c>
      <c r="N186" s="1" t="b">
        <f t="shared" si="14"/>
        <v>1</v>
      </c>
      <c r="O186" s="8" t="str">
        <f>IF(F186="","",IF($F$2=入力リスト!$H$25,ROUNDDOWN(INT(F186)+ROUNDDOWN((F186-INT(F186))*100,0)/60,2),F186))</f>
        <v/>
      </c>
      <c r="P186" s="7"/>
      <c r="Q186" s="7"/>
    </row>
    <row r="187" spans="1:17">
      <c r="A187" s="105"/>
      <c r="B187" s="2"/>
      <c r="C187" s="254"/>
      <c r="D187" s="254"/>
      <c r="E187" s="254"/>
      <c r="F187" s="255"/>
      <c r="G187" s="215" t="str">
        <f>IF(AND($B187="",OR(B187&lt;&gt;"",C187&lt;&gt;"",D187&lt;&gt;"",E187&lt;&gt;"",F187&lt;&gt;"")),入力リスト!$K$34,IF($I187=TRUE,入力リスト!$K$35,IF(J187=FALSE,"「毎月の固定給与額」","")&amp;IF(AND(J187=FALSE,OR(K187=FALSE,L187=FALSE,M187=FALSE)),",","")&amp;IF(K187=FALSE,"「賞与額等」","")&amp;IF(AND(K187=FALSE,OR(L187=FALSE,M187=FALSE)),",","")&amp;IF(L187=FALSE,"「残業手当」","")&amp;IF(AND(L187=FALSE,M187=FALSE),",","")&amp;IF(M187=FALSE,"「残業時間」","")&amp;IF(OR(J187=FALSE,K187=FALSE,L187=FALSE,M187=FALSE),入力リスト!$K$36,"")&amp;IF(N187,"",入力リスト!$K$37)))</f>
        <v/>
      </c>
      <c r="H187" s="215"/>
      <c r="I187" s="1" t="b">
        <f>IF(B187="",FALSE,COUNTIF('従業員情報(給与以外)'!$A$4:$A$1000000,$B187)=0)</f>
        <v>0</v>
      </c>
      <c r="J187" s="8" t="b">
        <f t="shared" si="10"/>
        <v>1</v>
      </c>
      <c r="K187" s="8" t="b">
        <f t="shared" si="11"/>
        <v>1</v>
      </c>
      <c r="L187" s="8" t="b">
        <f t="shared" si="12"/>
        <v>1</v>
      </c>
      <c r="M187" s="8" t="b">
        <f t="shared" si="13"/>
        <v>1</v>
      </c>
      <c r="N187" s="1" t="b">
        <f t="shared" si="14"/>
        <v>1</v>
      </c>
      <c r="O187" s="8" t="str">
        <f>IF(F187="","",IF($F$2=入力リスト!$H$25,ROUNDDOWN(INT(F187)+ROUNDDOWN((F187-INT(F187))*100,0)/60,2),F187))</f>
        <v/>
      </c>
      <c r="P187" s="7"/>
      <c r="Q187" s="7"/>
    </row>
    <row r="188" spans="1:17">
      <c r="A188" s="105"/>
      <c r="B188" s="2"/>
      <c r="C188" s="254"/>
      <c r="D188" s="254"/>
      <c r="E188" s="254"/>
      <c r="F188" s="255"/>
      <c r="G188" s="215" t="str">
        <f>IF(AND($B188="",OR(B188&lt;&gt;"",C188&lt;&gt;"",D188&lt;&gt;"",E188&lt;&gt;"",F188&lt;&gt;"")),入力リスト!$K$34,IF($I188=TRUE,入力リスト!$K$35,IF(J188=FALSE,"「毎月の固定給与額」","")&amp;IF(AND(J188=FALSE,OR(K188=FALSE,L188=FALSE,M188=FALSE)),",","")&amp;IF(K188=FALSE,"「賞与額等」","")&amp;IF(AND(K188=FALSE,OR(L188=FALSE,M188=FALSE)),",","")&amp;IF(L188=FALSE,"「残業手当」","")&amp;IF(AND(L188=FALSE,M188=FALSE),",","")&amp;IF(M188=FALSE,"「残業時間」","")&amp;IF(OR(J188=FALSE,K188=FALSE,L188=FALSE,M188=FALSE),入力リスト!$K$36,"")&amp;IF(N188,"",入力リスト!$K$37)))</f>
        <v/>
      </c>
      <c r="H188" s="215"/>
      <c r="I188" s="1" t="b">
        <f>IF(B188="",FALSE,COUNTIF('従業員情報(給与以外)'!$A$4:$A$1000000,$B188)=0)</f>
        <v>0</v>
      </c>
      <c r="J188" s="8" t="b">
        <f t="shared" si="10"/>
        <v>1</v>
      </c>
      <c r="K188" s="8" t="b">
        <f t="shared" si="11"/>
        <v>1</v>
      </c>
      <c r="L188" s="8" t="b">
        <f t="shared" si="12"/>
        <v>1</v>
      </c>
      <c r="M188" s="8" t="b">
        <f t="shared" si="13"/>
        <v>1</v>
      </c>
      <c r="N188" s="1" t="b">
        <f t="shared" si="14"/>
        <v>1</v>
      </c>
      <c r="O188" s="8" t="str">
        <f>IF(F188="","",IF($F$2=入力リスト!$H$25,ROUNDDOWN(INT(F188)+ROUNDDOWN((F188-INT(F188))*100,0)/60,2),F188))</f>
        <v/>
      </c>
      <c r="P188" s="7"/>
      <c r="Q188" s="7"/>
    </row>
    <row r="189" spans="1:17">
      <c r="A189" s="105"/>
      <c r="B189" s="2"/>
      <c r="C189" s="254"/>
      <c r="D189" s="254"/>
      <c r="E189" s="254"/>
      <c r="F189" s="255"/>
      <c r="G189" s="215" t="str">
        <f>IF(AND($B189="",OR(B189&lt;&gt;"",C189&lt;&gt;"",D189&lt;&gt;"",E189&lt;&gt;"",F189&lt;&gt;"")),入力リスト!$K$34,IF($I189=TRUE,入力リスト!$K$35,IF(J189=FALSE,"「毎月の固定給与額」","")&amp;IF(AND(J189=FALSE,OR(K189=FALSE,L189=FALSE,M189=FALSE)),",","")&amp;IF(K189=FALSE,"「賞与額等」","")&amp;IF(AND(K189=FALSE,OR(L189=FALSE,M189=FALSE)),",","")&amp;IF(L189=FALSE,"「残業手当」","")&amp;IF(AND(L189=FALSE,M189=FALSE),",","")&amp;IF(M189=FALSE,"「残業時間」","")&amp;IF(OR(J189=FALSE,K189=FALSE,L189=FALSE,M189=FALSE),入力リスト!$K$36,"")&amp;IF(N189,"",入力リスト!$K$37)))</f>
        <v/>
      </c>
      <c r="H189" s="215"/>
      <c r="I189" s="1" t="b">
        <f>IF(B189="",FALSE,COUNTIF('従業員情報(給与以外)'!$A$4:$A$1000000,$B189)=0)</f>
        <v>0</v>
      </c>
      <c r="J189" s="8" t="b">
        <f t="shared" si="10"/>
        <v>1</v>
      </c>
      <c r="K189" s="8" t="b">
        <f t="shared" si="11"/>
        <v>1</v>
      </c>
      <c r="L189" s="8" t="b">
        <f t="shared" si="12"/>
        <v>1</v>
      </c>
      <c r="M189" s="8" t="b">
        <f t="shared" si="13"/>
        <v>1</v>
      </c>
      <c r="N189" s="1" t="b">
        <f t="shared" si="14"/>
        <v>1</v>
      </c>
      <c r="O189" s="8" t="str">
        <f>IF(F189="","",IF($F$2=入力リスト!$H$25,ROUNDDOWN(INT(F189)+ROUNDDOWN((F189-INT(F189))*100,0)/60,2),F189))</f>
        <v/>
      </c>
      <c r="P189" s="7"/>
      <c r="Q189" s="7"/>
    </row>
    <row r="190" spans="1:17">
      <c r="A190" s="105"/>
      <c r="B190" s="2"/>
      <c r="C190" s="254"/>
      <c r="D190" s="254"/>
      <c r="E190" s="254"/>
      <c r="F190" s="255"/>
      <c r="G190" s="215" t="str">
        <f>IF(AND($B190="",OR(B190&lt;&gt;"",C190&lt;&gt;"",D190&lt;&gt;"",E190&lt;&gt;"",F190&lt;&gt;"")),入力リスト!$K$34,IF($I190=TRUE,入力リスト!$K$35,IF(J190=FALSE,"「毎月の固定給与額」","")&amp;IF(AND(J190=FALSE,OR(K190=FALSE,L190=FALSE,M190=FALSE)),",","")&amp;IF(K190=FALSE,"「賞与額等」","")&amp;IF(AND(K190=FALSE,OR(L190=FALSE,M190=FALSE)),",","")&amp;IF(L190=FALSE,"「残業手当」","")&amp;IF(AND(L190=FALSE,M190=FALSE),",","")&amp;IF(M190=FALSE,"「残業時間」","")&amp;IF(OR(J190=FALSE,K190=FALSE,L190=FALSE,M190=FALSE),入力リスト!$K$36,"")&amp;IF(N190,"",入力リスト!$K$37)))</f>
        <v/>
      </c>
      <c r="H190" s="215"/>
      <c r="I190" s="1" t="b">
        <f>IF(B190="",FALSE,COUNTIF('従業員情報(給与以外)'!$A$4:$A$1000000,$B190)=0)</f>
        <v>0</v>
      </c>
      <c r="J190" s="8" t="b">
        <f t="shared" si="10"/>
        <v>1</v>
      </c>
      <c r="K190" s="8" t="b">
        <f t="shared" si="11"/>
        <v>1</v>
      </c>
      <c r="L190" s="8" t="b">
        <f t="shared" si="12"/>
        <v>1</v>
      </c>
      <c r="M190" s="8" t="b">
        <f t="shared" si="13"/>
        <v>1</v>
      </c>
      <c r="N190" s="1" t="b">
        <f t="shared" si="14"/>
        <v>1</v>
      </c>
      <c r="O190" s="8" t="str">
        <f>IF(F190="","",IF($F$2=入力リスト!$H$25,ROUNDDOWN(INT(F190)+ROUNDDOWN((F190-INT(F190))*100,0)/60,2),F190))</f>
        <v/>
      </c>
      <c r="P190" s="7"/>
      <c r="Q190" s="7"/>
    </row>
    <row r="191" spans="1:17">
      <c r="A191" s="105"/>
      <c r="B191" s="2"/>
      <c r="C191" s="254"/>
      <c r="D191" s="254"/>
      <c r="E191" s="254"/>
      <c r="F191" s="255"/>
      <c r="G191" s="215" t="str">
        <f>IF(AND($B191="",OR(B191&lt;&gt;"",C191&lt;&gt;"",D191&lt;&gt;"",E191&lt;&gt;"",F191&lt;&gt;"")),入力リスト!$K$34,IF($I191=TRUE,入力リスト!$K$35,IF(J191=FALSE,"「毎月の固定給与額」","")&amp;IF(AND(J191=FALSE,OR(K191=FALSE,L191=FALSE,M191=FALSE)),",","")&amp;IF(K191=FALSE,"「賞与額等」","")&amp;IF(AND(K191=FALSE,OR(L191=FALSE,M191=FALSE)),",","")&amp;IF(L191=FALSE,"「残業手当」","")&amp;IF(AND(L191=FALSE,M191=FALSE),",","")&amp;IF(M191=FALSE,"「残業時間」","")&amp;IF(OR(J191=FALSE,K191=FALSE,L191=FALSE,M191=FALSE),入力リスト!$K$36,"")&amp;IF(N191,"",入力リスト!$K$37)))</f>
        <v/>
      </c>
      <c r="H191" s="215"/>
      <c r="I191" s="1" t="b">
        <f>IF(B191="",FALSE,COUNTIF('従業員情報(給与以外)'!$A$4:$A$1000000,$B191)=0)</f>
        <v>0</v>
      </c>
      <c r="J191" s="8" t="b">
        <f t="shared" si="10"/>
        <v>1</v>
      </c>
      <c r="K191" s="8" t="b">
        <f t="shared" si="11"/>
        <v>1</v>
      </c>
      <c r="L191" s="8" t="b">
        <f t="shared" si="12"/>
        <v>1</v>
      </c>
      <c r="M191" s="8" t="b">
        <f t="shared" si="13"/>
        <v>1</v>
      </c>
      <c r="N191" s="1" t="b">
        <f t="shared" si="14"/>
        <v>1</v>
      </c>
      <c r="O191" s="8" t="str">
        <f>IF(F191="","",IF($F$2=入力リスト!$H$25,ROUNDDOWN(INT(F191)+ROUNDDOWN((F191-INT(F191))*100,0)/60,2),F191))</f>
        <v/>
      </c>
      <c r="P191" s="7"/>
      <c r="Q191" s="7"/>
    </row>
    <row r="192" spans="1:17">
      <c r="A192" s="105"/>
      <c r="B192" s="2"/>
      <c r="C192" s="254"/>
      <c r="D192" s="254"/>
      <c r="E192" s="254"/>
      <c r="F192" s="255"/>
      <c r="G192" s="215" t="str">
        <f>IF(AND($B192="",OR(B192&lt;&gt;"",C192&lt;&gt;"",D192&lt;&gt;"",E192&lt;&gt;"",F192&lt;&gt;"")),入力リスト!$K$34,IF($I192=TRUE,入力リスト!$K$35,IF(J192=FALSE,"「毎月の固定給与額」","")&amp;IF(AND(J192=FALSE,OR(K192=FALSE,L192=FALSE,M192=FALSE)),",","")&amp;IF(K192=FALSE,"「賞与額等」","")&amp;IF(AND(K192=FALSE,OR(L192=FALSE,M192=FALSE)),",","")&amp;IF(L192=FALSE,"「残業手当」","")&amp;IF(AND(L192=FALSE,M192=FALSE),",","")&amp;IF(M192=FALSE,"「残業時間」","")&amp;IF(OR(J192=FALSE,K192=FALSE,L192=FALSE,M192=FALSE),入力リスト!$K$36,"")&amp;IF(N192,"",入力リスト!$K$37)))</f>
        <v/>
      </c>
      <c r="H192" s="215"/>
      <c r="I192" s="1" t="b">
        <f>IF(B192="",FALSE,COUNTIF('従業員情報(給与以外)'!$A$4:$A$1000000,$B192)=0)</f>
        <v>0</v>
      </c>
      <c r="J192" s="8" t="b">
        <f t="shared" si="10"/>
        <v>1</v>
      </c>
      <c r="K192" s="8" t="b">
        <f t="shared" si="11"/>
        <v>1</v>
      </c>
      <c r="L192" s="8" t="b">
        <f t="shared" si="12"/>
        <v>1</v>
      </c>
      <c r="M192" s="8" t="b">
        <f t="shared" si="13"/>
        <v>1</v>
      </c>
      <c r="N192" s="1" t="b">
        <f t="shared" si="14"/>
        <v>1</v>
      </c>
      <c r="O192" s="8" t="str">
        <f>IF(F192="","",IF($F$2=入力リスト!$H$25,ROUNDDOWN(INT(F192)+ROUNDDOWN((F192-INT(F192))*100,0)/60,2),F192))</f>
        <v/>
      </c>
      <c r="P192" s="7"/>
      <c r="Q192" s="7"/>
    </row>
    <row r="193" spans="1:17">
      <c r="A193" s="105"/>
      <c r="B193" s="2"/>
      <c r="C193" s="254"/>
      <c r="D193" s="254"/>
      <c r="E193" s="254"/>
      <c r="F193" s="255"/>
      <c r="G193" s="215" t="str">
        <f>IF(AND($B193="",OR(B193&lt;&gt;"",C193&lt;&gt;"",D193&lt;&gt;"",E193&lt;&gt;"",F193&lt;&gt;"")),入力リスト!$K$34,IF($I193=TRUE,入力リスト!$K$35,IF(J193=FALSE,"「毎月の固定給与額」","")&amp;IF(AND(J193=FALSE,OR(K193=FALSE,L193=FALSE,M193=FALSE)),",","")&amp;IF(K193=FALSE,"「賞与額等」","")&amp;IF(AND(K193=FALSE,OR(L193=FALSE,M193=FALSE)),",","")&amp;IF(L193=FALSE,"「残業手当」","")&amp;IF(AND(L193=FALSE,M193=FALSE),",","")&amp;IF(M193=FALSE,"「残業時間」","")&amp;IF(OR(J193=FALSE,K193=FALSE,L193=FALSE,M193=FALSE),入力リスト!$K$36,"")&amp;IF(N193,"",入力リスト!$K$37)))</f>
        <v/>
      </c>
      <c r="H193" s="215"/>
      <c r="I193" s="1" t="b">
        <f>IF(B193="",FALSE,COUNTIF('従業員情報(給与以外)'!$A$4:$A$1000000,$B193)=0)</f>
        <v>0</v>
      </c>
      <c r="J193" s="8" t="b">
        <f t="shared" si="10"/>
        <v>1</v>
      </c>
      <c r="K193" s="8" t="b">
        <f t="shared" si="11"/>
        <v>1</v>
      </c>
      <c r="L193" s="8" t="b">
        <f t="shared" si="12"/>
        <v>1</v>
      </c>
      <c r="M193" s="8" t="b">
        <f t="shared" si="13"/>
        <v>1</v>
      </c>
      <c r="N193" s="1" t="b">
        <f t="shared" si="14"/>
        <v>1</v>
      </c>
      <c r="O193" s="8" t="str">
        <f>IF(F193="","",IF($F$2=入力リスト!$H$25,ROUNDDOWN(INT(F193)+ROUNDDOWN((F193-INT(F193))*100,0)/60,2),F193))</f>
        <v/>
      </c>
      <c r="P193" s="7"/>
      <c r="Q193" s="7"/>
    </row>
    <row r="194" spans="1:17">
      <c r="A194" s="105"/>
      <c r="B194" s="2"/>
      <c r="C194" s="254"/>
      <c r="D194" s="254"/>
      <c r="E194" s="254"/>
      <c r="F194" s="255"/>
      <c r="G194" s="215" t="str">
        <f>IF(AND($B194="",OR(B194&lt;&gt;"",C194&lt;&gt;"",D194&lt;&gt;"",E194&lt;&gt;"",F194&lt;&gt;"")),入力リスト!$K$34,IF($I194=TRUE,入力リスト!$K$35,IF(J194=FALSE,"「毎月の固定給与額」","")&amp;IF(AND(J194=FALSE,OR(K194=FALSE,L194=FALSE,M194=FALSE)),",","")&amp;IF(K194=FALSE,"「賞与額等」","")&amp;IF(AND(K194=FALSE,OR(L194=FALSE,M194=FALSE)),",","")&amp;IF(L194=FALSE,"「残業手当」","")&amp;IF(AND(L194=FALSE,M194=FALSE),",","")&amp;IF(M194=FALSE,"「残業時間」","")&amp;IF(OR(J194=FALSE,K194=FALSE,L194=FALSE,M194=FALSE),入力リスト!$K$36,"")&amp;IF(N194,"",入力リスト!$K$37)))</f>
        <v/>
      </c>
      <c r="H194" s="215"/>
      <c r="I194" s="1" t="b">
        <f>IF(B194="",FALSE,COUNTIF('従業員情報(給与以外)'!$A$4:$A$1000000,$B194)=0)</f>
        <v>0</v>
      </c>
      <c r="J194" s="8" t="b">
        <f t="shared" si="10"/>
        <v>1</v>
      </c>
      <c r="K194" s="8" t="b">
        <f t="shared" si="11"/>
        <v>1</v>
      </c>
      <c r="L194" s="8" t="b">
        <f t="shared" si="12"/>
        <v>1</v>
      </c>
      <c r="M194" s="8" t="b">
        <f t="shared" si="13"/>
        <v>1</v>
      </c>
      <c r="N194" s="1" t="b">
        <f t="shared" si="14"/>
        <v>1</v>
      </c>
      <c r="O194" s="8" t="str">
        <f>IF(F194="","",IF($F$2=入力リスト!$H$25,ROUNDDOWN(INT(F194)+ROUNDDOWN((F194-INT(F194))*100,0)/60,2),F194))</f>
        <v/>
      </c>
      <c r="P194" s="7"/>
      <c r="Q194" s="7"/>
    </row>
    <row r="195" spans="1:17">
      <c r="A195" s="105"/>
      <c r="B195" s="2"/>
      <c r="C195" s="254"/>
      <c r="D195" s="254"/>
      <c r="E195" s="254"/>
      <c r="F195" s="255"/>
      <c r="G195" s="215" t="str">
        <f>IF(AND($B195="",OR(B195&lt;&gt;"",C195&lt;&gt;"",D195&lt;&gt;"",E195&lt;&gt;"",F195&lt;&gt;"")),入力リスト!$K$34,IF($I195=TRUE,入力リスト!$K$35,IF(J195=FALSE,"「毎月の固定給与額」","")&amp;IF(AND(J195=FALSE,OR(K195=FALSE,L195=FALSE,M195=FALSE)),",","")&amp;IF(K195=FALSE,"「賞与額等」","")&amp;IF(AND(K195=FALSE,OR(L195=FALSE,M195=FALSE)),",","")&amp;IF(L195=FALSE,"「残業手当」","")&amp;IF(AND(L195=FALSE,M195=FALSE),",","")&amp;IF(M195=FALSE,"「残業時間」","")&amp;IF(OR(J195=FALSE,K195=FALSE,L195=FALSE,M195=FALSE),入力リスト!$K$36,"")&amp;IF(N195,"",入力リスト!$K$37)))</f>
        <v/>
      </c>
      <c r="H195" s="215"/>
      <c r="I195" s="1" t="b">
        <f>IF(B195="",FALSE,COUNTIF('従業員情報(給与以外)'!$A$4:$A$1000000,$B195)=0)</f>
        <v>0</v>
      </c>
      <c r="J195" s="8" t="b">
        <f t="shared" si="10"/>
        <v>1</v>
      </c>
      <c r="K195" s="8" t="b">
        <f t="shared" si="11"/>
        <v>1</v>
      </c>
      <c r="L195" s="8" t="b">
        <f t="shared" si="12"/>
        <v>1</v>
      </c>
      <c r="M195" s="8" t="b">
        <f t="shared" si="13"/>
        <v>1</v>
      </c>
      <c r="N195" s="1" t="b">
        <f t="shared" si="14"/>
        <v>1</v>
      </c>
      <c r="O195" s="8" t="str">
        <f>IF(F195="","",IF($F$2=入力リスト!$H$25,ROUNDDOWN(INT(F195)+ROUNDDOWN((F195-INT(F195))*100,0)/60,2),F195))</f>
        <v/>
      </c>
      <c r="P195" s="7"/>
      <c r="Q195" s="7"/>
    </row>
    <row r="196" spans="1:17">
      <c r="A196" s="105"/>
      <c r="B196" s="2"/>
      <c r="C196" s="254"/>
      <c r="D196" s="254"/>
      <c r="E196" s="254"/>
      <c r="F196" s="255"/>
      <c r="G196" s="215" t="str">
        <f>IF(AND($B196="",OR(B196&lt;&gt;"",C196&lt;&gt;"",D196&lt;&gt;"",E196&lt;&gt;"",F196&lt;&gt;"")),入力リスト!$K$34,IF($I196=TRUE,入力リスト!$K$35,IF(J196=FALSE,"「毎月の固定給与額」","")&amp;IF(AND(J196=FALSE,OR(K196=FALSE,L196=FALSE,M196=FALSE)),",","")&amp;IF(K196=FALSE,"「賞与額等」","")&amp;IF(AND(K196=FALSE,OR(L196=FALSE,M196=FALSE)),",","")&amp;IF(L196=FALSE,"「残業手当」","")&amp;IF(AND(L196=FALSE,M196=FALSE),",","")&amp;IF(M196=FALSE,"「残業時間」","")&amp;IF(OR(J196=FALSE,K196=FALSE,L196=FALSE,M196=FALSE),入力リスト!$K$36,"")&amp;IF(N196,"",入力リスト!$K$37)))</f>
        <v/>
      </c>
      <c r="H196" s="215"/>
      <c r="I196" s="1" t="b">
        <f>IF(B196="",FALSE,COUNTIF('従業員情報(給与以外)'!$A$4:$A$1000000,$B196)=0)</f>
        <v>0</v>
      </c>
      <c r="J196" s="8" t="b">
        <f t="shared" si="10"/>
        <v>1</v>
      </c>
      <c r="K196" s="8" t="b">
        <f t="shared" si="11"/>
        <v>1</v>
      </c>
      <c r="L196" s="8" t="b">
        <f t="shared" si="12"/>
        <v>1</v>
      </c>
      <c r="M196" s="8" t="b">
        <f t="shared" si="13"/>
        <v>1</v>
      </c>
      <c r="N196" s="1" t="b">
        <f t="shared" si="14"/>
        <v>1</v>
      </c>
      <c r="O196" s="8" t="str">
        <f>IF(F196="","",IF($F$2=入力リスト!$H$25,ROUNDDOWN(INT(F196)+ROUNDDOWN((F196-INT(F196))*100,0)/60,2),F196))</f>
        <v/>
      </c>
      <c r="P196" s="7"/>
      <c r="Q196" s="7"/>
    </row>
    <row r="197" spans="1:17">
      <c r="A197" s="105"/>
      <c r="B197" s="2"/>
      <c r="C197" s="254"/>
      <c r="D197" s="254"/>
      <c r="E197" s="254"/>
      <c r="F197" s="255"/>
      <c r="G197" s="215" t="str">
        <f>IF(AND($B197="",OR(B197&lt;&gt;"",C197&lt;&gt;"",D197&lt;&gt;"",E197&lt;&gt;"",F197&lt;&gt;"")),入力リスト!$K$34,IF($I197=TRUE,入力リスト!$K$35,IF(J197=FALSE,"「毎月の固定給与額」","")&amp;IF(AND(J197=FALSE,OR(K197=FALSE,L197=FALSE,M197=FALSE)),",","")&amp;IF(K197=FALSE,"「賞与額等」","")&amp;IF(AND(K197=FALSE,OR(L197=FALSE,M197=FALSE)),",","")&amp;IF(L197=FALSE,"「残業手当」","")&amp;IF(AND(L197=FALSE,M197=FALSE),",","")&amp;IF(M197=FALSE,"「残業時間」","")&amp;IF(OR(J197=FALSE,K197=FALSE,L197=FALSE,M197=FALSE),入力リスト!$K$36,"")&amp;IF(N197,"",入力リスト!$K$37)))</f>
        <v/>
      </c>
      <c r="H197" s="215"/>
      <c r="I197" s="1" t="b">
        <f>IF(B197="",FALSE,COUNTIF('従業員情報(給与以外)'!$A$4:$A$1000000,$B197)=0)</f>
        <v>0</v>
      </c>
      <c r="J197" s="8" t="b">
        <f t="shared" ref="J197:J260" si="15">OR(C197="",ISNUMBER(C197))</f>
        <v>1</v>
      </c>
      <c r="K197" s="8" t="b">
        <f t="shared" ref="K197:K260" si="16">OR(D197="",ISNUMBER(D197))</f>
        <v>1</v>
      </c>
      <c r="L197" s="8" t="b">
        <f t="shared" ref="L197:L260" si="17">OR(E197="",ISNUMBER(E197))</f>
        <v>1</v>
      </c>
      <c r="M197" s="8" t="b">
        <f t="shared" ref="M197:M260" si="18">OR(F197="",ISNUMBER(F197))</f>
        <v>1</v>
      </c>
      <c r="N197" s="1" t="b">
        <f t="shared" ref="N197:N260" si="19">IF($N$1,TRUE,IF($N$2,IF(F197-INT(F197)&lt;0.6,TRUE,FALSE),TRUE))</f>
        <v>1</v>
      </c>
      <c r="O197" s="8" t="str">
        <f>IF(F197="","",IF($F$2=入力リスト!$H$25,ROUNDDOWN(INT(F197)+ROUNDDOWN((F197-INT(F197))*100,0)/60,2),F197))</f>
        <v/>
      </c>
      <c r="P197" s="7"/>
      <c r="Q197" s="7"/>
    </row>
    <row r="198" spans="1:17">
      <c r="A198" s="105"/>
      <c r="B198" s="2"/>
      <c r="C198" s="254"/>
      <c r="D198" s="254"/>
      <c r="E198" s="254"/>
      <c r="F198" s="255"/>
      <c r="G198" s="215" t="str">
        <f>IF(AND($B198="",OR(B198&lt;&gt;"",C198&lt;&gt;"",D198&lt;&gt;"",E198&lt;&gt;"",F198&lt;&gt;"")),入力リスト!$K$34,IF($I198=TRUE,入力リスト!$K$35,IF(J198=FALSE,"「毎月の固定給与額」","")&amp;IF(AND(J198=FALSE,OR(K198=FALSE,L198=FALSE,M198=FALSE)),",","")&amp;IF(K198=FALSE,"「賞与額等」","")&amp;IF(AND(K198=FALSE,OR(L198=FALSE,M198=FALSE)),",","")&amp;IF(L198=FALSE,"「残業手当」","")&amp;IF(AND(L198=FALSE,M198=FALSE),",","")&amp;IF(M198=FALSE,"「残業時間」","")&amp;IF(OR(J198=FALSE,K198=FALSE,L198=FALSE,M198=FALSE),入力リスト!$K$36,"")&amp;IF(N198,"",入力リスト!$K$37)))</f>
        <v/>
      </c>
      <c r="H198" s="215"/>
      <c r="I198" s="1" t="b">
        <f>IF(B198="",FALSE,COUNTIF('従業員情報(給与以外)'!$A$4:$A$1000000,$B198)=0)</f>
        <v>0</v>
      </c>
      <c r="J198" s="8" t="b">
        <f t="shared" si="15"/>
        <v>1</v>
      </c>
      <c r="K198" s="8" t="b">
        <f t="shared" si="16"/>
        <v>1</v>
      </c>
      <c r="L198" s="8" t="b">
        <f t="shared" si="17"/>
        <v>1</v>
      </c>
      <c r="M198" s="8" t="b">
        <f t="shared" si="18"/>
        <v>1</v>
      </c>
      <c r="N198" s="1" t="b">
        <f t="shared" si="19"/>
        <v>1</v>
      </c>
      <c r="O198" s="8" t="str">
        <f>IF(F198="","",IF($F$2=入力リスト!$H$25,ROUNDDOWN(INT(F198)+ROUNDDOWN((F198-INT(F198))*100,0)/60,2),F198))</f>
        <v/>
      </c>
      <c r="P198" s="7"/>
      <c r="Q198" s="7"/>
    </row>
    <row r="199" spans="1:17">
      <c r="A199" s="105"/>
      <c r="B199" s="2"/>
      <c r="C199" s="254"/>
      <c r="D199" s="254"/>
      <c r="E199" s="254"/>
      <c r="F199" s="255"/>
      <c r="G199" s="215" t="str">
        <f>IF(AND($B199="",OR(B199&lt;&gt;"",C199&lt;&gt;"",D199&lt;&gt;"",E199&lt;&gt;"",F199&lt;&gt;"")),入力リスト!$K$34,IF($I199=TRUE,入力リスト!$K$35,IF(J199=FALSE,"「毎月の固定給与額」","")&amp;IF(AND(J199=FALSE,OR(K199=FALSE,L199=FALSE,M199=FALSE)),",","")&amp;IF(K199=FALSE,"「賞与額等」","")&amp;IF(AND(K199=FALSE,OR(L199=FALSE,M199=FALSE)),",","")&amp;IF(L199=FALSE,"「残業手当」","")&amp;IF(AND(L199=FALSE,M199=FALSE),",","")&amp;IF(M199=FALSE,"「残業時間」","")&amp;IF(OR(J199=FALSE,K199=FALSE,L199=FALSE,M199=FALSE),入力リスト!$K$36,"")&amp;IF(N199,"",入力リスト!$K$37)))</f>
        <v/>
      </c>
      <c r="H199" s="215"/>
      <c r="I199" s="1" t="b">
        <f>IF(B199="",FALSE,COUNTIF('従業員情報(給与以外)'!$A$4:$A$1000000,$B199)=0)</f>
        <v>0</v>
      </c>
      <c r="J199" s="8" t="b">
        <f t="shared" si="15"/>
        <v>1</v>
      </c>
      <c r="K199" s="8" t="b">
        <f t="shared" si="16"/>
        <v>1</v>
      </c>
      <c r="L199" s="8" t="b">
        <f t="shared" si="17"/>
        <v>1</v>
      </c>
      <c r="M199" s="8" t="b">
        <f t="shared" si="18"/>
        <v>1</v>
      </c>
      <c r="N199" s="1" t="b">
        <f t="shared" si="19"/>
        <v>1</v>
      </c>
      <c r="O199" s="8" t="str">
        <f>IF(F199="","",IF($F$2=入力リスト!$H$25,ROUNDDOWN(INT(F199)+ROUNDDOWN((F199-INT(F199))*100,0)/60,2),F199))</f>
        <v/>
      </c>
      <c r="P199" s="7"/>
      <c r="Q199" s="7"/>
    </row>
    <row r="200" spans="1:17">
      <c r="A200" s="105"/>
      <c r="B200" s="2"/>
      <c r="C200" s="254"/>
      <c r="D200" s="254"/>
      <c r="E200" s="254"/>
      <c r="F200" s="255"/>
      <c r="G200" s="215" t="str">
        <f>IF(AND($B200="",OR(B200&lt;&gt;"",C200&lt;&gt;"",D200&lt;&gt;"",E200&lt;&gt;"",F200&lt;&gt;"")),入力リスト!$K$34,IF($I200=TRUE,入力リスト!$K$35,IF(J200=FALSE,"「毎月の固定給与額」","")&amp;IF(AND(J200=FALSE,OR(K200=FALSE,L200=FALSE,M200=FALSE)),",","")&amp;IF(K200=FALSE,"「賞与額等」","")&amp;IF(AND(K200=FALSE,OR(L200=FALSE,M200=FALSE)),",","")&amp;IF(L200=FALSE,"「残業手当」","")&amp;IF(AND(L200=FALSE,M200=FALSE),",","")&amp;IF(M200=FALSE,"「残業時間」","")&amp;IF(OR(J200=FALSE,K200=FALSE,L200=FALSE,M200=FALSE),入力リスト!$K$36,"")&amp;IF(N200,"",入力リスト!$K$37)))</f>
        <v/>
      </c>
      <c r="H200" s="215"/>
      <c r="I200" s="1" t="b">
        <f>IF(B200="",FALSE,COUNTIF('従業員情報(給与以外)'!$A$4:$A$1000000,$B200)=0)</f>
        <v>0</v>
      </c>
      <c r="J200" s="8" t="b">
        <f t="shared" si="15"/>
        <v>1</v>
      </c>
      <c r="K200" s="8" t="b">
        <f t="shared" si="16"/>
        <v>1</v>
      </c>
      <c r="L200" s="8" t="b">
        <f t="shared" si="17"/>
        <v>1</v>
      </c>
      <c r="M200" s="8" t="b">
        <f t="shared" si="18"/>
        <v>1</v>
      </c>
      <c r="N200" s="1" t="b">
        <f t="shared" si="19"/>
        <v>1</v>
      </c>
      <c r="O200" s="8" t="str">
        <f>IF(F200="","",IF($F$2=入力リスト!$H$25,ROUNDDOWN(INT(F200)+ROUNDDOWN((F200-INT(F200))*100,0)/60,2),F200))</f>
        <v/>
      </c>
      <c r="P200" s="7"/>
      <c r="Q200" s="7"/>
    </row>
    <row r="201" spans="1:17">
      <c r="A201" s="105"/>
      <c r="B201" s="2"/>
      <c r="C201" s="254"/>
      <c r="D201" s="254"/>
      <c r="E201" s="254"/>
      <c r="F201" s="255"/>
      <c r="G201" s="215" t="str">
        <f>IF(AND($B201="",OR(B201&lt;&gt;"",C201&lt;&gt;"",D201&lt;&gt;"",E201&lt;&gt;"",F201&lt;&gt;"")),入力リスト!$K$34,IF($I201=TRUE,入力リスト!$K$35,IF(J201=FALSE,"「毎月の固定給与額」","")&amp;IF(AND(J201=FALSE,OR(K201=FALSE,L201=FALSE,M201=FALSE)),",","")&amp;IF(K201=FALSE,"「賞与額等」","")&amp;IF(AND(K201=FALSE,OR(L201=FALSE,M201=FALSE)),",","")&amp;IF(L201=FALSE,"「残業手当」","")&amp;IF(AND(L201=FALSE,M201=FALSE),",","")&amp;IF(M201=FALSE,"「残業時間」","")&amp;IF(OR(J201=FALSE,K201=FALSE,L201=FALSE,M201=FALSE),入力リスト!$K$36,"")&amp;IF(N201,"",入力リスト!$K$37)))</f>
        <v/>
      </c>
      <c r="H201" s="215"/>
      <c r="I201" s="1" t="b">
        <f>IF(B201="",FALSE,COUNTIF('従業員情報(給与以外)'!$A$4:$A$1000000,$B201)=0)</f>
        <v>0</v>
      </c>
      <c r="J201" s="8" t="b">
        <f t="shared" si="15"/>
        <v>1</v>
      </c>
      <c r="K201" s="8" t="b">
        <f t="shared" si="16"/>
        <v>1</v>
      </c>
      <c r="L201" s="8" t="b">
        <f t="shared" si="17"/>
        <v>1</v>
      </c>
      <c r="M201" s="8" t="b">
        <f t="shared" si="18"/>
        <v>1</v>
      </c>
      <c r="N201" s="1" t="b">
        <f t="shared" si="19"/>
        <v>1</v>
      </c>
      <c r="O201" s="8" t="str">
        <f>IF(F201="","",IF($F$2=入力リスト!$H$25,ROUNDDOWN(INT(F201)+ROUNDDOWN((F201-INT(F201))*100,0)/60,2),F201))</f>
        <v/>
      </c>
      <c r="P201" s="7"/>
      <c r="Q201" s="7"/>
    </row>
    <row r="202" spans="1:17">
      <c r="A202" s="105"/>
      <c r="B202" s="2"/>
      <c r="C202" s="254"/>
      <c r="D202" s="254"/>
      <c r="E202" s="254"/>
      <c r="F202" s="255"/>
      <c r="G202" s="215" t="str">
        <f>IF(AND($B202="",OR(B202&lt;&gt;"",C202&lt;&gt;"",D202&lt;&gt;"",E202&lt;&gt;"",F202&lt;&gt;"")),入力リスト!$K$34,IF($I202=TRUE,入力リスト!$K$35,IF(J202=FALSE,"「毎月の固定給与額」","")&amp;IF(AND(J202=FALSE,OR(K202=FALSE,L202=FALSE,M202=FALSE)),",","")&amp;IF(K202=FALSE,"「賞与額等」","")&amp;IF(AND(K202=FALSE,OR(L202=FALSE,M202=FALSE)),",","")&amp;IF(L202=FALSE,"「残業手当」","")&amp;IF(AND(L202=FALSE,M202=FALSE),",","")&amp;IF(M202=FALSE,"「残業時間」","")&amp;IF(OR(J202=FALSE,K202=FALSE,L202=FALSE,M202=FALSE),入力リスト!$K$36,"")&amp;IF(N202,"",入力リスト!$K$37)))</f>
        <v/>
      </c>
      <c r="H202" s="215"/>
      <c r="I202" s="1" t="b">
        <f>IF(B202="",FALSE,COUNTIF('従業員情報(給与以外)'!$A$4:$A$1000000,$B202)=0)</f>
        <v>0</v>
      </c>
      <c r="J202" s="8" t="b">
        <f t="shared" si="15"/>
        <v>1</v>
      </c>
      <c r="K202" s="8" t="b">
        <f t="shared" si="16"/>
        <v>1</v>
      </c>
      <c r="L202" s="8" t="b">
        <f t="shared" si="17"/>
        <v>1</v>
      </c>
      <c r="M202" s="8" t="b">
        <f t="shared" si="18"/>
        <v>1</v>
      </c>
      <c r="N202" s="1" t="b">
        <f t="shared" si="19"/>
        <v>1</v>
      </c>
      <c r="O202" s="8" t="str">
        <f>IF(F202="","",IF($F$2=入力リスト!$H$25,ROUNDDOWN(INT(F202)+ROUNDDOWN((F202-INT(F202))*100,0)/60,2),F202))</f>
        <v/>
      </c>
      <c r="P202" s="7"/>
      <c r="Q202" s="7"/>
    </row>
    <row r="203" spans="1:17">
      <c r="A203" s="105"/>
      <c r="B203" s="2"/>
      <c r="C203" s="254"/>
      <c r="D203" s="254"/>
      <c r="E203" s="254"/>
      <c r="F203" s="255"/>
      <c r="G203" s="215" t="str">
        <f>IF(AND($B203="",OR(B203&lt;&gt;"",C203&lt;&gt;"",D203&lt;&gt;"",E203&lt;&gt;"",F203&lt;&gt;"")),入力リスト!$K$34,IF($I203=TRUE,入力リスト!$K$35,IF(J203=FALSE,"「毎月の固定給与額」","")&amp;IF(AND(J203=FALSE,OR(K203=FALSE,L203=FALSE,M203=FALSE)),",","")&amp;IF(K203=FALSE,"「賞与額等」","")&amp;IF(AND(K203=FALSE,OR(L203=FALSE,M203=FALSE)),",","")&amp;IF(L203=FALSE,"「残業手当」","")&amp;IF(AND(L203=FALSE,M203=FALSE),",","")&amp;IF(M203=FALSE,"「残業時間」","")&amp;IF(OR(J203=FALSE,K203=FALSE,L203=FALSE,M203=FALSE),入力リスト!$K$36,"")&amp;IF(N203,"",入力リスト!$K$37)))</f>
        <v/>
      </c>
      <c r="H203" s="215"/>
      <c r="I203" s="1" t="b">
        <f>IF(B203="",FALSE,COUNTIF('従業員情報(給与以外)'!$A$4:$A$1000000,$B203)=0)</f>
        <v>0</v>
      </c>
      <c r="J203" s="8" t="b">
        <f t="shared" si="15"/>
        <v>1</v>
      </c>
      <c r="K203" s="8" t="b">
        <f t="shared" si="16"/>
        <v>1</v>
      </c>
      <c r="L203" s="8" t="b">
        <f t="shared" si="17"/>
        <v>1</v>
      </c>
      <c r="M203" s="8" t="b">
        <f t="shared" si="18"/>
        <v>1</v>
      </c>
      <c r="N203" s="1" t="b">
        <f t="shared" si="19"/>
        <v>1</v>
      </c>
      <c r="O203" s="8" t="str">
        <f>IF(F203="","",IF($F$2=入力リスト!$H$25,ROUNDDOWN(INT(F203)+ROUNDDOWN((F203-INT(F203))*100,0)/60,2),F203))</f>
        <v/>
      </c>
      <c r="P203" s="7"/>
      <c r="Q203" s="7"/>
    </row>
    <row r="204" spans="1:17">
      <c r="A204" s="105"/>
      <c r="B204" s="2"/>
      <c r="C204" s="254"/>
      <c r="D204" s="254"/>
      <c r="E204" s="254"/>
      <c r="F204" s="255"/>
      <c r="G204" s="215" t="str">
        <f>IF(AND($B204="",OR(B204&lt;&gt;"",C204&lt;&gt;"",D204&lt;&gt;"",E204&lt;&gt;"",F204&lt;&gt;"")),入力リスト!$K$34,IF($I204=TRUE,入力リスト!$K$35,IF(J204=FALSE,"「毎月の固定給与額」","")&amp;IF(AND(J204=FALSE,OR(K204=FALSE,L204=FALSE,M204=FALSE)),",","")&amp;IF(K204=FALSE,"「賞与額等」","")&amp;IF(AND(K204=FALSE,OR(L204=FALSE,M204=FALSE)),",","")&amp;IF(L204=FALSE,"「残業手当」","")&amp;IF(AND(L204=FALSE,M204=FALSE),",","")&amp;IF(M204=FALSE,"「残業時間」","")&amp;IF(OR(J204=FALSE,K204=FALSE,L204=FALSE,M204=FALSE),入力リスト!$K$36,"")&amp;IF(N204,"",入力リスト!$K$37)))</f>
        <v/>
      </c>
      <c r="H204" s="215"/>
      <c r="I204" s="1" t="b">
        <f>IF(B204="",FALSE,COUNTIF('従業員情報(給与以外)'!$A$4:$A$1000000,$B204)=0)</f>
        <v>0</v>
      </c>
      <c r="J204" s="8" t="b">
        <f t="shared" si="15"/>
        <v>1</v>
      </c>
      <c r="K204" s="8" t="b">
        <f t="shared" si="16"/>
        <v>1</v>
      </c>
      <c r="L204" s="8" t="b">
        <f t="shared" si="17"/>
        <v>1</v>
      </c>
      <c r="M204" s="8" t="b">
        <f t="shared" si="18"/>
        <v>1</v>
      </c>
      <c r="N204" s="1" t="b">
        <f t="shared" si="19"/>
        <v>1</v>
      </c>
      <c r="O204" s="8" t="str">
        <f>IF(F204="","",IF($F$2=入力リスト!$H$25,ROUNDDOWN(INT(F204)+ROUNDDOWN((F204-INT(F204))*100,0)/60,2),F204))</f>
        <v/>
      </c>
      <c r="P204" s="7"/>
      <c r="Q204" s="7"/>
    </row>
    <row r="205" spans="1:17">
      <c r="A205" s="105"/>
      <c r="B205" s="2"/>
      <c r="C205" s="254"/>
      <c r="D205" s="254"/>
      <c r="E205" s="254"/>
      <c r="F205" s="255"/>
      <c r="G205" s="215" t="str">
        <f>IF(AND($B205="",OR(B205&lt;&gt;"",C205&lt;&gt;"",D205&lt;&gt;"",E205&lt;&gt;"",F205&lt;&gt;"")),入力リスト!$K$34,IF($I205=TRUE,入力リスト!$K$35,IF(J205=FALSE,"「毎月の固定給与額」","")&amp;IF(AND(J205=FALSE,OR(K205=FALSE,L205=FALSE,M205=FALSE)),",","")&amp;IF(K205=FALSE,"「賞与額等」","")&amp;IF(AND(K205=FALSE,OR(L205=FALSE,M205=FALSE)),",","")&amp;IF(L205=FALSE,"「残業手当」","")&amp;IF(AND(L205=FALSE,M205=FALSE),",","")&amp;IF(M205=FALSE,"「残業時間」","")&amp;IF(OR(J205=FALSE,K205=FALSE,L205=FALSE,M205=FALSE),入力リスト!$K$36,"")&amp;IF(N205,"",入力リスト!$K$37)))</f>
        <v/>
      </c>
      <c r="H205" s="215"/>
      <c r="I205" s="1" t="b">
        <f>IF(B205="",FALSE,COUNTIF('従業員情報(給与以外)'!$A$4:$A$1000000,$B205)=0)</f>
        <v>0</v>
      </c>
      <c r="J205" s="8" t="b">
        <f t="shared" si="15"/>
        <v>1</v>
      </c>
      <c r="K205" s="8" t="b">
        <f t="shared" si="16"/>
        <v>1</v>
      </c>
      <c r="L205" s="8" t="b">
        <f t="shared" si="17"/>
        <v>1</v>
      </c>
      <c r="M205" s="8" t="b">
        <f t="shared" si="18"/>
        <v>1</v>
      </c>
      <c r="N205" s="1" t="b">
        <f t="shared" si="19"/>
        <v>1</v>
      </c>
      <c r="O205" s="8" t="str">
        <f>IF(F205="","",IF($F$2=入力リスト!$H$25,ROUNDDOWN(INT(F205)+ROUNDDOWN((F205-INT(F205))*100,0)/60,2),F205))</f>
        <v/>
      </c>
      <c r="P205" s="7"/>
      <c r="Q205" s="7"/>
    </row>
    <row r="206" spans="1:17">
      <c r="A206" s="105"/>
      <c r="B206" s="2"/>
      <c r="C206" s="254"/>
      <c r="D206" s="254"/>
      <c r="E206" s="254"/>
      <c r="F206" s="255"/>
      <c r="G206" s="215" t="str">
        <f>IF(AND($B206="",OR(B206&lt;&gt;"",C206&lt;&gt;"",D206&lt;&gt;"",E206&lt;&gt;"",F206&lt;&gt;"")),入力リスト!$K$34,IF($I206=TRUE,入力リスト!$K$35,IF(J206=FALSE,"「毎月の固定給与額」","")&amp;IF(AND(J206=FALSE,OR(K206=FALSE,L206=FALSE,M206=FALSE)),",","")&amp;IF(K206=FALSE,"「賞与額等」","")&amp;IF(AND(K206=FALSE,OR(L206=FALSE,M206=FALSE)),",","")&amp;IF(L206=FALSE,"「残業手当」","")&amp;IF(AND(L206=FALSE,M206=FALSE),",","")&amp;IF(M206=FALSE,"「残業時間」","")&amp;IF(OR(J206=FALSE,K206=FALSE,L206=FALSE,M206=FALSE),入力リスト!$K$36,"")&amp;IF(N206,"",入力リスト!$K$37)))</f>
        <v/>
      </c>
      <c r="H206" s="215"/>
      <c r="I206" s="1" t="b">
        <f>IF(B206="",FALSE,COUNTIF('従業員情報(給与以外)'!$A$4:$A$1000000,$B206)=0)</f>
        <v>0</v>
      </c>
      <c r="J206" s="8" t="b">
        <f t="shared" si="15"/>
        <v>1</v>
      </c>
      <c r="K206" s="8" t="b">
        <f t="shared" si="16"/>
        <v>1</v>
      </c>
      <c r="L206" s="8" t="b">
        <f t="shared" si="17"/>
        <v>1</v>
      </c>
      <c r="M206" s="8" t="b">
        <f t="shared" si="18"/>
        <v>1</v>
      </c>
      <c r="N206" s="1" t="b">
        <f t="shared" si="19"/>
        <v>1</v>
      </c>
      <c r="O206" s="8" t="str">
        <f>IF(F206="","",IF($F$2=入力リスト!$H$25,ROUNDDOWN(INT(F206)+ROUNDDOWN((F206-INT(F206))*100,0)/60,2),F206))</f>
        <v/>
      </c>
      <c r="P206" s="7"/>
      <c r="Q206" s="7"/>
    </row>
    <row r="207" spans="1:17">
      <c r="A207" s="105"/>
      <c r="B207" s="2"/>
      <c r="C207" s="254"/>
      <c r="D207" s="254"/>
      <c r="E207" s="254"/>
      <c r="F207" s="255"/>
      <c r="G207" s="215" t="str">
        <f>IF(AND($B207="",OR(B207&lt;&gt;"",C207&lt;&gt;"",D207&lt;&gt;"",E207&lt;&gt;"",F207&lt;&gt;"")),入力リスト!$K$34,IF($I207=TRUE,入力リスト!$K$35,IF(J207=FALSE,"「毎月の固定給与額」","")&amp;IF(AND(J207=FALSE,OR(K207=FALSE,L207=FALSE,M207=FALSE)),",","")&amp;IF(K207=FALSE,"「賞与額等」","")&amp;IF(AND(K207=FALSE,OR(L207=FALSE,M207=FALSE)),",","")&amp;IF(L207=FALSE,"「残業手当」","")&amp;IF(AND(L207=FALSE,M207=FALSE),",","")&amp;IF(M207=FALSE,"「残業時間」","")&amp;IF(OR(J207=FALSE,K207=FALSE,L207=FALSE,M207=FALSE),入力リスト!$K$36,"")&amp;IF(N207,"",入力リスト!$K$37)))</f>
        <v/>
      </c>
      <c r="H207" s="215"/>
      <c r="I207" s="1" t="b">
        <f>IF(B207="",FALSE,COUNTIF('従業員情報(給与以外)'!$A$4:$A$1000000,$B207)=0)</f>
        <v>0</v>
      </c>
      <c r="J207" s="8" t="b">
        <f t="shared" si="15"/>
        <v>1</v>
      </c>
      <c r="K207" s="8" t="b">
        <f t="shared" si="16"/>
        <v>1</v>
      </c>
      <c r="L207" s="8" t="b">
        <f t="shared" si="17"/>
        <v>1</v>
      </c>
      <c r="M207" s="8" t="b">
        <f t="shared" si="18"/>
        <v>1</v>
      </c>
      <c r="N207" s="1" t="b">
        <f t="shared" si="19"/>
        <v>1</v>
      </c>
      <c r="O207" s="8" t="str">
        <f>IF(F207="","",IF($F$2=入力リスト!$H$25,ROUNDDOWN(INT(F207)+ROUNDDOWN((F207-INT(F207))*100,0)/60,2),F207))</f>
        <v/>
      </c>
      <c r="P207" s="7"/>
      <c r="Q207" s="7"/>
    </row>
    <row r="208" spans="1:17">
      <c r="A208" s="105"/>
      <c r="B208" s="2"/>
      <c r="C208" s="254"/>
      <c r="D208" s="254"/>
      <c r="E208" s="254"/>
      <c r="F208" s="255"/>
      <c r="G208" s="215" t="str">
        <f>IF(AND($B208="",OR(B208&lt;&gt;"",C208&lt;&gt;"",D208&lt;&gt;"",E208&lt;&gt;"",F208&lt;&gt;"")),入力リスト!$K$34,IF($I208=TRUE,入力リスト!$K$35,IF(J208=FALSE,"「毎月の固定給与額」","")&amp;IF(AND(J208=FALSE,OR(K208=FALSE,L208=FALSE,M208=FALSE)),",","")&amp;IF(K208=FALSE,"「賞与額等」","")&amp;IF(AND(K208=FALSE,OR(L208=FALSE,M208=FALSE)),",","")&amp;IF(L208=FALSE,"「残業手当」","")&amp;IF(AND(L208=FALSE,M208=FALSE),",","")&amp;IF(M208=FALSE,"「残業時間」","")&amp;IF(OR(J208=FALSE,K208=FALSE,L208=FALSE,M208=FALSE),入力リスト!$K$36,"")&amp;IF(N208,"",入力リスト!$K$37)))</f>
        <v/>
      </c>
      <c r="H208" s="215"/>
      <c r="I208" s="1" t="b">
        <f>IF(B208="",FALSE,COUNTIF('従業員情報(給与以外)'!$A$4:$A$1000000,$B208)=0)</f>
        <v>0</v>
      </c>
      <c r="J208" s="8" t="b">
        <f t="shared" si="15"/>
        <v>1</v>
      </c>
      <c r="K208" s="8" t="b">
        <f t="shared" si="16"/>
        <v>1</v>
      </c>
      <c r="L208" s="8" t="b">
        <f t="shared" si="17"/>
        <v>1</v>
      </c>
      <c r="M208" s="8" t="b">
        <f t="shared" si="18"/>
        <v>1</v>
      </c>
      <c r="N208" s="1" t="b">
        <f t="shared" si="19"/>
        <v>1</v>
      </c>
      <c r="O208" s="8" t="str">
        <f>IF(F208="","",IF($F$2=入力リスト!$H$25,ROUNDDOWN(INT(F208)+ROUNDDOWN((F208-INT(F208))*100,0)/60,2),F208))</f>
        <v/>
      </c>
      <c r="P208" s="7"/>
      <c r="Q208" s="7"/>
    </row>
    <row r="209" spans="1:17">
      <c r="A209" s="105"/>
      <c r="B209" s="2"/>
      <c r="C209" s="254"/>
      <c r="D209" s="254"/>
      <c r="E209" s="254"/>
      <c r="F209" s="255"/>
      <c r="G209" s="215" t="str">
        <f>IF(AND($B209="",OR(B209&lt;&gt;"",C209&lt;&gt;"",D209&lt;&gt;"",E209&lt;&gt;"",F209&lt;&gt;"")),入力リスト!$K$34,IF($I209=TRUE,入力リスト!$K$35,IF(J209=FALSE,"「毎月の固定給与額」","")&amp;IF(AND(J209=FALSE,OR(K209=FALSE,L209=FALSE,M209=FALSE)),",","")&amp;IF(K209=FALSE,"「賞与額等」","")&amp;IF(AND(K209=FALSE,OR(L209=FALSE,M209=FALSE)),",","")&amp;IF(L209=FALSE,"「残業手当」","")&amp;IF(AND(L209=FALSE,M209=FALSE),",","")&amp;IF(M209=FALSE,"「残業時間」","")&amp;IF(OR(J209=FALSE,K209=FALSE,L209=FALSE,M209=FALSE),入力リスト!$K$36,"")&amp;IF(N209,"",入力リスト!$K$37)))</f>
        <v/>
      </c>
      <c r="H209" s="215"/>
      <c r="I209" s="1" t="b">
        <f>IF(B209="",FALSE,COUNTIF('従業員情報(給与以外)'!$A$4:$A$1000000,$B209)=0)</f>
        <v>0</v>
      </c>
      <c r="J209" s="8" t="b">
        <f t="shared" si="15"/>
        <v>1</v>
      </c>
      <c r="K209" s="8" t="b">
        <f t="shared" si="16"/>
        <v>1</v>
      </c>
      <c r="L209" s="8" t="b">
        <f t="shared" si="17"/>
        <v>1</v>
      </c>
      <c r="M209" s="8" t="b">
        <f t="shared" si="18"/>
        <v>1</v>
      </c>
      <c r="N209" s="1" t="b">
        <f t="shared" si="19"/>
        <v>1</v>
      </c>
      <c r="O209" s="8" t="str">
        <f>IF(F209="","",IF($F$2=入力リスト!$H$25,ROUNDDOWN(INT(F209)+ROUNDDOWN((F209-INT(F209))*100,0)/60,2),F209))</f>
        <v/>
      </c>
      <c r="P209" s="7"/>
      <c r="Q209" s="7"/>
    </row>
    <row r="210" spans="1:17">
      <c r="A210" s="105"/>
      <c r="B210" s="2"/>
      <c r="C210" s="254"/>
      <c r="D210" s="254"/>
      <c r="E210" s="254"/>
      <c r="F210" s="255"/>
      <c r="G210" s="215" t="str">
        <f>IF(AND($B210="",OR(B210&lt;&gt;"",C210&lt;&gt;"",D210&lt;&gt;"",E210&lt;&gt;"",F210&lt;&gt;"")),入力リスト!$K$34,IF($I210=TRUE,入力リスト!$K$35,IF(J210=FALSE,"「毎月の固定給与額」","")&amp;IF(AND(J210=FALSE,OR(K210=FALSE,L210=FALSE,M210=FALSE)),",","")&amp;IF(K210=FALSE,"「賞与額等」","")&amp;IF(AND(K210=FALSE,OR(L210=FALSE,M210=FALSE)),",","")&amp;IF(L210=FALSE,"「残業手当」","")&amp;IF(AND(L210=FALSE,M210=FALSE),",","")&amp;IF(M210=FALSE,"「残業時間」","")&amp;IF(OR(J210=FALSE,K210=FALSE,L210=FALSE,M210=FALSE),入力リスト!$K$36,"")&amp;IF(N210,"",入力リスト!$K$37)))</f>
        <v/>
      </c>
      <c r="H210" s="215"/>
      <c r="I210" s="1" t="b">
        <f>IF(B210="",FALSE,COUNTIF('従業員情報(給与以外)'!$A$4:$A$1000000,$B210)=0)</f>
        <v>0</v>
      </c>
      <c r="J210" s="8" t="b">
        <f t="shared" si="15"/>
        <v>1</v>
      </c>
      <c r="K210" s="8" t="b">
        <f t="shared" si="16"/>
        <v>1</v>
      </c>
      <c r="L210" s="8" t="b">
        <f t="shared" si="17"/>
        <v>1</v>
      </c>
      <c r="M210" s="8" t="b">
        <f t="shared" si="18"/>
        <v>1</v>
      </c>
      <c r="N210" s="1" t="b">
        <f t="shared" si="19"/>
        <v>1</v>
      </c>
      <c r="O210" s="8" t="str">
        <f>IF(F210="","",IF($F$2=入力リスト!$H$25,ROUNDDOWN(INT(F210)+ROUNDDOWN((F210-INT(F210))*100,0)/60,2),F210))</f>
        <v/>
      </c>
      <c r="P210" s="7"/>
      <c r="Q210" s="7"/>
    </row>
    <row r="211" spans="1:17">
      <c r="A211" s="105"/>
      <c r="B211" s="2"/>
      <c r="C211" s="254"/>
      <c r="D211" s="254"/>
      <c r="E211" s="254"/>
      <c r="F211" s="255"/>
      <c r="G211" s="215" t="str">
        <f>IF(AND($B211="",OR(B211&lt;&gt;"",C211&lt;&gt;"",D211&lt;&gt;"",E211&lt;&gt;"",F211&lt;&gt;"")),入力リスト!$K$34,IF($I211=TRUE,入力リスト!$K$35,IF(J211=FALSE,"「毎月の固定給与額」","")&amp;IF(AND(J211=FALSE,OR(K211=FALSE,L211=FALSE,M211=FALSE)),",","")&amp;IF(K211=FALSE,"「賞与額等」","")&amp;IF(AND(K211=FALSE,OR(L211=FALSE,M211=FALSE)),",","")&amp;IF(L211=FALSE,"「残業手当」","")&amp;IF(AND(L211=FALSE,M211=FALSE),",","")&amp;IF(M211=FALSE,"「残業時間」","")&amp;IF(OR(J211=FALSE,K211=FALSE,L211=FALSE,M211=FALSE),入力リスト!$K$36,"")&amp;IF(N211,"",入力リスト!$K$37)))</f>
        <v/>
      </c>
      <c r="H211" s="215"/>
      <c r="I211" s="1" t="b">
        <f>IF(B211="",FALSE,COUNTIF('従業員情報(給与以外)'!$A$4:$A$1000000,$B211)=0)</f>
        <v>0</v>
      </c>
      <c r="J211" s="8" t="b">
        <f t="shared" si="15"/>
        <v>1</v>
      </c>
      <c r="K211" s="8" t="b">
        <f t="shared" si="16"/>
        <v>1</v>
      </c>
      <c r="L211" s="8" t="b">
        <f t="shared" si="17"/>
        <v>1</v>
      </c>
      <c r="M211" s="8" t="b">
        <f t="shared" si="18"/>
        <v>1</v>
      </c>
      <c r="N211" s="1" t="b">
        <f t="shared" si="19"/>
        <v>1</v>
      </c>
      <c r="O211" s="8" t="str">
        <f>IF(F211="","",IF($F$2=入力リスト!$H$25,ROUNDDOWN(INT(F211)+ROUNDDOWN((F211-INT(F211))*100,0)/60,2),F211))</f>
        <v/>
      </c>
      <c r="P211" s="7"/>
      <c r="Q211" s="7"/>
    </row>
    <row r="212" spans="1:17">
      <c r="A212" s="105"/>
      <c r="B212" s="2"/>
      <c r="C212" s="254"/>
      <c r="D212" s="254"/>
      <c r="E212" s="254"/>
      <c r="F212" s="255"/>
      <c r="G212" s="215" t="str">
        <f>IF(AND($B212="",OR(B212&lt;&gt;"",C212&lt;&gt;"",D212&lt;&gt;"",E212&lt;&gt;"",F212&lt;&gt;"")),入力リスト!$K$34,IF($I212=TRUE,入力リスト!$K$35,IF(J212=FALSE,"「毎月の固定給与額」","")&amp;IF(AND(J212=FALSE,OR(K212=FALSE,L212=FALSE,M212=FALSE)),",","")&amp;IF(K212=FALSE,"「賞与額等」","")&amp;IF(AND(K212=FALSE,OR(L212=FALSE,M212=FALSE)),",","")&amp;IF(L212=FALSE,"「残業手当」","")&amp;IF(AND(L212=FALSE,M212=FALSE),",","")&amp;IF(M212=FALSE,"「残業時間」","")&amp;IF(OR(J212=FALSE,K212=FALSE,L212=FALSE,M212=FALSE),入力リスト!$K$36,"")&amp;IF(N212,"",入力リスト!$K$37)))</f>
        <v/>
      </c>
      <c r="H212" s="215"/>
      <c r="I212" s="1" t="b">
        <f>IF(B212="",FALSE,COUNTIF('従業員情報(給与以外)'!$A$4:$A$1000000,$B212)=0)</f>
        <v>0</v>
      </c>
      <c r="J212" s="8" t="b">
        <f t="shared" si="15"/>
        <v>1</v>
      </c>
      <c r="K212" s="8" t="b">
        <f t="shared" si="16"/>
        <v>1</v>
      </c>
      <c r="L212" s="8" t="b">
        <f t="shared" si="17"/>
        <v>1</v>
      </c>
      <c r="M212" s="8" t="b">
        <f t="shared" si="18"/>
        <v>1</v>
      </c>
      <c r="N212" s="1" t="b">
        <f t="shared" si="19"/>
        <v>1</v>
      </c>
      <c r="O212" s="8" t="str">
        <f>IF(F212="","",IF($F$2=入力リスト!$H$25,ROUNDDOWN(INT(F212)+ROUNDDOWN((F212-INT(F212))*100,0)/60,2),F212))</f>
        <v/>
      </c>
      <c r="P212" s="7"/>
      <c r="Q212" s="7"/>
    </row>
    <row r="213" spans="1:17">
      <c r="A213" s="105"/>
      <c r="B213" s="2"/>
      <c r="C213" s="254"/>
      <c r="D213" s="254"/>
      <c r="E213" s="254"/>
      <c r="F213" s="255"/>
      <c r="G213" s="215" t="str">
        <f>IF(AND($B213="",OR(B213&lt;&gt;"",C213&lt;&gt;"",D213&lt;&gt;"",E213&lt;&gt;"",F213&lt;&gt;"")),入力リスト!$K$34,IF($I213=TRUE,入力リスト!$K$35,IF(J213=FALSE,"「毎月の固定給与額」","")&amp;IF(AND(J213=FALSE,OR(K213=FALSE,L213=FALSE,M213=FALSE)),",","")&amp;IF(K213=FALSE,"「賞与額等」","")&amp;IF(AND(K213=FALSE,OR(L213=FALSE,M213=FALSE)),",","")&amp;IF(L213=FALSE,"「残業手当」","")&amp;IF(AND(L213=FALSE,M213=FALSE),",","")&amp;IF(M213=FALSE,"「残業時間」","")&amp;IF(OR(J213=FALSE,K213=FALSE,L213=FALSE,M213=FALSE),入力リスト!$K$36,"")&amp;IF(N213,"",入力リスト!$K$37)))</f>
        <v/>
      </c>
      <c r="H213" s="215"/>
      <c r="I213" s="1" t="b">
        <f>IF(B213="",FALSE,COUNTIF('従業員情報(給与以外)'!$A$4:$A$1000000,$B213)=0)</f>
        <v>0</v>
      </c>
      <c r="J213" s="8" t="b">
        <f t="shared" si="15"/>
        <v>1</v>
      </c>
      <c r="K213" s="8" t="b">
        <f t="shared" si="16"/>
        <v>1</v>
      </c>
      <c r="L213" s="8" t="b">
        <f t="shared" si="17"/>
        <v>1</v>
      </c>
      <c r="M213" s="8" t="b">
        <f t="shared" si="18"/>
        <v>1</v>
      </c>
      <c r="N213" s="1" t="b">
        <f t="shared" si="19"/>
        <v>1</v>
      </c>
      <c r="O213" s="8" t="str">
        <f>IF(F213="","",IF($F$2=入力リスト!$H$25,ROUNDDOWN(INT(F213)+ROUNDDOWN((F213-INT(F213))*100,0)/60,2),F213))</f>
        <v/>
      </c>
      <c r="P213" s="7"/>
      <c r="Q213" s="7"/>
    </row>
    <row r="214" spans="1:17">
      <c r="A214" s="105"/>
      <c r="B214" s="2"/>
      <c r="C214" s="254"/>
      <c r="D214" s="254"/>
      <c r="E214" s="254"/>
      <c r="F214" s="255"/>
      <c r="G214" s="215" t="str">
        <f>IF(AND($B214="",OR(B214&lt;&gt;"",C214&lt;&gt;"",D214&lt;&gt;"",E214&lt;&gt;"",F214&lt;&gt;"")),入力リスト!$K$34,IF($I214=TRUE,入力リスト!$K$35,IF(J214=FALSE,"「毎月の固定給与額」","")&amp;IF(AND(J214=FALSE,OR(K214=FALSE,L214=FALSE,M214=FALSE)),",","")&amp;IF(K214=FALSE,"「賞与額等」","")&amp;IF(AND(K214=FALSE,OR(L214=FALSE,M214=FALSE)),",","")&amp;IF(L214=FALSE,"「残業手当」","")&amp;IF(AND(L214=FALSE,M214=FALSE),",","")&amp;IF(M214=FALSE,"「残業時間」","")&amp;IF(OR(J214=FALSE,K214=FALSE,L214=FALSE,M214=FALSE),入力リスト!$K$36,"")&amp;IF(N214,"",入力リスト!$K$37)))</f>
        <v/>
      </c>
      <c r="H214" s="215"/>
      <c r="I214" s="1" t="b">
        <f>IF(B214="",FALSE,COUNTIF('従業員情報(給与以外)'!$A$4:$A$1000000,$B214)=0)</f>
        <v>0</v>
      </c>
      <c r="J214" s="8" t="b">
        <f t="shared" si="15"/>
        <v>1</v>
      </c>
      <c r="K214" s="8" t="b">
        <f t="shared" si="16"/>
        <v>1</v>
      </c>
      <c r="L214" s="8" t="b">
        <f t="shared" si="17"/>
        <v>1</v>
      </c>
      <c r="M214" s="8" t="b">
        <f t="shared" si="18"/>
        <v>1</v>
      </c>
      <c r="N214" s="1" t="b">
        <f t="shared" si="19"/>
        <v>1</v>
      </c>
      <c r="O214" s="8" t="str">
        <f>IF(F214="","",IF($F$2=入力リスト!$H$25,ROUNDDOWN(INT(F214)+ROUNDDOWN((F214-INT(F214))*100,0)/60,2),F214))</f>
        <v/>
      </c>
      <c r="P214" s="7"/>
      <c r="Q214" s="7"/>
    </row>
    <row r="215" spans="1:17">
      <c r="A215" s="105"/>
      <c r="B215" s="2"/>
      <c r="C215" s="254"/>
      <c r="D215" s="254"/>
      <c r="E215" s="254"/>
      <c r="F215" s="255"/>
      <c r="G215" s="215" t="str">
        <f>IF(AND($B215="",OR(B215&lt;&gt;"",C215&lt;&gt;"",D215&lt;&gt;"",E215&lt;&gt;"",F215&lt;&gt;"")),入力リスト!$K$34,IF($I215=TRUE,入力リスト!$K$35,IF(J215=FALSE,"「毎月の固定給与額」","")&amp;IF(AND(J215=FALSE,OR(K215=FALSE,L215=FALSE,M215=FALSE)),",","")&amp;IF(K215=FALSE,"「賞与額等」","")&amp;IF(AND(K215=FALSE,OR(L215=FALSE,M215=FALSE)),",","")&amp;IF(L215=FALSE,"「残業手当」","")&amp;IF(AND(L215=FALSE,M215=FALSE),",","")&amp;IF(M215=FALSE,"「残業時間」","")&amp;IF(OR(J215=FALSE,K215=FALSE,L215=FALSE,M215=FALSE),入力リスト!$K$36,"")&amp;IF(N215,"",入力リスト!$K$37)))</f>
        <v/>
      </c>
      <c r="H215" s="215"/>
      <c r="I215" s="1" t="b">
        <f>IF(B215="",FALSE,COUNTIF('従業員情報(給与以外)'!$A$4:$A$1000000,$B215)=0)</f>
        <v>0</v>
      </c>
      <c r="J215" s="8" t="b">
        <f t="shared" si="15"/>
        <v>1</v>
      </c>
      <c r="K215" s="8" t="b">
        <f t="shared" si="16"/>
        <v>1</v>
      </c>
      <c r="L215" s="8" t="b">
        <f t="shared" si="17"/>
        <v>1</v>
      </c>
      <c r="M215" s="8" t="b">
        <f t="shared" si="18"/>
        <v>1</v>
      </c>
      <c r="N215" s="1" t="b">
        <f t="shared" si="19"/>
        <v>1</v>
      </c>
      <c r="O215" s="8" t="str">
        <f>IF(F215="","",IF($F$2=入力リスト!$H$25,ROUNDDOWN(INT(F215)+ROUNDDOWN((F215-INT(F215))*100,0)/60,2),F215))</f>
        <v/>
      </c>
      <c r="P215" s="7"/>
      <c r="Q215" s="7"/>
    </row>
    <row r="216" spans="1:17">
      <c r="A216" s="105"/>
      <c r="B216" s="2"/>
      <c r="C216" s="254"/>
      <c r="D216" s="254"/>
      <c r="E216" s="254"/>
      <c r="F216" s="255"/>
      <c r="G216" s="215" t="str">
        <f>IF(AND($B216="",OR(B216&lt;&gt;"",C216&lt;&gt;"",D216&lt;&gt;"",E216&lt;&gt;"",F216&lt;&gt;"")),入力リスト!$K$34,IF($I216=TRUE,入力リスト!$K$35,IF(J216=FALSE,"「毎月の固定給与額」","")&amp;IF(AND(J216=FALSE,OR(K216=FALSE,L216=FALSE,M216=FALSE)),",","")&amp;IF(K216=FALSE,"「賞与額等」","")&amp;IF(AND(K216=FALSE,OR(L216=FALSE,M216=FALSE)),",","")&amp;IF(L216=FALSE,"「残業手当」","")&amp;IF(AND(L216=FALSE,M216=FALSE),",","")&amp;IF(M216=FALSE,"「残業時間」","")&amp;IF(OR(J216=FALSE,K216=FALSE,L216=FALSE,M216=FALSE),入力リスト!$K$36,"")&amp;IF(N216,"",入力リスト!$K$37)))</f>
        <v/>
      </c>
      <c r="H216" s="215"/>
      <c r="I216" s="1" t="b">
        <f>IF(B216="",FALSE,COUNTIF('従業員情報(給与以外)'!$A$4:$A$1000000,$B216)=0)</f>
        <v>0</v>
      </c>
      <c r="J216" s="8" t="b">
        <f t="shared" si="15"/>
        <v>1</v>
      </c>
      <c r="K216" s="8" t="b">
        <f t="shared" si="16"/>
        <v>1</v>
      </c>
      <c r="L216" s="8" t="b">
        <f t="shared" si="17"/>
        <v>1</v>
      </c>
      <c r="M216" s="8" t="b">
        <f t="shared" si="18"/>
        <v>1</v>
      </c>
      <c r="N216" s="1" t="b">
        <f t="shared" si="19"/>
        <v>1</v>
      </c>
      <c r="O216" s="8" t="str">
        <f>IF(F216="","",IF($F$2=入力リスト!$H$25,ROUNDDOWN(INT(F216)+ROUNDDOWN((F216-INT(F216))*100,0)/60,2),F216))</f>
        <v/>
      </c>
      <c r="P216" s="7"/>
      <c r="Q216" s="7"/>
    </row>
    <row r="217" spans="1:17">
      <c r="A217" s="105"/>
      <c r="B217" s="2"/>
      <c r="C217" s="254"/>
      <c r="D217" s="254"/>
      <c r="E217" s="254"/>
      <c r="F217" s="255"/>
      <c r="G217" s="215" t="str">
        <f>IF(AND($B217="",OR(B217&lt;&gt;"",C217&lt;&gt;"",D217&lt;&gt;"",E217&lt;&gt;"",F217&lt;&gt;"")),入力リスト!$K$34,IF($I217=TRUE,入力リスト!$K$35,IF(J217=FALSE,"「毎月の固定給与額」","")&amp;IF(AND(J217=FALSE,OR(K217=FALSE,L217=FALSE,M217=FALSE)),",","")&amp;IF(K217=FALSE,"「賞与額等」","")&amp;IF(AND(K217=FALSE,OR(L217=FALSE,M217=FALSE)),",","")&amp;IF(L217=FALSE,"「残業手当」","")&amp;IF(AND(L217=FALSE,M217=FALSE),",","")&amp;IF(M217=FALSE,"「残業時間」","")&amp;IF(OR(J217=FALSE,K217=FALSE,L217=FALSE,M217=FALSE),入力リスト!$K$36,"")&amp;IF(N217,"",入力リスト!$K$37)))</f>
        <v/>
      </c>
      <c r="H217" s="215"/>
      <c r="I217" s="1" t="b">
        <f>IF(B217="",FALSE,COUNTIF('従業員情報(給与以外)'!$A$4:$A$1000000,$B217)=0)</f>
        <v>0</v>
      </c>
      <c r="J217" s="8" t="b">
        <f t="shared" si="15"/>
        <v>1</v>
      </c>
      <c r="K217" s="8" t="b">
        <f t="shared" si="16"/>
        <v>1</v>
      </c>
      <c r="L217" s="8" t="b">
        <f t="shared" si="17"/>
        <v>1</v>
      </c>
      <c r="M217" s="8" t="b">
        <f t="shared" si="18"/>
        <v>1</v>
      </c>
      <c r="N217" s="1" t="b">
        <f t="shared" si="19"/>
        <v>1</v>
      </c>
      <c r="O217" s="8" t="str">
        <f>IF(F217="","",IF($F$2=入力リスト!$H$25,ROUNDDOWN(INT(F217)+ROUNDDOWN((F217-INT(F217))*100,0)/60,2),F217))</f>
        <v/>
      </c>
      <c r="P217" s="7"/>
      <c r="Q217" s="7"/>
    </row>
    <row r="218" spans="1:17">
      <c r="A218" s="105"/>
      <c r="B218" s="2"/>
      <c r="C218" s="254"/>
      <c r="D218" s="254"/>
      <c r="E218" s="254"/>
      <c r="F218" s="255"/>
      <c r="G218" s="215" t="str">
        <f>IF(AND($B218="",OR(B218&lt;&gt;"",C218&lt;&gt;"",D218&lt;&gt;"",E218&lt;&gt;"",F218&lt;&gt;"")),入力リスト!$K$34,IF($I218=TRUE,入力リスト!$K$35,IF(J218=FALSE,"「毎月の固定給与額」","")&amp;IF(AND(J218=FALSE,OR(K218=FALSE,L218=FALSE,M218=FALSE)),",","")&amp;IF(K218=FALSE,"「賞与額等」","")&amp;IF(AND(K218=FALSE,OR(L218=FALSE,M218=FALSE)),",","")&amp;IF(L218=FALSE,"「残業手当」","")&amp;IF(AND(L218=FALSE,M218=FALSE),",","")&amp;IF(M218=FALSE,"「残業時間」","")&amp;IF(OR(J218=FALSE,K218=FALSE,L218=FALSE,M218=FALSE),入力リスト!$K$36,"")&amp;IF(N218,"",入力リスト!$K$37)))</f>
        <v/>
      </c>
      <c r="H218" s="215"/>
      <c r="I218" s="1" t="b">
        <f>IF(B218="",FALSE,COUNTIF('従業員情報(給与以外)'!$A$4:$A$1000000,$B218)=0)</f>
        <v>0</v>
      </c>
      <c r="J218" s="8" t="b">
        <f t="shared" si="15"/>
        <v>1</v>
      </c>
      <c r="K218" s="8" t="b">
        <f t="shared" si="16"/>
        <v>1</v>
      </c>
      <c r="L218" s="8" t="b">
        <f t="shared" si="17"/>
        <v>1</v>
      </c>
      <c r="M218" s="8" t="b">
        <f t="shared" si="18"/>
        <v>1</v>
      </c>
      <c r="N218" s="1" t="b">
        <f t="shared" si="19"/>
        <v>1</v>
      </c>
      <c r="O218" s="8" t="str">
        <f>IF(F218="","",IF($F$2=入力リスト!$H$25,ROUNDDOWN(INT(F218)+ROUNDDOWN((F218-INT(F218))*100,0)/60,2),F218))</f>
        <v/>
      </c>
      <c r="P218" s="7"/>
      <c r="Q218" s="7"/>
    </row>
    <row r="219" spans="1:17">
      <c r="A219" s="105"/>
      <c r="B219" s="2"/>
      <c r="C219" s="254"/>
      <c r="D219" s="254"/>
      <c r="E219" s="254"/>
      <c r="F219" s="255"/>
      <c r="G219" s="215" t="str">
        <f>IF(AND($B219="",OR(B219&lt;&gt;"",C219&lt;&gt;"",D219&lt;&gt;"",E219&lt;&gt;"",F219&lt;&gt;"")),入力リスト!$K$34,IF($I219=TRUE,入力リスト!$K$35,IF(J219=FALSE,"「毎月の固定給与額」","")&amp;IF(AND(J219=FALSE,OR(K219=FALSE,L219=FALSE,M219=FALSE)),",","")&amp;IF(K219=FALSE,"「賞与額等」","")&amp;IF(AND(K219=FALSE,OR(L219=FALSE,M219=FALSE)),",","")&amp;IF(L219=FALSE,"「残業手当」","")&amp;IF(AND(L219=FALSE,M219=FALSE),",","")&amp;IF(M219=FALSE,"「残業時間」","")&amp;IF(OR(J219=FALSE,K219=FALSE,L219=FALSE,M219=FALSE),入力リスト!$K$36,"")&amp;IF(N219,"",入力リスト!$K$37)))</f>
        <v/>
      </c>
      <c r="H219" s="215"/>
      <c r="I219" s="1" t="b">
        <f>IF(B219="",FALSE,COUNTIF('従業員情報(給与以外)'!$A$4:$A$1000000,$B219)=0)</f>
        <v>0</v>
      </c>
      <c r="J219" s="8" t="b">
        <f t="shared" si="15"/>
        <v>1</v>
      </c>
      <c r="K219" s="8" t="b">
        <f t="shared" si="16"/>
        <v>1</v>
      </c>
      <c r="L219" s="8" t="b">
        <f t="shared" si="17"/>
        <v>1</v>
      </c>
      <c r="M219" s="8" t="b">
        <f t="shared" si="18"/>
        <v>1</v>
      </c>
      <c r="N219" s="1" t="b">
        <f t="shared" si="19"/>
        <v>1</v>
      </c>
      <c r="O219" s="8" t="str">
        <f>IF(F219="","",IF($F$2=入力リスト!$H$25,ROUNDDOWN(INT(F219)+ROUNDDOWN((F219-INT(F219))*100,0)/60,2),F219))</f>
        <v/>
      </c>
      <c r="P219" s="7"/>
      <c r="Q219" s="7"/>
    </row>
    <row r="220" spans="1:17">
      <c r="A220" s="105"/>
      <c r="B220" s="2"/>
      <c r="C220" s="254"/>
      <c r="D220" s="254"/>
      <c r="E220" s="254"/>
      <c r="F220" s="255"/>
      <c r="G220" s="215" t="str">
        <f>IF(AND($B220="",OR(B220&lt;&gt;"",C220&lt;&gt;"",D220&lt;&gt;"",E220&lt;&gt;"",F220&lt;&gt;"")),入力リスト!$K$34,IF($I220=TRUE,入力リスト!$K$35,IF(J220=FALSE,"「毎月の固定給与額」","")&amp;IF(AND(J220=FALSE,OR(K220=FALSE,L220=FALSE,M220=FALSE)),",","")&amp;IF(K220=FALSE,"「賞与額等」","")&amp;IF(AND(K220=FALSE,OR(L220=FALSE,M220=FALSE)),",","")&amp;IF(L220=FALSE,"「残業手当」","")&amp;IF(AND(L220=FALSE,M220=FALSE),",","")&amp;IF(M220=FALSE,"「残業時間」","")&amp;IF(OR(J220=FALSE,K220=FALSE,L220=FALSE,M220=FALSE),入力リスト!$K$36,"")&amp;IF(N220,"",入力リスト!$K$37)))</f>
        <v/>
      </c>
      <c r="H220" s="215"/>
      <c r="I220" s="1" t="b">
        <f>IF(B220="",FALSE,COUNTIF('従業員情報(給与以外)'!$A$4:$A$1000000,$B220)=0)</f>
        <v>0</v>
      </c>
      <c r="J220" s="8" t="b">
        <f t="shared" si="15"/>
        <v>1</v>
      </c>
      <c r="K220" s="8" t="b">
        <f t="shared" si="16"/>
        <v>1</v>
      </c>
      <c r="L220" s="8" t="b">
        <f t="shared" si="17"/>
        <v>1</v>
      </c>
      <c r="M220" s="8" t="b">
        <f t="shared" si="18"/>
        <v>1</v>
      </c>
      <c r="N220" s="1" t="b">
        <f t="shared" si="19"/>
        <v>1</v>
      </c>
      <c r="O220" s="8" t="str">
        <f>IF(F220="","",IF($F$2=入力リスト!$H$25,ROUNDDOWN(INT(F220)+ROUNDDOWN((F220-INT(F220))*100,0)/60,2),F220))</f>
        <v/>
      </c>
      <c r="P220" s="7"/>
      <c r="Q220" s="7"/>
    </row>
    <row r="221" spans="1:17">
      <c r="A221" s="105"/>
      <c r="B221" s="2"/>
      <c r="C221" s="254"/>
      <c r="D221" s="254"/>
      <c r="E221" s="254"/>
      <c r="F221" s="255"/>
      <c r="G221" s="215" t="str">
        <f>IF(AND($B221="",OR(B221&lt;&gt;"",C221&lt;&gt;"",D221&lt;&gt;"",E221&lt;&gt;"",F221&lt;&gt;"")),入力リスト!$K$34,IF($I221=TRUE,入力リスト!$K$35,IF(J221=FALSE,"「毎月の固定給与額」","")&amp;IF(AND(J221=FALSE,OR(K221=FALSE,L221=FALSE,M221=FALSE)),",","")&amp;IF(K221=FALSE,"「賞与額等」","")&amp;IF(AND(K221=FALSE,OR(L221=FALSE,M221=FALSE)),",","")&amp;IF(L221=FALSE,"「残業手当」","")&amp;IF(AND(L221=FALSE,M221=FALSE),",","")&amp;IF(M221=FALSE,"「残業時間」","")&amp;IF(OR(J221=FALSE,K221=FALSE,L221=FALSE,M221=FALSE),入力リスト!$K$36,"")&amp;IF(N221,"",入力リスト!$K$37)))</f>
        <v/>
      </c>
      <c r="H221" s="215"/>
      <c r="I221" s="1" t="b">
        <f>IF(B221="",FALSE,COUNTIF('従業員情報(給与以外)'!$A$4:$A$1000000,$B221)=0)</f>
        <v>0</v>
      </c>
      <c r="J221" s="8" t="b">
        <f t="shared" si="15"/>
        <v>1</v>
      </c>
      <c r="K221" s="8" t="b">
        <f t="shared" si="16"/>
        <v>1</v>
      </c>
      <c r="L221" s="8" t="b">
        <f t="shared" si="17"/>
        <v>1</v>
      </c>
      <c r="M221" s="8" t="b">
        <f t="shared" si="18"/>
        <v>1</v>
      </c>
      <c r="N221" s="1" t="b">
        <f t="shared" si="19"/>
        <v>1</v>
      </c>
      <c r="O221" s="8" t="str">
        <f>IF(F221="","",IF($F$2=入力リスト!$H$25,ROUNDDOWN(INT(F221)+ROUNDDOWN((F221-INT(F221))*100,0)/60,2),F221))</f>
        <v/>
      </c>
      <c r="P221" s="7"/>
      <c r="Q221" s="7"/>
    </row>
    <row r="222" spans="1:17">
      <c r="A222" s="105"/>
      <c r="B222" s="2"/>
      <c r="C222" s="254"/>
      <c r="D222" s="254"/>
      <c r="E222" s="254"/>
      <c r="F222" s="255"/>
      <c r="G222" s="215" t="str">
        <f>IF(AND($B222="",OR(B222&lt;&gt;"",C222&lt;&gt;"",D222&lt;&gt;"",E222&lt;&gt;"",F222&lt;&gt;"")),入力リスト!$K$34,IF($I222=TRUE,入力リスト!$K$35,IF(J222=FALSE,"「毎月の固定給与額」","")&amp;IF(AND(J222=FALSE,OR(K222=FALSE,L222=FALSE,M222=FALSE)),",","")&amp;IF(K222=FALSE,"「賞与額等」","")&amp;IF(AND(K222=FALSE,OR(L222=FALSE,M222=FALSE)),",","")&amp;IF(L222=FALSE,"「残業手当」","")&amp;IF(AND(L222=FALSE,M222=FALSE),",","")&amp;IF(M222=FALSE,"「残業時間」","")&amp;IF(OR(J222=FALSE,K222=FALSE,L222=FALSE,M222=FALSE),入力リスト!$K$36,"")&amp;IF(N222,"",入力リスト!$K$37)))</f>
        <v/>
      </c>
      <c r="H222" s="215"/>
      <c r="I222" s="1" t="b">
        <f>IF(B222="",FALSE,COUNTIF('従業員情報(給与以外)'!$A$4:$A$1000000,$B222)=0)</f>
        <v>0</v>
      </c>
      <c r="J222" s="8" t="b">
        <f t="shared" si="15"/>
        <v>1</v>
      </c>
      <c r="K222" s="8" t="b">
        <f t="shared" si="16"/>
        <v>1</v>
      </c>
      <c r="L222" s="8" t="b">
        <f t="shared" si="17"/>
        <v>1</v>
      </c>
      <c r="M222" s="8" t="b">
        <f t="shared" si="18"/>
        <v>1</v>
      </c>
      <c r="N222" s="1" t="b">
        <f t="shared" si="19"/>
        <v>1</v>
      </c>
      <c r="O222" s="8" t="str">
        <f>IF(F222="","",IF($F$2=入力リスト!$H$25,ROUNDDOWN(INT(F222)+ROUNDDOWN((F222-INT(F222))*100,0)/60,2),F222))</f>
        <v/>
      </c>
      <c r="P222" s="7"/>
      <c r="Q222" s="7"/>
    </row>
    <row r="223" spans="1:17">
      <c r="A223" s="105"/>
      <c r="B223" s="2"/>
      <c r="C223" s="254"/>
      <c r="D223" s="254"/>
      <c r="E223" s="254"/>
      <c r="F223" s="255"/>
      <c r="G223" s="215" t="str">
        <f>IF(AND($B223="",OR(B223&lt;&gt;"",C223&lt;&gt;"",D223&lt;&gt;"",E223&lt;&gt;"",F223&lt;&gt;"")),入力リスト!$K$34,IF($I223=TRUE,入力リスト!$K$35,IF(J223=FALSE,"「毎月の固定給与額」","")&amp;IF(AND(J223=FALSE,OR(K223=FALSE,L223=FALSE,M223=FALSE)),",","")&amp;IF(K223=FALSE,"「賞与額等」","")&amp;IF(AND(K223=FALSE,OR(L223=FALSE,M223=FALSE)),",","")&amp;IF(L223=FALSE,"「残業手当」","")&amp;IF(AND(L223=FALSE,M223=FALSE),",","")&amp;IF(M223=FALSE,"「残業時間」","")&amp;IF(OR(J223=FALSE,K223=FALSE,L223=FALSE,M223=FALSE),入力リスト!$K$36,"")&amp;IF(N223,"",入力リスト!$K$37)))</f>
        <v/>
      </c>
      <c r="H223" s="215"/>
      <c r="I223" s="1" t="b">
        <f>IF(B223="",FALSE,COUNTIF('従業員情報(給与以外)'!$A$4:$A$1000000,$B223)=0)</f>
        <v>0</v>
      </c>
      <c r="J223" s="8" t="b">
        <f t="shared" si="15"/>
        <v>1</v>
      </c>
      <c r="K223" s="8" t="b">
        <f t="shared" si="16"/>
        <v>1</v>
      </c>
      <c r="L223" s="8" t="b">
        <f t="shared" si="17"/>
        <v>1</v>
      </c>
      <c r="M223" s="8" t="b">
        <f t="shared" si="18"/>
        <v>1</v>
      </c>
      <c r="N223" s="1" t="b">
        <f t="shared" si="19"/>
        <v>1</v>
      </c>
      <c r="O223" s="8" t="str">
        <f>IF(F223="","",IF($F$2=入力リスト!$H$25,ROUNDDOWN(INT(F223)+ROUNDDOWN((F223-INT(F223))*100,0)/60,2),F223))</f>
        <v/>
      </c>
      <c r="P223" s="7"/>
      <c r="Q223" s="7"/>
    </row>
    <row r="224" spans="1:17">
      <c r="A224" s="105"/>
      <c r="B224" s="2"/>
      <c r="C224" s="254"/>
      <c r="D224" s="254"/>
      <c r="E224" s="254"/>
      <c r="F224" s="255"/>
      <c r="G224" s="215" t="str">
        <f>IF(AND($B224="",OR(B224&lt;&gt;"",C224&lt;&gt;"",D224&lt;&gt;"",E224&lt;&gt;"",F224&lt;&gt;"")),入力リスト!$K$34,IF($I224=TRUE,入力リスト!$K$35,IF(J224=FALSE,"「毎月の固定給与額」","")&amp;IF(AND(J224=FALSE,OR(K224=FALSE,L224=FALSE,M224=FALSE)),",","")&amp;IF(K224=FALSE,"「賞与額等」","")&amp;IF(AND(K224=FALSE,OR(L224=FALSE,M224=FALSE)),",","")&amp;IF(L224=FALSE,"「残業手当」","")&amp;IF(AND(L224=FALSE,M224=FALSE),",","")&amp;IF(M224=FALSE,"「残業時間」","")&amp;IF(OR(J224=FALSE,K224=FALSE,L224=FALSE,M224=FALSE),入力リスト!$K$36,"")&amp;IF(N224,"",入力リスト!$K$37)))</f>
        <v/>
      </c>
      <c r="H224" s="215"/>
      <c r="I224" s="1" t="b">
        <f>IF(B224="",FALSE,COUNTIF('従業員情報(給与以外)'!$A$4:$A$1000000,$B224)=0)</f>
        <v>0</v>
      </c>
      <c r="J224" s="8" t="b">
        <f t="shared" si="15"/>
        <v>1</v>
      </c>
      <c r="K224" s="8" t="b">
        <f t="shared" si="16"/>
        <v>1</v>
      </c>
      <c r="L224" s="8" t="b">
        <f t="shared" si="17"/>
        <v>1</v>
      </c>
      <c r="M224" s="8" t="b">
        <f t="shared" si="18"/>
        <v>1</v>
      </c>
      <c r="N224" s="1" t="b">
        <f t="shared" si="19"/>
        <v>1</v>
      </c>
      <c r="O224" s="8" t="str">
        <f>IF(F224="","",IF($F$2=入力リスト!$H$25,ROUNDDOWN(INT(F224)+ROUNDDOWN((F224-INT(F224))*100,0)/60,2),F224))</f>
        <v/>
      </c>
      <c r="P224" s="7"/>
      <c r="Q224" s="7"/>
    </row>
    <row r="225" spans="1:17">
      <c r="A225" s="105"/>
      <c r="B225" s="2"/>
      <c r="C225" s="254"/>
      <c r="D225" s="254"/>
      <c r="E225" s="254"/>
      <c r="F225" s="255"/>
      <c r="G225" s="215" t="str">
        <f>IF(AND($B225="",OR(B225&lt;&gt;"",C225&lt;&gt;"",D225&lt;&gt;"",E225&lt;&gt;"",F225&lt;&gt;"")),入力リスト!$K$34,IF($I225=TRUE,入力リスト!$K$35,IF(J225=FALSE,"「毎月の固定給与額」","")&amp;IF(AND(J225=FALSE,OR(K225=FALSE,L225=FALSE,M225=FALSE)),",","")&amp;IF(K225=FALSE,"「賞与額等」","")&amp;IF(AND(K225=FALSE,OR(L225=FALSE,M225=FALSE)),",","")&amp;IF(L225=FALSE,"「残業手当」","")&amp;IF(AND(L225=FALSE,M225=FALSE),",","")&amp;IF(M225=FALSE,"「残業時間」","")&amp;IF(OR(J225=FALSE,K225=FALSE,L225=FALSE,M225=FALSE),入力リスト!$K$36,"")&amp;IF(N225,"",入力リスト!$K$37)))</f>
        <v/>
      </c>
      <c r="H225" s="215"/>
      <c r="I225" s="1" t="b">
        <f>IF(B225="",FALSE,COUNTIF('従業員情報(給与以外)'!$A$4:$A$1000000,$B225)=0)</f>
        <v>0</v>
      </c>
      <c r="J225" s="8" t="b">
        <f t="shared" si="15"/>
        <v>1</v>
      </c>
      <c r="K225" s="8" t="b">
        <f t="shared" si="16"/>
        <v>1</v>
      </c>
      <c r="L225" s="8" t="b">
        <f t="shared" si="17"/>
        <v>1</v>
      </c>
      <c r="M225" s="8" t="b">
        <f t="shared" si="18"/>
        <v>1</v>
      </c>
      <c r="N225" s="1" t="b">
        <f t="shared" si="19"/>
        <v>1</v>
      </c>
      <c r="O225" s="8" t="str">
        <f>IF(F225="","",IF($F$2=入力リスト!$H$25,ROUNDDOWN(INT(F225)+ROUNDDOWN((F225-INT(F225))*100,0)/60,2),F225))</f>
        <v/>
      </c>
      <c r="P225" s="7"/>
      <c r="Q225" s="7"/>
    </row>
    <row r="226" spans="1:17">
      <c r="A226" s="105"/>
      <c r="B226" s="2"/>
      <c r="C226" s="254"/>
      <c r="D226" s="254"/>
      <c r="E226" s="254"/>
      <c r="F226" s="255"/>
      <c r="G226" s="215" t="str">
        <f>IF(AND($B226="",OR(B226&lt;&gt;"",C226&lt;&gt;"",D226&lt;&gt;"",E226&lt;&gt;"",F226&lt;&gt;"")),入力リスト!$K$34,IF($I226=TRUE,入力リスト!$K$35,IF(J226=FALSE,"「毎月の固定給与額」","")&amp;IF(AND(J226=FALSE,OR(K226=FALSE,L226=FALSE,M226=FALSE)),",","")&amp;IF(K226=FALSE,"「賞与額等」","")&amp;IF(AND(K226=FALSE,OR(L226=FALSE,M226=FALSE)),",","")&amp;IF(L226=FALSE,"「残業手当」","")&amp;IF(AND(L226=FALSE,M226=FALSE),",","")&amp;IF(M226=FALSE,"「残業時間」","")&amp;IF(OR(J226=FALSE,K226=FALSE,L226=FALSE,M226=FALSE),入力リスト!$K$36,"")&amp;IF(N226,"",入力リスト!$K$37)))</f>
        <v/>
      </c>
      <c r="H226" s="215"/>
      <c r="I226" s="1" t="b">
        <f>IF(B226="",FALSE,COUNTIF('従業員情報(給与以外)'!$A$4:$A$1000000,$B226)=0)</f>
        <v>0</v>
      </c>
      <c r="J226" s="8" t="b">
        <f t="shared" si="15"/>
        <v>1</v>
      </c>
      <c r="K226" s="8" t="b">
        <f t="shared" si="16"/>
        <v>1</v>
      </c>
      <c r="L226" s="8" t="b">
        <f t="shared" si="17"/>
        <v>1</v>
      </c>
      <c r="M226" s="8" t="b">
        <f t="shared" si="18"/>
        <v>1</v>
      </c>
      <c r="N226" s="1" t="b">
        <f t="shared" si="19"/>
        <v>1</v>
      </c>
      <c r="O226" s="8" t="str">
        <f>IF(F226="","",IF($F$2=入力リスト!$H$25,ROUNDDOWN(INT(F226)+ROUNDDOWN((F226-INT(F226))*100,0)/60,2),F226))</f>
        <v/>
      </c>
      <c r="P226" s="7"/>
      <c r="Q226" s="7"/>
    </row>
    <row r="227" spans="1:17">
      <c r="A227" s="105"/>
      <c r="B227" s="2"/>
      <c r="C227" s="254"/>
      <c r="D227" s="254"/>
      <c r="E227" s="254"/>
      <c r="F227" s="255"/>
      <c r="G227" s="215" t="str">
        <f>IF(AND($B227="",OR(B227&lt;&gt;"",C227&lt;&gt;"",D227&lt;&gt;"",E227&lt;&gt;"",F227&lt;&gt;"")),入力リスト!$K$34,IF($I227=TRUE,入力リスト!$K$35,IF(J227=FALSE,"「毎月の固定給与額」","")&amp;IF(AND(J227=FALSE,OR(K227=FALSE,L227=FALSE,M227=FALSE)),",","")&amp;IF(K227=FALSE,"「賞与額等」","")&amp;IF(AND(K227=FALSE,OR(L227=FALSE,M227=FALSE)),",","")&amp;IF(L227=FALSE,"「残業手当」","")&amp;IF(AND(L227=FALSE,M227=FALSE),",","")&amp;IF(M227=FALSE,"「残業時間」","")&amp;IF(OR(J227=FALSE,K227=FALSE,L227=FALSE,M227=FALSE),入力リスト!$K$36,"")&amp;IF(N227,"",入力リスト!$K$37)))</f>
        <v/>
      </c>
      <c r="H227" s="215"/>
      <c r="I227" s="1" t="b">
        <f>IF(B227="",FALSE,COUNTIF('従業員情報(給与以外)'!$A$4:$A$1000000,$B227)=0)</f>
        <v>0</v>
      </c>
      <c r="J227" s="8" t="b">
        <f t="shared" si="15"/>
        <v>1</v>
      </c>
      <c r="K227" s="8" t="b">
        <f t="shared" si="16"/>
        <v>1</v>
      </c>
      <c r="L227" s="8" t="b">
        <f t="shared" si="17"/>
        <v>1</v>
      </c>
      <c r="M227" s="8" t="b">
        <f t="shared" si="18"/>
        <v>1</v>
      </c>
      <c r="N227" s="1" t="b">
        <f t="shared" si="19"/>
        <v>1</v>
      </c>
      <c r="O227" s="8" t="str">
        <f>IF(F227="","",IF($F$2=入力リスト!$H$25,ROUNDDOWN(INT(F227)+ROUNDDOWN((F227-INT(F227))*100,0)/60,2),F227))</f>
        <v/>
      </c>
      <c r="P227" s="7"/>
      <c r="Q227" s="7"/>
    </row>
    <row r="228" spans="1:17">
      <c r="A228" s="105"/>
      <c r="B228" s="2"/>
      <c r="C228" s="254"/>
      <c r="D228" s="254"/>
      <c r="E228" s="254"/>
      <c r="F228" s="255"/>
      <c r="G228" s="215" t="str">
        <f>IF(AND($B228="",OR(B228&lt;&gt;"",C228&lt;&gt;"",D228&lt;&gt;"",E228&lt;&gt;"",F228&lt;&gt;"")),入力リスト!$K$34,IF($I228=TRUE,入力リスト!$K$35,IF(J228=FALSE,"「毎月の固定給与額」","")&amp;IF(AND(J228=FALSE,OR(K228=FALSE,L228=FALSE,M228=FALSE)),",","")&amp;IF(K228=FALSE,"「賞与額等」","")&amp;IF(AND(K228=FALSE,OR(L228=FALSE,M228=FALSE)),",","")&amp;IF(L228=FALSE,"「残業手当」","")&amp;IF(AND(L228=FALSE,M228=FALSE),",","")&amp;IF(M228=FALSE,"「残業時間」","")&amp;IF(OR(J228=FALSE,K228=FALSE,L228=FALSE,M228=FALSE),入力リスト!$K$36,"")&amp;IF(N228,"",入力リスト!$K$37)))</f>
        <v/>
      </c>
      <c r="H228" s="215"/>
      <c r="I228" s="1" t="b">
        <f>IF(B228="",FALSE,COUNTIF('従業員情報(給与以外)'!$A$4:$A$1000000,$B228)=0)</f>
        <v>0</v>
      </c>
      <c r="J228" s="8" t="b">
        <f t="shared" si="15"/>
        <v>1</v>
      </c>
      <c r="K228" s="8" t="b">
        <f t="shared" si="16"/>
        <v>1</v>
      </c>
      <c r="L228" s="8" t="b">
        <f t="shared" si="17"/>
        <v>1</v>
      </c>
      <c r="M228" s="8" t="b">
        <f t="shared" si="18"/>
        <v>1</v>
      </c>
      <c r="N228" s="1" t="b">
        <f t="shared" si="19"/>
        <v>1</v>
      </c>
      <c r="O228" s="8" t="str">
        <f>IF(F228="","",IF($F$2=入力リスト!$H$25,ROUNDDOWN(INT(F228)+ROUNDDOWN((F228-INT(F228))*100,0)/60,2),F228))</f>
        <v/>
      </c>
      <c r="P228" s="7"/>
      <c r="Q228" s="7"/>
    </row>
    <row r="229" spans="1:17">
      <c r="A229" s="105"/>
      <c r="B229" s="2"/>
      <c r="C229" s="254"/>
      <c r="D229" s="254"/>
      <c r="E229" s="254"/>
      <c r="F229" s="255"/>
      <c r="G229" s="215" t="str">
        <f>IF(AND($B229="",OR(B229&lt;&gt;"",C229&lt;&gt;"",D229&lt;&gt;"",E229&lt;&gt;"",F229&lt;&gt;"")),入力リスト!$K$34,IF($I229=TRUE,入力リスト!$K$35,IF(J229=FALSE,"「毎月の固定給与額」","")&amp;IF(AND(J229=FALSE,OR(K229=FALSE,L229=FALSE,M229=FALSE)),",","")&amp;IF(K229=FALSE,"「賞与額等」","")&amp;IF(AND(K229=FALSE,OR(L229=FALSE,M229=FALSE)),",","")&amp;IF(L229=FALSE,"「残業手当」","")&amp;IF(AND(L229=FALSE,M229=FALSE),",","")&amp;IF(M229=FALSE,"「残業時間」","")&amp;IF(OR(J229=FALSE,K229=FALSE,L229=FALSE,M229=FALSE),入力リスト!$K$36,"")&amp;IF(N229,"",入力リスト!$K$37)))</f>
        <v/>
      </c>
      <c r="H229" s="215"/>
      <c r="I229" s="1" t="b">
        <f>IF(B229="",FALSE,COUNTIF('従業員情報(給与以外)'!$A$4:$A$1000000,$B229)=0)</f>
        <v>0</v>
      </c>
      <c r="J229" s="8" t="b">
        <f t="shared" si="15"/>
        <v>1</v>
      </c>
      <c r="K229" s="8" t="b">
        <f t="shared" si="16"/>
        <v>1</v>
      </c>
      <c r="L229" s="8" t="b">
        <f t="shared" si="17"/>
        <v>1</v>
      </c>
      <c r="M229" s="8" t="b">
        <f t="shared" si="18"/>
        <v>1</v>
      </c>
      <c r="N229" s="1" t="b">
        <f t="shared" si="19"/>
        <v>1</v>
      </c>
      <c r="O229" s="8" t="str">
        <f>IF(F229="","",IF($F$2=入力リスト!$H$25,ROUNDDOWN(INT(F229)+ROUNDDOWN((F229-INT(F229))*100,0)/60,2),F229))</f>
        <v/>
      </c>
      <c r="P229" s="7"/>
      <c r="Q229" s="7"/>
    </row>
    <row r="230" spans="1:17">
      <c r="A230" s="105"/>
      <c r="B230" s="2"/>
      <c r="C230" s="254"/>
      <c r="D230" s="254"/>
      <c r="E230" s="254"/>
      <c r="F230" s="255"/>
      <c r="G230" s="215" t="str">
        <f>IF(AND($B230="",OR(B230&lt;&gt;"",C230&lt;&gt;"",D230&lt;&gt;"",E230&lt;&gt;"",F230&lt;&gt;"")),入力リスト!$K$34,IF($I230=TRUE,入力リスト!$K$35,IF(J230=FALSE,"「毎月の固定給与額」","")&amp;IF(AND(J230=FALSE,OR(K230=FALSE,L230=FALSE,M230=FALSE)),",","")&amp;IF(K230=FALSE,"「賞与額等」","")&amp;IF(AND(K230=FALSE,OR(L230=FALSE,M230=FALSE)),",","")&amp;IF(L230=FALSE,"「残業手当」","")&amp;IF(AND(L230=FALSE,M230=FALSE),",","")&amp;IF(M230=FALSE,"「残業時間」","")&amp;IF(OR(J230=FALSE,K230=FALSE,L230=FALSE,M230=FALSE),入力リスト!$K$36,"")&amp;IF(N230,"",入力リスト!$K$37)))</f>
        <v/>
      </c>
      <c r="H230" s="215"/>
      <c r="I230" s="1" t="b">
        <f>IF(B230="",FALSE,COUNTIF('従業員情報(給与以外)'!$A$4:$A$1000000,$B230)=0)</f>
        <v>0</v>
      </c>
      <c r="J230" s="8" t="b">
        <f t="shared" si="15"/>
        <v>1</v>
      </c>
      <c r="K230" s="8" t="b">
        <f t="shared" si="16"/>
        <v>1</v>
      </c>
      <c r="L230" s="8" t="b">
        <f t="shared" si="17"/>
        <v>1</v>
      </c>
      <c r="M230" s="8" t="b">
        <f t="shared" si="18"/>
        <v>1</v>
      </c>
      <c r="N230" s="1" t="b">
        <f t="shared" si="19"/>
        <v>1</v>
      </c>
      <c r="O230" s="8" t="str">
        <f>IF(F230="","",IF($F$2=入力リスト!$H$25,ROUNDDOWN(INT(F230)+ROUNDDOWN((F230-INT(F230))*100,0)/60,2),F230))</f>
        <v/>
      </c>
      <c r="P230" s="7"/>
      <c r="Q230" s="7"/>
    </row>
    <row r="231" spans="1:17">
      <c r="A231" s="105"/>
      <c r="B231" s="2"/>
      <c r="C231" s="254"/>
      <c r="D231" s="254"/>
      <c r="E231" s="254"/>
      <c r="F231" s="255"/>
      <c r="G231" s="215" t="str">
        <f>IF(AND($B231="",OR(B231&lt;&gt;"",C231&lt;&gt;"",D231&lt;&gt;"",E231&lt;&gt;"",F231&lt;&gt;"")),入力リスト!$K$34,IF($I231=TRUE,入力リスト!$K$35,IF(J231=FALSE,"「毎月の固定給与額」","")&amp;IF(AND(J231=FALSE,OR(K231=FALSE,L231=FALSE,M231=FALSE)),",","")&amp;IF(K231=FALSE,"「賞与額等」","")&amp;IF(AND(K231=FALSE,OR(L231=FALSE,M231=FALSE)),",","")&amp;IF(L231=FALSE,"「残業手当」","")&amp;IF(AND(L231=FALSE,M231=FALSE),",","")&amp;IF(M231=FALSE,"「残業時間」","")&amp;IF(OR(J231=FALSE,K231=FALSE,L231=FALSE,M231=FALSE),入力リスト!$K$36,"")&amp;IF(N231,"",入力リスト!$K$37)))</f>
        <v/>
      </c>
      <c r="H231" s="215"/>
      <c r="I231" s="1" t="b">
        <f>IF(B231="",FALSE,COUNTIF('従業員情報(給与以外)'!$A$4:$A$1000000,$B231)=0)</f>
        <v>0</v>
      </c>
      <c r="J231" s="8" t="b">
        <f t="shared" si="15"/>
        <v>1</v>
      </c>
      <c r="K231" s="8" t="b">
        <f t="shared" si="16"/>
        <v>1</v>
      </c>
      <c r="L231" s="8" t="b">
        <f t="shared" si="17"/>
        <v>1</v>
      </c>
      <c r="M231" s="8" t="b">
        <f t="shared" si="18"/>
        <v>1</v>
      </c>
      <c r="N231" s="1" t="b">
        <f t="shared" si="19"/>
        <v>1</v>
      </c>
      <c r="O231" s="8" t="str">
        <f>IF(F231="","",IF($F$2=入力リスト!$H$25,ROUNDDOWN(INT(F231)+ROUNDDOWN((F231-INT(F231))*100,0)/60,2),F231))</f>
        <v/>
      </c>
      <c r="P231" s="7"/>
      <c r="Q231" s="7"/>
    </row>
    <row r="232" spans="1:17">
      <c r="A232" s="105"/>
      <c r="B232" s="2"/>
      <c r="C232" s="254"/>
      <c r="D232" s="254"/>
      <c r="E232" s="254"/>
      <c r="F232" s="255"/>
      <c r="G232" s="215" t="str">
        <f>IF(AND($B232="",OR(B232&lt;&gt;"",C232&lt;&gt;"",D232&lt;&gt;"",E232&lt;&gt;"",F232&lt;&gt;"")),入力リスト!$K$34,IF($I232=TRUE,入力リスト!$K$35,IF(J232=FALSE,"「毎月の固定給与額」","")&amp;IF(AND(J232=FALSE,OR(K232=FALSE,L232=FALSE,M232=FALSE)),",","")&amp;IF(K232=FALSE,"「賞与額等」","")&amp;IF(AND(K232=FALSE,OR(L232=FALSE,M232=FALSE)),",","")&amp;IF(L232=FALSE,"「残業手当」","")&amp;IF(AND(L232=FALSE,M232=FALSE),",","")&amp;IF(M232=FALSE,"「残業時間」","")&amp;IF(OR(J232=FALSE,K232=FALSE,L232=FALSE,M232=FALSE),入力リスト!$K$36,"")&amp;IF(N232,"",入力リスト!$K$37)))</f>
        <v/>
      </c>
      <c r="H232" s="215"/>
      <c r="I232" s="1" t="b">
        <f>IF(B232="",FALSE,COUNTIF('従業員情報(給与以外)'!$A$4:$A$1000000,$B232)=0)</f>
        <v>0</v>
      </c>
      <c r="J232" s="8" t="b">
        <f t="shared" si="15"/>
        <v>1</v>
      </c>
      <c r="K232" s="8" t="b">
        <f t="shared" si="16"/>
        <v>1</v>
      </c>
      <c r="L232" s="8" t="b">
        <f t="shared" si="17"/>
        <v>1</v>
      </c>
      <c r="M232" s="8" t="b">
        <f t="shared" si="18"/>
        <v>1</v>
      </c>
      <c r="N232" s="1" t="b">
        <f t="shared" si="19"/>
        <v>1</v>
      </c>
      <c r="O232" s="8" t="str">
        <f>IF(F232="","",IF($F$2=入力リスト!$H$25,ROUNDDOWN(INT(F232)+ROUNDDOWN((F232-INT(F232))*100,0)/60,2),F232))</f>
        <v/>
      </c>
      <c r="P232" s="7"/>
      <c r="Q232" s="7"/>
    </row>
    <row r="233" spans="1:17">
      <c r="A233" s="105"/>
      <c r="B233" s="2"/>
      <c r="C233" s="254"/>
      <c r="D233" s="254"/>
      <c r="E233" s="254"/>
      <c r="F233" s="255"/>
      <c r="G233" s="215" t="str">
        <f>IF(AND($B233="",OR(B233&lt;&gt;"",C233&lt;&gt;"",D233&lt;&gt;"",E233&lt;&gt;"",F233&lt;&gt;"")),入力リスト!$K$34,IF($I233=TRUE,入力リスト!$K$35,IF(J233=FALSE,"「毎月の固定給与額」","")&amp;IF(AND(J233=FALSE,OR(K233=FALSE,L233=FALSE,M233=FALSE)),",","")&amp;IF(K233=FALSE,"「賞与額等」","")&amp;IF(AND(K233=FALSE,OR(L233=FALSE,M233=FALSE)),",","")&amp;IF(L233=FALSE,"「残業手当」","")&amp;IF(AND(L233=FALSE,M233=FALSE),",","")&amp;IF(M233=FALSE,"「残業時間」","")&amp;IF(OR(J233=FALSE,K233=FALSE,L233=FALSE,M233=FALSE),入力リスト!$K$36,"")&amp;IF(N233,"",入力リスト!$K$37)))</f>
        <v/>
      </c>
      <c r="H233" s="215"/>
      <c r="I233" s="1" t="b">
        <f>IF(B233="",FALSE,COUNTIF('従業員情報(給与以外)'!$A$4:$A$1000000,$B233)=0)</f>
        <v>0</v>
      </c>
      <c r="J233" s="8" t="b">
        <f t="shared" si="15"/>
        <v>1</v>
      </c>
      <c r="K233" s="8" t="b">
        <f t="shared" si="16"/>
        <v>1</v>
      </c>
      <c r="L233" s="8" t="b">
        <f t="shared" si="17"/>
        <v>1</v>
      </c>
      <c r="M233" s="8" t="b">
        <f t="shared" si="18"/>
        <v>1</v>
      </c>
      <c r="N233" s="1" t="b">
        <f t="shared" si="19"/>
        <v>1</v>
      </c>
      <c r="O233" s="8" t="str">
        <f>IF(F233="","",IF($F$2=入力リスト!$H$25,ROUNDDOWN(INT(F233)+ROUNDDOWN((F233-INT(F233))*100,0)/60,2),F233))</f>
        <v/>
      </c>
      <c r="P233" s="7"/>
      <c r="Q233" s="7"/>
    </row>
    <row r="234" spans="1:17">
      <c r="A234" s="105"/>
      <c r="B234" s="2"/>
      <c r="C234" s="254"/>
      <c r="D234" s="254"/>
      <c r="E234" s="254"/>
      <c r="F234" s="255"/>
      <c r="G234" s="215" t="str">
        <f>IF(AND($B234="",OR(B234&lt;&gt;"",C234&lt;&gt;"",D234&lt;&gt;"",E234&lt;&gt;"",F234&lt;&gt;"")),入力リスト!$K$34,IF($I234=TRUE,入力リスト!$K$35,IF(J234=FALSE,"「毎月の固定給与額」","")&amp;IF(AND(J234=FALSE,OR(K234=FALSE,L234=FALSE,M234=FALSE)),",","")&amp;IF(K234=FALSE,"「賞与額等」","")&amp;IF(AND(K234=FALSE,OR(L234=FALSE,M234=FALSE)),",","")&amp;IF(L234=FALSE,"「残業手当」","")&amp;IF(AND(L234=FALSE,M234=FALSE),",","")&amp;IF(M234=FALSE,"「残業時間」","")&amp;IF(OR(J234=FALSE,K234=FALSE,L234=FALSE,M234=FALSE),入力リスト!$K$36,"")&amp;IF(N234,"",入力リスト!$K$37)))</f>
        <v/>
      </c>
      <c r="H234" s="215"/>
      <c r="I234" s="1" t="b">
        <f>IF(B234="",FALSE,COUNTIF('従業員情報(給与以外)'!$A$4:$A$1000000,$B234)=0)</f>
        <v>0</v>
      </c>
      <c r="J234" s="8" t="b">
        <f t="shared" si="15"/>
        <v>1</v>
      </c>
      <c r="K234" s="8" t="b">
        <f t="shared" si="16"/>
        <v>1</v>
      </c>
      <c r="L234" s="8" t="b">
        <f t="shared" si="17"/>
        <v>1</v>
      </c>
      <c r="M234" s="8" t="b">
        <f t="shared" si="18"/>
        <v>1</v>
      </c>
      <c r="N234" s="1" t="b">
        <f t="shared" si="19"/>
        <v>1</v>
      </c>
      <c r="O234" s="8" t="str">
        <f>IF(F234="","",IF($F$2=入力リスト!$H$25,ROUNDDOWN(INT(F234)+ROUNDDOWN((F234-INT(F234))*100,0)/60,2),F234))</f>
        <v/>
      </c>
      <c r="P234" s="7"/>
      <c r="Q234" s="7"/>
    </row>
    <row r="235" spans="1:17">
      <c r="A235" s="105"/>
      <c r="B235" s="2"/>
      <c r="C235" s="254"/>
      <c r="D235" s="254"/>
      <c r="E235" s="254"/>
      <c r="F235" s="255"/>
      <c r="G235" s="215" t="str">
        <f>IF(AND($B235="",OR(B235&lt;&gt;"",C235&lt;&gt;"",D235&lt;&gt;"",E235&lt;&gt;"",F235&lt;&gt;"")),入力リスト!$K$34,IF($I235=TRUE,入力リスト!$K$35,IF(J235=FALSE,"「毎月の固定給与額」","")&amp;IF(AND(J235=FALSE,OR(K235=FALSE,L235=FALSE,M235=FALSE)),",","")&amp;IF(K235=FALSE,"「賞与額等」","")&amp;IF(AND(K235=FALSE,OR(L235=FALSE,M235=FALSE)),",","")&amp;IF(L235=FALSE,"「残業手当」","")&amp;IF(AND(L235=FALSE,M235=FALSE),",","")&amp;IF(M235=FALSE,"「残業時間」","")&amp;IF(OR(J235=FALSE,K235=FALSE,L235=FALSE,M235=FALSE),入力リスト!$K$36,"")&amp;IF(N235,"",入力リスト!$K$37)))</f>
        <v/>
      </c>
      <c r="H235" s="215"/>
      <c r="I235" s="1" t="b">
        <f>IF(B235="",FALSE,COUNTIF('従業員情報(給与以外)'!$A$4:$A$1000000,$B235)=0)</f>
        <v>0</v>
      </c>
      <c r="J235" s="8" t="b">
        <f t="shared" si="15"/>
        <v>1</v>
      </c>
      <c r="K235" s="8" t="b">
        <f t="shared" si="16"/>
        <v>1</v>
      </c>
      <c r="L235" s="8" t="b">
        <f t="shared" si="17"/>
        <v>1</v>
      </c>
      <c r="M235" s="8" t="b">
        <f t="shared" si="18"/>
        <v>1</v>
      </c>
      <c r="N235" s="1" t="b">
        <f t="shared" si="19"/>
        <v>1</v>
      </c>
      <c r="O235" s="8" t="str">
        <f>IF(F235="","",IF($F$2=入力リスト!$H$25,ROUNDDOWN(INT(F235)+ROUNDDOWN((F235-INT(F235))*100,0)/60,2),F235))</f>
        <v/>
      </c>
      <c r="P235" s="7"/>
      <c r="Q235" s="7"/>
    </row>
    <row r="236" spans="1:17">
      <c r="A236" s="105"/>
      <c r="B236" s="2"/>
      <c r="C236" s="254"/>
      <c r="D236" s="254"/>
      <c r="E236" s="254"/>
      <c r="F236" s="255"/>
      <c r="G236" s="215" t="str">
        <f>IF(AND($B236="",OR(B236&lt;&gt;"",C236&lt;&gt;"",D236&lt;&gt;"",E236&lt;&gt;"",F236&lt;&gt;"")),入力リスト!$K$34,IF($I236=TRUE,入力リスト!$K$35,IF(J236=FALSE,"「毎月の固定給与額」","")&amp;IF(AND(J236=FALSE,OR(K236=FALSE,L236=FALSE,M236=FALSE)),",","")&amp;IF(K236=FALSE,"「賞与額等」","")&amp;IF(AND(K236=FALSE,OR(L236=FALSE,M236=FALSE)),",","")&amp;IF(L236=FALSE,"「残業手当」","")&amp;IF(AND(L236=FALSE,M236=FALSE),",","")&amp;IF(M236=FALSE,"「残業時間」","")&amp;IF(OR(J236=FALSE,K236=FALSE,L236=FALSE,M236=FALSE),入力リスト!$K$36,"")&amp;IF(N236,"",入力リスト!$K$37)))</f>
        <v/>
      </c>
      <c r="H236" s="215"/>
      <c r="I236" s="1" t="b">
        <f>IF(B236="",FALSE,COUNTIF('従業員情報(給与以外)'!$A$4:$A$1000000,$B236)=0)</f>
        <v>0</v>
      </c>
      <c r="J236" s="8" t="b">
        <f t="shared" si="15"/>
        <v>1</v>
      </c>
      <c r="K236" s="8" t="b">
        <f t="shared" si="16"/>
        <v>1</v>
      </c>
      <c r="L236" s="8" t="b">
        <f t="shared" si="17"/>
        <v>1</v>
      </c>
      <c r="M236" s="8" t="b">
        <f t="shared" si="18"/>
        <v>1</v>
      </c>
      <c r="N236" s="1" t="b">
        <f t="shared" si="19"/>
        <v>1</v>
      </c>
      <c r="O236" s="8" t="str">
        <f>IF(F236="","",IF($F$2=入力リスト!$H$25,ROUNDDOWN(INT(F236)+ROUNDDOWN((F236-INT(F236))*100,0)/60,2),F236))</f>
        <v/>
      </c>
      <c r="P236" s="7"/>
      <c r="Q236" s="7"/>
    </row>
    <row r="237" spans="1:17">
      <c r="A237" s="105"/>
      <c r="B237" s="2"/>
      <c r="C237" s="254"/>
      <c r="D237" s="254"/>
      <c r="E237" s="254"/>
      <c r="F237" s="255"/>
      <c r="G237" s="215" t="str">
        <f>IF(AND($B237="",OR(B237&lt;&gt;"",C237&lt;&gt;"",D237&lt;&gt;"",E237&lt;&gt;"",F237&lt;&gt;"")),入力リスト!$K$34,IF($I237=TRUE,入力リスト!$K$35,IF(J237=FALSE,"「毎月の固定給与額」","")&amp;IF(AND(J237=FALSE,OR(K237=FALSE,L237=FALSE,M237=FALSE)),",","")&amp;IF(K237=FALSE,"「賞与額等」","")&amp;IF(AND(K237=FALSE,OR(L237=FALSE,M237=FALSE)),",","")&amp;IF(L237=FALSE,"「残業手当」","")&amp;IF(AND(L237=FALSE,M237=FALSE),",","")&amp;IF(M237=FALSE,"「残業時間」","")&amp;IF(OR(J237=FALSE,K237=FALSE,L237=FALSE,M237=FALSE),入力リスト!$K$36,"")&amp;IF(N237,"",入力リスト!$K$37)))</f>
        <v/>
      </c>
      <c r="H237" s="215"/>
      <c r="I237" s="1" t="b">
        <f>IF(B237="",FALSE,COUNTIF('従業員情報(給与以外)'!$A$4:$A$1000000,$B237)=0)</f>
        <v>0</v>
      </c>
      <c r="J237" s="8" t="b">
        <f t="shared" si="15"/>
        <v>1</v>
      </c>
      <c r="K237" s="8" t="b">
        <f t="shared" si="16"/>
        <v>1</v>
      </c>
      <c r="L237" s="8" t="b">
        <f t="shared" si="17"/>
        <v>1</v>
      </c>
      <c r="M237" s="8" t="b">
        <f t="shared" si="18"/>
        <v>1</v>
      </c>
      <c r="N237" s="1" t="b">
        <f t="shared" si="19"/>
        <v>1</v>
      </c>
      <c r="O237" s="8" t="str">
        <f>IF(F237="","",IF($F$2=入力リスト!$H$25,ROUNDDOWN(INT(F237)+ROUNDDOWN((F237-INT(F237))*100,0)/60,2),F237))</f>
        <v/>
      </c>
      <c r="P237" s="7"/>
      <c r="Q237" s="7"/>
    </row>
    <row r="238" spans="1:17">
      <c r="A238" s="105"/>
      <c r="B238" s="2"/>
      <c r="C238" s="254"/>
      <c r="D238" s="254"/>
      <c r="E238" s="254"/>
      <c r="F238" s="255"/>
      <c r="G238" s="215" t="str">
        <f>IF(AND($B238="",OR(B238&lt;&gt;"",C238&lt;&gt;"",D238&lt;&gt;"",E238&lt;&gt;"",F238&lt;&gt;"")),入力リスト!$K$34,IF($I238=TRUE,入力リスト!$K$35,IF(J238=FALSE,"「毎月の固定給与額」","")&amp;IF(AND(J238=FALSE,OR(K238=FALSE,L238=FALSE,M238=FALSE)),",","")&amp;IF(K238=FALSE,"「賞与額等」","")&amp;IF(AND(K238=FALSE,OR(L238=FALSE,M238=FALSE)),",","")&amp;IF(L238=FALSE,"「残業手当」","")&amp;IF(AND(L238=FALSE,M238=FALSE),",","")&amp;IF(M238=FALSE,"「残業時間」","")&amp;IF(OR(J238=FALSE,K238=FALSE,L238=FALSE,M238=FALSE),入力リスト!$K$36,"")&amp;IF(N238,"",入力リスト!$K$37)))</f>
        <v/>
      </c>
      <c r="H238" s="215"/>
      <c r="I238" s="1" t="b">
        <f>IF(B238="",FALSE,COUNTIF('従業員情報(給与以外)'!$A$4:$A$1000000,$B238)=0)</f>
        <v>0</v>
      </c>
      <c r="J238" s="8" t="b">
        <f t="shared" si="15"/>
        <v>1</v>
      </c>
      <c r="K238" s="8" t="b">
        <f t="shared" si="16"/>
        <v>1</v>
      </c>
      <c r="L238" s="8" t="b">
        <f t="shared" si="17"/>
        <v>1</v>
      </c>
      <c r="M238" s="8" t="b">
        <f t="shared" si="18"/>
        <v>1</v>
      </c>
      <c r="N238" s="1" t="b">
        <f t="shared" si="19"/>
        <v>1</v>
      </c>
      <c r="O238" s="8" t="str">
        <f>IF(F238="","",IF($F$2=入力リスト!$H$25,ROUNDDOWN(INT(F238)+ROUNDDOWN((F238-INT(F238))*100,0)/60,2),F238))</f>
        <v/>
      </c>
      <c r="P238" s="7"/>
      <c r="Q238" s="7"/>
    </row>
    <row r="239" spans="1:17">
      <c r="A239" s="105"/>
      <c r="B239" s="2"/>
      <c r="C239" s="254"/>
      <c r="D239" s="254"/>
      <c r="E239" s="254"/>
      <c r="F239" s="255"/>
      <c r="G239" s="215" t="str">
        <f>IF(AND($B239="",OR(B239&lt;&gt;"",C239&lt;&gt;"",D239&lt;&gt;"",E239&lt;&gt;"",F239&lt;&gt;"")),入力リスト!$K$34,IF($I239=TRUE,入力リスト!$K$35,IF(J239=FALSE,"「毎月の固定給与額」","")&amp;IF(AND(J239=FALSE,OR(K239=FALSE,L239=FALSE,M239=FALSE)),",","")&amp;IF(K239=FALSE,"「賞与額等」","")&amp;IF(AND(K239=FALSE,OR(L239=FALSE,M239=FALSE)),",","")&amp;IF(L239=FALSE,"「残業手当」","")&amp;IF(AND(L239=FALSE,M239=FALSE),",","")&amp;IF(M239=FALSE,"「残業時間」","")&amp;IF(OR(J239=FALSE,K239=FALSE,L239=FALSE,M239=FALSE),入力リスト!$K$36,"")&amp;IF(N239,"",入力リスト!$K$37)))</f>
        <v/>
      </c>
      <c r="H239" s="215"/>
      <c r="I239" s="1" t="b">
        <f>IF(B239="",FALSE,COUNTIF('従業員情報(給与以外)'!$A$4:$A$1000000,$B239)=0)</f>
        <v>0</v>
      </c>
      <c r="J239" s="8" t="b">
        <f t="shared" si="15"/>
        <v>1</v>
      </c>
      <c r="K239" s="8" t="b">
        <f t="shared" si="16"/>
        <v>1</v>
      </c>
      <c r="L239" s="8" t="b">
        <f t="shared" si="17"/>
        <v>1</v>
      </c>
      <c r="M239" s="8" t="b">
        <f t="shared" si="18"/>
        <v>1</v>
      </c>
      <c r="N239" s="1" t="b">
        <f t="shared" si="19"/>
        <v>1</v>
      </c>
      <c r="O239" s="8" t="str">
        <f>IF(F239="","",IF($F$2=入力リスト!$H$25,ROUNDDOWN(INT(F239)+ROUNDDOWN((F239-INT(F239))*100,0)/60,2),F239))</f>
        <v/>
      </c>
      <c r="P239" s="7"/>
      <c r="Q239" s="7"/>
    </row>
    <row r="240" spans="1:17">
      <c r="A240" s="105"/>
      <c r="B240" s="2"/>
      <c r="C240" s="254"/>
      <c r="D240" s="254"/>
      <c r="E240" s="254"/>
      <c r="F240" s="255"/>
      <c r="G240" s="215" t="str">
        <f>IF(AND($B240="",OR(B240&lt;&gt;"",C240&lt;&gt;"",D240&lt;&gt;"",E240&lt;&gt;"",F240&lt;&gt;"")),入力リスト!$K$34,IF($I240=TRUE,入力リスト!$K$35,IF(J240=FALSE,"「毎月の固定給与額」","")&amp;IF(AND(J240=FALSE,OR(K240=FALSE,L240=FALSE,M240=FALSE)),",","")&amp;IF(K240=FALSE,"「賞与額等」","")&amp;IF(AND(K240=FALSE,OR(L240=FALSE,M240=FALSE)),",","")&amp;IF(L240=FALSE,"「残業手当」","")&amp;IF(AND(L240=FALSE,M240=FALSE),",","")&amp;IF(M240=FALSE,"「残業時間」","")&amp;IF(OR(J240=FALSE,K240=FALSE,L240=FALSE,M240=FALSE),入力リスト!$K$36,"")&amp;IF(N240,"",入力リスト!$K$37)))</f>
        <v/>
      </c>
      <c r="H240" s="215"/>
      <c r="I240" s="1" t="b">
        <f>IF(B240="",FALSE,COUNTIF('従業員情報(給与以外)'!$A$4:$A$1000000,$B240)=0)</f>
        <v>0</v>
      </c>
      <c r="J240" s="8" t="b">
        <f t="shared" si="15"/>
        <v>1</v>
      </c>
      <c r="K240" s="8" t="b">
        <f t="shared" si="16"/>
        <v>1</v>
      </c>
      <c r="L240" s="8" t="b">
        <f t="shared" si="17"/>
        <v>1</v>
      </c>
      <c r="M240" s="8" t="b">
        <f t="shared" si="18"/>
        <v>1</v>
      </c>
      <c r="N240" s="1" t="b">
        <f t="shared" si="19"/>
        <v>1</v>
      </c>
      <c r="O240" s="8" t="str">
        <f>IF(F240="","",IF($F$2=入力リスト!$H$25,ROUNDDOWN(INT(F240)+ROUNDDOWN((F240-INT(F240))*100,0)/60,2),F240))</f>
        <v/>
      </c>
      <c r="P240" s="7"/>
      <c r="Q240" s="7"/>
    </row>
    <row r="241" spans="1:17">
      <c r="A241" s="105"/>
      <c r="B241" s="2"/>
      <c r="C241" s="254"/>
      <c r="D241" s="254"/>
      <c r="E241" s="254"/>
      <c r="F241" s="255"/>
      <c r="G241" s="215" t="str">
        <f>IF(AND($B241="",OR(B241&lt;&gt;"",C241&lt;&gt;"",D241&lt;&gt;"",E241&lt;&gt;"",F241&lt;&gt;"")),入力リスト!$K$34,IF($I241=TRUE,入力リスト!$K$35,IF(J241=FALSE,"「毎月の固定給与額」","")&amp;IF(AND(J241=FALSE,OR(K241=FALSE,L241=FALSE,M241=FALSE)),",","")&amp;IF(K241=FALSE,"「賞与額等」","")&amp;IF(AND(K241=FALSE,OR(L241=FALSE,M241=FALSE)),",","")&amp;IF(L241=FALSE,"「残業手当」","")&amp;IF(AND(L241=FALSE,M241=FALSE),",","")&amp;IF(M241=FALSE,"「残業時間」","")&amp;IF(OR(J241=FALSE,K241=FALSE,L241=FALSE,M241=FALSE),入力リスト!$K$36,"")&amp;IF(N241,"",入力リスト!$K$37)))</f>
        <v/>
      </c>
      <c r="H241" s="215"/>
      <c r="I241" s="1" t="b">
        <f>IF(B241="",FALSE,COUNTIF('従業員情報(給与以外)'!$A$4:$A$1000000,$B241)=0)</f>
        <v>0</v>
      </c>
      <c r="J241" s="8" t="b">
        <f t="shared" si="15"/>
        <v>1</v>
      </c>
      <c r="K241" s="8" t="b">
        <f t="shared" si="16"/>
        <v>1</v>
      </c>
      <c r="L241" s="8" t="b">
        <f t="shared" si="17"/>
        <v>1</v>
      </c>
      <c r="M241" s="8" t="b">
        <f t="shared" si="18"/>
        <v>1</v>
      </c>
      <c r="N241" s="1" t="b">
        <f t="shared" si="19"/>
        <v>1</v>
      </c>
      <c r="O241" s="8" t="str">
        <f>IF(F241="","",IF($F$2=入力リスト!$H$25,ROUNDDOWN(INT(F241)+ROUNDDOWN((F241-INT(F241))*100,0)/60,2),F241))</f>
        <v/>
      </c>
      <c r="P241" s="7"/>
      <c r="Q241" s="7"/>
    </row>
    <row r="242" spans="1:17">
      <c r="A242" s="105"/>
      <c r="B242" s="2"/>
      <c r="C242" s="254"/>
      <c r="D242" s="254"/>
      <c r="E242" s="254"/>
      <c r="F242" s="255"/>
      <c r="G242" s="215" t="str">
        <f>IF(AND($B242="",OR(B242&lt;&gt;"",C242&lt;&gt;"",D242&lt;&gt;"",E242&lt;&gt;"",F242&lt;&gt;"")),入力リスト!$K$34,IF($I242=TRUE,入力リスト!$K$35,IF(J242=FALSE,"「毎月の固定給与額」","")&amp;IF(AND(J242=FALSE,OR(K242=FALSE,L242=FALSE,M242=FALSE)),",","")&amp;IF(K242=FALSE,"「賞与額等」","")&amp;IF(AND(K242=FALSE,OR(L242=FALSE,M242=FALSE)),",","")&amp;IF(L242=FALSE,"「残業手当」","")&amp;IF(AND(L242=FALSE,M242=FALSE),",","")&amp;IF(M242=FALSE,"「残業時間」","")&amp;IF(OR(J242=FALSE,K242=FALSE,L242=FALSE,M242=FALSE),入力リスト!$K$36,"")&amp;IF(N242,"",入力リスト!$K$37)))</f>
        <v/>
      </c>
      <c r="H242" s="215"/>
      <c r="I242" s="1" t="b">
        <f>IF(B242="",FALSE,COUNTIF('従業員情報(給与以外)'!$A$4:$A$1000000,$B242)=0)</f>
        <v>0</v>
      </c>
      <c r="J242" s="8" t="b">
        <f t="shared" si="15"/>
        <v>1</v>
      </c>
      <c r="K242" s="8" t="b">
        <f t="shared" si="16"/>
        <v>1</v>
      </c>
      <c r="L242" s="8" t="b">
        <f t="shared" si="17"/>
        <v>1</v>
      </c>
      <c r="M242" s="8" t="b">
        <f t="shared" si="18"/>
        <v>1</v>
      </c>
      <c r="N242" s="1" t="b">
        <f t="shared" si="19"/>
        <v>1</v>
      </c>
      <c r="O242" s="8" t="str">
        <f>IF(F242="","",IF($F$2=入力リスト!$H$25,ROUNDDOWN(INT(F242)+ROUNDDOWN((F242-INT(F242))*100,0)/60,2),F242))</f>
        <v/>
      </c>
      <c r="P242" s="7"/>
      <c r="Q242" s="7"/>
    </row>
    <row r="243" spans="1:17">
      <c r="A243" s="105"/>
      <c r="B243" s="2"/>
      <c r="C243" s="254"/>
      <c r="D243" s="254"/>
      <c r="E243" s="254"/>
      <c r="F243" s="255"/>
      <c r="G243" s="215" t="str">
        <f>IF(AND($B243="",OR(B243&lt;&gt;"",C243&lt;&gt;"",D243&lt;&gt;"",E243&lt;&gt;"",F243&lt;&gt;"")),入力リスト!$K$34,IF($I243=TRUE,入力リスト!$K$35,IF(J243=FALSE,"「毎月の固定給与額」","")&amp;IF(AND(J243=FALSE,OR(K243=FALSE,L243=FALSE,M243=FALSE)),",","")&amp;IF(K243=FALSE,"「賞与額等」","")&amp;IF(AND(K243=FALSE,OR(L243=FALSE,M243=FALSE)),",","")&amp;IF(L243=FALSE,"「残業手当」","")&amp;IF(AND(L243=FALSE,M243=FALSE),",","")&amp;IF(M243=FALSE,"「残業時間」","")&amp;IF(OR(J243=FALSE,K243=FALSE,L243=FALSE,M243=FALSE),入力リスト!$K$36,"")&amp;IF(N243,"",入力リスト!$K$37)))</f>
        <v/>
      </c>
      <c r="H243" s="215"/>
      <c r="I243" s="1" t="b">
        <f>IF(B243="",FALSE,COUNTIF('従業員情報(給与以外)'!$A$4:$A$1000000,$B243)=0)</f>
        <v>0</v>
      </c>
      <c r="J243" s="8" t="b">
        <f t="shared" si="15"/>
        <v>1</v>
      </c>
      <c r="K243" s="8" t="b">
        <f t="shared" si="16"/>
        <v>1</v>
      </c>
      <c r="L243" s="8" t="b">
        <f t="shared" si="17"/>
        <v>1</v>
      </c>
      <c r="M243" s="8" t="b">
        <f t="shared" si="18"/>
        <v>1</v>
      </c>
      <c r="N243" s="1" t="b">
        <f t="shared" si="19"/>
        <v>1</v>
      </c>
      <c r="O243" s="8" t="str">
        <f>IF(F243="","",IF($F$2=入力リスト!$H$25,ROUNDDOWN(INT(F243)+ROUNDDOWN((F243-INT(F243))*100,0)/60,2),F243))</f>
        <v/>
      </c>
      <c r="P243" s="7"/>
      <c r="Q243" s="7"/>
    </row>
    <row r="244" spans="1:17">
      <c r="A244" s="105"/>
      <c r="B244" s="2"/>
      <c r="C244" s="254"/>
      <c r="D244" s="254"/>
      <c r="E244" s="254"/>
      <c r="F244" s="255"/>
      <c r="G244" s="215" t="str">
        <f>IF(AND($B244="",OR(B244&lt;&gt;"",C244&lt;&gt;"",D244&lt;&gt;"",E244&lt;&gt;"",F244&lt;&gt;"")),入力リスト!$K$34,IF($I244=TRUE,入力リスト!$K$35,IF(J244=FALSE,"「毎月の固定給与額」","")&amp;IF(AND(J244=FALSE,OR(K244=FALSE,L244=FALSE,M244=FALSE)),",","")&amp;IF(K244=FALSE,"「賞与額等」","")&amp;IF(AND(K244=FALSE,OR(L244=FALSE,M244=FALSE)),",","")&amp;IF(L244=FALSE,"「残業手当」","")&amp;IF(AND(L244=FALSE,M244=FALSE),",","")&amp;IF(M244=FALSE,"「残業時間」","")&amp;IF(OR(J244=FALSE,K244=FALSE,L244=FALSE,M244=FALSE),入力リスト!$K$36,"")&amp;IF(N244,"",入力リスト!$K$37)))</f>
        <v/>
      </c>
      <c r="H244" s="215"/>
      <c r="I244" s="1" t="b">
        <f>IF(B244="",FALSE,COUNTIF('従業員情報(給与以外)'!$A$4:$A$1000000,$B244)=0)</f>
        <v>0</v>
      </c>
      <c r="J244" s="8" t="b">
        <f t="shared" si="15"/>
        <v>1</v>
      </c>
      <c r="K244" s="8" t="b">
        <f t="shared" si="16"/>
        <v>1</v>
      </c>
      <c r="L244" s="8" t="b">
        <f t="shared" si="17"/>
        <v>1</v>
      </c>
      <c r="M244" s="8" t="b">
        <f t="shared" si="18"/>
        <v>1</v>
      </c>
      <c r="N244" s="1" t="b">
        <f t="shared" si="19"/>
        <v>1</v>
      </c>
      <c r="O244" s="8" t="str">
        <f>IF(F244="","",IF($F$2=入力リスト!$H$25,ROUNDDOWN(INT(F244)+ROUNDDOWN((F244-INT(F244))*100,0)/60,2),F244))</f>
        <v/>
      </c>
      <c r="P244" s="7"/>
      <c r="Q244" s="7"/>
    </row>
    <row r="245" spans="1:17">
      <c r="A245" s="105"/>
      <c r="B245" s="2"/>
      <c r="C245" s="254"/>
      <c r="D245" s="254"/>
      <c r="E245" s="254"/>
      <c r="F245" s="255"/>
      <c r="G245" s="215" t="str">
        <f>IF(AND($B245="",OR(B245&lt;&gt;"",C245&lt;&gt;"",D245&lt;&gt;"",E245&lt;&gt;"",F245&lt;&gt;"")),入力リスト!$K$34,IF($I245=TRUE,入力リスト!$K$35,IF(J245=FALSE,"「毎月の固定給与額」","")&amp;IF(AND(J245=FALSE,OR(K245=FALSE,L245=FALSE,M245=FALSE)),",","")&amp;IF(K245=FALSE,"「賞与額等」","")&amp;IF(AND(K245=FALSE,OR(L245=FALSE,M245=FALSE)),",","")&amp;IF(L245=FALSE,"「残業手当」","")&amp;IF(AND(L245=FALSE,M245=FALSE),",","")&amp;IF(M245=FALSE,"「残業時間」","")&amp;IF(OR(J245=FALSE,K245=FALSE,L245=FALSE,M245=FALSE),入力リスト!$K$36,"")&amp;IF(N245,"",入力リスト!$K$37)))</f>
        <v/>
      </c>
      <c r="H245" s="215"/>
      <c r="I245" s="1" t="b">
        <f>IF(B245="",FALSE,COUNTIF('従業員情報(給与以外)'!$A$4:$A$1000000,$B245)=0)</f>
        <v>0</v>
      </c>
      <c r="J245" s="8" t="b">
        <f t="shared" si="15"/>
        <v>1</v>
      </c>
      <c r="K245" s="8" t="b">
        <f t="shared" si="16"/>
        <v>1</v>
      </c>
      <c r="L245" s="8" t="b">
        <f t="shared" si="17"/>
        <v>1</v>
      </c>
      <c r="M245" s="8" t="b">
        <f t="shared" si="18"/>
        <v>1</v>
      </c>
      <c r="N245" s="1" t="b">
        <f t="shared" si="19"/>
        <v>1</v>
      </c>
      <c r="O245" s="8" t="str">
        <f>IF(F245="","",IF($F$2=入力リスト!$H$25,ROUNDDOWN(INT(F245)+ROUNDDOWN((F245-INT(F245))*100,0)/60,2),F245))</f>
        <v/>
      </c>
      <c r="P245" s="7"/>
      <c r="Q245" s="7"/>
    </row>
    <row r="246" spans="1:17">
      <c r="A246" s="105"/>
      <c r="B246" s="2"/>
      <c r="C246" s="254"/>
      <c r="D246" s="254"/>
      <c r="E246" s="254"/>
      <c r="F246" s="255"/>
      <c r="G246" s="215" t="str">
        <f>IF(AND($B246="",OR(B246&lt;&gt;"",C246&lt;&gt;"",D246&lt;&gt;"",E246&lt;&gt;"",F246&lt;&gt;"")),入力リスト!$K$34,IF($I246=TRUE,入力リスト!$K$35,IF(J246=FALSE,"「毎月の固定給与額」","")&amp;IF(AND(J246=FALSE,OR(K246=FALSE,L246=FALSE,M246=FALSE)),",","")&amp;IF(K246=FALSE,"「賞与額等」","")&amp;IF(AND(K246=FALSE,OR(L246=FALSE,M246=FALSE)),",","")&amp;IF(L246=FALSE,"「残業手当」","")&amp;IF(AND(L246=FALSE,M246=FALSE),",","")&amp;IF(M246=FALSE,"「残業時間」","")&amp;IF(OR(J246=FALSE,K246=FALSE,L246=FALSE,M246=FALSE),入力リスト!$K$36,"")&amp;IF(N246,"",入力リスト!$K$37)))</f>
        <v/>
      </c>
      <c r="H246" s="215"/>
      <c r="I246" s="1" t="b">
        <f>IF(B246="",FALSE,COUNTIF('従業員情報(給与以外)'!$A$4:$A$1000000,$B246)=0)</f>
        <v>0</v>
      </c>
      <c r="J246" s="8" t="b">
        <f t="shared" si="15"/>
        <v>1</v>
      </c>
      <c r="K246" s="8" t="b">
        <f t="shared" si="16"/>
        <v>1</v>
      </c>
      <c r="L246" s="8" t="b">
        <f t="shared" si="17"/>
        <v>1</v>
      </c>
      <c r="M246" s="8" t="b">
        <f t="shared" si="18"/>
        <v>1</v>
      </c>
      <c r="N246" s="1" t="b">
        <f t="shared" si="19"/>
        <v>1</v>
      </c>
      <c r="O246" s="8" t="str">
        <f>IF(F246="","",IF($F$2=入力リスト!$H$25,ROUNDDOWN(INT(F246)+ROUNDDOWN((F246-INT(F246))*100,0)/60,2),F246))</f>
        <v/>
      </c>
      <c r="P246" s="7"/>
      <c r="Q246" s="7"/>
    </row>
    <row r="247" spans="1:17">
      <c r="A247" s="105"/>
      <c r="B247" s="2"/>
      <c r="C247" s="254"/>
      <c r="D247" s="254"/>
      <c r="E247" s="254"/>
      <c r="F247" s="255"/>
      <c r="G247" s="215" t="str">
        <f>IF(AND($B247="",OR(B247&lt;&gt;"",C247&lt;&gt;"",D247&lt;&gt;"",E247&lt;&gt;"",F247&lt;&gt;"")),入力リスト!$K$34,IF($I247=TRUE,入力リスト!$K$35,IF(J247=FALSE,"「毎月の固定給与額」","")&amp;IF(AND(J247=FALSE,OR(K247=FALSE,L247=FALSE,M247=FALSE)),",","")&amp;IF(K247=FALSE,"「賞与額等」","")&amp;IF(AND(K247=FALSE,OR(L247=FALSE,M247=FALSE)),",","")&amp;IF(L247=FALSE,"「残業手当」","")&amp;IF(AND(L247=FALSE,M247=FALSE),",","")&amp;IF(M247=FALSE,"「残業時間」","")&amp;IF(OR(J247=FALSE,K247=FALSE,L247=FALSE,M247=FALSE),入力リスト!$K$36,"")&amp;IF(N247,"",入力リスト!$K$37)))</f>
        <v/>
      </c>
      <c r="H247" s="215"/>
      <c r="I247" s="1" t="b">
        <f>IF(B247="",FALSE,COUNTIF('従業員情報(給与以外)'!$A$4:$A$1000000,$B247)=0)</f>
        <v>0</v>
      </c>
      <c r="J247" s="8" t="b">
        <f t="shared" si="15"/>
        <v>1</v>
      </c>
      <c r="K247" s="8" t="b">
        <f t="shared" si="16"/>
        <v>1</v>
      </c>
      <c r="L247" s="8" t="b">
        <f t="shared" si="17"/>
        <v>1</v>
      </c>
      <c r="M247" s="8" t="b">
        <f t="shared" si="18"/>
        <v>1</v>
      </c>
      <c r="N247" s="1" t="b">
        <f t="shared" si="19"/>
        <v>1</v>
      </c>
      <c r="O247" s="8" t="str">
        <f>IF(F247="","",IF($F$2=入力リスト!$H$25,ROUNDDOWN(INT(F247)+ROUNDDOWN((F247-INT(F247))*100,0)/60,2),F247))</f>
        <v/>
      </c>
      <c r="P247" s="7"/>
      <c r="Q247" s="7"/>
    </row>
    <row r="248" spans="1:17">
      <c r="A248" s="105"/>
      <c r="B248" s="2"/>
      <c r="C248" s="254"/>
      <c r="D248" s="254"/>
      <c r="E248" s="254"/>
      <c r="F248" s="255"/>
      <c r="G248" s="215" t="str">
        <f>IF(AND($B248="",OR(B248&lt;&gt;"",C248&lt;&gt;"",D248&lt;&gt;"",E248&lt;&gt;"",F248&lt;&gt;"")),入力リスト!$K$34,IF($I248=TRUE,入力リスト!$K$35,IF(J248=FALSE,"「毎月の固定給与額」","")&amp;IF(AND(J248=FALSE,OR(K248=FALSE,L248=FALSE,M248=FALSE)),",","")&amp;IF(K248=FALSE,"「賞与額等」","")&amp;IF(AND(K248=FALSE,OR(L248=FALSE,M248=FALSE)),",","")&amp;IF(L248=FALSE,"「残業手当」","")&amp;IF(AND(L248=FALSE,M248=FALSE),",","")&amp;IF(M248=FALSE,"「残業時間」","")&amp;IF(OR(J248=FALSE,K248=FALSE,L248=FALSE,M248=FALSE),入力リスト!$K$36,"")&amp;IF(N248,"",入力リスト!$K$37)))</f>
        <v/>
      </c>
      <c r="H248" s="215"/>
      <c r="I248" s="1" t="b">
        <f>IF(B248="",FALSE,COUNTIF('従業員情報(給与以外)'!$A$4:$A$1000000,$B248)=0)</f>
        <v>0</v>
      </c>
      <c r="J248" s="8" t="b">
        <f t="shared" si="15"/>
        <v>1</v>
      </c>
      <c r="K248" s="8" t="b">
        <f t="shared" si="16"/>
        <v>1</v>
      </c>
      <c r="L248" s="8" t="b">
        <f t="shared" si="17"/>
        <v>1</v>
      </c>
      <c r="M248" s="8" t="b">
        <f t="shared" si="18"/>
        <v>1</v>
      </c>
      <c r="N248" s="1" t="b">
        <f t="shared" si="19"/>
        <v>1</v>
      </c>
      <c r="O248" s="8" t="str">
        <f>IF(F248="","",IF($F$2=入力リスト!$H$25,ROUNDDOWN(INT(F248)+ROUNDDOWN((F248-INT(F248))*100,0)/60,2),F248))</f>
        <v/>
      </c>
      <c r="P248" s="7"/>
      <c r="Q248" s="7"/>
    </row>
    <row r="249" spans="1:17">
      <c r="A249" s="105"/>
      <c r="B249" s="2"/>
      <c r="C249" s="254"/>
      <c r="D249" s="254"/>
      <c r="E249" s="254"/>
      <c r="F249" s="255"/>
      <c r="G249" s="215" t="str">
        <f>IF(AND($B249="",OR(B249&lt;&gt;"",C249&lt;&gt;"",D249&lt;&gt;"",E249&lt;&gt;"",F249&lt;&gt;"")),入力リスト!$K$34,IF($I249=TRUE,入力リスト!$K$35,IF(J249=FALSE,"「毎月の固定給与額」","")&amp;IF(AND(J249=FALSE,OR(K249=FALSE,L249=FALSE,M249=FALSE)),",","")&amp;IF(K249=FALSE,"「賞与額等」","")&amp;IF(AND(K249=FALSE,OR(L249=FALSE,M249=FALSE)),",","")&amp;IF(L249=FALSE,"「残業手当」","")&amp;IF(AND(L249=FALSE,M249=FALSE),",","")&amp;IF(M249=FALSE,"「残業時間」","")&amp;IF(OR(J249=FALSE,K249=FALSE,L249=FALSE,M249=FALSE),入力リスト!$K$36,"")&amp;IF(N249,"",入力リスト!$K$37)))</f>
        <v/>
      </c>
      <c r="H249" s="215"/>
      <c r="I249" s="1" t="b">
        <f>IF(B249="",FALSE,COUNTIF('従業員情報(給与以外)'!$A$4:$A$1000000,$B249)=0)</f>
        <v>0</v>
      </c>
      <c r="J249" s="8" t="b">
        <f t="shared" si="15"/>
        <v>1</v>
      </c>
      <c r="K249" s="8" t="b">
        <f t="shared" si="16"/>
        <v>1</v>
      </c>
      <c r="L249" s="8" t="b">
        <f t="shared" si="17"/>
        <v>1</v>
      </c>
      <c r="M249" s="8" t="b">
        <f t="shared" si="18"/>
        <v>1</v>
      </c>
      <c r="N249" s="1" t="b">
        <f t="shared" si="19"/>
        <v>1</v>
      </c>
      <c r="O249" s="8" t="str">
        <f>IF(F249="","",IF($F$2=入力リスト!$H$25,ROUNDDOWN(INT(F249)+ROUNDDOWN((F249-INT(F249))*100,0)/60,2),F249))</f>
        <v/>
      </c>
      <c r="P249" s="7"/>
      <c r="Q249" s="7"/>
    </row>
    <row r="250" spans="1:17">
      <c r="A250" s="105"/>
      <c r="B250" s="2"/>
      <c r="C250" s="254"/>
      <c r="D250" s="254"/>
      <c r="E250" s="254"/>
      <c r="F250" s="255"/>
      <c r="G250" s="215" t="str">
        <f>IF(AND($B250="",OR(B250&lt;&gt;"",C250&lt;&gt;"",D250&lt;&gt;"",E250&lt;&gt;"",F250&lt;&gt;"")),入力リスト!$K$34,IF($I250=TRUE,入力リスト!$K$35,IF(J250=FALSE,"「毎月の固定給与額」","")&amp;IF(AND(J250=FALSE,OR(K250=FALSE,L250=FALSE,M250=FALSE)),",","")&amp;IF(K250=FALSE,"「賞与額等」","")&amp;IF(AND(K250=FALSE,OR(L250=FALSE,M250=FALSE)),",","")&amp;IF(L250=FALSE,"「残業手当」","")&amp;IF(AND(L250=FALSE,M250=FALSE),",","")&amp;IF(M250=FALSE,"「残業時間」","")&amp;IF(OR(J250=FALSE,K250=FALSE,L250=FALSE,M250=FALSE),入力リスト!$K$36,"")&amp;IF(N250,"",入力リスト!$K$37)))</f>
        <v/>
      </c>
      <c r="H250" s="215"/>
      <c r="I250" s="1" t="b">
        <f>IF(B250="",FALSE,COUNTIF('従業員情報(給与以外)'!$A$4:$A$1000000,$B250)=0)</f>
        <v>0</v>
      </c>
      <c r="J250" s="8" t="b">
        <f t="shared" si="15"/>
        <v>1</v>
      </c>
      <c r="K250" s="8" t="b">
        <f t="shared" si="16"/>
        <v>1</v>
      </c>
      <c r="L250" s="8" t="b">
        <f t="shared" si="17"/>
        <v>1</v>
      </c>
      <c r="M250" s="8" t="b">
        <f t="shared" si="18"/>
        <v>1</v>
      </c>
      <c r="N250" s="1" t="b">
        <f t="shared" si="19"/>
        <v>1</v>
      </c>
      <c r="O250" s="8" t="str">
        <f>IF(F250="","",IF($F$2=入力リスト!$H$25,ROUNDDOWN(INT(F250)+ROUNDDOWN((F250-INT(F250))*100,0)/60,2),F250))</f>
        <v/>
      </c>
      <c r="P250" s="7"/>
      <c r="Q250" s="7"/>
    </row>
    <row r="251" spans="1:17">
      <c r="A251" s="105"/>
      <c r="B251" s="2"/>
      <c r="C251" s="254"/>
      <c r="D251" s="254"/>
      <c r="E251" s="254"/>
      <c r="F251" s="255"/>
      <c r="G251" s="215" t="str">
        <f>IF(AND($B251="",OR(B251&lt;&gt;"",C251&lt;&gt;"",D251&lt;&gt;"",E251&lt;&gt;"",F251&lt;&gt;"")),入力リスト!$K$34,IF($I251=TRUE,入力リスト!$K$35,IF(J251=FALSE,"「毎月の固定給与額」","")&amp;IF(AND(J251=FALSE,OR(K251=FALSE,L251=FALSE,M251=FALSE)),",","")&amp;IF(K251=FALSE,"「賞与額等」","")&amp;IF(AND(K251=FALSE,OR(L251=FALSE,M251=FALSE)),",","")&amp;IF(L251=FALSE,"「残業手当」","")&amp;IF(AND(L251=FALSE,M251=FALSE),",","")&amp;IF(M251=FALSE,"「残業時間」","")&amp;IF(OR(J251=FALSE,K251=FALSE,L251=FALSE,M251=FALSE),入力リスト!$K$36,"")&amp;IF(N251,"",入力リスト!$K$37)))</f>
        <v/>
      </c>
      <c r="H251" s="215"/>
      <c r="I251" s="1" t="b">
        <f>IF(B251="",FALSE,COUNTIF('従業員情報(給与以外)'!$A$4:$A$1000000,$B251)=0)</f>
        <v>0</v>
      </c>
      <c r="J251" s="8" t="b">
        <f t="shared" si="15"/>
        <v>1</v>
      </c>
      <c r="K251" s="8" t="b">
        <f t="shared" si="16"/>
        <v>1</v>
      </c>
      <c r="L251" s="8" t="b">
        <f t="shared" si="17"/>
        <v>1</v>
      </c>
      <c r="M251" s="8" t="b">
        <f t="shared" si="18"/>
        <v>1</v>
      </c>
      <c r="N251" s="1" t="b">
        <f t="shared" si="19"/>
        <v>1</v>
      </c>
      <c r="O251" s="8" t="str">
        <f>IF(F251="","",IF($F$2=入力リスト!$H$25,ROUNDDOWN(INT(F251)+ROUNDDOWN((F251-INT(F251))*100,0)/60,2),F251))</f>
        <v/>
      </c>
      <c r="P251" s="7"/>
      <c r="Q251" s="7"/>
    </row>
    <row r="252" spans="1:17">
      <c r="A252" s="105"/>
      <c r="B252" s="2"/>
      <c r="C252" s="254"/>
      <c r="D252" s="254"/>
      <c r="E252" s="254"/>
      <c r="F252" s="255"/>
      <c r="G252" s="215" t="str">
        <f>IF(AND($B252="",OR(B252&lt;&gt;"",C252&lt;&gt;"",D252&lt;&gt;"",E252&lt;&gt;"",F252&lt;&gt;"")),入力リスト!$K$34,IF($I252=TRUE,入力リスト!$K$35,IF(J252=FALSE,"「毎月の固定給与額」","")&amp;IF(AND(J252=FALSE,OR(K252=FALSE,L252=FALSE,M252=FALSE)),",","")&amp;IF(K252=FALSE,"「賞与額等」","")&amp;IF(AND(K252=FALSE,OR(L252=FALSE,M252=FALSE)),",","")&amp;IF(L252=FALSE,"「残業手当」","")&amp;IF(AND(L252=FALSE,M252=FALSE),",","")&amp;IF(M252=FALSE,"「残業時間」","")&amp;IF(OR(J252=FALSE,K252=FALSE,L252=FALSE,M252=FALSE),入力リスト!$K$36,"")&amp;IF(N252,"",入力リスト!$K$37)))</f>
        <v/>
      </c>
      <c r="H252" s="215"/>
      <c r="I252" s="1" t="b">
        <f>IF(B252="",FALSE,COUNTIF('従業員情報(給与以外)'!$A$4:$A$1000000,$B252)=0)</f>
        <v>0</v>
      </c>
      <c r="J252" s="8" t="b">
        <f t="shared" si="15"/>
        <v>1</v>
      </c>
      <c r="K252" s="8" t="b">
        <f t="shared" si="16"/>
        <v>1</v>
      </c>
      <c r="L252" s="8" t="b">
        <f t="shared" si="17"/>
        <v>1</v>
      </c>
      <c r="M252" s="8" t="b">
        <f t="shared" si="18"/>
        <v>1</v>
      </c>
      <c r="N252" s="1" t="b">
        <f t="shared" si="19"/>
        <v>1</v>
      </c>
      <c r="O252" s="8" t="str">
        <f>IF(F252="","",IF($F$2=入力リスト!$H$25,ROUNDDOWN(INT(F252)+ROUNDDOWN((F252-INT(F252))*100,0)/60,2),F252))</f>
        <v/>
      </c>
      <c r="P252" s="7"/>
      <c r="Q252" s="7"/>
    </row>
    <row r="253" spans="1:17">
      <c r="A253" s="105"/>
      <c r="B253" s="2"/>
      <c r="C253" s="254"/>
      <c r="D253" s="254"/>
      <c r="E253" s="254"/>
      <c r="F253" s="255"/>
      <c r="G253" s="215" t="str">
        <f>IF(AND($B253="",OR(B253&lt;&gt;"",C253&lt;&gt;"",D253&lt;&gt;"",E253&lt;&gt;"",F253&lt;&gt;"")),入力リスト!$K$34,IF($I253=TRUE,入力リスト!$K$35,IF(J253=FALSE,"「毎月の固定給与額」","")&amp;IF(AND(J253=FALSE,OR(K253=FALSE,L253=FALSE,M253=FALSE)),",","")&amp;IF(K253=FALSE,"「賞与額等」","")&amp;IF(AND(K253=FALSE,OR(L253=FALSE,M253=FALSE)),",","")&amp;IF(L253=FALSE,"「残業手当」","")&amp;IF(AND(L253=FALSE,M253=FALSE),",","")&amp;IF(M253=FALSE,"「残業時間」","")&amp;IF(OR(J253=FALSE,K253=FALSE,L253=FALSE,M253=FALSE),入力リスト!$K$36,"")&amp;IF(N253,"",入力リスト!$K$37)))</f>
        <v/>
      </c>
      <c r="H253" s="215"/>
      <c r="I253" s="1" t="b">
        <f>IF(B253="",FALSE,COUNTIF('従業員情報(給与以外)'!$A$4:$A$1000000,$B253)=0)</f>
        <v>0</v>
      </c>
      <c r="J253" s="8" t="b">
        <f t="shared" si="15"/>
        <v>1</v>
      </c>
      <c r="K253" s="8" t="b">
        <f t="shared" si="16"/>
        <v>1</v>
      </c>
      <c r="L253" s="8" t="b">
        <f t="shared" si="17"/>
        <v>1</v>
      </c>
      <c r="M253" s="8" t="b">
        <f t="shared" si="18"/>
        <v>1</v>
      </c>
      <c r="N253" s="1" t="b">
        <f t="shared" si="19"/>
        <v>1</v>
      </c>
      <c r="O253" s="8" t="str">
        <f>IF(F253="","",IF($F$2=入力リスト!$H$25,ROUNDDOWN(INT(F253)+ROUNDDOWN((F253-INT(F253))*100,0)/60,2),F253))</f>
        <v/>
      </c>
      <c r="P253" s="7"/>
      <c r="Q253" s="7"/>
    </row>
    <row r="254" spans="1:17">
      <c r="A254" s="105"/>
      <c r="B254" s="2"/>
      <c r="C254" s="254"/>
      <c r="D254" s="254"/>
      <c r="E254" s="254"/>
      <c r="F254" s="255"/>
      <c r="G254" s="215" t="str">
        <f>IF(AND($B254="",OR(B254&lt;&gt;"",C254&lt;&gt;"",D254&lt;&gt;"",E254&lt;&gt;"",F254&lt;&gt;"")),入力リスト!$K$34,IF($I254=TRUE,入力リスト!$K$35,IF(J254=FALSE,"「毎月の固定給与額」","")&amp;IF(AND(J254=FALSE,OR(K254=FALSE,L254=FALSE,M254=FALSE)),",","")&amp;IF(K254=FALSE,"「賞与額等」","")&amp;IF(AND(K254=FALSE,OR(L254=FALSE,M254=FALSE)),",","")&amp;IF(L254=FALSE,"「残業手当」","")&amp;IF(AND(L254=FALSE,M254=FALSE),",","")&amp;IF(M254=FALSE,"「残業時間」","")&amp;IF(OR(J254=FALSE,K254=FALSE,L254=FALSE,M254=FALSE),入力リスト!$K$36,"")&amp;IF(N254,"",入力リスト!$K$37)))</f>
        <v/>
      </c>
      <c r="H254" s="215"/>
      <c r="I254" s="1" t="b">
        <f>IF(B254="",FALSE,COUNTIF('従業員情報(給与以外)'!$A$4:$A$1000000,$B254)=0)</f>
        <v>0</v>
      </c>
      <c r="J254" s="8" t="b">
        <f t="shared" si="15"/>
        <v>1</v>
      </c>
      <c r="K254" s="8" t="b">
        <f t="shared" si="16"/>
        <v>1</v>
      </c>
      <c r="L254" s="8" t="b">
        <f t="shared" si="17"/>
        <v>1</v>
      </c>
      <c r="M254" s="8" t="b">
        <f t="shared" si="18"/>
        <v>1</v>
      </c>
      <c r="N254" s="1" t="b">
        <f t="shared" si="19"/>
        <v>1</v>
      </c>
      <c r="O254" s="8" t="str">
        <f>IF(F254="","",IF($F$2=入力リスト!$H$25,ROUNDDOWN(INT(F254)+ROUNDDOWN((F254-INT(F254))*100,0)/60,2),F254))</f>
        <v/>
      </c>
      <c r="P254" s="7"/>
      <c r="Q254" s="7"/>
    </row>
    <row r="255" spans="1:17">
      <c r="A255" s="105"/>
      <c r="B255" s="2"/>
      <c r="C255" s="254"/>
      <c r="D255" s="254"/>
      <c r="E255" s="254"/>
      <c r="F255" s="255"/>
      <c r="G255" s="215" t="str">
        <f>IF(AND($B255="",OR(B255&lt;&gt;"",C255&lt;&gt;"",D255&lt;&gt;"",E255&lt;&gt;"",F255&lt;&gt;"")),入力リスト!$K$34,IF($I255=TRUE,入力リスト!$K$35,IF(J255=FALSE,"「毎月の固定給与額」","")&amp;IF(AND(J255=FALSE,OR(K255=FALSE,L255=FALSE,M255=FALSE)),",","")&amp;IF(K255=FALSE,"「賞与額等」","")&amp;IF(AND(K255=FALSE,OR(L255=FALSE,M255=FALSE)),",","")&amp;IF(L255=FALSE,"「残業手当」","")&amp;IF(AND(L255=FALSE,M255=FALSE),",","")&amp;IF(M255=FALSE,"「残業時間」","")&amp;IF(OR(J255=FALSE,K255=FALSE,L255=FALSE,M255=FALSE),入力リスト!$K$36,"")&amp;IF(N255,"",入力リスト!$K$37)))</f>
        <v/>
      </c>
      <c r="H255" s="215"/>
      <c r="I255" s="1" t="b">
        <f>IF(B255="",FALSE,COUNTIF('従業員情報(給与以外)'!$A$4:$A$1000000,$B255)=0)</f>
        <v>0</v>
      </c>
      <c r="J255" s="8" t="b">
        <f t="shared" si="15"/>
        <v>1</v>
      </c>
      <c r="K255" s="8" t="b">
        <f t="shared" si="16"/>
        <v>1</v>
      </c>
      <c r="L255" s="8" t="b">
        <f t="shared" si="17"/>
        <v>1</v>
      </c>
      <c r="M255" s="8" t="b">
        <f t="shared" si="18"/>
        <v>1</v>
      </c>
      <c r="N255" s="1" t="b">
        <f t="shared" si="19"/>
        <v>1</v>
      </c>
      <c r="O255" s="8" t="str">
        <f>IF(F255="","",IF($F$2=入力リスト!$H$25,ROUNDDOWN(INT(F255)+ROUNDDOWN((F255-INT(F255))*100,0)/60,2),F255))</f>
        <v/>
      </c>
      <c r="P255" s="7"/>
      <c r="Q255" s="7"/>
    </row>
    <row r="256" spans="1:17">
      <c r="A256" s="105"/>
      <c r="B256" s="2"/>
      <c r="C256" s="254"/>
      <c r="D256" s="254"/>
      <c r="E256" s="254"/>
      <c r="F256" s="255"/>
      <c r="G256" s="215" t="str">
        <f>IF(AND($B256="",OR(B256&lt;&gt;"",C256&lt;&gt;"",D256&lt;&gt;"",E256&lt;&gt;"",F256&lt;&gt;"")),入力リスト!$K$34,IF($I256=TRUE,入力リスト!$K$35,IF(J256=FALSE,"「毎月の固定給与額」","")&amp;IF(AND(J256=FALSE,OR(K256=FALSE,L256=FALSE,M256=FALSE)),",","")&amp;IF(K256=FALSE,"「賞与額等」","")&amp;IF(AND(K256=FALSE,OR(L256=FALSE,M256=FALSE)),",","")&amp;IF(L256=FALSE,"「残業手当」","")&amp;IF(AND(L256=FALSE,M256=FALSE),",","")&amp;IF(M256=FALSE,"「残業時間」","")&amp;IF(OR(J256=FALSE,K256=FALSE,L256=FALSE,M256=FALSE),入力リスト!$K$36,"")&amp;IF(N256,"",入力リスト!$K$37)))</f>
        <v/>
      </c>
      <c r="H256" s="215"/>
      <c r="I256" s="1" t="b">
        <f>IF(B256="",FALSE,COUNTIF('従業員情報(給与以外)'!$A$4:$A$1000000,$B256)=0)</f>
        <v>0</v>
      </c>
      <c r="J256" s="8" t="b">
        <f t="shared" si="15"/>
        <v>1</v>
      </c>
      <c r="K256" s="8" t="b">
        <f t="shared" si="16"/>
        <v>1</v>
      </c>
      <c r="L256" s="8" t="b">
        <f t="shared" si="17"/>
        <v>1</v>
      </c>
      <c r="M256" s="8" t="b">
        <f t="shared" si="18"/>
        <v>1</v>
      </c>
      <c r="N256" s="1" t="b">
        <f t="shared" si="19"/>
        <v>1</v>
      </c>
      <c r="O256" s="8" t="str">
        <f>IF(F256="","",IF($F$2=入力リスト!$H$25,ROUNDDOWN(INT(F256)+ROUNDDOWN((F256-INT(F256))*100,0)/60,2),F256))</f>
        <v/>
      </c>
      <c r="P256" s="7"/>
      <c r="Q256" s="7"/>
    </row>
    <row r="257" spans="1:17">
      <c r="A257" s="105"/>
      <c r="B257" s="2"/>
      <c r="C257" s="254"/>
      <c r="D257" s="254"/>
      <c r="E257" s="254"/>
      <c r="F257" s="255"/>
      <c r="G257" s="215" t="str">
        <f>IF(AND($B257="",OR(B257&lt;&gt;"",C257&lt;&gt;"",D257&lt;&gt;"",E257&lt;&gt;"",F257&lt;&gt;"")),入力リスト!$K$34,IF($I257=TRUE,入力リスト!$K$35,IF(J257=FALSE,"「毎月の固定給与額」","")&amp;IF(AND(J257=FALSE,OR(K257=FALSE,L257=FALSE,M257=FALSE)),",","")&amp;IF(K257=FALSE,"「賞与額等」","")&amp;IF(AND(K257=FALSE,OR(L257=FALSE,M257=FALSE)),",","")&amp;IF(L257=FALSE,"「残業手当」","")&amp;IF(AND(L257=FALSE,M257=FALSE),",","")&amp;IF(M257=FALSE,"「残業時間」","")&amp;IF(OR(J257=FALSE,K257=FALSE,L257=FALSE,M257=FALSE),入力リスト!$K$36,"")&amp;IF(N257,"",入力リスト!$K$37)))</f>
        <v/>
      </c>
      <c r="H257" s="215"/>
      <c r="I257" s="1" t="b">
        <f>IF(B257="",FALSE,COUNTIF('従業員情報(給与以外)'!$A$4:$A$1000000,$B257)=0)</f>
        <v>0</v>
      </c>
      <c r="J257" s="8" t="b">
        <f t="shared" si="15"/>
        <v>1</v>
      </c>
      <c r="K257" s="8" t="b">
        <f t="shared" si="16"/>
        <v>1</v>
      </c>
      <c r="L257" s="8" t="b">
        <f t="shared" si="17"/>
        <v>1</v>
      </c>
      <c r="M257" s="8" t="b">
        <f t="shared" si="18"/>
        <v>1</v>
      </c>
      <c r="N257" s="1" t="b">
        <f t="shared" si="19"/>
        <v>1</v>
      </c>
      <c r="O257" s="8" t="str">
        <f>IF(F257="","",IF($F$2=入力リスト!$H$25,ROUNDDOWN(INT(F257)+ROUNDDOWN((F257-INT(F257))*100,0)/60,2),F257))</f>
        <v/>
      </c>
      <c r="P257" s="7"/>
      <c r="Q257" s="7"/>
    </row>
    <row r="258" spans="1:17">
      <c r="A258" s="105"/>
      <c r="B258" s="2"/>
      <c r="C258" s="254"/>
      <c r="D258" s="254"/>
      <c r="E258" s="254"/>
      <c r="F258" s="255"/>
      <c r="G258" s="215" t="str">
        <f>IF(AND($B258="",OR(B258&lt;&gt;"",C258&lt;&gt;"",D258&lt;&gt;"",E258&lt;&gt;"",F258&lt;&gt;"")),入力リスト!$K$34,IF($I258=TRUE,入力リスト!$K$35,IF(J258=FALSE,"「毎月の固定給与額」","")&amp;IF(AND(J258=FALSE,OR(K258=FALSE,L258=FALSE,M258=FALSE)),",","")&amp;IF(K258=FALSE,"「賞与額等」","")&amp;IF(AND(K258=FALSE,OR(L258=FALSE,M258=FALSE)),",","")&amp;IF(L258=FALSE,"「残業手当」","")&amp;IF(AND(L258=FALSE,M258=FALSE),",","")&amp;IF(M258=FALSE,"「残業時間」","")&amp;IF(OR(J258=FALSE,K258=FALSE,L258=FALSE,M258=FALSE),入力リスト!$K$36,"")&amp;IF(N258,"",入力リスト!$K$37)))</f>
        <v/>
      </c>
      <c r="H258" s="215"/>
      <c r="I258" s="1" t="b">
        <f>IF(B258="",FALSE,COUNTIF('従業員情報(給与以外)'!$A$4:$A$1000000,$B258)=0)</f>
        <v>0</v>
      </c>
      <c r="J258" s="8" t="b">
        <f t="shared" si="15"/>
        <v>1</v>
      </c>
      <c r="K258" s="8" t="b">
        <f t="shared" si="16"/>
        <v>1</v>
      </c>
      <c r="L258" s="8" t="b">
        <f t="shared" si="17"/>
        <v>1</v>
      </c>
      <c r="M258" s="8" t="b">
        <f t="shared" si="18"/>
        <v>1</v>
      </c>
      <c r="N258" s="1" t="b">
        <f t="shared" si="19"/>
        <v>1</v>
      </c>
      <c r="O258" s="8" t="str">
        <f>IF(F258="","",IF($F$2=入力リスト!$H$25,ROUNDDOWN(INT(F258)+ROUNDDOWN((F258-INT(F258))*100,0)/60,2),F258))</f>
        <v/>
      </c>
      <c r="P258" s="7"/>
      <c r="Q258" s="7"/>
    </row>
    <row r="259" spans="1:17">
      <c r="A259" s="105"/>
      <c r="B259" s="2"/>
      <c r="C259" s="254"/>
      <c r="D259" s="254"/>
      <c r="E259" s="254"/>
      <c r="F259" s="255"/>
      <c r="G259" s="215" t="str">
        <f>IF(AND($B259="",OR(B259&lt;&gt;"",C259&lt;&gt;"",D259&lt;&gt;"",E259&lt;&gt;"",F259&lt;&gt;"")),入力リスト!$K$34,IF($I259=TRUE,入力リスト!$K$35,IF(J259=FALSE,"「毎月の固定給与額」","")&amp;IF(AND(J259=FALSE,OR(K259=FALSE,L259=FALSE,M259=FALSE)),",","")&amp;IF(K259=FALSE,"「賞与額等」","")&amp;IF(AND(K259=FALSE,OR(L259=FALSE,M259=FALSE)),",","")&amp;IF(L259=FALSE,"「残業手当」","")&amp;IF(AND(L259=FALSE,M259=FALSE),",","")&amp;IF(M259=FALSE,"「残業時間」","")&amp;IF(OR(J259=FALSE,K259=FALSE,L259=FALSE,M259=FALSE),入力リスト!$K$36,"")&amp;IF(N259,"",入力リスト!$K$37)))</f>
        <v/>
      </c>
      <c r="H259" s="215"/>
      <c r="I259" s="1" t="b">
        <f>IF(B259="",FALSE,COUNTIF('従業員情報(給与以外)'!$A$4:$A$1000000,$B259)=0)</f>
        <v>0</v>
      </c>
      <c r="J259" s="8" t="b">
        <f t="shared" si="15"/>
        <v>1</v>
      </c>
      <c r="K259" s="8" t="b">
        <f t="shared" si="16"/>
        <v>1</v>
      </c>
      <c r="L259" s="8" t="b">
        <f t="shared" si="17"/>
        <v>1</v>
      </c>
      <c r="M259" s="8" t="b">
        <f t="shared" si="18"/>
        <v>1</v>
      </c>
      <c r="N259" s="1" t="b">
        <f t="shared" si="19"/>
        <v>1</v>
      </c>
      <c r="O259" s="8" t="str">
        <f>IF(F259="","",IF($F$2=入力リスト!$H$25,ROUNDDOWN(INT(F259)+ROUNDDOWN((F259-INT(F259))*100,0)/60,2),F259))</f>
        <v/>
      </c>
      <c r="P259" s="7"/>
      <c r="Q259" s="7"/>
    </row>
    <row r="260" spans="1:17">
      <c r="A260" s="105"/>
      <c r="B260" s="2"/>
      <c r="C260" s="254"/>
      <c r="D260" s="254"/>
      <c r="E260" s="254"/>
      <c r="F260" s="255"/>
      <c r="G260" s="215" t="str">
        <f>IF(AND($B260="",OR(B260&lt;&gt;"",C260&lt;&gt;"",D260&lt;&gt;"",E260&lt;&gt;"",F260&lt;&gt;"")),入力リスト!$K$34,IF($I260=TRUE,入力リスト!$K$35,IF(J260=FALSE,"「毎月の固定給与額」","")&amp;IF(AND(J260=FALSE,OR(K260=FALSE,L260=FALSE,M260=FALSE)),",","")&amp;IF(K260=FALSE,"「賞与額等」","")&amp;IF(AND(K260=FALSE,OR(L260=FALSE,M260=FALSE)),",","")&amp;IF(L260=FALSE,"「残業手当」","")&amp;IF(AND(L260=FALSE,M260=FALSE),",","")&amp;IF(M260=FALSE,"「残業時間」","")&amp;IF(OR(J260=FALSE,K260=FALSE,L260=FALSE,M260=FALSE),入力リスト!$K$36,"")&amp;IF(N260,"",入力リスト!$K$37)))</f>
        <v/>
      </c>
      <c r="H260" s="215"/>
      <c r="I260" s="1" t="b">
        <f>IF(B260="",FALSE,COUNTIF('従業員情報(給与以外)'!$A$4:$A$1000000,$B260)=0)</f>
        <v>0</v>
      </c>
      <c r="J260" s="8" t="b">
        <f t="shared" si="15"/>
        <v>1</v>
      </c>
      <c r="K260" s="8" t="b">
        <f t="shared" si="16"/>
        <v>1</v>
      </c>
      <c r="L260" s="8" t="b">
        <f t="shared" si="17"/>
        <v>1</v>
      </c>
      <c r="M260" s="8" t="b">
        <f t="shared" si="18"/>
        <v>1</v>
      </c>
      <c r="N260" s="1" t="b">
        <f t="shared" si="19"/>
        <v>1</v>
      </c>
      <c r="O260" s="8" t="str">
        <f>IF(F260="","",IF($F$2=入力リスト!$H$25,ROUNDDOWN(INT(F260)+ROUNDDOWN((F260-INT(F260))*100,0)/60,2),F260))</f>
        <v/>
      </c>
      <c r="P260" s="7"/>
      <c r="Q260" s="7"/>
    </row>
    <row r="261" spans="1:17">
      <c r="A261" s="105"/>
      <c r="B261" s="2"/>
      <c r="C261" s="254"/>
      <c r="D261" s="254"/>
      <c r="E261" s="254"/>
      <c r="F261" s="255"/>
      <c r="G261" s="215" t="str">
        <f>IF(AND($B261="",OR(B261&lt;&gt;"",C261&lt;&gt;"",D261&lt;&gt;"",E261&lt;&gt;"",F261&lt;&gt;"")),入力リスト!$K$34,IF($I261=TRUE,入力リスト!$K$35,IF(J261=FALSE,"「毎月の固定給与額」","")&amp;IF(AND(J261=FALSE,OR(K261=FALSE,L261=FALSE,M261=FALSE)),",","")&amp;IF(K261=FALSE,"「賞与額等」","")&amp;IF(AND(K261=FALSE,OR(L261=FALSE,M261=FALSE)),",","")&amp;IF(L261=FALSE,"「残業手当」","")&amp;IF(AND(L261=FALSE,M261=FALSE),",","")&amp;IF(M261=FALSE,"「残業時間」","")&amp;IF(OR(J261=FALSE,K261=FALSE,L261=FALSE,M261=FALSE),入力リスト!$K$36,"")&amp;IF(N261,"",入力リスト!$K$37)))</f>
        <v/>
      </c>
      <c r="H261" s="215"/>
      <c r="I261" s="1" t="b">
        <f>IF(B261="",FALSE,COUNTIF('従業員情報(給与以外)'!$A$4:$A$1000000,$B261)=0)</f>
        <v>0</v>
      </c>
      <c r="J261" s="8" t="b">
        <f t="shared" ref="J261:J324" si="20">OR(C261="",ISNUMBER(C261))</f>
        <v>1</v>
      </c>
      <c r="K261" s="8" t="b">
        <f t="shared" ref="K261:K324" si="21">OR(D261="",ISNUMBER(D261))</f>
        <v>1</v>
      </c>
      <c r="L261" s="8" t="b">
        <f t="shared" ref="L261:L324" si="22">OR(E261="",ISNUMBER(E261))</f>
        <v>1</v>
      </c>
      <c r="M261" s="8" t="b">
        <f t="shared" ref="M261:M324" si="23">OR(F261="",ISNUMBER(F261))</f>
        <v>1</v>
      </c>
      <c r="N261" s="1" t="b">
        <f t="shared" ref="N261:N324" si="24">IF($N$1,TRUE,IF($N$2,IF(F261-INT(F261)&lt;0.6,TRUE,FALSE),TRUE))</f>
        <v>1</v>
      </c>
      <c r="O261" s="8" t="str">
        <f>IF(F261="","",IF($F$2=入力リスト!$H$25,ROUNDDOWN(INT(F261)+ROUNDDOWN((F261-INT(F261))*100,0)/60,2),F261))</f>
        <v/>
      </c>
      <c r="P261" s="7"/>
      <c r="Q261" s="7"/>
    </row>
    <row r="262" spans="1:17">
      <c r="A262" s="105"/>
      <c r="B262" s="2"/>
      <c r="C262" s="254"/>
      <c r="D262" s="254"/>
      <c r="E262" s="254"/>
      <c r="F262" s="255"/>
      <c r="G262" s="215" t="str">
        <f>IF(AND($B262="",OR(B262&lt;&gt;"",C262&lt;&gt;"",D262&lt;&gt;"",E262&lt;&gt;"",F262&lt;&gt;"")),入力リスト!$K$34,IF($I262=TRUE,入力リスト!$K$35,IF(J262=FALSE,"「毎月の固定給与額」","")&amp;IF(AND(J262=FALSE,OR(K262=FALSE,L262=FALSE,M262=FALSE)),",","")&amp;IF(K262=FALSE,"「賞与額等」","")&amp;IF(AND(K262=FALSE,OR(L262=FALSE,M262=FALSE)),",","")&amp;IF(L262=FALSE,"「残業手当」","")&amp;IF(AND(L262=FALSE,M262=FALSE),",","")&amp;IF(M262=FALSE,"「残業時間」","")&amp;IF(OR(J262=FALSE,K262=FALSE,L262=FALSE,M262=FALSE),入力リスト!$K$36,"")&amp;IF(N262,"",入力リスト!$K$37)))</f>
        <v/>
      </c>
      <c r="H262" s="215"/>
      <c r="I262" s="1" t="b">
        <f>IF(B262="",FALSE,COUNTIF('従業員情報(給与以外)'!$A$4:$A$1000000,$B262)=0)</f>
        <v>0</v>
      </c>
      <c r="J262" s="8" t="b">
        <f t="shared" si="20"/>
        <v>1</v>
      </c>
      <c r="K262" s="8" t="b">
        <f t="shared" si="21"/>
        <v>1</v>
      </c>
      <c r="L262" s="8" t="b">
        <f t="shared" si="22"/>
        <v>1</v>
      </c>
      <c r="M262" s="8" t="b">
        <f t="shared" si="23"/>
        <v>1</v>
      </c>
      <c r="N262" s="1" t="b">
        <f t="shared" si="24"/>
        <v>1</v>
      </c>
      <c r="O262" s="8" t="str">
        <f>IF(F262="","",IF($F$2=入力リスト!$H$25,ROUNDDOWN(INT(F262)+ROUNDDOWN((F262-INT(F262))*100,0)/60,2),F262))</f>
        <v/>
      </c>
      <c r="P262" s="7"/>
      <c r="Q262" s="7"/>
    </row>
    <row r="263" spans="1:17">
      <c r="A263" s="105"/>
      <c r="B263" s="2"/>
      <c r="C263" s="254"/>
      <c r="D263" s="254"/>
      <c r="E263" s="254"/>
      <c r="F263" s="255"/>
      <c r="G263" s="215" t="str">
        <f>IF(AND($B263="",OR(B263&lt;&gt;"",C263&lt;&gt;"",D263&lt;&gt;"",E263&lt;&gt;"",F263&lt;&gt;"")),入力リスト!$K$34,IF($I263=TRUE,入力リスト!$K$35,IF(J263=FALSE,"「毎月の固定給与額」","")&amp;IF(AND(J263=FALSE,OR(K263=FALSE,L263=FALSE,M263=FALSE)),",","")&amp;IF(K263=FALSE,"「賞与額等」","")&amp;IF(AND(K263=FALSE,OR(L263=FALSE,M263=FALSE)),",","")&amp;IF(L263=FALSE,"「残業手当」","")&amp;IF(AND(L263=FALSE,M263=FALSE),",","")&amp;IF(M263=FALSE,"「残業時間」","")&amp;IF(OR(J263=FALSE,K263=FALSE,L263=FALSE,M263=FALSE),入力リスト!$K$36,"")&amp;IF(N263,"",入力リスト!$K$37)))</f>
        <v/>
      </c>
      <c r="H263" s="215"/>
      <c r="I263" s="1" t="b">
        <f>IF(B263="",FALSE,COUNTIF('従業員情報(給与以外)'!$A$4:$A$1000000,$B263)=0)</f>
        <v>0</v>
      </c>
      <c r="J263" s="8" t="b">
        <f t="shared" si="20"/>
        <v>1</v>
      </c>
      <c r="K263" s="8" t="b">
        <f t="shared" si="21"/>
        <v>1</v>
      </c>
      <c r="L263" s="8" t="b">
        <f t="shared" si="22"/>
        <v>1</v>
      </c>
      <c r="M263" s="8" t="b">
        <f t="shared" si="23"/>
        <v>1</v>
      </c>
      <c r="N263" s="1" t="b">
        <f t="shared" si="24"/>
        <v>1</v>
      </c>
      <c r="O263" s="8" t="str">
        <f>IF(F263="","",IF($F$2=入力リスト!$H$25,ROUNDDOWN(INT(F263)+ROUNDDOWN((F263-INT(F263))*100,0)/60,2),F263))</f>
        <v/>
      </c>
      <c r="P263" s="7"/>
      <c r="Q263" s="7"/>
    </row>
    <row r="264" spans="1:17">
      <c r="A264" s="105"/>
      <c r="B264" s="2"/>
      <c r="C264" s="254"/>
      <c r="D264" s="254"/>
      <c r="E264" s="254"/>
      <c r="F264" s="255"/>
      <c r="G264" s="215" t="str">
        <f>IF(AND($B264="",OR(B264&lt;&gt;"",C264&lt;&gt;"",D264&lt;&gt;"",E264&lt;&gt;"",F264&lt;&gt;"")),入力リスト!$K$34,IF($I264=TRUE,入力リスト!$K$35,IF(J264=FALSE,"「毎月の固定給与額」","")&amp;IF(AND(J264=FALSE,OR(K264=FALSE,L264=FALSE,M264=FALSE)),",","")&amp;IF(K264=FALSE,"「賞与額等」","")&amp;IF(AND(K264=FALSE,OR(L264=FALSE,M264=FALSE)),",","")&amp;IF(L264=FALSE,"「残業手当」","")&amp;IF(AND(L264=FALSE,M264=FALSE),",","")&amp;IF(M264=FALSE,"「残業時間」","")&amp;IF(OR(J264=FALSE,K264=FALSE,L264=FALSE,M264=FALSE),入力リスト!$K$36,"")&amp;IF(N264,"",入力リスト!$K$37)))</f>
        <v/>
      </c>
      <c r="H264" s="215"/>
      <c r="I264" s="1" t="b">
        <f>IF(B264="",FALSE,COUNTIF('従業員情報(給与以外)'!$A$4:$A$1000000,$B264)=0)</f>
        <v>0</v>
      </c>
      <c r="J264" s="8" t="b">
        <f t="shared" si="20"/>
        <v>1</v>
      </c>
      <c r="K264" s="8" t="b">
        <f t="shared" si="21"/>
        <v>1</v>
      </c>
      <c r="L264" s="8" t="b">
        <f t="shared" si="22"/>
        <v>1</v>
      </c>
      <c r="M264" s="8" t="b">
        <f t="shared" si="23"/>
        <v>1</v>
      </c>
      <c r="N264" s="1" t="b">
        <f t="shared" si="24"/>
        <v>1</v>
      </c>
      <c r="O264" s="8" t="str">
        <f>IF(F264="","",IF($F$2=入力リスト!$H$25,ROUNDDOWN(INT(F264)+ROUNDDOWN((F264-INT(F264))*100,0)/60,2),F264))</f>
        <v/>
      </c>
      <c r="P264" s="7"/>
      <c r="Q264" s="7"/>
    </row>
    <row r="265" spans="1:17">
      <c r="A265" s="105"/>
      <c r="B265" s="2"/>
      <c r="C265" s="254"/>
      <c r="D265" s="254"/>
      <c r="E265" s="254"/>
      <c r="F265" s="255"/>
      <c r="G265" s="215" t="str">
        <f>IF(AND($B265="",OR(B265&lt;&gt;"",C265&lt;&gt;"",D265&lt;&gt;"",E265&lt;&gt;"",F265&lt;&gt;"")),入力リスト!$K$34,IF($I265=TRUE,入力リスト!$K$35,IF(J265=FALSE,"「毎月の固定給与額」","")&amp;IF(AND(J265=FALSE,OR(K265=FALSE,L265=FALSE,M265=FALSE)),",","")&amp;IF(K265=FALSE,"「賞与額等」","")&amp;IF(AND(K265=FALSE,OR(L265=FALSE,M265=FALSE)),",","")&amp;IF(L265=FALSE,"「残業手当」","")&amp;IF(AND(L265=FALSE,M265=FALSE),",","")&amp;IF(M265=FALSE,"「残業時間」","")&amp;IF(OR(J265=FALSE,K265=FALSE,L265=FALSE,M265=FALSE),入力リスト!$K$36,"")&amp;IF(N265,"",入力リスト!$K$37)))</f>
        <v/>
      </c>
      <c r="H265" s="215"/>
      <c r="I265" s="1" t="b">
        <f>IF(B265="",FALSE,COUNTIF('従業員情報(給与以外)'!$A$4:$A$1000000,$B265)=0)</f>
        <v>0</v>
      </c>
      <c r="J265" s="8" t="b">
        <f t="shared" si="20"/>
        <v>1</v>
      </c>
      <c r="K265" s="8" t="b">
        <f t="shared" si="21"/>
        <v>1</v>
      </c>
      <c r="L265" s="8" t="b">
        <f t="shared" si="22"/>
        <v>1</v>
      </c>
      <c r="M265" s="8" t="b">
        <f t="shared" si="23"/>
        <v>1</v>
      </c>
      <c r="N265" s="1" t="b">
        <f t="shared" si="24"/>
        <v>1</v>
      </c>
      <c r="O265" s="8" t="str">
        <f>IF(F265="","",IF($F$2=入力リスト!$H$25,ROUNDDOWN(INT(F265)+ROUNDDOWN((F265-INT(F265))*100,0)/60,2),F265))</f>
        <v/>
      </c>
      <c r="P265" s="7"/>
      <c r="Q265" s="7"/>
    </row>
    <row r="266" spans="1:17">
      <c r="A266" s="105"/>
      <c r="B266" s="2"/>
      <c r="C266" s="254"/>
      <c r="D266" s="254"/>
      <c r="E266" s="254"/>
      <c r="F266" s="255"/>
      <c r="G266" s="215" t="str">
        <f>IF(AND($B266="",OR(B266&lt;&gt;"",C266&lt;&gt;"",D266&lt;&gt;"",E266&lt;&gt;"",F266&lt;&gt;"")),入力リスト!$K$34,IF($I266=TRUE,入力リスト!$K$35,IF(J266=FALSE,"「毎月の固定給与額」","")&amp;IF(AND(J266=FALSE,OR(K266=FALSE,L266=FALSE,M266=FALSE)),",","")&amp;IF(K266=FALSE,"「賞与額等」","")&amp;IF(AND(K266=FALSE,OR(L266=FALSE,M266=FALSE)),",","")&amp;IF(L266=FALSE,"「残業手当」","")&amp;IF(AND(L266=FALSE,M266=FALSE),",","")&amp;IF(M266=FALSE,"「残業時間」","")&amp;IF(OR(J266=FALSE,K266=FALSE,L266=FALSE,M266=FALSE),入力リスト!$K$36,"")&amp;IF(N266,"",入力リスト!$K$37)))</f>
        <v/>
      </c>
      <c r="H266" s="215"/>
      <c r="I266" s="1" t="b">
        <f>IF(B266="",FALSE,COUNTIF('従業員情報(給与以外)'!$A$4:$A$1000000,$B266)=0)</f>
        <v>0</v>
      </c>
      <c r="J266" s="8" t="b">
        <f t="shared" si="20"/>
        <v>1</v>
      </c>
      <c r="K266" s="8" t="b">
        <f t="shared" si="21"/>
        <v>1</v>
      </c>
      <c r="L266" s="8" t="b">
        <f t="shared" si="22"/>
        <v>1</v>
      </c>
      <c r="M266" s="8" t="b">
        <f t="shared" si="23"/>
        <v>1</v>
      </c>
      <c r="N266" s="1" t="b">
        <f t="shared" si="24"/>
        <v>1</v>
      </c>
      <c r="O266" s="8" t="str">
        <f>IF(F266="","",IF($F$2=入力リスト!$H$25,ROUNDDOWN(INT(F266)+ROUNDDOWN((F266-INT(F266))*100,0)/60,2),F266))</f>
        <v/>
      </c>
      <c r="P266" s="7"/>
      <c r="Q266" s="7"/>
    </row>
    <row r="267" spans="1:17">
      <c r="A267" s="105"/>
      <c r="B267" s="2"/>
      <c r="C267" s="254"/>
      <c r="D267" s="254"/>
      <c r="E267" s="254"/>
      <c r="F267" s="255"/>
      <c r="G267" s="215" t="str">
        <f>IF(AND($B267="",OR(B267&lt;&gt;"",C267&lt;&gt;"",D267&lt;&gt;"",E267&lt;&gt;"",F267&lt;&gt;"")),入力リスト!$K$34,IF($I267=TRUE,入力リスト!$K$35,IF(J267=FALSE,"「毎月の固定給与額」","")&amp;IF(AND(J267=FALSE,OR(K267=FALSE,L267=FALSE,M267=FALSE)),",","")&amp;IF(K267=FALSE,"「賞与額等」","")&amp;IF(AND(K267=FALSE,OR(L267=FALSE,M267=FALSE)),",","")&amp;IF(L267=FALSE,"「残業手当」","")&amp;IF(AND(L267=FALSE,M267=FALSE),",","")&amp;IF(M267=FALSE,"「残業時間」","")&amp;IF(OR(J267=FALSE,K267=FALSE,L267=FALSE,M267=FALSE),入力リスト!$K$36,"")&amp;IF(N267,"",入力リスト!$K$37)))</f>
        <v/>
      </c>
      <c r="H267" s="215"/>
      <c r="I267" s="1" t="b">
        <f>IF(B267="",FALSE,COUNTIF('従業員情報(給与以外)'!$A$4:$A$1000000,$B267)=0)</f>
        <v>0</v>
      </c>
      <c r="J267" s="8" t="b">
        <f t="shared" si="20"/>
        <v>1</v>
      </c>
      <c r="K267" s="8" t="b">
        <f t="shared" si="21"/>
        <v>1</v>
      </c>
      <c r="L267" s="8" t="b">
        <f t="shared" si="22"/>
        <v>1</v>
      </c>
      <c r="M267" s="8" t="b">
        <f t="shared" si="23"/>
        <v>1</v>
      </c>
      <c r="N267" s="1" t="b">
        <f t="shared" si="24"/>
        <v>1</v>
      </c>
      <c r="O267" s="8" t="str">
        <f>IF(F267="","",IF($F$2=入力リスト!$H$25,ROUNDDOWN(INT(F267)+ROUNDDOWN((F267-INT(F267))*100,0)/60,2),F267))</f>
        <v/>
      </c>
      <c r="P267" s="7"/>
      <c r="Q267" s="7"/>
    </row>
    <row r="268" spans="1:17">
      <c r="A268" s="105"/>
      <c r="B268" s="2"/>
      <c r="C268" s="254"/>
      <c r="D268" s="254"/>
      <c r="E268" s="254"/>
      <c r="F268" s="255"/>
      <c r="G268" s="215" t="str">
        <f>IF(AND($B268="",OR(B268&lt;&gt;"",C268&lt;&gt;"",D268&lt;&gt;"",E268&lt;&gt;"",F268&lt;&gt;"")),入力リスト!$K$34,IF($I268=TRUE,入力リスト!$K$35,IF(J268=FALSE,"「毎月の固定給与額」","")&amp;IF(AND(J268=FALSE,OR(K268=FALSE,L268=FALSE,M268=FALSE)),",","")&amp;IF(K268=FALSE,"「賞与額等」","")&amp;IF(AND(K268=FALSE,OR(L268=FALSE,M268=FALSE)),",","")&amp;IF(L268=FALSE,"「残業手当」","")&amp;IF(AND(L268=FALSE,M268=FALSE),",","")&amp;IF(M268=FALSE,"「残業時間」","")&amp;IF(OR(J268=FALSE,K268=FALSE,L268=FALSE,M268=FALSE),入力リスト!$K$36,"")&amp;IF(N268,"",入力リスト!$K$37)))</f>
        <v/>
      </c>
      <c r="H268" s="215"/>
      <c r="I268" s="1" t="b">
        <f>IF(B268="",FALSE,COUNTIF('従業員情報(給与以外)'!$A$4:$A$1000000,$B268)=0)</f>
        <v>0</v>
      </c>
      <c r="J268" s="8" t="b">
        <f t="shared" si="20"/>
        <v>1</v>
      </c>
      <c r="K268" s="8" t="b">
        <f t="shared" si="21"/>
        <v>1</v>
      </c>
      <c r="L268" s="8" t="b">
        <f t="shared" si="22"/>
        <v>1</v>
      </c>
      <c r="M268" s="8" t="b">
        <f t="shared" si="23"/>
        <v>1</v>
      </c>
      <c r="N268" s="1" t="b">
        <f t="shared" si="24"/>
        <v>1</v>
      </c>
      <c r="O268" s="8" t="str">
        <f>IF(F268="","",IF($F$2=入力リスト!$H$25,ROUNDDOWN(INT(F268)+ROUNDDOWN((F268-INT(F268))*100,0)/60,2),F268))</f>
        <v/>
      </c>
      <c r="P268" s="7"/>
      <c r="Q268" s="7"/>
    </row>
    <row r="269" spans="1:17">
      <c r="A269" s="105"/>
      <c r="B269" s="2"/>
      <c r="C269" s="254"/>
      <c r="D269" s="254"/>
      <c r="E269" s="254"/>
      <c r="F269" s="255"/>
      <c r="G269" s="215" t="str">
        <f>IF(AND($B269="",OR(B269&lt;&gt;"",C269&lt;&gt;"",D269&lt;&gt;"",E269&lt;&gt;"",F269&lt;&gt;"")),入力リスト!$K$34,IF($I269=TRUE,入力リスト!$K$35,IF(J269=FALSE,"「毎月の固定給与額」","")&amp;IF(AND(J269=FALSE,OR(K269=FALSE,L269=FALSE,M269=FALSE)),",","")&amp;IF(K269=FALSE,"「賞与額等」","")&amp;IF(AND(K269=FALSE,OR(L269=FALSE,M269=FALSE)),",","")&amp;IF(L269=FALSE,"「残業手当」","")&amp;IF(AND(L269=FALSE,M269=FALSE),",","")&amp;IF(M269=FALSE,"「残業時間」","")&amp;IF(OR(J269=FALSE,K269=FALSE,L269=FALSE,M269=FALSE),入力リスト!$K$36,"")&amp;IF(N269,"",入力リスト!$K$37)))</f>
        <v/>
      </c>
      <c r="H269" s="215"/>
      <c r="I269" s="1" t="b">
        <f>IF(B269="",FALSE,COUNTIF('従業員情報(給与以外)'!$A$4:$A$1000000,$B269)=0)</f>
        <v>0</v>
      </c>
      <c r="J269" s="8" t="b">
        <f t="shared" si="20"/>
        <v>1</v>
      </c>
      <c r="K269" s="8" t="b">
        <f t="shared" si="21"/>
        <v>1</v>
      </c>
      <c r="L269" s="8" t="b">
        <f t="shared" si="22"/>
        <v>1</v>
      </c>
      <c r="M269" s="8" t="b">
        <f t="shared" si="23"/>
        <v>1</v>
      </c>
      <c r="N269" s="1" t="b">
        <f t="shared" si="24"/>
        <v>1</v>
      </c>
      <c r="O269" s="8" t="str">
        <f>IF(F269="","",IF($F$2=入力リスト!$H$25,ROUNDDOWN(INT(F269)+ROUNDDOWN((F269-INT(F269))*100,0)/60,2),F269))</f>
        <v/>
      </c>
      <c r="P269" s="7"/>
      <c r="Q269" s="7"/>
    </row>
    <row r="270" spans="1:17">
      <c r="A270" s="105"/>
      <c r="B270" s="2"/>
      <c r="C270" s="254"/>
      <c r="D270" s="254"/>
      <c r="E270" s="254"/>
      <c r="F270" s="255"/>
      <c r="G270" s="215" t="str">
        <f>IF(AND($B270="",OR(B270&lt;&gt;"",C270&lt;&gt;"",D270&lt;&gt;"",E270&lt;&gt;"",F270&lt;&gt;"")),入力リスト!$K$34,IF($I270=TRUE,入力リスト!$K$35,IF(J270=FALSE,"「毎月の固定給与額」","")&amp;IF(AND(J270=FALSE,OR(K270=FALSE,L270=FALSE,M270=FALSE)),",","")&amp;IF(K270=FALSE,"「賞与額等」","")&amp;IF(AND(K270=FALSE,OR(L270=FALSE,M270=FALSE)),",","")&amp;IF(L270=FALSE,"「残業手当」","")&amp;IF(AND(L270=FALSE,M270=FALSE),",","")&amp;IF(M270=FALSE,"「残業時間」","")&amp;IF(OR(J270=FALSE,K270=FALSE,L270=FALSE,M270=FALSE),入力リスト!$K$36,"")&amp;IF(N270,"",入力リスト!$K$37)))</f>
        <v/>
      </c>
      <c r="H270" s="215"/>
      <c r="I270" s="1" t="b">
        <f>IF(B270="",FALSE,COUNTIF('従業員情報(給与以外)'!$A$4:$A$1000000,$B270)=0)</f>
        <v>0</v>
      </c>
      <c r="J270" s="8" t="b">
        <f t="shared" si="20"/>
        <v>1</v>
      </c>
      <c r="K270" s="8" t="b">
        <f t="shared" si="21"/>
        <v>1</v>
      </c>
      <c r="L270" s="8" t="b">
        <f t="shared" si="22"/>
        <v>1</v>
      </c>
      <c r="M270" s="8" t="b">
        <f t="shared" si="23"/>
        <v>1</v>
      </c>
      <c r="N270" s="1" t="b">
        <f t="shared" si="24"/>
        <v>1</v>
      </c>
      <c r="O270" s="8" t="str">
        <f>IF(F270="","",IF($F$2=入力リスト!$H$25,ROUNDDOWN(INT(F270)+ROUNDDOWN((F270-INT(F270))*100,0)/60,2),F270))</f>
        <v/>
      </c>
      <c r="P270" s="7"/>
      <c r="Q270" s="7"/>
    </row>
    <row r="271" spans="1:17">
      <c r="A271" s="105"/>
      <c r="B271" s="2"/>
      <c r="C271" s="254"/>
      <c r="D271" s="254"/>
      <c r="E271" s="254"/>
      <c r="F271" s="255"/>
      <c r="G271" s="215" t="str">
        <f>IF(AND($B271="",OR(B271&lt;&gt;"",C271&lt;&gt;"",D271&lt;&gt;"",E271&lt;&gt;"",F271&lt;&gt;"")),入力リスト!$K$34,IF($I271=TRUE,入力リスト!$K$35,IF(J271=FALSE,"「毎月の固定給与額」","")&amp;IF(AND(J271=FALSE,OR(K271=FALSE,L271=FALSE,M271=FALSE)),",","")&amp;IF(K271=FALSE,"「賞与額等」","")&amp;IF(AND(K271=FALSE,OR(L271=FALSE,M271=FALSE)),",","")&amp;IF(L271=FALSE,"「残業手当」","")&amp;IF(AND(L271=FALSE,M271=FALSE),",","")&amp;IF(M271=FALSE,"「残業時間」","")&amp;IF(OR(J271=FALSE,K271=FALSE,L271=FALSE,M271=FALSE),入力リスト!$K$36,"")&amp;IF(N271,"",入力リスト!$K$37)))</f>
        <v/>
      </c>
      <c r="H271" s="215"/>
      <c r="I271" s="1" t="b">
        <f>IF(B271="",FALSE,COUNTIF('従業員情報(給与以外)'!$A$4:$A$1000000,$B271)=0)</f>
        <v>0</v>
      </c>
      <c r="J271" s="8" t="b">
        <f t="shared" si="20"/>
        <v>1</v>
      </c>
      <c r="K271" s="8" t="b">
        <f t="shared" si="21"/>
        <v>1</v>
      </c>
      <c r="L271" s="8" t="b">
        <f t="shared" si="22"/>
        <v>1</v>
      </c>
      <c r="M271" s="8" t="b">
        <f t="shared" si="23"/>
        <v>1</v>
      </c>
      <c r="N271" s="1" t="b">
        <f t="shared" si="24"/>
        <v>1</v>
      </c>
      <c r="O271" s="8" t="str">
        <f>IF(F271="","",IF($F$2=入力リスト!$H$25,ROUNDDOWN(INT(F271)+ROUNDDOWN((F271-INT(F271))*100,0)/60,2),F271))</f>
        <v/>
      </c>
      <c r="P271" s="7"/>
      <c r="Q271" s="7"/>
    </row>
    <row r="272" spans="1:17">
      <c r="A272" s="105"/>
      <c r="B272" s="2"/>
      <c r="C272" s="254"/>
      <c r="D272" s="254"/>
      <c r="E272" s="254"/>
      <c r="F272" s="255"/>
      <c r="G272" s="215" t="str">
        <f>IF(AND($B272="",OR(B272&lt;&gt;"",C272&lt;&gt;"",D272&lt;&gt;"",E272&lt;&gt;"",F272&lt;&gt;"")),入力リスト!$K$34,IF($I272=TRUE,入力リスト!$K$35,IF(J272=FALSE,"「毎月の固定給与額」","")&amp;IF(AND(J272=FALSE,OR(K272=FALSE,L272=FALSE,M272=FALSE)),",","")&amp;IF(K272=FALSE,"「賞与額等」","")&amp;IF(AND(K272=FALSE,OR(L272=FALSE,M272=FALSE)),",","")&amp;IF(L272=FALSE,"「残業手当」","")&amp;IF(AND(L272=FALSE,M272=FALSE),",","")&amp;IF(M272=FALSE,"「残業時間」","")&amp;IF(OR(J272=FALSE,K272=FALSE,L272=FALSE,M272=FALSE),入力リスト!$K$36,"")&amp;IF(N272,"",入力リスト!$K$37)))</f>
        <v/>
      </c>
      <c r="H272" s="215"/>
      <c r="I272" s="1" t="b">
        <f>IF(B272="",FALSE,COUNTIF('従業員情報(給与以外)'!$A$4:$A$1000000,$B272)=0)</f>
        <v>0</v>
      </c>
      <c r="J272" s="8" t="b">
        <f t="shared" si="20"/>
        <v>1</v>
      </c>
      <c r="K272" s="8" t="b">
        <f t="shared" si="21"/>
        <v>1</v>
      </c>
      <c r="L272" s="8" t="b">
        <f t="shared" si="22"/>
        <v>1</v>
      </c>
      <c r="M272" s="8" t="b">
        <f t="shared" si="23"/>
        <v>1</v>
      </c>
      <c r="N272" s="1" t="b">
        <f t="shared" si="24"/>
        <v>1</v>
      </c>
      <c r="O272" s="8" t="str">
        <f>IF(F272="","",IF($F$2=入力リスト!$H$25,ROUNDDOWN(INT(F272)+ROUNDDOWN((F272-INT(F272))*100,0)/60,2),F272))</f>
        <v/>
      </c>
      <c r="P272" s="7"/>
      <c r="Q272" s="7"/>
    </row>
    <row r="273" spans="1:17">
      <c r="A273" s="105"/>
      <c r="B273" s="2"/>
      <c r="C273" s="254"/>
      <c r="D273" s="254"/>
      <c r="E273" s="254"/>
      <c r="F273" s="255"/>
      <c r="G273" s="215" t="str">
        <f>IF(AND($B273="",OR(B273&lt;&gt;"",C273&lt;&gt;"",D273&lt;&gt;"",E273&lt;&gt;"",F273&lt;&gt;"")),入力リスト!$K$34,IF($I273=TRUE,入力リスト!$K$35,IF(J273=FALSE,"「毎月の固定給与額」","")&amp;IF(AND(J273=FALSE,OR(K273=FALSE,L273=FALSE,M273=FALSE)),",","")&amp;IF(K273=FALSE,"「賞与額等」","")&amp;IF(AND(K273=FALSE,OR(L273=FALSE,M273=FALSE)),",","")&amp;IF(L273=FALSE,"「残業手当」","")&amp;IF(AND(L273=FALSE,M273=FALSE),",","")&amp;IF(M273=FALSE,"「残業時間」","")&amp;IF(OR(J273=FALSE,K273=FALSE,L273=FALSE,M273=FALSE),入力リスト!$K$36,"")&amp;IF(N273,"",入力リスト!$K$37)))</f>
        <v/>
      </c>
      <c r="H273" s="215"/>
      <c r="I273" s="1" t="b">
        <f>IF(B273="",FALSE,COUNTIF('従業員情報(給与以外)'!$A$4:$A$1000000,$B273)=0)</f>
        <v>0</v>
      </c>
      <c r="J273" s="8" t="b">
        <f t="shared" si="20"/>
        <v>1</v>
      </c>
      <c r="K273" s="8" t="b">
        <f t="shared" si="21"/>
        <v>1</v>
      </c>
      <c r="L273" s="8" t="b">
        <f t="shared" si="22"/>
        <v>1</v>
      </c>
      <c r="M273" s="8" t="b">
        <f t="shared" si="23"/>
        <v>1</v>
      </c>
      <c r="N273" s="1" t="b">
        <f t="shared" si="24"/>
        <v>1</v>
      </c>
      <c r="O273" s="8" t="str">
        <f>IF(F273="","",IF($F$2=入力リスト!$H$25,ROUNDDOWN(INT(F273)+ROUNDDOWN((F273-INT(F273))*100,0)/60,2),F273))</f>
        <v/>
      </c>
      <c r="P273" s="7"/>
      <c r="Q273" s="7"/>
    </row>
    <row r="274" spans="1:17">
      <c r="A274" s="105"/>
      <c r="B274" s="2"/>
      <c r="C274" s="254"/>
      <c r="D274" s="254"/>
      <c r="E274" s="254"/>
      <c r="F274" s="255"/>
      <c r="G274" s="215" t="str">
        <f>IF(AND($B274="",OR(B274&lt;&gt;"",C274&lt;&gt;"",D274&lt;&gt;"",E274&lt;&gt;"",F274&lt;&gt;"")),入力リスト!$K$34,IF($I274=TRUE,入力リスト!$K$35,IF(J274=FALSE,"「毎月の固定給与額」","")&amp;IF(AND(J274=FALSE,OR(K274=FALSE,L274=FALSE,M274=FALSE)),",","")&amp;IF(K274=FALSE,"「賞与額等」","")&amp;IF(AND(K274=FALSE,OR(L274=FALSE,M274=FALSE)),",","")&amp;IF(L274=FALSE,"「残業手当」","")&amp;IF(AND(L274=FALSE,M274=FALSE),",","")&amp;IF(M274=FALSE,"「残業時間」","")&amp;IF(OR(J274=FALSE,K274=FALSE,L274=FALSE,M274=FALSE),入力リスト!$K$36,"")&amp;IF(N274,"",入力リスト!$K$37)))</f>
        <v/>
      </c>
      <c r="H274" s="215"/>
      <c r="I274" s="1" t="b">
        <f>IF(B274="",FALSE,COUNTIF('従業員情報(給与以外)'!$A$4:$A$1000000,$B274)=0)</f>
        <v>0</v>
      </c>
      <c r="J274" s="8" t="b">
        <f t="shared" si="20"/>
        <v>1</v>
      </c>
      <c r="K274" s="8" t="b">
        <f t="shared" si="21"/>
        <v>1</v>
      </c>
      <c r="L274" s="8" t="b">
        <f t="shared" si="22"/>
        <v>1</v>
      </c>
      <c r="M274" s="8" t="b">
        <f t="shared" si="23"/>
        <v>1</v>
      </c>
      <c r="N274" s="1" t="b">
        <f t="shared" si="24"/>
        <v>1</v>
      </c>
      <c r="O274" s="8" t="str">
        <f>IF(F274="","",IF($F$2=入力リスト!$H$25,ROUNDDOWN(INT(F274)+ROUNDDOWN((F274-INT(F274))*100,0)/60,2),F274))</f>
        <v/>
      </c>
      <c r="P274" s="7"/>
      <c r="Q274" s="7"/>
    </row>
    <row r="275" spans="1:17">
      <c r="A275" s="105"/>
      <c r="B275" s="2"/>
      <c r="C275" s="254"/>
      <c r="D275" s="254"/>
      <c r="E275" s="254"/>
      <c r="F275" s="255"/>
      <c r="G275" s="215" t="str">
        <f>IF(AND($B275="",OR(B275&lt;&gt;"",C275&lt;&gt;"",D275&lt;&gt;"",E275&lt;&gt;"",F275&lt;&gt;"")),入力リスト!$K$34,IF($I275=TRUE,入力リスト!$K$35,IF(J275=FALSE,"「毎月の固定給与額」","")&amp;IF(AND(J275=FALSE,OR(K275=FALSE,L275=FALSE,M275=FALSE)),",","")&amp;IF(K275=FALSE,"「賞与額等」","")&amp;IF(AND(K275=FALSE,OR(L275=FALSE,M275=FALSE)),",","")&amp;IF(L275=FALSE,"「残業手当」","")&amp;IF(AND(L275=FALSE,M275=FALSE),",","")&amp;IF(M275=FALSE,"「残業時間」","")&amp;IF(OR(J275=FALSE,K275=FALSE,L275=FALSE,M275=FALSE),入力リスト!$K$36,"")&amp;IF(N275,"",入力リスト!$K$37)))</f>
        <v/>
      </c>
      <c r="H275" s="215"/>
      <c r="I275" s="1" t="b">
        <f>IF(B275="",FALSE,COUNTIF('従業員情報(給与以外)'!$A$4:$A$1000000,$B275)=0)</f>
        <v>0</v>
      </c>
      <c r="J275" s="8" t="b">
        <f t="shared" si="20"/>
        <v>1</v>
      </c>
      <c r="K275" s="8" t="b">
        <f t="shared" si="21"/>
        <v>1</v>
      </c>
      <c r="L275" s="8" t="b">
        <f t="shared" si="22"/>
        <v>1</v>
      </c>
      <c r="M275" s="8" t="b">
        <f t="shared" si="23"/>
        <v>1</v>
      </c>
      <c r="N275" s="1" t="b">
        <f t="shared" si="24"/>
        <v>1</v>
      </c>
      <c r="O275" s="8" t="str">
        <f>IF(F275="","",IF($F$2=入力リスト!$H$25,ROUNDDOWN(INT(F275)+ROUNDDOWN((F275-INT(F275))*100,0)/60,2),F275))</f>
        <v/>
      </c>
      <c r="P275" s="7"/>
      <c r="Q275" s="7"/>
    </row>
    <row r="276" spans="1:17">
      <c r="A276" s="105"/>
      <c r="B276" s="2"/>
      <c r="C276" s="254"/>
      <c r="D276" s="254"/>
      <c r="E276" s="254"/>
      <c r="F276" s="255"/>
      <c r="G276" s="215" t="str">
        <f>IF(AND($B276="",OR(B276&lt;&gt;"",C276&lt;&gt;"",D276&lt;&gt;"",E276&lt;&gt;"",F276&lt;&gt;"")),入力リスト!$K$34,IF($I276=TRUE,入力リスト!$K$35,IF(J276=FALSE,"「毎月の固定給与額」","")&amp;IF(AND(J276=FALSE,OR(K276=FALSE,L276=FALSE,M276=FALSE)),",","")&amp;IF(K276=FALSE,"「賞与額等」","")&amp;IF(AND(K276=FALSE,OR(L276=FALSE,M276=FALSE)),",","")&amp;IF(L276=FALSE,"「残業手当」","")&amp;IF(AND(L276=FALSE,M276=FALSE),",","")&amp;IF(M276=FALSE,"「残業時間」","")&amp;IF(OR(J276=FALSE,K276=FALSE,L276=FALSE,M276=FALSE),入力リスト!$K$36,"")&amp;IF(N276,"",入力リスト!$K$37)))</f>
        <v/>
      </c>
      <c r="H276" s="215"/>
      <c r="I276" s="1" t="b">
        <f>IF(B276="",FALSE,COUNTIF('従業員情報(給与以外)'!$A$4:$A$1000000,$B276)=0)</f>
        <v>0</v>
      </c>
      <c r="J276" s="8" t="b">
        <f t="shared" si="20"/>
        <v>1</v>
      </c>
      <c r="K276" s="8" t="b">
        <f t="shared" si="21"/>
        <v>1</v>
      </c>
      <c r="L276" s="8" t="b">
        <f t="shared" si="22"/>
        <v>1</v>
      </c>
      <c r="M276" s="8" t="b">
        <f t="shared" si="23"/>
        <v>1</v>
      </c>
      <c r="N276" s="1" t="b">
        <f t="shared" si="24"/>
        <v>1</v>
      </c>
      <c r="O276" s="8" t="str">
        <f>IF(F276="","",IF($F$2=入力リスト!$H$25,ROUNDDOWN(INT(F276)+ROUNDDOWN((F276-INT(F276))*100,0)/60,2),F276))</f>
        <v/>
      </c>
      <c r="P276" s="7"/>
      <c r="Q276" s="7"/>
    </row>
    <row r="277" spans="1:17">
      <c r="A277" s="105"/>
      <c r="B277" s="2"/>
      <c r="C277" s="254"/>
      <c r="D277" s="254"/>
      <c r="E277" s="254"/>
      <c r="F277" s="255"/>
      <c r="G277" s="215" t="str">
        <f>IF(AND($B277="",OR(B277&lt;&gt;"",C277&lt;&gt;"",D277&lt;&gt;"",E277&lt;&gt;"",F277&lt;&gt;"")),入力リスト!$K$34,IF($I277=TRUE,入力リスト!$K$35,IF(J277=FALSE,"「毎月の固定給与額」","")&amp;IF(AND(J277=FALSE,OR(K277=FALSE,L277=FALSE,M277=FALSE)),",","")&amp;IF(K277=FALSE,"「賞与額等」","")&amp;IF(AND(K277=FALSE,OR(L277=FALSE,M277=FALSE)),",","")&amp;IF(L277=FALSE,"「残業手当」","")&amp;IF(AND(L277=FALSE,M277=FALSE),",","")&amp;IF(M277=FALSE,"「残業時間」","")&amp;IF(OR(J277=FALSE,K277=FALSE,L277=FALSE,M277=FALSE),入力リスト!$K$36,"")&amp;IF(N277,"",入力リスト!$K$37)))</f>
        <v/>
      </c>
      <c r="H277" s="215"/>
      <c r="I277" s="1" t="b">
        <f>IF(B277="",FALSE,COUNTIF('従業員情報(給与以外)'!$A$4:$A$1000000,$B277)=0)</f>
        <v>0</v>
      </c>
      <c r="J277" s="8" t="b">
        <f t="shared" si="20"/>
        <v>1</v>
      </c>
      <c r="K277" s="8" t="b">
        <f t="shared" si="21"/>
        <v>1</v>
      </c>
      <c r="L277" s="8" t="b">
        <f t="shared" si="22"/>
        <v>1</v>
      </c>
      <c r="M277" s="8" t="b">
        <f t="shared" si="23"/>
        <v>1</v>
      </c>
      <c r="N277" s="1" t="b">
        <f t="shared" si="24"/>
        <v>1</v>
      </c>
      <c r="O277" s="8" t="str">
        <f>IF(F277="","",IF($F$2=入力リスト!$H$25,ROUNDDOWN(INT(F277)+ROUNDDOWN((F277-INT(F277))*100,0)/60,2),F277))</f>
        <v/>
      </c>
      <c r="P277" s="7"/>
      <c r="Q277" s="7"/>
    </row>
    <row r="278" spans="1:17">
      <c r="A278" s="105"/>
      <c r="B278" s="2"/>
      <c r="C278" s="254"/>
      <c r="D278" s="254"/>
      <c r="E278" s="254"/>
      <c r="F278" s="255"/>
      <c r="G278" s="215" t="str">
        <f>IF(AND($B278="",OR(B278&lt;&gt;"",C278&lt;&gt;"",D278&lt;&gt;"",E278&lt;&gt;"",F278&lt;&gt;"")),入力リスト!$K$34,IF($I278=TRUE,入力リスト!$K$35,IF(J278=FALSE,"「毎月の固定給与額」","")&amp;IF(AND(J278=FALSE,OR(K278=FALSE,L278=FALSE,M278=FALSE)),",","")&amp;IF(K278=FALSE,"「賞与額等」","")&amp;IF(AND(K278=FALSE,OR(L278=FALSE,M278=FALSE)),",","")&amp;IF(L278=FALSE,"「残業手当」","")&amp;IF(AND(L278=FALSE,M278=FALSE),",","")&amp;IF(M278=FALSE,"「残業時間」","")&amp;IF(OR(J278=FALSE,K278=FALSE,L278=FALSE,M278=FALSE),入力リスト!$K$36,"")&amp;IF(N278,"",入力リスト!$K$37)))</f>
        <v/>
      </c>
      <c r="H278" s="215"/>
      <c r="I278" s="1" t="b">
        <f>IF(B278="",FALSE,COUNTIF('従業員情報(給与以外)'!$A$4:$A$1000000,$B278)=0)</f>
        <v>0</v>
      </c>
      <c r="J278" s="8" t="b">
        <f t="shared" si="20"/>
        <v>1</v>
      </c>
      <c r="K278" s="8" t="b">
        <f t="shared" si="21"/>
        <v>1</v>
      </c>
      <c r="L278" s="8" t="b">
        <f t="shared" si="22"/>
        <v>1</v>
      </c>
      <c r="M278" s="8" t="b">
        <f t="shared" si="23"/>
        <v>1</v>
      </c>
      <c r="N278" s="1" t="b">
        <f t="shared" si="24"/>
        <v>1</v>
      </c>
      <c r="O278" s="8" t="str">
        <f>IF(F278="","",IF($F$2=入力リスト!$H$25,ROUNDDOWN(INT(F278)+ROUNDDOWN((F278-INT(F278))*100,0)/60,2),F278))</f>
        <v/>
      </c>
      <c r="P278" s="7"/>
      <c r="Q278" s="7"/>
    </row>
    <row r="279" spans="1:17">
      <c r="A279" s="105"/>
      <c r="B279" s="2"/>
      <c r="C279" s="254"/>
      <c r="D279" s="254"/>
      <c r="E279" s="254"/>
      <c r="F279" s="255"/>
      <c r="G279" s="215" t="str">
        <f>IF(AND($B279="",OR(B279&lt;&gt;"",C279&lt;&gt;"",D279&lt;&gt;"",E279&lt;&gt;"",F279&lt;&gt;"")),入力リスト!$K$34,IF($I279=TRUE,入力リスト!$K$35,IF(J279=FALSE,"「毎月の固定給与額」","")&amp;IF(AND(J279=FALSE,OR(K279=FALSE,L279=FALSE,M279=FALSE)),",","")&amp;IF(K279=FALSE,"「賞与額等」","")&amp;IF(AND(K279=FALSE,OR(L279=FALSE,M279=FALSE)),",","")&amp;IF(L279=FALSE,"「残業手当」","")&amp;IF(AND(L279=FALSE,M279=FALSE),",","")&amp;IF(M279=FALSE,"「残業時間」","")&amp;IF(OR(J279=FALSE,K279=FALSE,L279=FALSE,M279=FALSE),入力リスト!$K$36,"")&amp;IF(N279,"",入力リスト!$K$37)))</f>
        <v/>
      </c>
      <c r="H279" s="215"/>
      <c r="I279" s="1" t="b">
        <f>IF(B279="",FALSE,COUNTIF('従業員情報(給与以外)'!$A$4:$A$1000000,$B279)=0)</f>
        <v>0</v>
      </c>
      <c r="J279" s="8" t="b">
        <f t="shared" si="20"/>
        <v>1</v>
      </c>
      <c r="K279" s="8" t="b">
        <f t="shared" si="21"/>
        <v>1</v>
      </c>
      <c r="L279" s="8" t="b">
        <f t="shared" si="22"/>
        <v>1</v>
      </c>
      <c r="M279" s="8" t="b">
        <f t="shared" si="23"/>
        <v>1</v>
      </c>
      <c r="N279" s="1" t="b">
        <f t="shared" si="24"/>
        <v>1</v>
      </c>
      <c r="O279" s="8" t="str">
        <f>IF(F279="","",IF($F$2=入力リスト!$H$25,ROUNDDOWN(INT(F279)+ROUNDDOWN((F279-INT(F279))*100,0)/60,2),F279))</f>
        <v/>
      </c>
      <c r="P279" s="7"/>
      <c r="Q279" s="7"/>
    </row>
    <row r="280" spans="1:17">
      <c r="A280" s="105"/>
      <c r="B280" s="2"/>
      <c r="C280" s="254"/>
      <c r="D280" s="254"/>
      <c r="E280" s="254"/>
      <c r="F280" s="255"/>
      <c r="G280" s="215" t="str">
        <f>IF(AND($B280="",OR(B280&lt;&gt;"",C280&lt;&gt;"",D280&lt;&gt;"",E280&lt;&gt;"",F280&lt;&gt;"")),入力リスト!$K$34,IF($I280=TRUE,入力リスト!$K$35,IF(J280=FALSE,"「毎月の固定給与額」","")&amp;IF(AND(J280=FALSE,OR(K280=FALSE,L280=FALSE,M280=FALSE)),",","")&amp;IF(K280=FALSE,"「賞与額等」","")&amp;IF(AND(K280=FALSE,OR(L280=FALSE,M280=FALSE)),",","")&amp;IF(L280=FALSE,"「残業手当」","")&amp;IF(AND(L280=FALSE,M280=FALSE),",","")&amp;IF(M280=FALSE,"「残業時間」","")&amp;IF(OR(J280=FALSE,K280=FALSE,L280=FALSE,M280=FALSE),入力リスト!$K$36,"")&amp;IF(N280,"",入力リスト!$K$37)))</f>
        <v/>
      </c>
      <c r="H280" s="215"/>
      <c r="I280" s="1" t="b">
        <f>IF(B280="",FALSE,COUNTIF('従業員情報(給与以外)'!$A$4:$A$1000000,$B280)=0)</f>
        <v>0</v>
      </c>
      <c r="J280" s="8" t="b">
        <f t="shared" si="20"/>
        <v>1</v>
      </c>
      <c r="K280" s="8" t="b">
        <f t="shared" si="21"/>
        <v>1</v>
      </c>
      <c r="L280" s="8" t="b">
        <f t="shared" si="22"/>
        <v>1</v>
      </c>
      <c r="M280" s="8" t="b">
        <f t="shared" si="23"/>
        <v>1</v>
      </c>
      <c r="N280" s="1" t="b">
        <f t="shared" si="24"/>
        <v>1</v>
      </c>
      <c r="O280" s="8" t="str">
        <f>IF(F280="","",IF($F$2=入力リスト!$H$25,ROUNDDOWN(INT(F280)+ROUNDDOWN((F280-INT(F280))*100,0)/60,2),F280))</f>
        <v/>
      </c>
      <c r="P280" s="7"/>
      <c r="Q280" s="7"/>
    </row>
    <row r="281" spans="1:17">
      <c r="A281" s="105"/>
      <c r="B281" s="2"/>
      <c r="C281" s="254"/>
      <c r="D281" s="254"/>
      <c r="E281" s="254"/>
      <c r="F281" s="255"/>
      <c r="G281" s="215" t="str">
        <f>IF(AND($B281="",OR(B281&lt;&gt;"",C281&lt;&gt;"",D281&lt;&gt;"",E281&lt;&gt;"",F281&lt;&gt;"")),入力リスト!$K$34,IF($I281=TRUE,入力リスト!$K$35,IF(J281=FALSE,"「毎月の固定給与額」","")&amp;IF(AND(J281=FALSE,OR(K281=FALSE,L281=FALSE,M281=FALSE)),",","")&amp;IF(K281=FALSE,"「賞与額等」","")&amp;IF(AND(K281=FALSE,OR(L281=FALSE,M281=FALSE)),",","")&amp;IF(L281=FALSE,"「残業手当」","")&amp;IF(AND(L281=FALSE,M281=FALSE),",","")&amp;IF(M281=FALSE,"「残業時間」","")&amp;IF(OR(J281=FALSE,K281=FALSE,L281=FALSE,M281=FALSE),入力リスト!$K$36,"")&amp;IF(N281,"",入力リスト!$K$37)))</f>
        <v/>
      </c>
      <c r="H281" s="215"/>
      <c r="I281" s="1" t="b">
        <f>IF(B281="",FALSE,COUNTIF('従業員情報(給与以外)'!$A$4:$A$1000000,$B281)=0)</f>
        <v>0</v>
      </c>
      <c r="J281" s="8" t="b">
        <f t="shared" si="20"/>
        <v>1</v>
      </c>
      <c r="K281" s="8" t="b">
        <f t="shared" si="21"/>
        <v>1</v>
      </c>
      <c r="L281" s="8" t="b">
        <f t="shared" si="22"/>
        <v>1</v>
      </c>
      <c r="M281" s="8" t="b">
        <f t="shared" si="23"/>
        <v>1</v>
      </c>
      <c r="N281" s="1" t="b">
        <f t="shared" si="24"/>
        <v>1</v>
      </c>
      <c r="O281" s="8" t="str">
        <f>IF(F281="","",IF($F$2=入力リスト!$H$25,ROUNDDOWN(INT(F281)+ROUNDDOWN((F281-INT(F281))*100,0)/60,2),F281))</f>
        <v/>
      </c>
      <c r="P281" s="7"/>
      <c r="Q281" s="7"/>
    </row>
    <row r="282" spans="1:17">
      <c r="A282" s="105"/>
      <c r="B282" s="2"/>
      <c r="C282" s="254"/>
      <c r="D282" s="254"/>
      <c r="E282" s="254"/>
      <c r="F282" s="255"/>
      <c r="G282" s="215" t="str">
        <f>IF(AND($B282="",OR(B282&lt;&gt;"",C282&lt;&gt;"",D282&lt;&gt;"",E282&lt;&gt;"",F282&lt;&gt;"")),入力リスト!$K$34,IF($I282=TRUE,入力リスト!$K$35,IF(J282=FALSE,"「毎月の固定給与額」","")&amp;IF(AND(J282=FALSE,OR(K282=FALSE,L282=FALSE,M282=FALSE)),",","")&amp;IF(K282=FALSE,"「賞与額等」","")&amp;IF(AND(K282=FALSE,OR(L282=FALSE,M282=FALSE)),",","")&amp;IF(L282=FALSE,"「残業手当」","")&amp;IF(AND(L282=FALSE,M282=FALSE),",","")&amp;IF(M282=FALSE,"「残業時間」","")&amp;IF(OR(J282=FALSE,K282=FALSE,L282=FALSE,M282=FALSE),入力リスト!$K$36,"")&amp;IF(N282,"",入力リスト!$K$37)))</f>
        <v/>
      </c>
      <c r="H282" s="215"/>
      <c r="I282" s="1" t="b">
        <f>IF(B282="",FALSE,COUNTIF('従業員情報(給与以外)'!$A$4:$A$1000000,$B282)=0)</f>
        <v>0</v>
      </c>
      <c r="J282" s="8" t="b">
        <f t="shared" si="20"/>
        <v>1</v>
      </c>
      <c r="K282" s="8" t="b">
        <f t="shared" si="21"/>
        <v>1</v>
      </c>
      <c r="L282" s="8" t="b">
        <f t="shared" si="22"/>
        <v>1</v>
      </c>
      <c r="M282" s="8" t="b">
        <f t="shared" si="23"/>
        <v>1</v>
      </c>
      <c r="N282" s="1" t="b">
        <f t="shared" si="24"/>
        <v>1</v>
      </c>
      <c r="O282" s="8" t="str">
        <f>IF(F282="","",IF($F$2=入力リスト!$H$25,ROUNDDOWN(INT(F282)+ROUNDDOWN((F282-INT(F282))*100,0)/60,2),F282))</f>
        <v/>
      </c>
      <c r="P282" s="7"/>
      <c r="Q282" s="7"/>
    </row>
    <row r="283" spans="1:17">
      <c r="A283" s="105"/>
      <c r="B283" s="2"/>
      <c r="C283" s="254"/>
      <c r="D283" s="254"/>
      <c r="E283" s="254"/>
      <c r="F283" s="255"/>
      <c r="G283" s="215" t="str">
        <f>IF(AND($B283="",OR(B283&lt;&gt;"",C283&lt;&gt;"",D283&lt;&gt;"",E283&lt;&gt;"",F283&lt;&gt;"")),入力リスト!$K$34,IF($I283=TRUE,入力リスト!$K$35,IF(J283=FALSE,"「毎月の固定給与額」","")&amp;IF(AND(J283=FALSE,OR(K283=FALSE,L283=FALSE,M283=FALSE)),",","")&amp;IF(K283=FALSE,"「賞与額等」","")&amp;IF(AND(K283=FALSE,OR(L283=FALSE,M283=FALSE)),",","")&amp;IF(L283=FALSE,"「残業手当」","")&amp;IF(AND(L283=FALSE,M283=FALSE),",","")&amp;IF(M283=FALSE,"「残業時間」","")&amp;IF(OR(J283=FALSE,K283=FALSE,L283=FALSE,M283=FALSE),入力リスト!$K$36,"")&amp;IF(N283,"",入力リスト!$K$37)))</f>
        <v/>
      </c>
      <c r="H283" s="215"/>
      <c r="I283" s="1" t="b">
        <f>IF(B283="",FALSE,COUNTIF('従業員情報(給与以外)'!$A$4:$A$1000000,$B283)=0)</f>
        <v>0</v>
      </c>
      <c r="J283" s="8" t="b">
        <f t="shared" si="20"/>
        <v>1</v>
      </c>
      <c r="K283" s="8" t="b">
        <f t="shared" si="21"/>
        <v>1</v>
      </c>
      <c r="L283" s="8" t="b">
        <f t="shared" si="22"/>
        <v>1</v>
      </c>
      <c r="M283" s="8" t="b">
        <f t="shared" si="23"/>
        <v>1</v>
      </c>
      <c r="N283" s="1" t="b">
        <f t="shared" si="24"/>
        <v>1</v>
      </c>
      <c r="O283" s="8" t="str">
        <f>IF(F283="","",IF($F$2=入力リスト!$H$25,ROUNDDOWN(INT(F283)+ROUNDDOWN((F283-INT(F283))*100,0)/60,2),F283))</f>
        <v/>
      </c>
      <c r="P283" s="7"/>
      <c r="Q283" s="7"/>
    </row>
    <row r="284" spans="1:17">
      <c r="A284" s="105"/>
      <c r="B284" s="2"/>
      <c r="C284" s="254"/>
      <c r="D284" s="254"/>
      <c r="E284" s="254"/>
      <c r="F284" s="255"/>
      <c r="G284" s="215" t="str">
        <f>IF(AND($B284="",OR(B284&lt;&gt;"",C284&lt;&gt;"",D284&lt;&gt;"",E284&lt;&gt;"",F284&lt;&gt;"")),入力リスト!$K$34,IF($I284=TRUE,入力リスト!$K$35,IF(J284=FALSE,"「毎月の固定給与額」","")&amp;IF(AND(J284=FALSE,OR(K284=FALSE,L284=FALSE,M284=FALSE)),",","")&amp;IF(K284=FALSE,"「賞与額等」","")&amp;IF(AND(K284=FALSE,OR(L284=FALSE,M284=FALSE)),",","")&amp;IF(L284=FALSE,"「残業手当」","")&amp;IF(AND(L284=FALSE,M284=FALSE),",","")&amp;IF(M284=FALSE,"「残業時間」","")&amp;IF(OR(J284=FALSE,K284=FALSE,L284=FALSE,M284=FALSE),入力リスト!$K$36,"")&amp;IF(N284,"",入力リスト!$K$37)))</f>
        <v/>
      </c>
      <c r="H284" s="215"/>
      <c r="I284" s="1" t="b">
        <f>IF(B284="",FALSE,COUNTIF('従業員情報(給与以外)'!$A$4:$A$1000000,$B284)=0)</f>
        <v>0</v>
      </c>
      <c r="J284" s="8" t="b">
        <f t="shared" si="20"/>
        <v>1</v>
      </c>
      <c r="K284" s="8" t="b">
        <f t="shared" si="21"/>
        <v>1</v>
      </c>
      <c r="L284" s="8" t="b">
        <f t="shared" si="22"/>
        <v>1</v>
      </c>
      <c r="M284" s="8" t="b">
        <f t="shared" si="23"/>
        <v>1</v>
      </c>
      <c r="N284" s="1" t="b">
        <f t="shared" si="24"/>
        <v>1</v>
      </c>
      <c r="O284" s="8" t="str">
        <f>IF(F284="","",IF($F$2=入力リスト!$H$25,ROUNDDOWN(INT(F284)+ROUNDDOWN((F284-INT(F284))*100,0)/60,2),F284))</f>
        <v/>
      </c>
      <c r="P284" s="7"/>
      <c r="Q284" s="7"/>
    </row>
    <row r="285" spans="1:17">
      <c r="A285" s="105"/>
      <c r="B285" s="2"/>
      <c r="C285" s="254"/>
      <c r="D285" s="254"/>
      <c r="E285" s="254"/>
      <c r="F285" s="255"/>
      <c r="G285" s="215" t="str">
        <f>IF(AND($B285="",OR(B285&lt;&gt;"",C285&lt;&gt;"",D285&lt;&gt;"",E285&lt;&gt;"",F285&lt;&gt;"")),入力リスト!$K$34,IF($I285=TRUE,入力リスト!$K$35,IF(J285=FALSE,"「毎月の固定給与額」","")&amp;IF(AND(J285=FALSE,OR(K285=FALSE,L285=FALSE,M285=FALSE)),",","")&amp;IF(K285=FALSE,"「賞与額等」","")&amp;IF(AND(K285=FALSE,OR(L285=FALSE,M285=FALSE)),",","")&amp;IF(L285=FALSE,"「残業手当」","")&amp;IF(AND(L285=FALSE,M285=FALSE),",","")&amp;IF(M285=FALSE,"「残業時間」","")&amp;IF(OR(J285=FALSE,K285=FALSE,L285=FALSE,M285=FALSE),入力リスト!$K$36,"")&amp;IF(N285,"",入力リスト!$K$37)))</f>
        <v/>
      </c>
      <c r="H285" s="215"/>
      <c r="I285" s="1" t="b">
        <f>IF(B285="",FALSE,COUNTIF('従業員情報(給与以外)'!$A$4:$A$1000000,$B285)=0)</f>
        <v>0</v>
      </c>
      <c r="J285" s="8" t="b">
        <f t="shared" si="20"/>
        <v>1</v>
      </c>
      <c r="K285" s="8" t="b">
        <f t="shared" si="21"/>
        <v>1</v>
      </c>
      <c r="L285" s="8" t="b">
        <f t="shared" si="22"/>
        <v>1</v>
      </c>
      <c r="M285" s="8" t="b">
        <f t="shared" si="23"/>
        <v>1</v>
      </c>
      <c r="N285" s="1" t="b">
        <f t="shared" si="24"/>
        <v>1</v>
      </c>
      <c r="O285" s="8" t="str">
        <f>IF(F285="","",IF($F$2=入力リスト!$H$25,ROUNDDOWN(INT(F285)+ROUNDDOWN((F285-INT(F285))*100,0)/60,2),F285))</f>
        <v/>
      </c>
      <c r="P285" s="7"/>
      <c r="Q285" s="7"/>
    </row>
    <row r="286" spans="1:17">
      <c r="A286" s="105"/>
      <c r="B286" s="2"/>
      <c r="C286" s="254"/>
      <c r="D286" s="254"/>
      <c r="E286" s="254"/>
      <c r="F286" s="255"/>
      <c r="G286" s="215" t="str">
        <f>IF(AND($B286="",OR(B286&lt;&gt;"",C286&lt;&gt;"",D286&lt;&gt;"",E286&lt;&gt;"",F286&lt;&gt;"")),入力リスト!$K$34,IF($I286=TRUE,入力リスト!$K$35,IF(J286=FALSE,"「毎月の固定給与額」","")&amp;IF(AND(J286=FALSE,OR(K286=FALSE,L286=FALSE,M286=FALSE)),",","")&amp;IF(K286=FALSE,"「賞与額等」","")&amp;IF(AND(K286=FALSE,OR(L286=FALSE,M286=FALSE)),",","")&amp;IF(L286=FALSE,"「残業手当」","")&amp;IF(AND(L286=FALSE,M286=FALSE),",","")&amp;IF(M286=FALSE,"「残業時間」","")&amp;IF(OR(J286=FALSE,K286=FALSE,L286=FALSE,M286=FALSE),入力リスト!$K$36,"")&amp;IF(N286,"",入力リスト!$K$37)))</f>
        <v/>
      </c>
      <c r="H286" s="215"/>
      <c r="I286" s="1" t="b">
        <f>IF(B286="",FALSE,COUNTIF('従業員情報(給与以外)'!$A$4:$A$1000000,$B286)=0)</f>
        <v>0</v>
      </c>
      <c r="J286" s="8" t="b">
        <f t="shared" si="20"/>
        <v>1</v>
      </c>
      <c r="K286" s="8" t="b">
        <f t="shared" si="21"/>
        <v>1</v>
      </c>
      <c r="L286" s="8" t="b">
        <f t="shared" si="22"/>
        <v>1</v>
      </c>
      <c r="M286" s="8" t="b">
        <f t="shared" si="23"/>
        <v>1</v>
      </c>
      <c r="N286" s="1" t="b">
        <f t="shared" si="24"/>
        <v>1</v>
      </c>
      <c r="O286" s="8" t="str">
        <f>IF(F286="","",IF($F$2=入力リスト!$H$25,ROUNDDOWN(INT(F286)+ROUNDDOWN((F286-INT(F286))*100,0)/60,2),F286))</f>
        <v/>
      </c>
      <c r="P286" s="7"/>
      <c r="Q286" s="7"/>
    </row>
    <row r="287" spans="1:17">
      <c r="A287" s="105"/>
      <c r="B287" s="2"/>
      <c r="C287" s="254"/>
      <c r="D287" s="254"/>
      <c r="E287" s="254"/>
      <c r="F287" s="255"/>
      <c r="G287" s="215" t="str">
        <f>IF(AND($B287="",OR(B287&lt;&gt;"",C287&lt;&gt;"",D287&lt;&gt;"",E287&lt;&gt;"",F287&lt;&gt;"")),入力リスト!$K$34,IF($I287=TRUE,入力リスト!$K$35,IF(J287=FALSE,"「毎月の固定給与額」","")&amp;IF(AND(J287=FALSE,OR(K287=FALSE,L287=FALSE,M287=FALSE)),",","")&amp;IF(K287=FALSE,"「賞与額等」","")&amp;IF(AND(K287=FALSE,OR(L287=FALSE,M287=FALSE)),",","")&amp;IF(L287=FALSE,"「残業手当」","")&amp;IF(AND(L287=FALSE,M287=FALSE),",","")&amp;IF(M287=FALSE,"「残業時間」","")&amp;IF(OR(J287=FALSE,K287=FALSE,L287=FALSE,M287=FALSE),入力リスト!$K$36,"")&amp;IF(N287,"",入力リスト!$K$37)))</f>
        <v/>
      </c>
      <c r="H287" s="215"/>
      <c r="I287" s="1" t="b">
        <f>IF(B287="",FALSE,COUNTIF('従業員情報(給与以外)'!$A$4:$A$1000000,$B287)=0)</f>
        <v>0</v>
      </c>
      <c r="J287" s="8" t="b">
        <f t="shared" si="20"/>
        <v>1</v>
      </c>
      <c r="K287" s="8" t="b">
        <f t="shared" si="21"/>
        <v>1</v>
      </c>
      <c r="L287" s="8" t="b">
        <f t="shared" si="22"/>
        <v>1</v>
      </c>
      <c r="M287" s="8" t="b">
        <f t="shared" si="23"/>
        <v>1</v>
      </c>
      <c r="N287" s="1" t="b">
        <f t="shared" si="24"/>
        <v>1</v>
      </c>
      <c r="O287" s="8" t="str">
        <f>IF(F287="","",IF($F$2=入力リスト!$H$25,ROUNDDOWN(INT(F287)+ROUNDDOWN((F287-INT(F287))*100,0)/60,2),F287))</f>
        <v/>
      </c>
      <c r="P287" s="7"/>
      <c r="Q287" s="7"/>
    </row>
    <row r="288" spans="1:17">
      <c r="A288" s="105"/>
      <c r="B288" s="2"/>
      <c r="C288" s="254"/>
      <c r="D288" s="254"/>
      <c r="E288" s="254"/>
      <c r="F288" s="255"/>
      <c r="G288" s="215" t="str">
        <f>IF(AND($B288="",OR(B288&lt;&gt;"",C288&lt;&gt;"",D288&lt;&gt;"",E288&lt;&gt;"",F288&lt;&gt;"")),入力リスト!$K$34,IF($I288=TRUE,入力リスト!$K$35,IF(J288=FALSE,"「毎月の固定給与額」","")&amp;IF(AND(J288=FALSE,OR(K288=FALSE,L288=FALSE,M288=FALSE)),",","")&amp;IF(K288=FALSE,"「賞与額等」","")&amp;IF(AND(K288=FALSE,OR(L288=FALSE,M288=FALSE)),",","")&amp;IF(L288=FALSE,"「残業手当」","")&amp;IF(AND(L288=FALSE,M288=FALSE),",","")&amp;IF(M288=FALSE,"「残業時間」","")&amp;IF(OR(J288=FALSE,K288=FALSE,L288=FALSE,M288=FALSE),入力リスト!$K$36,"")&amp;IF(N288,"",入力リスト!$K$37)))</f>
        <v/>
      </c>
      <c r="H288" s="215"/>
      <c r="I288" s="1" t="b">
        <f>IF(B288="",FALSE,COUNTIF('従業員情報(給与以外)'!$A$4:$A$1000000,$B288)=0)</f>
        <v>0</v>
      </c>
      <c r="J288" s="8" t="b">
        <f t="shared" si="20"/>
        <v>1</v>
      </c>
      <c r="K288" s="8" t="b">
        <f t="shared" si="21"/>
        <v>1</v>
      </c>
      <c r="L288" s="8" t="b">
        <f t="shared" si="22"/>
        <v>1</v>
      </c>
      <c r="M288" s="8" t="b">
        <f t="shared" si="23"/>
        <v>1</v>
      </c>
      <c r="N288" s="1" t="b">
        <f t="shared" si="24"/>
        <v>1</v>
      </c>
      <c r="O288" s="8" t="str">
        <f>IF(F288="","",IF($F$2=入力リスト!$H$25,ROUNDDOWN(INT(F288)+ROUNDDOWN((F288-INT(F288))*100,0)/60,2),F288))</f>
        <v/>
      </c>
      <c r="P288" s="7"/>
      <c r="Q288" s="7"/>
    </row>
    <row r="289" spans="1:17">
      <c r="A289" s="105"/>
      <c r="B289" s="2"/>
      <c r="C289" s="254"/>
      <c r="D289" s="254"/>
      <c r="E289" s="254"/>
      <c r="F289" s="255"/>
      <c r="G289" s="215" t="str">
        <f>IF(AND($B289="",OR(B289&lt;&gt;"",C289&lt;&gt;"",D289&lt;&gt;"",E289&lt;&gt;"",F289&lt;&gt;"")),入力リスト!$K$34,IF($I289=TRUE,入力リスト!$K$35,IF(J289=FALSE,"「毎月の固定給与額」","")&amp;IF(AND(J289=FALSE,OR(K289=FALSE,L289=FALSE,M289=FALSE)),",","")&amp;IF(K289=FALSE,"「賞与額等」","")&amp;IF(AND(K289=FALSE,OR(L289=FALSE,M289=FALSE)),",","")&amp;IF(L289=FALSE,"「残業手当」","")&amp;IF(AND(L289=FALSE,M289=FALSE),",","")&amp;IF(M289=FALSE,"「残業時間」","")&amp;IF(OR(J289=FALSE,K289=FALSE,L289=FALSE,M289=FALSE),入力リスト!$K$36,"")&amp;IF(N289,"",入力リスト!$K$37)))</f>
        <v/>
      </c>
      <c r="H289" s="215"/>
      <c r="I289" s="1" t="b">
        <f>IF(B289="",FALSE,COUNTIF('従業員情報(給与以外)'!$A$4:$A$1000000,$B289)=0)</f>
        <v>0</v>
      </c>
      <c r="J289" s="8" t="b">
        <f t="shared" si="20"/>
        <v>1</v>
      </c>
      <c r="K289" s="8" t="b">
        <f t="shared" si="21"/>
        <v>1</v>
      </c>
      <c r="L289" s="8" t="b">
        <f t="shared" si="22"/>
        <v>1</v>
      </c>
      <c r="M289" s="8" t="b">
        <f t="shared" si="23"/>
        <v>1</v>
      </c>
      <c r="N289" s="1" t="b">
        <f t="shared" si="24"/>
        <v>1</v>
      </c>
      <c r="O289" s="8" t="str">
        <f>IF(F289="","",IF($F$2=入力リスト!$H$25,ROUNDDOWN(INT(F289)+ROUNDDOWN((F289-INT(F289))*100,0)/60,2),F289))</f>
        <v/>
      </c>
      <c r="P289" s="7"/>
      <c r="Q289" s="7"/>
    </row>
    <row r="290" spans="1:17">
      <c r="A290" s="105"/>
      <c r="B290" s="2"/>
      <c r="C290" s="254"/>
      <c r="D290" s="254"/>
      <c r="E290" s="254"/>
      <c r="F290" s="255"/>
      <c r="G290" s="215" t="str">
        <f>IF(AND($B290="",OR(B290&lt;&gt;"",C290&lt;&gt;"",D290&lt;&gt;"",E290&lt;&gt;"",F290&lt;&gt;"")),入力リスト!$K$34,IF($I290=TRUE,入力リスト!$K$35,IF(J290=FALSE,"「毎月の固定給与額」","")&amp;IF(AND(J290=FALSE,OR(K290=FALSE,L290=FALSE,M290=FALSE)),",","")&amp;IF(K290=FALSE,"「賞与額等」","")&amp;IF(AND(K290=FALSE,OR(L290=FALSE,M290=FALSE)),",","")&amp;IF(L290=FALSE,"「残業手当」","")&amp;IF(AND(L290=FALSE,M290=FALSE),",","")&amp;IF(M290=FALSE,"「残業時間」","")&amp;IF(OR(J290=FALSE,K290=FALSE,L290=FALSE,M290=FALSE),入力リスト!$K$36,"")&amp;IF(N290,"",入力リスト!$K$37)))</f>
        <v/>
      </c>
      <c r="H290" s="215"/>
      <c r="I290" s="1" t="b">
        <f>IF(B290="",FALSE,COUNTIF('従業員情報(給与以外)'!$A$4:$A$1000000,$B290)=0)</f>
        <v>0</v>
      </c>
      <c r="J290" s="8" t="b">
        <f t="shared" si="20"/>
        <v>1</v>
      </c>
      <c r="K290" s="8" t="b">
        <f t="shared" si="21"/>
        <v>1</v>
      </c>
      <c r="L290" s="8" t="b">
        <f t="shared" si="22"/>
        <v>1</v>
      </c>
      <c r="M290" s="8" t="b">
        <f t="shared" si="23"/>
        <v>1</v>
      </c>
      <c r="N290" s="1" t="b">
        <f t="shared" si="24"/>
        <v>1</v>
      </c>
      <c r="O290" s="8" t="str">
        <f>IF(F290="","",IF($F$2=入力リスト!$H$25,ROUNDDOWN(INT(F290)+ROUNDDOWN((F290-INT(F290))*100,0)/60,2),F290))</f>
        <v/>
      </c>
      <c r="P290" s="7"/>
      <c r="Q290" s="7"/>
    </row>
    <row r="291" spans="1:17">
      <c r="A291" s="105"/>
      <c r="B291" s="2"/>
      <c r="C291" s="254"/>
      <c r="D291" s="254"/>
      <c r="E291" s="254"/>
      <c r="F291" s="255"/>
      <c r="G291" s="215" t="str">
        <f>IF(AND($B291="",OR(B291&lt;&gt;"",C291&lt;&gt;"",D291&lt;&gt;"",E291&lt;&gt;"",F291&lt;&gt;"")),入力リスト!$K$34,IF($I291=TRUE,入力リスト!$K$35,IF(J291=FALSE,"「毎月の固定給与額」","")&amp;IF(AND(J291=FALSE,OR(K291=FALSE,L291=FALSE,M291=FALSE)),",","")&amp;IF(K291=FALSE,"「賞与額等」","")&amp;IF(AND(K291=FALSE,OR(L291=FALSE,M291=FALSE)),",","")&amp;IF(L291=FALSE,"「残業手当」","")&amp;IF(AND(L291=FALSE,M291=FALSE),",","")&amp;IF(M291=FALSE,"「残業時間」","")&amp;IF(OR(J291=FALSE,K291=FALSE,L291=FALSE,M291=FALSE),入力リスト!$K$36,"")&amp;IF(N291,"",入力リスト!$K$37)))</f>
        <v/>
      </c>
      <c r="H291" s="215"/>
      <c r="I291" s="1" t="b">
        <f>IF(B291="",FALSE,COUNTIF('従業員情報(給与以外)'!$A$4:$A$1000000,$B291)=0)</f>
        <v>0</v>
      </c>
      <c r="J291" s="8" t="b">
        <f t="shared" si="20"/>
        <v>1</v>
      </c>
      <c r="K291" s="8" t="b">
        <f t="shared" si="21"/>
        <v>1</v>
      </c>
      <c r="L291" s="8" t="b">
        <f t="shared" si="22"/>
        <v>1</v>
      </c>
      <c r="M291" s="8" t="b">
        <f t="shared" si="23"/>
        <v>1</v>
      </c>
      <c r="N291" s="1" t="b">
        <f t="shared" si="24"/>
        <v>1</v>
      </c>
      <c r="O291" s="8" t="str">
        <f>IF(F291="","",IF($F$2=入力リスト!$H$25,ROUNDDOWN(INT(F291)+ROUNDDOWN((F291-INT(F291))*100,0)/60,2),F291))</f>
        <v/>
      </c>
      <c r="P291" s="7"/>
      <c r="Q291" s="7"/>
    </row>
    <row r="292" spans="1:17">
      <c r="A292" s="105"/>
      <c r="B292" s="2"/>
      <c r="C292" s="254"/>
      <c r="D292" s="254"/>
      <c r="E292" s="254"/>
      <c r="F292" s="255"/>
      <c r="G292" s="215" t="str">
        <f>IF(AND($B292="",OR(B292&lt;&gt;"",C292&lt;&gt;"",D292&lt;&gt;"",E292&lt;&gt;"",F292&lt;&gt;"")),入力リスト!$K$34,IF($I292=TRUE,入力リスト!$K$35,IF(J292=FALSE,"「毎月の固定給与額」","")&amp;IF(AND(J292=FALSE,OR(K292=FALSE,L292=FALSE,M292=FALSE)),",","")&amp;IF(K292=FALSE,"「賞与額等」","")&amp;IF(AND(K292=FALSE,OR(L292=FALSE,M292=FALSE)),",","")&amp;IF(L292=FALSE,"「残業手当」","")&amp;IF(AND(L292=FALSE,M292=FALSE),",","")&amp;IF(M292=FALSE,"「残業時間」","")&amp;IF(OR(J292=FALSE,K292=FALSE,L292=FALSE,M292=FALSE),入力リスト!$K$36,"")&amp;IF(N292,"",入力リスト!$K$37)))</f>
        <v/>
      </c>
      <c r="H292" s="215"/>
      <c r="I292" s="1" t="b">
        <f>IF(B292="",FALSE,COUNTIF('従業員情報(給与以外)'!$A$4:$A$1000000,$B292)=0)</f>
        <v>0</v>
      </c>
      <c r="J292" s="8" t="b">
        <f t="shared" si="20"/>
        <v>1</v>
      </c>
      <c r="K292" s="8" t="b">
        <f t="shared" si="21"/>
        <v>1</v>
      </c>
      <c r="L292" s="8" t="b">
        <f t="shared" si="22"/>
        <v>1</v>
      </c>
      <c r="M292" s="8" t="b">
        <f t="shared" si="23"/>
        <v>1</v>
      </c>
      <c r="N292" s="1" t="b">
        <f t="shared" si="24"/>
        <v>1</v>
      </c>
      <c r="O292" s="8" t="str">
        <f>IF(F292="","",IF($F$2=入力リスト!$H$25,ROUNDDOWN(INT(F292)+ROUNDDOWN((F292-INT(F292))*100,0)/60,2),F292))</f>
        <v/>
      </c>
      <c r="P292" s="7"/>
      <c r="Q292" s="7"/>
    </row>
    <row r="293" spans="1:17">
      <c r="A293" s="105"/>
      <c r="B293" s="2"/>
      <c r="C293" s="254"/>
      <c r="D293" s="254"/>
      <c r="E293" s="254"/>
      <c r="F293" s="255"/>
      <c r="G293" s="215" t="str">
        <f>IF(AND($B293="",OR(B293&lt;&gt;"",C293&lt;&gt;"",D293&lt;&gt;"",E293&lt;&gt;"",F293&lt;&gt;"")),入力リスト!$K$34,IF($I293=TRUE,入力リスト!$K$35,IF(J293=FALSE,"「毎月の固定給与額」","")&amp;IF(AND(J293=FALSE,OR(K293=FALSE,L293=FALSE,M293=FALSE)),",","")&amp;IF(K293=FALSE,"「賞与額等」","")&amp;IF(AND(K293=FALSE,OR(L293=FALSE,M293=FALSE)),",","")&amp;IF(L293=FALSE,"「残業手当」","")&amp;IF(AND(L293=FALSE,M293=FALSE),",","")&amp;IF(M293=FALSE,"「残業時間」","")&amp;IF(OR(J293=FALSE,K293=FALSE,L293=FALSE,M293=FALSE),入力リスト!$K$36,"")&amp;IF(N293,"",入力リスト!$K$37)))</f>
        <v/>
      </c>
      <c r="H293" s="215"/>
      <c r="I293" s="1" t="b">
        <f>IF(B293="",FALSE,COUNTIF('従業員情報(給与以外)'!$A$4:$A$1000000,$B293)=0)</f>
        <v>0</v>
      </c>
      <c r="J293" s="8" t="b">
        <f t="shared" si="20"/>
        <v>1</v>
      </c>
      <c r="K293" s="8" t="b">
        <f t="shared" si="21"/>
        <v>1</v>
      </c>
      <c r="L293" s="8" t="b">
        <f t="shared" si="22"/>
        <v>1</v>
      </c>
      <c r="M293" s="8" t="b">
        <f t="shared" si="23"/>
        <v>1</v>
      </c>
      <c r="N293" s="1" t="b">
        <f t="shared" si="24"/>
        <v>1</v>
      </c>
      <c r="O293" s="8" t="str">
        <f>IF(F293="","",IF($F$2=入力リスト!$H$25,ROUNDDOWN(INT(F293)+ROUNDDOWN((F293-INT(F293))*100,0)/60,2),F293))</f>
        <v/>
      </c>
      <c r="P293" s="7"/>
      <c r="Q293" s="7"/>
    </row>
    <row r="294" spans="1:17">
      <c r="A294" s="105"/>
      <c r="B294" s="2"/>
      <c r="C294" s="254"/>
      <c r="D294" s="254"/>
      <c r="E294" s="254"/>
      <c r="F294" s="255"/>
      <c r="G294" s="215" t="str">
        <f>IF(AND($B294="",OR(B294&lt;&gt;"",C294&lt;&gt;"",D294&lt;&gt;"",E294&lt;&gt;"",F294&lt;&gt;"")),入力リスト!$K$34,IF($I294=TRUE,入力リスト!$K$35,IF(J294=FALSE,"「毎月の固定給与額」","")&amp;IF(AND(J294=FALSE,OR(K294=FALSE,L294=FALSE,M294=FALSE)),",","")&amp;IF(K294=FALSE,"「賞与額等」","")&amp;IF(AND(K294=FALSE,OR(L294=FALSE,M294=FALSE)),",","")&amp;IF(L294=FALSE,"「残業手当」","")&amp;IF(AND(L294=FALSE,M294=FALSE),",","")&amp;IF(M294=FALSE,"「残業時間」","")&amp;IF(OR(J294=FALSE,K294=FALSE,L294=FALSE,M294=FALSE),入力リスト!$K$36,"")&amp;IF(N294,"",入力リスト!$K$37)))</f>
        <v/>
      </c>
      <c r="H294" s="215"/>
      <c r="I294" s="1" t="b">
        <f>IF(B294="",FALSE,COUNTIF('従業員情報(給与以外)'!$A$4:$A$1000000,$B294)=0)</f>
        <v>0</v>
      </c>
      <c r="J294" s="8" t="b">
        <f t="shared" si="20"/>
        <v>1</v>
      </c>
      <c r="K294" s="8" t="b">
        <f t="shared" si="21"/>
        <v>1</v>
      </c>
      <c r="L294" s="8" t="b">
        <f t="shared" si="22"/>
        <v>1</v>
      </c>
      <c r="M294" s="8" t="b">
        <f t="shared" si="23"/>
        <v>1</v>
      </c>
      <c r="N294" s="1" t="b">
        <f t="shared" si="24"/>
        <v>1</v>
      </c>
      <c r="O294" s="8" t="str">
        <f>IF(F294="","",IF($F$2=入力リスト!$H$25,ROUNDDOWN(INT(F294)+ROUNDDOWN((F294-INT(F294))*100,0)/60,2),F294))</f>
        <v/>
      </c>
      <c r="P294" s="7"/>
      <c r="Q294" s="7"/>
    </row>
    <row r="295" spans="1:17">
      <c r="A295" s="105"/>
      <c r="B295" s="2"/>
      <c r="C295" s="254"/>
      <c r="D295" s="254"/>
      <c r="E295" s="254"/>
      <c r="F295" s="255"/>
      <c r="G295" s="215" t="str">
        <f>IF(AND($B295="",OR(B295&lt;&gt;"",C295&lt;&gt;"",D295&lt;&gt;"",E295&lt;&gt;"",F295&lt;&gt;"")),入力リスト!$K$34,IF($I295=TRUE,入力リスト!$K$35,IF(J295=FALSE,"「毎月の固定給与額」","")&amp;IF(AND(J295=FALSE,OR(K295=FALSE,L295=FALSE,M295=FALSE)),",","")&amp;IF(K295=FALSE,"「賞与額等」","")&amp;IF(AND(K295=FALSE,OR(L295=FALSE,M295=FALSE)),",","")&amp;IF(L295=FALSE,"「残業手当」","")&amp;IF(AND(L295=FALSE,M295=FALSE),",","")&amp;IF(M295=FALSE,"「残業時間」","")&amp;IF(OR(J295=FALSE,K295=FALSE,L295=FALSE,M295=FALSE),入力リスト!$K$36,"")&amp;IF(N295,"",入力リスト!$K$37)))</f>
        <v/>
      </c>
      <c r="H295" s="215"/>
      <c r="I295" s="1" t="b">
        <f>IF(B295="",FALSE,COUNTIF('従業員情報(給与以外)'!$A$4:$A$1000000,$B295)=0)</f>
        <v>0</v>
      </c>
      <c r="J295" s="8" t="b">
        <f t="shared" si="20"/>
        <v>1</v>
      </c>
      <c r="K295" s="8" t="b">
        <f t="shared" si="21"/>
        <v>1</v>
      </c>
      <c r="L295" s="8" t="b">
        <f t="shared" si="22"/>
        <v>1</v>
      </c>
      <c r="M295" s="8" t="b">
        <f t="shared" si="23"/>
        <v>1</v>
      </c>
      <c r="N295" s="1" t="b">
        <f t="shared" si="24"/>
        <v>1</v>
      </c>
      <c r="O295" s="8" t="str">
        <f>IF(F295="","",IF($F$2=入力リスト!$H$25,ROUNDDOWN(INT(F295)+ROUNDDOWN((F295-INT(F295))*100,0)/60,2),F295))</f>
        <v/>
      </c>
      <c r="P295" s="7"/>
      <c r="Q295" s="7"/>
    </row>
    <row r="296" spans="1:17">
      <c r="A296" s="105"/>
      <c r="B296" s="2"/>
      <c r="C296" s="254"/>
      <c r="D296" s="254"/>
      <c r="E296" s="254"/>
      <c r="F296" s="255"/>
      <c r="G296" s="215" t="str">
        <f>IF(AND($B296="",OR(B296&lt;&gt;"",C296&lt;&gt;"",D296&lt;&gt;"",E296&lt;&gt;"",F296&lt;&gt;"")),入力リスト!$K$34,IF($I296=TRUE,入力リスト!$K$35,IF(J296=FALSE,"「毎月の固定給与額」","")&amp;IF(AND(J296=FALSE,OR(K296=FALSE,L296=FALSE,M296=FALSE)),",","")&amp;IF(K296=FALSE,"「賞与額等」","")&amp;IF(AND(K296=FALSE,OR(L296=FALSE,M296=FALSE)),",","")&amp;IF(L296=FALSE,"「残業手当」","")&amp;IF(AND(L296=FALSE,M296=FALSE),",","")&amp;IF(M296=FALSE,"「残業時間」","")&amp;IF(OR(J296=FALSE,K296=FALSE,L296=FALSE,M296=FALSE),入力リスト!$K$36,"")&amp;IF(N296,"",入力リスト!$K$37)))</f>
        <v/>
      </c>
      <c r="H296" s="215"/>
      <c r="I296" s="1" t="b">
        <f>IF(B296="",FALSE,COUNTIF('従業員情報(給与以外)'!$A$4:$A$1000000,$B296)=0)</f>
        <v>0</v>
      </c>
      <c r="J296" s="8" t="b">
        <f t="shared" si="20"/>
        <v>1</v>
      </c>
      <c r="K296" s="8" t="b">
        <f t="shared" si="21"/>
        <v>1</v>
      </c>
      <c r="L296" s="8" t="b">
        <f t="shared" si="22"/>
        <v>1</v>
      </c>
      <c r="M296" s="8" t="b">
        <f t="shared" si="23"/>
        <v>1</v>
      </c>
      <c r="N296" s="1" t="b">
        <f t="shared" si="24"/>
        <v>1</v>
      </c>
      <c r="O296" s="8" t="str">
        <f>IF(F296="","",IF($F$2=入力リスト!$H$25,ROUNDDOWN(INT(F296)+ROUNDDOWN((F296-INT(F296))*100,0)/60,2),F296))</f>
        <v/>
      </c>
      <c r="P296" s="7"/>
      <c r="Q296" s="7"/>
    </row>
    <row r="297" spans="1:17">
      <c r="A297" s="105"/>
      <c r="B297" s="2"/>
      <c r="C297" s="254"/>
      <c r="D297" s="254"/>
      <c r="E297" s="254"/>
      <c r="F297" s="255"/>
      <c r="G297" s="215" t="str">
        <f>IF(AND($B297="",OR(B297&lt;&gt;"",C297&lt;&gt;"",D297&lt;&gt;"",E297&lt;&gt;"",F297&lt;&gt;"")),入力リスト!$K$34,IF($I297=TRUE,入力リスト!$K$35,IF(J297=FALSE,"「毎月の固定給与額」","")&amp;IF(AND(J297=FALSE,OR(K297=FALSE,L297=FALSE,M297=FALSE)),",","")&amp;IF(K297=FALSE,"「賞与額等」","")&amp;IF(AND(K297=FALSE,OR(L297=FALSE,M297=FALSE)),",","")&amp;IF(L297=FALSE,"「残業手当」","")&amp;IF(AND(L297=FALSE,M297=FALSE),",","")&amp;IF(M297=FALSE,"「残業時間」","")&amp;IF(OR(J297=FALSE,K297=FALSE,L297=FALSE,M297=FALSE),入力リスト!$K$36,"")&amp;IF(N297,"",入力リスト!$K$37)))</f>
        <v/>
      </c>
      <c r="H297" s="215"/>
      <c r="I297" s="1" t="b">
        <f>IF(B297="",FALSE,COUNTIF('従業員情報(給与以外)'!$A$4:$A$1000000,$B297)=0)</f>
        <v>0</v>
      </c>
      <c r="J297" s="8" t="b">
        <f t="shared" si="20"/>
        <v>1</v>
      </c>
      <c r="K297" s="8" t="b">
        <f t="shared" si="21"/>
        <v>1</v>
      </c>
      <c r="L297" s="8" t="b">
        <f t="shared" si="22"/>
        <v>1</v>
      </c>
      <c r="M297" s="8" t="b">
        <f t="shared" si="23"/>
        <v>1</v>
      </c>
      <c r="N297" s="1" t="b">
        <f t="shared" si="24"/>
        <v>1</v>
      </c>
      <c r="O297" s="8" t="str">
        <f>IF(F297="","",IF($F$2=入力リスト!$H$25,ROUNDDOWN(INT(F297)+ROUNDDOWN((F297-INT(F297))*100,0)/60,2),F297))</f>
        <v/>
      </c>
      <c r="P297" s="7"/>
      <c r="Q297" s="7"/>
    </row>
    <row r="298" spans="1:17">
      <c r="A298" s="105"/>
      <c r="B298" s="2"/>
      <c r="C298" s="254"/>
      <c r="D298" s="254"/>
      <c r="E298" s="254"/>
      <c r="F298" s="255"/>
      <c r="G298" s="215" t="str">
        <f>IF(AND($B298="",OR(B298&lt;&gt;"",C298&lt;&gt;"",D298&lt;&gt;"",E298&lt;&gt;"",F298&lt;&gt;"")),入力リスト!$K$34,IF($I298=TRUE,入力リスト!$K$35,IF(J298=FALSE,"「毎月の固定給与額」","")&amp;IF(AND(J298=FALSE,OR(K298=FALSE,L298=FALSE,M298=FALSE)),",","")&amp;IF(K298=FALSE,"「賞与額等」","")&amp;IF(AND(K298=FALSE,OR(L298=FALSE,M298=FALSE)),",","")&amp;IF(L298=FALSE,"「残業手当」","")&amp;IF(AND(L298=FALSE,M298=FALSE),",","")&amp;IF(M298=FALSE,"「残業時間」","")&amp;IF(OR(J298=FALSE,K298=FALSE,L298=FALSE,M298=FALSE),入力リスト!$K$36,"")&amp;IF(N298,"",入力リスト!$K$37)))</f>
        <v/>
      </c>
      <c r="H298" s="215"/>
      <c r="I298" s="1" t="b">
        <f>IF(B298="",FALSE,COUNTIF('従業員情報(給与以外)'!$A$4:$A$1000000,$B298)=0)</f>
        <v>0</v>
      </c>
      <c r="J298" s="8" t="b">
        <f t="shared" si="20"/>
        <v>1</v>
      </c>
      <c r="K298" s="8" t="b">
        <f t="shared" si="21"/>
        <v>1</v>
      </c>
      <c r="L298" s="8" t="b">
        <f t="shared" si="22"/>
        <v>1</v>
      </c>
      <c r="M298" s="8" t="b">
        <f t="shared" si="23"/>
        <v>1</v>
      </c>
      <c r="N298" s="1" t="b">
        <f t="shared" si="24"/>
        <v>1</v>
      </c>
      <c r="O298" s="8" t="str">
        <f>IF(F298="","",IF($F$2=入力リスト!$H$25,ROUNDDOWN(INT(F298)+ROUNDDOWN((F298-INT(F298))*100,0)/60,2),F298))</f>
        <v/>
      </c>
      <c r="P298" s="7"/>
      <c r="Q298" s="7"/>
    </row>
    <row r="299" spans="1:17">
      <c r="A299" s="105"/>
      <c r="B299" s="2"/>
      <c r="C299" s="254"/>
      <c r="D299" s="254"/>
      <c r="E299" s="254"/>
      <c r="F299" s="255"/>
      <c r="G299" s="215" t="str">
        <f>IF(AND($B299="",OR(B299&lt;&gt;"",C299&lt;&gt;"",D299&lt;&gt;"",E299&lt;&gt;"",F299&lt;&gt;"")),入力リスト!$K$34,IF($I299=TRUE,入力リスト!$K$35,IF(J299=FALSE,"「毎月の固定給与額」","")&amp;IF(AND(J299=FALSE,OR(K299=FALSE,L299=FALSE,M299=FALSE)),",","")&amp;IF(K299=FALSE,"「賞与額等」","")&amp;IF(AND(K299=FALSE,OR(L299=FALSE,M299=FALSE)),",","")&amp;IF(L299=FALSE,"「残業手当」","")&amp;IF(AND(L299=FALSE,M299=FALSE),",","")&amp;IF(M299=FALSE,"「残業時間」","")&amp;IF(OR(J299=FALSE,K299=FALSE,L299=FALSE,M299=FALSE),入力リスト!$K$36,"")&amp;IF(N299,"",入力リスト!$K$37)))</f>
        <v/>
      </c>
      <c r="H299" s="215"/>
      <c r="I299" s="1" t="b">
        <f>IF(B299="",FALSE,COUNTIF('従業員情報(給与以外)'!$A$4:$A$1000000,$B299)=0)</f>
        <v>0</v>
      </c>
      <c r="J299" s="8" t="b">
        <f t="shared" si="20"/>
        <v>1</v>
      </c>
      <c r="K299" s="8" t="b">
        <f t="shared" si="21"/>
        <v>1</v>
      </c>
      <c r="L299" s="8" t="b">
        <f t="shared" si="22"/>
        <v>1</v>
      </c>
      <c r="M299" s="8" t="b">
        <f t="shared" si="23"/>
        <v>1</v>
      </c>
      <c r="N299" s="1" t="b">
        <f t="shared" si="24"/>
        <v>1</v>
      </c>
      <c r="O299" s="8" t="str">
        <f>IF(F299="","",IF($F$2=入力リスト!$H$25,ROUNDDOWN(INT(F299)+ROUNDDOWN((F299-INT(F299))*100,0)/60,2),F299))</f>
        <v/>
      </c>
      <c r="P299" s="7"/>
      <c r="Q299" s="7"/>
    </row>
    <row r="300" spans="1:17">
      <c r="A300" s="105"/>
      <c r="B300" s="2"/>
      <c r="C300" s="254"/>
      <c r="D300" s="254"/>
      <c r="E300" s="254"/>
      <c r="F300" s="255"/>
      <c r="G300" s="215" t="str">
        <f>IF(AND($B300="",OR(B300&lt;&gt;"",C300&lt;&gt;"",D300&lt;&gt;"",E300&lt;&gt;"",F300&lt;&gt;"")),入力リスト!$K$34,IF($I300=TRUE,入力リスト!$K$35,IF(J300=FALSE,"「毎月の固定給与額」","")&amp;IF(AND(J300=FALSE,OR(K300=FALSE,L300=FALSE,M300=FALSE)),",","")&amp;IF(K300=FALSE,"「賞与額等」","")&amp;IF(AND(K300=FALSE,OR(L300=FALSE,M300=FALSE)),",","")&amp;IF(L300=FALSE,"「残業手当」","")&amp;IF(AND(L300=FALSE,M300=FALSE),",","")&amp;IF(M300=FALSE,"「残業時間」","")&amp;IF(OR(J300=FALSE,K300=FALSE,L300=FALSE,M300=FALSE),入力リスト!$K$36,"")&amp;IF(N300,"",入力リスト!$K$37)))</f>
        <v/>
      </c>
      <c r="H300" s="215"/>
      <c r="I300" s="1" t="b">
        <f>IF(B300="",FALSE,COUNTIF('従業員情報(給与以外)'!$A$4:$A$1000000,$B300)=0)</f>
        <v>0</v>
      </c>
      <c r="J300" s="8" t="b">
        <f t="shared" si="20"/>
        <v>1</v>
      </c>
      <c r="K300" s="8" t="b">
        <f t="shared" si="21"/>
        <v>1</v>
      </c>
      <c r="L300" s="8" t="b">
        <f t="shared" si="22"/>
        <v>1</v>
      </c>
      <c r="M300" s="8" t="b">
        <f t="shared" si="23"/>
        <v>1</v>
      </c>
      <c r="N300" s="1" t="b">
        <f t="shared" si="24"/>
        <v>1</v>
      </c>
      <c r="O300" s="8" t="str">
        <f>IF(F300="","",IF($F$2=入力リスト!$H$25,ROUNDDOWN(INT(F300)+ROUNDDOWN((F300-INT(F300))*100,0)/60,2),F300))</f>
        <v/>
      </c>
      <c r="P300" s="7"/>
      <c r="Q300" s="7"/>
    </row>
    <row r="301" spans="1:17">
      <c r="A301" s="105"/>
      <c r="B301" s="2"/>
      <c r="C301" s="254"/>
      <c r="D301" s="254"/>
      <c r="E301" s="254"/>
      <c r="F301" s="255"/>
      <c r="G301" s="215" t="str">
        <f>IF(AND($B301="",OR(B301&lt;&gt;"",C301&lt;&gt;"",D301&lt;&gt;"",E301&lt;&gt;"",F301&lt;&gt;"")),入力リスト!$K$34,IF($I301=TRUE,入力リスト!$K$35,IF(J301=FALSE,"「毎月の固定給与額」","")&amp;IF(AND(J301=FALSE,OR(K301=FALSE,L301=FALSE,M301=FALSE)),",","")&amp;IF(K301=FALSE,"「賞与額等」","")&amp;IF(AND(K301=FALSE,OR(L301=FALSE,M301=FALSE)),",","")&amp;IF(L301=FALSE,"「残業手当」","")&amp;IF(AND(L301=FALSE,M301=FALSE),",","")&amp;IF(M301=FALSE,"「残業時間」","")&amp;IF(OR(J301=FALSE,K301=FALSE,L301=FALSE,M301=FALSE),入力リスト!$K$36,"")&amp;IF(N301,"",入力リスト!$K$37)))</f>
        <v/>
      </c>
      <c r="H301" s="215"/>
      <c r="I301" s="1" t="b">
        <f>IF(B301="",FALSE,COUNTIF('従業員情報(給与以外)'!$A$4:$A$1000000,$B301)=0)</f>
        <v>0</v>
      </c>
      <c r="J301" s="8" t="b">
        <f t="shared" si="20"/>
        <v>1</v>
      </c>
      <c r="K301" s="8" t="b">
        <f t="shared" si="21"/>
        <v>1</v>
      </c>
      <c r="L301" s="8" t="b">
        <f t="shared" si="22"/>
        <v>1</v>
      </c>
      <c r="M301" s="8" t="b">
        <f t="shared" si="23"/>
        <v>1</v>
      </c>
      <c r="N301" s="1" t="b">
        <f t="shared" si="24"/>
        <v>1</v>
      </c>
      <c r="O301" s="8" t="str">
        <f>IF(F301="","",IF($F$2=入力リスト!$H$25,ROUNDDOWN(INT(F301)+ROUNDDOWN((F301-INT(F301))*100,0)/60,2),F301))</f>
        <v/>
      </c>
      <c r="P301" s="7"/>
      <c r="Q301" s="7"/>
    </row>
    <row r="302" spans="1:17">
      <c r="A302" s="105"/>
      <c r="B302" s="2"/>
      <c r="C302" s="254"/>
      <c r="D302" s="254"/>
      <c r="E302" s="254"/>
      <c r="F302" s="255"/>
      <c r="G302" s="215" t="str">
        <f>IF(AND($B302="",OR(B302&lt;&gt;"",C302&lt;&gt;"",D302&lt;&gt;"",E302&lt;&gt;"",F302&lt;&gt;"")),入力リスト!$K$34,IF($I302=TRUE,入力リスト!$K$35,IF(J302=FALSE,"「毎月の固定給与額」","")&amp;IF(AND(J302=FALSE,OR(K302=FALSE,L302=FALSE,M302=FALSE)),",","")&amp;IF(K302=FALSE,"「賞与額等」","")&amp;IF(AND(K302=FALSE,OR(L302=FALSE,M302=FALSE)),",","")&amp;IF(L302=FALSE,"「残業手当」","")&amp;IF(AND(L302=FALSE,M302=FALSE),",","")&amp;IF(M302=FALSE,"「残業時間」","")&amp;IF(OR(J302=FALSE,K302=FALSE,L302=FALSE,M302=FALSE),入力リスト!$K$36,"")&amp;IF(N302,"",入力リスト!$K$37)))</f>
        <v/>
      </c>
      <c r="H302" s="215"/>
      <c r="I302" s="1" t="b">
        <f>IF(B302="",FALSE,COUNTIF('従業員情報(給与以外)'!$A$4:$A$1000000,$B302)=0)</f>
        <v>0</v>
      </c>
      <c r="J302" s="8" t="b">
        <f t="shared" si="20"/>
        <v>1</v>
      </c>
      <c r="K302" s="8" t="b">
        <f t="shared" si="21"/>
        <v>1</v>
      </c>
      <c r="L302" s="8" t="b">
        <f t="shared" si="22"/>
        <v>1</v>
      </c>
      <c r="M302" s="8" t="b">
        <f t="shared" si="23"/>
        <v>1</v>
      </c>
      <c r="N302" s="1" t="b">
        <f t="shared" si="24"/>
        <v>1</v>
      </c>
      <c r="O302" s="8" t="str">
        <f>IF(F302="","",IF($F$2=入力リスト!$H$25,ROUNDDOWN(INT(F302)+ROUNDDOWN((F302-INT(F302))*100,0)/60,2),F302))</f>
        <v/>
      </c>
      <c r="P302" s="7"/>
      <c r="Q302" s="7"/>
    </row>
    <row r="303" spans="1:17">
      <c r="A303" s="105"/>
      <c r="B303" s="2"/>
      <c r="C303" s="254"/>
      <c r="D303" s="254"/>
      <c r="E303" s="254"/>
      <c r="F303" s="255"/>
      <c r="G303" s="215" t="str">
        <f>IF(AND($B303="",OR(B303&lt;&gt;"",C303&lt;&gt;"",D303&lt;&gt;"",E303&lt;&gt;"",F303&lt;&gt;"")),入力リスト!$K$34,IF($I303=TRUE,入力リスト!$K$35,IF(J303=FALSE,"「毎月の固定給与額」","")&amp;IF(AND(J303=FALSE,OR(K303=FALSE,L303=FALSE,M303=FALSE)),",","")&amp;IF(K303=FALSE,"「賞与額等」","")&amp;IF(AND(K303=FALSE,OR(L303=FALSE,M303=FALSE)),",","")&amp;IF(L303=FALSE,"「残業手当」","")&amp;IF(AND(L303=FALSE,M303=FALSE),",","")&amp;IF(M303=FALSE,"「残業時間」","")&amp;IF(OR(J303=FALSE,K303=FALSE,L303=FALSE,M303=FALSE),入力リスト!$K$36,"")&amp;IF(N303,"",入力リスト!$K$37)))</f>
        <v/>
      </c>
      <c r="H303" s="215"/>
      <c r="I303" s="1" t="b">
        <f>IF(B303="",FALSE,COUNTIF('従業員情報(給与以外)'!$A$4:$A$1000000,$B303)=0)</f>
        <v>0</v>
      </c>
      <c r="J303" s="8" t="b">
        <f t="shared" si="20"/>
        <v>1</v>
      </c>
      <c r="K303" s="8" t="b">
        <f t="shared" si="21"/>
        <v>1</v>
      </c>
      <c r="L303" s="8" t="b">
        <f t="shared" si="22"/>
        <v>1</v>
      </c>
      <c r="M303" s="8" t="b">
        <f t="shared" si="23"/>
        <v>1</v>
      </c>
      <c r="N303" s="1" t="b">
        <f t="shared" si="24"/>
        <v>1</v>
      </c>
      <c r="O303" s="8" t="str">
        <f>IF(F303="","",IF($F$2=入力リスト!$H$25,ROUNDDOWN(INT(F303)+ROUNDDOWN((F303-INT(F303))*100,0)/60,2),F303))</f>
        <v/>
      </c>
      <c r="P303" s="7"/>
      <c r="Q303" s="7"/>
    </row>
    <row r="304" spans="1:17">
      <c r="A304" s="105"/>
      <c r="B304" s="2"/>
      <c r="C304" s="254"/>
      <c r="D304" s="254"/>
      <c r="E304" s="254"/>
      <c r="F304" s="255"/>
      <c r="G304" s="215" t="str">
        <f>IF(AND($B304="",OR(B304&lt;&gt;"",C304&lt;&gt;"",D304&lt;&gt;"",E304&lt;&gt;"",F304&lt;&gt;"")),入力リスト!$K$34,IF($I304=TRUE,入力リスト!$K$35,IF(J304=FALSE,"「毎月の固定給与額」","")&amp;IF(AND(J304=FALSE,OR(K304=FALSE,L304=FALSE,M304=FALSE)),",","")&amp;IF(K304=FALSE,"「賞与額等」","")&amp;IF(AND(K304=FALSE,OR(L304=FALSE,M304=FALSE)),",","")&amp;IF(L304=FALSE,"「残業手当」","")&amp;IF(AND(L304=FALSE,M304=FALSE),",","")&amp;IF(M304=FALSE,"「残業時間」","")&amp;IF(OR(J304=FALSE,K304=FALSE,L304=FALSE,M304=FALSE),入力リスト!$K$36,"")&amp;IF(N304,"",入力リスト!$K$37)))</f>
        <v/>
      </c>
      <c r="H304" s="215"/>
      <c r="I304" s="1" t="b">
        <f>IF(B304="",FALSE,COUNTIF('従業員情報(給与以外)'!$A$4:$A$1000000,$B304)=0)</f>
        <v>0</v>
      </c>
      <c r="J304" s="8" t="b">
        <f t="shared" si="20"/>
        <v>1</v>
      </c>
      <c r="K304" s="8" t="b">
        <f t="shared" si="21"/>
        <v>1</v>
      </c>
      <c r="L304" s="8" t="b">
        <f t="shared" si="22"/>
        <v>1</v>
      </c>
      <c r="M304" s="8" t="b">
        <f t="shared" si="23"/>
        <v>1</v>
      </c>
      <c r="N304" s="1" t="b">
        <f t="shared" si="24"/>
        <v>1</v>
      </c>
      <c r="O304" s="8" t="str">
        <f>IF(F304="","",IF($F$2=入力リスト!$H$25,ROUNDDOWN(INT(F304)+ROUNDDOWN((F304-INT(F304))*100,0)/60,2),F304))</f>
        <v/>
      </c>
      <c r="P304" s="7"/>
      <c r="Q304" s="7"/>
    </row>
    <row r="305" spans="1:17">
      <c r="A305" s="105"/>
      <c r="B305" s="2"/>
      <c r="C305" s="254"/>
      <c r="D305" s="254"/>
      <c r="E305" s="254"/>
      <c r="F305" s="255"/>
      <c r="G305" s="215" t="str">
        <f>IF(AND($B305="",OR(B305&lt;&gt;"",C305&lt;&gt;"",D305&lt;&gt;"",E305&lt;&gt;"",F305&lt;&gt;"")),入力リスト!$K$34,IF($I305=TRUE,入力リスト!$K$35,IF(J305=FALSE,"「毎月の固定給与額」","")&amp;IF(AND(J305=FALSE,OR(K305=FALSE,L305=FALSE,M305=FALSE)),",","")&amp;IF(K305=FALSE,"「賞与額等」","")&amp;IF(AND(K305=FALSE,OR(L305=FALSE,M305=FALSE)),",","")&amp;IF(L305=FALSE,"「残業手当」","")&amp;IF(AND(L305=FALSE,M305=FALSE),",","")&amp;IF(M305=FALSE,"「残業時間」","")&amp;IF(OR(J305=FALSE,K305=FALSE,L305=FALSE,M305=FALSE),入力リスト!$K$36,"")&amp;IF(N305,"",入力リスト!$K$37)))</f>
        <v/>
      </c>
      <c r="H305" s="215"/>
      <c r="I305" s="1" t="b">
        <f>IF(B305="",FALSE,COUNTIF('従業員情報(給与以外)'!$A$4:$A$1000000,$B305)=0)</f>
        <v>0</v>
      </c>
      <c r="J305" s="8" t="b">
        <f t="shared" si="20"/>
        <v>1</v>
      </c>
      <c r="K305" s="8" t="b">
        <f t="shared" si="21"/>
        <v>1</v>
      </c>
      <c r="L305" s="8" t="b">
        <f t="shared" si="22"/>
        <v>1</v>
      </c>
      <c r="M305" s="8" t="b">
        <f t="shared" si="23"/>
        <v>1</v>
      </c>
      <c r="N305" s="1" t="b">
        <f t="shared" si="24"/>
        <v>1</v>
      </c>
      <c r="O305" s="8" t="str">
        <f>IF(F305="","",IF($F$2=入力リスト!$H$25,ROUNDDOWN(INT(F305)+ROUNDDOWN((F305-INT(F305))*100,0)/60,2),F305))</f>
        <v/>
      </c>
      <c r="P305" s="7"/>
      <c r="Q305" s="7"/>
    </row>
    <row r="306" spans="1:17">
      <c r="A306" s="105"/>
      <c r="B306" s="2"/>
      <c r="C306" s="254"/>
      <c r="D306" s="254"/>
      <c r="E306" s="254"/>
      <c r="F306" s="255"/>
      <c r="G306" s="215" t="str">
        <f>IF(AND($B306="",OR(B306&lt;&gt;"",C306&lt;&gt;"",D306&lt;&gt;"",E306&lt;&gt;"",F306&lt;&gt;"")),入力リスト!$K$34,IF($I306=TRUE,入力リスト!$K$35,IF(J306=FALSE,"「毎月の固定給与額」","")&amp;IF(AND(J306=FALSE,OR(K306=FALSE,L306=FALSE,M306=FALSE)),",","")&amp;IF(K306=FALSE,"「賞与額等」","")&amp;IF(AND(K306=FALSE,OR(L306=FALSE,M306=FALSE)),",","")&amp;IF(L306=FALSE,"「残業手当」","")&amp;IF(AND(L306=FALSE,M306=FALSE),",","")&amp;IF(M306=FALSE,"「残業時間」","")&amp;IF(OR(J306=FALSE,K306=FALSE,L306=FALSE,M306=FALSE),入力リスト!$K$36,"")&amp;IF(N306,"",入力リスト!$K$37)))</f>
        <v/>
      </c>
      <c r="H306" s="215"/>
      <c r="I306" s="1" t="b">
        <f>IF(B306="",FALSE,COUNTIF('従業員情報(給与以外)'!$A$4:$A$1000000,$B306)=0)</f>
        <v>0</v>
      </c>
      <c r="J306" s="8" t="b">
        <f t="shared" si="20"/>
        <v>1</v>
      </c>
      <c r="K306" s="8" t="b">
        <f t="shared" si="21"/>
        <v>1</v>
      </c>
      <c r="L306" s="8" t="b">
        <f t="shared" si="22"/>
        <v>1</v>
      </c>
      <c r="M306" s="8" t="b">
        <f t="shared" si="23"/>
        <v>1</v>
      </c>
      <c r="N306" s="1" t="b">
        <f t="shared" si="24"/>
        <v>1</v>
      </c>
      <c r="O306" s="8" t="str">
        <f>IF(F306="","",IF($F$2=入力リスト!$H$25,ROUNDDOWN(INT(F306)+ROUNDDOWN((F306-INT(F306))*100,0)/60,2),F306))</f>
        <v/>
      </c>
      <c r="P306" s="7"/>
      <c r="Q306" s="7"/>
    </row>
    <row r="307" spans="1:17">
      <c r="A307" s="105"/>
      <c r="B307" s="2"/>
      <c r="C307" s="254"/>
      <c r="D307" s="254"/>
      <c r="E307" s="254"/>
      <c r="F307" s="255"/>
      <c r="G307" s="215" t="str">
        <f>IF(AND($B307="",OR(B307&lt;&gt;"",C307&lt;&gt;"",D307&lt;&gt;"",E307&lt;&gt;"",F307&lt;&gt;"")),入力リスト!$K$34,IF($I307=TRUE,入力リスト!$K$35,IF(J307=FALSE,"「毎月の固定給与額」","")&amp;IF(AND(J307=FALSE,OR(K307=FALSE,L307=FALSE,M307=FALSE)),",","")&amp;IF(K307=FALSE,"「賞与額等」","")&amp;IF(AND(K307=FALSE,OR(L307=FALSE,M307=FALSE)),",","")&amp;IF(L307=FALSE,"「残業手当」","")&amp;IF(AND(L307=FALSE,M307=FALSE),",","")&amp;IF(M307=FALSE,"「残業時間」","")&amp;IF(OR(J307=FALSE,K307=FALSE,L307=FALSE,M307=FALSE),入力リスト!$K$36,"")&amp;IF(N307,"",入力リスト!$K$37)))</f>
        <v/>
      </c>
      <c r="H307" s="215"/>
      <c r="I307" s="1" t="b">
        <f>IF(B307="",FALSE,COUNTIF('従業員情報(給与以外)'!$A$4:$A$1000000,$B307)=0)</f>
        <v>0</v>
      </c>
      <c r="J307" s="8" t="b">
        <f t="shared" si="20"/>
        <v>1</v>
      </c>
      <c r="K307" s="8" t="b">
        <f t="shared" si="21"/>
        <v>1</v>
      </c>
      <c r="L307" s="8" t="b">
        <f t="shared" si="22"/>
        <v>1</v>
      </c>
      <c r="M307" s="8" t="b">
        <f t="shared" si="23"/>
        <v>1</v>
      </c>
      <c r="N307" s="1" t="b">
        <f t="shared" si="24"/>
        <v>1</v>
      </c>
      <c r="O307" s="8" t="str">
        <f>IF(F307="","",IF($F$2=入力リスト!$H$25,ROUNDDOWN(INT(F307)+ROUNDDOWN((F307-INT(F307))*100,0)/60,2),F307))</f>
        <v/>
      </c>
      <c r="P307" s="7"/>
      <c r="Q307" s="7"/>
    </row>
    <row r="308" spans="1:17">
      <c r="A308" s="105"/>
      <c r="B308" s="2"/>
      <c r="C308" s="254"/>
      <c r="D308" s="254"/>
      <c r="E308" s="254"/>
      <c r="F308" s="255"/>
      <c r="G308" s="215" t="str">
        <f>IF(AND($B308="",OR(B308&lt;&gt;"",C308&lt;&gt;"",D308&lt;&gt;"",E308&lt;&gt;"",F308&lt;&gt;"")),入力リスト!$K$34,IF($I308=TRUE,入力リスト!$K$35,IF(J308=FALSE,"「毎月の固定給与額」","")&amp;IF(AND(J308=FALSE,OR(K308=FALSE,L308=FALSE,M308=FALSE)),",","")&amp;IF(K308=FALSE,"「賞与額等」","")&amp;IF(AND(K308=FALSE,OR(L308=FALSE,M308=FALSE)),",","")&amp;IF(L308=FALSE,"「残業手当」","")&amp;IF(AND(L308=FALSE,M308=FALSE),",","")&amp;IF(M308=FALSE,"「残業時間」","")&amp;IF(OR(J308=FALSE,K308=FALSE,L308=FALSE,M308=FALSE),入力リスト!$K$36,"")&amp;IF(N308,"",入力リスト!$K$37)))</f>
        <v/>
      </c>
      <c r="H308" s="215"/>
      <c r="I308" s="1" t="b">
        <f>IF(B308="",FALSE,COUNTIF('従業員情報(給与以外)'!$A$4:$A$1000000,$B308)=0)</f>
        <v>0</v>
      </c>
      <c r="J308" s="8" t="b">
        <f t="shared" si="20"/>
        <v>1</v>
      </c>
      <c r="K308" s="8" t="b">
        <f t="shared" si="21"/>
        <v>1</v>
      </c>
      <c r="L308" s="8" t="b">
        <f t="shared" si="22"/>
        <v>1</v>
      </c>
      <c r="M308" s="8" t="b">
        <f t="shared" si="23"/>
        <v>1</v>
      </c>
      <c r="N308" s="1" t="b">
        <f t="shared" si="24"/>
        <v>1</v>
      </c>
      <c r="O308" s="8" t="str">
        <f>IF(F308="","",IF($F$2=入力リスト!$H$25,ROUNDDOWN(INT(F308)+ROUNDDOWN((F308-INT(F308))*100,0)/60,2),F308))</f>
        <v/>
      </c>
      <c r="P308" s="7"/>
      <c r="Q308" s="7"/>
    </row>
    <row r="309" spans="1:17">
      <c r="A309" s="105"/>
      <c r="B309" s="2"/>
      <c r="C309" s="254"/>
      <c r="D309" s="254"/>
      <c r="E309" s="254"/>
      <c r="F309" s="255"/>
      <c r="G309" s="215" t="str">
        <f>IF(AND($B309="",OR(B309&lt;&gt;"",C309&lt;&gt;"",D309&lt;&gt;"",E309&lt;&gt;"",F309&lt;&gt;"")),入力リスト!$K$34,IF($I309=TRUE,入力リスト!$K$35,IF(J309=FALSE,"「毎月の固定給与額」","")&amp;IF(AND(J309=FALSE,OR(K309=FALSE,L309=FALSE,M309=FALSE)),",","")&amp;IF(K309=FALSE,"「賞与額等」","")&amp;IF(AND(K309=FALSE,OR(L309=FALSE,M309=FALSE)),",","")&amp;IF(L309=FALSE,"「残業手当」","")&amp;IF(AND(L309=FALSE,M309=FALSE),",","")&amp;IF(M309=FALSE,"「残業時間」","")&amp;IF(OR(J309=FALSE,K309=FALSE,L309=FALSE,M309=FALSE),入力リスト!$K$36,"")&amp;IF(N309,"",入力リスト!$K$37)))</f>
        <v/>
      </c>
      <c r="H309" s="215"/>
      <c r="I309" s="1" t="b">
        <f>IF(B309="",FALSE,COUNTIF('従業員情報(給与以外)'!$A$4:$A$1000000,$B309)=0)</f>
        <v>0</v>
      </c>
      <c r="J309" s="8" t="b">
        <f t="shared" si="20"/>
        <v>1</v>
      </c>
      <c r="K309" s="8" t="b">
        <f t="shared" si="21"/>
        <v>1</v>
      </c>
      <c r="L309" s="8" t="b">
        <f t="shared" si="22"/>
        <v>1</v>
      </c>
      <c r="M309" s="8" t="b">
        <f t="shared" si="23"/>
        <v>1</v>
      </c>
      <c r="N309" s="1" t="b">
        <f t="shared" si="24"/>
        <v>1</v>
      </c>
      <c r="O309" s="8" t="str">
        <f>IF(F309="","",IF($F$2=入力リスト!$H$25,ROUNDDOWN(INT(F309)+ROUNDDOWN((F309-INT(F309))*100,0)/60,2),F309))</f>
        <v/>
      </c>
      <c r="P309" s="7"/>
      <c r="Q309" s="7"/>
    </row>
    <row r="310" spans="1:17">
      <c r="A310" s="105"/>
      <c r="B310" s="2"/>
      <c r="C310" s="254"/>
      <c r="D310" s="254"/>
      <c r="E310" s="254"/>
      <c r="F310" s="255"/>
      <c r="G310" s="215" t="str">
        <f>IF(AND($B310="",OR(B310&lt;&gt;"",C310&lt;&gt;"",D310&lt;&gt;"",E310&lt;&gt;"",F310&lt;&gt;"")),入力リスト!$K$34,IF($I310=TRUE,入力リスト!$K$35,IF(J310=FALSE,"「毎月の固定給与額」","")&amp;IF(AND(J310=FALSE,OR(K310=FALSE,L310=FALSE,M310=FALSE)),",","")&amp;IF(K310=FALSE,"「賞与額等」","")&amp;IF(AND(K310=FALSE,OR(L310=FALSE,M310=FALSE)),",","")&amp;IF(L310=FALSE,"「残業手当」","")&amp;IF(AND(L310=FALSE,M310=FALSE),",","")&amp;IF(M310=FALSE,"「残業時間」","")&amp;IF(OR(J310=FALSE,K310=FALSE,L310=FALSE,M310=FALSE),入力リスト!$K$36,"")&amp;IF(N310,"",入力リスト!$K$37)))</f>
        <v/>
      </c>
      <c r="H310" s="215"/>
      <c r="I310" s="1" t="b">
        <f>IF(B310="",FALSE,COUNTIF('従業員情報(給与以外)'!$A$4:$A$1000000,$B310)=0)</f>
        <v>0</v>
      </c>
      <c r="J310" s="8" t="b">
        <f t="shared" si="20"/>
        <v>1</v>
      </c>
      <c r="K310" s="8" t="b">
        <f t="shared" si="21"/>
        <v>1</v>
      </c>
      <c r="L310" s="8" t="b">
        <f t="shared" si="22"/>
        <v>1</v>
      </c>
      <c r="M310" s="8" t="b">
        <f t="shared" si="23"/>
        <v>1</v>
      </c>
      <c r="N310" s="1" t="b">
        <f t="shared" si="24"/>
        <v>1</v>
      </c>
      <c r="O310" s="8" t="str">
        <f>IF(F310="","",IF($F$2=入力リスト!$H$25,ROUNDDOWN(INT(F310)+ROUNDDOWN((F310-INT(F310))*100,0)/60,2),F310))</f>
        <v/>
      </c>
      <c r="P310" s="7"/>
      <c r="Q310" s="7"/>
    </row>
    <row r="311" spans="1:17">
      <c r="A311" s="105"/>
      <c r="B311" s="2"/>
      <c r="C311" s="254"/>
      <c r="D311" s="254"/>
      <c r="E311" s="254"/>
      <c r="F311" s="255"/>
      <c r="G311" s="215" t="str">
        <f>IF(AND($B311="",OR(B311&lt;&gt;"",C311&lt;&gt;"",D311&lt;&gt;"",E311&lt;&gt;"",F311&lt;&gt;"")),入力リスト!$K$34,IF($I311=TRUE,入力リスト!$K$35,IF(J311=FALSE,"「毎月の固定給与額」","")&amp;IF(AND(J311=FALSE,OR(K311=FALSE,L311=FALSE,M311=FALSE)),",","")&amp;IF(K311=FALSE,"「賞与額等」","")&amp;IF(AND(K311=FALSE,OR(L311=FALSE,M311=FALSE)),",","")&amp;IF(L311=FALSE,"「残業手当」","")&amp;IF(AND(L311=FALSE,M311=FALSE),",","")&amp;IF(M311=FALSE,"「残業時間」","")&amp;IF(OR(J311=FALSE,K311=FALSE,L311=FALSE,M311=FALSE),入力リスト!$K$36,"")&amp;IF(N311,"",入力リスト!$K$37)))</f>
        <v/>
      </c>
      <c r="H311" s="215"/>
      <c r="I311" s="1" t="b">
        <f>IF(B311="",FALSE,COUNTIF('従業員情報(給与以外)'!$A$4:$A$1000000,$B311)=0)</f>
        <v>0</v>
      </c>
      <c r="J311" s="8" t="b">
        <f t="shared" si="20"/>
        <v>1</v>
      </c>
      <c r="K311" s="8" t="b">
        <f t="shared" si="21"/>
        <v>1</v>
      </c>
      <c r="L311" s="8" t="b">
        <f t="shared" si="22"/>
        <v>1</v>
      </c>
      <c r="M311" s="8" t="b">
        <f t="shared" si="23"/>
        <v>1</v>
      </c>
      <c r="N311" s="1" t="b">
        <f t="shared" si="24"/>
        <v>1</v>
      </c>
      <c r="O311" s="8" t="str">
        <f>IF(F311="","",IF($F$2=入力リスト!$H$25,ROUNDDOWN(INT(F311)+ROUNDDOWN((F311-INT(F311))*100,0)/60,2),F311))</f>
        <v/>
      </c>
      <c r="P311" s="7"/>
      <c r="Q311" s="7"/>
    </row>
    <row r="312" spans="1:17">
      <c r="A312" s="105"/>
      <c r="B312" s="2"/>
      <c r="C312" s="254"/>
      <c r="D312" s="254"/>
      <c r="E312" s="254"/>
      <c r="F312" s="255"/>
      <c r="G312" s="215" t="str">
        <f>IF(AND($B312="",OR(B312&lt;&gt;"",C312&lt;&gt;"",D312&lt;&gt;"",E312&lt;&gt;"",F312&lt;&gt;"")),入力リスト!$K$34,IF($I312=TRUE,入力リスト!$K$35,IF(J312=FALSE,"「毎月の固定給与額」","")&amp;IF(AND(J312=FALSE,OR(K312=FALSE,L312=FALSE,M312=FALSE)),",","")&amp;IF(K312=FALSE,"「賞与額等」","")&amp;IF(AND(K312=FALSE,OR(L312=FALSE,M312=FALSE)),",","")&amp;IF(L312=FALSE,"「残業手当」","")&amp;IF(AND(L312=FALSE,M312=FALSE),",","")&amp;IF(M312=FALSE,"「残業時間」","")&amp;IF(OR(J312=FALSE,K312=FALSE,L312=FALSE,M312=FALSE),入力リスト!$K$36,"")&amp;IF(N312,"",入力リスト!$K$37)))</f>
        <v/>
      </c>
      <c r="H312" s="215"/>
      <c r="I312" s="1" t="b">
        <f>IF(B312="",FALSE,COUNTIF('従業員情報(給与以外)'!$A$4:$A$1000000,$B312)=0)</f>
        <v>0</v>
      </c>
      <c r="J312" s="8" t="b">
        <f t="shared" si="20"/>
        <v>1</v>
      </c>
      <c r="K312" s="8" t="b">
        <f t="shared" si="21"/>
        <v>1</v>
      </c>
      <c r="L312" s="8" t="b">
        <f t="shared" si="22"/>
        <v>1</v>
      </c>
      <c r="M312" s="8" t="b">
        <f t="shared" si="23"/>
        <v>1</v>
      </c>
      <c r="N312" s="1" t="b">
        <f t="shared" si="24"/>
        <v>1</v>
      </c>
      <c r="O312" s="8" t="str">
        <f>IF(F312="","",IF($F$2=入力リスト!$H$25,ROUNDDOWN(INT(F312)+ROUNDDOWN((F312-INT(F312))*100,0)/60,2),F312))</f>
        <v/>
      </c>
      <c r="P312" s="7"/>
      <c r="Q312" s="7"/>
    </row>
    <row r="313" spans="1:17">
      <c r="A313" s="105"/>
      <c r="B313" s="2"/>
      <c r="C313" s="254"/>
      <c r="D313" s="254"/>
      <c r="E313" s="254"/>
      <c r="F313" s="255"/>
      <c r="G313" s="215" t="str">
        <f>IF(AND($B313="",OR(B313&lt;&gt;"",C313&lt;&gt;"",D313&lt;&gt;"",E313&lt;&gt;"",F313&lt;&gt;"")),入力リスト!$K$34,IF($I313=TRUE,入力リスト!$K$35,IF(J313=FALSE,"「毎月の固定給与額」","")&amp;IF(AND(J313=FALSE,OR(K313=FALSE,L313=FALSE,M313=FALSE)),",","")&amp;IF(K313=FALSE,"「賞与額等」","")&amp;IF(AND(K313=FALSE,OR(L313=FALSE,M313=FALSE)),",","")&amp;IF(L313=FALSE,"「残業手当」","")&amp;IF(AND(L313=FALSE,M313=FALSE),",","")&amp;IF(M313=FALSE,"「残業時間」","")&amp;IF(OR(J313=FALSE,K313=FALSE,L313=FALSE,M313=FALSE),入力リスト!$K$36,"")&amp;IF(N313,"",入力リスト!$K$37)))</f>
        <v/>
      </c>
      <c r="H313" s="215"/>
      <c r="I313" s="1" t="b">
        <f>IF(B313="",FALSE,COUNTIF('従業員情報(給与以外)'!$A$4:$A$1000000,$B313)=0)</f>
        <v>0</v>
      </c>
      <c r="J313" s="8" t="b">
        <f t="shared" si="20"/>
        <v>1</v>
      </c>
      <c r="K313" s="8" t="b">
        <f t="shared" si="21"/>
        <v>1</v>
      </c>
      <c r="L313" s="8" t="b">
        <f t="shared" si="22"/>
        <v>1</v>
      </c>
      <c r="M313" s="8" t="b">
        <f t="shared" si="23"/>
        <v>1</v>
      </c>
      <c r="N313" s="1" t="b">
        <f t="shared" si="24"/>
        <v>1</v>
      </c>
      <c r="O313" s="8" t="str">
        <f>IF(F313="","",IF($F$2=入力リスト!$H$25,ROUNDDOWN(INT(F313)+ROUNDDOWN((F313-INT(F313))*100,0)/60,2),F313))</f>
        <v/>
      </c>
      <c r="P313" s="7"/>
      <c r="Q313" s="7"/>
    </row>
    <row r="314" spans="1:17">
      <c r="A314" s="105"/>
      <c r="B314" s="2"/>
      <c r="C314" s="254"/>
      <c r="D314" s="254"/>
      <c r="E314" s="254"/>
      <c r="F314" s="255"/>
      <c r="G314" s="215" t="str">
        <f>IF(AND($B314="",OR(B314&lt;&gt;"",C314&lt;&gt;"",D314&lt;&gt;"",E314&lt;&gt;"",F314&lt;&gt;"")),入力リスト!$K$34,IF($I314=TRUE,入力リスト!$K$35,IF(J314=FALSE,"「毎月の固定給与額」","")&amp;IF(AND(J314=FALSE,OR(K314=FALSE,L314=FALSE,M314=FALSE)),",","")&amp;IF(K314=FALSE,"「賞与額等」","")&amp;IF(AND(K314=FALSE,OR(L314=FALSE,M314=FALSE)),",","")&amp;IF(L314=FALSE,"「残業手当」","")&amp;IF(AND(L314=FALSE,M314=FALSE),",","")&amp;IF(M314=FALSE,"「残業時間」","")&amp;IF(OR(J314=FALSE,K314=FALSE,L314=FALSE,M314=FALSE),入力リスト!$K$36,"")&amp;IF(N314,"",入力リスト!$K$37)))</f>
        <v/>
      </c>
      <c r="H314" s="215"/>
      <c r="I314" s="1" t="b">
        <f>IF(B314="",FALSE,COUNTIF('従業員情報(給与以外)'!$A$4:$A$1000000,$B314)=0)</f>
        <v>0</v>
      </c>
      <c r="J314" s="8" t="b">
        <f t="shared" si="20"/>
        <v>1</v>
      </c>
      <c r="K314" s="8" t="b">
        <f t="shared" si="21"/>
        <v>1</v>
      </c>
      <c r="L314" s="8" t="b">
        <f t="shared" si="22"/>
        <v>1</v>
      </c>
      <c r="M314" s="8" t="b">
        <f t="shared" si="23"/>
        <v>1</v>
      </c>
      <c r="N314" s="1" t="b">
        <f t="shared" si="24"/>
        <v>1</v>
      </c>
      <c r="O314" s="8" t="str">
        <f>IF(F314="","",IF($F$2=入力リスト!$H$25,ROUNDDOWN(INT(F314)+ROUNDDOWN((F314-INT(F314))*100,0)/60,2),F314))</f>
        <v/>
      </c>
      <c r="P314" s="7"/>
      <c r="Q314" s="7"/>
    </row>
    <row r="315" spans="1:17">
      <c r="A315" s="105"/>
      <c r="B315" s="2"/>
      <c r="C315" s="254"/>
      <c r="D315" s="254"/>
      <c r="E315" s="254"/>
      <c r="F315" s="255"/>
      <c r="G315" s="215" t="str">
        <f>IF(AND($B315="",OR(B315&lt;&gt;"",C315&lt;&gt;"",D315&lt;&gt;"",E315&lt;&gt;"",F315&lt;&gt;"")),入力リスト!$K$34,IF($I315=TRUE,入力リスト!$K$35,IF(J315=FALSE,"「毎月の固定給与額」","")&amp;IF(AND(J315=FALSE,OR(K315=FALSE,L315=FALSE,M315=FALSE)),",","")&amp;IF(K315=FALSE,"「賞与額等」","")&amp;IF(AND(K315=FALSE,OR(L315=FALSE,M315=FALSE)),",","")&amp;IF(L315=FALSE,"「残業手当」","")&amp;IF(AND(L315=FALSE,M315=FALSE),",","")&amp;IF(M315=FALSE,"「残業時間」","")&amp;IF(OR(J315=FALSE,K315=FALSE,L315=FALSE,M315=FALSE),入力リスト!$K$36,"")&amp;IF(N315,"",入力リスト!$K$37)))</f>
        <v/>
      </c>
      <c r="H315" s="215"/>
      <c r="I315" s="1" t="b">
        <f>IF(B315="",FALSE,COUNTIF('従業員情報(給与以外)'!$A$4:$A$1000000,$B315)=0)</f>
        <v>0</v>
      </c>
      <c r="J315" s="8" t="b">
        <f t="shared" si="20"/>
        <v>1</v>
      </c>
      <c r="K315" s="8" t="b">
        <f t="shared" si="21"/>
        <v>1</v>
      </c>
      <c r="L315" s="8" t="b">
        <f t="shared" si="22"/>
        <v>1</v>
      </c>
      <c r="M315" s="8" t="b">
        <f t="shared" si="23"/>
        <v>1</v>
      </c>
      <c r="N315" s="1" t="b">
        <f t="shared" si="24"/>
        <v>1</v>
      </c>
      <c r="O315" s="8" t="str">
        <f>IF(F315="","",IF($F$2=入力リスト!$H$25,ROUNDDOWN(INT(F315)+ROUNDDOWN((F315-INT(F315))*100,0)/60,2),F315))</f>
        <v/>
      </c>
      <c r="P315" s="7"/>
      <c r="Q315" s="7"/>
    </row>
    <row r="316" spans="1:17">
      <c r="A316" s="105"/>
      <c r="B316" s="2"/>
      <c r="C316" s="254"/>
      <c r="D316" s="254"/>
      <c r="E316" s="254"/>
      <c r="F316" s="255"/>
      <c r="G316" s="215" t="str">
        <f>IF(AND($B316="",OR(B316&lt;&gt;"",C316&lt;&gt;"",D316&lt;&gt;"",E316&lt;&gt;"",F316&lt;&gt;"")),入力リスト!$K$34,IF($I316=TRUE,入力リスト!$K$35,IF(J316=FALSE,"「毎月の固定給与額」","")&amp;IF(AND(J316=FALSE,OR(K316=FALSE,L316=FALSE,M316=FALSE)),",","")&amp;IF(K316=FALSE,"「賞与額等」","")&amp;IF(AND(K316=FALSE,OR(L316=FALSE,M316=FALSE)),",","")&amp;IF(L316=FALSE,"「残業手当」","")&amp;IF(AND(L316=FALSE,M316=FALSE),",","")&amp;IF(M316=FALSE,"「残業時間」","")&amp;IF(OR(J316=FALSE,K316=FALSE,L316=FALSE,M316=FALSE),入力リスト!$K$36,"")&amp;IF(N316,"",入力リスト!$K$37)))</f>
        <v/>
      </c>
      <c r="H316" s="215"/>
      <c r="I316" s="1" t="b">
        <f>IF(B316="",FALSE,COUNTIF('従業員情報(給与以外)'!$A$4:$A$1000000,$B316)=0)</f>
        <v>0</v>
      </c>
      <c r="J316" s="8" t="b">
        <f t="shared" si="20"/>
        <v>1</v>
      </c>
      <c r="K316" s="8" t="b">
        <f t="shared" si="21"/>
        <v>1</v>
      </c>
      <c r="L316" s="8" t="b">
        <f t="shared" si="22"/>
        <v>1</v>
      </c>
      <c r="M316" s="8" t="b">
        <f t="shared" si="23"/>
        <v>1</v>
      </c>
      <c r="N316" s="1" t="b">
        <f t="shared" si="24"/>
        <v>1</v>
      </c>
      <c r="O316" s="8" t="str">
        <f>IF(F316="","",IF($F$2=入力リスト!$H$25,ROUNDDOWN(INT(F316)+ROUNDDOWN((F316-INT(F316))*100,0)/60,2),F316))</f>
        <v/>
      </c>
      <c r="P316" s="7"/>
      <c r="Q316" s="7"/>
    </row>
    <row r="317" spans="1:17">
      <c r="A317" s="105"/>
      <c r="B317" s="2"/>
      <c r="C317" s="254"/>
      <c r="D317" s="254"/>
      <c r="E317" s="254"/>
      <c r="F317" s="255"/>
      <c r="G317" s="215" t="str">
        <f>IF(AND($B317="",OR(B317&lt;&gt;"",C317&lt;&gt;"",D317&lt;&gt;"",E317&lt;&gt;"",F317&lt;&gt;"")),入力リスト!$K$34,IF($I317=TRUE,入力リスト!$K$35,IF(J317=FALSE,"「毎月の固定給与額」","")&amp;IF(AND(J317=FALSE,OR(K317=FALSE,L317=FALSE,M317=FALSE)),",","")&amp;IF(K317=FALSE,"「賞与額等」","")&amp;IF(AND(K317=FALSE,OR(L317=FALSE,M317=FALSE)),",","")&amp;IF(L317=FALSE,"「残業手当」","")&amp;IF(AND(L317=FALSE,M317=FALSE),",","")&amp;IF(M317=FALSE,"「残業時間」","")&amp;IF(OR(J317=FALSE,K317=FALSE,L317=FALSE,M317=FALSE),入力リスト!$K$36,"")&amp;IF(N317,"",入力リスト!$K$37)))</f>
        <v/>
      </c>
      <c r="H317" s="215"/>
      <c r="I317" s="1" t="b">
        <f>IF(B317="",FALSE,COUNTIF('従業員情報(給与以外)'!$A$4:$A$1000000,$B317)=0)</f>
        <v>0</v>
      </c>
      <c r="J317" s="8" t="b">
        <f t="shared" si="20"/>
        <v>1</v>
      </c>
      <c r="K317" s="8" t="b">
        <f t="shared" si="21"/>
        <v>1</v>
      </c>
      <c r="L317" s="8" t="b">
        <f t="shared" si="22"/>
        <v>1</v>
      </c>
      <c r="M317" s="8" t="b">
        <f t="shared" si="23"/>
        <v>1</v>
      </c>
      <c r="N317" s="1" t="b">
        <f t="shared" si="24"/>
        <v>1</v>
      </c>
      <c r="O317" s="8" t="str">
        <f>IF(F317="","",IF($F$2=入力リスト!$H$25,ROUNDDOWN(INT(F317)+ROUNDDOWN((F317-INT(F317))*100,0)/60,2),F317))</f>
        <v/>
      </c>
      <c r="P317" s="7"/>
      <c r="Q317" s="7"/>
    </row>
    <row r="318" spans="1:17">
      <c r="A318" s="105"/>
      <c r="B318" s="2"/>
      <c r="C318" s="254"/>
      <c r="D318" s="254"/>
      <c r="E318" s="254"/>
      <c r="F318" s="255"/>
      <c r="G318" s="215" t="str">
        <f>IF(AND($B318="",OR(B318&lt;&gt;"",C318&lt;&gt;"",D318&lt;&gt;"",E318&lt;&gt;"",F318&lt;&gt;"")),入力リスト!$K$34,IF($I318=TRUE,入力リスト!$K$35,IF(J318=FALSE,"「毎月の固定給与額」","")&amp;IF(AND(J318=FALSE,OR(K318=FALSE,L318=FALSE,M318=FALSE)),",","")&amp;IF(K318=FALSE,"「賞与額等」","")&amp;IF(AND(K318=FALSE,OR(L318=FALSE,M318=FALSE)),",","")&amp;IF(L318=FALSE,"「残業手当」","")&amp;IF(AND(L318=FALSE,M318=FALSE),",","")&amp;IF(M318=FALSE,"「残業時間」","")&amp;IF(OR(J318=FALSE,K318=FALSE,L318=FALSE,M318=FALSE),入力リスト!$K$36,"")&amp;IF(N318,"",入力リスト!$K$37)))</f>
        <v/>
      </c>
      <c r="H318" s="215"/>
      <c r="I318" s="1" t="b">
        <f>IF(B318="",FALSE,COUNTIF('従業員情報(給与以外)'!$A$4:$A$1000000,$B318)=0)</f>
        <v>0</v>
      </c>
      <c r="J318" s="8" t="b">
        <f t="shared" si="20"/>
        <v>1</v>
      </c>
      <c r="K318" s="8" t="b">
        <f t="shared" si="21"/>
        <v>1</v>
      </c>
      <c r="L318" s="8" t="b">
        <f t="shared" si="22"/>
        <v>1</v>
      </c>
      <c r="M318" s="8" t="b">
        <f t="shared" si="23"/>
        <v>1</v>
      </c>
      <c r="N318" s="1" t="b">
        <f t="shared" si="24"/>
        <v>1</v>
      </c>
      <c r="O318" s="8" t="str">
        <f>IF(F318="","",IF($F$2=入力リスト!$H$25,ROUNDDOWN(INT(F318)+ROUNDDOWN((F318-INT(F318))*100,0)/60,2),F318))</f>
        <v/>
      </c>
      <c r="P318" s="7"/>
      <c r="Q318" s="7"/>
    </row>
    <row r="319" spans="1:17">
      <c r="A319" s="105"/>
      <c r="B319" s="2"/>
      <c r="C319" s="254"/>
      <c r="D319" s="254"/>
      <c r="E319" s="254"/>
      <c r="F319" s="255"/>
      <c r="G319" s="215" t="str">
        <f>IF(AND($B319="",OR(B319&lt;&gt;"",C319&lt;&gt;"",D319&lt;&gt;"",E319&lt;&gt;"",F319&lt;&gt;"")),入力リスト!$K$34,IF($I319=TRUE,入力リスト!$K$35,IF(J319=FALSE,"「毎月の固定給与額」","")&amp;IF(AND(J319=FALSE,OR(K319=FALSE,L319=FALSE,M319=FALSE)),",","")&amp;IF(K319=FALSE,"「賞与額等」","")&amp;IF(AND(K319=FALSE,OR(L319=FALSE,M319=FALSE)),",","")&amp;IF(L319=FALSE,"「残業手当」","")&amp;IF(AND(L319=FALSE,M319=FALSE),",","")&amp;IF(M319=FALSE,"「残業時間」","")&amp;IF(OR(J319=FALSE,K319=FALSE,L319=FALSE,M319=FALSE),入力リスト!$K$36,"")&amp;IF(N319,"",入力リスト!$K$37)))</f>
        <v/>
      </c>
      <c r="H319" s="215"/>
      <c r="I319" s="1" t="b">
        <f>IF(B319="",FALSE,COUNTIF('従業員情報(給与以外)'!$A$4:$A$1000000,$B319)=0)</f>
        <v>0</v>
      </c>
      <c r="J319" s="8" t="b">
        <f t="shared" si="20"/>
        <v>1</v>
      </c>
      <c r="K319" s="8" t="b">
        <f t="shared" si="21"/>
        <v>1</v>
      </c>
      <c r="L319" s="8" t="b">
        <f t="shared" si="22"/>
        <v>1</v>
      </c>
      <c r="M319" s="8" t="b">
        <f t="shared" si="23"/>
        <v>1</v>
      </c>
      <c r="N319" s="1" t="b">
        <f t="shared" si="24"/>
        <v>1</v>
      </c>
      <c r="O319" s="8" t="str">
        <f>IF(F319="","",IF($F$2=入力リスト!$H$25,ROUNDDOWN(INT(F319)+ROUNDDOWN((F319-INT(F319))*100,0)/60,2),F319))</f>
        <v/>
      </c>
      <c r="P319" s="7"/>
      <c r="Q319" s="7"/>
    </row>
    <row r="320" spans="1:17">
      <c r="A320" s="105"/>
      <c r="B320" s="2"/>
      <c r="C320" s="254"/>
      <c r="D320" s="254"/>
      <c r="E320" s="254"/>
      <c r="F320" s="255"/>
      <c r="G320" s="215" t="str">
        <f>IF(AND($B320="",OR(B320&lt;&gt;"",C320&lt;&gt;"",D320&lt;&gt;"",E320&lt;&gt;"",F320&lt;&gt;"")),入力リスト!$K$34,IF($I320=TRUE,入力リスト!$K$35,IF(J320=FALSE,"「毎月の固定給与額」","")&amp;IF(AND(J320=FALSE,OR(K320=FALSE,L320=FALSE,M320=FALSE)),",","")&amp;IF(K320=FALSE,"「賞与額等」","")&amp;IF(AND(K320=FALSE,OR(L320=FALSE,M320=FALSE)),",","")&amp;IF(L320=FALSE,"「残業手当」","")&amp;IF(AND(L320=FALSE,M320=FALSE),",","")&amp;IF(M320=FALSE,"「残業時間」","")&amp;IF(OR(J320=FALSE,K320=FALSE,L320=FALSE,M320=FALSE),入力リスト!$K$36,"")&amp;IF(N320,"",入力リスト!$K$37)))</f>
        <v/>
      </c>
      <c r="H320" s="215"/>
      <c r="I320" s="1" t="b">
        <f>IF(B320="",FALSE,COUNTIF('従業員情報(給与以外)'!$A$4:$A$1000000,$B320)=0)</f>
        <v>0</v>
      </c>
      <c r="J320" s="8" t="b">
        <f t="shared" si="20"/>
        <v>1</v>
      </c>
      <c r="K320" s="8" t="b">
        <f t="shared" si="21"/>
        <v>1</v>
      </c>
      <c r="L320" s="8" t="b">
        <f t="shared" si="22"/>
        <v>1</v>
      </c>
      <c r="M320" s="8" t="b">
        <f t="shared" si="23"/>
        <v>1</v>
      </c>
      <c r="N320" s="1" t="b">
        <f t="shared" si="24"/>
        <v>1</v>
      </c>
      <c r="O320" s="8" t="str">
        <f>IF(F320="","",IF($F$2=入力リスト!$H$25,ROUNDDOWN(INT(F320)+ROUNDDOWN((F320-INT(F320))*100,0)/60,2),F320))</f>
        <v/>
      </c>
      <c r="P320" s="7"/>
      <c r="Q320" s="7"/>
    </row>
    <row r="321" spans="1:17">
      <c r="A321" s="105"/>
      <c r="B321" s="2"/>
      <c r="C321" s="254"/>
      <c r="D321" s="254"/>
      <c r="E321" s="254"/>
      <c r="F321" s="255"/>
      <c r="G321" s="215" t="str">
        <f>IF(AND($B321="",OR(B321&lt;&gt;"",C321&lt;&gt;"",D321&lt;&gt;"",E321&lt;&gt;"",F321&lt;&gt;"")),入力リスト!$K$34,IF($I321=TRUE,入力リスト!$K$35,IF(J321=FALSE,"「毎月の固定給与額」","")&amp;IF(AND(J321=FALSE,OR(K321=FALSE,L321=FALSE,M321=FALSE)),",","")&amp;IF(K321=FALSE,"「賞与額等」","")&amp;IF(AND(K321=FALSE,OR(L321=FALSE,M321=FALSE)),",","")&amp;IF(L321=FALSE,"「残業手当」","")&amp;IF(AND(L321=FALSE,M321=FALSE),",","")&amp;IF(M321=FALSE,"「残業時間」","")&amp;IF(OR(J321=FALSE,K321=FALSE,L321=FALSE,M321=FALSE),入力リスト!$K$36,"")&amp;IF(N321,"",入力リスト!$K$37)))</f>
        <v/>
      </c>
      <c r="H321" s="215"/>
      <c r="I321" s="1" t="b">
        <f>IF(B321="",FALSE,COUNTIF('従業員情報(給与以外)'!$A$4:$A$1000000,$B321)=0)</f>
        <v>0</v>
      </c>
      <c r="J321" s="8" t="b">
        <f t="shared" si="20"/>
        <v>1</v>
      </c>
      <c r="K321" s="8" t="b">
        <f t="shared" si="21"/>
        <v>1</v>
      </c>
      <c r="L321" s="8" t="b">
        <f t="shared" si="22"/>
        <v>1</v>
      </c>
      <c r="M321" s="8" t="b">
        <f t="shared" si="23"/>
        <v>1</v>
      </c>
      <c r="N321" s="1" t="b">
        <f t="shared" si="24"/>
        <v>1</v>
      </c>
      <c r="O321" s="8" t="str">
        <f>IF(F321="","",IF($F$2=入力リスト!$H$25,ROUNDDOWN(INT(F321)+ROUNDDOWN((F321-INT(F321))*100,0)/60,2),F321))</f>
        <v/>
      </c>
      <c r="P321" s="7"/>
      <c r="Q321" s="7"/>
    </row>
    <row r="322" spans="1:17">
      <c r="A322" s="105"/>
      <c r="B322" s="2"/>
      <c r="C322" s="254"/>
      <c r="D322" s="254"/>
      <c r="E322" s="254"/>
      <c r="F322" s="255"/>
      <c r="G322" s="215" t="str">
        <f>IF(AND($B322="",OR(B322&lt;&gt;"",C322&lt;&gt;"",D322&lt;&gt;"",E322&lt;&gt;"",F322&lt;&gt;"")),入力リスト!$K$34,IF($I322=TRUE,入力リスト!$K$35,IF(J322=FALSE,"「毎月の固定給与額」","")&amp;IF(AND(J322=FALSE,OR(K322=FALSE,L322=FALSE,M322=FALSE)),",","")&amp;IF(K322=FALSE,"「賞与額等」","")&amp;IF(AND(K322=FALSE,OR(L322=FALSE,M322=FALSE)),",","")&amp;IF(L322=FALSE,"「残業手当」","")&amp;IF(AND(L322=FALSE,M322=FALSE),",","")&amp;IF(M322=FALSE,"「残業時間」","")&amp;IF(OR(J322=FALSE,K322=FALSE,L322=FALSE,M322=FALSE),入力リスト!$K$36,"")&amp;IF(N322,"",入力リスト!$K$37)))</f>
        <v/>
      </c>
      <c r="H322" s="215"/>
      <c r="I322" s="1" t="b">
        <f>IF(B322="",FALSE,COUNTIF('従業員情報(給与以外)'!$A$4:$A$1000000,$B322)=0)</f>
        <v>0</v>
      </c>
      <c r="J322" s="8" t="b">
        <f t="shared" si="20"/>
        <v>1</v>
      </c>
      <c r="K322" s="8" t="b">
        <f t="shared" si="21"/>
        <v>1</v>
      </c>
      <c r="L322" s="8" t="b">
        <f t="shared" si="22"/>
        <v>1</v>
      </c>
      <c r="M322" s="8" t="b">
        <f t="shared" si="23"/>
        <v>1</v>
      </c>
      <c r="N322" s="1" t="b">
        <f t="shared" si="24"/>
        <v>1</v>
      </c>
      <c r="O322" s="8" t="str">
        <f>IF(F322="","",IF($F$2=入力リスト!$H$25,ROUNDDOWN(INT(F322)+ROUNDDOWN((F322-INT(F322))*100,0)/60,2),F322))</f>
        <v/>
      </c>
      <c r="P322" s="7"/>
      <c r="Q322" s="7"/>
    </row>
    <row r="323" spans="1:17">
      <c r="A323" s="105"/>
      <c r="B323" s="2"/>
      <c r="C323" s="254"/>
      <c r="D323" s="254"/>
      <c r="E323" s="254"/>
      <c r="F323" s="255"/>
      <c r="G323" s="215" t="str">
        <f>IF(AND($B323="",OR(B323&lt;&gt;"",C323&lt;&gt;"",D323&lt;&gt;"",E323&lt;&gt;"",F323&lt;&gt;"")),入力リスト!$K$34,IF($I323=TRUE,入力リスト!$K$35,IF(J323=FALSE,"「毎月の固定給与額」","")&amp;IF(AND(J323=FALSE,OR(K323=FALSE,L323=FALSE,M323=FALSE)),",","")&amp;IF(K323=FALSE,"「賞与額等」","")&amp;IF(AND(K323=FALSE,OR(L323=FALSE,M323=FALSE)),",","")&amp;IF(L323=FALSE,"「残業手当」","")&amp;IF(AND(L323=FALSE,M323=FALSE),",","")&amp;IF(M323=FALSE,"「残業時間」","")&amp;IF(OR(J323=FALSE,K323=FALSE,L323=FALSE,M323=FALSE),入力リスト!$K$36,"")&amp;IF(N323,"",入力リスト!$K$37)))</f>
        <v/>
      </c>
      <c r="H323" s="215"/>
      <c r="I323" s="1" t="b">
        <f>IF(B323="",FALSE,COUNTIF('従業員情報(給与以外)'!$A$4:$A$1000000,$B323)=0)</f>
        <v>0</v>
      </c>
      <c r="J323" s="8" t="b">
        <f t="shared" si="20"/>
        <v>1</v>
      </c>
      <c r="K323" s="8" t="b">
        <f t="shared" si="21"/>
        <v>1</v>
      </c>
      <c r="L323" s="8" t="b">
        <f t="shared" si="22"/>
        <v>1</v>
      </c>
      <c r="M323" s="8" t="b">
        <f t="shared" si="23"/>
        <v>1</v>
      </c>
      <c r="N323" s="1" t="b">
        <f t="shared" si="24"/>
        <v>1</v>
      </c>
      <c r="O323" s="8" t="str">
        <f>IF(F323="","",IF($F$2=入力リスト!$H$25,ROUNDDOWN(INT(F323)+ROUNDDOWN((F323-INT(F323))*100,0)/60,2),F323))</f>
        <v/>
      </c>
      <c r="P323" s="7"/>
      <c r="Q323" s="7"/>
    </row>
    <row r="324" spans="1:17">
      <c r="A324" s="105"/>
      <c r="B324" s="2"/>
      <c r="C324" s="254"/>
      <c r="D324" s="254"/>
      <c r="E324" s="254"/>
      <c r="F324" s="255"/>
      <c r="G324" s="215" t="str">
        <f>IF(AND($B324="",OR(B324&lt;&gt;"",C324&lt;&gt;"",D324&lt;&gt;"",E324&lt;&gt;"",F324&lt;&gt;"")),入力リスト!$K$34,IF($I324=TRUE,入力リスト!$K$35,IF(J324=FALSE,"「毎月の固定給与額」","")&amp;IF(AND(J324=FALSE,OR(K324=FALSE,L324=FALSE,M324=FALSE)),",","")&amp;IF(K324=FALSE,"「賞与額等」","")&amp;IF(AND(K324=FALSE,OR(L324=FALSE,M324=FALSE)),",","")&amp;IF(L324=FALSE,"「残業手当」","")&amp;IF(AND(L324=FALSE,M324=FALSE),",","")&amp;IF(M324=FALSE,"「残業時間」","")&amp;IF(OR(J324=FALSE,K324=FALSE,L324=FALSE,M324=FALSE),入力リスト!$K$36,"")&amp;IF(N324,"",入力リスト!$K$37)))</f>
        <v/>
      </c>
      <c r="H324" s="215"/>
      <c r="I324" s="1" t="b">
        <f>IF(B324="",FALSE,COUNTIF('従業員情報(給与以外)'!$A$4:$A$1000000,$B324)=0)</f>
        <v>0</v>
      </c>
      <c r="J324" s="8" t="b">
        <f t="shared" si="20"/>
        <v>1</v>
      </c>
      <c r="K324" s="8" t="b">
        <f t="shared" si="21"/>
        <v>1</v>
      </c>
      <c r="L324" s="8" t="b">
        <f t="shared" si="22"/>
        <v>1</v>
      </c>
      <c r="M324" s="8" t="b">
        <f t="shared" si="23"/>
        <v>1</v>
      </c>
      <c r="N324" s="1" t="b">
        <f t="shared" si="24"/>
        <v>1</v>
      </c>
      <c r="O324" s="8" t="str">
        <f>IF(F324="","",IF($F$2=入力リスト!$H$25,ROUNDDOWN(INT(F324)+ROUNDDOWN((F324-INT(F324))*100,0)/60,2),F324))</f>
        <v/>
      </c>
      <c r="P324" s="7"/>
      <c r="Q324" s="7"/>
    </row>
    <row r="325" spans="1:17">
      <c r="A325" s="105"/>
      <c r="B325" s="2"/>
      <c r="C325" s="254"/>
      <c r="D325" s="254"/>
      <c r="E325" s="254"/>
      <c r="F325" s="255"/>
      <c r="G325" s="215" t="str">
        <f>IF(AND($B325="",OR(B325&lt;&gt;"",C325&lt;&gt;"",D325&lt;&gt;"",E325&lt;&gt;"",F325&lt;&gt;"")),入力リスト!$K$34,IF($I325=TRUE,入力リスト!$K$35,IF(J325=FALSE,"「毎月の固定給与額」","")&amp;IF(AND(J325=FALSE,OR(K325=FALSE,L325=FALSE,M325=FALSE)),",","")&amp;IF(K325=FALSE,"「賞与額等」","")&amp;IF(AND(K325=FALSE,OR(L325=FALSE,M325=FALSE)),",","")&amp;IF(L325=FALSE,"「残業手当」","")&amp;IF(AND(L325=FALSE,M325=FALSE),",","")&amp;IF(M325=FALSE,"「残業時間」","")&amp;IF(OR(J325=FALSE,K325=FALSE,L325=FALSE,M325=FALSE),入力リスト!$K$36,"")&amp;IF(N325,"",入力リスト!$K$37)))</f>
        <v/>
      </c>
      <c r="H325" s="215"/>
      <c r="I325" s="1" t="b">
        <f>IF(B325="",FALSE,COUNTIF('従業員情報(給与以外)'!$A$4:$A$1000000,$B325)=0)</f>
        <v>0</v>
      </c>
      <c r="J325" s="8" t="b">
        <f t="shared" ref="J325:J388" si="25">OR(C325="",ISNUMBER(C325))</f>
        <v>1</v>
      </c>
      <c r="K325" s="8" t="b">
        <f t="shared" ref="K325:K388" si="26">OR(D325="",ISNUMBER(D325))</f>
        <v>1</v>
      </c>
      <c r="L325" s="8" t="b">
        <f t="shared" ref="L325:L388" si="27">OR(E325="",ISNUMBER(E325))</f>
        <v>1</v>
      </c>
      <c r="M325" s="8" t="b">
        <f t="shared" ref="M325:M388" si="28">OR(F325="",ISNUMBER(F325))</f>
        <v>1</v>
      </c>
      <c r="N325" s="1" t="b">
        <f t="shared" ref="N325:N388" si="29">IF($N$1,TRUE,IF($N$2,IF(F325-INT(F325)&lt;0.6,TRUE,FALSE),TRUE))</f>
        <v>1</v>
      </c>
      <c r="O325" s="8" t="str">
        <f>IF(F325="","",IF($F$2=入力リスト!$H$25,ROUNDDOWN(INT(F325)+ROUNDDOWN((F325-INT(F325))*100,0)/60,2),F325))</f>
        <v/>
      </c>
      <c r="P325" s="7"/>
      <c r="Q325" s="7"/>
    </row>
    <row r="326" spans="1:17">
      <c r="A326" s="105"/>
      <c r="B326" s="2"/>
      <c r="C326" s="254"/>
      <c r="D326" s="254"/>
      <c r="E326" s="254"/>
      <c r="F326" s="255"/>
      <c r="G326" s="215" t="str">
        <f>IF(AND($B326="",OR(B326&lt;&gt;"",C326&lt;&gt;"",D326&lt;&gt;"",E326&lt;&gt;"",F326&lt;&gt;"")),入力リスト!$K$34,IF($I326=TRUE,入力リスト!$K$35,IF(J326=FALSE,"「毎月の固定給与額」","")&amp;IF(AND(J326=FALSE,OR(K326=FALSE,L326=FALSE,M326=FALSE)),",","")&amp;IF(K326=FALSE,"「賞与額等」","")&amp;IF(AND(K326=FALSE,OR(L326=FALSE,M326=FALSE)),",","")&amp;IF(L326=FALSE,"「残業手当」","")&amp;IF(AND(L326=FALSE,M326=FALSE),",","")&amp;IF(M326=FALSE,"「残業時間」","")&amp;IF(OR(J326=FALSE,K326=FALSE,L326=FALSE,M326=FALSE),入力リスト!$K$36,"")&amp;IF(N326,"",入力リスト!$K$37)))</f>
        <v/>
      </c>
      <c r="H326" s="215"/>
      <c r="I326" s="1" t="b">
        <f>IF(B326="",FALSE,COUNTIF('従業員情報(給与以外)'!$A$4:$A$1000000,$B326)=0)</f>
        <v>0</v>
      </c>
      <c r="J326" s="8" t="b">
        <f t="shared" si="25"/>
        <v>1</v>
      </c>
      <c r="K326" s="8" t="b">
        <f t="shared" si="26"/>
        <v>1</v>
      </c>
      <c r="L326" s="8" t="b">
        <f t="shared" si="27"/>
        <v>1</v>
      </c>
      <c r="M326" s="8" t="b">
        <f t="shared" si="28"/>
        <v>1</v>
      </c>
      <c r="N326" s="1" t="b">
        <f t="shared" si="29"/>
        <v>1</v>
      </c>
      <c r="O326" s="8" t="str">
        <f>IF(F326="","",IF($F$2=入力リスト!$H$25,ROUNDDOWN(INT(F326)+ROUNDDOWN((F326-INT(F326))*100,0)/60,2),F326))</f>
        <v/>
      </c>
      <c r="P326" s="7"/>
      <c r="Q326" s="7"/>
    </row>
    <row r="327" spans="1:17">
      <c r="A327" s="105"/>
      <c r="B327" s="2"/>
      <c r="C327" s="254"/>
      <c r="D327" s="254"/>
      <c r="E327" s="254"/>
      <c r="F327" s="255"/>
      <c r="G327" s="215" t="str">
        <f>IF(AND($B327="",OR(B327&lt;&gt;"",C327&lt;&gt;"",D327&lt;&gt;"",E327&lt;&gt;"",F327&lt;&gt;"")),入力リスト!$K$34,IF($I327=TRUE,入力リスト!$K$35,IF(J327=FALSE,"「毎月の固定給与額」","")&amp;IF(AND(J327=FALSE,OR(K327=FALSE,L327=FALSE,M327=FALSE)),",","")&amp;IF(K327=FALSE,"「賞与額等」","")&amp;IF(AND(K327=FALSE,OR(L327=FALSE,M327=FALSE)),",","")&amp;IF(L327=FALSE,"「残業手当」","")&amp;IF(AND(L327=FALSE,M327=FALSE),",","")&amp;IF(M327=FALSE,"「残業時間」","")&amp;IF(OR(J327=FALSE,K327=FALSE,L327=FALSE,M327=FALSE),入力リスト!$K$36,"")&amp;IF(N327,"",入力リスト!$K$37)))</f>
        <v/>
      </c>
      <c r="H327" s="215"/>
      <c r="I327" s="1" t="b">
        <f>IF(B327="",FALSE,COUNTIF('従業員情報(給与以外)'!$A$4:$A$1000000,$B327)=0)</f>
        <v>0</v>
      </c>
      <c r="J327" s="8" t="b">
        <f t="shared" si="25"/>
        <v>1</v>
      </c>
      <c r="K327" s="8" t="b">
        <f t="shared" si="26"/>
        <v>1</v>
      </c>
      <c r="L327" s="8" t="b">
        <f t="shared" si="27"/>
        <v>1</v>
      </c>
      <c r="M327" s="8" t="b">
        <f t="shared" si="28"/>
        <v>1</v>
      </c>
      <c r="N327" s="1" t="b">
        <f t="shared" si="29"/>
        <v>1</v>
      </c>
      <c r="O327" s="8" t="str">
        <f>IF(F327="","",IF($F$2=入力リスト!$H$25,ROUNDDOWN(INT(F327)+ROUNDDOWN((F327-INT(F327))*100,0)/60,2),F327))</f>
        <v/>
      </c>
      <c r="P327" s="7"/>
      <c r="Q327" s="7"/>
    </row>
    <row r="328" spans="1:17">
      <c r="A328" s="105"/>
      <c r="B328" s="2"/>
      <c r="C328" s="254"/>
      <c r="D328" s="254"/>
      <c r="E328" s="254"/>
      <c r="F328" s="255"/>
      <c r="G328" s="215" t="str">
        <f>IF(AND($B328="",OR(B328&lt;&gt;"",C328&lt;&gt;"",D328&lt;&gt;"",E328&lt;&gt;"",F328&lt;&gt;"")),入力リスト!$K$34,IF($I328=TRUE,入力リスト!$K$35,IF(J328=FALSE,"「毎月の固定給与額」","")&amp;IF(AND(J328=FALSE,OR(K328=FALSE,L328=FALSE,M328=FALSE)),",","")&amp;IF(K328=FALSE,"「賞与額等」","")&amp;IF(AND(K328=FALSE,OR(L328=FALSE,M328=FALSE)),",","")&amp;IF(L328=FALSE,"「残業手当」","")&amp;IF(AND(L328=FALSE,M328=FALSE),",","")&amp;IF(M328=FALSE,"「残業時間」","")&amp;IF(OR(J328=FALSE,K328=FALSE,L328=FALSE,M328=FALSE),入力リスト!$K$36,"")&amp;IF(N328,"",入力リスト!$K$37)))</f>
        <v/>
      </c>
      <c r="H328" s="215"/>
      <c r="I328" s="1" t="b">
        <f>IF(B328="",FALSE,COUNTIF('従業員情報(給与以外)'!$A$4:$A$1000000,$B328)=0)</f>
        <v>0</v>
      </c>
      <c r="J328" s="8" t="b">
        <f t="shared" si="25"/>
        <v>1</v>
      </c>
      <c r="K328" s="8" t="b">
        <f t="shared" si="26"/>
        <v>1</v>
      </c>
      <c r="L328" s="8" t="b">
        <f t="shared" si="27"/>
        <v>1</v>
      </c>
      <c r="M328" s="8" t="b">
        <f t="shared" si="28"/>
        <v>1</v>
      </c>
      <c r="N328" s="1" t="b">
        <f t="shared" si="29"/>
        <v>1</v>
      </c>
      <c r="O328" s="8" t="str">
        <f>IF(F328="","",IF($F$2=入力リスト!$H$25,ROUNDDOWN(INT(F328)+ROUNDDOWN((F328-INT(F328))*100,0)/60,2),F328))</f>
        <v/>
      </c>
      <c r="P328" s="7"/>
      <c r="Q328" s="7"/>
    </row>
    <row r="329" spans="1:17">
      <c r="A329" s="105"/>
      <c r="B329" s="2"/>
      <c r="C329" s="254"/>
      <c r="D329" s="254"/>
      <c r="E329" s="254"/>
      <c r="F329" s="255"/>
      <c r="G329" s="215" t="str">
        <f>IF(AND($B329="",OR(B329&lt;&gt;"",C329&lt;&gt;"",D329&lt;&gt;"",E329&lt;&gt;"",F329&lt;&gt;"")),入力リスト!$K$34,IF($I329=TRUE,入力リスト!$K$35,IF(J329=FALSE,"「毎月の固定給与額」","")&amp;IF(AND(J329=FALSE,OR(K329=FALSE,L329=FALSE,M329=FALSE)),",","")&amp;IF(K329=FALSE,"「賞与額等」","")&amp;IF(AND(K329=FALSE,OR(L329=FALSE,M329=FALSE)),",","")&amp;IF(L329=FALSE,"「残業手当」","")&amp;IF(AND(L329=FALSE,M329=FALSE),",","")&amp;IF(M329=FALSE,"「残業時間」","")&amp;IF(OR(J329=FALSE,K329=FALSE,L329=FALSE,M329=FALSE),入力リスト!$K$36,"")&amp;IF(N329,"",入力リスト!$K$37)))</f>
        <v/>
      </c>
      <c r="H329" s="215"/>
      <c r="I329" s="1" t="b">
        <f>IF(B329="",FALSE,COUNTIF('従業員情報(給与以外)'!$A$4:$A$1000000,$B329)=0)</f>
        <v>0</v>
      </c>
      <c r="J329" s="8" t="b">
        <f t="shared" si="25"/>
        <v>1</v>
      </c>
      <c r="K329" s="8" t="b">
        <f t="shared" si="26"/>
        <v>1</v>
      </c>
      <c r="L329" s="8" t="b">
        <f t="shared" si="27"/>
        <v>1</v>
      </c>
      <c r="M329" s="8" t="b">
        <f t="shared" si="28"/>
        <v>1</v>
      </c>
      <c r="N329" s="1" t="b">
        <f t="shared" si="29"/>
        <v>1</v>
      </c>
      <c r="O329" s="8" t="str">
        <f>IF(F329="","",IF($F$2=入力リスト!$H$25,ROUNDDOWN(INT(F329)+ROUNDDOWN((F329-INT(F329))*100,0)/60,2),F329))</f>
        <v/>
      </c>
      <c r="P329" s="7"/>
      <c r="Q329" s="7"/>
    </row>
    <row r="330" spans="1:17">
      <c r="A330" s="105"/>
      <c r="B330" s="2"/>
      <c r="C330" s="254"/>
      <c r="D330" s="254"/>
      <c r="E330" s="254"/>
      <c r="F330" s="255"/>
      <c r="G330" s="215" t="str">
        <f>IF(AND($B330="",OR(B330&lt;&gt;"",C330&lt;&gt;"",D330&lt;&gt;"",E330&lt;&gt;"",F330&lt;&gt;"")),入力リスト!$K$34,IF($I330=TRUE,入力リスト!$K$35,IF(J330=FALSE,"「毎月の固定給与額」","")&amp;IF(AND(J330=FALSE,OR(K330=FALSE,L330=FALSE,M330=FALSE)),",","")&amp;IF(K330=FALSE,"「賞与額等」","")&amp;IF(AND(K330=FALSE,OR(L330=FALSE,M330=FALSE)),",","")&amp;IF(L330=FALSE,"「残業手当」","")&amp;IF(AND(L330=FALSE,M330=FALSE),",","")&amp;IF(M330=FALSE,"「残業時間」","")&amp;IF(OR(J330=FALSE,K330=FALSE,L330=FALSE,M330=FALSE),入力リスト!$K$36,"")&amp;IF(N330,"",入力リスト!$K$37)))</f>
        <v/>
      </c>
      <c r="H330" s="215"/>
      <c r="I330" s="1" t="b">
        <f>IF(B330="",FALSE,COUNTIF('従業員情報(給与以外)'!$A$4:$A$1000000,$B330)=0)</f>
        <v>0</v>
      </c>
      <c r="J330" s="8" t="b">
        <f t="shared" si="25"/>
        <v>1</v>
      </c>
      <c r="K330" s="8" t="b">
        <f t="shared" si="26"/>
        <v>1</v>
      </c>
      <c r="L330" s="8" t="b">
        <f t="shared" si="27"/>
        <v>1</v>
      </c>
      <c r="M330" s="8" t="b">
        <f t="shared" si="28"/>
        <v>1</v>
      </c>
      <c r="N330" s="1" t="b">
        <f t="shared" si="29"/>
        <v>1</v>
      </c>
      <c r="O330" s="8" t="str">
        <f>IF(F330="","",IF($F$2=入力リスト!$H$25,ROUNDDOWN(INT(F330)+ROUNDDOWN((F330-INT(F330))*100,0)/60,2),F330))</f>
        <v/>
      </c>
      <c r="P330" s="7"/>
      <c r="Q330" s="7"/>
    </row>
    <row r="331" spans="1:17">
      <c r="A331" s="105"/>
      <c r="B331" s="2"/>
      <c r="C331" s="254"/>
      <c r="D331" s="254"/>
      <c r="E331" s="254"/>
      <c r="F331" s="255"/>
      <c r="G331" s="215" t="str">
        <f>IF(AND($B331="",OR(B331&lt;&gt;"",C331&lt;&gt;"",D331&lt;&gt;"",E331&lt;&gt;"",F331&lt;&gt;"")),入力リスト!$K$34,IF($I331=TRUE,入力リスト!$K$35,IF(J331=FALSE,"「毎月の固定給与額」","")&amp;IF(AND(J331=FALSE,OR(K331=FALSE,L331=FALSE,M331=FALSE)),",","")&amp;IF(K331=FALSE,"「賞与額等」","")&amp;IF(AND(K331=FALSE,OR(L331=FALSE,M331=FALSE)),",","")&amp;IF(L331=FALSE,"「残業手当」","")&amp;IF(AND(L331=FALSE,M331=FALSE),",","")&amp;IF(M331=FALSE,"「残業時間」","")&amp;IF(OR(J331=FALSE,K331=FALSE,L331=FALSE,M331=FALSE),入力リスト!$K$36,"")&amp;IF(N331,"",入力リスト!$K$37)))</f>
        <v/>
      </c>
      <c r="H331" s="215"/>
      <c r="I331" s="1" t="b">
        <f>IF(B331="",FALSE,COUNTIF('従業員情報(給与以外)'!$A$4:$A$1000000,$B331)=0)</f>
        <v>0</v>
      </c>
      <c r="J331" s="8" t="b">
        <f t="shared" si="25"/>
        <v>1</v>
      </c>
      <c r="K331" s="8" t="b">
        <f t="shared" si="26"/>
        <v>1</v>
      </c>
      <c r="L331" s="8" t="b">
        <f t="shared" si="27"/>
        <v>1</v>
      </c>
      <c r="M331" s="8" t="b">
        <f t="shared" si="28"/>
        <v>1</v>
      </c>
      <c r="N331" s="1" t="b">
        <f t="shared" si="29"/>
        <v>1</v>
      </c>
      <c r="O331" s="8" t="str">
        <f>IF(F331="","",IF($F$2=入力リスト!$H$25,ROUNDDOWN(INT(F331)+ROUNDDOWN((F331-INT(F331))*100,0)/60,2),F331))</f>
        <v/>
      </c>
      <c r="P331" s="7"/>
      <c r="Q331" s="7"/>
    </row>
    <row r="332" spans="1:17">
      <c r="A332" s="105"/>
      <c r="B332" s="2"/>
      <c r="C332" s="254"/>
      <c r="D332" s="254"/>
      <c r="E332" s="254"/>
      <c r="F332" s="255"/>
      <c r="G332" s="215" t="str">
        <f>IF(AND($B332="",OR(B332&lt;&gt;"",C332&lt;&gt;"",D332&lt;&gt;"",E332&lt;&gt;"",F332&lt;&gt;"")),入力リスト!$K$34,IF($I332=TRUE,入力リスト!$K$35,IF(J332=FALSE,"「毎月の固定給与額」","")&amp;IF(AND(J332=FALSE,OR(K332=FALSE,L332=FALSE,M332=FALSE)),",","")&amp;IF(K332=FALSE,"「賞与額等」","")&amp;IF(AND(K332=FALSE,OR(L332=FALSE,M332=FALSE)),",","")&amp;IF(L332=FALSE,"「残業手当」","")&amp;IF(AND(L332=FALSE,M332=FALSE),",","")&amp;IF(M332=FALSE,"「残業時間」","")&amp;IF(OR(J332=FALSE,K332=FALSE,L332=FALSE,M332=FALSE),入力リスト!$K$36,"")&amp;IF(N332,"",入力リスト!$K$37)))</f>
        <v/>
      </c>
      <c r="H332" s="215"/>
      <c r="I332" s="1" t="b">
        <f>IF(B332="",FALSE,COUNTIF('従業員情報(給与以外)'!$A$4:$A$1000000,$B332)=0)</f>
        <v>0</v>
      </c>
      <c r="J332" s="8" t="b">
        <f t="shared" si="25"/>
        <v>1</v>
      </c>
      <c r="K332" s="8" t="b">
        <f t="shared" si="26"/>
        <v>1</v>
      </c>
      <c r="L332" s="8" t="b">
        <f t="shared" si="27"/>
        <v>1</v>
      </c>
      <c r="M332" s="8" t="b">
        <f t="shared" si="28"/>
        <v>1</v>
      </c>
      <c r="N332" s="1" t="b">
        <f t="shared" si="29"/>
        <v>1</v>
      </c>
      <c r="O332" s="8" t="str">
        <f>IF(F332="","",IF($F$2=入力リスト!$H$25,ROUNDDOWN(INT(F332)+ROUNDDOWN((F332-INT(F332))*100,0)/60,2),F332))</f>
        <v/>
      </c>
      <c r="P332" s="7"/>
      <c r="Q332" s="7"/>
    </row>
    <row r="333" spans="1:17">
      <c r="A333" s="105"/>
      <c r="B333" s="2"/>
      <c r="C333" s="254"/>
      <c r="D333" s="254"/>
      <c r="E333" s="254"/>
      <c r="F333" s="255"/>
      <c r="G333" s="215" t="str">
        <f>IF(AND($B333="",OR(B333&lt;&gt;"",C333&lt;&gt;"",D333&lt;&gt;"",E333&lt;&gt;"",F333&lt;&gt;"")),入力リスト!$K$34,IF($I333=TRUE,入力リスト!$K$35,IF(J333=FALSE,"「毎月の固定給与額」","")&amp;IF(AND(J333=FALSE,OR(K333=FALSE,L333=FALSE,M333=FALSE)),",","")&amp;IF(K333=FALSE,"「賞与額等」","")&amp;IF(AND(K333=FALSE,OR(L333=FALSE,M333=FALSE)),",","")&amp;IF(L333=FALSE,"「残業手当」","")&amp;IF(AND(L333=FALSE,M333=FALSE),",","")&amp;IF(M333=FALSE,"「残業時間」","")&amp;IF(OR(J333=FALSE,K333=FALSE,L333=FALSE,M333=FALSE),入力リスト!$K$36,"")&amp;IF(N333,"",入力リスト!$K$37)))</f>
        <v/>
      </c>
      <c r="H333" s="215"/>
      <c r="I333" s="1" t="b">
        <f>IF(B333="",FALSE,COUNTIF('従業員情報(給与以外)'!$A$4:$A$1000000,$B333)=0)</f>
        <v>0</v>
      </c>
      <c r="J333" s="8" t="b">
        <f t="shared" si="25"/>
        <v>1</v>
      </c>
      <c r="K333" s="8" t="b">
        <f t="shared" si="26"/>
        <v>1</v>
      </c>
      <c r="L333" s="8" t="b">
        <f t="shared" si="27"/>
        <v>1</v>
      </c>
      <c r="M333" s="8" t="b">
        <f t="shared" si="28"/>
        <v>1</v>
      </c>
      <c r="N333" s="1" t="b">
        <f t="shared" si="29"/>
        <v>1</v>
      </c>
      <c r="O333" s="8" t="str">
        <f>IF(F333="","",IF($F$2=入力リスト!$H$25,ROUNDDOWN(INT(F333)+ROUNDDOWN((F333-INT(F333))*100,0)/60,2),F333))</f>
        <v/>
      </c>
      <c r="P333" s="7"/>
      <c r="Q333" s="7"/>
    </row>
    <row r="334" spans="1:17">
      <c r="A334" s="105"/>
      <c r="B334" s="2"/>
      <c r="C334" s="254"/>
      <c r="D334" s="254"/>
      <c r="E334" s="254"/>
      <c r="F334" s="255"/>
      <c r="G334" s="215" t="str">
        <f>IF(AND($B334="",OR(B334&lt;&gt;"",C334&lt;&gt;"",D334&lt;&gt;"",E334&lt;&gt;"",F334&lt;&gt;"")),入力リスト!$K$34,IF($I334=TRUE,入力リスト!$K$35,IF(J334=FALSE,"「毎月の固定給与額」","")&amp;IF(AND(J334=FALSE,OR(K334=FALSE,L334=FALSE,M334=FALSE)),",","")&amp;IF(K334=FALSE,"「賞与額等」","")&amp;IF(AND(K334=FALSE,OR(L334=FALSE,M334=FALSE)),",","")&amp;IF(L334=FALSE,"「残業手当」","")&amp;IF(AND(L334=FALSE,M334=FALSE),",","")&amp;IF(M334=FALSE,"「残業時間」","")&amp;IF(OR(J334=FALSE,K334=FALSE,L334=FALSE,M334=FALSE),入力リスト!$K$36,"")&amp;IF(N334,"",入力リスト!$K$37)))</f>
        <v/>
      </c>
      <c r="H334" s="215"/>
      <c r="I334" s="1" t="b">
        <f>IF(B334="",FALSE,COUNTIF('従業員情報(給与以外)'!$A$4:$A$1000000,$B334)=0)</f>
        <v>0</v>
      </c>
      <c r="J334" s="8" t="b">
        <f t="shared" si="25"/>
        <v>1</v>
      </c>
      <c r="K334" s="8" t="b">
        <f t="shared" si="26"/>
        <v>1</v>
      </c>
      <c r="L334" s="8" t="b">
        <f t="shared" si="27"/>
        <v>1</v>
      </c>
      <c r="M334" s="8" t="b">
        <f t="shared" si="28"/>
        <v>1</v>
      </c>
      <c r="N334" s="1" t="b">
        <f t="shared" si="29"/>
        <v>1</v>
      </c>
      <c r="O334" s="8" t="str">
        <f>IF(F334="","",IF($F$2=入力リスト!$H$25,ROUNDDOWN(INT(F334)+ROUNDDOWN((F334-INT(F334))*100,0)/60,2),F334))</f>
        <v/>
      </c>
      <c r="P334" s="7"/>
      <c r="Q334" s="7"/>
    </row>
    <row r="335" spans="1:17">
      <c r="A335" s="105"/>
      <c r="B335" s="2"/>
      <c r="C335" s="254"/>
      <c r="D335" s="254"/>
      <c r="E335" s="254"/>
      <c r="F335" s="255"/>
      <c r="G335" s="215" t="str">
        <f>IF(AND($B335="",OR(B335&lt;&gt;"",C335&lt;&gt;"",D335&lt;&gt;"",E335&lt;&gt;"",F335&lt;&gt;"")),入力リスト!$K$34,IF($I335=TRUE,入力リスト!$K$35,IF(J335=FALSE,"「毎月の固定給与額」","")&amp;IF(AND(J335=FALSE,OR(K335=FALSE,L335=FALSE,M335=FALSE)),",","")&amp;IF(K335=FALSE,"「賞与額等」","")&amp;IF(AND(K335=FALSE,OR(L335=FALSE,M335=FALSE)),",","")&amp;IF(L335=FALSE,"「残業手当」","")&amp;IF(AND(L335=FALSE,M335=FALSE),",","")&amp;IF(M335=FALSE,"「残業時間」","")&amp;IF(OR(J335=FALSE,K335=FALSE,L335=FALSE,M335=FALSE),入力リスト!$K$36,"")&amp;IF(N335,"",入力リスト!$K$37)))</f>
        <v/>
      </c>
      <c r="H335" s="215"/>
      <c r="I335" s="1" t="b">
        <f>IF(B335="",FALSE,COUNTIF('従業員情報(給与以外)'!$A$4:$A$1000000,$B335)=0)</f>
        <v>0</v>
      </c>
      <c r="J335" s="8" t="b">
        <f t="shared" si="25"/>
        <v>1</v>
      </c>
      <c r="K335" s="8" t="b">
        <f t="shared" si="26"/>
        <v>1</v>
      </c>
      <c r="L335" s="8" t="b">
        <f t="shared" si="27"/>
        <v>1</v>
      </c>
      <c r="M335" s="8" t="b">
        <f t="shared" si="28"/>
        <v>1</v>
      </c>
      <c r="N335" s="1" t="b">
        <f t="shared" si="29"/>
        <v>1</v>
      </c>
      <c r="O335" s="8" t="str">
        <f>IF(F335="","",IF($F$2=入力リスト!$H$25,ROUNDDOWN(INT(F335)+ROUNDDOWN((F335-INT(F335))*100,0)/60,2),F335))</f>
        <v/>
      </c>
      <c r="P335" s="7"/>
      <c r="Q335" s="7"/>
    </row>
    <row r="336" spans="1:17">
      <c r="A336" s="105"/>
      <c r="B336" s="2"/>
      <c r="C336" s="254"/>
      <c r="D336" s="254"/>
      <c r="E336" s="254"/>
      <c r="F336" s="255"/>
      <c r="G336" s="215" t="str">
        <f>IF(AND($B336="",OR(B336&lt;&gt;"",C336&lt;&gt;"",D336&lt;&gt;"",E336&lt;&gt;"",F336&lt;&gt;"")),入力リスト!$K$34,IF($I336=TRUE,入力リスト!$K$35,IF(J336=FALSE,"「毎月の固定給与額」","")&amp;IF(AND(J336=FALSE,OR(K336=FALSE,L336=FALSE,M336=FALSE)),",","")&amp;IF(K336=FALSE,"「賞与額等」","")&amp;IF(AND(K336=FALSE,OR(L336=FALSE,M336=FALSE)),",","")&amp;IF(L336=FALSE,"「残業手当」","")&amp;IF(AND(L336=FALSE,M336=FALSE),",","")&amp;IF(M336=FALSE,"「残業時間」","")&amp;IF(OR(J336=FALSE,K336=FALSE,L336=FALSE,M336=FALSE),入力リスト!$K$36,"")&amp;IF(N336,"",入力リスト!$K$37)))</f>
        <v/>
      </c>
      <c r="H336" s="215"/>
      <c r="I336" s="1" t="b">
        <f>IF(B336="",FALSE,COUNTIF('従業員情報(給与以外)'!$A$4:$A$1000000,$B336)=0)</f>
        <v>0</v>
      </c>
      <c r="J336" s="8" t="b">
        <f t="shared" si="25"/>
        <v>1</v>
      </c>
      <c r="K336" s="8" t="b">
        <f t="shared" si="26"/>
        <v>1</v>
      </c>
      <c r="L336" s="8" t="b">
        <f t="shared" si="27"/>
        <v>1</v>
      </c>
      <c r="M336" s="8" t="b">
        <f t="shared" si="28"/>
        <v>1</v>
      </c>
      <c r="N336" s="1" t="b">
        <f t="shared" si="29"/>
        <v>1</v>
      </c>
      <c r="O336" s="8" t="str">
        <f>IF(F336="","",IF($F$2=入力リスト!$H$25,ROUNDDOWN(INT(F336)+ROUNDDOWN((F336-INT(F336))*100,0)/60,2),F336))</f>
        <v/>
      </c>
      <c r="P336" s="7"/>
      <c r="Q336" s="7"/>
    </row>
    <row r="337" spans="1:17">
      <c r="A337" s="105"/>
      <c r="B337" s="2"/>
      <c r="C337" s="254"/>
      <c r="D337" s="254"/>
      <c r="E337" s="254"/>
      <c r="F337" s="255"/>
      <c r="G337" s="215" t="str">
        <f>IF(AND($B337="",OR(B337&lt;&gt;"",C337&lt;&gt;"",D337&lt;&gt;"",E337&lt;&gt;"",F337&lt;&gt;"")),入力リスト!$K$34,IF($I337=TRUE,入力リスト!$K$35,IF(J337=FALSE,"「毎月の固定給与額」","")&amp;IF(AND(J337=FALSE,OR(K337=FALSE,L337=FALSE,M337=FALSE)),",","")&amp;IF(K337=FALSE,"「賞与額等」","")&amp;IF(AND(K337=FALSE,OR(L337=FALSE,M337=FALSE)),",","")&amp;IF(L337=FALSE,"「残業手当」","")&amp;IF(AND(L337=FALSE,M337=FALSE),",","")&amp;IF(M337=FALSE,"「残業時間」","")&amp;IF(OR(J337=FALSE,K337=FALSE,L337=FALSE,M337=FALSE),入力リスト!$K$36,"")&amp;IF(N337,"",入力リスト!$K$37)))</f>
        <v/>
      </c>
      <c r="H337" s="215"/>
      <c r="I337" s="1" t="b">
        <f>IF(B337="",FALSE,COUNTIF('従業員情報(給与以外)'!$A$4:$A$1000000,$B337)=0)</f>
        <v>0</v>
      </c>
      <c r="J337" s="8" t="b">
        <f t="shared" si="25"/>
        <v>1</v>
      </c>
      <c r="K337" s="8" t="b">
        <f t="shared" si="26"/>
        <v>1</v>
      </c>
      <c r="L337" s="8" t="b">
        <f t="shared" si="27"/>
        <v>1</v>
      </c>
      <c r="M337" s="8" t="b">
        <f t="shared" si="28"/>
        <v>1</v>
      </c>
      <c r="N337" s="1" t="b">
        <f t="shared" si="29"/>
        <v>1</v>
      </c>
      <c r="O337" s="8" t="str">
        <f>IF(F337="","",IF($F$2=入力リスト!$H$25,ROUNDDOWN(INT(F337)+ROUNDDOWN((F337-INT(F337))*100,0)/60,2),F337))</f>
        <v/>
      </c>
      <c r="P337" s="7"/>
      <c r="Q337" s="7"/>
    </row>
    <row r="338" spans="1:17">
      <c r="A338" s="105"/>
      <c r="B338" s="2"/>
      <c r="C338" s="254"/>
      <c r="D338" s="254"/>
      <c r="E338" s="254"/>
      <c r="F338" s="255"/>
      <c r="G338" s="215" t="str">
        <f>IF(AND($B338="",OR(B338&lt;&gt;"",C338&lt;&gt;"",D338&lt;&gt;"",E338&lt;&gt;"",F338&lt;&gt;"")),入力リスト!$K$34,IF($I338=TRUE,入力リスト!$K$35,IF(J338=FALSE,"「毎月の固定給与額」","")&amp;IF(AND(J338=FALSE,OR(K338=FALSE,L338=FALSE,M338=FALSE)),",","")&amp;IF(K338=FALSE,"「賞与額等」","")&amp;IF(AND(K338=FALSE,OR(L338=FALSE,M338=FALSE)),",","")&amp;IF(L338=FALSE,"「残業手当」","")&amp;IF(AND(L338=FALSE,M338=FALSE),",","")&amp;IF(M338=FALSE,"「残業時間」","")&amp;IF(OR(J338=FALSE,K338=FALSE,L338=FALSE,M338=FALSE),入力リスト!$K$36,"")&amp;IF(N338,"",入力リスト!$K$37)))</f>
        <v/>
      </c>
      <c r="H338" s="215"/>
      <c r="I338" s="1" t="b">
        <f>IF(B338="",FALSE,COUNTIF('従業員情報(給与以外)'!$A$4:$A$1000000,$B338)=0)</f>
        <v>0</v>
      </c>
      <c r="J338" s="8" t="b">
        <f t="shared" si="25"/>
        <v>1</v>
      </c>
      <c r="K338" s="8" t="b">
        <f t="shared" si="26"/>
        <v>1</v>
      </c>
      <c r="L338" s="8" t="b">
        <f t="shared" si="27"/>
        <v>1</v>
      </c>
      <c r="M338" s="8" t="b">
        <f t="shared" si="28"/>
        <v>1</v>
      </c>
      <c r="N338" s="1" t="b">
        <f t="shared" si="29"/>
        <v>1</v>
      </c>
      <c r="O338" s="8" t="str">
        <f>IF(F338="","",IF($F$2=入力リスト!$H$25,ROUNDDOWN(INT(F338)+ROUNDDOWN((F338-INT(F338))*100,0)/60,2),F338))</f>
        <v/>
      </c>
      <c r="P338" s="7"/>
      <c r="Q338" s="7"/>
    </row>
    <row r="339" spans="1:17">
      <c r="A339" s="105"/>
      <c r="B339" s="2"/>
      <c r="C339" s="254"/>
      <c r="D339" s="254"/>
      <c r="E339" s="254"/>
      <c r="F339" s="255"/>
      <c r="G339" s="215" t="str">
        <f>IF(AND($B339="",OR(B339&lt;&gt;"",C339&lt;&gt;"",D339&lt;&gt;"",E339&lt;&gt;"",F339&lt;&gt;"")),入力リスト!$K$34,IF($I339=TRUE,入力リスト!$K$35,IF(J339=FALSE,"「毎月の固定給与額」","")&amp;IF(AND(J339=FALSE,OR(K339=FALSE,L339=FALSE,M339=FALSE)),",","")&amp;IF(K339=FALSE,"「賞与額等」","")&amp;IF(AND(K339=FALSE,OR(L339=FALSE,M339=FALSE)),",","")&amp;IF(L339=FALSE,"「残業手当」","")&amp;IF(AND(L339=FALSE,M339=FALSE),",","")&amp;IF(M339=FALSE,"「残業時間」","")&amp;IF(OR(J339=FALSE,K339=FALSE,L339=FALSE,M339=FALSE),入力リスト!$K$36,"")&amp;IF(N339,"",入力リスト!$K$37)))</f>
        <v/>
      </c>
      <c r="H339" s="215"/>
      <c r="I339" s="1" t="b">
        <f>IF(B339="",FALSE,COUNTIF('従業員情報(給与以外)'!$A$4:$A$1000000,$B339)=0)</f>
        <v>0</v>
      </c>
      <c r="J339" s="8" t="b">
        <f t="shared" si="25"/>
        <v>1</v>
      </c>
      <c r="K339" s="8" t="b">
        <f t="shared" si="26"/>
        <v>1</v>
      </c>
      <c r="L339" s="8" t="b">
        <f t="shared" si="27"/>
        <v>1</v>
      </c>
      <c r="M339" s="8" t="b">
        <f t="shared" si="28"/>
        <v>1</v>
      </c>
      <c r="N339" s="1" t="b">
        <f t="shared" si="29"/>
        <v>1</v>
      </c>
      <c r="O339" s="8" t="str">
        <f>IF(F339="","",IF($F$2=入力リスト!$H$25,ROUNDDOWN(INT(F339)+ROUNDDOWN((F339-INT(F339))*100,0)/60,2),F339))</f>
        <v/>
      </c>
      <c r="P339" s="7"/>
      <c r="Q339" s="7"/>
    </row>
    <row r="340" spans="1:17">
      <c r="A340" s="105"/>
      <c r="B340" s="2"/>
      <c r="C340" s="254"/>
      <c r="D340" s="254"/>
      <c r="E340" s="254"/>
      <c r="F340" s="255"/>
      <c r="G340" s="215" t="str">
        <f>IF(AND($B340="",OR(B340&lt;&gt;"",C340&lt;&gt;"",D340&lt;&gt;"",E340&lt;&gt;"",F340&lt;&gt;"")),入力リスト!$K$34,IF($I340=TRUE,入力リスト!$K$35,IF(J340=FALSE,"「毎月の固定給与額」","")&amp;IF(AND(J340=FALSE,OR(K340=FALSE,L340=FALSE,M340=FALSE)),",","")&amp;IF(K340=FALSE,"「賞与額等」","")&amp;IF(AND(K340=FALSE,OR(L340=FALSE,M340=FALSE)),",","")&amp;IF(L340=FALSE,"「残業手当」","")&amp;IF(AND(L340=FALSE,M340=FALSE),",","")&amp;IF(M340=FALSE,"「残業時間」","")&amp;IF(OR(J340=FALSE,K340=FALSE,L340=FALSE,M340=FALSE),入力リスト!$K$36,"")&amp;IF(N340,"",入力リスト!$K$37)))</f>
        <v/>
      </c>
      <c r="H340" s="215"/>
      <c r="I340" s="1" t="b">
        <f>IF(B340="",FALSE,COUNTIF('従業員情報(給与以外)'!$A$4:$A$1000000,$B340)=0)</f>
        <v>0</v>
      </c>
      <c r="J340" s="8" t="b">
        <f t="shared" si="25"/>
        <v>1</v>
      </c>
      <c r="K340" s="8" t="b">
        <f t="shared" si="26"/>
        <v>1</v>
      </c>
      <c r="L340" s="8" t="b">
        <f t="shared" si="27"/>
        <v>1</v>
      </c>
      <c r="M340" s="8" t="b">
        <f t="shared" si="28"/>
        <v>1</v>
      </c>
      <c r="N340" s="1" t="b">
        <f t="shared" si="29"/>
        <v>1</v>
      </c>
      <c r="O340" s="8" t="str">
        <f>IF(F340="","",IF($F$2=入力リスト!$H$25,ROUNDDOWN(INT(F340)+ROUNDDOWN((F340-INT(F340))*100,0)/60,2),F340))</f>
        <v/>
      </c>
      <c r="P340" s="7"/>
      <c r="Q340" s="7"/>
    </row>
    <row r="341" spans="1:17">
      <c r="A341" s="105"/>
      <c r="B341" s="2"/>
      <c r="C341" s="254"/>
      <c r="D341" s="254"/>
      <c r="E341" s="254"/>
      <c r="F341" s="255"/>
      <c r="G341" s="215" t="str">
        <f>IF(AND($B341="",OR(B341&lt;&gt;"",C341&lt;&gt;"",D341&lt;&gt;"",E341&lt;&gt;"",F341&lt;&gt;"")),入力リスト!$K$34,IF($I341=TRUE,入力リスト!$K$35,IF(J341=FALSE,"「毎月の固定給与額」","")&amp;IF(AND(J341=FALSE,OR(K341=FALSE,L341=FALSE,M341=FALSE)),",","")&amp;IF(K341=FALSE,"「賞与額等」","")&amp;IF(AND(K341=FALSE,OR(L341=FALSE,M341=FALSE)),",","")&amp;IF(L341=FALSE,"「残業手当」","")&amp;IF(AND(L341=FALSE,M341=FALSE),",","")&amp;IF(M341=FALSE,"「残業時間」","")&amp;IF(OR(J341=FALSE,K341=FALSE,L341=FALSE,M341=FALSE),入力リスト!$K$36,"")&amp;IF(N341,"",入力リスト!$K$37)))</f>
        <v/>
      </c>
      <c r="H341" s="215"/>
      <c r="I341" s="1" t="b">
        <f>IF(B341="",FALSE,COUNTIF('従業員情報(給与以外)'!$A$4:$A$1000000,$B341)=0)</f>
        <v>0</v>
      </c>
      <c r="J341" s="8" t="b">
        <f t="shared" si="25"/>
        <v>1</v>
      </c>
      <c r="K341" s="8" t="b">
        <f t="shared" si="26"/>
        <v>1</v>
      </c>
      <c r="L341" s="8" t="b">
        <f t="shared" si="27"/>
        <v>1</v>
      </c>
      <c r="M341" s="8" t="b">
        <f t="shared" si="28"/>
        <v>1</v>
      </c>
      <c r="N341" s="1" t="b">
        <f t="shared" si="29"/>
        <v>1</v>
      </c>
      <c r="O341" s="8" t="str">
        <f>IF(F341="","",IF($F$2=入力リスト!$H$25,ROUNDDOWN(INT(F341)+ROUNDDOWN((F341-INT(F341))*100,0)/60,2),F341))</f>
        <v/>
      </c>
      <c r="P341" s="7"/>
      <c r="Q341" s="7"/>
    </row>
    <row r="342" spans="1:17">
      <c r="A342" s="105"/>
      <c r="B342" s="2"/>
      <c r="C342" s="254"/>
      <c r="D342" s="254"/>
      <c r="E342" s="254"/>
      <c r="F342" s="255"/>
      <c r="G342" s="215" t="str">
        <f>IF(AND($B342="",OR(B342&lt;&gt;"",C342&lt;&gt;"",D342&lt;&gt;"",E342&lt;&gt;"",F342&lt;&gt;"")),入力リスト!$K$34,IF($I342=TRUE,入力リスト!$K$35,IF(J342=FALSE,"「毎月の固定給与額」","")&amp;IF(AND(J342=FALSE,OR(K342=FALSE,L342=FALSE,M342=FALSE)),",","")&amp;IF(K342=FALSE,"「賞与額等」","")&amp;IF(AND(K342=FALSE,OR(L342=FALSE,M342=FALSE)),",","")&amp;IF(L342=FALSE,"「残業手当」","")&amp;IF(AND(L342=FALSE,M342=FALSE),",","")&amp;IF(M342=FALSE,"「残業時間」","")&amp;IF(OR(J342=FALSE,K342=FALSE,L342=FALSE,M342=FALSE),入力リスト!$K$36,"")&amp;IF(N342,"",入力リスト!$K$37)))</f>
        <v/>
      </c>
      <c r="H342" s="215"/>
      <c r="I342" s="1" t="b">
        <f>IF(B342="",FALSE,COUNTIF('従業員情報(給与以外)'!$A$4:$A$1000000,$B342)=0)</f>
        <v>0</v>
      </c>
      <c r="J342" s="8" t="b">
        <f t="shared" si="25"/>
        <v>1</v>
      </c>
      <c r="K342" s="8" t="b">
        <f t="shared" si="26"/>
        <v>1</v>
      </c>
      <c r="L342" s="8" t="b">
        <f t="shared" si="27"/>
        <v>1</v>
      </c>
      <c r="M342" s="8" t="b">
        <f t="shared" si="28"/>
        <v>1</v>
      </c>
      <c r="N342" s="1" t="b">
        <f t="shared" si="29"/>
        <v>1</v>
      </c>
      <c r="O342" s="8" t="str">
        <f>IF(F342="","",IF($F$2=入力リスト!$H$25,ROUNDDOWN(INT(F342)+ROUNDDOWN((F342-INT(F342))*100,0)/60,2),F342))</f>
        <v/>
      </c>
      <c r="P342" s="7"/>
      <c r="Q342" s="7"/>
    </row>
    <row r="343" spans="1:17">
      <c r="A343" s="105"/>
      <c r="B343" s="2"/>
      <c r="C343" s="254"/>
      <c r="D343" s="254"/>
      <c r="E343" s="254"/>
      <c r="F343" s="255"/>
      <c r="G343" s="215" t="str">
        <f>IF(AND($B343="",OR(B343&lt;&gt;"",C343&lt;&gt;"",D343&lt;&gt;"",E343&lt;&gt;"",F343&lt;&gt;"")),入力リスト!$K$34,IF($I343=TRUE,入力リスト!$K$35,IF(J343=FALSE,"「毎月の固定給与額」","")&amp;IF(AND(J343=FALSE,OR(K343=FALSE,L343=FALSE,M343=FALSE)),",","")&amp;IF(K343=FALSE,"「賞与額等」","")&amp;IF(AND(K343=FALSE,OR(L343=FALSE,M343=FALSE)),",","")&amp;IF(L343=FALSE,"「残業手当」","")&amp;IF(AND(L343=FALSE,M343=FALSE),",","")&amp;IF(M343=FALSE,"「残業時間」","")&amp;IF(OR(J343=FALSE,K343=FALSE,L343=FALSE,M343=FALSE),入力リスト!$K$36,"")&amp;IF(N343,"",入力リスト!$K$37)))</f>
        <v/>
      </c>
      <c r="H343" s="215"/>
      <c r="I343" s="1" t="b">
        <f>IF(B343="",FALSE,COUNTIF('従業員情報(給与以外)'!$A$4:$A$1000000,$B343)=0)</f>
        <v>0</v>
      </c>
      <c r="J343" s="8" t="b">
        <f t="shared" si="25"/>
        <v>1</v>
      </c>
      <c r="K343" s="8" t="b">
        <f t="shared" si="26"/>
        <v>1</v>
      </c>
      <c r="L343" s="8" t="b">
        <f t="shared" si="27"/>
        <v>1</v>
      </c>
      <c r="M343" s="8" t="b">
        <f t="shared" si="28"/>
        <v>1</v>
      </c>
      <c r="N343" s="1" t="b">
        <f t="shared" si="29"/>
        <v>1</v>
      </c>
      <c r="O343" s="8" t="str">
        <f>IF(F343="","",IF($F$2=入力リスト!$H$25,ROUNDDOWN(INT(F343)+ROUNDDOWN((F343-INT(F343))*100,0)/60,2),F343))</f>
        <v/>
      </c>
      <c r="P343" s="7"/>
      <c r="Q343" s="7"/>
    </row>
    <row r="344" spans="1:17">
      <c r="A344" s="105"/>
      <c r="B344" s="2"/>
      <c r="C344" s="254"/>
      <c r="D344" s="254"/>
      <c r="E344" s="254"/>
      <c r="F344" s="255"/>
      <c r="G344" s="215" t="str">
        <f>IF(AND($B344="",OR(B344&lt;&gt;"",C344&lt;&gt;"",D344&lt;&gt;"",E344&lt;&gt;"",F344&lt;&gt;"")),入力リスト!$K$34,IF($I344=TRUE,入力リスト!$K$35,IF(J344=FALSE,"「毎月の固定給与額」","")&amp;IF(AND(J344=FALSE,OR(K344=FALSE,L344=FALSE,M344=FALSE)),",","")&amp;IF(K344=FALSE,"「賞与額等」","")&amp;IF(AND(K344=FALSE,OR(L344=FALSE,M344=FALSE)),",","")&amp;IF(L344=FALSE,"「残業手当」","")&amp;IF(AND(L344=FALSE,M344=FALSE),",","")&amp;IF(M344=FALSE,"「残業時間」","")&amp;IF(OR(J344=FALSE,K344=FALSE,L344=FALSE,M344=FALSE),入力リスト!$K$36,"")&amp;IF(N344,"",入力リスト!$K$37)))</f>
        <v/>
      </c>
      <c r="H344" s="215"/>
      <c r="I344" s="1" t="b">
        <f>IF(B344="",FALSE,COUNTIF('従業員情報(給与以外)'!$A$4:$A$1000000,$B344)=0)</f>
        <v>0</v>
      </c>
      <c r="J344" s="8" t="b">
        <f t="shared" si="25"/>
        <v>1</v>
      </c>
      <c r="K344" s="8" t="b">
        <f t="shared" si="26"/>
        <v>1</v>
      </c>
      <c r="L344" s="8" t="b">
        <f t="shared" si="27"/>
        <v>1</v>
      </c>
      <c r="M344" s="8" t="b">
        <f t="shared" si="28"/>
        <v>1</v>
      </c>
      <c r="N344" s="1" t="b">
        <f t="shared" si="29"/>
        <v>1</v>
      </c>
      <c r="O344" s="8" t="str">
        <f>IF(F344="","",IF($F$2=入力リスト!$H$25,ROUNDDOWN(INT(F344)+ROUNDDOWN((F344-INT(F344))*100,0)/60,2),F344))</f>
        <v/>
      </c>
      <c r="P344" s="7"/>
      <c r="Q344" s="7"/>
    </row>
    <row r="345" spans="1:17">
      <c r="A345" s="105"/>
      <c r="B345" s="2"/>
      <c r="C345" s="254"/>
      <c r="D345" s="254"/>
      <c r="E345" s="254"/>
      <c r="F345" s="255"/>
      <c r="G345" s="215" t="str">
        <f>IF(AND($B345="",OR(B345&lt;&gt;"",C345&lt;&gt;"",D345&lt;&gt;"",E345&lt;&gt;"",F345&lt;&gt;"")),入力リスト!$K$34,IF($I345=TRUE,入力リスト!$K$35,IF(J345=FALSE,"「毎月の固定給与額」","")&amp;IF(AND(J345=FALSE,OR(K345=FALSE,L345=FALSE,M345=FALSE)),",","")&amp;IF(K345=FALSE,"「賞与額等」","")&amp;IF(AND(K345=FALSE,OR(L345=FALSE,M345=FALSE)),",","")&amp;IF(L345=FALSE,"「残業手当」","")&amp;IF(AND(L345=FALSE,M345=FALSE),",","")&amp;IF(M345=FALSE,"「残業時間」","")&amp;IF(OR(J345=FALSE,K345=FALSE,L345=FALSE,M345=FALSE),入力リスト!$K$36,"")&amp;IF(N345,"",入力リスト!$K$37)))</f>
        <v/>
      </c>
      <c r="H345" s="215"/>
      <c r="I345" s="1" t="b">
        <f>IF(B345="",FALSE,COUNTIF('従業員情報(給与以外)'!$A$4:$A$1000000,$B345)=0)</f>
        <v>0</v>
      </c>
      <c r="J345" s="8" t="b">
        <f t="shared" si="25"/>
        <v>1</v>
      </c>
      <c r="K345" s="8" t="b">
        <f t="shared" si="26"/>
        <v>1</v>
      </c>
      <c r="L345" s="8" t="b">
        <f t="shared" si="27"/>
        <v>1</v>
      </c>
      <c r="M345" s="8" t="b">
        <f t="shared" si="28"/>
        <v>1</v>
      </c>
      <c r="N345" s="1" t="b">
        <f t="shared" si="29"/>
        <v>1</v>
      </c>
      <c r="O345" s="8" t="str">
        <f>IF(F345="","",IF($F$2=入力リスト!$H$25,ROUNDDOWN(INT(F345)+ROUNDDOWN((F345-INT(F345))*100,0)/60,2),F345))</f>
        <v/>
      </c>
      <c r="P345" s="7"/>
      <c r="Q345" s="7"/>
    </row>
    <row r="346" spans="1:17">
      <c r="A346" s="105"/>
      <c r="B346" s="2"/>
      <c r="C346" s="254"/>
      <c r="D346" s="254"/>
      <c r="E346" s="254"/>
      <c r="F346" s="255"/>
      <c r="G346" s="215" t="str">
        <f>IF(AND($B346="",OR(B346&lt;&gt;"",C346&lt;&gt;"",D346&lt;&gt;"",E346&lt;&gt;"",F346&lt;&gt;"")),入力リスト!$K$34,IF($I346=TRUE,入力リスト!$K$35,IF(J346=FALSE,"「毎月の固定給与額」","")&amp;IF(AND(J346=FALSE,OR(K346=FALSE,L346=FALSE,M346=FALSE)),",","")&amp;IF(K346=FALSE,"「賞与額等」","")&amp;IF(AND(K346=FALSE,OR(L346=FALSE,M346=FALSE)),",","")&amp;IF(L346=FALSE,"「残業手当」","")&amp;IF(AND(L346=FALSE,M346=FALSE),",","")&amp;IF(M346=FALSE,"「残業時間」","")&amp;IF(OR(J346=FALSE,K346=FALSE,L346=FALSE,M346=FALSE),入力リスト!$K$36,"")&amp;IF(N346,"",入力リスト!$K$37)))</f>
        <v/>
      </c>
      <c r="H346" s="215"/>
      <c r="I346" s="1" t="b">
        <f>IF(B346="",FALSE,COUNTIF('従業員情報(給与以外)'!$A$4:$A$1000000,$B346)=0)</f>
        <v>0</v>
      </c>
      <c r="J346" s="8" t="b">
        <f t="shared" si="25"/>
        <v>1</v>
      </c>
      <c r="K346" s="8" t="b">
        <f t="shared" si="26"/>
        <v>1</v>
      </c>
      <c r="L346" s="8" t="b">
        <f t="shared" si="27"/>
        <v>1</v>
      </c>
      <c r="M346" s="8" t="b">
        <f t="shared" si="28"/>
        <v>1</v>
      </c>
      <c r="N346" s="1" t="b">
        <f t="shared" si="29"/>
        <v>1</v>
      </c>
      <c r="O346" s="8" t="str">
        <f>IF(F346="","",IF($F$2=入力リスト!$H$25,ROUNDDOWN(INT(F346)+ROUNDDOWN((F346-INT(F346))*100,0)/60,2),F346))</f>
        <v/>
      </c>
      <c r="P346" s="7"/>
      <c r="Q346" s="7"/>
    </row>
    <row r="347" spans="1:17">
      <c r="A347" s="105"/>
      <c r="B347" s="2"/>
      <c r="C347" s="254"/>
      <c r="D347" s="254"/>
      <c r="E347" s="254"/>
      <c r="F347" s="255"/>
      <c r="G347" s="215" t="str">
        <f>IF(AND($B347="",OR(B347&lt;&gt;"",C347&lt;&gt;"",D347&lt;&gt;"",E347&lt;&gt;"",F347&lt;&gt;"")),入力リスト!$K$34,IF($I347=TRUE,入力リスト!$K$35,IF(J347=FALSE,"「毎月の固定給与額」","")&amp;IF(AND(J347=FALSE,OR(K347=FALSE,L347=FALSE,M347=FALSE)),",","")&amp;IF(K347=FALSE,"「賞与額等」","")&amp;IF(AND(K347=FALSE,OR(L347=FALSE,M347=FALSE)),",","")&amp;IF(L347=FALSE,"「残業手当」","")&amp;IF(AND(L347=FALSE,M347=FALSE),",","")&amp;IF(M347=FALSE,"「残業時間」","")&amp;IF(OR(J347=FALSE,K347=FALSE,L347=FALSE,M347=FALSE),入力リスト!$K$36,"")&amp;IF(N347,"",入力リスト!$K$37)))</f>
        <v/>
      </c>
      <c r="H347" s="215"/>
      <c r="I347" s="1" t="b">
        <f>IF(B347="",FALSE,COUNTIF('従業員情報(給与以外)'!$A$4:$A$1000000,$B347)=0)</f>
        <v>0</v>
      </c>
      <c r="J347" s="8" t="b">
        <f t="shared" si="25"/>
        <v>1</v>
      </c>
      <c r="K347" s="8" t="b">
        <f t="shared" si="26"/>
        <v>1</v>
      </c>
      <c r="L347" s="8" t="b">
        <f t="shared" si="27"/>
        <v>1</v>
      </c>
      <c r="M347" s="8" t="b">
        <f t="shared" si="28"/>
        <v>1</v>
      </c>
      <c r="N347" s="1" t="b">
        <f t="shared" si="29"/>
        <v>1</v>
      </c>
      <c r="O347" s="8" t="str">
        <f>IF(F347="","",IF($F$2=入力リスト!$H$25,ROUNDDOWN(INT(F347)+ROUNDDOWN((F347-INT(F347))*100,0)/60,2),F347))</f>
        <v/>
      </c>
      <c r="P347" s="7"/>
      <c r="Q347" s="7"/>
    </row>
    <row r="348" spans="1:17">
      <c r="A348" s="105"/>
      <c r="B348" s="2"/>
      <c r="C348" s="254"/>
      <c r="D348" s="254"/>
      <c r="E348" s="254"/>
      <c r="F348" s="255"/>
      <c r="G348" s="215" t="str">
        <f>IF(AND($B348="",OR(B348&lt;&gt;"",C348&lt;&gt;"",D348&lt;&gt;"",E348&lt;&gt;"",F348&lt;&gt;"")),入力リスト!$K$34,IF($I348=TRUE,入力リスト!$K$35,IF(J348=FALSE,"「毎月の固定給与額」","")&amp;IF(AND(J348=FALSE,OR(K348=FALSE,L348=FALSE,M348=FALSE)),",","")&amp;IF(K348=FALSE,"「賞与額等」","")&amp;IF(AND(K348=FALSE,OR(L348=FALSE,M348=FALSE)),",","")&amp;IF(L348=FALSE,"「残業手当」","")&amp;IF(AND(L348=FALSE,M348=FALSE),",","")&amp;IF(M348=FALSE,"「残業時間」","")&amp;IF(OR(J348=FALSE,K348=FALSE,L348=FALSE,M348=FALSE),入力リスト!$K$36,"")&amp;IF(N348,"",入力リスト!$K$37)))</f>
        <v/>
      </c>
      <c r="H348" s="215"/>
      <c r="I348" s="1" t="b">
        <f>IF(B348="",FALSE,COUNTIF('従業員情報(給与以外)'!$A$4:$A$1000000,$B348)=0)</f>
        <v>0</v>
      </c>
      <c r="J348" s="8" t="b">
        <f t="shared" si="25"/>
        <v>1</v>
      </c>
      <c r="K348" s="8" t="b">
        <f t="shared" si="26"/>
        <v>1</v>
      </c>
      <c r="L348" s="8" t="b">
        <f t="shared" si="27"/>
        <v>1</v>
      </c>
      <c r="M348" s="8" t="b">
        <f t="shared" si="28"/>
        <v>1</v>
      </c>
      <c r="N348" s="1" t="b">
        <f t="shared" si="29"/>
        <v>1</v>
      </c>
      <c r="O348" s="8" t="str">
        <f>IF(F348="","",IF($F$2=入力リスト!$H$25,ROUNDDOWN(INT(F348)+ROUNDDOWN((F348-INT(F348))*100,0)/60,2),F348))</f>
        <v/>
      </c>
      <c r="P348" s="7"/>
      <c r="Q348" s="7"/>
    </row>
    <row r="349" spans="1:17">
      <c r="A349" s="105"/>
      <c r="B349" s="2"/>
      <c r="C349" s="254"/>
      <c r="D349" s="254"/>
      <c r="E349" s="254"/>
      <c r="F349" s="255"/>
      <c r="G349" s="215" t="str">
        <f>IF(AND($B349="",OR(B349&lt;&gt;"",C349&lt;&gt;"",D349&lt;&gt;"",E349&lt;&gt;"",F349&lt;&gt;"")),入力リスト!$K$34,IF($I349=TRUE,入力リスト!$K$35,IF(J349=FALSE,"「毎月の固定給与額」","")&amp;IF(AND(J349=FALSE,OR(K349=FALSE,L349=FALSE,M349=FALSE)),",","")&amp;IF(K349=FALSE,"「賞与額等」","")&amp;IF(AND(K349=FALSE,OR(L349=FALSE,M349=FALSE)),",","")&amp;IF(L349=FALSE,"「残業手当」","")&amp;IF(AND(L349=FALSE,M349=FALSE),",","")&amp;IF(M349=FALSE,"「残業時間」","")&amp;IF(OR(J349=FALSE,K349=FALSE,L349=FALSE,M349=FALSE),入力リスト!$K$36,"")&amp;IF(N349,"",入力リスト!$K$37)))</f>
        <v/>
      </c>
      <c r="H349" s="215"/>
      <c r="I349" s="1" t="b">
        <f>IF(B349="",FALSE,COUNTIF('従業員情報(給与以外)'!$A$4:$A$1000000,$B349)=0)</f>
        <v>0</v>
      </c>
      <c r="J349" s="8" t="b">
        <f t="shared" si="25"/>
        <v>1</v>
      </c>
      <c r="K349" s="8" t="b">
        <f t="shared" si="26"/>
        <v>1</v>
      </c>
      <c r="L349" s="8" t="b">
        <f t="shared" si="27"/>
        <v>1</v>
      </c>
      <c r="M349" s="8" t="b">
        <f t="shared" si="28"/>
        <v>1</v>
      </c>
      <c r="N349" s="1" t="b">
        <f t="shared" si="29"/>
        <v>1</v>
      </c>
      <c r="O349" s="8" t="str">
        <f>IF(F349="","",IF($F$2=入力リスト!$H$25,ROUNDDOWN(INT(F349)+ROUNDDOWN((F349-INT(F349))*100,0)/60,2),F349))</f>
        <v/>
      </c>
      <c r="P349" s="7"/>
      <c r="Q349" s="7"/>
    </row>
    <row r="350" spans="1:17">
      <c r="A350" s="105"/>
      <c r="B350" s="2"/>
      <c r="C350" s="254"/>
      <c r="D350" s="254"/>
      <c r="E350" s="254"/>
      <c r="F350" s="255"/>
      <c r="G350" s="215" t="str">
        <f>IF(AND($B350="",OR(B350&lt;&gt;"",C350&lt;&gt;"",D350&lt;&gt;"",E350&lt;&gt;"",F350&lt;&gt;"")),入力リスト!$K$34,IF($I350=TRUE,入力リスト!$K$35,IF(J350=FALSE,"「毎月の固定給与額」","")&amp;IF(AND(J350=FALSE,OR(K350=FALSE,L350=FALSE,M350=FALSE)),",","")&amp;IF(K350=FALSE,"「賞与額等」","")&amp;IF(AND(K350=FALSE,OR(L350=FALSE,M350=FALSE)),",","")&amp;IF(L350=FALSE,"「残業手当」","")&amp;IF(AND(L350=FALSE,M350=FALSE),",","")&amp;IF(M350=FALSE,"「残業時間」","")&amp;IF(OR(J350=FALSE,K350=FALSE,L350=FALSE,M350=FALSE),入力リスト!$K$36,"")&amp;IF(N350,"",入力リスト!$K$37)))</f>
        <v/>
      </c>
      <c r="H350" s="215"/>
      <c r="I350" s="1" t="b">
        <f>IF(B350="",FALSE,COUNTIF('従業員情報(給与以外)'!$A$4:$A$1000000,$B350)=0)</f>
        <v>0</v>
      </c>
      <c r="J350" s="8" t="b">
        <f t="shared" si="25"/>
        <v>1</v>
      </c>
      <c r="K350" s="8" t="b">
        <f t="shared" si="26"/>
        <v>1</v>
      </c>
      <c r="L350" s="8" t="b">
        <f t="shared" si="27"/>
        <v>1</v>
      </c>
      <c r="M350" s="8" t="b">
        <f t="shared" si="28"/>
        <v>1</v>
      </c>
      <c r="N350" s="1" t="b">
        <f t="shared" si="29"/>
        <v>1</v>
      </c>
      <c r="O350" s="8" t="str">
        <f>IF(F350="","",IF($F$2=入力リスト!$H$25,ROUNDDOWN(INT(F350)+ROUNDDOWN((F350-INT(F350))*100,0)/60,2),F350))</f>
        <v/>
      </c>
      <c r="P350" s="7"/>
      <c r="Q350" s="7"/>
    </row>
    <row r="351" spans="1:17">
      <c r="A351" s="105"/>
      <c r="B351" s="2"/>
      <c r="C351" s="254"/>
      <c r="D351" s="254"/>
      <c r="E351" s="254"/>
      <c r="F351" s="255"/>
      <c r="G351" s="215" t="str">
        <f>IF(AND($B351="",OR(B351&lt;&gt;"",C351&lt;&gt;"",D351&lt;&gt;"",E351&lt;&gt;"",F351&lt;&gt;"")),入力リスト!$K$34,IF($I351=TRUE,入力リスト!$K$35,IF(J351=FALSE,"「毎月の固定給与額」","")&amp;IF(AND(J351=FALSE,OR(K351=FALSE,L351=FALSE,M351=FALSE)),",","")&amp;IF(K351=FALSE,"「賞与額等」","")&amp;IF(AND(K351=FALSE,OR(L351=FALSE,M351=FALSE)),",","")&amp;IF(L351=FALSE,"「残業手当」","")&amp;IF(AND(L351=FALSE,M351=FALSE),",","")&amp;IF(M351=FALSE,"「残業時間」","")&amp;IF(OR(J351=FALSE,K351=FALSE,L351=FALSE,M351=FALSE),入力リスト!$K$36,"")&amp;IF(N351,"",入力リスト!$K$37)))</f>
        <v/>
      </c>
      <c r="H351" s="215"/>
      <c r="I351" s="1" t="b">
        <f>IF(B351="",FALSE,COUNTIF('従業員情報(給与以外)'!$A$4:$A$1000000,$B351)=0)</f>
        <v>0</v>
      </c>
      <c r="J351" s="8" t="b">
        <f t="shared" si="25"/>
        <v>1</v>
      </c>
      <c r="K351" s="8" t="b">
        <f t="shared" si="26"/>
        <v>1</v>
      </c>
      <c r="L351" s="8" t="b">
        <f t="shared" si="27"/>
        <v>1</v>
      </c>
      <c r="M351" s="8" t="b">
        <f t="shared" si="28"/>
        <v>1</v>
      </c>
      <c r="N351" s="1" t="b">
        <f t="shared" si="29"/>
        <v>1</v>
      </c>
      <c r="O351" s="8" t="str">
        <f>IF(F351="","",IF($F$2=入力リスト!$H$25,ROUNDDOWN(INT(F351)+ROUNDDOWN((F351-INT(F351))*100,0)/60,2),F351))</f>
        <v/>
      </c>
      <c r="P351" s="7"/>
      <c r="Q351" s="7"/>
    </row>
    <row r="352" spans="1:17">
      <c r="A352" s="105"/>
      <c r="B352" s="2"/>
      <c r="C352" s="254"/>
      <c r="D352" s="254"/>
      <c r="E352" s="254"/>
      <c r="F352" s="255"/>
      <c r="G352" s="215" t="str">
        <f>IF(AND($B352="",OR(B352&lt;&gt;"",C352&lt;&gt;"",D352&lt;&gt;"",E352&lt;&gt;"",F352&lt;&gt;"")),入力リスト!$K$34,IF($I352=TRUE,入力リスト!$K$35,IF(J352=FALSE,"「毎月の固定給与額」","")&amp;IF(AND(J352=FALSE,OR(K352=FALSE,L352=FALSE,M352=FALSE)),",","")&amp;IF(K352=FALSE,"「賞与額等」","")&amp;IF(AND(K352=FALSE,OR(L352=FALSE,M352=FALSE)),",","")&amp;IF(L352=FALSE,"「残業手当」","")&amp;IF(AND(L352=FALSE,M352=FALSE),",","")&amp;IF(M352=FALSE,"「残業時間」","")&amp;IF(OR(J352=FALSE,K352=FALSE,L352=FALSE,M352=FALSE),入力リスト!$K$36,"")&amp;IF(N352,"",入力リスト!$K$37)))</f>
        <v/>
      </c>
      <c r="H352" s="215"/>
      <c r="I352" s="1" t="b">
        <f>IF(B352="",FALSE,COUNTIF('従業員情報(給与以外)'!$A$4:$A$1000000,$B352)=0)</f>
        <v>0</v>
      </c>
      <c r="J352" s="8" t="b">
        <f t="shared" si="25"/>
        <v>1</v>
      </c>
      <c r="K352" s="8" t="b">
        <f t="shared" si="26"/>
        <v>1</v>
      </c>
      <c r="L352" s="8" t="b">
        <f t="shared" si="27"/>
        <v>1</v>
      </c>
      <c r="M352" s="8" t="b">
        <f t="shared" si="28"/>
        <v>1</v>
      </c>
      <c r="N352" s="1" t="b">
        <f t="shared" si="29"/>
        <v>1</v>
      </c>
      <c r="O352" s="8" t="str">
        <f>IF(F352="","",IF($F$2=入力リスト!$H$25,ROUNDDOWN(INT(F352)+ROUNDDOWN((F352-INT(F352))*100,0)/60,2),F352))</f>
        <v/>
      </c>
      <c r="P352" s="7"/>
      <c r="Q352" s="7"/>
    </row>
    <row r="353" spans="1:17">
      <c r="A353" s="105"/>
      <c r="B353" s="2"/>
      <c r="C353" s="254"/>
      <c r="D353" s="254"/>
      <c r="E353" s="254"/>
      <c r="F353" s="255"/>
      <c r="G353" s="215" t="str">
        <f>IF(AND($B353="",OR(B353&lt;&gt;"",C353&lt;&gt;"",D353&lt;&gt;"",E353&lt;&gt;"",F353&lt;&gt;"")),入力リスト!$K$34,IF($I353=TRUE,入力リスト!$K$35,IF(J353=FALSE,"「毎月の固定給与額」","")&amp;IF(AND(J353=FALSE,OR(K353=FALSE,L353=FALSE,M353=FALSE)),",","")&amp;IF(K353=FALSE,"「賞与額等」","")&amp;IF(AND(K353=FALSE,OR(L353=FALSE,M353=FALSE)),",","")&amp;IF(L353=FALSE,"「残業手当」","")&amp;IF(AND(L353=FALSE,M353=FALSE),",","")&amp;IF(M353=FALSE,"「残業時間」","")&amp;IF(OR(J353=FALSE,K353=FALSE,L353=FALSE,M353=FALSE),入力リスト!$K$36,"")&amp;IF(N353,"",入力リスト!$K$37)))</f>
        <v/>
      </c>
      <c r="H353" s="215"/>
      <c r="I353" s="1" t="b">
        <f>IF(B353="",FALSE,COUNTIF('従業員情報(給与以外)'!$A$4:$A$1000000,$B353)=0)</f>
        <v>0</v>
      </c>
      <c r="J353" s="8" t="b">
        <f t="shared" si="25"/>
        <v>1</v>
      </c>
      <c r="K353" s="8" t="b">
        <f t="shared" si="26"/>
        <v>1</v>
      </c>
      <c r="L353" s="8" t="b">
        <f t="shared" si="27"/>
        <v>1</v>
      </c>
      <c r="M353" s="8" t="b">
        <f t="shared" si="28"/>
        <v>1</v>
      </c>
      <c r="N353" s="1" t="b">
        <f t="shared" si="29"/>
        <v>1</v>
      </c>
      <c r="O353" s="8" t="str">
        <f>IF(F353="","",IF($F$2=入力リスト!$H$25,ROUNDDOWN(INT(F353)+ROUNDDOWN((F353-INT(F353))*100,0)/60,2),F353))</f>
        <v/>
      </c>
      <c r="P353" s="7"/>
      <c r="Q353" s="7"/>
    </row>
    <row r="354" spans="1:17">
      <c r="A354" s="105"/>
      <c r="B354" s="2"/>
      <c r="C354" s="254"/>
      <c r="D354" s="254"/>
      <c r="E354" s="254"/>
      <c r="F354" s="255"/>
      <c r="G354" s="215" t="str">
        <f>IF(AND($B354="",OR(B354&lt;&gt;"",C354&lt;&gt;"",D354&lt;&gt;"",E354&lt;&gt;"",F354&lt;&gt;"")),入力リスト!$K$34,IF($I354=TRUE,入力リスト!$K$35,IF(J354=FALSE,"「毎月の固定給与額」","")&amp;IF(AND(J354=FALSE,OR(K354=FALSE,L354=FALSE,M354=FALSE)),",","")&amp;IF(K354=FALSE,"「賞与額等」","")&amp;IF(AND(K354=FALSE,OR(L354=FALSE,M354=FALSE)),",","")&amp;IF(L354=FALSE,"「残業手当」","")&amp;IF(AND(L354=FALSE,M354=FALSE),",","")&amp;IF(M354=FALSE,"「残業時間」","")&amp;IF(OR(J354=FALSE,K354=FALSE,L354=FALSE,M354=FALSE),入力リスト!$K$36,"")&amp;IF(N354,"",入力リスト!$K$37)))</f>
        <v/>
      </c>
      <c r="H354" s="215"/>
      <c r="I354" s="1" t="b">
        <f>IF(B354="",FALSE,COUNTIF('従業員情報(給与以外)'!$A$4:$A$1000000,$B354)=0)</f>
        <v>0</v>
      </c>
      <c r="J354" s="8" t="b">
        <f t="shared" si="25"/>
        <v>1</v>
      </c>
      <c r="K354" s="8" t="b">
        <f t="shared" si="26"/>
        <v>1</v>
      </c>
      <c r="L354" s="8" t="b">
        <f t="shared" si="27"/>
        <v>1</v>
      </c>
      <c r="M354" s="8" t="b">
        <f t="shared" si="28"/>
        <v>1</v>
      </c>
      <c r="N354" s="1" t="b">
        <f t="shared" si="29"/>
        <v>1</v>
      </c>
      <c r="O354" s="8" t="str">
        <f>IF(F354="","",IF($F$2=入力リスト!$H$25,ROUNDDOWN(INT(F354)+ROUNDDOWN((F354-INT(F354))*100,0)/60,2),F354))</f>
        <v/>
      </c>
      <c r="P354" s="7"/>
      <c r="Q354" s="7"/>
    </row>
    <row r="355" spans="1:17">
      <c r="A355" s="105"/>
      <c r="B355" s="2"/>
      <c r="C355" s="254"/>
      <c r="D355" s="254"/>
      <c r="E355" s="254"/>
      <c r="F355" s="255"/>
      <c r="G355" s="215" t="str">
        <f>IF(AND($B355="",OR(B355&lt;&gt;"",C355&lt;&gt;"",D355&lt;&gt;"",E355&lt;&gt;"",F355&lt;&gt;"")),入力リスト!$K$34,IF($I355=TRUE,入力リスト!$K$35,IF(J355=FALSE,"「毎月の固定給与額」","")&amp;IF(AND(J355=FALSE,OR(K355=FALSE,L355=FALSE,M355=FALSE)),",","")&amp;IF(K355=FALSE,"「賞与額等」","")&amp;IF(AND(K355=FALSE,OR(L355=FALSE,M355=FALSE)),",","")&amp;IF(L355=FALSE,"「残業手当」","")&amp;IF(AND(L355=FALSE,M355=FALSE),",","")&amp;IF(M355=FALSE,"「残業時間」","")&amp;IF(OR(J355=FALSE,K355=FALSE,L355=FALSE,M355=FALSE),入力リスト!$K$36,"")&amp;IF(N355,"",入力リスト!$K$37)))</f>
        <v/>
      </c>
      <c r="H355" s="215"/>
      <c r="I355" s="1" t="b">
        <f>IF(B355="",FALSE,COUNTIF('従業員情報(給与以外)'!$A$4:$A$1000000,$B355)=0)</f>
        <v>0</v>
      </c>
      <c r="J355" s="8" t="b">
        <f t="shared" si="25"/>
        <v>1</v>
      </c>
      <c r="K355" s="8" t="b">
        <f t="shared" si="26"/>
        <v>1</v>
      </c>
      <c r="L355" s="8" t="b">
        <f t="shared" si="27"/>
        <v>1</v>
      </c>
      <c r="M355" s="8" t="b">
        <f t="shared" si="28"/>
        <v>1</v>
      </c>
      <c r="N355" s="1" t="b">
        <f t="shared" si="29"/>
        <v>1</v>
      </c>
      <c r="O355" s="8" t="str">
        <f>IF(F355="","",IF($F$2=入力リスト!$H$25,ROUNDDOWN(INT(F355)+ROUNDDOWN((F355-INT(F355))*100,0)/60,2),F355))</f>
        <v/>
      </c>
      <c r="P355" s="7"/>
      <c r="Q355" s="7"/>
    </row>
    <row r="356" spans="1:17">
      <c r="A356" s="105"/>
      <c r="B356" s="2"/>
      <c r="C356" s="254"/>
      <c r="D356" s="254"/>
      <c r="E356" s="254"/>
      <c r="F356" s="255"/>
      <c r="G356" s="215" t="str">
        <f>IF(AND($B356="",OR(B356&lt;&gt;"",C356&lt;&gt;"",D356&lt;&gt;"",E356&lt;&gt;"",F356&lt;&gt;"")),入力リスト!$K$34,IF($I356=TRUE,入力リスト!$K$35,IF(J356=FALSE,"「毎月の固定給与額」","")&amp;IF(AND(J356=FALSE,OR(K356=FALSE,L356=FALSE,M356=FALSE)),",","")&amp;IF(K356=FALSE,"「賞与額等」","")&amp;IF(AND(K356=FALSE,OR(L356=FALSE,M356=FALSE)),",","")&amp;IF(L356=FALSE,"「残業手当」","")&amp;IF(AND(L356=FALSE,M356=FALSE),",","")&amp;IF(M356=FALSE,"「残業時間」","")&amp;IF(OR(J356=FALSE,K356=FALSE,L356=FALSE,M356=FALSE),入力リスト!$K$36,"")&amp;IF(N356,"",入力リスト!$K$37)))</f>
        <v/>
      </c>
      <c r="H356" s="215"/>
      <c r="I356" s="1" t="b">
        <f>IF(B356="",FALSE,COUNTIF('従業員情報(給与以外)'!$A$4:$A$1000000,$B356)=0)</f>
        <v>0</v>
      </c>
      <c r="J356" s="8" t="b">
        <f t="shared" si="25"/>
        <v>1</v>
      </c>
      <c r="K356" s="8" t="b">
        <f t="shared" si="26"/>
        <v>1</v>
      </c>
      <c r="L356" s="8" t="b">
        <f t="shared" si="27"/>
        <v>1</v>
      </c>
      <c r="M356" s="8" t="b">
        <f t="shared" si="28"/>
        <v>1</v>
      </c>
      <c r="N356" s="1" t="b">
        <f t="shared" si="29"/>
        <v>1</v>
      </c>
      <c r="O356" s="8" t="str">
        <f>IF(F356="","",IF($F$2=入力リスト!$H$25,ROUNDDOWN(INT(F356)+ROUNDDOWN((F356-INT(F356))*100,0)/60,2),F356))</f>
        <v/>
      </c>
      <c r="P356" s="7"/>
      <c r="Q356" s="7"/>
    </row>
    <row r="357" spans="1:17">
      <c r="A357" s="105"/>
      <c r="B357" s="2"/>
      <c r="C357" s="254"/>
      <c r="D357" s="254"/>
      <c r="E357" s="254"/>
      <c r="F357" s="255"/>
      <c r="G357" s="215" t="str">
        <f>IF(AND($B357="",OR(B357&lt;&gt;"",C357&lt;&gt;"",D357&lt;&gt;"",E357&lt;&gt;"",F357&lt;&gt;"")),入力リスト!$K$34,IF($I357=TRUE,入力リスト!$K$35,IF(J357=FALSE,"「毎月の固定給与額」","")&amp;IF(AND(J357=FALSE,OR(K357=FALSE,L357=FALSE,M357=FALSE)),",","")&amp;IF(K357=FALSE,"「賞与額等」","")&amp;IF(AND(K357=FALSE,OR(L357=FALSE,M357=FALSE)),",","")&amp;IF(L357=FALSE,"「残業手当」","")&amp;IF(AND(L357=FALSE,M357=FALSE),",","")&amp;IF(M357=FALSE,"「残業時間」","")&amp;IF(OR(J357=FALSE,K357=FALSE,L357=FALSE,M357=FALSE),入力リスト!$K$36,"")&amp;IF(N357,"",入力リスト!$K$37)))</f>
        <v/>
      </c>
      <c r="H357" s="215"/>
      <c r="I357" s="1" t="b">
        <f>IF(B357="",FALSE,COUNTIF('従業員情報(給与以外)'!$A$4:$A$1000000,$B357)=0)</f>
        <v>0</v>
      </c>
      <c r="J357" s="8" t="b">
        <f t="shared" si="25"/>
        <v>1</v>
      </c>
      <c r="K357" s="8" t="b">
        <f t="shared" si="26"/>
        <v>1</v>
      </c>
      <c r="L357" s="8" t="b">
        <f t="shared" si="27"/>
        <v>1</v>
      </c>
      <c r="M357" s="8" t="b">
        <f t="shared" si="28"/>
        <v>1</v>
      </c>
      <c r="N357" s="1" t="b">
        <f t="shared" si="29"/>
        <v>1</v>
      </c>
      <c r="O357" s="8" t="str">
        <f>IF(F357="","",IF($F$2=入力リスト!$H$25,ROUNDDOWN(INT(F357)+ROUNDDOWN((F357-INT(F357))*100,0)/60,2),F357))</f>
        <v/>
      </c>
      <c r="P357" s="7"/>
      <c r="Q357" s="7"/>
    </row>
    <row r="358" spans="1:17">
      <c r="A358" s="105"/>
      <c r="B358" s="2"/>
      <c r="C358" s="254"/>
      <c r="D358" s="254"/>
      <c r="E358" s="254"/>
      <c r="F358" s="255"/>
      <c r="G358" s="215" t="str">
        <f>IF(AND($B358="",OR(B358&lt;&gt;"",C358&lt;&gt;"",D358&lt;&gt;"",E358&lt;&gt;"",F358&lt;&gt;"")),入力リスト!$K$34,IF($I358=TRUE,入力リスト!$K$35,IF(J358=FALSE,"「毎月の固定給与額」","")&amp;IF(AND(J358=FALSE,OR(K358=FALSE,L358=FALSE,M358=FALSE)),",","")&amp;IF(K358=FALSE,"「賞与額等」","")&amp;IF(AND(K358=FALSE,OR(L358=FALSE,M358=FALSE)),",","")&amp;IF(L358=FALSE,"「残業手当」","")&amp;IF(AND(L358=FALSE,M358=FALSE),",","")&amp;IF(M358=FALSE,"「残業時間」","")&amp;IF(OR(J358=FALSE,K358=FALSE,L358=FALSE,M358=FALSE),入力リスト!$K$36,"")&amp;IF(N358,"",入力リスト!$K$37)))</f>
        <v/>
      </c>
      <c r="H358" s="215"/>
      <c r="I358" s="1" t="b">
        <f>IF(B358="",FALSE,COUNTIF('従業員情報(給与以外)'!$A$4:$A$1000000,$B358)=0)</f>
        <v>0</v>
      </c>
      <c r="J358" s="8" t="b">
        <f t="shared" si="25"/>
        <v>1</v>
      </c>
      <c r="K358" s="8" t="b">
        <f t="shared" si="26"/>
        <v>1</v>
      </c>
      <c r="L358" s="8" t="b">
        <f t="shared" si="27"/>
        <v>1</v>
      </c>
      <c r="M358" s="8" t="b">
        <f t="shared" si="28"/>
        <v>1</v>
      </c>
      <c r="N358" s="1" t="b">
        <f t="shared" si="29"/>
        <v>1</v>
      </c>
      <c r="O358" s="8" t="str">
        <f>IF(F358="","",IF($F$2=入力リスト!$H$25,ROUNDDOWN(INT(F358)+ROUNDDOWN((F358-INT(F358))*100,0)/60,2),F358))</f>
        <v/>
      </c>
      <c r="P358" s="7"/>
      <c r="Q358" s="7"/>
    </row>
    <row r="359" spans="1:17">
      <c r="A359" s="105"/>
      <c r="B359" s="2"/>
      <c r="C359" s="254"/>
      <c r="D359" s="254"/>
      <c r="E359" s="254"/>
      <c r="F359" s="255"/>
      <c r="G359" s="215" t="str">
        <f>IF(AND($B359="",OR(B359&lt;&gt;"",C359&lt;&gt;"",D359&lt;&gt;"",E359&lt;&gt;"",F359&lt;&gt;"")),入力リスト!$K$34,IF($I359=TRUE,入力リスト!$K$35,IF(J359=FALSE,"「毎月の固定給与額」","")&amp;IF(AND(J359=FALSE,OR(K359=FALSE,L359=FALSE,M359=FALSE)),",","")&amp;IF(K359=FALSE,"「賞与額等」","")&amp;IF(AND(K359=FALSE,OR(L359=FALSE,M359=FALSE)),",","")&amp;IF(L359=FALSE,"「残業手当」","")&amp;IF(AND(L359=FALSE,M359=FALSE),",","")&amp;IF(M359=FALSE,"「残業時間」","")&amp;IF(OR(J359=FALSE,K359=FALSE,L359=FALSE,M359=FALSE),入力リスト!$K$36,"")&amp;IF(N359,"",入力リスト!$K$37)))</f>
        <v/>
      </c>
      <c r="H359" s="215"/>
      <c r="I359" s="1" t="b">
        <f>IF(B359="",FALSE,COUNTIF('従業員情報(給与以外)'!$A$4:$A$1000000,$B359)=0)</f>
        <v>0</v>
      </c>
      <c r="J359" s="8" t="b">
        <f t="shared" si="25"/>
        <v>1</v>
      </c>
      <c r="K359" s="8" t="b">
        <f t="shared" si="26"/>
        <v>1</v>
      </c>
      <c r="L359" s="8" t="b">
        <f t="shared" si="27"/>
        <v>1</v>
      </c>
      <c r="M359" s="8" t="b">
        <f t="shared" si="28"/>
        <v>1</v>
      </c>
      <c r="N359" s="1" t="b">
        <f t="shared" si="29"/>
        <v>1</v>
      </c>
      <c r="O359" s="8" t="str">
        <f>IF(F359="","",IF($F$2=入力リスト!$H$25,ROUNDDOWN(INT(F359)+ROUNDDOWN((F359-INT(F359))*100,0)/60,2),F359))</f>
        <v/>
      </c>
      <c r="P359" s="7"/>
      <c r="Q359" s="7"/>
    </row>
    <row r="360" spans="1:17">
      <c r="A360" s="105"/>
      <c r="B360" s="2"/>
      <c r="C360" s="254"/>
      <c r="D360" s="254"/>
      <c r="E360" s="254"/>
      <c r="F360" s="255"/>
      <c r="G360" s="215" t="str">
        <f>IF(AND($B360="",OR(B360&lt;&gt;"",C360&lt;&gt;"",D360&lt;&gt;"",E360&lt;&gt;"",F360&lt;&gt;"")),入力リスト!$K$34,IF($I360=TRUE,入力リスト!$K$35,IF(J360=FALSE,"「毎月の固定給与額」","")&amp;IF(AND(J360=FALSE,OR(K360=FALSE,L360=FALSE,M360=FALSE)),",","")&amp;IF(K360=FALSE,"「賞与額等」","")&amp;IF(AND(K360=FALSE,OR(L360=FALSE,M360=FALSE)),",","")&amp;IF(L360=FALSE,"「残業手当」","")&amp;IF(AND(L360=FALSE,M360=FALSE),",","")&amp;IF(M360=FALSE,"「残業時間」","")&amp;IF(OR(J360=FALSE,K360=FALSE,L360=FALSE,M360=FALSE),入力リスト!$K$36,"")&amp;IF(N360,"",入力リスト!$K$37)))</f>
        <v/>
      </c>
      <c r="H360" s="215"/>
      <c r="I360" s="1" t="b">
        <f>IF(B360="",FALSE,COUNTIF('従業員情報(給与以外)'!$A$4:$A$1000000,$B360)=0)</f>
        <v>0</v>
      </c>
      <c r="J360" s="8" t="b">
        <f t="shared" si="25"/>
        <v>1</v>
      </c>
      <c r="K360" s="8" t="b">
        <f t="shared" si="26"/>
        <v>1</v>
      </c>
      <c r="L360" s="8" t="b">
        <f t="shared" si="27"/>
        <v>1</v>
      </c>
      <c r="M360" s="8" t="b">
        <f t="shared" si="28"/>
        <v>1</v>
      </c>
      <c r="N360" s="1" t="b">
        <f t="shared" si="29"/>
        <v>1</v>
      </c>
      <c r="O360" s="8" t="str">
        <f>IF(F360="","",IF($F$2=入力リスト!$H$25,ROUNDDOWN(INT(F360)+ROUNDDOWN((F360-INT(F360))*100,0)/60,2),F360))</f>
        <v/>
      </c>
      <c r="P360" s="7"/>
      <c r="Q360" s="7"/>
    </row>
    <row r="361" spans="1:17">
      <c r="A361" s="105"/>
      <c r="B361" s="2"/>
      <c r="C361" s="254"/>
      <c r="D361" s="254"/>
      <c r="E361" s="254"/>
      <c r="F361" s="255"/>
      <c r="G361" s="215" t="str">
        <f>IF(AND($B361="",OR(B361&lt;&gt;"",C361&lt;&gt;"",D361&lt;&gt;"",E361&lt;&gt;"",F361&lt;&gt;"")),入力リスト!$K$34,IF($I361=TRUE,入力リスト!$K$35,IF(J361=FALSE,"「毎月の固定給与額」","")&amp;IF(AND(J361=FALSE,OR(K361=FALSE,L361=FALSE,M361=FALSE)),",","")&amp;IF(K361=FALSE,"「賞与額等」","")&amp;IF(AND(K361=FALSE,OR(L361=FALSE,M361=FALSE)),",","")&amp;IF(L361=FALSE,"「残業手当」","")&amp;IF(AND(L361=FALSE,M361=FALSE),",","")&amp;IF(M361=FALSE,"「残業時間」","")&amp;IF(OR(J361=FALSE,K361=FALSE,L361=FALSE,M361=FALSE),入力リスト!$K$36,"")&amp;IF(N361,"",入力リスト!$K$37)))</f>
        <v/>
      </c>
      <c r="H361" s="215"/>
      <c r="I361" s="1" t="b">
        <f>IF(B361="",FALSE,COUNTIF('従業員情報(給与以外)'!$A$4:$A$1000000,$B361)=0)</f>
        <v>0</v>
      </c>
      <c r="J361" s="8" t="b">
        <f t="shared" si="25"/>
        <v>1</v>
      </c>
      <c r="K361" s="8" t="b">
        <f t="shared" si="26"/>
        <v>1</v>
      </c>
      <c r="L361" s="8" t="b">
        <f t="shared" si="27"/>
        <v>1</v>
      </c>
      <c r="M361" s="8" t="b">
        <f t="shared" si="28"/>
        <v>1</v>
      </c>
      <c r="N361" s="1" t="b">
        <f t="shared" si="29"/>
        <v>1</v>
      </c>
      <c r="O361" s="8" t="str">
        <f>IF(F361="","",IF($F$2=入力リスト!$H$25,ROUNDDOWN(INT(F361)+ROUNDDOWN((F361-INT(F361))*100,0)/60,2),F361))</f>
        <v/>
      </c>
      <c r="P361" s="7"/>
      <c r="Q361" s="7"/>
    </row>
    <row r="362" spans="1:17">
      <c r="A362" s="105"/>
      <c r="B362" s="2"/>
      <c r="C362" s="254"/>
      <c r="D362" s="254"/>
      <c r="E362" s="254"/>
      <c r="F362" s="255"/>
      <c r="G362" s="215" t="str">
        <f>IF(AND($B362="",OR(B362&lt;&gt;"",C362&lt;&gt;"",D362&lt;&gt;"",E362&lt;&gt;"",F362&lt;&gt;"")),入力リスト!$K$34,IF($I362=TRUE,入力リスト!$K$35,IF(J362=FALSE,"「毎月の固定給与額」","")&amp;IF(AND(J362=FALSE,OR(K362=FALSE,L362=FALSE,M362=FALSE)),",","")&amp;IF(K362=FALSE,"「賞与額等」","")&amp;IF(AND(K362=FALSE,OR(L362=FALSE,M362=FALSE)),",","")&amp;IF(L362=FALSE,"「残業手当」","")&amp;IF(AND(L362=FALSE,M362=FALSE),",","")&amp;IF(M362=FALSE,"「残業時間」","")&amp;IF(OR(J362=FALSE,K362=FALSE,L362=FALSE,M362=FALSE),入力リスト!$K$36,"")&amp;IF(N362,"",入力リスト!$K$37)))</f>
        <v/>
      </c>
      <c r="H362" s="215"/>
      <c r="I362" s="1" t="b">
        <f>IF(B362="",FALSE,COUNTIF('従業員情報(給与以外)'!$A$4:$A$1000000,$B362)=0)</f>
        <v>0</v>
      </c>
      <c r="J362" s="8" t="b">
        <f t="shared" si="25"/>
        <v>1</v>
      </c>
      <c r="K362" s="8" t="b">
        <f t="shared" si="26"/>
        <v>1</v>
      </c>
      <c r="L362" s="8" t="b">
        <f t="shared" si="27"/>
        <v>1</v>
      </c>
      <c r="M362" s="8" t="b">
        <f t="shared" si="28"/>
        <v>1</v>
      </c>
      <c r="N362" s="1" t="b">
        <f t="shared" si="29"/>
        <v>1</v>
      </c>
      <c r="O362" s="8" t="str">
        <f>IF(F362="","",IF($F$2=入力リスト!$H$25,ROUNDDOWN(INT(F362)+ROUNDDOWN((F362-INT(F362))*100,0)/60,2),F362))</f>
        <v/>
      </c>
      <c r="P362" s="7"/>
      <c r="Q362" s="7"/>
    </row>
    <row r="363" spans="1:17">
      <c r="A363" s="105"/>
      <c r="B363" s="2"/>
      <c r="C363" s="254"/>
      <c r="D363" s="254"/>
      <c r="E363" s="254"/>
      <c r="F363" s="255"/>
      <c r="G363" s="215" t="str">
        <f>IF(AND($B363="",OR(B363&lt;&gt;"",C363&lt;&gt;"",D363&lt;&gt;"",E363&lt;&gt;"",F363&lt;&gt;"")),入力リスト!$K$34,IF($I363=TRUE,入力リスト!$K$35,IF(J363=FALSE,"「毎月の固定給与額」","")&amp;IF(AND(J363=FALSE,OR(K363=FALSE,L363=FALSE,M363=FALSE)),",","")&amp;IF(K363=FALSE,"「賞与額等」","")&amp;IF(AND(K363=FALSE,OR(L363=FALSE,M363=FALSE)),",","")&amp;IF(L363=FALSE,"「残業手当」","")&amp;IF(AND(L363=FALSE,M363=FALSE),",","")&amp;IF(M363=FALSE,"「残業時間」","")&amp;IF(OR(J363=FALSE,K363=FALSE,L363=FALSE,M363=FALSE),入力リスト!$K$36,"")&amp;IF(N363,"",入力リスト!$K$37)))</f>
        <v/>
      </c>
      <c r="H363" s="215"/>
      <c r="I363" s="1" t="b">
        <f>IF(B363="",FALSE,COUNTIF('従業員情報(給与以外)'!$A$4:$A$1000000,$B363)=0)</f>
        <v>0</v>
      </c>
      <c r="J363" s="8" t="b">
        <f t="shared" si="25"/>
        <v>1</v>
      </c>
      <c r="K363" s="8" t="b">
        <f t="shared" si="26"/>
        <v>1</v>
      </c>
      <c r="L363" s="8" t="b">
        <f t="shared" si="27"/>
        <v>1</v>
      </c>
      <c r="M363" s="8" t="b">
        <f t="shared" si="28"/>
        <v>1</v>
      </c>
      <c r="N363" s="1" t="b">
        <f t="shared" si="29"/>
        <v>1</v>
      </c>
      <c r="O363" s="8" t="str">
        <f>IF(F363="","",IF($F$2=入力リスト!$H$25,ROUNDDOWN(INT(F363)+ROUNDDOWN((F363-INT(F363))*100,0)/60,2),F363))</f>
        <v/>
      </c>
      <c r="P363" s="7"/>
      <c r="Q363" s="7"/>
    </row>
    <row r="364" spans="1:17">
      <c r="A364" s="105"/>
      <c r="B364" s="2"/>
      <c r="C364" s="254"/>
      <c r="D364" s="254"/>
      <c r="E364" s="254"/>
      <c r="F364" s="255"/>
      <c r="G364" s="215" t="str">
        <f>IF(AND($B364="",OR(B364&lt;&gt;"",C364&lt;&gt;"",D364&lt;&gt;"",E364&lt;&gt;"",F364&lt;&gt;"")),入力リスト!$K$34,IF($I364=TRUE,入力リスト!$K$35,IF(J364=FALSE,"「毎月の固定給与額」","")&amp;IF(AND(J364=FALSE,OR(K364=FALSE,L364=FALSE,M364=FALSE)),",","")&amp;IF(K364=FALSE,"「賞与額等」","")&amp;IF(AND(K364=FALSE,OR(L364=FALSE,M364=FALSE)),",","")&amp;IF(L364=FALSE,"「残業手当」","")&amp;IF(AND(L364=FALSE,M364=FALSE),",","")&amp;IF(M364=FALSE,"「残業時間」","")&amp;IF(OR(J364=FALSE,K364=FALSE,L364=FALSE,M364=FALSE),入力リスト!$K$36,"")&amp;IF(N364,"",入力リスト!$K$37)))</f>
        <v/>
      </c>
      <c r="H364" s="215"/>
      <c r="I364" s="1" t="b">
        <f>IF(B364="",FALSE,COUNTIF('従業員情報(給与以外)'!$A$4:$A$1000000,$B364)=0)</f>
        <v>0</v>
      </c>
      <c r="J364" s="8" t="b">
        <f t="shared" si="25"/>
        <v>1</v>
      </c>
      <c r="K364" s="8" t="b">
        <f t="shared" si="26"/>
        <v>1</v>
      </c>
      <c r="L364" s="8" t="b">
        <f t="shared" si="27"/>
        <v>1</v>
      </c>
      <c r="M364" s="8" t="b">
        <f t="shared" si="28"/>
        <v>1</v>
      </c>
      <c r="N364" s="1" t="b">
        <f t="shared" si="29"/>
        <v>1</v>
      </c>
      <c r="O364" s="8" t="str">
        <f>IF(F364="","",IF($F$2=入力リスト!$H$25,ROUNDDOWN(INT(F364)+ROUNDDOWN((F364-INT(F364))*100,0)/60,2),F364))</f>
        <v/>
      </c>
      <c r="P364" s="7"/>
      <c r="Q364" s="7"/>
    </row>
    <row r="365" spans="1:17">
      <c r="A365" s="105"/>
      <c r="B365" s="2"/>
      <c r="C365" s="254"/>
      <c r="D365" s="254"/>
      <c r="E365" s="254"/>
      <c r="F365" s="255"/>
      <c r="G365" s="215" t="str">
        <f>IF(AND($B365="",OR(B365&lt;&gt;"",C365&lt;&gt;"",D365&lt;&gt;"",E365&lt;&gt;"",F365&lt;&gt;"")),入力リスト!$K$34,IF($I365=TRUE,入力リスト!$K$35,IF(J365=FALSE,"「毎月の固定給与額」","")&amp;IF(AND(J365=FALSE,OR(K365=FALSE,L365=FALSE,M365=FALSE)),",","")&amp;IF(K365=FALSE,"「賞与額等」","")&amp;IF(AND(K365=FALSE,OR(L365=FALSE,M365=FALSE)),",","")&amp;IF(L365=FALSE,"「残業手当」","")&amp;IF(AND(L365=FALSE,M365=FALSE),",","")&amp;IF(M365=FALSE,"「残業時間」","")&amp;IF(OR(J365=FALSE,K365=FALSE,L365=FALSE,M365=FALSE),入力リスト!$K$36,"")&amp;IF(N365,"",入力リスト!$K$37)))</f>
        <v/>
      </c>
      <c r="H365" s="215"/>
      <c r="I365" s="1" t="b">
        <f>IF(B365="",FALSE,COUNTIF('従業員情報(給与以外)'!$A$4:$A$1000000,$B365)=0)</f>
        <v>0</v>
      </c>
      <c r="J365" s="8" t="b">
        <f t="shared" si="25"/>
        <v>1</v>
      </c>
      <c r="K365" s="8" t="b">
        <f t="shared" si="26"/>
        <v>1</v>
      </c>
      <c r="L365" s="8" t="b">
        <f t="shared" si="27"/>
        <v>1</v>
      </c>
      <c r="M365" s="8" t="b">
        <f t="shared" si="28"/>
        <v>1</v>
      </c>
      <c r="N365" s="1" t="b">
        <f t="shared" si="29"/>
        <v>1</v>
      </c>
      <c r="O365" s="8" t="str">
        <f>IF(F365="","",IF($F$2=入力リスト!$H$25,ROUNDDOWN(INT(F365)+ROUNDDOWN((F365-INT(F365))*100,0)/60,2),F365))</f>
        <v/>
      </c>
      <c r="P365" s="7"/>
      <c r="Q365" s="7"/>
    </row>
    <row r="366" spans="1:17">
      <c r="A366" s="105"/>
      <c r="B366" s="2"/>
      <c r="C366" s="254"/>
      <c r="D366" s="254"/>
      <c r="E366" s="254"/>
      <c r="F366" s="255"/>
      <c r="G366" s="215" t="str">
        <f>IF(AND($B366="",OR(B366&lt;&gt;"",C366&lt;&gt;"",D366&lt;&gt;"",E366&lt;&gt;"",F366&lt;&gt;"")),入力リスト!$K$34,IF($I366=TRUE,入力リスト!$K$35,IF(J366=FALSE,"「毎月の固定給与額」","")&amp;IF(AND(J366=FALSE,OR(K366=FALSE,L366=FALSE,M366=FALSE)),",","")&amp;IF(K366=FALSE,"「賞与額等」","")&amp;IF(AND(K366=FALSE,OR(L366=FALSE,M366=FALSE)),",","")&amp;IF(L366=FALSE,"「残業手当」","")&amp;IF(AND(L366=FALSE,M366=FALSE),",","")&amp;IF(M366=FALSE,"「残業時間」","")&amp;IF(OR(J366=FALSE,K366=FALSE,L366=FALSE,M366=FALSE),入力リスト!$K$36,"")&amp;IF(N366,"",入力リスト!$K$37)))</f>
        <v/>
      </c>
      <c r="H366" s="215"/>
      <c r="I366" s="1" t="b">
        <f>IF(B366="",FALSE,COUNTIF('従業員情報(給与以外)'!$A$4:$A$1000000,$B366)=0)</f>
        <v>0</v>
      </c>
      <c r="J366" s="8" t="b">
        <f t="shared" si="25"/>
        <v>1</v>
      </c>
      <c r="K366" s="8" t="b">
        <f t="shared" si="26"/>
        <v>1</v>
      </c>
      <c r="L366" s="8" t="b">
        <f t="shared" si="27"/>
        <v>1</v>
      </c>
      <c r="M366" s="8" t="b">
        <f t="shared" si="28"/>
        <v>1</v>
      </c>
      <c r="N366" s="1" t="b">
        <f t="shared" si="29"/>
        <v>1</v>
      </c>
      <c r="O366" s="8" t="str">
        <f>IF(F366="","",IF($F$2=入力リスト!$H$25,ROUNDDOWN(INT(F366)+ROUNDDOWN((F366-INT(F366))*100,0)/60,2),F366))</f>
        <v/>
      </c>
      <c r="P366" s="7"/>
      <c r="Q366" s="7"/>
    </row>
    <row r="367" spans="1:17">
      <c r="A367" s="105"/>
      <c r="B367" s="2"/>
      <c r="C367" s="254"/>
      <c r="D367" s="254"/>
      <c r="E367" s="254"/>
      <c r="F367" s="255"/>
      <c r="G367" s="215" t="str">
        <f>IF(AND($B367="",OR(B367&lt;&gt;"",C367&lt;&gt;"",D367&lt;&gt;"",E367&lt;&gt;"",F367&lt;&gt;"")),入力リスト!$K$34,IF($I367=TRUE,入力リスト!$K$35,IF(J367=FALSE,"「毎月の固定給与額」","")&amp;IF(AND(J367=FALSE,OR(K367=FALSE,L367=FALSE,M367=FALSE)),",","")&amp;IF(K367=FALSE,"「賞与額等」","")&amp;IF(AND(K367=FALSE,OR(L367=FALSE,M367=FALSE)),",","")&amp;IF(L367=FALSE,"「残業手当」","")&amp;IF(AND(L367=FALSE,M367=FALSE),",","")&amp;IF(M367=FALSE,"「残業時間」","")&amp;IF(OR(J367=FALSE,K367=FALSE,L367=FALSE,M367=FALSE),入力リスト!$K$36,"")&amp;IF(N367,"",入力リスト!$K$37)))</f>
        <v/>
      </c>
      <c r="H367" s="215"/>
      <c r="I367" s="1" t="b">
        <f>IF(B367="",FALSE,COUNTIF('従業員情報(給与以外)'!$A$4:$A$1000000,$B367)=0)</f>
        <v>0</v>
      </c>
      <c r="J367" s="8" t="b">
        <f t="shared" si="25"/>
        <v>1</v>
      </c>
      <c r="K367" s="8" t="b">
        <f t="shared" si="26"/>
        <v>1</v>
      </c>
      <c r="L367" s="8" t="b">
        <f t="shared" si="27"/>
        <v>1</v>
      </c>
      <c r="M367" s="8" t="b">
        <f t="shared" si="28"/>
        <v>1</v>
      </c>
      <c r="N367" s="1" t="b">
        <f t="shared" si="29"/>
        <v>1</v>
      </c>
      <c r="O367" s="8" t="str">
        <f>IF(F367="","",IF($F$2=入力リスト!$H$25,ROUNDDOWN(INT(F367)+ROUNDDOWN((F367-INT(F367))*100,0)/60,2),F367))</f>
        <v/>
      </c>
      <c r="P367" s="7"/>
      <c r="Q367" s="7"/>
    </row>
    <row r="368" spans="1:17">
      <c r="A368" s="105"/>
      <c r="B368" s="2"/>
      <c r="C368" s="254"/>
      <c r="D368" s="254"/>
      <c r="E368" s="254"/>
      <c r="F368" s="255"/>
      <c r="G368" s="215" t="str">
        <f>IF(AND($B368="",OR(B368&lt;&gt;"",C368&lt;&gt;"",D368&lt;&gt;"",E368&lt;&gt;"",F368&lt;&gt;"")),入力リスト!$K$34,IF($I368=TRUE,入力リスト!$K$35,IF(J368=FALSE,"「毎月の固定給与額」","")&amp;IF(AND(J368=FALSE,OR(K368=FALSE,L368=FALSE,M368=FALSE)),",","")&amp;IF(K368=FALSE,"「賞与額等」","")&amp;IF(AND(K368=FALSE,OR(L368=FALSE,M368=FALSE)),",","")&amp;IF(L368=FALSE,"「残業手当」","")&amp;IF(AND(L368=FALSE,M368=FALSE),",","")&amp;IF(M368=FALSE,"「残業時間」","")&amp;IF(OR(J368=FALSE,K368=FALSE,L368=FALSE,M368=FALSE),入力リスト!$K$36,"")&amp;IF(N368,"",入力リスト!$K$37)))</f>
        <v/>
      </c>
      <c r="H368" s="215"/>
      <c r="I368" s="1" t="b">
        <f>IF(B368="",FALSE,COUNTIF('従業員情報(給与以外)'!$A$4:$A$1000000,$B368)=0)</f>
        <v>0</v>
      </c>
      <c r="J368" s="8" t="b">
        <f t="shared" si="25"/>
        <v>1</v>
      </c>
      <c r="K368" s="8" t="b">
        <f t="shared" si="26"/>
        <v>1</v>
      </c>
      <c r="L368" s="8" t="b">
        <f t="shared" si="27"/>
        <v>1</v>
      </c>
      <c r="M368" s="8" t="b">
        <f t="shared" si="28"/>
        <v>1</v>
      </c>
      <c r="N368" s="1" t="b">
        <f t="shared" si="29"/>
        <v>1</v>
      </c>
      <c r="O368" s="8" t="str">
        <f>IF(F368="","",IF($F$2=入力リスト!$H$25,ROUNDDOWN(INT(F368)+ROUNDDOWN((F368-INT(F368))*100,0)/60,2),F368))</f>
        <v/>
      </c>
      <c r="P368" s="7"/>
      <c r="Q368" s="7"/>
    </row>
    <row r="369" spans="1:17">
      <c r="A369" s="105"/>
      <c r="B369" s="2"/>
      <c r="C369" s="254"/>
      <c r="D369" s="254"/>
      <c r="E369" s="254"/>
      <c r="F369" s="255"/>
      <c r="G369" s="215" t="str">
        <f>IF(AND($B369="",OR(B369&lt;&gt;"",C369&lt;&gt;"",D369&lt;&gt;"",E369&lt;&gt;"",F369&lt;&gt;"")),入力リスト!$K$34,IF($I369=TRUE,入力リスト!$K$35,IF(J369=FALSE,"「毎月の固定給与額」","")&amp;IF(AND(J369=FALSE,OR(K369=FALSE,L369=FALSE,M369=FALSE)),",","")&amp;IF(K369=FALSE,"「賞与額等」","")&amp;IF(AND(K369=FALSE,OR(L369=FALSE,M369=FALSE)),",","")&amp;IF(L369=FALSE,"「残業手当」","")&amp;IF(AND(L369=FALSE,M369=FALSE),",","")&amp;IF(M369=FALSE,"「残業時間」","")&amp;IF(OR(J369=FALSE,K369=FALSE,L369=FALSE,M369=FALSE),入力リスト!$K$36,"")&amp;IF(N369,"",入力リスト!$K$37)))</f>
        <v/>
      </c>
      <c r="H369" s="215"/>
      <c r="I369" s="1" t="b">
        <f>IF(B369="",FALSE,COUNTIF('従業員情報(給与以外)'!$A$4:$A$1000000,$B369)=0)</f>
        <v>0</v>
      </c>
      <c r="J369" s="8" t="b">
        <f t="shared" si="25"/>
        <v>1</v>
      </c>
      <c r="K369" s="8" t="b">
        <f t="shared" si="26"/>
        <v>1</v>
      </c>
      <c r="L369" s="8" t="b">
        <f t="shared" si="27"/>
        <v>1</v>
      </c>
      <c r="M369" s="8" t="b">
        <f t="shared" si="28"/>
        <v>1</v>
      </c>
      <c r="N369" s="1" t="b">
        <f t="shared" si="29"/>
        <v>1</v>
      </c>
      <c r="O369" s="8" t="str">
        <f>IF(F369="","",IF($F$2=入力リスト!$H$25,ROUNDDOWN(INT(F369)+ROUNDDOWN((F369-INT(F369))*100,0)/60,2),F369))</f>
        <v/>
      </c>
      <c r="P369" s="7"/>
      <c r="Q369" s="7"/>
    </row>
    <row r="370" spans="1:17">
      <c r="A370" s="105"/>
      <c r="B370" s="2"/>
      <c r="C370" s="254"/>
      <c r="D370" s="254"/>
      <c r="E370" s="254"/>
      <c r="F370" s="255"/>
      <c r="G370" s="215" t="str">
        <f>IF(AND($B370="",OR(B370&lt;&gt;"",C370&lt;&gt;"",D370&lt;&gt;"",E370&lt;&gt;"",F370&lt;&gt;"")),入力リスト!$K$34,IF($I370=TRUE,入力リスト!$K$35,IF(J370=FALSE,"「毎月の固定給与額」","")&amp;IF(AND(J370=FALSE,OR(K370=FALSE,L370=FALSE,M370=FALSE)),",","")&amp;IF(K370=FALSE,"「賞与額等」","")&amp;IF(AND(K370=FALSE,OR(L370=FALSE,M370=FALSE)),",","")&amp;IF(L370=FALSE,"「残業手当」","")&amp;IF(AND(L370=FALSE,M370=FALSE),",","")&amp;IF(M370=FALSE,"「残業時間」","")&amp;IF(OR(J370=FALSE,K370=FALSE,L370=FALSE,M370=FALSE),入力リスト!$K$36,"")&amp;IF(N370,"",入力リスト!$K$37)))</f>
        <v/>
      </c>
      <c r="H370" s="215"/>
      <c r="I370" s="1" t="b">
        <f>IF(B370="",FALSE,COUNTIF('従業員情報(給与以外)'!$A$4:$A$1000000,$B370)=0)</f>
        <v>0</v>
      </c>
      <c r="J370" s="8" t="b">
        <f t="shared" si="25"/>
        <v>1</v>
      </c>
      <c r="K370" s="8" t="b">
        <f t="shared" si="26"/>
        <v>1</v>
      </c>
      <c r="L370" s="8" t="b">
        <f t="shared" si="27"/>
        <v>1</v>
      </c>
      <c r="M370" s="8" t="b">
        <f t="shared" si="28"/>
        <v>1</v>
      </c>
      <c r="N370" s="1" t="b">
        <f t="shared" si="29"/>
        <v>1</v>
      </c>
      <c r="O370" s="8" t="str">
        <f>IF(F370="","",IF($F$2=入力リスト!$H$25,ROUNDDOWN(INT(F370)+ROUNDDOWN((F370-INT(F370))*100,0)/60,2),F370))</f>
        <v/>
      </c>
      <c r="P370" s="7"/>
      <c r="Q370" s="7"/>
    </row>
    <row r="371" spans="1:17">
      <c r="A371" s="105"/>
      <c r="B371" s="2"/>
      <c r="C371" s="254"/>
      <c r="D371" s="254"/>
      <c r="E371" s="254"/>
      <c r="F371" s="255"/>
      <c r="G371" s="215" t="str">
        <f>IF(AND($B371="",OR(B371&lt;&gt;"",C371&lt;&gt;"",D371&lt;&gt;"",E371&lt;&gt;"",F371&lt;&gt;"")),入力リスト!$K$34,IF($I371=TRUE,入力リスト!$K$35,IF(J371=FALSE,"「毎月の固定給与額」","")&amp;IF(AND(J371=FALSE,OR(K371=FALSE,L371=FALSE,M371=FALSE)),",","")&amp;IF(K371=FALSE,"「賞与額等」","")&amp;IF(AND(K371=FALSE,OR(L371=FALSE,M371=FALSE)),",","")&amp;IF(L371=FALSE,"「残業手当」","")&amp;IF(AND(L371=FALSE,M371=FALSE),",","")&amp;IF(M371=FALSE,"「残業時間」","")&amp;IF(OR(J371=FALSE,K371=FALSE,L371=FALSE,M371=FALSE),入力リスト!$K$36,"")&amp;IF(N371,"",入力リスト!$K$37)))</f>
        <v/>
      </c>
      <c r="H371" s="215"/>
      <c r="I371" s="1" t="b">
        <f>IF(B371="",FALSE,COUNTIF('従業員情報(給与以外)'!$A$4:$A$1000000,$B371)=0)</f>
        <v>0</v>
      </c>
      <c r="J371" s="8" t="b">
        <f t="shared" si="25"/>
        <v>1</v>
      </c>
      <c r="K371" s="8" t="b">
        <f t="shared" si="26"/>
        <v>1</v>
      </c>
      <c r="L371" s="8" t="b">
        <f t="shared" si="27"/>
        <v>1</v>
      </c>
      <c r="M371" s="8" t="b">
        <f t="shared" si="28"/>
        <v>1</v>
      </c>
      <c r="N371" s="1" t="b">
        <f t="shared" si="29"/>
        <v>1</v>
      </c>
      <c r="O371" s="8" t="str">
        <f>IF(F371="","",IF($F$2=入力リスト!$H$25,ROUNDDOWN(INT(F371)+ROUNDDOWN((F371-INT(F371))*100,0)/60,2),F371))</f>
        <v/>
      </c>
      <c r="P371" s="7"/>
      <c r="Q371" s="7"/>
    </row>
    <row r="372" spans="1:17">
      <c r="A372" s="105"/>
      <c r="B372" s="2"/>
      <c r="C372" s="254"/>
      <c r="D372" s="254"/>
      <c r="E372" s="254"/>
      <c r="F372" s="255"/>
      <c r="G372" s="215" t="str">
        <f>IF(AND($B372="",OR(B372&lt;&gt;"",C372&lt;&gt;"",D372&lt;&gt;"",E372&lt;&gt;"",F372&lt;&gt;"")),入力リスト!$K$34,IF($I372=TRUE,入力リスト!$K$35,IF(J372=FALSE,"「毎月の固定給与額」","")&amp;IF(AND(J372=FALSE,OR(K372=FALSE,L372=FALSE,M372=FALSE)),",","")&amp;IF(K372=FALSE,"「賞与額等」","")&amp;IF(AND(K372=FALSE,OR(L372=FALSE,M372=FALSE)),",","")&amp;IF(L372=FALSE,"「残業手当」","")&amp;IF(AND(L372=FALSE,M372=FALSE),",","")&amp;IF(M372=FALSE,"「残業時間」","")&amp;IF(OR(J372=FALSE,K372=FALSE,L372=FALSE,M372=FALSE),入力リスト!$K$36,"")&amp;IF(N372,"",入力リスト!$K$37)))</f>
        <v/>
      </c>
      <c r="H372" s="215"/>
      <c r="I372" s="1" t="b">
        <f>IF(B372="",FALSE,COUNTIF('従業員情報(給与以外)'!$A$4:$A$1000000,$B372)=0)</f>
        <v>0</v>
      </c>
      <c r="J372" s="8" t="b">
        <f t="shared" si="25"/>
        <v>1</v>
      </c>
      <c r="K372" s="8" t="b">
        <f t="shared" si="26"/>
        <v>1</v>
      </c>
      <c r="L372" s="8" t="b">
        <f t="shared" si="27"/>
        <v>1</v>
      </c>
      <c r="M372" s="8" t="b">
        <f t="shared" si="28"/>
        <v>1</v>
      </c>
      <c r="N372" s="1" t="b">
        <f t="shared" si="29"/>
        <v>1</v>
      </c>
      <c r="O372" s="8" t="str">
        <f>IF(F372="","",IF($F$2=入力リスト!$H$25,ROUNDDOWN(INT(F372)+ROUNDDOWN((F372-INT(F372))*100,0)/60,2),F372))</f>
        <v/>
      </c>
      <c r="P372" s="7"/>
      <c r="Q372" s="7"/>
    </row>
    <row r="373" spans="1:17">
      <c r="A373" s="105"/>
      <c r="B373" s="2"/>
      <c r="C373" s="254"/>
      <c r="D373" s="254"/>
      <c r="E373" s="254"/>
      <c r="F373" s="255"/>
      <c r="G373" s="215" t="str">
        <f>IF(AND($B373="",OR(B373&lt;&gt;"",C373&lt;&gt;"",D373&lt;&gt;"",E373&lt;&gt;"",F373&lt;&gt;"")),入力リスト!$K$34,IF($I373=TRUE,入力リスト!$K$35,IF(J373=FALSE,"「毎月の固定給与額」","")&amp;IF(AND(J373=FALSE,OR(K373=FALSE,L373=FALSE,M373=FALSE)),",","")&amp;IF(K373=FALSE,"「賞与額等」","")&amp;IF(AND(K373=FALSE,OR(L373=FALSE,M373=FALSE)),",","")&amp;IF(L373=FALSE,"「残業手当」","")&amp;IF(AND(L373=FALSE,M373=FALSE),",","")&amp;IF(M373=FALSE,"「残業時間」","")&amp;IF(OR(J373=FALSE,K373=FALSE,L373=FALSE,M373=FALSE),入力リスト!$K$36,"")&amp;IF(N373,"",入力リスト!$K$37)))</f>
        <v/>
      </c>
      <c r="H373" s="215"/>
      <c r="I373" s="1" t="b">
        <f>IF(B373="",FALSE,COUNTIF('従業員情報(給与以外)'!$A$4:$A$1000000,$B373)=0)</f>
        <v>0</v>
      </c>
      <c r="J373" s="8" t="b">
        <f t="shared" si="25"/>
        <v>1</v>
      </c>
      <c r="K373" s="8" t="b">
        <f t="shared" si="26"/>
        <v>1</v>
      </c>
      <c r="L373" s="8" t="b">
        <f t="shared" si="27"/>
        <v>1</v>
      </c>
      <c r="M373" s="8" t="b">
        <f t="shared" si="28"/>
        <v>1</v>
      </c>
      <c r="N373" s="1" t="b">
        <f t="shared" si="29"/>
        <v>1</v>
      </c>
      <c r="O373" s="8" t="str">
        <f>IF(F373="","",IF($F$2=入力リスト!$H$25,ROUNDDOWN(INT(F373)+ROUNDDOWN((F373-INT(F373))*100,0)/60,2),F373))</f>
        <v/>
      </c>
      <c r="P373" s="7"/>
      <c r="Q373" s="7"/>
    </row>
    <row r="374" spans="1:17">
      <c r="A374" s="105"/>
      <c r="B374" s="2"/>
      <c r="C374" s="254"/>
      <c r="D374" s="254"/>
      <c r="E374" s="254"/>
      <c r="F374" s="255"/>
      <c r="G374" s="215" t="str">
        <f>IF(AND($B374="",OR(B374&lt;&gt;"",C374&lt;&gt;"",D374&lt;&gt;"",E374&lt;&gt;"",F374&lt;&gt;"")),入力リスト!$K$34,IF($I374=TRUE,入力リスト!$K$35,IF(J374=FALSE,"「毎月の固定給与額」","")&amp;IF(AND(J374=FALSE,OR(K374=FALSE,L374=FALSE,M374=FALSE)),",","")&amp;IF(K374=FALSE,"「賞与額等」","")&amp;IF(AND(K374=FALSE,OR(L374=FALSE,M374=FALSE)),",","")&amp;IF(L374=FALSE,"「残業手当」","")&amp;IF(AND(L374=FALSE,M374=FALSE),",","")&amp;IF(M374=FALSE,"「残業時間」","")&amp;IF(OR(J374=FALSE,K374=FALSE,L374=FALSE,M374=FALSE),入力リスト!$K$36,"")&amp;IF(N374,"",入力リスト!$K$37)))</f>
        <v/>
      </c>
      <c r="H374" s="215"/>
      <c r="I374" s="1" t="b">
        <f>IF(B374="",FALSE,COUNTIF('従業員情報(給与以外)'!$A$4:$A$1000000,$B374)=0)</f>
        <v>0</v>
      </c>
      <c r="J374" s="8" t="b">
        <f t="shared" si="25"/>
        <v>1</v>
      </c>
      <c r="K374" s="8" t="b">
        <f t="shared" si="26"/>
        <v>1</v>
      </c>
      <c r="L374" s="8" t="b">
        <f t="shared" si="27"/>
        <v>1</v>
      </c>
      <c r="M374" s="8" t="b">
        <f t="shared" si="28"/>
        <v>1</v>
      </c>
      <c r="N374" s="1" t="b">
        <f t="shared" si="29"/>
        <v>1</v>
      </c>
      <c r="O374" s="8" t="str">
        <f>IF(F374="","",IF($F$2=入力リスト!$H$25,ROUNDDOWN(INT(F374)+ROUNDDOWN((F374-INT(F374))*100,0)/60,2),F374))</f>
        <v/>
      </c>
      <c r="P374" s="7"/>
      <c r="Q374" s="7"/>
    </row>
    <row r="375" spans="1:17">
      <c r="A375" s="105"/>
      <c r="B375" s="2"/>
      <c r="C375" s="254"/>
      <c r="D375" s="254"/>
      <c r="E375" s="254"/>
      <c r="F375" s="255"/>
      <c r="G375" s="215" t="str">
        <f>IF(AND($B375="",OR(B375&lt;&gt;"",C375&lt;&gt;"",D375&lt;&gt;"",E375&lt;&gt;"",F375&lt;&gt;"")),入力リスト!$K$34,IF($I375=TRUE,入力リスト!$K$35,IF(J375=FALSE,"「毎月の固定給与額」","")&amp;IF(AND(J375=FALSE,OR(K375=FALSE,L375=FALSE,M375=FALSE)),",","")&amp;IF(K375=FALSE,"「賞与額等」","")&amp;IF(AND(K375=FALSE,OR(L375=FALSE,M375=FALSE)),",","")&amp;IF(L375=FALSE,"「残業手当」","")&amp;IF(AND(L375=FALSE,M375=FALSE),",","")&amp;IF(M375=FALSE,"「残業時間」","")&amp;IF(OR(J375=FALSE,K375=FALSE,L375=FALSE,M375=FALSE),入力リスト!$K$36,"")&amp;IF(N375,"",入力リスト!$K$37)))</f>
        <v/>
      </c>
      <c r="H375" s="215"/>
      <c r="I375" s="1" t="b">
        <f>IF(B375="",FALSE,COUNTIF('従業員情報(給与以外)'!$A$4:$A$1000000,$B375)=0)</f>
        <v>0</v>
      </c>
      <c r="J375" s="8" t="b">
        <f t="shared" si="25"/>
        <v>1</v>
      </c>
      <c r="K375" s="8" t="b">
        <f t="shared" si="26"/>
        <v>1</v>
      </c>
      <c r="L375" s="8" t="b">
        <f t="shared" si="27"/>
        <v>1</v>
      </c>
      <c r="M375" s="8" t="b">
        <f t="shared" si="28"/>
        <v>1</v>
      </c>
      <c r="N375" s="1" t="b">
        <f t="shared" si="29"/>
        <v>1</v>
      </c>
      <c r="O375" s="8" t="str">
        <f>IF(F375="","",IF($F$2=入力リスト!$H$25,ROUNDDOWN(INT(F375)+ROUNDDOWN((F375-INT(F375))*100,0)/60,2),F375))</f>
        <v/>
      </c>
      <c r="P375" s="7"/>
      <c r="Q375" s="7"/>
    </row>
    <row r="376" spans="1:17">
      <c r="A376" s="105"/>
      <c r="B376" s="2"/>
      <c r="C376" s="254"/>
      <c r="D376" s="254"/>
      <c r="E376" s="254"/>
      <c r="F376" s="255"/>
      <c r="G376" s="215" t="str">
        <f>IF(AND($B376="",OR(B376&lt;&gt;"",C376&lt;&gt;"",D376&lt;&gt;"",E376&lt;&gt;"",F376&lt;&gt;"")),入力リスト!$K$34,IF($I376=TRUE,入力リスト!$K$35,IF(J376=FALSE,"「毎月の固定給与額」","")&amp;IF(AND(J376=FALSE,OR(K376=FALSE,L376=FALSE,M376=FALSE)),",","")&amp;IF(K376=FALSE,"「賞与額等」","")&amp;IF(AND(K376=FALSE,OR(L376=FALSE,M376=FALSE)),",","")&amp;IF(L376=FALSE,"「残業手当」","")&amp;IF(AND(L376=FALSE,M376=FALSE),",","")&amp;IF(M376=FALSE,"「残業時間」","")&amp;IF(OR(J376=FALSE,K376=FALSE,L376=FALSE,M376=FALSE),入力リスト!$K$36,"")&amp;IF(N376,"",入力リスト!$K$37)))</f>
        <v/>
      </c>
      <c r="H376" s="215"/>
      <c r="I376" s="1" t="b">
        <f>IF(B376="",FALSE,COUNTIF('従業員情報(給与以外)'!$A$4:$A$1000000,$B376)=0)</f>
        <v>0</v>
      </c>
      <c r="J376" s="8" t="b">
        <f t="shared" si="25"/>
        <v>1</v>
      </c>
      <c r="K376" s="8" t="b">
        <f t="shared" si="26"/>
        <v>1</v>
      </c>
      <c r="L376" s="8" t="b">
        <f t="shared" si="27"/>
        <v>1</v>
      </c>
      <c r="M376" s="8" t="b">
        <f t="shared" si="28"/>
        <v>1</v>
      </c>
      <c r="N376" s="1" t="b">
        <f t="shared" si="29"/>
        <v>1</v>
      </c>
      <c r="O376" s="8" t="str">
        <f>IF(F376="","",IF($F$2=入力リスト!$H$25,ROUNDDOWN(INT(F376)+ROUNDDOWN((F376-INT(F376))*100,0)/60,2),F376))</f>
        <v/>
      </c>
      <c r="P376" s="7"/>
      <c r="Q376" s="7"/>
    </row>
    <row r="377" spans="1:17">
      <c r="A377" s="105"/>
      <c r="B377" s="2"/>
      <c r="C377" s="254"/>
      <c r="D377" s="254"/>
      <c r="E377" s="254"/>
      <c r="F377" s="255"/>
      <c r="G377" s="215" t="str">
        <f>IF(AND($B377="",OR(B377&lt;&gt;"",C377&lt;&gt;"",D377&lt;&gt;"",E377&lt;&gt;"",F377&lt;&gt;"")),入力リスト!$K$34,IF($I377=TRUE,入力リスト!$K$35,IF(J377=FALSE,"「毎月の固定給与額」","")&amp;IF(AND(J377=FALSE,OR(K377=FALSE,L377=FALSE,M377=FALSE)),",","")&amp;IF(K377=FALSE,"「賞与額等」","")&amp;IF(AND(K377=FALSE,OR(L377=FALSE,M377=FALSE)),",","")&amp;IF(L377=FALSE,"「残業手当」","")&amp;IF(AND(L377=FALSE,M377=FALSE),",","")&amp;IF(M377=FALSE,"「残業時間」","")&amp;IF(OR(J377=FALSE,K377=FALSE,L377=FALSE,M377=FALSE),入力リスト!$K$36,"")&amp;IF(N377,"",入力リスト!$K$37)))</f>
        <v/>
      </c>
      <c r="H377" s="215"/>
      <c r="I377" s="1" t="b">
        <f>IF(B377="",FALSE,COUNTIF('従業員情報(給与以外)'!$A$4:$A$1000000,$B377)=0)</f>
        <v>0</v>
      </c>
      <c r="J377" s="8" t="b">
        <f t="shared" si="25"/>
        <v>1</v>
      </c>
      <c r="K377" s="8" t="b">
        <f t="shared" si="26"/>
        <v>1</v>
      </c>
      <c r="L377" s="8" t="b">
        <f t="shared" si="27"/>
        <v>1</v>
      </c>
      <c r="M377" s="8" t="b">
        <f t="shared" si="28"/>
        <v>1</v>
      </c>
      <c r="N377" s="1" t="b">
        <f t="shared" si="29"/>
        <v>1</v>
      </c>
      <c r="O377" s="8" t="str">
        <f>IF(F377="","",IF($F$2=入力リスト!$H$25,ROUNDDOWN(INT(F377)+ROUNDDOWN((F377-INT(F377))*100,0)/60,2),F377))</f>
        <v/>
      </c>
      <c r="P377" s="7"/>
      <c r="Q377" s="7"/>
    </row>
    <row r="378" spans="1:17">
      <c r="A378" s="105"/>
      <c r="B378" s="2"/>
      <c r="C378" s="254"/>
      <c r="D378" s="254"/>
      <c r="E378" s="254"/>
      <c r="F378" s="255"/>
      <c r="G378" s="215" t="str">
        <f>IF(AND($B378="",OR(B378&lt;&gt;"",C378&lt;&gt;"",D378&lt;&gt;"",E378&lt;&gt;"",F378&lt;&gt;"")),入力リスト!$K$34,IF($I378=TRUE,入力リスト!$K$35,IF(J378=FALSE,"「毎月の固定給与額」","")&amp;IF(AND(J378=FALSE,OR(K378=FALSE,L378=FALSE,M378=FALSE)),",","")&amp;IF(K378=FALSE,"「賞与額等」","")&amp;IF(AND(K378=FALSE,OR(L378=FALSE,M378=FALSE)),",","")&amp;IF(L378=FALSE,"「残業手当」","")&amp;IF(AND(L378=FALSE,M378=FALSE),",","")&amp;IF(M378=FALSE,"「残業時間」","")&amp;IF(OR(J378=FALSE,K378=FALSE,L378=FALSE,M378=FALSE),入力リスト!$K$36,"")&amp;IF(N378,"",入力リスト!$K$37)))</f>
        <v/>
      </c>
      <c r="H378" s="215"/>
      <c r="I378" s="1" t="b">
        <f>IF(B378="",FALSE,COUNTIF('従業員情報(給与以外)'!$A$4:$A$1000000,$B378)=0)</f>
        <v>0</v>
      </c>
      <c r="J378" s="8" t="b">
        <f t="shared" si="25"/>
        <v>1</v>
      </c>
      <c r="K378" s="8" t="b">
        <f t="shared" si="26"/>
        <v>1</v>
      </c>
      <c r="L378" s="8" t="b">
        <f t="shared" si="27"/>
        <v>1</v>
      </c>
      <c r="M378" s="8" t="b">
        <f t="shared" si="28"/>
        <v>1</v>
      </c>
      <c r="N378" s="1" t="b">
        <f t="shared" si="29"/>
        <v>1</v>
      </c>
      <c r="O378" s="8" t="str">
        <f>IF(F378="","",IF($F$2=入力リスト!$H$25,ROUNDDOWN(INT(F378)+ROUNDDOWN((F378-INT(F378))*100,0)/60,2),F378))</f>
        <v/>
      </c>
      <c r="P378" s="7"/>
      <c r="Q378" s="7"/>
    </row>
    <row r="379" spans="1:17">
      <c r="A379" s="105"/>
      <c r="B379" s="2"/>
      <c r="C379" s="254"/>
      <c r="D379" s="254"/>
      <c r="E379" s="254"/>
      <c r="F379" s="255"/>
      <c r="G379" s="215" t="str">
        <f>IF(AND($B379="",OR(B379&lt;&gt;"",C379&lt;&gt;"",D379&lt;&gt;"",E379&lt;&gt;"",F379&lt;&gt;"")),入力リスト!$K$34,IF($I379=TRUE,入力リスト!$K$35,IF(J379=FALSE,"「毎月の固定給与額」","")&amp;IF(AND(J379=FALSE,OR(K379=FALSE,L379=FALSE,M379=FALSE)),",","")&amp;IF(K379=FALSE,"「賞与額等」","")&amp;IF(AND(K379=FALSE,OR(L379=FALSE,M379=FALSE)),",","")&amp;IF(L379=FALSE,"「残業手当」","")&amp;IF(AND(L379=FALSE,M379=FALSE),",","")&amp;IF(M379=FALSE,"「残業時間」","")&amp;IF(OR(J379=FALSE,K379=FALSE,L379=FALSE,M379=FALSE),入力リスト!$K$36,"")&amp;IF(N379,"",入力リスト!$K$37)))</f>
        <v/>
      </c>
      <c r="H379" s="215"/>
      <c r="I379" s="1" t="b">
        <f>IF(B379="",FALSE,COUNTIF('従業員情報(給与以外)'!$A$4:$A$1000000,$B379)=0)</f>
        <v>0</v>
      </c>
      <c r="J379" s="8" t="b">
        <f t="shared" si="25"/>
        <v>1</v>
      </c>
      <c r="K379" s="8" t="b">
        <f t="shared" si="26"/>
        <v>1</v>
      </c>
      <c r="L379" s="8" t="b">
        <f t="shared" si="27"/>
        <v>1</v>
      </c>
      <c r="M379" s="8" t="b">
        <f t="shared" si="28"/>
        <v>1</v>
      </c>
      <c r="N379" s="1" t="b">
        <f t="shared" si="29"/>
        <v>1</v>
      </c>
      <c r="O379" s="8" t="str">
        <f>IF(F379="","",IF($F$2=入力リスト!$H$25,ROUNDDOWN(INT(F379)+ROUNDDOWN((F379-INT(F379))*100,0)/60,2),F379))</f>
        <v/>
      </c>
      <c r="P379" s="7"/>
      <c r="Q379" s="7"/>
    </row>
    <row r="380" spans="1:17">
      <c r="A380" s="105"/>
      <c r="B380" s="2"/>
      <c r="C380" s="254"/>
      <c r="D380" s="254"/>
      <c r="E380" s="254"/>
      <c r="F380" s="255"/>
      <c r="G380" s="215" t="str">
        <f>IF(AND($B380="",OR(B380&lt;&gt;"",C380&lt;&gt;"",D380&lt;&gt;"",E380&lt;&gt;"",F380&lt;&gt;"")),入力リスト!$K$34,IF($I380=TRUE,入力リスト!$K$35,IF(J380=FALSE,"「毎月の固定給与額」","")&amp;IF(AND(J380=FALSE,OR(K380=FALSE,L380=FALSE,M380=FALSE)),",","")&amp;IF(K380=FALSE,"「賞与額等」","")&amp;IF(AND(K380=FALSE,OR(L380=FALSE,M380=FALSE)),",","")&amp;IF(L380=FALSE,"「残業手当」","")&amp;IF(AND(L380=FALSE,M380=FALSE),",","")&amp;IF(M380=FALSE,"「残業時間」","")&amp;IF(OR(J380=FALSE,K380=FALSE,L380=FALSE,M380=FALSE),入力リスト!$K$36,"")&amp;IF(N380,"",入力リスト!$K$37)))</f>
        <v/>
      </c>
      <c r="H380" s="215"/>
      <c r="I380" s="1" t="b">
        <f>IF(B380="",FALSE,COUNTIF('従業員情報(給与以外)'!$A$4:$A$1000000,$B380)=0)</f>
        <v>0</v>
      </c>
      <c r="J380" s="8" t="b">
        <f t="shared" si="25"/>
        <v>1</v>
      </c>
      <c r="K380" s="8" t="b">
        <f t="shared" si="26"/>
        <v>1</v>
      </c>
      <c r="L380" s="8" t="b">
        <f t="shared" si="27"/>
        <v>1</v>
      </c>
      <c r="M380" s="8" t="b">
        <f t="shared" si="28"/>
        <v>1</v>
      </c>
      <c r="N380" s="1" t="b">
        <f t="shared" si="29"/>
        <v>1</v>
      </c>
      <c r="O380" s="8" t="str">
        <f>IF(F380="","",IF($F$2=入力リスト!$H$25,ROUNDDOWN(INT(F380)+ROUNDDOWN((F380-INT(F380))*100,0)/60,2),F380))</f>
        <v/>
      </c>
      <c r="P380" s="7"/>
      <c r="Q380" s="7"/>
    </row>
    <row r="381" spans="1:17">
      <c r="A381" s="105"/>
      <c r="B381" s="2"/>
      <c r="C381" s="254"/>
      <c r="D381" s="254"/>
      <c r="E381" s="254"/>
      <c r="F381" s="255"/>
      <c r="G381" s="215" t="str">
        <f>IF(AND($B381="",OR(B381&lt;&gt;"",C381&lt;&gt;"",D381&lt;&gt;"",E381&lt;&gt;"",F381&lt;&gt;"")),入力リスト!$K$34,IF($I381=TRUE,入力リスト!$K$35,IF(J381=FALSE,"「毎月の固定給与額」","")&amp;IF(AND(J381=FALSE,OR(K381=FALSE,L381=FALSE,M381=FALSE)),",","")&amp;IF(K381=FALSE,"「賞与額等」","")&amp;IF(AND(K381=FALSE,OR(L381=FALSE,M381=FALSE)),",","")&amp;IF(L381=FALSE,"「残業手当」","")&amp;IF(AND(L381=FALSE,M381=FALSE),",","")&amp;IF(M381=FALSE,"「残業時間」","")&amp;IF(OR(J381=FALSE,K381=FALSE,L381=FALSE,M381=FALSE),入力リスト!$K$36,"")&amp;IF(N381,"",入力リスト!$K$37)))</f>
        <v/>
      </c>
      <c r="H381" s="215"/>
      <c r="I381" s="1" t="b">
        <f>IF(B381="",FALSE,COUNTIF('従業員情報(給与以外)'!$A$4:$A$1000000,$B381)=0)</f>
        <v>0</v>
      </c>
      <c r="J381" s="8" t="b">
        <f t="shared" si="25"/>
        <v>1</v>
      </c>
      <c r="K381" s="8" t="b">
        <f t="shared" si="26"/>
        <v>1</v>
      </c>
      <c r="L381" s="8" t="b">
        <f t="shared" si="27"/>
        <v>1</v>
      </c>
      <c r="M381" s="8" t="b">
        <f t="shared" si="28"/>
        <v>1</v>
      </c>
      <c r="N381" s="1" t="b">
        <f t="shared" si="29"/>
        <v>1</v>
      </c>
      <c r="O381" s="8" t="str">
        <f>IF(F381="","",IF($F$2=入力リスト!$H$25,ROUNDDOWN(INT(F381)+ROUNDDOWN((F381-INT(F381))*100,0)/60,2),F381))</f>
        <v/>
      </c>
      <c r="P381" s="7"/>
      <c r="Q381" s="7"/>
    </row>
    <row r="382" spans="1:17">
      <c r="A382" s="105"/>
      <c r="B382" s="2"/>
      <c r="C382" s="254"/>
      <c r="D382" s="254"/>
      <c r="E382" s="254"/>
      <c r="F382" s="255"/>
      <c r="G382" s="215" t="str">
        <f>IF(AND($B382="",OR(B382&lt;&gt;"",C382&lt;&gt;"",D382&lt;&gt;"",E382&lt;&gt;"",F382&lt;&gt;"")),入力リスト!$K$34,IF($I382=TRUE,入力リスト!$K$35,IF(J382=FALSE,"「毎月の固定給与額」","")&amp;IF(AND(J382=FALSE,OR(K382=FALSE,L382=FALSE,M382=FALSE)),",","")&amp;IF(K382=FALSE,"「賞与額等」","")&amp;IF(AND(K382=FALSE,OR(L382=FALSE,M382=FALSE)),",","")&amp;IF(L382=FALSE,"「残業手当」","")&amp;IF(AND(L382=FALSE,M382=FALSE),",","")&amp;IF(M382=FALSE,"「残業時間」","")&amp;IF(OR(J382=FALSE,K382=FALSE,L382=FALSE,M382=FALSE),入力リスト!$K$36,"")&amp;IF(N382,"",入力リスト!$K$37)))</f>
        <v/>
      </c>
      <c r="H382" s="215"/>
      <c r="I382" s="1" t="b">
        <f>IF(B382="",FALSE,COUNTIF('従業員情報(給与以外)'!$A$4:$A$1000000,$B382)=0)</f>
        <v>0</v>
      </c>
      <c r="J382" s="8" t="b">
        <f t="shared" si="25"/>
        <v>1</v>
      </c>
      <c r="K382" s="8" t="b">
        <f t="shared" si="26"/>
        <v>1</v>
      </c>
      <c r="L382" s="8" t="b">
        <f t="shared" si="27"/>
        <v>1</v>
      </c>
      <c r="M382" s="8" t="b">
        <f t="shared" si="28"/>
        <v>1</v>
      </c>
      <c r="N382" s="1" t="b">
        <f t="shared" si="29"/>
        <v>1</v>
      </c>
      <c r="O382" s="8" t="str">
        <f>IF(F382="","",IF($F$2=入力リスト!$H$25,ROUNDDOWN(INT(F382)+ROUNDDOWN((F382-INT(F382))*100,0)/60,2),F382))</f>
        <v/>
      </c>
      <c r="P382" s="7"/>
      <c r="Q382" s="7"/>
    </row>
    <row r="383" spans="1:17">
      <c r="A383" s="105"/>
      <c r="B383" s="2"/>
      <c r="C383" s="254"/>
      <c r="D383" s="254"/>
      <c r="E383" s="254"/>
      <c r="F383" s="255"/>
      <c r="G383" s="215" t="str">
        <f>IF(AND($B383="",OR(B383&lt;&gt;"",C383&lt;&gt;"",D383&lt;&gt;"",E383&lt;&gt;"",F383&lt;&gt;"")),入力リスト!$K$34,IF($I383=TRUE,入力リスト!$K$35,IF(J383=FALSE,"「毎月の固定給与額」","")&amp;IF(AND(J383=FALSE,OR(K383=FALSE,L383=FALSE,M383=FALSE)),",","")&amp;IF(K383=FALSE,"「賞与額等」","")&amp;IF(AND(K383=FALSE,OR(L383=FALSE,M383=FALSE)),",","")&amp;IF(L383=FALSE,"「残業手当」","")&amp;IF(AND(L383=FALSE,M383=FALSE),",","")&amp;IF(M383=FALSE,"「残業時間」","")&amp;IF(OR(J383=FALSE,K383=FALSE,L383=FALSE,M383=FALSE),入力リスト!$K$36,"")&amp;IF(N383,"",入力リスト!$K$37)))</f>
        <v/>
      </c>
      <c r="H383" s="215"/>
      <c r="I383" s="1" t="b">
        <f>IF(B383="",FALSE,COUNTIF('従業員情報(給与以外)'!$A$4:$A$1000000,$B383)=0)</f>
        <v>0</v>
      </c>
      <c r="J383" s="8" t="b">
        <f t="shared" si="25"/>
        <v>1</v>
      </c>
      <c r="K383" s="8" t="b">
        <f t="shared" si="26"/>
        <v>1</v>
      </c>
      <c r="L383" s="8" t="b">
        <f t="shared" si="27"/>
        <v>1</v>
      </c>
      <c r="M383" s="8" t="b">
        <f t="shared" si="28"/>
        <v>1</v>
      </c>
      <c r="N383" s="1" t="b">
        <f t="shared" si="29"/>
        <v>1</v>
      </c>
      <c r="O383" s="8" t="str">
        <f>IF(F383="","",IF($F$2=入力リスト!$H$25,ROUNDDOWN(INT(F383)+ROUNDDOWN((F383-INT(F383))*100,0)/60,2),F383))</f>
        <v/>
      </c>
      <c r="P383" s="7"/>
      <c r="Q383" s="7"/>
    </row>
    <row r="384" spans="1:17">
      <c r="A384" s="105"/>
      <c r="B384" s="2"/>
      <c r="C384" s="254"/>
      <c r="D384" s="254"/>
      <c r="E384" s="254"/>
      <c r="F384" s="255"/>
      <c r="G384" s="215" t="str">
        <f>IF(AND($B384="",OR(B384&lt;&gt;"",C384&lt;&gt;"",D384&lt;&gt;"",E384&lt;&gt;"",F384&lt;&gt;"")),入力リスト!$K$34,IF($I384=TRUE,入力リスト!$K$35,IF(J384=FALSE,"「毎月の固定給与額」","")&amp;IF(AND(J384=FALSE,OR(K384=FALSE,L384=FALSE,M384=FALSE)),",","")&amp;IF(K384=FALSE,"「賞与額等」","")&amp;IF(AND(K384=FALSE,OR(L384=FALSE,M384=FALSE)),",","")&amp;IF(L384=FALSE,"「残業手当」","")&amp;IF(AND(L384=FALSE,M384=FALSE),",","")&amp;IF(M384=FALSE,"「残業時間」","")&amp;IF(OR(J384=FALSE,K384=FALSE,L384=FALSE,M384=FALSE),入力リスト!$K$36,"")&amp;IF(N384,"",入力リスト!$K$37)))</f>
        <v/>
      </c>
      <c r="H384" s="215"/>
      <c r="I384" s="1" t="b">
        <f>IF(B384="",FALSE,COUNTIF('従業員情報(給与以外)'!$A$4:$A$1000000,$B384)=0)</f>
        <v>0</v>
      </c>
      <c r="J384" s="8" t="b">
        <f t="shared" si="25"/>
        <v>1</v>
      </c>
      <c r="K384" s="8" t="b">
        <f t="shared" si="26"/>
        <v>1</v>
      </c>
      <c r="L384" s="8" t="b">
        <f t="shared" si="27"/>
        <v>1</v>
      </c>
      <c r="M384" s="8" t="b">
        <f t="shared" si="28"/>
        <v>1</v>
      </c>
      <c r="N384" s="1" t="b">
        <f t="shared" si="29"/>
        <v>1</v>
      </c>
      <c r="O384" s="8" t="str">
        <f>IF(F384="","",IF($F$2=入力リスト!$H$25,ROUNDDOWN(INT(F384)+ROUNDDOWN((F384-INT(F384))*100,0)/60,2),F384))</f>
        <v/>
      </c>
      <c r="P384" s="7"/>
      <c r="Q384" s="7"/>
    </row>
    <row r="385" spans="1:17">
      <c r="A385" s="105"/>
      <c r="B385" s="2"/>
      <c r="C385" s="254"/>
      <c r="D385" s="254"/>
      <c r="E385" s="254"/>
      <c r="F385" s="255"/>
      <c r="G385" s="215" t="str">
        <f>IF(AND($B385="",OR(B385&lt;&gt;"",C385&lt;&gt;"",D385&lt;&gt;"",E385&lt;&gt;"",F385&lt;&gt;"")),入力リスト!$K$34,IF($I385=TRUE,入力リスト!$K$35,IF(J385=FALSE,"「毎月の固定給与額」","")&amp;IF(AND(J385=FALSE,OR(K385=FALSE,L385=FALSE,M385=FALSE)),",","")&amp;IF(K385=FALSE,"「賞与額等」","")&amp;IF(AND(K385=FALSE,OR(L385=FALSE,M385=FALSE)),",","")&amp;IF(L385=FALSE,"「残業手当」","")&amp;IF(AND(L385=FALSE,M385=FALSE),",","")&amp;IF(M385=FALSE,"「残業時間」","")&amp;IF(OR(J385=FALSE,K385=FALSE,L385=FALSE,M385=FALSE),入力リスト!$K$36,"")&amp;IF(N385,"",入力リスト!$K$37)))</f>
        <v/>
      </c>
      <c r="H385" s="215"/>
      <c r="I385" s="1" t="b">
        <f>IF(B385="",FALSE,COUNTIF('従業員情報(給与以外)'!$A$4:$A$1000000,$B385)=0)</f>
        <v>0</v>
      </c>
      <c r="J385" s="8" t="b">
        <f t="shared" si="25"/>
        <v>1</v>
      </c>
      <c r="K385" s="8" t="b">
        <f t="shared" si="26"/>
        <v>1</v>
      </c>
      <c r="L385" s="8" t="b">
        <f t="shared" si="27"/>
        <v>1</v>
      </c>
      <c r="M385" s="8" t="b">
        <f t="shared" si="28"/>
        <v>1</v>
      </c>
      <c r="N385" s="1" t="b">
        <f t="shared" si="29"/>
        <v>1</v>
      </c>
      <c r="O385" s="8" t="str">
        <f>IF(F385="","",IF($F$2=入力リスト!$H$25,ROUNDDOWN(INT(F385)+ROUNDDOWN((F385-INT(F385))*100,0)/60,2),F385))</f>
        <v/>
      </c>
      <c r="P385" s="7"/>
      <c r="Q385" s="7"/>
    </row>
    <row r="386" spans="1:17">
      <c r="A386" s="105"/>
      <c r="B386" s="2"/>
      <c r="C386" s="254"/>
      <c r="D386" s="254"/>
      <c r="E386" s="254"/>
      <c r="F386" s="255"/>
      <c r="G386" s="215" t="str">
        <f>IF(AND($B386="",OR(B386&lt;&gt;"",C386&lt;&gt;"",D386&lt;&gt;"",E386&lt;&gt;"",F386&lt;&gt;"")),入力リスト!$K$34,IF($I386=TRUE,入力リスト!$K$35,IF(J386=FALSE,"「毎月の固定給与額」","")&amp;IF(AND(J386=FALSE,OR(K386=FALSE,L386=FALSE,M386=FALSE)),",","")&amp;IF(K386=FALSE,"「賞与額等」","")&amp;IF(AND(K386=FALSE,OR(L386=FALSE,M386=FALSE)),",","")&amp;IF(L386=FALSE,"「残業手当」","")&amp;IF(AND(L386=FALSE,M386=FALSE),",","")&amp;IF(M386=FALSE,"「残業時間」","")&amp;IF(OR(J386=FALSE,K386=FALSE,L386=FALSE,M386=FALSE),入力リスト!$K$36,"")&amp;IF(N386,"",入力リスト!$K$37)))</f>
        <v/>
      </c>
      <c r="H386" s="215"/>
      <c r="I386" s="1" t="b">
        <f>IF(B386="",FALSE,COUNTIF('従業員情報(給与以外)'!$A$4:$A$1000000,$B386)=0)</f>
        <v>0</v>
      </c>
      <c r="J386" s="8" t="b">
        <f t="shared" si="25"/>
        <v>1</v>
      </c>
      <c r="K386" s="8" t="b">
        <f t="shared" si="26"/>
        <v>1</v>
      </c>
      <c r="L386" s="8" t="b">
        <f t="shared" si="27"/>
        <v>1</v>
      </c>
      <c r="M386" s="8" t="b">
        <f t="shared" si="28"/>
        <v>1</v>
      </c>
      <c r="N386" s="1" t="b">
        <f t="shared" si="29"/>
        <v>1</v>
      </c>
      <c r="O386" s="8" t="str">
        <f>IF(F386="","",IF($F$2=入力リスト!$H$25,ROUNDDOWN(INT(F386)+ROUNDDOWN((F386-INT(F386))*100,0)/60,2),F386))</f>
        <v/>
      </c>
      <c r="P386" s="7"/>
      <c r="Q386" s="7"/>
    </row>
    <row r="387" spans="1:17">
      <c r="A387" s="105"/>
      <c r="B387" s="2"/>
      <c r="C387" s="254"/>
      <c r="D387" s="254"/>
      <c r="E387" s="254"/>
      <c r="F387" s="255"/>
      <c r="G387" s="215" t="str">
        <f>IF(AND($B387="",OR(B387&lt;&gt;"",C387&lt;&gt;"",D387&lt;&gt;"",E387&lt;&gt;"",F387&lt;&gt;"")),入力リスト!$K$34,IF($I387=TRUE,入力リスト!$K$35,IF(J387=FALSE,"「毎月の固定給与額」","")&amp;IF(AND(J387=FALSE,OR(K387=FALSE,L387=FALSE,M387=FALSE)),",","")&amp;IF(K387=FALSE,"「賞与額等」","")&amp;IF(AND(K387=FALSE,OR(L387=FALSE,M387=FALSE)),",","")&amp;IF(L387=FALSE,"「残業手当」","")&amp;IF(AND(L387=FALSE,M387=FALSE),",","")&amp;IF(M387=FALSE,"「残業時間」","")&amp;IF(OR(J387=FALSE,K387=FALSE,L387=FALSE,M387=FALSE),入力リスト!$K$36,"")&amp;IF(N387,"",入力リスト!$K$37)))</f>
        <v/>
      </c>
      <c r="H387" s="215"/>
      <c r="I387" s="1" t="b">
        <f>IF(B387="",FALSE,COUNTIF('従業員情報(給与以外)'!$A$4:$A$1000000,$B387)=0)</f>
        <v>0</v>
      </c>
      <c r="J387" s="8" t="b">
        <f t="shared" si="25"/>
        <v>1</v>
      </c>
      <c r="K387" s="8" t="b">
        <f t="shared" si="26"/>
        <v>1</v>
      </c>
      <c r="L387" s="8" t="b">
        <f t="shared" si="27"/>
        <v>1</v>
      </c>
      <c r="M387" s="8" t="b">
        <f t="shared" si="28"/>
        <v>1</v>
      </c>
      <c r="N387" s="1" t="b">
        <f t="shared" si="29"/>
        <v>1</v>
      </c>
      <c r="O387" s="8" t="str">
        <f>IF(F387="","",IF($F$2=入力リスト!$H$25,ROUNDDOWN(INT(F387)+ROUNDDOWN((F387-INT(F387))*100,0)/60,2),F387))</f>
        <v/>
      </c>
      <c r="P387" s="7"/>
      <c r="Q387" s="7"/>
    </row>
    <row r="388" spans="1:17">
      <c r="A388" s="105"/>
      <c r="B388" s="2"/>
      <c r="C388" s="254"/>
      <c r="D388" s="254"/>
      <c r="E388" s="254"/>
      <c r="F388" s="255"/>
      <c r="G388" s="215" t="str">
        <f>IF(AND($B388="",OR(B388&lt;&gt;"",C388&lt;&gt;"",D388&lt;&gt;"",E388&lt;&gt;"",F388&lt;&gt;"")),入力リスト!$K$34,IF($I388=TRUE,入力リスト!$K$35,IF(J388=FALSE,"「毎月の固定給与額」","")&amp;IF(AND(J388=FALSE,OR(K388=FALSE,L388=FALSE,M388=FALSE)),",","")&amp;IF(K388=FALSE,"「賞与額等」","")&amp;IF(AND(K388=FALSE,OR(L388=FALSE,M388=FALSE)),",","")&amp;IF(L388=FALSE,"「残業手当」","")&amp;IF(AND(L388=FALSE,M388=FALSE),",","")&amp;IF(M388=FALSE,"「残業時間」","")&amp;IF(OR(J388=FALSE,K388=FALSE,L388=FALSE,M388=FALSE),入力リスト!$K$36,"")&amp;IF(N388,"",入力リスト!$K$37)))</f>
        <v/>
      </c>
      <c r="H388" s="215"/>
      <c r="I388" s="1" t="b">
        <f>IF(B388="",FALSE,COUNTIF('従業員情報(給与以外)'!$A$4:$A$1000000,$B388)=0)</f>
        <v>0</v>
      </c>
      <c r="J388" s="8" t="b">
        <f t="shared" si="25"/>
        <v>1</v>
      </c>
      <c r="K388" s="8" t="b">
        <f t="shared" si="26"/>
        <v>1</v>
      </c>
      <c r="L388" s="8" t="b">
        <f t="shared" si="27"/>
        <v>1</v>
      </c>
      <c r="M388" s="8" t="b">
        <f t="shared" si="28"/>
        <v>1</v>
      </c>
      <c r="N388" s="1" t="b">
        <f t="shared" si="29"/>
        <v>1</v>
      </c>
      <c r="O388" s="8" t="str">
        <f>IF(F388="","",IF($F$2=入力リスト!$H$25,ROUNDDOWN(INT(F388)+ROUNDDOWN((F388-INT(F388))*100,0)/60,2),F388))</f>
        <v/>
      </c>
      <c r="P388" s="7"/>
      <c r="Q388" s="7"/>
    </row>
    <row r="389" spans="1:17">
      <c r="A389" s="105"/>
      <c r="B389" s="2"/>
      <c r="C389" s="254"/>
      <c r="D389" s="254"/>
      <c r="E389" s="254"/>
      <c r="F389" s="255"/>
      <c r="G389" s="215" t="str">
        <f>IF(AND($B389="",OR(B389&lt;&gt;"",C389&lt;&gt;"",D389&lt;&gt;"",E389&lt;&gt;"",F389&lt;&gt;"")),入力リスト!$K$34,IF($I389=TRUE,入力リスト!$K$35,IF(J389=FALSE,"「毎月の固定給与額」","")&amp;IF(AND(J389=FALSE,OR(K389=FALSE,L389=FALSE,M389=FALSE)),",","")&amp;IF(K389=FALSE,"「賞与額等」","")&amp;IF(AND(K389=FALSE,OR(L389=FALSE,M389=FALSE)),",","")&amp;IF(L389=FALSE,"「残業手当」","")&amp;IF(AND(L389=FALSE,M389=FALSE),",","")&amp;IF(M389=FALSE,"「残業時間」","")&amp;IF(OR(J389=FALSE,K389=FALSE,L389=FALSE,M389=FALSE),入力リスト!$K$36,"")&amp;IF(N389,"",入力リスト!$K$37)))</f>
        <v/>
      </c>
      <c r="H389" s="215"/>
      <c r="I389" s="1" t="b">
        <f>IF(B389="",FALSE,COUNTIF('従業員情報(給与以外)'!$A$4:$A$1000000,$B389)=0)</f>
        <v>0</v>
      </c>
      <c r="J389" s="8" t="b">
        <f t="shared" ref="J389:J452" si="30">OR(C389="",ISNUMBER(C389))</f>
        <v>1</v>
      </c>
      <c r="K389" s="8" t="b">
        <f t="shared" ref="K389:K452" si="31">OR(D389="",ISNUMBER(D389))</f>
        <v>1</v>
      </c>
      <c r="L389" s="8" t="b">
        <f t="shared" ref="L389:L452" si="32">OR(E389="",ISNUMBER(E389))</f>
        <v>1</v>
      </c>
      <c r="M389" s="8" t="b">
        <f t="shared" ref="M389:M452" si="33">OR(F389="",ISNUMBER(F389))</f>
        <v>1</v>
      </c>
      <c r="N389" s="1" t="b">
        <f t="shared" ref="N389:N452" si="34">IF($N$1,TRUE,IF($N$2,IF(F389-INT(F389)&lt;0.6,TRUE,FALSE),TRUE))</f>
        <v>1</v>
      </c>
      <c r="O389" s="8" t="str">
        <f>IF(F389="","",IF($F$2=入力リスト!$H$25,ROUNDDOWN(INT(F389)+ROUNDDOWN((F389-INT(F389))*100,0)/60,2),F389))</f>
        <v/>
      </c>
      <c r="P389" s="7"/>
      <c r="Q389" s="7"/>
    </row>
    <row r="390" spans="1:17">
      <c r="A390" s="105"/>
      <c r="B390" s="2"/>
      <c r="C390" s="254"/>
      <c r="D390" s="254"/>
      <c r="E390" s="254"/>
      <c r="F390" s="255"/>
      <c r="G390" s="215" t="str">
        <f>IF(AND($B390="",OR(B390&lt;&gt;"",C390&lt;&gt;"",D390&lt;&gt;"",E390&lt;&gt;"",F390&lt;&gt;"")),入力リスト!$K$34,IF($I390=TRUE,入力リスト!$K$35,IF(J390=FALSE,"「毎月の固定給与額」","")&amp;IF(AND(J390=FALSE,OR(K390=FALSE,L390=FALSE,M390=FALSE)),",","")&amp;IF(K390=FALSE,"「賞与額等」","")&amp;IF(AND(K390=FALSE,OR(L390=FALSE,M390=FALSE)),",","")&amp;IF(L390=FALSE,"「残業手当」","")&amp;IF(AND(L390=FALSE,M390=FALSE),",","")&amp;IF(M390=FALSE,"「残業時間」","")&amp;IF(OR(J390=FALSE,K390=FALSE,L390=FALSE,M390=FALSE),入力リスト!$K$36,"")&amp;IF(N390,"",入力リスト!$K$37)))</f>
        <v/>
      </c>
      <c r="H390" s="215"/>
      <c r="I390" s="1" t="b">
        <f>IF(B390="",FALSE,COUNTIF('従業員情報(給与以外)'!$A$4:$A$1000000,$B390)=0)</f>
        <v>0</v>
      </c>
      <c r="J390" s="8" t="b">
        <f t="shared" si="30"/>
        <v>1</v>
      </c>
      <c r="K390" s="8" t="b">
        <f t="shared" si="31"/>
        <v>1</v>
      </c>
      <c r="L390" s="8" t="b">
        <f t="shared" si="32"/>
        <v>1</v>
      </c>
      <c r="M390" s="8" t="b">
        <f t="shared" si="33"/>
        <v>1</v>
      </c>
      <c r="N390" s="1" t="b">
        <f t="shared" si="34"/>
        <v>1</v>
      </c>
      <c r="O390" s="8" t="str">
        <f>IF(F390="","",IF($F$2=入力リスト!$H$25,ROUNDDOWN(INT(F390)+ROUNDDOWN((F390-INT(F390))*100,0)/60,2),F390))</f>
        <v/>
      </c>
      <c r="P390" s="7"/>
      <c r="Q390" s="7"/>
    </row>
    <row r="391" spans="1:17">
      <c r="A391" s="105"/>
      <c r="B391" s="2"/>
      <c r="C391" s="254"/>
      <c r="D391" s="254"/>
      <c r="E391" s="254"/>
      <c r="F391" s="255"/>
      <c r="G391" s="215" t="str">
        <f>IF(AND($B391="",OR(B391&lt;&gt;"",C391&lt;&gt;"",D391&lt;&gt;"",E391&lt;&gt;"",F391&lt;&gt;"")),入力リスト!$K$34,IF($I391=TRUE,入力リスト!$K$35,IF(J391=FALSE,"「毎月の固定給与額」","")&amp;IF(AND(J391=FALSE,OR(K391=FALSE,L391=FALSE,M391=FALSE)),",","")&amp;IF(K391=FALSE,"「賞与額等」","")&amp;IF(AND(K391=FALSE,OR(L391=FALSE,M391=FALSE)),",","")&amp;IF(L391=FALSE,"「残業手当」","")&amp;IF(AND(L391=FALSE,M391=FALSE),",","")&amp;IF(M391=FALSE,"「残業時間」","")&amp;IF(OR(J391=FALSE,K391=FALSE,L391=FALSE,M391=FALSE),入力リスト!$K$36,"")&amp;IF(N391,"",入力リスト!$K$37)))</f>
        <v/>
      </c>
      <c r="H391" s="215"/>
      <c r="I391" s="1" t="b">
        <f>IF(B391="",FALSE,COUNTIF('従業員情報(給与以外)'!$A$4:$A$1000000,$B391)=0)</f>
        <v>0</v>
      </c>
      <c r="J391" s="8" t="b">
        <f t="shared" si="30"/>
        <v>1</v>
      </c>
      <c r="K391" s="8" t="b">
        <f t="shared" si="31"/>
        <v>1</v>
      </c>
      <c r="L391" s="8" t="b">
        <f t="shared" si="32"/>
        <v>1</v>
      </c>
      <c r="M391" s="8" t="b">
        <f t="shared" si="33"/>
        <v>1</v>
      </c>
      <c r="N391" s="1" t="b">
        <f t="shared" si="34"/>
        <v>1</v>
      </c>
      <c r="O391" s="8" t="str">
        <f>IF(F391="","",IF($F$2=入力リスト!$H$25,ROUNDDOWN(INT(F391)+ROUNDDOWN((F391-INT(F391))*100,0)/60,2),F391))</f>
        <v/>
      </c>
      <c r="P391" s="7"/>
      <c r="Q391" s="7"/>
    </row>
    <row r="392" spans="1:17">
      <c r="A392" s="105"/>
      <c r="B392" s="2"/>
      <c r="C392" s="254"/>
      <c r="D392" s="254"/>
      <c r="E392" s="254"/>
      <c r="F392" s="255"/>
      <c r="G392" s="215" t="str">
        <f>IF(AND($B392="",OR(B392&lt;&gt;"",C392&lt;&gt;"",D392&lt;&gt;"",E392&lt;&gt;"",F392&lt;&gt;"")),入力リスト!$K$34,IF($I392=TRUE,入力リスト!$K$35,IF(J392=FALSE,"「毎月の固定給与額」","")&amp;IF(AND(J392=FALSE,OR(K392=FALSE,L392=FALSE,M392=FALSE)),",","")&amp;IF(K392=FALSE,"「賞与額等」","")&amp;IF(AND(K392=FALSE,OR(L392=FALSE,M392=FALSE)),",","")&amp;IF(L392=FALSE,"「残業手当」","")&amp;IF(AND(L392=FALSE,M392=FALSE),",","")&amp;IF(M392=FALSE,"「残業時間」","")&amp;IF(OR(J392=FALSE,K392=FALSE,L392=FALSE,M392=FALSE),入力リスト!$K$36,"")&amp;IF(N392,"",入力リスト!$K$37)))</f>
        <v/>
      </c>
      <c r="H392" s="215"/>
      <c r="I392" s="1" t="b">
        <f>IF(B392="",FALSE,COUNTIF('従業員情報(給与以外)'!$A$4:$A$1000000,$B392)=0)</f>
        <v>0</v>
      </c>
      <c r="J392" s="8" t="b">
        <f t="shared" si="30"/>
        <v>1</v>
      </c>
      <c r="K392" s="8" t="b">
        <f t="shared" si="31"/>
        <v>1</v>
      </c>
      <c r="L392" s="8" t="b">
        <f t="shared" si="32"/>
        <v>1</v>
      </c>
      <c r="M392" s="8" t="b">
        <f t="shared" si="33"/>
        <v>1</v>
      </c>
      <c r="N392" s="1" t="b">
        <f t="shared" si="34"/>
        <v>1</v>
      </c>
      <c r="O392" s="8" t="str">
        <f>IF(F392="","",IF($F$2=入力リスト!$H$25,ROUNDDOWN(INT(F392)+ROUNDDOWN((F392-INT(F392))*100,0)/60,2),F392))</f>
        <v/>
      </c>
      <c r="P392" s="7"/>
      <c r="Q392" s="7"/>
    </row>
    <row r="393" spans="1:17">
      <c r="A393" s="105"/>
      <c r="B393" s="2"/>
      <c r="C393" s="254"/>
      <c r="D393" s="254"/>
      <c r="E393" s="254"/>
      <c r="F393" s="255"/>
      <c r="G393" s="215" t="str">
        <f>IF(AND($B393="",OR(B393&lt;&gt;"",C393&lt;&gt;"",D393&lt;&gt;"",E393&lt;&gt;"",F393&lt;&gt;"")),入力リスト!$K$34,IF($I393=TRUE,入力リスト!$K$35,IF(J393=FALSE,"「毎月の固定給与額」","")&amp;IF(AND(J393=FALSE,OR(K393=FALSE,L393=FALSE,M393=FALSE)),",","")&amp;IF(K393=FALSE,"「賞与額等」","")&amp;IF(AND(K393=FALSE,OR(L393=FALSE,M393=FALSE)),",","")&amp;IF(L393=FALSE,"「残業手当」","")&amp;IF(AND(L393=FALSE,M393=FALSE),",","")&amp;IF(M393=FALSE,"「残業時間」","")&amp;IF(OR(J393=FALSE,K393=FALSE,L393=FALSE,M393=FALSE),入力リスト!$K$36,"")&amp;IF(N393,"",入力リスト!$K$37)))</f>
        <v/>
      </c>
      <c r="H393" s="215"/>
      <c r="I393" s="1" t="b">
        <f>IF(B393="",FALSE,COUNTIF('従業員情報(給与以外)'!$A$4:$A$1000000,$B393)=0)</f>
        <v>0</v>
      </c>
      <c r="J393" s="8" t="b">
        <f t="shared" si="30"/>
        <v>1</v>
      </c>
      <c r="K393" s="8" t="b">
        <f t="shared" si="31"/>
        <v>1</v>
      </c>
      <c r="L393" s="8" t="b">
        <f t="shared" si="32"/>
        <v>1</v>
      </c>
      <c r="M393" s="8" t="b">
        <f t="shared" si="33"/>
        <v>1</v>
      </c>
      <c r="N393" s="1" t="b">
        <f t="shared" si="34"/>
        <v>1</v>
      </c>
      <c r="O393" s="8" t="str">
        <f>IF(F393="","",IF($F$2=入力リスト!$H$25,ROUNDDOWN(INT(F393)+ROUNDDOWN((F393-INT(F393))*100,0)/60,2),F393))</f>
        <v/>
      </c>
      <c r="P393" s="7"/>
      <c r="Q393" s="7"/>
    </row>
    <row r="394" spans="1:17">
      <c r="A394" s="105"/>
      <c r="B394" s="2"/>
      <c r="C394" s="254"/>
      <c r="D394" s="254"/>
      <c r="E394" s="254"/>
      <c r="F394" s="255"/>
      <c r="G394" s="215" t="str">
        <f>IF(AND($B394="",OR(B394&lt;&gt;"",C394&lt;&gt;"",D394&lt;&gt;"",E394&lt;&gt;"",F394&lt;&gt;"")),入力リスト!$K$34,IF($I394=TRUE,入力リスト!$K$35,IF(J394=FALSE,"「毎月の固定給与額」","")&amp;IF(AND(J394=FALSE,OR(K394=FALSE,L394=FALSE,M394=FALSE)),",","")&amp;IF(K394=FALSE,"「賞与額等」","")&amp;IF(AND(K394=FALSE,OR(L394=FALSE,M394=FALSE)),",","")&amp;IF(L394=FALSE,"「残業手当」","")&amp;IF(AND(L394=FALSE,M394=FALSE),",","")&amp;IF(M394=FALSE,"「残業時間」","")&amp;IF(OR(J394=FALSE,K394=FALSE,L394=FALSE,M394=FALSE),入力リスト!$K$36,"")&amp;IF(N394,"",入力リスト!$K$37)))</f>
        <v/>
      </c>
      <c r="H394" s="215"/>
      <c r="I394" s="1" t="b">
        <f>IF(B394="",FALSE,COUNTIF('従業員情報(給与以外)'!$A$4:$A$1000000,$B394)=0)</f>
        <v>0</v>
      </c>
      <c r="J394" s="8" t="b">
        <f t="shared" si="30"/>
        <v>1</v>
      </c>
      <c r="K394" s="8" t="b">
        <f t="shared" si="31"/>
        <v>1</v>
      </c>
      <c r="L394" s="8" t="b">
        <f t="shared" si="32"/>
        <v>1</v>
      </c>
      <c r="M394" s="8" t="b">
        <f t="shared" si="33"/>
        <v>1</v>
      </c>
      <c r="N394" s="1" t="b">
        <f t="shared" si="34"/>
        <v>1</v>
      </c>
      <c r="O394" s="8" t="str">
        <f>IF(F394="","",IF($F$2=入力リスト!$H$25,ROUNDDOWN(INT(F394)+ROUNDDOWN((F394-INT(F394))*100,0)/60,2),F394))</f>
        <v/>
      </c>
      <c r="P394" s="7"/>
      <c r="Q394" s="7"/>
    </row>
    <row r="395" spans="1:17">
      <c r="A395" s="105"/>
      <c r="B395" s="2"/>
      <c r="C395" s="254"/>
      <c r="D395" s="254"/>
      <c r="E395" s="254"/>
      <c r="F395" s="255"/>
      <c r="G395" s="215" t="str">
        <f>IF(AND($B395="",OR(B395&lt;&gt;"",C395&lt;&gt;"",D395&lt;&gt;"",E395&lt;&gt;"",F395&lt;&gt;"")),入力リスト!$K$34,IF($I395=TRUE,入力リスト!$K$35,IF(J395=FALSE,"「毎月の固定給与額」","")&amp;IF(AND(J395=FALSE,OR(K395=FALSE,L395=FALSE,M395=FALSE)),",","")&amp;IF(K395=FALSE,"「賞与額等」","")&amp;IF(AND(K395=FALSE,OR(L395=FALSE,M395=FALSE)),",","")&amp;IF(L395=FALSE,"「残業手当」","")&amp;IF(AND(L395=FALSE,M395=FALSE),",","")&amp;IF(M395=FALSE,"「残業時間」","")&amp;IF(OR(J395=FALSE,K395=FALSE,L395=FALSE,M395=FALSE),入力リスト!$K$36,"")&amp;IF(N395,"",入力リスト!$K$37)))</f>
        <v/>
      </c>
      <c r="H395" s="215"/>
      <c r="I395" s="1" t="b">
        <f>IF(B395="",FALSE,COUNTIF('従業員情報(給与以外)'!$A$4:$A$1000000,$B395)=0)</f>
        <v>0</v>
      </c>
      <c r="J395" s="8" t="b">
        <f t="shared" si="30"/>
        <v>1</v>
      </c>
      <c r="K395" s="8" t="b">
        <f t="shared" si="31"/>
        <v>1</v>
      </c>
      <c r="L395" s="8" t="b">
        <f t="shared" si="32"/>
        <v>1</v>
      </c>
      <c r="M395" s="8" t="b">
        <f t="shared" si="33"/>
        <v>1</v>
      </c>
      <c r="N395" s="1" t="b">
        <f t="shared" si="34"/>
        <v>1</v>
      </c>
      <c r="O395" s="8" t="str">
        <f>IF(F395="","",IF($F$2=入力リスト!$H$25,ROUNDDOWN(INT(F395)+ROUNDDOWN((F395-INT(F395))*100,0)/60,2),F395))</f>
        <v/>
      </c>
      <c r="P395" s="7"/>
      <c r="Q395" s="7"/>
    </row>
    <row r="396" spans="1:17">
      <c r="A396" s="105"/>
      <c r="B396" s="2"/>
      <c r="C396" s="254"/>
      <c r="D396" s="254"/>
      <c r="E396" s="254"/>
      <c r="F396" s="255"/>
      <c r="G396" s="215" t="str">
        <f>IF(AND($B396="",OR(B396&lt;&gt;"",C396&lt;&gt;"",D396&lt;&gt;"",E396&lt;&gt;"",F396&lt;&gt;"")),入力リスト!$K$34,IF($I396=TRUE,入力リスト!$K$35,IF(J396=FALSE,"「毎月の固定給与額」","")&amp;IF(AND(J396=FALSE,OR(K396=FALSE,L396=FALSE,M396=FALSE)),",","")&amp;IF(K396=FALSE,"「賞与額等」","")&amp;IF(AND(K396=FALSE,OR(L396=FALSE,M396=FALSE)),",","")&amp;IF(L396=FALSE,"「残業手当」","")&amp;IF(AND(L396=FALSE,M396=FALSE),",","")&amp;IF(M396=FALSE,"「残業時間」","")&amp;IF(OR(J396=FALSE,K396=FALSE,L396=FALSE,M396=FALSE),入力リスト!$K$36,"")&amp;IF(N396,"",入力リスト!$K$37)))</f>
        <v/>
      </c>
      <c r="H396" s="215"/>
      <c r="I396" s="1" t="b">
        <f>IF(B396="",FALSE,COUNTIF('従業員情報(給与以外)'!$A$4:$A$1000000,$B396)=0)</f>
        <v>0</v>
      </c>
      <c r="J396" s="8" t="b">
        <f t="shared" si="30"/>
        <v>1</v>
      </c>
      <c r="K396" s="8" t="b">
        <f t="shared" si="31"/>
        <v>1</v>
      </c>
      <c r="L396" s="8" t="b">
        <f t="shared" si="32"/>
        <v>1</v>
      </c>
      <c r="M396" s="8" t="b">
        <f t="shared" si="33"/>
        <v>1</v>
      </c>
      <c r="N396" s="1" t="b">
        <f t="shared" si="34"/>
        <v>1</v>
      </c>
      <c r="O396" s="8" t="str">
        <f>IF(F396="","",IF($F$2=入力リスト!$H$25,ROUNDDOWN(INT(F396)+ROUNDDOWN((F396-INT(F396))*100,0)/60,2),F396))</f>
        <v/>
      </c>
      <c r="P396" s="7"/>
      <c r="Q396" s="7"/>
    </row>
    <row r="397" spans="1:17">
      <c r="A397" s="105"/>
      <c r="B397" s="2"/>
      <c r="C397" s="254"/>
      <c r="D397" s="254"/>
      <c r="E397" s="254"/>
      <c r="F397" s="255"/>
      <c r="G397" s="215" t="str">
        <f>IF(AND($B397="",OR(B397&lt;&gt;"",C397&lt;&gt;"",D397&lt;&gt;"",E397&lt;&gt;"",F397&lt;&gt;"")),入力リスト!$K$34,IF($I397=TRUE,入力リスト!$K$35,IF(J397=FALSE,"「毎月の固定給与額」","")&amp;IF(AND(J397=FALSE,OR(K397=FALSE,L397=FALSE,M397=FALSE)),",","")&amp;IF(K397=FALSE,"「賞与額等」","")&amp;IF(AND(K397=FALSE,OR(L397=FALSE,M397=FALSE)),",","")&amp;IF(L397=FALSE,"「残業手当」","")&amp;IF(AND(L397=FALSE,M397=FALSE),",","")&amp;IF(M397=FALSE,"「残業時間」","")&amp;IF(OR(J397=FALSE,K397=FALSE,L397=FALSE,M397=FALSE),入力リスト!$K$36,"")&amp;IF(N397,"",入力リスト!$K$37)))</f>
        <v/>
      </c>
      <c r="H397" s="215"/>
      <c r="I397" s="1" t="b">
        <f>IF(B397="",FALSE,COUNTIF('従業員情報(給与以外)'!$A$4:$A$1000000,$B397)=0)</f>
        <v>0</v>
      </c>
      <c r="J397" s="8" t="b">
        <f t="shared" si="30"/>
        <v>1</v>
      </c>
      <c r="K397" s="8" t="b">
        <f t="shared" si="31"/>
        <v>1</v>
      </c>
      <c r="L397" s="8" t="b">
        <f t="shared" si="32"/>
        <v>1</v>
      </c>
      <c r="M397" s="8" t="b">
        <f t="shared" si="33"/>
        <v>1</v>
      </c>
      <c r="N397" s="1" t="b">
        <f t="shared" si="34"/>
        <v>1</v>
      </c>
      <c r="O397" s="8" t="str">
        <f>IF(F397="","",IF($F$2=入力リスト!$H$25,ROUNDDOWN(INT(F397)+ROUNDDOWN((F397-INT(F397))*100,0)/60,2),F397))</f>
        <v/>
      </c>
      <c r="P397" s="7"/>
      <c r="Q397" s="7"/>
    </row>
    <row r="398" spans="1:17">
      <c r="A398" s="105"/>
      <c r="B398" s="2"/>
      <c r="C398" s="254"/>
      <c r="D398" s="254"/>
      <c r="E398" s="254"/>
      <c r="F398" s="255"/>
      <c r="G398" s="215" t="str">
        <f>IF(AND($B398="",OR(B398&lt;&gt;"",C398&lt;&gt;"",D398&lt;&gt;"",E398&lt;&gt;"",F398&lt;&gt;"")),入力リスト!$K$34,IF($I398=TRUE,入力リスト!$K$35,IF(J398=FALSE,"「毎月の固定給与額」","")&amp;IF(AND(J398=FALSE,OR(K398=FALSE,L398=FALSE,M398=FALSE)),",","")&amp;IF(K398=FALSE,"「賞与額等」","")&amp;IF(AND(K398=FALSE,OR(L398=FALSE,M398=FALSE)),",","")&amp;IF(L398=FALSE,"「残業手当」","")&amp;IF(AND(L398=FALSE,M398=FALSE),",","")&amp;IF(M398=FALSE,"「残業時間」","")&amp;IF(OR(J398=FALSE,K398=FALSE,L398=FALSE,M398=FALSE),入力リスト!$K$36,"")&amp;IF(N398,"",入力リスト!$K$37)))</f>
        <v/>
      </c>
      <c r="H398" s="215"/>
      <c r="I398" s="1" t="b">
        <f>IF(B398="",FALSE,COUNTIF('従業員情報(給与以外)'!$A$4:$A$1000000,$B398)=0)</f>
        <v>0</v>
      </c>
      <c r="J398" s="8" t="b">
        <f t="shared" si="30"/>
        <v>1</v>
      </c>
      <c r="K398" s="8" t="b">
        <f t="shared" si="31"/>
        <v>1</v>
      </c>
      <c r="L398" s="8" t="b">
        <f t="shared" si="32"/>
        <v>1</v>
      </c>
      <c r="M398" s="8" t="b">
        <f t="shared" si="33"/>
        <v>1</v>
      </c>
      <c r="N398" s="1" t="b">
        <f t="shared" si="34"/>
        <v>1</v>
      </c>
      <c r="O398" s="8" t="str">
        <f>IF(F398="","",IF($F$2=入力リスト!$H$25,ROUNDDOWN(INT(F398)+ROUNDDOWN((F398-INT(F398))*100,0)/60,2),F398))</f>
        <v/>
      </c>
      <c r="P398" s="7"/>
      <c r="Q398" s="7"/>
    </row>
    <row r="399" spans="1:17">
      <c r="A399" s="105"/>
      <c r="B399" s="2"/>
      <c r="C399" s="254"/>
      <c r="D399" s="254"/>
      <c r="E399" s="254"/>
      <c r="F399" s="255"/>
      <c r="G399" s="215" t="str">
        <f>IF(AND($B399="",OR(B399&lt;&gt;"",C399&lt;&gt;"",D399&lt;&gt;"",E399&lt;&gt;"",F399&lt;&gt;"")),入力リスト!$K$34,IF($I399=TRUE,入力リスト!$K$35,IF(J399=FALSE,"「毎月の固定給与額」","")&amp;IF(AND(J399=FALSE,OR(K399=FALSE,L399=FALSE,M399=FALSE)),",","")&amp;IF(K399=FALSE,"「賞与額等」","")&amp;IF(AND(K399=FALSE,OR(L399=FALSE,M399=FALSE)),",","")&amp;IF(L399=FALSE,"「残業手当」","")&amp;IF(AND(L399=FALSE,M399=FALSE),",","")&amp;IF(M399=FALSE,"「残業時間」","")&amp;IF(OR(J399=FALSE,K399=FALSE,L399=FALSE,M399=FALSE),入力リスト!$K$36,"")&amp;IF(N399,"",入力リスト!$K$37)))</f>
        <v/>
      </c>
      <c r="H399" s="215"/>
      <c r="I399" s="1" t="b">
        <f>IF(B399="",FALSE,COUNTIF('従業員情報(給与以外)'!$A$4:$A$1000000,$B399)=0)</f>
        <v>0</v>
      </c>
      <c r="J399" s="8" t="b">
        <f t="shared" si="30"/>
        <v>1</v>
      </c>
      <c r="K399" s="8" t="b">
        <f t="shared" si="31"/>
        <v>1</v>
      </c>
      <c r="L399" s="8" t="b">
        <f t="shared" si="32"/>
        <v>1</v>
      </c>
      <c r="M399" s="8" t="b">
        <f t="shared" si="33"/>
        <v>1</v>
      </c>
      <c r="N399" s="1" t="b">
        <f t="shared" si="34"/>
        <v>1</v>
      </c>
      <c r="O399" s="8" t="str">
        <f>IF(F399="","",IF($F$2=入力リスト!$H$25,ROUNDDOWN(INT(F399)+ROUNDDOWN((F399-INT(F399))*100,0)/60,2),F399))</f>
        <v/>
      </c>
      <c r="P399" s="7"/>
      <c r="Q399" s="7"/>
    </row>
    <row r="400" spans="1:17">
      <c r="A400" s="105"/>
      <c r="B400" s="2"/>
      <c r="C400" s="254"/>
      <c r="D400" s="254"/>
      <c r="E400" s="254"/>
      <c r="F400" s="255"/>
      <c r="G400" s="215" t="str">
        <f>IF(AND($B400="",OR(B400&lt;&gt;"",C400&lt;&gt;"",D400&lt;&gt;"",E400&lt;&gt;"",F400&lt;&gt;"")),入力リスト!$K$34,IF($I400=TRUE,入力リスト!$K$35,IF(J400=FALSE,"「毎月の固定給与額」","")&amp;IF(AND(J400=FALSE,OR(K400=FALSE,L400=FALSE,M400=FALSE)),",","")&amp;IF(K400=FALSE,"「賞与額等」","")&amp;IF(AND(K400=FALSE,OR(L400=FALSE,M400=FALSE)),",","")&amp;IF(L400=FALSE,"「残業手当」","")&amp;IF(AND(L400=FALSE,M400=FALSE),",","")&amp;IF(M400=FALSE,"「残業時間」","")&amp;IF(OR(J400=FALSE,K400=FALSE,L400=FALSE,M400=FALSE),入力リスト!$K$36,"")&amp;IF(N400,"",入力リスト!$K$37)))</f>
        <v/>
      </c>
      <c r="H400" s="215"/>
      <c r="I400" s="1" t="b">
        <f>IF(B400="",FALSE,COUNTIF('従業員情報(給与以外)'!$A$4:$A$1000000,$B400)=0)</f>
        <v>0</v>
      </c>
      <c r="J400" s="8" t="b">
        <f t="shared" si="30"/>
        <v>1</v>
      </c>
      <c r="K400" s="8" t="b">
        <f t="shared" si="31"/>
        <v>1</v>
      </c>
      <c r="L400" s="8" t="b">
        <f t="shared" si="32"/>
        <v>1</v>
      </c>
      <c r="M400" s="8" t="b">
        <f t="shared" si="33"/>
        <v>1</v>
      </c>
      <c r="N400" s="1" t="b">
        <f t="shared" si="34"/>
        <v>1</v>
      </c>
      <c r="O400" s="8" t="str">
        <f>IF(F400="","",IF($F$2=入力リスト!$H$25,ROUNDDOWN(INT(F400)+ROUNDDOWN((F400-INT(F400))*100,0)/60,2),F400))</f>
        <v/>
      </c>
      <c r="P400" s="7"/>
      <c r="Q400" s="7"/>
    </row>
    <row r="401" spans="1:17">
      <c r="A401" s="105"/>
      <c r="B401" s="2"/>
      <c r="C401" s="254"/>
      <c r="D401" s="254"/>
      <c r="E401" s="254"/>
      <c r="F401" s="255"/>
      <c r="G401" s="215" t="str">
        <f>IF(AND($B401="",OR(B401&lt;&gt;"",C401&lt;&gt;"",D401&lt;&gt;"",E401&lt;&gt;"",F401&lt;&gt;"")),入力リスト!$K$34,IF($I401=TRUE,入力リスト!$K$35,IF(J401=FALSE,"「毎月の固定給与額」","")&amp;IF(AND(J401=FALSE,OR(K401=FALSE,L401=FALSE,M401=FALSE)),",","")&amp;IF(K401=FALSE,"「賞与額等」","")&amp;IF(AND(K401=FALSE,OR(L401=FALSE,M401=FALSE)),",","")&amp;IF(L401=FALSE,"「残業手当」","")&amp;IF(AND(L401=FALSE,M401=FALSE),",","")&amp;IF(M401=FALSE,"「残業時間」","")&amp;IF(OR(J401=FALSE,K401=FALSE,L401=FALSE,M401=FALSE),入力リスト!$K$36,"")&amp;IF(N401,"",入力リスト!$K$37)))</f>
        <v/>
      </c>
      <c r="H401" s="215"/>
      <c r="I401" s="1" t="b">
        <f>IF(B401="",FALSE,COUNTIF('従業員情報(給与以外)'!$A$4:$A$1000000,$B401)=0)</f>
        <v>0</v>
      </c>
      <c r="J401" s="8" t="b">
        <f t="shared" si="30"/>
        <v>1</v>
      </c>
      <c r="K401" s="8" t="b">
        <f t="shared" si="31"/>
        <v>1</v>
      </c>
      <c r="L401" s="8" t="b">
        <f t="shared" si="32"/>
        <v>1</v>
      </c>
      <c r="M401" s="8" t="b">
        <f t="shared" si="33"/>
        <v>1</v>
      </c>
      <c r="N401" s="1" t="b">
        <f t="shared" si="34"/>
        <v>1</v>
      </c>
      <c r="O401" s="8" t="str">
        <f>IF(F401="","",IF($F$2=入力リスト!$H$25,ROUNDDOWN(INT(F401)+ROUNDDOWN((F401-INT(F401))*100,0)/60,2),F401))</f>
        <v/>
      </c>
      <c r="P401" s="7"/>
      <c r="Q401" s="7"/>
    </row>
    <row r="402" spans="1:17">
      <c r="A402" s="105"/>
      <c r="B402" s="2"/>
      <c r="C402" s="254"/>
      <c r="D402" s="254"/>
      <c r="E402" s="254"/>
      <c r="F402" s="255"/>
      <c r="G402" s="215" t="str">
        <f>IF(AND($B402="",OR(B402&lt;&gt;"",C402&lt;&gt;"",D402&lt;&gt;"",E402&lt;&gt;"",F402&lt;&gt;"")),入力リスト!$K$34,IF($I402=TRUE,入力リスト!$K$35,IF(J402=FALSE,"「毎月の固定給与額」","")&amp;IF(AND(J402=FALSE,OR(K402=FALSE,L402=FALSE,M402=FALSE)),",","")&amp;IF(K402=FALSE,"「賞与額等」","")&amp;IF(AND(K402=FALSE,OR(L402=FALSE,M402=FALSE)),",","")&amp;IF(L402=FALSE,"「残業手当」","")&amp;IF(AND(L402=FALSE,M402=FALSE),",","")&amp;IF(M402=FALSE,"「残業時間」","")&amp;IF(OR(J402=FALSE,K402=FALSE,L402=FALSE,M402=FALSE),入力リスト!$K$36,"")&amp;IF(N402,"",入力リスト!$K$37)))</f>
        <v/>
      </c>
      <c r="H402" s="215"/>
      <c r="I402" s="1" t="b">
        <f>IF(B402="",FALSE,COUNTIF('従業員情報(給与以外)'!$A$4:$A$1000000,$B402)=0)</f>
        <v>0</v>
      </c>
      <c r="J402" s="8" t="b">
        <f t="shared" si="30"/>
        <v>1</v>
      </c>
      <c r="K402" s="8" t="b">
        <f t="shared" si="31"/>
        <v>1</v>
      </c>
      <c r="L402" s="8" t="b">
        <f t="shared" si="32"/>
        <v>1</v>
      </c>
      <c r="M402" s="8" t="b">
        <f t="shared" si="33"/>
        <v>1</v>
      </c>
      <c r="N402" s="1" t="b">
        <f t="shared" si="34"/>
        <v>1</v>
      </c>
      <c r="O402" s="8" t="str">
        <f>IF(F402="","",IF($F$2=入力リスト!$H$25,ROUNDDOWN(INT(F402)+ROUNDDOWN((F402-INT(F402))*100,0)/60,2),F402))</f>
        <v/>
      </c>
      <c r="P402" s="7"/>
      <c r="Q402" s="7"/>
    </row>
    <row r="403" spans="1:17">
      <c r="A403" s="105"/>
      <c r="B403" s="2"/>
      <c r="C403" s="254"/>
      <c r="D403" s="254"/>
      <c r="E403" s="254"/>
      <c r="F403" s="255"/>
      <c r="G403" s="215" t="str">
        <f>IF(AND($B403="",OR(B403&lt;&gt;"",C403&lt;&gt;"",D403&lt;&gt;"",E403&lt;&gt;"",F403&lt;&gt;"")),入力リスト!$K$34,IF($I403=TRUE,入力リスト!$K$35,IF(J403=FALSE,"「毎月の固定給与額」","")&amp;IF(AND(J403=FALSE,OR(K403=FALSE,L403=FALSE,M403=FALSE)),",","")&amp;IF(K403=FALSE,"「賞与額等」","")&amp;IF(AND(K403=FALSE,OR(L403=FALSE,M403=FALSE)),",","")&amp;IF(L403=FALSE,"「残業手当」","")&amp;IF(AND(L403=FALSE,M403=FALSE),",","")&amp;IF(M403=FALSE,"「残業時間」","")&amp;IF(OR(J403=FALSE,K403=FALSE,L403=FALSE,M403=FALSE),入力リスト!$K$36,"")&amp;IF(N403,"",入力リスト!$K$37)))</f>
        <v/>
      </c>
      <c r="H403" s="215"/>
      <c r="I403" s="1" t="b">
        <f>IF(B403="",FALSE,COUNTIF('従業員情報(給与以外)'!$A$4:$A$1000000,$B403)=0)</f>
        <v>0</v>
      </c>
      <c r="J403" s="8" t="b">
        <f t="shared" si="30"/>
        <v>1</v>
      </c>
      <c r="K403" s="8" t="b">
        <f t="shared" si="31"/>
        <v>1</v>
      </c>
      <c r="L403" s="8" t="b">
        <f t="shared" si="32"/>
        <v>1</v>
      </c>
      <c r="M403" s="8" t="b">
        <f t="shared" si="33"/>
        <v>1</v>
      </c>
      <c r="N403" s="1" t="b">
        <f t="shared" si="34"/>
        <v>1</v>
      </c>
      <c r="O403" s="8" t="str">
        <f>IF(F403="","",IF($F$2=入力リスト!$H$25,ROUNDDOWN(INT(F403)+ROUNDDOWN((F403-INT(F403))*100,0)/60,2),F403))</f>
        <v/>
      </c>
      <c r="P403" s="7"/>
      <c r="Q403" s="7"/>
    </row>
    <row r="404" spans="1:17">
      <c r="A404" s="105"/>
      <c r="B404" s="2"/>
      <c r="C404" s="254"/>
      <c r="D404" s="254"/>
      <c r="E404" s="254"/>
      <c r="F404" s="255"/>
      <c r="G404" s="215" t="str">
        <f>IF(AND($B404="",OR(B404&lt;&gt;"",C404&lt;&gt;"",D404&lt;&gt;"",E404&lt;&gt;"",F404&lt;&gt;"")),入力リスト!$K$34,IF($I404=TRUE,入力リスト!$K$35,IF(J404=FALSE,"「毎月の固定給与額」","")&amp;IF(AND(J404=FALSE,OR(K404=FALSE,L404=FALSE,M404=FALSE)),",","")&amp;IF(K404=FALSE,"「賞与額等」","")&amp;IF(AND(K404=FALSE,OR(L404=FALSE,M404=FALSE)),",","")&amp;IF(L404=FALSE,"「残業手当」","")&amp;IF(AND(L404=FALSE,M404=FALSE),",","")&amp;IF(M404=FALSE,"「残業時間」","")&amp;IF(OR(J404=FALSE,K404=FALSE,L404=FALSE,M404=FALSE),入力リスト!$K$36,"")&amp;IF(N404,"",入力リスト!$K$37)))</f>
        <v/>
      </c>
      <c r="H404" s="215"/>
      <c r="I404" s="1" t="b">
        <f>IF(B404="",FALSE,COUNTIF('従業員情報(給与以外)'!$A$4:$A$1000000,$B404)=0)</f>
        <v>0</v>
      </c>
      <c r="J404" s="8" t="b">
        <f t="shared" si="30"/>
        <v>1</v>
      </c>
      <c r="K404" s="8" t="b">
        <f t="shared" si="31"/>
        <v>1</v>
      </c>
      <c r="L404" s="8" t="b">
        <f t="shared" si="32"/>
        <v>1</v>
      </c>
      <c r="M404" s="8" t="b">
        <f t="shared" si="33"/>
        <v>1</v>
      </c>
      <c r="N404" s="1" t="b">
        <f t="shared" si="34"/>
        <v>1</v>
      </c>
      <c r="O404" s="8" t="str">
        <f>IF(F404="","",IF($F$2=入力リスト!$H$25,ROUNDDOWN(INT(F404)+ROUNDDOWN((F404-INT(F404))*100,0)/60,2),F404))</f>
        <v/>
      </c>
      <c r="P404" s="7"/>
      <c r="Q404" s="7"/>
    </row>
    <row r="405" spans="1:17">
      <c r="A405" s="105"/>
      <c r="B405" s="2"/>
      <c r="C405" s="254"/>
      <c r="D405" s="254"/>
      <c r="E405" s="254"/>
      <c r="F405" s="255"/>
      <c r="G405" s="215" t="str">
        <f>IF(AND($B405="",OR(B405&lt;&gt;"",C405&lt;&gt;"",D405&lt;&gt;"",E405&lt;&gt;"",F405&lt;&gt;"")),入力リスト!$K$34,IF($I405=TRUE,入力リスト!$K$35,IF(J405=FALSE,"「毎月の固定給与額」","")&amp;IF(AND(J405=FALSE,OR(K405=FALSE,L405=FALSE,M405=FALSE)),",","")&amp;IF(K405=FALSE,"「賞与額等」","")&amp;IF(AND(K405=FALSE,OR(L405=FALSE,M405=FALSE)),",","")&amp;IF(L405=FALSE,"「残業手当」","")&amp;IF(AND(L405=FALSE,M405=FALSE),",","")&amp;IF(M405=FALSE,"「残業時間」","")&amp;IF(OR(J405=FALSE,K405=FALSE,L405=FALSE,M405=FALSE),入力リスト!$K$36,"")&amp;IF(N405,"",入力リスト!$K$37)))</f>
        <v/>
      </c>
      <c r="H405" s="215"/>
      <c r="I405" s="1" t="b">
        <f>IF(B405="",FALSE,COUNTIF('従業員情報(給与以外)'!$A$4:$A$1000000,$B405)=0)</f>
        <v>0</v>
      </c>
      <c r="J405" s="8" t="b">
        <f t="shared" si="30"/>
        <v>1</v>
      </c>
      <c r="K405" s="8" t="b">
        <f t="shared" si="31"/>
        <v>1</v>
      </c>
      <c r="L405" s="8" t="b">
        <f t="shared" si="32"/>
        <v>1</v>
      </c>
      <c r="M405" s="8" t="b">
        <f t="shared" si="33"/>
        <v>1</v>
      </c>
      <c r="N405" s="1" t="b">
        <f t="shared" si="34"/>
        <v>1</v>
      </c>
      <c r="O405" s="8" t="str">
        <f>IF(F405="","",IF($F$2=入力リスト!$H$25,ROUNDDOWN(INT(F405)+ROUNDDOWN((F405-INT(F405))*100,0)/60,2),F405))</f>
        <v/>
      </c>
      <c r="P405" s="7"/>
      <c r="Q405" s="7"/>
    </row>
    <row r="406" spans="1:17">
      <c r="A406" s="105"/>
      <c r="B406" s="2"/>
      <c r="C406" s="254"/>
      <c r="D406" s="254"/>
      <c r="E406" s="254"/>
      <c r="F406" s="255"/>
      <c r="G406" s="215" t="str">
        <f>IF(AND($B406="",OR(B406&lt;&gt;"",C406&lt;&gt;"",D406&lt;&gt;"",E406&lt;&gt;"",F406&lt;&gt;"")),入力リスト!$K$34,IF($I406=TRUE,入力リスト!$K$35,IF(J406=FALSE,"「毎月の固定給与額」","")&amp;IF(AND(J406=FALSE,OR(K406=FALSE,L406=FALSE,M406=FALSE)),",","")&amp;IF(K406=FALSE,"「賞与額等」","")&amp;IF(AND(K406=FALSE,OR(L406=FALSE,M406=FALSE)),",","")&amp;IF(L406=FALSE,"「残業手当」","")&amp;IF(AND(L406=FALSE,M406=FALSE),",","")&amp;IF(M406=FALSE,"「残業時間」","")&amp;IF(OR(J406=FALSE,K406=FALSE,L406=FALSE,M406=FALSE),入力リスト!$K$36,"")&amp;IF(N406,"",入力リスト!$K$37)))</f>
        <v/>
      </c>
      <c r="H406" s="215"/>
      <c r="I406" s="1" t="b">
        <f>IF(B406="",FALSE,COUNTIF('従業員情報(給与以外)'!$A$4:$A$1000000,$B406)=0)</f>
        <v>0</v>
      </c>
      <c r="J406" s="8" t="b">
        <f t="shared" si="30"/>
        <v>1</v>
      </c>
      <c r="K406" s="8" t="b">
        <f t="shared" si="31"/>
        <v>1</v>
      </c>
      <c r="L406" s="8" t="b">
        <f t="shared" si="32"/>
        <v>1</v>
      </c>
      <c r="M406" s="8" t="b">
        <f t="shared" si="33"/>
        <v>1</v>
      </c>
      <c r="N406" s="1" t="b">
        <f t="shared" si="34"/>
        <v>1</v>
      </c>
      <c r="O406" s="8" t="str">
        <f>IF(F406="","",IF($F$2=入力リスト!$H$25,ROUNDDOWN(INT(F406)+ROUNDDOWN((F406-INT(F406))*100,0)/60,2),F406))</f>
        <v/>
      </c>
      <c r="P406" s="7"/>
      <c r="Q406" s="7"/>
    </row>
    <row r="407" spans="1:17">
      <c r="A407" s="105"/>
      <c r="B407" s="2"/>
      <c r="C407" s="254"/>
      <c r="D407" s="254"/>
      <c r="E407" s="254"/>
      <c r="F407" s="255"/>
      <c r="G407" s="215" t="str">
        <f>IF(AND($B407="",OR(B407&lt;&gt;"",C407&lt;&gt;"",D407&lt;&gt;"",E407&lt;&gt;"",F407&lt;&gt;"")),入力リスト!$K$34,IF($I407=TRUE,入力リスト!$K$35,IF(J407=FALSE,"「毎月の固定給与額」","")&amp;IF(AND(J407=FALSE,OR(K407=FALSE,L407=FALSE,M407=FALSE)),",","")&amp;IF(K407=FALSE,"「賞与額等」","")&amp;IF(AND(K407=FALSE,OR(L407=FALSE,M407=FALSE)),",","")&amp;IF(L407=FALSE,"「残業手当」","")&amp;IF(AND(L407=FALSE,M407=FALSE),",","")&amp;IF(M407=FALSE,"「残業時間」","")&amp;IF(OR(J407=FALSE,K407=FALSE,L407=FALSE,M407=FALSE),入力リスト!$K$36,"")&amp;IF(N407,"",入力リスト!$K$37)))</f>
        <v/>
      </c>
      <c r="H407" s="215"/>
      <c r="I407" s="1" t="b">
        <f>IF(B407="",FALSE,COUNTIF('従業員情報(給与以外)'!$A$4:$A$1000000,$B407)=0)</f>
        <v>0</v>
      </c>
      <c r="J407" s="8" t="b">
        <f t="shared" si="30"/>
        <v>1</v>
      </c>
      <c r="K407" s="8" t="b">
        <f t="shared" si="31"/>
        <v>1</v>
      </c>
      <c r="L407" s="8" t="b">
        <f t="shared" si="32"/>
        <v>1</v>
      </c>
      <c r="M407" s="8" t="b">
        <f t="shared" si="33"/>
        <v>1</v>
      </c>
      <c r="N407" s="1" t="b">
        <f t="shared" si="34"/>
        <v>1</v>
      </c>
      <c r="O407" s="8" t="str">
        <f>IF(F407="","",IF($F$2=入力リスト!$H$25,ROUNDDOWN(INT(F407)+ROUNDDOWN((F407-INT(F407))*100,0)/60,2),F407))</f>
        <v/>
      </c>
      <c r="P407" s="7"/>
      <c r="Q407" s="7"/>
    </row>
    <row r="408" spans="1:17">
      <c r="A408" s="105"/>
      <c r="B408" s="2"/>
      <c r="C408" s="254"/>
      <c r="D408" s="254"/>
      <c r="E408" s="254"/>
      <c r="F408" s="255"/>
      <c r="G408" s="215" t="str">
        <f>IF(AND($B408="",OR(B408&lt;&gt;"",C408&lt;&gt;"",D408&lt;&gt;"",E408&lt;&gt;"",F408&lt;&gt;"")),入力リスト!$K$34,IF($I408=TRUE,入力リスト!$K$35,IF(J408=FALSE,"「毎月の固定給与額」","")&amp;IF(AND(J408=FALSE,OR(K408=FALSE,L408=FALSE,M408=FALSE)),",","")&amp;IF(K408=FALSE,"「賞与額等」","")&amp;IF(AND(K408=FALSE,OR(L408=FALSE,M408=FALSE)),",","")&amp;IF(L408=FALSE,"「残業手当」","")&amp;IF(AND(L408=FALSE,M408=FALSE),",","")&amp;IF(M408=FALSE,"「残業時間」","")&amp;IF(OR(J408=FALSE,K408=FALSE,L408=FALSE,M408=FALSE),入力リスト!$K$36,"")&amp;IF(N408,"",入力リスト!$K$37)))</f>
        <v/>
      </c>
      <c r="H408" s="215"/>
      <c r="I408" s="1" t="b">
        <f>IF(B408="",FALSE,COUNTIF('従業員情報(給与以外)'!$A$4:$A$1000000,$B408)=0)</f>
        <v>0</v>
      </c>
      <c r="J408" s="8" t="b">
        <f t="shared" si="30"/>
        <v>1</v>
      </c>
      <c r="K408" s="8" t="b">
        <f t="shared" si="31"/>
        <v>1</v>
      </c>
      <c r="L408" s="8" t="b">
        <f t="shared" si="32"/>
        <v>1</v>
      </c>
      <c r="M408" s="8" t="b">
        <f t="shared" si="33"/>
        <v>1</v>
      </c>
      <c r="N408" s="1" t="b">
        <f t="shared" si="34"/>
        <v>1</v>
      </c>
      <c r="O408" s="8" t="str">
        <f>IF(F408="","",IF($F$2=入力リスト!$H$25,ROUNDDOWN(INT(F408)+ROUNDDOWN((F408-INT(F408))*100,0)/60,2),F408))</f>
        <v/>
      </c>
      <c r="P408" s="7"/>
      <c r="Q408" s="7"/>
    </row>
    <row r="409" spans="1:17">
      <c r="A409" s="105"/>
      <c r="B409" s="2"/>
      <c r="C409" s="254"/>
      <c r="D409" s="254"/>
      <c r="E409" s="254"/>
      <c r="F409" s="255"/>
      <c r="G409" s="215" t="str">
        <f>IF(AND($B409="",OR(B409&lt;&gt;"",C409&lt;&gt;"",D409&lt;&gt;"",E409&lt;&gt;"",F409&lt;&gt;"")),入力リスト!$K$34,IF($I409=TRUE,入力リスト!$K$35,IF(J409=FALSE,"「毎月の固定給与額」","")&amp;IF(AND(J409=FALSE,OR(K409=FALSE,L409=FALSE,M409=FALSE)),",","")&amp;IF(K409=FALSE,"「賞与額等」","")&amp;IF(AND(K409=FALSE,OR(L409=FALSE,M409=FALSE)),",","")&amp;IF(L409=FALSE,"「残業手当」","")&amp;IF(AND(L409=FALSE,M409=FALSE),",","")&amp;IF(M409=FALSE,"「残業時間」","")&amp;IF(OR(J409=FALSE,K409=FALSE,L409=FALSE,M409=FALSE),入力リスト!$K$36,"")&amp;IF(N409,"",入力リスト!$K$37)))</f>
        <v/>
      </c>
      <c r="H409" s="215"/>
      <c r="I409" s="1" t="b">
        <f>IF(B409="",FALSE,COUNTIF('従業員情報(給与以外)'!$A$4:$A$1000000,$B409)=0)</f>
        <v>0</v>
      </c>
      <c r="J409" s="8" t="b">
        <f t="shared" si="30"/>
        <v>1</v>
      </c>
      <c r="K409" s="8" t="b">
        <f t="shared" si="31"/>
        <v>1</v>
      </c>
      <c r="L409" s="8" t="b">
        <f t="shared" si="32"/>
        <v>1</v>
      </c>
      <c r="M409" s="8" t="b">
        <f t="shared" si="33"/>
        <v>1</v>
      </c>
      <c r="N409" s="1" t="b">
        <f t="shared" si="34"/>
        <v>1</v>
      </c>
      <c r="O409" s="8" t="str">
        <f>IF(F409="","",IF($F$2=入力リスト!$H$25,ROUNDDOWN(INT(F409)+ROUNDDOWN((F409-INT(F409))*100,0)/60,2),F409))</f>
        <v/>
      </c>
      <c r="P409" s="7"/>
      <c r="Q409" s="7"/>
    </row>
    <row r="410" spans="1:17">
      <c r="A410" s="105"/>
      <c r="B410" s="2"/>
      <c r="C410" s="254"/>
      <c r="D410" s="254"/>
      <c r="E410" s="254"/>
      <c r="F410" s="255"/>
      <c r="G410" s="215" t="str">
        <f>IF(AND($B410="",OR(B410&lt;&gt;"",C410&lt;&gt;"",D410&lt;&gt;"",E410&lt;&gt;"",F410&lt;&gt;"")),入力リスト!$K$34,IF($I410=TRUE,入力リスト!$K$35,IF(J410=FALSE,"「毎月の固定給与額」","")&amp;IF(AND(J410=FALSE,OR(K410=FALSE,L410=FALSE,M410=FALSE)),",","")&amp;IF(K410=FALSE,"「賞与額等」","")&amp;IF(AND(K410=FALSE,OR(L410=FALSE,M410=FALSE)),",","")&amp;IF(L410=FALSE,"「残業手当」","")&amp;IF(AND(L410=FALSE,M410=FALSE),",","")&amp;IF(M410=FALSE,"「残業時間」","")&amp;IF(OR(J410=FALSE,K410=FALSE,L410=FALSE,M410=FALSE),入力リスト!$K$36,"")&amp;IF(N410,"",入力リスト!$K$37)))</f>
        <v/>
      </c>
      <c r="H410" s="215"/>
      <c r="I410" s="1" t="b">
        <f>IF(B410="",FALSE,COUNTIF('従業員情報(給与以外)'!$A$4:$A$1000000,$B410)=0)</f>
        <v>0</v>
      </c>
      <c r="J410" s="8" t="b">
        <f t="shared" si="30"/>
        <v>1</v>
      </c>
      <c r="K410" s="8" t="b">
        <f t="shared" si="31"/>
        <v>1</v>
      </c>
      <c r="L410" s="8" t="b">
        <f t="shared" si="32"/>
        <v>1</v>
      </c>
      <c r="M410" s="8" t="b">
        <f t="shared" si="33"/>
        <v>1</v>
      </c>
      <c r="N410" s="1" t="b">
        <f t="shared" si="34"/>
        <v>1</v>
      </c>
      <c r="O410" s="8" t="str">
        <f>IF(F410="","",IF($F$2=入力リスト!$H$25,ROUNDDOWN(INT(F410)+ROUNDDOWN((F410-INT(F410))*100,0)/60,2),F410))</f>
        <v/>
      </c>
      <c r="P410" s="7"/>
      <c r="Q410" s="7"/>
    </row>
    <row r="411" spans="1:17">
      <c r="A411" s="105"/>
      <c r="B411" s="2"/>
      <c r="C411" s="254"/>
      <c r="D411" s="254"/>
      <c r="E411" s="254"/>
      <c r="F411" s="255"/>
      <c r="G411" s="215" t="str">
        <f>IF(AND($B411="",OR(B411&lt;&gt;"",C411&lt;&gt;"",D411&lt;&gt;"",E411&lt;&gt;"",F411&lt;&gt;"")),入力リスト!$K$34,IF($I411=TRUE,入力リスト!$K$35,IF(J411=FALSE,"「毎月の固定給与額」","")&amp;IF(AND(J411=FALSE,OR(K411=FALSE,L411=FALSE,M411=FALSE)),",","")&amp;IF(K411=FALSE,"「賞与額等」","")&amp;IF(AND(K411=FALSE,OR(L411=FALSE,M411=FALSE)),",","")&amp;IF(L411=FALSE,"「残業手当」","")&amp;IF(AND(L411=FALSE,M411=FALSE),",","")&amp;IF(M411=FALSE,"「残業時間」","")&amp;IF(OR(J411=FALSE,K411=FALSE,L411=FALSE,M411=FALSE),入力リスト!$K$36,"")&amp;IF(N411,"",入力リスト!$K$37)))</f>
        <v/>
      </c>
      <c r="H411" s="215"/>
      <c r="I411" s="1" t="b">
        <f>IF(B411="",FALSE,COUNTIF('従業員情報(給与以外)'!$A$4:$A$1000000,$B411)=0)</f>
        <v>0</v>
      </c>
      <c r="J411" s="8" t="b">
        <f t="shared" si="30"/>
        <v>1</v>
      </c>
      <c r="K411" s="8" t="b">
        <f t="shared" si="31"/>
        <v>1</v>
      </c>
      <c r="L411" s="8" t="b">
        <f t="shared" si="32"/>
        <v>1</v>
      </c>
      <c r="M411" s="8" t="b">
        <f t="shared" si="33"/>
        <v>1</v>
      </c>
      <c r="N411" s="1" t="b">
        <f t="shared" si="34"/>
        <v>1</v>
      </c>
      <c r="O411" s="8" t="str">
        <f>IF(F411="","",IF($F$2=入力リスト!$H$25,ROUNDDOWN(INT(F411)+ROUNDDOWN((F411-INT(F411))*100,0)/60,2),F411))</f>
        <v/>
      </c>
      <c r="P411" s="7"/>
      <c r="Q411" s="7"/>
    </row>
    <row r="412" spans="1:17">
      <c r="A412" s="105"/>
      <c r="B412" s="2"/>
      <c r="C412" s="254"/>
      <c r="D412" s="254"/>
      <c r="E412" s="254"/>
      <c r="F412" s="255"/>
      <c r="G412" s="215" t="str">
        <f>IF(AND($B412="",OR(B412&lt;&gt;"",C412&lt;&gt;"",D412&lt;&gt;"",E412&lt;&gt;"",F412&lt;&gt;"")),入力リスト!$K$34,IF($I412=TRUE,入力リスト!$K$35,IF(J412=FALSE,"「毎月の固定給与額」","")&amp;IF(AND(J412=FALSE,OR(K412=FALSE,L412=FALSE,M412=FALSE)),",","")&amp;IF(K412=FALSE,"「賞与額等」","")&amp;IF(AND(K412=FALSE,OR(L412=FALSE,M412=FALSE)),",","")&amp;IF(L412=FALSE,"「残業手当」","")&amp;IF(AND(L412=FALSE,M412=FALSE),",","")&amp;IF(M412=FALSE,"「残業時間」","")&amp;IF(OR(J412=FALSE,K412=FALSE,L412=FALSE,M412=FALSE),入力リスト!$K$36,"")&amp;IF(N412,"",入力リスト!$K$37)))</f>
        <v/>
      </c>
      <c r="H412" s="215"/>
      <c r="I412" s="1" t="b">
        <f>IF(B412="",FALSE,COUNTIF('従業員情報(給与以外)'!$A$4:$A$1000000,$B412)=0)</f>
        <v>0</v>
      </c>
      <c r="J412" s="8" t="b">
        <f t="shared" si="30"/>
        <v>1</v>
      </c>
      <c r="K412" s="8" t="b">
        <f t="shared" si="31"/>
        <v>1</v>
      </c>
      <c r="L412" s="8" t="b">
        <f t="shared" si="32"/>
        <v>1</v>
      </c>
      <c r="M412" s="8" t="b">
        <f t="shared" si="33"/>
        <v>1</v>
      </c>
      <c r="N412" s="1" t="b">
        <f t="shared" si="34"/>
        <v>1</v>
      </c>
      <c r="O412" s="8" t="str">
        <f>IF(F412="","",IF($F$2=入力リスト!$H$25,ROUNDDOWN(INT(F412)+ROUNDDOWN((F412-INT(F412))*100,0)/60,2),F412))</f>
        <v/>
      </c>
      <c r="P412" s="7"/>
      <c r="Q412" s="7"/>
    </row>
    <row r="413" spans="1:17">
      <c r="A413" s="105"/>
      <c r="B413" s="2"/>
      <c r="C413" s="254"/>
      <c r="D413" s="254"/>
      <c r="E413" s="254"/>
      <c r="F413" s="255"/>
      <c r="G413" s="215" t="str">
        <f>IF(AND($B413="",OR(B413&lt;&gt;"",C413&lt;&gt;"",D413&lt;&gt;"",E413&lt;&gt;"",F413&lt;&gt;"")),入力リスト!$K$34,IF($I413=TRUE,入力リスト!$K$35,IF(J413=FALSE,"「毎月の固定給与額」","")&amp;IF(AND(J413=FALSE,OR(K413=FALSE,L413=FALSE,M413=FALSE)),",","")&amp;IF(K413=FALSE,"「賞与額等」","")&amp;IF(AND(K413=FALSE,OR(L413=FALSE,M413=FALSE)),",","")&amp;IF(L413=FALSE,"「残業手当」","")&amp;IF(AND(L413=FALSE,M413=FALSE),",","")&amp;IF(M413=FALSE,"「残業時間」","")&amp;IF(OR(J413=FALSE,K413=FALSE,L413=FALSE,M413=FALSE),入力リスト!$K$36,"")&amp;IF(N413,"",入力リスト!$K$37)))</f>
        <v/>
      </c>
      <c r="H413" s="215"/>
      <c r="I413" s="1" t="b">
        <f>IF(B413="",FALSE,COUNTIF('従業員情報(給与以外)'!$A$4:$A$1000000,$B413)=0)</f>
        <v>0</v>
      </c>
      <c r="J413" s="8" t="b">
        <f t="shared" si="30"/>
        <v>1</v>
      </c>
      <c r="K413" s="8" t="b">
        <f t="shared" si="31"/>
        <v>1</v>
      </c>
      <c r="L413" s="8" t="b">
        <f t="shared" si="32"/>
        <v>1</v>
      </c>
      <c r="M413" s="8" t="b">
        <f t="shared" si="33"/>
        <v>1</v>
      </c>
      <c r="N413" s="1" t="b">
        <f t="shared" si="34"/>
        <v>1</v>
      </c>
      <c r="O413" s="8" t="str">
        <f>IF(F413="","",IF($F$2=入力リスト!$H$25,ROUNDDOWN(INT(F413)+ROUNDDOWN((F413-INT(F413))*100,0)/60,2),F413))</f>
        <v/>
      </c>
      <c r="P413" s="7"/>
      <c r="Q413" s="7"/>
    </row>
    <row r="414" spans="1:17">
      <c r="A414" s="105"/>
      <c r="B414" s="2"/>
      <c r="C414" s="254"/>
      <c r="D414" s="254"/>
      <c r="E414" s="254"/>
      <c r="F414" s="255"/>
      <c r="G414" s="215" t="str">
        <f>IF(AND($B414="",OR(B414&lt;&gt;"",C414&lt;&gt;"",D414&lt;&gt;"",E414&lt;&gt;"",F414&lt;&gt;"")),入力リスト!$K$34,IF($I414=TRUE,入力リスト!$K$35,IF(J414=FALSE,"「毎月の固定給与額」","")&amp;IF(AND(J414=FALSE,OR(K414=FALSE,L414=FALSE,M414=FALSE)),",","")&amp;IF(K414=FALSE,"「賞与額等」","")&amp;IF(AND(K414=FALSE,OR(L414=FALSE,M414=FALSE)),",","")&amp;IF(L414=FALSE,"「残業手当」","")&amp;IF(AND(L414=FALSE,M414=FALSE),",","")&amp;IF(M414=FALSE,"「残業時間」","")&amp;IF(OR(J414=FALSE,K414=FALSE,L414=FALSE,M414=FALSE),入力リスト!$K$36,"")&amp;IF(N414,"",入力リスト!$K$37)))</f>
        <v/>
      </c>
      <c r="H414" s="215"/>
      <c r="I414" s="1" t="b">
        <f>IF(B414="",FALSE,COUNTIF('従業員情報(給与以外)'!$A$4:$A$1000000,$B414)=0)</f>
        <v>0</v>
      </c>
      <c r="J414" s="8" t="b">
        <f t="shared" si="30"/>
        <v>1</v>
      </c>
      <c r="K414" s="8" t="b">
        <f t="shared" si="31"/>
        <v>1</v>
      </c>
      <c r="L414" s="8" t="b">
        <f t="shared" si="32"/>
        <v>1</v>
      </c>
      <c r="M414" s="8" t="b">
        <f t="shared" si="33"/>
        <v>1</v>
      </c>
      <c r="N414" s="1" t="b">
        <f t="shared" si="34"/>
        <v>1</v>
      </c>
      <c r="O414" s="8" t="str">
        <f>IF(F414="","",IF($F$2=入力リスト!$H$25,ROUNDDOWN(INT(F414)+ROUNDDOWN((F414-INT(F414))*100,0)/60,2),F414))</f>
        <v/>
      </c>
      <c r="P414" s="7"/>
      <c r="Q414" s="7"/>
    </row>
    <row r="415" spans="1:17">
      <c r="A415" s="105"/>
      <c r="B415" s="2"/>
      <c r="C415" s="254"/>
      <c r="D415" s="254"/>
      <c r="E415" s="254"/>
      <c r="F415" s="255"/>
      <c r="G415" s="215" t="str">
        <f>IF(AND($B415="",OR(B415&lt;&gt;"",C415&lt;&gt;"",D415&lt;&gt;"",E415&lt;&gt;"",F415&lt;&gt;"")),入力リスト!$K$34,IF($I415=TRUE,入力リスト!$K$35,IF(J415=FALSE,"「毎月の固定給与額」","")&amp;IF(AND(J415=FALSE,OR(K415=FALSE,L415=FALSE,M415=FALSE)),",","")&amp;IF(K415=FALSE,"「賞与額等」","")&amp;IF(AND(K415=FALSE,OR(L415=FALSE,M415=FALSE)),",","")&amp;IF(L415=FALSE,"「残業手当」","")&amp;IF(AND(L415=FALSE,M415=FALSE),",","")&amp;IF(M415=FALSE,"「残業時間」","")&amp;IF(OR(J415=FALSE,K415=FALSE,L415=FALSE,M415=FALSE),入力リスト!$K$36,"")&amp;IF(N415,"",入力リスト!$K$37)))</f>
        <v/>
      </c>
      <c r="H415" s="215"/>
      <c r="I415" s="1" t="b">
        <f>IF(B415="",FALSE,COUNTIF('従業員情報(給与以外)'!$A$4:$A$1000000,$B415)=0)</f>
        <v>0</v>
      </c>
      <c r="J415" s="8" t="b">
        <f t="shared" si="30"/>
        <v>1</v>
      </c>
      <c r="K415" s="8" t="b">
        <f t="shared" si="31"/>
        <v>1</v>
      </c>
      <c r="L415" s="8" t="b">
        <f t="shared" si="32"/>
        <v>1</v>
      </c>
      <c r="M415" s="8" t="b">
        <f t="shared" si="33"/>
        <v>1</v>
      </c>
      <c r="N415" s="1" t="b">
        <f t="shared" si="34"/>
        <v>1</v>
      </c>
      <c r="O415" s="8" t="str">
        <f>IF(F415="","",IF($F$2=入力リスト!$H$25,ROUNDDOWN(INT(F415)+ROUNDDOWN((F415-INT(F415))*100,0)/60,2),F415))</f>
        <v/>
      </c>
      <c r="P415" s="7"/>
      <c r="Q415" s="7"/>
    </row>
    <row r="416" spans="1:17">
      <c r="A416" s="105"/>
      <c r="B416" s="2"/>
      <c r="C416" s="254"/>
      <c r="D416" s="254"/>
      <c r="E416" s="254"/>
      <c r="F416" s="255"/>
      <c r="G416" s="215" t="str">
        <f>IF(AND($B416="",OR(B416&lt;&gt;"",C416&lt;&gt;"",D416&lt;&gt;"",E416&lt;&gt;"",F416&lt;&gt;"")),入力リスト!$K$34,IF($I416=TRUE,入力リスト!$K$35,IF(J416=FALSE,"「毎月の固定給与額」","")&amp;IF(AND(J416=FALSE,OR(K416=FALSE,L416=FALSE,M416=FALSE)),",","")&amp;IF(K416=FALSE,"「賞与額等」","")&amp;IF(AND(K416=FALSE,OR(L416=FALSE,M416=FALSE)),",","")&amp;IF(L416=FALSE,"「残業手当」","")&amp;IF(AND(L416=FALSE,M416=FALSE),",","")&amp;IF(M416=FALSE,"「残業時間」","")&amp;IF(OR(J416=FALSE,K416=FALSE,L416=FALSE,M416=FALSE),入力リスト!$K$36,"")&amp;IF(N416,"",入力リスト!$K$37)))</f>
        <v/>
      </c>
      <c r="H416" s="215"/>
      <c r="I416" s="1" t="b">
        <f>IF(B416="",FALSE,COUNTIF('従業員情報(給与以外)'!$A$4:$A$1000000,$B416)=0)</f>
        <v>0</v>
      </c>
      <c r="J416" s="8" t="b">
        <f t="shared" si="30"/>
        <v>1</v>
      </c>
      <c r="K416" s="8" t="b">
        <f t="shared" si="31"/>
        <v>1</v>
      </c>
      <c r="L416" s="8" t="b">
        <f t="shared" si="32"/>
        <v>1</v>
      </c>
      <c r="M416" s="8" t="b">
        <f t="shared" si="33"/>
        <v>1</v>
      </c>
      <c r="N416" s="1" t="b">
        <f t="shared" si="34"/>
        <v>1</v>
      </c>
      <c r="O416" s="8" t="str">
        <f>IF(F416="","",IF($F$2=入力リスト!$H$25,ROUNDDOWN(INT(F416)+ROUNDDOWN((F416-INT(F416))*100,0)/60,2),F416))</f>
        <v/>
      </c>
      <c r="P416" s="7"/>
      <c r="Q416" s="7"/>
    </row>
    <row r="417" spans="1:17">
      <c r="A417" s="105"/>
      <c r="B417" s="2"/>
      <c r="C417" s="254"/>
      <c r="D417" s="254"/>
      <c r="E417" s="254"/>
      <c r="F417" s="255"/>
      <c r="G417" s="215" t="str">
        <f>IF(AND($B417="",OR(B417&lt;&gt;"",C417&lt;&gt;"",D417&lt;&gt;"",E417&lt;&gt;"",F417&lt;&gt;"")),入力リスト!$K$34,IF($I417=TRUE,入力リスト!$K$35,IF(J417=FALSE,"「毎月の固定給与額」","")&amp;IF(AND(J417=FALSE,OR(K417=FALSE,L417=FALSE,M417=FALSE)),",","")&amp;IF(K417=FALSE,"「賞与額等」","")&amp;IF(AND(K417=FALSE,OR(L417=FALSE,M417=FALSE)),",","")&amp;IF(L417=FALSE,"「残業手当」","")&amp;IF(AND(L417=FALSE,M417=FALSE),",","")&amp;IF(M417=FALSE,"「残業時間」","")&amp;IF(OR(J417=FALSE,K417=FALSE,L417=FALSE,M417=FALSE),入力リスト!$K$36,"")&amp;IF(N417,"",入力リスト!$K$37)))</f>
        <v/>
      </c>
      <c r="H417" s="215"/>
      <c r="I417" s="1" t="b">
        <f>IF(B417="",FALSE,COUNTIF('従業員情報(給与以外)'!$A$4:$A$1000000,$B417)=0)</f>
        <v>0</v>
      </c>
      <c r="J417" s="8" t="b">
        <f t="shared" si="30"/>
        <v>1</v>
      </c>
      <c r="K417" s="8" t="b">
        <f t="shared" si="31"/>
        <v>1</v>
      </c>
      <c r="L417" s="8" t="b">
        <f t="shared" si="32"/>
        <v>1</v>
      </c>
      <c r="M417" s="8" t="b">
        <f t="shared" si="33"/>
        <v>1</v>
      </c>
      <c r="N417" s="1" t="b">
        <f t="shared" si="34"/>
        <v>1</v>
      </c>
      <c r="O417" s="8" t="str">
        <f>IF(F417="","",IF($F$2=入力リスト!$H$25,ROUNDDOWN(INT(F417)+ROUNDDOWN((F417-INT(F417))*100,0)/60,2),F417))</f>
        <v/>
      </c>
      <c r="P417" s="7"/>
      <c r="Q417" s="7"/>
    </row>
    <row r="418" spans="1:17">
      <c r="A418" s="105"/>
      <c r="B418" s="2"/>
      <c r="C418" s="254"/>
      <c r="D418" s="254"/>
      <c r="E418" s="254"/>
      <c r="F418" s="255"/>
      <c r="G418" s="215" t="str">
        <f>IF(AND($B418="",OR(B418&lt;&gt;"",C418&lt;&gt;"",D418&lt;&gt;"",E418&lt;&gt;"",F418&lt;&gt;"")),入力リスト!$K$34,IF($I418=TRUE,入力リスト!$K$35,IF(J418=FALSE,"「毎月の固定給与額」","")&amp;IF(AND(J418=FALSE,OR(K418=FALSE,L418=FALSE,M418=FALSE)),",","")&amp;IF(K418=FALSE,"「賞与額等」","")&amp;IF(AND(K418=FALSE,OR(L418=FALSE,M418=FALSE)),",","")&amp;IF(L418=FALSE,"「残業手当」","")&amp;IF(AND(L418=FALSE,M418=FALSE),",","")&amp;IF(M418=FALSE,"「残業時間」","")&amp;IF(OR(J418=FALSE,K418=FALSE,L418=FALSE,M418=FALSE),入力リスト!$K$36,"")&amp;IF(N418,"",入力リスト!$K$37)))</f>
        <v/>
      </c>
      <c r="H418" s="215"/>
      <c r="I418" s="1" t="b">
        <f>IF(B418="",FALSE,COUNTIF('従業員情報(給与以外)'!$A$4:$A$1000000,$B418)=0)</f>
        <v>0</v>
      </c>
      <c r="J418" s="8" t="b">
        <f t="shared" si="30"/>
        <v>1</v>
      </c>
      <c r="K418" s="8" t="b">
        <f t="shared" si="31"/>
        <v>1</v>
      </c>
      <c r="L418" s="8" t="b">
        <f t="shared" si="32"/>
        <v>1</v>
      </c>
      <c r="M418" s="8" t="b">
        <f t="shared" si="33"/>
        <v>1</v>
      </c>
      <c r="N418" s="1" t="b">
        <f t="shared" si="34"/>
        <v>1</v>
      </c>
      <c r="O418" s="8" t="str">
        <f>IF(F418="","",IF($F$2=入力リスト!$H$25,ROUNDDOWN(INT(F418)+ROUNDDOWN((F418-INT(F418))*100,0)/60,2),F418))</f>
        <v/>
      </c>
      <c r="P418" s="7"/>
      <c r="Q418" s="7"/>
    </row>
    <row r="419" spans="1:17">
      <c r="A419" s="105"/>
      <c r="B419" s="2"/>
      <c r="C419" s="254"/>
      <c r="D419" s="254"/>
      <c r="E419" s="254"/>
      <c r="F419" s="255"/>
      <c r="G419" s="215" t="str">
        <f>IF(AND($B419="",OR(B419&lt;&gt;"",C419&lt;&gt;"",D419&lt;&gt;"",E419&lt;&gt;"",F419&lt;&gt;"")),入力リスト!$K$34,IF($I419=TRUE,入力リスト!$K$35,IF(J419=FALSE,"「毎月の固定給与額」","")&amp;IF(AND(J419=FALSE,OR(K419=FALSE,L419=FALSE,M419=FALSE)),",","")&amp;IF(K419=FALSE,"「賞与額等」","")&amp;IF(AND(K419=FALSE,OR(L419=FALSE,M419=FALSE)),",","")&amp;IF(L419=FALSE,"「残業手当」","")&amp;IF(AND(L419=FALSE,M419=FALSE),",","")&amp;IF(M419=FALSE,"「残業時間」","")&amp;IF(OR(J419=FALSE,K419=FALSE,L419=FALSE,M419=FALSE),入力リスト!$K$36,"")&amp;IF(N419,"",入力リスト!$K$37)))</f>
        <v/>
      </c>
      <c r="H419" s="215"/>
      <c r="I419" s="1" t="b">
        <f>IF(B419="",FALSE,COUNTIF('従業員情報(給与以外)'!$A$4:$A$1000000,$B419)=0)</f>
        <v>0</v>
      </c>
      <c r="J419" s="8" t="b">
        <f t="shared" si="30"/>
        <v>1</v>
      </c>
      <c r="K419" s="8" t="b">
        <f t="shared" si="31"/>
        <v>1</v>
      </c>
      <c r="L419" s="8" t="b">
        <f t="shared" si="32"/>
        <v>1</v>
      </c>
      <c r="M419" s="8" t="b">
        <f t="shared" si="33"/>
        <v>1</v>
      </c>
      <c r="N419" s="1" t="b">
        <f t="shared" si="34"/>
        <v>1</v>
      </c>
      <c r="O419" s="8" t="str">
        <f>IF(F419="","",IF($F$2=入力リスト!$H$25,ROUNDDOWN(INT(F419)+ROUNDDOWN((F419-INT(F419))*100,0)/60,2),F419))</f>
        <v/>
      </c>
      <c r="P419" s="7"/>
      <c r="Q419" s="7"/>
    </row>
    <row r="420" spans="1:17">
      <c r="A420" s="105"/>
      <c r="B420" s="2"/>
      <c r="C420" s="254"/>
      <c r="D420" s="254"/>
      <c r="E420" s="254"/>
      <c r="F420" s="255"/>
      <c r="G420" s="215" t="str">
        <f>IF(AND($B420="",OR(B420&lt;&gt;"",C420&lt;&gt;"",D420&lt;&gt;"",E420&lt;&gt;"",F420&lt;&gt;"")),入力リスト!$K$34,IF($I420=TRUE,入力リスト!$K$35,IF(J420=FALSE,"「毎月の固定給与額」","")&amp;IF(AND(J420=FALSE,OR(K420=FALSE,L420=FALSE,M420=FALSE)),",","")&amp;IF(K420=FALSE,"「賞与額等」","")&amp;IF(AND(K420=FALSE,OR(L420=FALSE,M420=FALSE)),",","")&amp;IF(L420=FALSE,"「残業手当」","")&amp;IF(AND(L420=FALSE,M420=FALSE),",","")&amp;IF(M420=FALSE,"「残業時間」","")&amp;IF(OR(J420=FALSE,K420=FALSE,L420=FALSE,M420=FALSE),入力リスト!$K$36,"")&amp;IF(N420,"",入力リスト!$K$37)))</f>
        <v/>
      </c>
      <c r="H420" s="215"/>
      <c r="I420" s="1" t="b">
        <f>IF(B420="",FALSE,COUNTIF('従業員情報(給与以外)'!$A$4:$A$1000000,$B420)=0)</f>
        <v>0</v>
      </c>
      <c r="J420" s="8" t="b">
        <f t="shared" si="30"/>
        <v>1</v>
      </c>
      <c r="K420" s="8" t="b">
        <f t="shared" si="31"/>
        <v>1</v>
      </c>
      <c r="L420" s="8" t="b">
        <f t="shared" si="32"/>
        <v>1</v>
      </c>
      <c r="M420" s="8" t="b">
        <f t="shared" si="33"/>
        <v>1</v>
      </c>
      <c r="N420" s="1" t="b">
        <f t="shared" si="34"/>
        <v>1</v>
      </c>
      <c r="O420" s="8" t="str">
        <f>IF(F420="","",IF($F$2=入力リスト!$H$25,ROUNDDOWN(INT(F420)+ROUNDDOWN((F420-INT(F420))*100,0)/60,2),F420))</f>
        <v/>
      </c>
      <c r="P420" s="7"/>
      <c r="Q420" s="7"/>
    </row>
    <row r="421" spans="1:17">
      <c r="A421" s="105"/>
      <c r="B421" s="2"/>
      <c r="C421" s="254"/>
      <c r="D421" s="254"/>
      <c r="E421" s="254"/>
      <c r="F421" s="255"/>
      <c r="G421" s="215" t="str">
        <f>IF(AND($B421="",OR(B421&lt;&gt;"",C421&lt;&gt;"",D421&lt;&gt;"",E421&lt;&gt;"",F421&lt;&gt;"")),入力リスト!$K$34,IF($I421=TRUE,入力リスト!$K$35,IF(J421=FALSE,"「毎月の固定給与額」","")&amp;IF(AND(J421=FALSE,OR(K421=FALSE,L421=FALSE,M421=FALSE)),",","")&amp;IF(K421=FALSE,"「賞与額等」","")&amp;IF(AND(K421=FALSE,OR(L421=FALSE,M421=FALSE)),",","")&amp;IF(L421=FALSE,"「残業手当」","")&amp;IF(AND(L421=FALSE,M421=FALSE),",","")&amp;IF(M421=FALSE,"「残業時間」","")&amp;IF(OR(J421=FALSE,K421=FALSE,L421=FALSE,M421=FALSE),入力リスト!$K$36,"")&amp;IF(N421,"",入力リスト!$K$37)))</f>
        <v/>
      </c>
      <c r="H421" s="215"/>
      <c r="I421" s="1" t="b">
        <f>IF(B421="",FALSE,COUNTIF('従業員情報(給与以外)'!$A$4:$A$1000000,$B421)=0)</f>
        <v>0</v>
      </c>
      <c r="J421" s="8" t="b">
        <f t="shared" si="30"/>
        <v>1</v>
      </c>
      <c r="K421" s="8" t="b">
        <f t="shared" si="31"/>
        <v>1</v>
      </c>
      <c r="L421" s="8" t="b">
        <f t="shared" si="32"/>
        <v>1</v>
      </c>
      <c r="M421" s="8" t="b">
        <f t="shared" si="33"/>
        <v>1</v>
      </c>
      <c r="N421" s="1" t="b">
        <f t="shared" si="34"/>
        <v>1</v>
      </c>
      <c r="O421" s="8" t="str">
        <f>IF(F421="","",IF($F$2=入力リスト!$H$25,ROUNDDOWN(INT(F421)+ROUNDDOWN((F421-INT(F421))*100,0)/60,2),F421))</f>
        <v/>
      </c>
      <c r="P421" s="7"/>
      <c r="Q421" s="7"/>
    </row>
    <row r="422" spans="1:17">
      <c r="A422" s="105"/>
      <c r="B422" s="2"/>
      <c r="C422" s="254"/>
      <c r="D422" s="254"/>
      <c r="E422" s="254"/>
      <c r="F422" s="255"/>
      <c r="G422" s="215" t="str">
        <f>IF(AND($B422="",OR(B422&lt;&gt;"",C422&lt;&gt;"",D422&lt;&gt;"",E422&lt;&gt;"",F422&lt;&gt;"")),入力リスト!$K$34,IF($I422=TRUE,入力リスト!$K$35,IF(J422=FALSE,"「毎月の固定給与額」","")&amp;IF(AND(J422=FALSE,OR(K422=FALSE,L422=FALSE,M422=FALSE)),",","")&amp;IF(K422=FALSE,"「賞与額等」","")&amp;IF(AND(K422=FALSE,OR(L422=FALSE,M422=FALSE)),",","")&amp;IF(L422=FALSE,"「残業手当」","")&amp;IF(AND(L422=FALSE,M422=FALSE),",","")&amp;IF(M422=FALSE,"「残業時間」","")&amp;IF(OR(J422=FALSE,K422=FALSE,L422=FALSE,M422=FALSE),入力リスト!$K$36,"")&amp;IF(N422,"",入力リスト!$K$37)))</f>
        <v/>
      </c>
      <c r="H422" s="215"/>
      <c r="I422" s="1" t="b">
        <f>IF(B422="",FALSE,COUNTIF('従業員情報(給与以外)'!$A$4:$A$1000000,$B422)=0)</f>
        <v>0</v>
      </c>
      <c r="J422" s="8" t="b">
        <f t="shared" si="30"/>
        <v>1</v>
      </c>
      <c r="K422" s="8" t="b">
        <f t="shared" si="31"/>
        <v>1</v>
      </c>
      <c r="L422" s="8" t="b">
        <f t="shared" si="32"/>
        <v>1</v>
      </c>
      <c r="M422" s="8" t="b">
        <f t="shared" si="33"/>
        <v>1</v>
      </c>
      <c r="N422" s="1" t="b">
        <f t="shared" si="34"/>
        <v>1</v>
      </c>
      <c r="O422" s="8" t="str">
        <f>IF(F422="","",IF($F$2=入力リスト!$H$25,ROUNDDOWN(INT(F422)+ROUNDDOWN((F422-INT(F422))*100,0)/60,2),F422))</f>
        <v/>
      </c>
      <c r="P422" s="7"/>
      <c r="Q422" s="7"/>
    </row>
    <row r="423" spans="1:17">
      <c r="A423" s="105"/>
      <c r="B423" s="2"/>
      <c r="C423" s="254"/>
      <c r="D423" s="254"/>
      <c r="E423" s="254"/>
      <c r="F423" s="255"/>
      <c r="G423" s="215" t="str">
        <f>IF(AND($B423="",OR(B423&lt;&gt;"",C423&lt;&gt;"",D423&lt;&gt;"",E423&lt;&gt;"",F423&lt;&gt;"")),入力リスト!$K$34,IF($I423=TRUE,入力リスト!$K$35,IF(J423=FALSE,"「毎月の固定給与額」","")&amp;IF(AND(J423=FALSE,OR(K423=FALSE,L423=FALSE,M423=FALSE)),",","")&amp;IF(K423=FALSE,"「賞与額等」","")&amp;IF(AND(K423=FALSE,OR(L423=FALSE,M423=FALSE)),",","")&amp;IF(L423=FALSE,"「残業手当」","")&amp;IF(AND(L423=FALSE,M423=FALSE),",","")&amp;IF(M423=FALSE,"「残業時間」","")&amp;IF(OR(J423=FALSE,K423=FALSE,L423=FALSE,M423=FALSE),入力リスト!$K$36,"")&amp;IF(N423,"",入力リスト!$K$37)))</f>
        <v/>
      </c>
      <c r="H423" s="215"/>
      <c r="I423" s="1" t="b">
        <f>IF(B423="",FALSE,COUNTIF('従業員情報(給与以外)'!$A$4:$A$1000000,$B423)=0)</f>
        <v>0</v>
      </c>
      <c r="J423" s="8" t="b">
        <f t="shared" si="30"/>
        <v>1</v>
      </c>
      <c r="K423" s="8" t="b">
        <f t="shared" si="31"/>
        <v>1</v>
      </c>
      <c r="L423" s="8" t="b">
        <f t="shared" si="32"/>
        <v>1</v>
      </c>
      <c r="M423" s="8" t="b">
        <f t="shared" si="33"/>
        <v>1</v>
      </c>
      <c r="N423" s="1" t="b">
        <f t="shared" si="34"/>
        <v>1</v>
      </c>
      <c r="O423" s="8" t="str">
        <f>IF(F423="","",IF($F$2=入力リスト!$H$25,ROUNDDOWN(INT(F423)+ROUNDDOWN((F423-INT(F423))*100,0)/60,2),F423))</f>
        <v/>
      </c>
      <c r="P423" s="7"/>
      <c r="Q423" s="7"/>
    </row>
    <row r="424" spans="1:17">
      <c r="A424" s="105"/>
      <c r="B424" s="2"/>
      <c r="C424" s="254"/>
      <c r="D424" s="254"/>
      <c r="E424" s="254"/>
      <c r="F424" s="255"/>
      <c r="G424" s="215" t="str">
        <f>IF(AND($B424="",OR(B424&lt;&gt;"",C424&lt;&gt;"",D424&lt;&gt;"",E424&lt;&gt;"",F424&lt;&gt;"")),入力リスト!$K$34,IF($I424=TRUE,入力リスト!$K$35,IF(J424=FALSE,"「毎月の固定給与額」","")&amp;IF(AND(J424=FALSE,OR(K424=FALSE,L424=FALSE,M424=FALSE)),",","")&amp;IF(K424=FALSE,"「賞与額等」","")&amp;IF(AND(K424=FALSE,OR(L424=FALSE,M424=FALSE)),",","")&amp;IF(L424=FALSE,"「残業手当」","")&amp;IF(AND(L424=FALSE,M424=FALSE),",","")&amp;IF(M424=FALSE,"「残業時間」","")&amp;IF(OR(J424=FALSE,K424=FALSE,L424=FALSE,M424=FALSE),入力リスト!$K$36,"")&amp;IF(N424,"",入力リスト!$K$37)))</f>
        <v/>
      </c>
      <c r="H424" s="215"/>
      <c r="I424" s="1" t="b">
        <f>IF(B424="",FALSE,COUNTIF('従業員情報(給与以外)'!$A$4:$A$1000000,$B424)=0)</f>
        <v>0</v>
      </c>
      <c r="J424" s="8" t="b">
        <f t="shared" si="30"/>
        <v>1</v>
      </c>
      <c r="K424" s="8" t="b">
        <f t="shared" si="31"/>
        <v>1</v>
      </c>
      <c r="L424" s="8" t="b">
        <f t="shared" si="32"/>
        <v>1</v>
      </c>
      <c r="M424" s="8" t="b">
        <f t="shared" si="33"/>
        <v>1</v>
      </c>
      <c r="N424" s="1" t="b">
        <f t="shared" si="34"/>
        <v>1</v>
      </c>
      <c r="O424" s="8" t="str">
        <f>IF(F424="","",IF($F$2=入力リスト!$H$25,ROUNDDOWN(INT(F424)+ROUNDDOWN((F424-INT(F424))*100,0)/60,2),F424))</f>
        <v/>
      </c>
      <c r="P424" s="7"/>
      <c r="Q424" s="7"/>
    </row>
    <row r="425" spans="1:17">
      <c r="A425" s="105"/>
      <c r="B425" s="2"/>
      <c r="C425" s="254"/>
      <c r="D425" s="254"/>
      <c r="E425" s="254"/>
      <c r="F425" s="255"/>
      <c r="G425" s="215" t="str">
        <f>IF(AND($B425="",OR(B425&lt;&gt;"",C425&lt;&gt;"",D425&lt;&gt;"",E425&lt;&gt;"",F425&lt;&gt;"")),入力リスト!$K$34,IF($I425=TRUE,入力リスト!$K$35,IF(J425=FALSE,"「毎月の固定給与額」","")&amp;IF(AND(J425=FALSE,OR(K425=FALSE,L425=FALSE,M425=FALSE)),",","")&amp;IF(K425=FALSE,"「賞与額等」","")&amp;IF(AND(K425=FALSE,OR(L425=FALSE,M425=FALSE)),",","")&amp;IF(L425=FALSE,"「残業手当」","")&amp;IF(AND(L425=FALSE,M425=FALSE),",","")&amp;IF(M425=FALSE,"「残業時間」","")&amp;IF(OR(J425=FALSE,K425=FALSE,L425=FALSE,M425=FALSE),入力リスト!$K$36,"")&amp;IF(N425,"",入力リスト!$K$37)))</f>
        <v/>
      </c>
      <c r="H425" s="215"/>
      <c r="I425" s="1" t="b">
        <f>IF(B425="",FALSE,COUNTIF('従業員情報(給与以外)'!$A$4:$A$1000000,$B425)=0)</f>
        <v>0</v>
      </c>
      <c r="J425" s="8" t="b">
        <f t="shared" si="30"/>
        <v>1</v>
      </c>
      <c r="K425" s="8" t="b">
        <f t="shared" si="31"/>
        <v>1</v>
      </c>
      <c r="L425" s="8" t="b">
        <f t="shared" si="32"/>
        <v>1</v>
      </c>
      <c r="M425" s="8" t="b">
        <f t="shared" si="33"/>
        <v>1</v>
      </c>
      <c r="N425" s="1" t="b">
        <f t="shared" si="34"/>
        <v>1</v>
      </c>
      <c r="O425" s="8" t="str">
        <f>IF(F425="","",IF($F$2=入力リスト!$H$25,ROUNDDOWN(INT(F425)+ROUNDDOWN((F425-INT(F425))*100,0)/60,2),F425))</f>
        <v/>
      </c>
      <c r="P425" s="7"/>
      <c r="Q425" s="7"/>
    </row>
    <row r="426" spans="1:17">
      <c r="A426" s="105"/>
      <c r="B426" s="2"/>
      <c r="C426" s="254"/>
      <c r="D426" s="254"/>
      <c r="E426" s="254"/>
      <c r="F426" s="255"/>
      <c r="G426" s="215" t="str">
        <f>IF(AND($B426="",OR(B426&lt;&gt;"",C426&lt;&gt;"",D426&lt;&gt;"",E426&lt;&gt;"",F426&lt;&gt;"")),入力リスト!$K$34,IF($I426=TRUE,入力リスト!$K$35,IF(J426=FALSE,"「毎月の固定給与額」","")&amp;IF(AND(J426=FALSE,OR(K426=FALSE,L426=FALSE,M426=FALSE)),",","")&amp;IF(K426=FALSE,"「賞与額等」","")&amp;IF(AND(K426=FALSE,OR(L426=FALSE,M426=FALSE)),",","")&amp;IF(L426=FALSE,"「残業手当」","")&amp;IF(AND(L426=FALSE,M426=FALSE),",","")&amp;IF(M426=FALSE,"「残業時間」","")&amp;IF(OR(J426=FALSE,K426=FALSE,L426=FALSE,M426=FALSE),入力リスト!$K$36,"")&amp;IF(N426,"",入力リスト!$K$37)))</f>
        <v/>
      </c>
      <c r="H426" s="215"/>
      <c r="I426" s="1" t="b">
        <f>IF(B426="",FALSE,COUNTIF('従業員情報(給与以外)'!$A$4:$A$1000000,$B426)=0)</f>
        <v>0</v>
      </c>
      <c r="J426" s="8" t="b">
        <f t="shared" si="30"/>
        <v>1</v>
      </c>
      <c r="K426" s="8" t="b">
        <f t="shared" si="31"/>
        <v>1</v>
      </c>
      <c r="L426" s="8" t="b">
        <f t="shared" si="32"/>
        <v>1</v>
      </c>
      <c r="M426" s="8" t="b">
        <f t="shared" si="33"/>
        <v>1</v>
      </c>
      <c r="N426" s="1" t="b">
        <f t="shared" si="34"/>
        <v>1</v>
      </c>
      <c r="O426" s="8" t="str">
        <f>IF(F426="","",IF($F$2=入力リスト!$H$25,ROUNDDOWN(INT(F426)+ROUNDDOWN((F426-INT(F426))*100,0)/60,2),F426))</f>
        <v/>
      </c>
      <c r="P426" s="7"/>
      <c r="Q426" s="7"/>
    </row>
    <row r="427" spans="1:17">
      <c r="A427" s="105"/>
      <c r="B427" s="2"/>
      <c r="C427" s="254"/>
      <c r="D427" s="254"/>
      <c r="E427" s="254"/>
      <c r="F427" s="255"/>
      <c r="G427" s="215" t="str">
        <f>IF(AND($B427="",OR(B427&lt;&gt;"",C427&lt;&gt;"",D427&lt;&gt;"",E427&lt;&gt;"",F427&lt;&gt;"")),入力リスト!$K$34,IF($I427=TRUE,入力リスト!$K$35,IF(J427=FALSE,"「毎月の固定給与額」","")&amp;IF(AND(J427=FALSE,OR(K427=FALSE,L427=FALSE,M427=FALSE)),",","")&amp;IF(K427=FALSE,"「賞与額等」","")&amp;IF(AND(K427=FALSE,OR(L427=FALSE,M427=FALSE)),",","")&amp;IF(L427=FALSE,"「残業手当」","")&amp;IF(AND(L427=FALSE,M427=FALSE),",","")&amp;IF(M427=FALSE,"「残業時間」","")&amp;IF(OR(J427=FALSE,K427=FALSE,L427=FALSE,M427=FALSE),入力リスト!$K$36,"")&amp;IF(N427,"",入力リスト!$K$37)))</f>
        <v/>
      </c>
      <c r="H427" s="215"/>
      <c r="I427" s="1" t="b">
        <f>IF(B427="",FALSE,COUNTIF('従業員情報(給与以外)'!$A$4:$A$1000000,$B427)=0)</f>
        <v>0</v>
      </c>
      <c r="J427" s="8" t="b">
        <f t="shared" si="30"/>
        <v>1</v>
      </c>
      <c r="K427" s="8" t="b">
        <f t="shared" si="31"/>
        <v>1</v>
      </c>
      <c r="L427" s="8" t="b">
        <f t="shared" si="32"/>
        <v>1</v>
      </c>
      <c r="M427" s="8" t="b">
        <f t="shared" si="33"/>
        <v>1</v>
      </c>
      <c r="N427" s="1" t="b">
        <f t="shared" si="34"/>
        <v>1</v>
      </c>
      <c r="O427" s="8" t="str">
        <f>IF(F427="","",IF($F$2=入力リスト!$H$25,ROUNDDOWN(INT(F427)+ROUNDDOWN((F427-INT(F427))*100,0)/60,2),F427))</f>
        <v/>
      </c>
      <c r="P427" s="7"/>
      <c r="Q427" s="7"/>
    </row>
    <row r="428" spans="1:17">
      <c r="A428" s="105"/>
      <c r="B428" s="2"/>
      <c r="C428" s="254"/>
      <c r="D428" s="254"/>
      <c r="E428" s="254"/>
      <c r="F428" s="255"/>
      <c r="G428" s="215" t="str">
        <f>IF(AND($B428="",OR(B428&lt;&gt;"",C428&lt;&gt;"",D428&lt;&gt;"",E428&lt;&gt;"",F428&lt;&gt;"")),入力リスト!$K$34,IF($I428=TRUE,入力リスト!$K$35,IF(J428=FALSE,"「毎月の固定給与額」","")&amp;IF(AND(J428=FALSE,OR(K428=FALSE,L428=FALSE,M428=FALSE)),",","")&amp;IF(K428=FALSE,"「賞与額等」","")&amp;IF(AND(K428=FALSE,OR(L428=FALSE,M428=FALSE)),",","")&amp;IF(L428=FALSE,"「残業手当」","")&amp;IF(AND(L428=FALSE,M428=FALSE),",","")&amp;IF(M428=FALSE,"「残業時間」","")&amp;IF(OR(J428=FALSE,K428=FALSE,L428=FALSE,M428=FALSE),入力リスト!$K$36,"")&amp;IF(N428,"",入力リスト!$K$37)))</f>
        <v/>
      </c>
      <c r="H428" s="215"/>
      <c r="I428" s="1" t="b">
        <f>IF(B428="",FALSE,COUNTIF('従業員情報(給与以外)'!$A$4:$A$1000000,$B428)=0)</f>
        <v>0</v>
      </c>
      <c r="J428" s="8" t="b">
        <f t="shared" si="30"/>
        <v>1</v>
      </c>
      <c r="K428" s="8" t="b">
        <f t="shared" si="31"/>
        <v>1</v>
      </c>
      <c r="L428" s="8" t="b">
        <f t="shared" si="32"/>
        <v>1</v>
      </c>
      <c r="M428" s="8" t="b">
        <f t="shared" si="33"/>
        <v>1</v>
      </c>
      <c r="N428" s="1" t="b">
        <f t="shared" si="34"/>
        <v>1</v>
      </c>
      <c r="O428" s="8" t="str">
        <f>IF(F428="","",IF($F$2=入力リスト!$H$25,ROUNDDOWN(INT(F428)+ROUNDDOWN((F428-INT(F428))*100,0)/60,2),F428))</f>
        <v/>
      </c>
      <c r="P428" s="7"/>
      <c r="Q428" s="7"/>
    </row>
    <row r="429" spans="1:17">
      <c r="A429" s="105"/>
      <c r="B429" s="2"/>
      <c r="C429" s="254"/>
      <c r="D429" s="254"/>
      <c r="E429" s="254"/>
      <c r="F429" s="255"/>
      <c r="G429" s="215" t="str">
        <f>IF(AND($B429="",OR(B429&lt;&gt;"",C429&lt;&gt;"",D429&lt;&gt;"",E429&lt;&gt;"",F429&lt;&gt;"")),入力リスト!$K$34,IF($I429=TRUE,入力リスト!$K$35,IF(J429=FALSE,"「毎月の固定給与額」","")&amp;IF(AND(J429=FALSE,OR(K429=FALSE,L429=FALSE,M429=FALSE)),",","")&amp;IF(K429=FALSE,"「賞与額等」","")&amp;IF(AND(K429=FALSE,OR(L429=FALSE,M429=FALSE)),",","")&amp;IF(L429=FALSE,"「残業手当」","")&amp;IF(AND(L429=FALSE,M429=FALSE),",","")&amp;IF(M429=FALSE,"「残業時間」","")&amp;IF(OR(J429=FALSE,K429=FALSE,L429=FALSE,M429=FALSE),入力リスト!$K$36,"")&amp;IF(N429,"",入力リスト!$K$37)))</f>
        <v/>
      </c>
      <c r="H429" s="215"/>
      <c r="I429" s="1" t="b">
        <f>IF(B429="",FALSE,COUNTIF('従業員情報(給与以外)'!$A$4:$A$1000000,$B429)=0)</f>
        <v>0</v>
      </c>
      <c r="J429" s="8" t="b">
        <f t="shared" si="30"/>
        <v>1</v>
      </c>
      <c r="K429" s="8" t="b">
        <f t="shared" si="31"/>
        <v>1</v>
      </c>
      <c r="L429" s="8" t="b">
        <f t="shared" si="32"/>
        <v>1</v>
      </c>
      <c r="M429" s="8" t="b">
        <f t="shared" si="33"/>
        <v>1</v>
      </c>
      <c r="N429" s="1" t="b">
        <f t="shared" si="34"/>
        <v>1</v>
      </c>
      <c r="O429" s="8" t="str">
        <f>IF(F429="","",IF($F$2=入力リスト!$H$25,ROUNDDOWN(INT(F429)+ROUNDDOWN((F429-INT(F429))*100,0)/60,2),F429))</f>
        <v/>
      </c>
      <c r="P429" s="7"/>
      <c r="Q429" s="7"/>
    </row>
    <row r="430" spans="1:17">
      <c r="A430" s="105"/>
      <c r="B430" s="2"/>
      <c r="C430" s="254"/>
      <c r="D430" s="254"/>
      <c r="E430" s="254"/>
      <c r="F430" s="255"/>
      <c r="G430" s="215" t="str">
        <f>IF(AND($B430="",OR(B430&lt;&gt;"",C430&lt;&gt;"",D430&lt;&gt;"",E430&lt;&gt;"",F430&lt;&gt;"")),入力リスト!$K$34,IF($I430=TRUE,入力リスト!$K$35,IF(J430=FALSE,"「毎月の固定給与額」","")&amp;IF(AND(J430=FALSE,OR(K430=FALSE,L430=FALSE,M430=FALSE)),",","")&amp;IF(K430=FALSE,"「賞与額等」","")&amp;IF(AND(K430=FALSE,OR(L430=FALSE,M430=FALSE)),",","")&amp;IF(L430=FALSE,"「残業手当」","")&amp;IF(AND(L430=FALSE,M430=FALSE),",","")&amp;IF(M430=FALSE,"「残業時間」","")&amp;IF(OR(J430=FALSE,K430=FALSE,L430=FALSE,M430=FALSE),入力リスト!$K$36,"")&amp;IF(N430,"",入力リスト!$K$37)))</f>
        <v/>
      </c>
      <c r="H430" s="215"/>
      <c r="I430" s="1" t="b">
        <f>IF(B430="",FALSE,COUNTIF('従業員情報(給与以外)'!$A$4:$A$1000000,$B430)=0)</f>
        <v>0</v>
      </c>
      <c r="J430" s="8" t="b">
        <f t="shared" si="30"/>
        <v>1</v>
      </c>
      <c r="K430" s="8" t="b">
        <f t="shared" si="31"/>
        <v>1</v>
      </c>
      <c r="L430" s="8" t="b">
        <f t="shared" si="32"/>
        <v>1</v>
      </c>
      <c r="M430" s="8" t="b">
        <f t="shared" si="33"/>
        <v>1</v>
      </c>
      <c r="N430" s="1" t="b">
        <f t="shared" si="34"/>
        <v>1</v>
      </c>
      <c r="O430" s="8" t="str">
        <f>IF(F430="","",IF($F$2=入力リスト!$H$25,ROUNDDOWN(INT(F430)+ROUNDDOWN((F430-INT(F430))*100,0)/60,2),F430))</f>
        <v/>
      </c>
      <c r="P430" s="7"/>
      <c r="Q430" s="7"/>
    </row>
    <row r="431" spans="1:17">
      <c r="A431" s="105"/>
      <c r="B431" s="2"/>
      <c r="C431" s="254"/>
      <c r="D431" s="254"/>
      <c r="E431" s="254"/>
      <c r="F431" s="255"/>
      <c r="G431" s="215" t="str">
        <f>IF(AND($B431="",OR(B431&lt;&gt;"",C431&lt;&gt;"",D431&lt;&gt;"",E431&lt;&gt;"",F431&lt;&gt;"")),入力リスト!$K$34,IF($I431=TRUE,入力リスト!$K$35,IF(J431=FALSE,"「毎月の固定給与額」","")&amp;IF(AND(J431=FALSE,OR(K431=FALSE,L431=FALSE,M431=FALSE)),",","")&amp;IF(K431=FALSE,"「賞与額等」","")&amp;IF(AND(K431=FALSE,OR(L431=FALSE,M431=FALSE)),",","")&amp;IF(L431=FALSE,"「残業手当」","")&amp;IF(AND(L431=FALSE,M431=FALSE),",","")&amp;IF(M431=FALSE,"「残業時間」","")&amp;IF(OR(J431=FALSE,K431=FALSE,L431=FALSE,M431=FALSE),入力リスト!$K$36,"")&amp;IF(N431,"",入力リスト!$K$37)))</f>
        <v/>
      </c>
      <c r="H431" s="215"/>
      <c r="I431" s="1" t="b">
        <f>IF(B431="",FALSE,COUNTIF('従業員情報(給与以外)'!$A$4:$A$1000000,$B431)=0)</f>
        <v>0</v>
      </c>
      <c r="J431" s="8" t="b">
        <f t="shared" si="30"/>
        <v>1</v>
      </c>
      <c r="K431" s="8" t="b">
        <f t="shared" si="31"/>
        <v>1</v>
      </c>
      <c r="L431" s="8" t="b">
        <f t="shared" si="32"/>
        <v>1</v>
      </c>
      <c r="M431" s="8" t="b">
        <f t="shared" si="33"/>
        <v>1</v>
      </c>
      <c r="N431" s="1" t="b">
        <f t="shared" si="34"/>
        <v>1</v>
      </c>
      <c r="O431" s="8" t="str">
        <f>IF(F431="","",IF($F$2=入力リスト!$H$25,ROUNDDOWN(INT(F431)+ROUNDDOWN((F431-INT(F431))*100,0)/60,2),F431))</f>
        <v/>
      </c>
      <c r="P431" s="7"/>
      <c r="Q431" s="7"/>
    </row>
    <row r="432" spans="1:17">
      <c r="A432" s="105"/>
      <c r="B432" s="2"/>
      <c r="C432" s="254"/>
      <c r="D432" s="254"/>
      <c r="E432" s="254"/>
      <c r="F432" s="255"/>
      <c r="G432" s="215" t="str">
        <f>IF(AND($B432="",OR(B432&lt;&gt;"",C432&lt;&gt;"",D432&lt;&gt;"",E432&lt;&gt;"",F432&lt;&gt;"")),入力リスト!$K$34,IF($I432=TRUE,入力リスト!$K$35,IF(J432=FALSE,"「毎月の固定給与額」","")&amp;IF(AND(J432=FALSE,OR(K432=FALSE,L432=FALSE,M432=FALSE)),",","")&amp;IF(K432=FALSE,"「賞与額等」","")&amp;IF(AND(K432=FALSE,OR(L432=FALSE,M432=FALSE)),",","")&amp;IF(L432=FALSE,"「残業手当」","")&amp;IF(AND(L432=FALSE,M432=FALSE),",","")&amp;IF(M432=FALSE,"「残業時間」","")&amp;IF(OR(J432=FALSE,K432=FALSE,L432=FALSE,M432=FALSE),入力リスト!$K$36,"")&amp;IF(N432,"",入力リスト!$K$37)))</f>
        <v/>
      </c>
      <c r="H432" s="215"/>
      <c r="I432" s="1" t="b">
        <f>IF(B432="",FALSE,COUNTIF('従業員情報(給与以外)'!$A$4:$A$1000000,$B432)=0)</f>
        <v>0</v>
      </c>
      <c r="J432" s="8" t="b">
        <f t="shared" si="30"/>
        <v>1</v>
      </c>
      <c r="K432" s="8" t="b">
        <f t="shared" si="31"/>
        <v>1</v>
      </c>
      <c r="L432" s="8" t="b">
        <f t="shared" si="32"/>
        <v>1</v>
      </c>
      <c r="M432" s="8" t="b">
        <f t="shared" si="33"/>
        <v>1</v>
      </c>
      <c r="N432" s="1" t="b">
        <f t="shared" si="34"/>
        <v>1</v>
      </c>
      <c r="O432" s="8" t="str">
        <f>IF(F432="","",IF($F$2=入力リスト!$H$25,ROUNDDOWN(INT(F432)+ROUNDDOWN((F432-INT(F432))*100,0)/60,2),F432))</f>
        <v/>
      </c>
      <c r="P432" s="7"/>
      <c r="Q432" s="7"/>
    </row>
    <row r="433" spans="1:17">
      <c r="A433" s="105"/>
      <c r="B433" s="2"/>
      <c r="C433" s="254"/>
      <c r="D433" s="254"/>
      <c r="E433" s="254"/>
      <c r="F433" s="255"/>
      <c r="G433" s="215" t="str">
        <f>IF(AND($B433="",OR(B433&lt;&gt;"",C433&lt;&gt;"",D433&lt;&gt;"",E433&lt;&gt;"",F433&lt;&gt;"")),入力リスト!$K$34,IF($I433=TRUE,入力リスト!$K$35,IF(J433=FALSE,"「毎月の固定給与額」","")&amp;IF(AND(J433=FALSE,OR(K433=FALSE,L433=FALSE,M433=FALSE)),",","")&amp;IF(K433=FALSE,"「賞与額等」","")&amp;IF(AND(K433=FALSE,OR(L433=FALSE,M433=FALSE)),",","")&amp;IF(L433=FALSE,"「残業手当」","")&amp;IF(AND(L433=FALSE,M433=FALSE),",","")&amp;IF(M433=FALSE,"「残業時間」","")&amp;IF(OR(J433=FALSE,K433=FALSE,L433=FALSE,M433=FALSE),入力リスト!$K$36,"")&amp;IF(N433,"",入力リスト!$K$37)))</f>
        <v/>
      </c>
      <c r="H433" s="215"/>
      <c r="I433" s="1" t="b">
        <f>IF(B433="",FALSE,COUNTIF('従業員情報(給与以外)'!$A$4:$A$1000000,$B433)=0)</f>
        <v>0</v>
      </c>
      <c r="J433" s="8" t="b">
        <f t="shared" si="30"/>
        <v>1</v>
      </c>
      <c r="K433" s="8" t="b">
        <f t="shared" si="31"/>
        <v>1</v>
      </c>
      <c r="L433" s="8" t="b">
        <f t="shared" si="32"/>
        <v>1</v>
      </c>
      <c r="M433" s="8" t="b">
        <f t="shared" si="33"/>
        <v>1</v>
      </c>
      <c r="N433" s="1" t="b">
        <f t="shared" si="34"/>
        <v>1</v>
      </c>
      <c r="O433" s="8" t="str">
        <f>IF(F433="","",IF($F$2=入力リスト!$H$25,ROUNDDOWN(INT(F433)+ROUNDDOWN((F433-INT(F433))*100,0)/60,2),F433))</f>
        <v/>
      </c>
      <c r="P433" s="7"/>
      <c r="Q433" s="7"/>
    </row>
    <row r="434" spans="1:17">
      <c r="A434" s="105"/>
      <c r="B434" s="2"/>
      <c r="C434" s="254"/>
      <c r="D434" s="254"/>
      <c r="E434" s="254"/>
      <c r="F434" s="255"/>
      <c r="G434" s="215" t="str">
        <f>IF(AND($B434="",OR(B434&lt;&gt;"",C434&lt;&gt;"",D434&lt;&gt;"",E434&lt;&gt;"",F434&lt;&gt;"")),入力リスト!$K$34,IF($I434=TRUE,入力リスト!$K$35,IF(J434=FALSE,"「毎月の固定給与額」","")&amp;IF(AND(J434=FALSE,OR(K434=FALSE,L434=FALSE,M434=FALSE)),",","")&amp;IF(K434=FALSE,"「賞与額等」","")&amp;IF(AND(K434=FALSE,OR(L434=FALSE,M434=FALSE)),",","")&amp;IF(L434=FALSE,"「残業手当」","")&amp;IF(AND(L434=FALSE,M434=FALSE),",","")&amp;IF(M434=FALSE,"「残業時間」","")&amp;IF(OR(J434=FALSE,K434=FALSE,L434=FALSE,M434=FALSE),入力リスト!$K$36,"")&amp;IF(N434,"",入力リスト!$K$37)))</f>
        <v/>
      </c>
      <c r="H434" s="215"/>
      <c r="I434" s="1" t="b">
        <f>IF(B434="",FALSE,COUNTIF('従業員情報(給与以外)'!$A$4:$A$1000000,$B434)=0)</f>
        <v>0</v>
      </c>
      <c r="J434" s="8" t="b">
        <f t="shared" si="30"/>
        <v>1</v>
      </c>
      <c r="K434" s="8" t="b">
        <f t="shared" si="31"/>
        <v>1</v>
      </c>
      <c r="L434" s="8" t="b">
        <f t="shared" si="32"/>
        <v>1</v>
      </c>
      <c r="M434" s="8" t="b">
        <f t="shared" si="33"/>
        <v>1</v>
      </c>
      <c r="N434" s="1" t="b">
        <f t="shared" si="34"/>
        <v>1</v>
      </c>
      <c r="O434" s="8" t="str">
        <f>IF(F434="","",IF($F$2=入力リスト!$H$25,ROUNDDOWN(INT(F434)+ROUNDDOWN((F434-INT(F434))*100,0)/60,2),F434))</f>
        <v/>
      </c>
      <c r="P434" s="7"/>
      <c r="Q434" s="7"/>
    </row>
    <row r="435" spans="1:17">
      <c r="A435" s="105"/>
      <c r="B435" s="2"/>
      <c r="C435" s="254"/>
      <c r="D435" s="254"/>
      <c r="E435" s="254"/>
      <c r="F435" s="255"/>
      <c r="G435" s="215" t="str">
        <f>IF(AND($B435="",OR(B435&lt;&gt;"",C435&lt;&gt;"",D435&lt;&gt;"",E435&lt;&gt;"",F435&lt;&gt;"")),入力リスト!$K$34,IF($I435=TRUE,入力リスト!$K$35,IF(J435=FALSE,"「毎月の固定給与額」","")&amp;IF(AND(J435=FALSE,OR(K435=FALSE,L435=FALSE,M435=FALSE)),",","")&amp;IF(K435=FALSE,"「賞与額等」","")&amp;IF(AND(K435=FALSE,OR(L435=FALSE,M435=FALSE)),",","")&amp;IF(L435=FALSE,"「残業手当」","")&amp;IF(AND(L435=FALSE,M435=FALSE),",","")&amp;IF(M435=FALSE,"「残業時間」","")&amp;IF(OR(J435=FALSE,K435=FALSE,L435=FALSE,M435=FALSE),入力リスト!$K$36,"")&amp;IF(N435,"",入力リスト!$K$37)))</f>
        <v/>
      </c>
      <c r="H435" s="215"/>
      <c r="I435" s="1" t="b">
        <f>IF(B435="",FALSE,COUNTIF('従業員情報(給与以外)'!$A$4:$A$1000000,$B435)=0)</f>
        <v>0</v>
      </c>
      <c r="J435" s="8" t="b">
        <f t="shared" si="30"/>
        <v>1</v>
      </c>
      <c r="K435" s="8" t="b">
        <f t="shared" si="31"/>
        <v>1</v>
      </c>
      <c r="L435" s="8" t="b">
        <f t="shared" si="32"/>
        <v>1</v>
      </c>
      <c r="M435" s="8" t="b">
        <f t="shared" si="33"/>
        <v>1</v>
      </c>
      <c r="N435" s="1" t="b">
        <f t="shared" si="34"/>
        <v>1</v>
      </c>
      <c r="O435" s="8" t="str">
        <f>IF(F435="","",IF($F$2=入力リスト!$H$25,ROUNDDOWN(INT(F435)+ROUNDDOWN((F435-INT(F435))*100,0)/60,2),F435))</f>
        <v/>
      </c>
      <c r="P435" s="7"/>
      <c r="Q435" s="7"/>
    </row>
    <row r="436" spans="1:17">
      <c r="A436" s="105"/>
      <c r="B436" s="2"/>
      <c r="C436" s="254"/>
      <c r="D436" s="254"/>
      <c r="E436" s="254"/>
      <c r="F436" s="255"/>
      <c r="G436" s="215" t="str">
        <f>IF(AND($B436="",OR(B436&lt;&gt;"",C436&lt;&gt;"",D436&lt;&gt;"",E436&lt;&gt;"",F436&lt;&gt;"")),入力リスト!$K$34,IF($I436=TRUE,入力リスト!$K$35,IF(J436=FALSE,"「毎月の固定給与額」","")&amp;IF(AND(J436=FALSE,OR(K436=FALSE,L436=FALSE,M436=FALSE)),",","")&amp;IF(K436=FALSE,"「賞与額等」","")&amp;IF(AND(K436=FALSE,OR(L436=FALSE,M436=FALSE)),",","")&amp;IF(L436=FALSE,"「残業手当」","")&amp;IF(AND(L436=FALSE,M436=FALSE),",","")&amp;IF(M436=FALSE,"「残業時間」","")&amp;IF(OR(J436=FALSE,K436=FALSE,L436=FALSE,M436=FALSE),入力リスト!$K$36,"")&amp;IF(N436,"",入力リスト!$K$37)))</f>
        <v/>
      </c>
      <c r="H436" s="215"/>
      <c r="I436" s="1" t="b">
        <f>IF(B436="",FALSE,COUNTIF('従業員情報(給与以外)'!$A$4:$A$1000000,$B436)=0)</f>
        <v>0</v>
      </c>
      <c r="J436" s="8" t="b">
        <f t="shared" si="30"/>
        <v>1</v>
      </c>
      <c r="K436" s="8" t="b">
        <f t="shared" si="31"/>
        <v>1</v>
      </c>
      <c r="L436" s="8" t="b">
        <f t="shared" si="32"/>
        <v>1</v>
      </c>
      <c r="M436" s="8" t="b">
        <f t="shared" si="33"/>
        <v>1</v>
      </c>
      <c r="N436" s="1" t="b">
        <f t="shared" si="34"/>
        <v>1</v>
      </c>
      <c r="O436" s="8" t="str">
        <f>IF(F436="","",IF($F$2=入力リスト!$H$25,ROUNDDOWN(INT(F436)+ROUNDDOWN((F436-INT(F436))*100,0)/60,2),F436))</f>
        <v/>
      </c>
      <c r="P436" s="7"/>
      <c r="Q436" s="7"/>
    </row>
    <row r="437" spans="1:17">
      <c r="A437" s="105"/>
      <c r="B437" s="2"/>
      <c r="C437" s="254"/>
      <c r="D437" s="254"/>
      <c r="E437" s="254"/>
      <c r="F437" s="255"/>
      <c r="G437" s="215" t="str">
        <f>IF(AND($B437="",OR(B437&lt;&gt;"",C437&lt;&gt;"",D437&lt;&gt;"",E437&lt;&gt;"",F437&lt;&gt;"")),入力リスト!$K$34,IF($I437=TRUE,入力リスト!$K$35,IF(J437=FALSE,"「毎月の固定給与額」","")&amp;IF(AND(J437=FALSE,OR(K437=FALSE,L437=FALSE,M437=FALSE)),",","")&amp;IF(K437=FALSE,"「賞与額等」","")&amp;IF(AND(K437=FALSE,OR(L437=FALSE,M437=FALSE)),",","")&amp;IF(L437=FALSE,"「残業手当」","")&amp;IF(AND(L437=FALSE,M437=FALSE),",","")&amp;IF(M437=FALSE,"「残業時間」","")&amp;IF(OR(J437=FALSE,K437=FALSE,L437=FALSE,M437=FALSE),入力リスト!$K$36,"")&amp;IF(N437,"",入力リスト!$K$37)))</f>
        <v/>
      </c>
      <c r="H437" s="215"/>
      <c r="I437" s="1" t="b">
        <f>IF(B437="",FALSE,COUNTIF('従業員情報(給与以外)'!$A$4:$A$1000000,$B437)=0)</f>
        <v>0</v>
      </c>
      <c r="J437" s="8" t="b">
        <f t="shared" si="30"/>
        <v>1</v>
      </c>
      <c r="K437" s="8" t="b">
        <f t="shared" si="31"/>
        <v>1</v>
      </c>
      <c r="L437" s="8" t="b">
        <f t="shared" si="32"/>
        <v>1</v>
      </c>
      <c r="M437" s="8" t="b">
        <f t="shared" si="33"/>
        <v>1</v>
      </c>
      <c r="N437" s="1" t="b">
        <f t="shared" si="34"/>
        <v>1</v>
      </c>
      <c r="O437" s="8" t="str">
        <f>IF(F437="","",IF($F$2=入力リスト!$H$25,ROUNDDOWN(INT(F437)+ROUNDDOWN((F437-INT(F437))*100,0)/60,2),F437))</f>
        <v/>
      </c>
      <c r="P437" s="7"/>
      <c r="Q437" s="7"/>
    </row>
    <row r="438" spans="1:17">
      <c r="A438" s="105"/>
      <c r="B438" s="2"/>
      <c r="C438" s="254"/>
      <c r="D438" s="254"/>
      <c r="E438" s="254"/>
      <c r="F438" s="255"/>
      <c r="G438" s="215" t="str">
        <f>IF(AND($B438="",OR(B438&lt;&gt;"",C438&lt;&gt;"",D438&lt;&gt;"",E438&lt;&gt;"",F438&lt;&gt;"")),入力リスト!$K$34,IF($I438=TRUE,入力リスト!$K$35,IF(J438=FALSE,"「毎月の固定給与額」","")&amp;IF(AND(J438=FALSE,OR(K438=FALSE,L438=FALSE,M438=FALSE)),",","")&amp;IF(K438=FALSE,"「賞与額等」","")&amp;IF(AND(K438=FALSE,OR(L438=FALSE,M438=FALSE)),",","")&amp;IF(L438=FALSE,"「残業手当」","")&amp;IF(AND(L438=FALSE,M438=FALSE),",","")&amp;IF(M438=FALSE,"「残業時間」","")&amp;IF(OR(J438=FALSE,K438=FALSE,L438=FALSE,M438=FALSE),入力リスト!$K$36,"")&amp;IF(N438,"",入力リスト!$K$37)))</f>
        <v/>
      </c>
      <c r="H438" s="215"/>
      <c r="I438" s="1" t="b">
        <f>IF(B438="",FALSE,COUNTIF('従業員情報(給与以外)'!$A$4:$A$1000000,$B438)=0)</f>
        <v>0</v>
      </c>
      <c r="J438" s="8" t="b">
        <f t="shared" si="30"/>
        <v>1</v>
      </c>
      <c r="K438" s="8" t="b">
        <f t="shared" si="31"/>
        <v>1</v>
      </c>
      <c r="L438" s="8" t="b">
        <f t="shared" si="32"/>
        <v>1</v>
      </c>
      <c r="M438" s="8" t="b">
        <f t="shared" si="33"/>
        <v>1</v>
      </c>
      <c r="N438" s="1" t="b">
        <f t="shared" si="34"/>
        <v>1</v>
      </c>
      <c r="O438" s="8" t="str">
        <f>IF(F438="","",IF($F$2=入力リスト!$H$25,ROUNDDOWN(INT(F438)+ROUNDDOWN((F438-INT(F438))*100,0)/60,2),F438))</f>
        <v/>
      </c>
      <c r="P438" s="7"/>
      <c r="Q438" s="7"/>
    </row>
    <row r="439" spans="1:17">
      <c r="A439" s="105"/>
      <c r="B439" s="2"/>
      <c r="C439" s="254"/>
      <c r="D439" s="254"/>
      <c r="E439" s="254"/>
      <c r="F439" s="255"/>
      <c r="G439" s="215" t="str">
        <f>IF(AND($B439="",OR(B439&lt;&gt;"",C439&lt;&gt;"",D439&lt;&gt;"",E439&lt;&gt;"",F439&lt;&gt;"")),入力リスト!$K$34,IF($I439=TRUE,入力リスト!$K$35,IF(J439=FALSE,"「毎月の固定給与額」","")&amp;IF(AND(J439=FALSE,OR(K439=FALSE,L439=FALSE,M439=FALSE)),",","")&amp;IF(K439=FALSE,"「賞与額等」","")&amp;IF(AND(K439=FALSE,OR(L439=FALSE,M439=FALSE)),",","")&amp;IF(L439=FALSE,"「残業手当」","")&amp;IF(AND(L439=FALSE,M439=FALSE),",","")&amp;IF(M439=FALSE,"「残業時間」","")&amp;IF(OR(J439=FALSE,K439=FALSE,L439=FALSE,M439=FALSE),入力リスト!$K$36,"")&amp;IF(N439,"",入力リスト!$K$37)))</f>
        <v/>
      </c>
      <c r="H439" s="215"/>
      <c r="I439" s="1" t="b">
        <f>IF(B439="",FALSE,COUNTIF('従業員情報(給与以外)'!$A$4:$A$1000000,$B439)=0)</f>
        <v>0</v>
      </c>
      <c r="J439" s="8" t="b">
        <f t="shared" si="30"/>
        <v>1</v>
      </c>
      <c r="K439" s="8" t="b">
        <f t="shared" si="31"/>
        <v>1</v>
      </c>
      <c r="L439" s="8" t="b">
        <f t="shared" si="32"/>
        <v>1</v>
      </c>
      <c r="M439" s="8" t="b">
        <f t="shared" si="33"/>
        <v>1</v>
      </c>
      <c r="N439" s="1" t="b">
        <f t="shared" si="34"/>
        <v>1</v>
      </c>
      <c r="O439" s="8" t="str">
        <f>IF(F439="","",IF($F$2=入力リスト!$H$25,ROUNDDOWN(INT(F439)+ROUNDDOWN((F439-INT(F439))*100,0)/60,2),F439))</f>
        <v/>
      </c>
      <c r="P439" s="7"/>
      <c r="Q439" s="7"/>
    </row>
    <row r="440" spans="1:17">
      <c r="A440" s="105"/>
      <c r="B440" s="2"/>
      <c r="C440" s="254"/>
      <c r="D440" s="254"/>
      <c r="E440" s="254"/>
      <c r="F440" s="255"/>
      <c r="G440" s="215" t="str">
        <f>IF(AND($B440="",OR(B440&lt;&gt;"",C440&lt;&gt;"",D440&lt;&gt;"",E440&lt;&gt;"",F440&lt;&gt;"")),入力リスト!$K$34,IF($I440=TRUE,入力リスト!$K$35,IF(J440=FALSE,"「毎月の固定給与額」","")&amp;IF(AND(J440=FALSE,OR(K440=FALSE,L440=FALSE,M440=FALSE)),",","")&amp;IF(K440=FALSE,"「賞与額等」","")&amp;IF(AND(K440=FALSE,OR(L440=FALSE,M440=FALSE)),",","")&amp;IF(L440=FALSE,"「残業手当」","")&amp;IF(AND(L440=FALSE,M440=FALSE),",","")&amp;IF(M440=FALSE,"「残業時間」","")&amp;IF(OR(J440=FALSE,K440=FALSE,L440=FALSE,M440=FALSE),入力リスト!$K$36,"")&amp;IF(N440,"",入力リスト!$K$37)))</f>
        <v/>
      </c>
      <c r="H440" s="215"/>
      <c r="I440" s="1" t="b">
        <f>IF(B440="",FALSE,COUNTIF('従業員情報(給与以外)'!$A$4:$A$1000000,$B440)=0)</f>
        <v>0</v>
      </c>
      <c r="J440" s="8" t="b">
        <f t="shared" si="30"/>
        <v>1</v>
      </c>
      <c r="K440" s="8" t="b">
        <f t="shared" si="31"/>
        <v>1</v>
      </c>
      <c r="L440" s="8" t="b">
        <f t="shared" si="32"/>
        <v>1</v>
      </c>
      <c r="M440" s="8" t="b">
        <f t="shared" si="33"/>
        <v>1</v>
      </c>
      <c r="N440" s="1" t="b">
        <f t="shared" si="34"/>
        <v>1</v>
      </c>
      <c r="O440" s="8" t="str">
        <f>IF(F440="","",IF($F$2=入力リスト!$H$25,ROUNDDOWN(INT(F440)+ROUNDDOWN((F440-INT(F440))*100,0)/60,2),F440))</f>
        <v/>
      </c>
      <c r="P440" s="7"/>
      <c r="Q440" s="7"/>
    </row>
    <row r="441" spans="1:17">
      <c r="A441" s="105"/>
      <c r="B441" s="2"/>
      <c r="C441" s="254"/>
      <c r="D441" s="254"/>
      <c r="E441" s="254"/>
      <c r="F441" s="255"/>
      <c r="G441" s="215" t="str">
        <f>IF(AND($B441="",OR(B441&lt;&gt;"",C441&lt;&gt;"",D441&lt;&gt;"",E441&lt;&gt;"",F441&lt;&gt;"")),入力リスト!$K$34,IF($I441=TRUE,入力リスト!$K$35,IF(J441=FALSE,"「毎月の固定給与額」","")&amp;IF(AND(J441=FALSE,OR(K441=FALSE,L441=FALSE,M441=FALSE)),",","")&amp;IF(K441=FALSE,"「賞与額等」","")&amp;IF(AND(K441=FALSE,OR(L441=FALSE,M441=FALSE)),",","")&amp;IF(L441=FALSE,"「残業手当」","")&amp;IF(AND(L441=FALSE,M441=FALSE),",","")&amp;IF(M441=FALSE,"「残業時間」","")&amp;IF(OR(J441=FALSE,K441=FALSE,L441=FALSE,M441=FALSE),入力リスト!$K$36,"")&amp;IF(N441,"",入力リスト!$K$37)))</f>
        <v/>
      </c>
      <c r="H441" s="215"/>
      <c r="I441" s="1" t="b">
        <f>IF(B441="",FALSE,COUNTIF('従業員情報(給与以外)'!$A$4:$A$1000000,$B441)=0)</f>
        <v>0</v>
      </c>
      <c r="J441" s="8" t="b">
        <f t="shared" si="30"/>
        <v>1</v>
      </c>
      <c r="K441" s="8" t="b">
        <f t="shared" si="31"/>
        <v>1</v>
      </c>
      <c r="L441" s="8" t="b">
        <f t="shared" si="32"/>
        <v>1</v>
      </c>
      <c r="M441" s="8" t="b">
        <f t="shared" si="33"/>
        <v>1</v>
      </c>
      <c r="N441" s="1" t="b">
        <f t="shared" si="34"/>
        <v>1</v>
      </c>
      <c r="O441" s="8" t="str">
        <f>IF(F441="","",IF($F$2=入力リスト!$H$25,ROUNDDOWN(INT(F441)+ROUNDDOWN((F441-INT(F441))*100,0)/60,2),F441))</f>
        <v/>
      </c>
      <c r="P441" s="7"/>
      <c r="Q441" s="7"/>
    </row>
    <row r="442" spans="1:17">
      <c r="A442" s="105"/>
      <c r="B442" s="2"/>
      <c r="C442" s="254"/>
      <c r="D442" s="254"/>
      <c r="E442" s="254"/>
      <c r="F442" s="255"/>
      <c r="G442" s="215" t="str">
        <f>IF(AND($B442="",OR(B442&lt;&gt;"",C442&lt;&gt;"",D442&lt;&gt;"",E442&lt;&gt;"",F442&lt;&gt;"")),入力リスト!$K$34,IF($I442=TRUE,入力リスト!$K$35,IF(J442=FALSE,"「毎月の固定給与額」","")&amp;IF(AND(J442=FALSE,OR(K442=FALSE,L442=FALSE,M442=FALSE)),",","")&amp;IF(K442=FALSE,"「賞与額等」","")&amp;IF(AND(K442=FALSE,OR(L442=FALSE,M442=FALSE)),",","")&amp;IF(L442=FALSE,"「残業手当」","")&amp;IF(AND(L442=FALSE,M442=FALSE),",","")&amp;IF(M442=FALSE,"「残業時間」","")&amp;IF(OR(J442=FALSE,K442=FALSE,L442=FALSE,M442=FALSE),入力リスト!$K$36,"")&amp;IF(N442,"",入力リスト!$K$37)))</f>
        <v/>
      </c>
      <c r="H442" s="215"/>
      <c r="I442" s="1" t="b">
        <f>IF(B442="",FALSE,COUNTIF('従業員情報(給与以外)'!$A$4:$A$1000000,$B442)=0)</f>
        <v>0</v>
      </c>
      <c r="J442" s="8" t="b">
        <f t="shared" si="30"/>
        <v>1</v>
      </c>
      <c r="K442" s="8" t="b">
        <f t="shared" si="31"/>
        <v>1</v>
      </c>
      <c r="L442" s="8" t="b">
        <f t="shared" si="32"/>
        <v>1</v>
      </c>
      <c r="M442" s="8" t="b">
        <f t="shared" si="33"/>
        <v>1</v>
      </c>
      <c r="N442" s="1" t="b">
        <f t="shared" si="34"/>
        <v>1</v>
      </c>
      <c r="O442" s="8" t="str">
        <f>IF(F442="","",IF($F$2=入力リスト!$H$25,ROUNDDOWN(INT(F442)+ROUNDDOWN((F442-INT(F442))*100,0)/60,2),F442))</f>
        <v/>
      </c>
      <c r="P442" s="7"/>
      <c r="Q442" s="7"/>
    </row>
    <row r="443" spans="1:17">
      <c r="A443" s="105"/>
      <c r="B443" s="2"/>
      <c r="C443" s="254"/>
      <c r="D443" s="254"/>
      <c r="E443" s="254"/>
      <c r="F443" s="255"/>
      <c r="G443" s="215" t="str">
        <f>IF(AND($B443="",OR(B443&lt;&gt;"",C443&lt;&gt;"",D443&lt;&gt;"",E443&lt;&gt;"",F443&lt;&gt;"")),入力リスト!$K$34,IF($I443=TRUE,入力リスト!$K$35,IF(J443=FALSE,"「毎月の固定給与額」","")&amp;IF(AND(J443=FALSE,OR(K443=FALSE,L443=FALSE,M443=FALSE)),",","")&amp;IF(K443=FALSE,"「賞与額等」","")&amp;IF(AND(K443=FALSE,OR(L443=FALSE,M443=FALSE)),",","")&amp;IF(L443=FALSE,"「残業手当」","")&amp;IF(AND(L443=FALSE,M443=FALSE),",","")&amp;IF(M443=FALSE,"「残業時間」","")&amp;IF(OR(J443=FALSE,K443=FALSE,L443=FALSE,M443=FALSE),入力リスト!$K$36,"")&amp;IF(N443,"",入力リスト!$K$37)))</f>
        <v/>
      </c>
      <c r="H443" s="215"/>
      <c r="I443" s="1" t="b">
        <f>IF(B443="",FALSE,COUNTIF('従業員情報(給与以外)'!$A$4:$A$1000000,$B443)=0)</f>
        <v>0</v>
      </c>
      <c r="J443" s="8" t="b">
        <f t="shared" si="30"/>
        <v>1</v>
      </c>
      <c r="K443" s="8" t="b">
        <f t="shared" si="31"/>
        <v>1</v>
      </c>
      <c r="L443" s="8" t="b">
        <f t="shared" si="32"/>
        <v>1</v>
      </c>
      <c r="M443" s="8" t="b">
        <f t="shared" si="33"/>
        <v>1</v>
      </c>
      <c r="N443" s="1" t="b">
        <f t="shared" si="34"/>
        <v>1</v>
      </c>
      <c r="O443" s="8" t="str">
        <f>IF(F443="","",IF($F$2=入力リスト!$H$25,ROUNDDOWN(INT(F443)+ROUNDDOWN((F443-INT(F443))*100,0)/60,2),F443))</f>
        <v/>
      </c>
      <c r="P443" s="7"/>
      <c r="Q443" s="7"/>
    </row>
    <row r="444" spans="1:17">
      <c r="A444" s="105"/>
      <c r="B444" s="2"/>
      <c r="C444" s="254"/>
      <c r="D444" s="254"/>
      <c r="E444" s="254"/>
      <c r="F444" s="255"/>
      <c r="G444" s="215" t="str">
        <f>IF(AND($B444="",OR(B444&lt;&gt;"",C444&lt;&gt;"",D444&lt;&gt;"",E444&lt;&gt;"",F444&lt;&gt;"")),入力リスト!$K$34,IF($I444=TRUE,入力リスト!$K$35,IF(J444=FALSE,"「毎月の固定給与額」","")&amp;IF(AND(J444=FALSE,OR(K444=FALSE,L444=FALSE,M444=FALSE)),",","")&amp;IF(K444=FALSE,"「賞与額等」","")&amp;IF(AND(K444=FALSE,OR(L444=FALSE,M444=FALSE)),",","")&amp;IF(L444=FALSE,"「残業手当」","")&amp;IF(AND(L444=FALSE,M444=FALSE),",","")&amp;IF(M444=FALSE,"「残業時間」","")&amp;IF(OR(J444=FALSE,K444=FALSE,L444=FALSE,M444=FALSE),入力リスト!$K$36,"")&amp;IF(N444,"",入力リスト!$K$37)))</f>
        <v/>
      </c>
      <c r="H444" s="215"/>
      <c r="I444" s="1" t="b">
        <f>IF(B444="",FALSE,COUNTIF('従業員情報(給与以外)'!$A$4:$A$1000000,$B444)=0)</f>
        <v>0</v>
      </c>
      <c r="J444" s="8" t="b">
        <f t="shared" si="30"/>
        <v>1</v>
      </c>
      <c r="K444" s="8" t="b">
        <f t="shared" si="31"/>
        <v>1</v>
      </c>
      <c r="L444" s="8" t="b">
        <f t="shared" si="32"/>
        <v>1</v>
      </c>
      <c r="M444" s="8" t="b">
        <f t="shared" si="33"/>
        <v>1</v>
      </c>
      <c r="N444" s="1" t="b">
        <f t="shared" si="34"/>
        <v>1</v>
      </c>
      <c r="O444" s="8" t="str">
        <f>IF(F444="","",IF($F$2=入力リスト!$H$25,ROUNDDOWN(INT(F444)+ROUNDDOWN((F444-INT(F444))*100,0)/60,2),F444))</f>
        <v/>
      </c>
      <c r="P444" s="7"/>
      <c r="Q444" s="7"/>
    </row>
    <row r="445" spans="1:17">
      <c r="A445" s="105"/>
      <c r="B445" s="2"/>
      <c r="C445" s="254"/>
      <c r="D445" s="254"/>
      <c r="E445" s="254"/>
      <c r="F445" s="255"/>
      <c r="G445" s="215" t="str">
        <f>IF(AND($B445="",OR(B445&lt;&gt;"",C445&lt;&gt;"",D445&lt;&gt;"",E445&lt;&gt;"",F445&lt;&gt;"")),入力リスト!$K$34,IF($I445=TRUE,入力リスト!$K$35,IF(J445=FALSE,"「毎月の固定給与額」","")&amp;IF(AND(J445=FALSE,OR(K445=FALSE,L445=FALSE,M445=FALSE)),",","")&amp;IF(K445=FALSE,"「賞与額等」","")&amp;IF(AND(K445=FALSE,OR(L445=FALSE,M445=FALSE)),",","")&amp;IF(L445=FALSE,"「残業手当」","")&amp;IF(AND(L445=FALSE,M445=FALSE),",","")&amp;IF(M445=FALSE,"「残業時間」","")&amp;IF(OR(J445=FALSE,K445=FALSE,L445=FALSE,M445=FALSE),入力リスト!$K$36,"")&amp;IF(N445,"",入力リスト!$K$37)))</f>
        <v/>
      </c>
      <c r="H445" s="215"/>
      <c r="I445" s="1" t="b">
        <f>IF(B445="",FALSE,COUNTIF('従業員情報(給与以外)'!$A$4:$A$1000000,$B445)=0)</f>
        <v>0</v>
      </c>
      <c r="J445" s="8" t="b">
        <f t="shared" si="30"/>
        <v>1</v>
      </c>
      <c r="K445" s="8" t="b">
        <f t="shared" si="31"/>
        <v>1</v>
      </c>
      <c r="L445" s="8" t="b">
        <f t="shared" si="32"/>
        <v>1</v>
      </c>
      <c r="M445" s="8" t="b">
        <f t="shared" si="33"/>
        <v>1</v>
      </c>
      <c r="N445" s="1" t="b">
        <f t="shared" si="34"/>
        <v>1</v>
      </c>
      <c r="O445" s="8" t="str">
        <f>IF(F445="","",IF($F$2=入力リスト!$H$25,ROUNDDOWN(INT(F445)+ROUNDDOWN((F445-INT(F445))*100,0)/60,2),F445))</f>
        <v/>
      </c>
      <c r="P445" s="7"/>
      <c r="Q445" s="7"/>
    </row>
    <row r="446" spans="1:17">
      <c r="A446" s="105"/>
      <c r="B446" s="2"/>
      <c r="C446" s="254"/>
      <c r="D446" s="254"/>
      <c r="E446" s="254"/>
      <c r="F446" s="255"/>
      <c r="G446" s="215" t="str">
        <f>IF(AND($B446="",OR(B446&lt;&gt;"",C446&lt;&gt;"",D446&lt;&gt;"",E446&lt;&gt;"",F446&lt;&gt;"")),入力リスト!$K$34,IF($I446=TRUE,入力リスト!$K$35,IF(J446=FALSE,"「毎月の固定給与額」","")&amp;IF(AND(J446=FALSE,OR(K446=FALSE,L446=FALSE,M446=FALSE)),",","")&amp;IF(K446=FALSE,"「賞与額等」","")&amp;IF(AND(K446=FALSE,OR(L446=FALSE,M446=FALSE)),",","")&amp;IF(L446=FALSE,"「残業手当」","")&amp;IF(AND(L446=FALSE,M446=FALSE),",","")&amp;IF(M446=FALSE,"「残業時間」","")&amp;IF(OR(J446=FALSE,K446=FALSE,L446=FALSE,M446=FALSE),入力リスト!$K$36,"")&amp;IF(N446,"",入力リスト!$K$37)))</f>
        <v/>
      </c>
      <c r="H446" s="215"/>
      <c r="I446" s="1" t="b">
        <f>IF(B446="",FALSE,COUNTIF('従業員情報(給与以外)'!$A$4:$A$1000000,$B446)=0)</f>
        <v>0</v>
      </c>
      <c r="J446" s="8" t="b">
        <f t="shared" si="30"/>
        <v>1</v>
      </c>
      <c r="K446" s="8" t="b">
        <f t="shared" si="31"/>
        <v>1</v>
      </c>
      <c r="L446" s="8" t="b">
        <f t="shared" si="32"/>
        <v>1</v>
      </c>
      <c r="M446" s="8" t="b">
        <f t="shared" si="33"/>
        <v>1</v>
      </c>
      <c r="N446" s="1" t="b">
        <f t="shared" si="34"/>
        <v>1</v>
      </c>
      <c r="O446" s="8" t="str">
        <f>IF(F446="","",IF($F$2=入力リスト!$H$25,ROUNDDOWN(INT(F446)+ROUNDDOWN((F446-INT(F446))*100,0)/60,2),F446))</f>
        <v/>
      </c>
      <c r="P446" s="7"/>
      <c r="Q446" s="7"/>
    </row>
    <row r="447" spans="1:17">
      <c r="A447" s="105"/>
      <c r="B447" s="2"/>
      <c r="C447" s="254"/>
      <c r="D447" s="254"/>
      <c r="E447" s="254"/>
      <c r="F447" s="255"/>
      <c r="G447" s="215" t="str">
        <f>IF(AND($B447="",OR(B447&lt;&gt;"",C447&lt;&gt;"",D447&lt;&gt;"",E447&lt;&gt;"",F447&lt;&gt;"")),入力リスト!$K$34,IF($I447=TRUE,入力リスト!$K$35,IF(J447=FALSE,"「毎月の固定給与額」","")&amp;IF(AND(J447=FALSE,OR(K447=FALSE,L447=FALSE,M447=FALSE)),",","")&amp;IF(K447=FALSE,"「賞与額等」","")&amp;IF(AND(K447=FALSE,OR(L447=FALSE,M447=FALSE)),",","")&amp;IF(L447=FALSE,"「残業手当」","")&amp;IF(AND(L447=FALSE,M447=FALSE),",","")&amp;IF(M447=FALSE,"「残業時間」","")&amp;IF(OR(J447=FALSE,K447=FALSE,L447=FALSE,M447=FALSE),入力リスト!$K$36,"")&amp;IF(N447,"",入力リスト!$K$37)))</f>
        <v/>
      </c>
      <c r="H447" s="215"/>
      <c r="I447" s="1" t="b">
        <f>IF(B447="",FALSE,COUNTIF('従業員情報(給与以外)'!$A$4:$A$1000000,$B447)=0)</f>
        <v>0</v>
      </c>
      <c r="J447" s="8" t="b">
        <f t="shared" si="30"/>
        <v>1</v>
      </c>
      <c r="K447" s="8" t="b">
        <f t="shared" si="31"/>
        <v>1</v>
      </c>
      <c r="L447" s="8" t="b">
        <f t="shared" si="32"/>
        <v>1</v>
      </c>
      <c r="M447" s="8" t="b">
        <f t="shared" si="33"/>
        <v>1</v>
      </c>
      <c r="N447" s="1" t="b">
        <f t="shared" si="34"/>
        <v>1</v>
      </c>
      <c r="O447" s="8" t="str">
        <f>IF(F447="","",IF($F$2=入力リスト!$H$25,ROUNDDOWN(INT(F447)+ROUNDDOWN((F447-INT(F447))*100,0)/60,2),F447))</f>
        <v/>
      </c>
      <c r="P447" s="7"/>
      <c r="Q447" s="7"/>
    </row>
    <row r="448" spans="1:17">
      <c r="A448" s="105"/>
      <c r="B448" s="2"/>
      <c r="C448" s="254"/>
      <c r="D448" s="254"/>
      <c r="E448" s="254"/>
      <c r="F448" s="255"/>
      <c r="G448" s="215" t="str">
        <f>IF(AND($B448="",OR(B448&lt;&gt;"",C448&lt;&gt;"",D448&lt;&gt;"",E448&lt;&gt;"",F448&lt;&gt;"")),入力リスト!$K$34,IF($I448=TRUE,入力リスト!$K$35,IF(J448=FALSE,"「毎月の固定給与額」","")&amp;IF(AND(J448=FALSE,OR(K448=FALSE,L448=FALSE,M448=FALSE)),",","")&amp;IF(K448=FALSE,"「賞与額等」","")&amp;IF(AND(K448=FALSE,OR(L448=FALSE,M448=FALSE)),",","")&amp;IF(L448=FALSE,"「残業手当」","")&amp;IF(AND(L448=FALSE,M448=FALSE),",","")&amp;IF(M448=FALSE,"「残業時間」","")&amp;IF(OR(J448=FALSE,K448=FALSE,L448=FALSE,M448=FALSE),入力リスト!$K$36,"")&amp;IF(N448,"",入力リスト!$K$37)))</f>
        <v/>
      </c>
      <c r="H448" s="215"/>
      <c r="I448" s="1" t="b">
        <f>IF(B448="",FALSE,COUNTIF('従業員情報(給与以外)'!$A$4:$A$1000000,$B448)=0)</f>
        <v>0</v>
      </c>
      <c r="J448" s="8" t="b">
        <f t="shared" si="30"/>
        <v>1</v>
      </c>
      <c r="K448" s="8" t="b">
        <f t="shared" si="31"/>
        <v>1</v>
      </c>
      <c r="L448" s="8" t="b">
        <f t="shared" si="32"/>
        <v>1</v>
      </c>
      <c r="M448" s="8" t="b">
        <f t="shared" si="33"/>
        <v>1</v>
      </c>
      <c r="N448" s="1" t="b">
        <f t="shared" si="34"/>
        <v>1</v>
      </c>
      <c r="O448" s="8" t="str">
        <f>IF(F448="","",IF($F$2=入力リスト!$H$25,ROUNDDOWN(INT(F448)+ROUNDDOWN((F448-INT(F448))*100,0)/60,2),F448))</f>
        <v/>
      </c>
      <c r="P448" s="7"/>
      <c r="Q448" s="7"/>
    </row>
    <row r="449" spans="1:17">
      <c r="A449" s="105"/>
      <c r="B449" s="2"/>
      <c r="C449" s="254"/>
      <c r="D449" s="254"/>
      <c r="E449" s="254"/>
      <c r="F449" s="255"/>
      <c r="G449" s="215" t="str">
        <f>IF(AND($B449="",OR(B449&lt;&gt;"",C449&lt;&gt;"",D449&lt;&gt;"",E449&lt;&gt;"",F449&lt;&gt;"")),入力リスト!$K$34,IF($I449=TRUE,入力リスト!$K$35,IF(J449=FALSE,"「毎月の固定給与額」","")&amp;IF(AND(J449=FALSE,OR(K449=FALSE,L449=FALSE,M449=FALSE)),",","")&amp;IF(K449=FALSE,"「賞与額等」","")&amp;IF(AND(K449=FALSE,OR(L449=FALSE,M449=FALSE)),",","")&amp;IF(L449=FALSE,"「残業手当」","")&amp;IF(AND(L449=FALSE,M449=FALSE),",","")&amp;IF(M449=FALSE,"「残業時間」","")&amp;IF(OR(J449=FALSE,K449=FALSE,L449=FALSE,M449=FALSE),入力リスト!$K$36,"")&amp;IF(N449,"",入力リスト!$K$37)))</f>
        <v/>
      </c>
      <c r="H449" s="215"/>
      <c r="I449" s="1" t="b">
        <f>IF(B449="",FALSE,COUNTIF('従業員情報(給与以外)'!$A$4:$A$1000000,$B449)=0)</f>
        <v>0</v>
      </c>
      <c r="J449" s="8" t="b">
        <f t="shared" si="30"/>
        <v>1</v>
      </c>
      <c r="K449" s="8" t="b">
        <f t="shared" si="31"/>
        <v>1</v>
      </c>
      <c r="L449" s="8" t="b">
        <f t="shared" si="32"/>
        <v>1</v>
      </c>
      <c r="M449" s="8" t="b">
        <f t="shared" si="33"/>
        <v>1</v>
      </c>
      <c r="N449" s="1" t="b">
        <f t="shared" si="34"/>
        <v>1</v>
      </c>
      <c r="O449" s="8" t="str">
        <f>IF(F449="","",IF($F$2=入力リスト!$H$25,ROUNDDOWN(INT(F449)+ROUNDDOWN((F449-INT(F449))*100,0)/60,2),F449))</f>
        <v/>
      </c>
      <c r="P449" s="7"/>
      <c r="Q449" s="7"/>
    </row>
    <row r="450" spans="1:17">
      <c r="A450" s="105"/>
      <c r="B450" s="2"/>
      <c r="C450" s="254"/>
      <c r="D450" s="254"/>
      <c r="E450" s="254"/>
      <c r="F450" s="255"/>
      <c r="G450" s="215" t="str">
        <f>IF(AND($B450="",OR(B450&lt;&gt;"",C450&lt;&gt;"",D450&lt;&gt;"",E450&lt;&gt;"",F450&lt;&gt;"")),入力リスト!$K$34,IF($I450=TRUE,入力リスト!$K$35,IF(J450=FALSE,"「毎月の固定給与額」","")&amp;IF(AND(J450=FALSE,OR(K450=FALSE,L450=FALSE,M450=FALSE)),",","")&amp;IF(K450=FALSE,"「賞与額等」","")&amp;IF(AND(K450=FALSE,OR(L450=FALSE,M450=FALSE)),",","")&amp;IF(L450=FALSE,"「残業手当」","")&amp;IF(AND(L450=FALSE,M450=FALSE),",","")&amp;IF(M450=FALSE,"「残業時間」","")&amp;IF(OR(J450=FALSE,K450=FALSE,L450=FALSE,M450=FALSE),入力リスト!$K$36,"")&amp;IF(N450,"",入力リスト!$K$37)))</f>
        <v/>
      </c>
      <c r="H450" s="215"/>
      <c r="I450" s="1" t="b">
        <f>IF(B450="",FALSE,COUNTIF('従業員情報(給与以外)'!$A$4:$A$1000000,$B450)=0)</f>
        <v>0</v>
      </c>
      <c r="J450" s="8" t="b">
        <f t="shared" si="30"/>
        <v>1</v>
      </c>
      <c r="K450" s="8" t="b">
        <f t="shared" si="31"/>
        <v>1</v>
      </c>
      <c r="L450" s="8" t="b">
        <f t="shared" si="32"/>
        <v>1</v>
      </c>
      <c r="M450" s="8" t="b">
        <f t="shared" si="33"/>
        <v>1</v>
      </c>
      <c r="N450" s="1" t="b">
        <f t="shared" si="34"/>
        <v>1</v>
      </c>
      <c r="O450" s="8" t="str">
        <f>IF(F450="","",IF($F$2=入力リスト!$H$25,ROUNDDOWN(INT(F450)+ROUNDDOWN((F450-INT(F450))*100,0)/60,2),F450))</f>
        <v/>
      </c>
      <c r="P450" s="7"/>
      <c r="Q450" s="7"/>
    </row>
    <row r="451" spans="1:17">
      <c r="A451" s="105"/>
      <c r="B451" s="2"/>
      <c r="C451" s="254"/>
      <c r="D451" s="254"/>
      <c r="E451" s="254"/>
      <c r="F451" s="255"/>
      <c r="G451" s="215" t="str">
        <f>IF(AND($B451="",OR(B451&lt;&gt;"",C451&lt;&gt;"",D451&lt;&gt;"",E451&lt;&gt;"",F451&lt;&gt;"")),入力リスト!$K$34,IF($I451=TRUE,入力リスト!$K$35,IF(J451=FALSE,"「毎月の固定給与額」","")&amp;IF(AND(J451=FALSE,OR(K451=FALSE,L451=FALSE,M451=FALSE)),",","")&amp;IF(K451=FALSE,"「賞与額等」","")&amp;IF(AND(K451=FALSE,OR(L451=FALSE,M451=FALSE)),",","")&amp;IF(L451=FALSE,"「残業手当」","")&amp;IF(AND(L451=FALSE,M451=FALSE),",","")&amp;IF(M451=FALSE,"「残業時間」","")&amp;IF(OR(J451=FALSE,K451=FALSE,L451=FALSE,M451=FALSE),入力リスト!$K$36,"")&amp;IF(N451,"",入力リスト!$K$37)))</f>
        <v/>
      </c>
      <c r="H451" s="215"/>
      <c r="I451" s="1" t="b">
        <f>IF(B451="",FALSE,COUNTIF('従業員情報(給与以外)'!$A$4:$A$1000000,$B451)=0)</f>
        <v>0</v>
      </c>
      <c r="J451" s="8" t="b">
        <f t="shared" si="30"/>
        <v>1</v>
      </c>
      <c r="K451" s="8" t="b">
        <f t="shared" si="31"/>
        <v>1</v>
      </c>
      <c r="L451" s="8" t="b">
        <f t="shared" si="32"/>
        <v>1</v>
      </c>
      <c r="M451" s="8" t="b">
        <f t="shared" si="33"/>
        <v>1</v>
      </c>
      <c r="N451" s="1" t="b">
        <f t="shared" si="34"/>
        <v>1</v>
      </c>
      <c r="O451" s="8" t="str">
        <f>IF(F451="","",IF($F$2=入力リスト!$H$25,ROUNDDOWN(INT(F451)+ROUNDDOWN((F451-INT(F451))*100,0)/60,2),F451))</f>
        <v/>
      </c>
      <c r="P451" s="7"/>
      <c r="Q451" s="7"/>
    </row>
    <row r="452" spans="1:17">
      <c r="A452" s="105"/>
      <c r="B452" s="2"/>
      <c r="C452" s="254"/>
      <c r="D452" s="254"/>
      <c r="E452" s="254"/>
      <c r="F452" s="255"/>
      <c r="G452" s="215" t="str">
        <f>IF(AND($B452="",OR(B452&lt;&gt;"",C452&lt;&gt;"",D452&lt;&gt;"",E452&lt;&gt;"",F452&lt;&gt;"")),入力リスト!$K$34,IF($I452=TRUE,入力リスト!$K$35,IF(J452=FALSE,"「毎月の固定給与額」","")&amp;IF(AND(J452=FALSE,OR(K452=FALSE,L452=FALSE,M452=FALSE)),",","")&amp;IF(K452=FALSE,"「賞与額等」","")&amp;IF(AND(K452=FALSE,OR(L452=FALSE,M452=FALSE)),",","")&amp;IF(L452=FALSE,"「残業手当」","")&amp;IF(AND(L452=FALSE,M452=FALSE),",","")&amp;IF(M452=FALSE,"「残業時間」","")&amp;IF(OR(J452=FALSE,K452=FALSE,L452=FALSE,M452=FALSE),入力リスト!$K$36,"")&amp;IF(N452,"",入力リスト!$K$37)))</f>
        <v/>
      </c>
      <c r="H452" s="215"/>
      <c r="I452" s="1" t="b">
        <f>IF(B452="",FALSE,COUNTIF('従業員情報(給与以外)'!$A$4:$A$1000000,$B452)=0)</f>
        <v>0</v>
      </c>
      <c r="J452" s="8" t="b">
        <f t="shared" si="30"/>
        <v>1</v>
      </c>
      <c r="K452" s="8" t="b">
        <f t="shared" si="31"/>
        <v>1</v>
      </c>
      <c r="L452" s="8" t="b">
        <f t="shared" si="32"/>
        <v>1</v>
      </c>
      <c r="M452" s="8" t="b">
        <f t="shared" si="33"/>
        <v>1</v>
      </c>
      <c r="N452" s="1" t="b">
        <f t="shared" si="34"/>
        <v>1</v>
      </c>
      <c r="O452" s="8" t="str">
        <f>IF(F452="","",IF($F$2=入力リスト!$H$25,ROUNDDOWN(INT(F452)+ROUNDDOWN((F452-INT(F452))*100,0)/60,2),F452))</f>
        <v/>
      </c>
      <c r="P452" s="7"/>
      <c r="Q452" s="7"/>
    </row>
    <row r="453" spans="1:17">
      <c r="A453" s="105"/>
      <c r="B453" s="2"/>
      <c r="C453" s="254"/>
      <c r="D453" s="254"/>
      <c r="E453" s="254"/>
      <c r="F453" s="255"/>
      <c r="G453" s="215" t="str">
        <f>IF(AND($B453="",OR(B453&lt;&gt;"",C453&lt;&gt;"",D453&lt;&gt;"",E453&lt;&gt;"",F453&lt;&gt;"")),入力リスト!$K$34,IF($I453=TRUE,入力リスト!$K$35,IF(J453=FALSE,"「毎月の固定給与額」","")&amp;IF(AND(J453=FALSE,OR(K453=FALSE,L453=FALSE,M453=FALSE)),",","")&amp;IF(K453=FALSE,"「賞与額等」","")&amp;IF(AND(K453=FALSE,OR(L453=FALSE,M453=FALSE)),",","")&amp;IF(L453=FALSE,"「残業手当」","")&amp;IF(AND(L453=FALSE,M453=FALSE),",","")&amp;IF(M453=FALSE,"「残業時間」","")&amp;IF(OR(J453=FALSE,K453=FALSE,L453=FALSE,M453=FALSE),入力リスト!$K$36,"")&amp;IF(N453,"",入力リスト!$K$37)))</f>
        <v/>
      </c>
      <c r="H453" s="215"/>
      <c r="I453" s="1" t="b">
        <f>IF(B453="",FALSE,COUNTIF('従業員情報(給与以外)'!$A$4:$A$1000000,$B453)=0)</f>
        <v>0</v>
      </c>
      <c r="J453" s="8" t="b">
        <f t="shared" ref="J453:J516" si="35">OR(C453="",ISNUMBER(C453))</f>
        <v>1</v>
      </c>
      <c r="K453" s="8" t="b">
        <f t="shared" ref="K453:K516" si="36">OR(D453="",ISNUMBER(D453))</f>
        <v>1</v>
      </c>
      <c r="L453" s="8" t="b">
        <f t="shared" ref="L453:L516" si="37">OR(E453="",ISNUMBER(E453))</f>
        <v>1</v>
      </c>
      <c r="M453" s="8" t="b">
        <f t="shared" ref="M453:M516" si="38">OR(F453="",ISNUMBER(F453))</f>
        <v>1</v>
      </c>
      <c r="N453" s="1" t="b">
        <f t="shared" ref="N453:N516" si="39">IF($N$1,TRUE,IF($N$2,IF(F453-INT(F453)&lt;0.6,TRUE,FALSE),TRUE))</f>
        <v>1</v>
      </c>
      <c r="O453" s="8" t="str">
        <f>IF(F453="","",IF($F$2=入力リスト!$H$25,ROUNDDOWN(INT(F453)+ROUNDDOWN((F453-INT(F453))*100,0)/60,2),F453))</f>
        <v/>
      </c>
      <c r="P453" s="7"/>
      <c r="Q453" s="7"/>
    </row>
    <row r="454" spans="1:17">
      <c r="A454" s="105"/>
      <c r="B454" s="2"/>
      <c r="C454" s="254"/>
      <c r="D454" s="254"/>
      <c r="E454" s="254"/>
      <c r="F454" s="255"/>
      <c r="G454" s="215" t="str">
        <f>IF(AND($B454="",OR(B454&lt;&gt;"",C454&lt;&gt;"",D454&lt;&gt;"",E454&lt;&gt;"",F454&lt;&gt;"")),入力リスト!$K$34,IF($I454=TRUE,入力リスト!$K$35,IF(J454=FALSE,"「毎月の固定給与額」","")&amp;IF(AND(J454=FALSE,OR(K454=FALSE,L454=FALSE,M454=FALSE)),",","")&amp;IF(K454=FALSE,"「賞与額等」","")&amp;IF(AND(K454=FALSE,OR(L454=FALSE,M454=FALSE)),",","")&amp;IF(L454=FALSE,"「残業手当」","")&amp;IF(AND(L454=FALSE,M454=FALSE),",","")&amp;IF(M454=FALSE,"「残業時間」","")&amp;IF(OR(J454=FALSE,K454=FALSE,L454=FALSE,M454=FALSE),入力リスト!$K$36,"")&amp;IF(N454,"",入力リスト!$K$37)))</f>
        <v/>
      </c>
      <c r="H454" s="215"/>
      <c r="I454" s="1" t="b">
        <f>IF(B454="",FALSE,COUNTIF('従業員情報(給与以外)'!$A$4:$A$1000000,$B454)=0)</f>
        <v>0</v>
      </c>
      <c r="J454" s="8" t="b">
        <f t="shared" si="35"/>
        <v>1</v>
      </c>
      <c r="K454" s="8" t="b">
        <f t="shared" si="36"/>
        <v>1</v>
      </c>
      <c r="L454" s="8" t="b">
        <f t="shared" si="37"/>
        <v>1</v>
      </c>
      <c r="M454" s="8" t="b">
        <f t="shared" si="38"/>
        <v>1</v>
      </c>
      <c r="N454" s="1" t="b">
        <f t="shared" si="39"/>
        <v>1</v>
      </c>
      <c r="O454" s="8" t="str">
        <f>IF(F454="","",IF($F$2=入力リスト!$H$25,ROUNDDOWN(INT(F454)+ROUNDDOWN((F454-INT(F454))*100,0)/60,2),F454))</f>
        <v/>
      </c>
      <c r="P454" s="7"/>
      <c r="Q454" s="7"/>
    </row>
    <row r="455" spans="1:17">
      <c r="A455" s="105"/>
      <c r="B455" s="2"/>
      <c r="C455" s="254"/>
      <c r="D455" s="254"/>
      <c r="E455" s="254"/>
      <c r="F455" s="255"/>
      <c r="G455" s="215" t="str">
        <f>IF(AND($B455="",OR(B455&lt;&gt;"",C455&lt;&gt;"",D455&lt;&gt;"",E455&lt;&gt;"",F455&lt;&gt;"")),入力リスト!$K$34,IF($I455=TRUE,入力リスト!$K$35,IF(J455=FALSE,"「毎月の固定給与額」","")&amp;IF(AND(J455=FALSE,OR(K455=FALSE,L455=FALSE,M455=FALSE)),",","")&amp;IF(K455=FALSE,"「賞与額等」","")&amp;IF(AND(K455=FALSE,OR(L455=FALSE,M455=FALSE)),",","")&amp;IF(L455=FALSE,"「残業手当」","")&amp;IF(AND(L455=FALSE,M455=FALSE),",","")&amp;IF(M455=FALSE,"「残業時間」","")&amp;IF(OR(J455=FALSE,K455=FALSE,L455=FALSE,M455=FALSE),入力リスト!$K$36,"")&amp;IF(N455,"",入力リスト!$K$37)))</f>
        <v/>
      </c>
      <c r="H455" s="215"/>
      <c r="I455" s="1" t="b">
        <f>IF(B455="",FALSE,COUNTIF('従業員情報(給与以外)'!$A$4:$A$1000000,$B455)=0)</f>
        <v>0</v>
      </c>
      <c r="J455" s="8" t="b">
        <f t="shared" si="35"/>
        <v>1</v>
      </c>
      <c r="K455" s="8" t="b">
        <f t="shared" si="36"/>
        <v>1</v>
      </c>
      <c r="L455" s="8" t="b">
        <f t="shared" si="37"/>
        <v>1</v>
      </c>
      <c r="M455" s="8" t="b">
        <f t="shared" si="38"/>
        <v>1</v>
      </c>
      <c r="N455" s="1" t="b">
        <f t="shared" si="39"/>
        <v>1</v>
      </c>
      <c r="O455" s="8" t="str">
        <f>IF(F455="","",IF($F$2=入力リスト!$H$25,ROUNDDOWN(INT(F455)+ROUNDDOWN((F455-INT(F455))*100,0)/60,2),F455))</f>
        <v/>
      </c>
      <c r="P455" s="7"/>
      <c r="Q455" s="7"/>
    </row>
    <row r="456" spans="1:17">
      <c r="A456" s="105"/>
      <c r="B456" s="2"/>
      <c r="C456" s="254"/>
      <c r="D456" s="254"/>
      <c r="E456" s="254"/>
      <c r="F456" s="255"/>
      <c r="G456" s="215" t="str">
        <f>IF(AND($B456="",OR(B456&lt;&gt;"",C456&lt;&gt;"",D456&lt;&gt;"",E456&lt;&gt;"",F456&lt;&gt;"")),入力リスト!$K$34,IF($I456=TRUE,入力リスト!$K$35,IF(J456=FALSE,"「毎月の固定給与額」","")&amp;IF(AND(J456=FALSE,OR(K456=FALSE,L456=FALSE,M456=FALSE)),",","")&amp;IF(K456=FALSE,"「賞与額等」","")&amp;IF(AND(K456=FALSE,OR(L456=FALSE,M456=FALSE)),",","")&amp;IF(L456=FALSE,"「残業手当」","")&amp;IF(AND(L456=FALSE,M456=FALSE),",","")&amp;IF(M456=FALSE,"「残業時間」","")&amp;IF(OR(J456=FALSE,K456=FALSE,L456=FALSE,M456=FALSE),入力リスト!$K$36,"")&amp;IF(N456,"",入力リスト!$K$37)))</f>
        <v/>
      </c>
      <c r="H456" s="215"/>
      <c r="I456" s="1" t="b">
        <f>IF(B456="",FALSE,COUNTIF('従業員情報(給与以外)'!$A$4:$A$1000000,$B456)=0)</f>
        <v>0</v>
      </c>
      <c r="J456" s="8" t="b">
        <f t="shared" si="35"/>
        <v>1</v>
      </c>
      <c r="K456" s="8" t="b">
        <f t="shared" si="36"/>
        <v>1</v>
      </c>
      <c r="L456" s="8" t="b">
        <f t="shared" si="37"/>
        <v>1</v>
      </c>
      <c r="M456" s="8" t="b">
        <f t="shared" si="38"/>
        <v>1</v>
      </c>
      <c r="N456" s="1" t="b">
        <f t="shared" si="39"/>
        <v>1</v>
      </c>
      <c r="O456" s="8" t="str">
        <f>IF(F456="","",IF($F$2=入力リスト!$H$25,ROUNDDOWN(INT(F456)+ROUNDDOWN((F456-INT(F456))*100,0)/60,2),F456))</f>
        <v/>
      </c>
      <c r="P456" s="7"/>
      <c r="Q456" s="7"/>
    </row>
    <row r="457" spans="1:17">
      <c r="A457" s="105"/>
      <c r="B457" s="2"/>
      <c r="C457" s="254"/>
      <c r="D457" s="254"/>
      <c r="E457" s="254"/>
      <c r="F457" s="255"/>
      <c r="G457" s="215" t="str">
        <f>IF(AND($B457="",OR(B457&lt;&gt;"",C457&lt;&gt;"",D457&lt;&gt;"",E457&lt;&gt;"",F457&lt;&gt;"")),入力リスト!$K$34,IF($I457=TRUE,入力リスト!$K$35,IF(J457=FALSE,"「毎月の固定給与額」","")&amp;IF(AND(J457=FALSE,OR(K457=FALSE,L457=FALSE,M457=FALSE)),",","")&amp;IF(K457=FALSE,"「賞与額等」","")&amp;IF(AND(K457=FALSE,OR(L457=FALSE,M457=FALSE)),",","")&amp;IF(L457=FALSE,"「残業手当」","")&amp;IF(AND(L457=FALSE,M457=FALSE),",","")&amp;IF(M457=FALSE,"「残業時間」","")&amp;IF(OR(J457=FALSE,K457=FALSE,L457=FALSE,M457=FALSE),入力リスト!$K$36,"")&amp;IF(N457,"",入力リスト!$K$37)))</f>
        <v/>
      </c>
      <c r="H457" s="215"/>
      <c r="I457" s="1" t="b">
        <f>IF(B457="",FALSE,COUNTIF('従業員情報(給与以外)'!$A$4:$A$1000000,$B457)=0)</f>
        <v>0</v>
      </c>
      <c r="J457" s="8" t="b">
        <f t="shared" si="35"/>
        <v>1</v>
      </c>
      <c r="K457" s="8" t="b">
        <f t="shared" si="36"/>
        <v>1</v>
      </c>
      <c r="L457" s="8" t="b">
        <f t="shared" si="37"/>
        <v>1</v>
      </c>
      <c r="M457" s="8" t="b">
        <f t="shared" si="38"/>
        <v>1</v>
      </c>
      <c r="N457" s="1" t="b">
        <f t="shared" si="39"/>
        <v>1</v>
      </c>
      <c r="O457" s="8" t="str">
        <f>IF(F457="","",IF($F$2=入力リスト!$H$25,ROUNDDOWN(INT(F457)+ROUNDDOWN((F457-INT(F457))*100,0)/60,2),F457))</f>
        <v/>
      </c>
      <c r="P457" s="7"/>
      <c r="Q457" s="7"/>
    </row>
    <row r="458" spans="1:17">
      <c r="A458" s="105"/>
      <c r="B458" s="2"/>
      <c r="C458" s="254"/>
      <c r="D458" s="254"/>
      <c r="E458" s="254"/>
      <c r="F458" s="255"/>
      <c r="G458" s="215" t="str">
        <f>IF(AND($B458="",OR(B458&lt;&gt;"",C458&lt;&gt;"",D458&lt;&gt;"",E458&lt;&gt;"",F458&lt;&gt;"")),入力リスト!$K$34,IF($I458=TRUE,入力リスト!$K$35,IF(J458=FALSE,"「毎月の固定給与額」","")&amp;IF(AND(J458=FALSE,OR(K458=FALSE,L458=FALSE,M458=FALSE)),",","")&amp;IF(K458=FALSE,"「賞与額等」","")&amp;IF(AND(K458=FALSE,OR(L458=FALSE,M458=FALSE)),",","")&amp;IF(L458=FALSE,"「残業手当」","")&amp;IF(AND(L458=FALSE,M458=FALSE),",","")&amp;IF(M458=FALSE,"「残業時間」","")&amp;IF(OR(J458=FALSE,K458=FALSE,L458=FALSE,M458=FALSE),入力リスト!$K$36,"")&amp;IF(N458,"",入力リスト!$K$37)))</f>
        <v/>
      </c>
      <c r="H458" s="215"/>
      <c r="I458" s="1" t="b">
        <f>IF(B458="",FALSE,COUNTIF('従業員情報(給与以外)'!$A$4:$A$1000000,$B458)=0)</f>
        <v>0</v>
      </c>
      <c r="J458" s="8" t="b">
        <f t="shared" si="35"/>
        <v>1</v>
      </c>
      <c r="K458" s="8" t="b">
        <f t="shared" si="36"/>
        <v>1</v>
      </c>
      <c r="L458" s="8" t="b">
        <f t="shared" si="37"/>
        <v>1</v>
      </c>
      <c r="M458" s="8" t="b">
        <f t="shared" si="38"/>
        <v>1</v>
      </c>
      <c r="N458" s="1" t="b">
        <f t="shared" si="39"/>
        <v>1</v>
      </c>
      <c r="O458" s="8" t="str">
        <f>IF(F458="","",IF($F$2=入力リスト!$H$25,ROUNDDOWN(INT(F458)+ROUNDDOWN((F458-INT(F458))*100,0)/60,2),F458))</f>
        <v/>
      </c>
      <c r="P458" s="7"/>
      <c r="Q458" s="7"/>
    </row>
    <row r="459" spans="1:17">
      <c r="A459" s="105"/>
      <c r="B459" s="2"/>
      <c r="C459" s="254"/>
      <c r="D459" s="254"/>
      <c r="E459" s="254"/>
      <c r="F459" s="255"/>
      <c r="G459" s="215" t="str">
        <f>IF(AND($B459="",OR(B459&lt;&gt;"",C459&lt;&gt;"",D459&lt;&gt;"",E459&lt;&gt;"",F459&lt;&gt;"")),入力リスト!$K$34,IF($I459=TRUE,入力リスト!$K$35,IF(J459=FALSE,"「毎月の固定給与額」","")&amp;IF(AND(J459=FALSE,OR(K459=FALSE,L459=FALSE,M459=FALSE)),",","")&amp;IF(K459=FALSE,"「賞与額等」","")&amp;IF(AND(K459=FALSE,OR(L459=FALSE,M459=FALSE)),",","")&amp;IF(L459=FALSE,"「残業手当」","")&amp;IF(AND(L459=FALSE,M459=FALSE),",","")&amp;IF(M459=FALSE,"「残業時間」","")&amp;IF(OR(J459=FALSE,K459=FALSE,L459=FALSE,M459=FALSE),入力リスト!$K$36,"")&amp;IF(N459,"",入力リスト!$K$37)))</f>
        <v/>
      </c>
      <c r="H459" s="215"/>
      <c r="I459" s="1" t="b">
        <f>IF(B459="",FALSE,COUNTIF('従業員情報(給与以外)'!$A$4:$A$1000000,$B459)=0)</f>
        <v>0</v>
      </c>
      <c r="J459" s="8" t="b">
        <f t="shared" si="35"/>
        <v>1</v>
      </c>
      <c r="K459" s="8" t="b">
        <f t="shared" si="36"/>
        <v>1</v>
      </c>
      <c r="L459" s="8" t="b">
        <f t="shared" si="37"/>
        <v>1</v>
      </c>
      <c r="M459" s="8" t="b">
        <f t="shared" si="38"/>
        <v>1</v>
      </c>
      <c r="N459" s="1" t="b">
        <f t="shared" si="39"/>
        <v>1</v>
      </c>
      <c r="O459" s="8" t="str">
        <f>IF(F459="","",IF($F$2=入力リスト!$H$25,ROUNDDOWN(INT(F459)+ROUNDDOWN((F459-INT(F459))*100,0)/60,2),F459))</f>
        <v/>
      </c>
      <c r="P459" s="7"/>
      <c r="Q459" s="7"/>
    </row>
    <row r="460" spans="1:17">
      <c r="A460" s="105"/>
      <c r="B460" s="2"/>
      <c r="C460" s="254"/>
      <c r="D460" s="254"/>
      <c r="E460" s="254"/>
      <c r="F460" s="255"/>
      <c r="G460" s="215" t="str">
        <f>IF(AND($B460="",OR(B460&lt;&gt;"",C460&lt;&gt;"",D460&lt;&gt;"",E460&lt;&gt;"",F460&lt;&gt;"")),入力リスト!$K$34,IF($I460=TRUE,入力リスト!$K$35,IF(J460=FALSE,"「毎月の固定給与額」","")&amp;IF(AND(J460=FALSE,OR(K460=FALSE,L460=FALSE,M460=FALSE)),",","")&amp;IF(K460=FALSE,"「賞与額等」","")&amp;IF(AND(K460=FALSE,OR(L460=FALSE,M460=FALSE)),",","")&amp;IF(L460=FALSE,"「残業手当」","")&amp;IF(AND(L460=FALSE,M460=FALSE),",","")&amp;IF(M460=FALSE,"「残業時間」","")&amp;IF(OR(J460=FALSE,K460=FALSE,L460=FALSE,M460=FALSE),入力リスト!$K$36,"")&amp;IF(N460,"",入力リスト!$K$37)))</f>
        <v/>
      </c>
      <c r="H460" s="215"/>
      <c r="I460" s="1" t="b">
        <f>IF(B460="",FALSE,COUNTIF('従業員情報(給与以外)'!$A$4:$A$1000000,$B460)=0)</f>
        <v>0</v>
      </c>
      <c r="J460" s="8" t="b">
        <f t="shared" si="35"/>
        <v>1</v>
      </c>
      <c r="K460" s="8" t="b">
        <f t="shared" si="36"/>
        <v>1</v>
      </c>
      <c r="L460" s="8" t="b">
        <f t="shared" si="37"/>
        <v>1</v>
      </c>
      <c r="M460" s="8" t="b">
        <f t="shared" si="38"/>
        <v>1</v>
      </c>
      <c r="N460" s="1" t="b">
        <f t="shared" si="39"/>
        <v>1</v>
      </c>
      <c r="O460" s="8" t="str">
        <f>IF(F460="","",IF($F$2=入力リスト!$H$25,ROUNDDOWN(INT(F460)+ROUNDDOWN((F460-INT(F460))*100,0)/60,2),F460))</f>
        <v/>
      </c>
      <c r="P460" s="7"/>
      <c r="Q460" s="7"/>
    </row>
    <row r="461" spans="1:17">
      <c r="A461" s="105"/>
      <c r="B461" s="2"/>
      <c r="C461" s="254"/>
      <c r="D461" s="254"/>
      <c r="E461" s="254"/>
      <c r="F461" s="255"/>
      <c r="G461" s="215" t="str">
        <f>IF(AND($B461="",OR(B461&lt;&gt;"",C461&lt;&gt;"",D461&lt;&gt;"",E461&lt;&gt;"",F461&lt;&gt;"")),入力リスト!$K$34,IF($I461=TRUE,入力リスト!$K$35,IF(J461=FALSE,"「毎月の固定給与額」","")&amp;IF(AND(J461=FALSE,OR(K461=FALSE,L461=FALSE,M461=FALSE)),",","")&amp;IF(K461=FALSE,"「賞与額等」","")&amp;IF(AND(K461=FALSE,OR(L461=FALSE,M461=FALSE)),",","")&amp;IF(L461=FALSE,"「残業手当」","")&amp;IF(AND(L461=FALSE,M461=FALSE),",","")&amp;IF(M461=FALSE,"「残業時間」","")&amp;IF(OR(J461=FALSE,K461=FALSE,L461=FALSE,M461=FALSE),入力リスト!$K$36,"")&amp;IF(N461,"",入力リスト!$K$37)))</f>
        <v/>
      </c>
      <c r="H461" s="215"/>
      <c r="I461" s="1" t="b">
        <f>IF(B461="",FALSE,COUNTIF('従業員情報(給与以外)'!$A$4:$A$1000000,$B461)=0)</f>
        <v>0</v>
      </c>
      <c r="J461" s="8" t="b">
        <f t="shared" si="35"/>
        <v>1</v>
      </c>
      <c r="K461" s="8" t="b">
        <f t="shared" si="36"/>
        <v>1</v>
      </c>
      <c r="L461" s="8" t="b">
        <f t="shared" si="37"/>
        <v>1</v>
      </c>
      <c r="M461" s="8" t="b">
        <f t="shared" si="38"/>
        <v>1</v>
      </c>
      <c r="N461" s="1" t="b">
        <f t="shared" si="39"/>
        <v>1</v>
      </c>
      <c r="O461" s="8" t="str">
        <f>IF(F461="","",IF($F$2=入力リスト!$H$25,ROUNDDOWN(INT(F461)+ROUNDDOWN((F461-INT(F461))*100,0)/60,2),F461))</f>
        <v/>
      </c>
      <c r="P461" s="7"/>
      <c r="Q461" s="7"/>
    </row>
    <row r="462" spans="1:17">
      <c r="A462" s="105"/>
      <c r="B462" s="2"/>
      <c r="C462" s="254"/>
      <c r="D462" s="254"/>
      <c r="E462" s="254"/>
      <c r="F462" s="255"/>
      <c r="G462" s="215" t="str">
        <f>IF(AND($B462="",OR(B462&lt;&gt;"",C462&lt;&gt;"",D462&lt;&gt;"",E462&lt;&gt;"",F462&lt;&gt;"")),入力リスト!$K$34,IF($I462=TRUE,入力リスト!$K$35,IF(J462=FALSE,"「毎月の固定給与額」","")&amp;IF(AND(J462=FALSE,OR(K462=FALSE,L462=FALSE,M462=FALSE)),",","")&amp;IF(K462=FALSE,"「賞与額等」","")&amp;IF(AND(K462=FALSE,OR(L462=FALSE,M462=FALSE)),",","")&amp;IF(L462=FALSE,"「残業手当」","")&amp;IF(AND(L462=FALSE,M462=FALSE),",","")&amp;IF(M462=FALSE,"「残業時間」","")&amp;IF(OR(J462=FALSE,K462=FALSE,L462=FALSE,M462=FALSE),入力リスト!$K$36,"")&amp;IF(N462,"",入力リスト!$K$37)))</f>
        <v/>
      </c>
      <c r="H462" s="215"/>
      <c r="I462" s="1" t="b">
        <f>IF(B462="",FALSE,COUNTIF('従業員情報(給与以外)'!$A$4:$A$1000000,$B462)=0)</f>
        <v>0</v>
      </c>
      <c r="J462" s="8" t="b">
        <f t="shared" si="35"/>
        <v>1</v>
      </c>
      <c r="K462" s="8" t="b">
        <f t="shared" si="36"/>
        <v>1</v>
      </c>
      <c r="L462" s="8" t="b">
        <f t="shared" si="37"/>
        <v>1</v>
      </c>
      <c r="M462" s="8" t="b">
        <f t="shared" si="38"/>
        <v>1</v>
      </c>
      <c r="N462" s="1" t="b">
        <f t="shared" si="39"/>
        <v>1</v>
      </c>
      <c r="O462" s="8" t="str">
        <f>IF(F462="","",IF($F$2=入力リスト!$H$25,ROUNDDOWN(INT(F462)+ROUNDDOWN((F462-INT(F462))*100,0)/60,2),F462))</f>
        <v/>
      </c>
      <c r="P462" s="7"/>
      <c r="Q462" s="7"/>
    </row>
    <row r="463" spans="1:17">
      <c r="A463" s="105"/>
      <c r="B463" s="2"/>
      <c r="C463" s="254"/>
      <c r="D463" s="254"/>
      <c r="E463" s="254"/>
      <c r="F463" s="255"/>
      <c r="G463" s="215" t="str">
        <f>IF(AND($B463="",OR(B463&lt;&gt;"",C463&lt;&gt;"",D463&lt;&gt;"",E463&lt;&gt;"",F463&lt;&gt;"")),入力リスト!$K$34,IF($I463=TRUE,入力リスト!$K$35,IF(J463=FALSE,"「毎月の固定給与額」","")&amp;IF(AND(J463=FALSE,OR(K463=FALSE,L463=FALSE,M463=FALSE)),",","")&amp;IF(K463=FALSE,"「賞与額等」","")&amp;IF(AND(K463=FALSE,OR(L463=FALSE,M463=FALSE)),",","")&amp;IF(L463=FALSE,"「残業手当」","")&amp;IF(AND(L463=FALSE,M463=FALSE),",","")&amp;IF(M463=FALSE,"「残業時間」","")&amp;IF(OR(J463=FALSE,K463=FALSE,L463=FALSE,M463=FALSE),入力リスト!$K$36,"")&amp;IF(N463,"",入力リスト!$K$37)))</f>
        <v/>
      </c>
      <c r="H463" s="215"/>
      <c r="I463" s="1" t="b">
        <f>IF(B463="",FALSE,COUNTIF('従業員情報(給与以外)'!$A$4:$A$1000000,$B463)=0)</f>
        <v>0</v>
      </c>
      <c r="J463" s="8" t="b">
        <f t="shared" si="35"/>
        <v>1</v>
      </c>
      <c r="K463" s="8" t="b">
        <f t="shared" si="36"/>
        <v>1</v>
      </c>
      <c r="L463" s="8" t="b">
        <f t="shared" si="37"/>
        <v>1</v>
      </c>
      <c r="M463" s="8" t="b">
        <f t="shared" si="38"/>
        <v>1</v>
      </c>
      <c r="N463" s="1" t="b">
        <f t="shared" si="39"/>
        <v>1</v>
      </c>
      <c r="O463" s="8" t="str">
        <f>IF(F463="","",IF($F$2=入力リスト!$H$25,ROUNDDOWN(INT(F463)+ROUNDDOWN((F463-INT(F463))*100,0)/60,2),F463))</f>
        <v/>
      </c>
      <c r="P463" s="7"/>
      <c r="Q463" s="7"/>
    </row>
    <row r="464" spans="1:17">
      <c r="A464" s="105"/>
      <c r="B464" s="2"/>
      <c r="C464" s="254"/>
      <c r="D464" s="254"/>
      <c r="E464" s="254"/>
      <c r="F464" s="255"/>
      <c r="G464" s="215" t="str">
        <f>IF(AND($B464="",OR(B464&lt;&gt;"",C464&lt;&gt;"",D464&lt;&gt;"",E464&lt;&gt;"",F464&lt;&gt;"")),入力リスト!$K$34,IF($I464=TRUE,入力リスト!$K$35,IF(J464=FALSE,"「毎月の固定給与額」","")&amp;IF(AND(J464=FALSE,OR(K464=FALSE,L464=FALSE,M464=FALSE)),",","")&amp;IF(K464=FALSE,"「賞与額等」","")&amp;IF(AND(K464=FALSE,OR(L464=FALSE,M464=FALSE)),",","")&amp;IF(L464=FALSE,"「残業手当」","")&amp;IF(AND(L464=FALSE,M464=FALSE),",","")&amp;IF(M464=FALSE,"「残業時間」","")&amp;IF(OR(J464=FALSE,K464=FALSE,L464=FALSE,M464=FALSE),入力リスト!$K$36,"")&amp;IF(N464,"",入力リスト!$K$37)))</f>
        <v/>
      </c>
      <c r="H464" s="215"/>
      <c r="I464" s="1" t="b">
        <f>IF(B464="",FALSE,COUNTIF('従業員情報(給与以外)'!$A$4:$A$1000000,$B464)=0)</f>
        <v>0</v>
      </c>
      <c r="J464" s="8" t="b">
        <f t="shared" si="35"/>
        <v>1</v>
      </c>
      <c r="K464" s="8" t="b">
        <f t="shared" si="36"/>
        <v>1</v>
      </c>
      <c r="L464" s="8" t="b">
        <f t="shared" si="37"/>
        <v>1</v>
      </c>
      <c r="M464" s="8" t="b">
        <f t="shared" si="38"/>
        <v>1</v>
      </c>
      <c r="N464" s="1" t="b">
        <f t="shared" si="39"/>
        <v>1</v>
      </c>
      <c r="O464" s="8" t="str">
        <f>IF(F464="","",IF($F$2=入力リスト!$H$25,ROUNDDOWN(INT(F464)+ROUNDDOWN((F464-INT(F464))*100,0)/60,2),F464))</f>
        <v/>
      </c>
      <c r="P464" s="7"/>
      <c r="Q464" s="7"/>
    </row>
    <row r="465" spans="1:17">
      <c r="A465" s="105"/>
      <c r="B465" s="2"/>
      <c r="C465" s="254"/>
      <c r="D465" s="254"/>
      <c r="E465" s="254"/>
      <c r="F465" s="255"/>
      <c r="G465" s="215" t="str">
        <f>IF(AND($B465="",OR(B465&lt;&gt;"",C465&lt;&gt;"",D465&lt;&gt;"",E465&lt;&gt;"",F465&lt;&gt;"")),入力リスト!$K$34,IF($I465=TRUE,入力リスト!$K$35,IF(J465=FALSE,"「毎月の固定給与額」","")&amp;IF(AND(J465=FALSE,OR(K465=FALSE,L465=FALSE,M465=FALSE)),",","")&amp;IF(K465=FALSE,"「賞与額等」","")&amp;IF(AND(K465=FALSE,OR(L465=FALSE,M465=FALSE)),",","")&amp;IF(L465=FALSE,"「残業手当」","")&amp;IF(AND(L465=FALSE,M465=FALSE),",","")&amp;IF(M465=FALSE,"「残業時間」","")&amp;IF(OR(J465=FALSE,K465=FALSE,L465=FALSE,M465=FALSE),入力リスト!$K$36,"")&amp;IF(N465,"",入力リスト!$K$37)))</f>
        <v/>
      </c>
      <c r="H465" s="215"/>
      <c r="I465" s="1" t="b">
        <f>IF(B465="",FALSE,COUNTIF('従業員情報(給与以外)'!$A$4:$A$1000000,$B465)=0)</f>
        <v>0</v>
      </c>
      <c r="J465" s="8" t="b">
        <f t="shared" si="35"/>
        <v>1</v>
      </c>
      <c r="K465" s="8" t="b">
        <f t="shared" si="36"/>
        <v>1</v>
      </c>
      <c r="L465" s="8" t="b">
        <f t="shared" si="37"/>
        <v>1</v>
      </c>
      <c r="M465" s="8" t="b">
        <f t="shared" si="38"/>
        <v>1</v>
      </c>
      <c r="N465" s="1" t="b">
        <f t="shared" si="39"/>
        <v>1</v>
      </c>
      <c r="O465" s="8" t="str">
        <f>IF(F465="","",IF($F$2=入力リスト!$H$25,ROUNDDOWN(INT(F465)+ROUNDDOWN((F465-INT(F465))*100,0)/60,2),F465))</f>
        <v/>
      </c>
      <c r="P465" s="7"/>
      <c r="Q465" s="7"/>
    </row>
    <row r="466" spans="1:17">
      <c r="A466" s="105"/>
      <c r="B466" s="2"/>
      <c r="C466" s="254"/>
      <c r="D466" s="254"/>
      <c r="E466" s="254"/>
      <c r="F466" s="255"/>
      <c r="G466" s="215" t="str">
        <f>IF(AND($B466="",OR(B466&lt;&gt;"",C466&lt;&gt;"",D466&lt;&gt;"",E466&lt;&gt;"",F466&lt;&gt;"")),入力リスト!$K$34,IF($I466=TRUE,入力リスト!$K$35,IF(J466=FALSE,"「毎月の固定給与額」","")&amp;IF(AND(J466=FALSE,OR(K466=FALSE,L466=FALSE,M466=FALSE)),",","")&amp;IF(K466=FALSE,"「賞与額等」","")&amp;IF(AND(K466=FALSE,OR(L466=FALSE,M466=FALSE)),",","")&amp;IF(L466=FALSE,"「残業手当」","")&amp;IF(AND(L466=FALSE,M466=FALSE),",","")&amp;IF(M466=FALSE,"「残業時間」","")&amp;IF(OR(J466=FALSE,K466=FALSE,L466=FALSE,M466=FALSE),入力リスト!$K$36,"")&amp;IF(N466,"",入力リスト!$K$37)))</f>
        <v/>
      </c>
      <c r="H466" s="215"/>
      <c r="I466" s="1" t="b">
        <f>IF(B466="",FALSE,COUNTIF('従業員情報(給与以外)'!$A$4:$A$1000000,$B466)=0)</f>
        <v>0</v>
      </c>
      <c r="J466" s="8" t="b">
        <f t="shared" si="35"/>
        <v>1</v>
      </c>
      <c r="K466" s="8" t="b">
        <f t="shared" si="36"/>
        <v>1</v>
      </c>
      <c r="L466" s="8" t="b">
        <f t="shared" si="37"/>
        <v>1</v>
      </c>
      <c r="M466" s="8" t="b">
        <f t="shared" si="38"/>
        <v>1</v>
      </c>
      <c r="N466" s="1" t="b">
        <f t="shared" si="39"/>
        <v>1</v>
      </c>
      <c r="O466" s="8" t="str">
        <f>IF(F466="","",IF($F$2=入力リスト!$H$25,ROUNDDOWN(INT(F466)+ROUNDDOWN((F466-INT(F466))*100,0)/60,2),F466))</f>
        <v/>
      </c>
      <c r="P466" s="7"/>
      <c r="Q466" s="7"/>
    </row>
    <row r="467" spans="1:17">
      <c r="A467" s="105"/>
      <c r="B467" s="2"/>
      <c r="C467" s="254"/>
      <c r="D467" s="254"/>
      <c r="E467" s="254"/>
      <c r="F467" s="255"/>
      <c r="G467" s="215" t="str">
        <f>IF(AND($B467="",OR(B467&lt;&gt;"",C467&lt;&gt;"",D467&lt;&gt;"",E467&lt;&gt;"",F467&lt;&gt;"")),入力リスト!$K$34,IF($I467=TRUE,入力リスト!$K$35,IF(J467=FALSE,"「毎月の固定給与額」","")&amp;IF(AND(J467=FALSE,OR(K467=FALSE,L467=FALSE,M467=FALSE)),",","")&amp;IF(K467=FALSE,"「賞与額等」","")&amp;IF(AND(K467=FALSE,OR(L467=FALSE,M467=FALSE)),",","")&amp;IF(L467=FALSE,"「残業手当」","")&amp;IF(AND(L467=FALSE,M467=FALSE),",","")&amp;IF(M467=FALSE,"「残業時間」","")&amp;IF(OR(J467=FALSE,K467=FALSE,L467=FALSE,M467=FALSE),入力リスト!$K$36,"")&amp;IF(N467,"",入力リスト!$K$37)))</f>
        <v/>
      </c>
      <c r="H467" s="215"/>
      <c r="I467" s="1" t="b">
        <f>IF(B467="",FALSE,COUNTIF('従業員情報(給与以外)'!$A$4:$A$1000000,$B467)=0)</f>
        <v>0</v>
      </c>
      <c r="J467" s="8" t="b">
        <f t="shared" si="35"/>
        <v>1</v>
      </c>
      <c r="K467" s="8" t="b">
        <f t="shared" si="36"/>
        <v>1</v>
      </c>
      <c r="L467" s="8" t="b">
        <f t="shared" si="37"/>
        <v>1</v>
      </c>
      <c r="M467" s="8" t="b">
        <f t="shared" si="38"/>
        <v>1</v>
      </c>
      <c r="N467" s="1" t="b">
        <f t="shared" si="39"/>
        <v>1</v>
      </c>
      <c r="O467" s="8" t="str">
        <f>IF(F467="","",IF($F$2=入力リスト!$H$25,ROUNDDOWN(INT(F467)+ROUNDDOWN((F467-INT(F467))*100,0)/60,2),F467))</f>
        <v/>
      </c>
      <c r="P467" s="7"/>
      <c r="Q467" s="7"/>
    </row>
    <row r="468" spans="1:17">
      <c r="A468" s="105"/>
      <c r="B468" s="2"/>
      <c r="C468" s="254"/>
      <c r="D468" s="254"/>
      <c r="E468" s="254"/>
      <c r="F468" s="255"/>
      <c r="G468" s="215" t="str">
        <f>IF(AND($B468="",OR(B468&lt;&gt;"",C468&lt;&gt;"",D468&lt;&gt;"",E468&lt;&gt;"",F468&lt;&gt;"")),入力リスト!$K$34,IF($I468=TRUE,入力リスト!$K$35,IF(J468=FALSE,"「毎月の固定給与額」","")&amp;IF(AND(J468=FALSE,OR(K468=FALSE,L468=FALSE,M468=FALSE)),",","")&amp;IF(K468=FALSE,"「賞与額等」","")&amp;IF(AND(K468=FALSE,OR(L468=FALSE,M468=FALSE)),",","")&amp;IF(L468=FALSE,"「残業手当」","")&amp;IF(AND(L468=FALSE,M468=FALSE),",","")&amp;IF(M468=FALSE,"「残業時間」","")&amp;IF(OR(J468=FALSE,K468=FALSE,L468=FALSE,M468=FALSE),入力リスト!$K$36,"")&amp;IF(N468,"",入力リスト!$K$37)))</f>
        <v/>
      </c>
      <c r="H468" s="215"/>
      <c r="I468" s="1" t="b">
        <f>IF(B468="",FALSE,COUNTIF('従業員情報(給与以外)'!$A$4:$A$1000000,$B468)=0)</f>
        <v>0</v>
      </c>
      <c r="J468" s="8" t="b">
        <f t="shared" si="35"/>
        <v>1</v>
      </c>
      <c r="K468" s="8" t="b">
        <f t="shared" si="36"/>
        <v>1</v>
      </c>
      <c r="L468" s="8" t="b">
        <f t="shared" si="37"/>
        <v>1</v>
      </c>
      <c r="M468" s="8" t="b">
        <f t="shared" si="38"/>
        <v>1</v>
      </c>
      <c r="N468" s="1" t="b">
        <f t="shared" si="39"/>
        <v>1</v>
      </c>
      <c r="O468" s="8" t="str">
        <f>IF(F468="","",IF($F$2=入力リスト!$H$25,ROUNDDOWN(INT(F468)+ROUNDDOWN((F468-INT(F468))*100,0)/60,2),F468))</f>
        <v/>
      </c>
      <c r="P468" s="7"/>
      <c r="Q468" s="7"/>
    </row>
    <row r="469" spans="1:17">
      <c r="A469" s="105"/>
      <c r="B469" s="2"/>
      <c r="C469" s="254"/>
      <c r="D469" s="254"/>
      <c r="E469" s="254"/>
      <c r="F469" s="255"/>
      <c r="G469" s="215" t="str">
        <f>IF(AND($B469="",OR(B469&lt;&gt;"",C469&lt;&gt;"",D469&lt;&gt;"",E469&lt;&gt;"",F469&lt;&gt;"")),入力リスト!$K$34,IF($I469=TRUE,入力リスト!$K$35,IF(J469=FALSE,"「毎月の固定給与額」","")&amp;IF(AND(J469=FALSE,OR(K469=FALSE,L469=FALSE,M469=FALSE)),",","")&amp;IF(K469=FALSE,"「賞与額等」","")&amp;IF(AND(K469=FALSE,OR(L469=FALSE,M469=FALSE)),",","")&amp;IF(L469=FALSE,"「残業手当」","")&amp;IF(AND(L469=FALSE,M469=FALSE),",","")&amp;IF(M469=FALSE,"「残業時間」","")&amp;IF(OR(J469=FALSE,K469=FALSE,L469=FALSE,M469=FALSE),入力リスト!$K$36,"")&amp;IF(N469,"",入力リスト!$K$37)))</f>
        <v/>
      </c>
      <c r="H469" s="215"/>
      <c r="I469" s="1" t="b">
        <f>IF(B469="",FALSE,COUNTIF('従業員情報(給与以外)'!$A$4:$A$1000000,$B469)=0)</f>
        <v>0</v>
      </c>
      <c r="J469" s="8" t="b">
        <f t="shared" si="35"/>
        <v>1</v>
      </c>
      <c r="K469" s="8" t="b">
        <f t="shared" si="36"/>
        <v>1</v>
      </c>
      <c r="L469" s="8" t="b">
        <f t="shared" si="37"/>
        <v>1</v>
      </c>
      <c r="M469" s="8" t="b">
        <f t="shared" si="38"/>
        <v>1</v>
      </c>
      <c r="N469" s="1" t="b">
        <f t="shared" si="39"/>
        <v>1</v>
      </c>
      <c r="O469" s="8" t="str">
        <f>IF(F469="","",IF($F$2=入力リスト!$H$25,ROUNDDOWN(INT(F469)+ROUNDDOWN((F469-INT(F469))*100,0)/60,2),F469))</f>
        <v/>
      </c>
      <c r="P469" s="7"/>
      <c r="Q469" s="7"/>
    </row>
    <row r="470" spans="1:17">
      <c r="A470" s="105"/>
      <c r="B470" s="2"/>
      <c r="C470" s="254"/>
      <c r="D470" s="254"/>
      <c r="E470" s="254"/>
      <c r="F470" s="255"/>
      <c r="G470" s="215" t="str">
        <f>IF(AND($B470="",OR(B470&lt;&gt;"",C470&lt;&gt;"",D470&lt;&gt;"",E470&lt;&gt;"",F470&lt;&gt;"")),入力リスト!$K$34,IF($I470=TRUE,入力リスト!$K$35,IF(J470=FALSE,"「毎月の固定給与額」","")&amp;IF(AND(J470=FALSE,OR(K470=FALSE,L470=FALSE,M470=FALSE)),",","")&amp;IF(K470=FALSE,"「賞与額等」","")&amp;IF(AND(K470=FALSE,OR(L470=FALSE,M470=FALSE)),",","")&amp;IF(L470=FALSE,"「残業手当」","")&amp;IF(AND(L470=FALSE,M470=FALSE),",","")&amp;IF(M470=FALSE,"「残業時間」","")&amp;IF(OR(J470=FALSE,K470=FALSE,L470=FALSE,M470=FALSE),入力リスト!$K$36,"")&amp;IF(N470,"",入力リスト!$K$37)))</f>
        <v/>
      </c>
      <c r="H470" s="215"/>
      <c r="I470" s="1" t="b">
        <f>IF(B470="",FALSE,COUNTIF('従業員情報(給与以外)'!$A$4:$A$1000000,$B470)=0)</f>
        <v>0</v>
      </c>
      <c r="J470" s="8" t="b">
        <f t="shared" si="35"/>
        <v>1</v>
      </c>
      <c r="K470" s="8" t="b">
        <f t="shared" si="36"/>
        <v>1</v>
      </c>
      <c r="L470" s="8" t="b">
        <f t="shared" si="37"/>
        <v>1</v>
      </c>
      <c r="M470" s="8" t="b">
        <f t="shared" si="38"/>
        <v>1</v>
      </c>
      <c r="N470" s="1" t="b">
        <f t="shared" si="39"/>
        <v>1</v>
      </c>
      <c r="O470" s="8" t="str">
        <f>IF(F470="","",IF($F$2=入力リスト!$H$25,ROUNDDOWN(INT(F470)+ROUNDDOWN((F470-INT(F470))*100,0)/60,2),F470))</f>
        <v/>
      </c>
      <c r="P470" s="7"/>
      <c r="Q470" s="7"/>
    </row>
    <row r="471" spans="1:17">
      <c r="A471" s="105"/>
      <c r="B471" s="2"/>
      <c r="C471" s="254"/>
      <c r="D471" s="254"/>
      <c r="E471" s="254"/>
      <c r="F471" s="255"/>
      <c r="G471" s="215" t="str">
        <f>IF(AND($B471="",OR(B471&lt;&gt;"",C471&lt;&gt;"",D471&lt;&gt;"",E471&lt;&gt;"",F471&lt;&gt;"")),入力リスト!$K$34,IF($I471=TRUE,入力リスト!$K$35,IF(J471=FALSE,"「毎月の固定給与額」","")&amp;IF(AND(J471=FALSE,OR(K471=FALSE,L471=FALSE,M471=FALSE)),",","")&amp;IF(K471=FALSE,"「賞与額等」","")&amp;IF(AND(K471=FALSE,OR(L471=FALSE,M471=FALSE)),",","")&amp;IF(L471=FALSE,"「残業手当」","")&amp;IF(AND(L471=FALSE,M471=FALSE),",","")&amp;IF(M471=FALSE,"「残業時間」","")&amp;IF(OR(J471=FALSE,K471=FALSE,L471=FALSE,M471=FALSE),入力リスト!$K$36,"")&amp;IF(N471,"",入力リスト!$K$37)))</f>
        <v/>
      </c>
      <c r="H471" s="215"/>
      <c r="I471" s="1" t="b">
        <f>IF(B471="",FALSE,COUNTIF('従業員情報(給与以外)'!$A$4:$A$1000000,$B471)=0)</f>
        <v>0</v>
      </c>
      <c r="J471" s="8" t="b">
        <f t="shared" si="35"/>
        <v>1</v>
      </c>
      <c r="K471" s="8" t="b">
        <f t="shared" si="36"/>
        <v>1</v>
      </c>
      <c r="L471" s="8" t="b">
        <f t="shared" si="37"/>
        <v>1</v>
      </c>
      <c r="M471" s="8" t="b">
        <f t="shared" si="38"/>
        <v>1</v>
      </c>
      <c r="N471" s="1" t="b">
        <f t="shared" si="39"/>
        <v>1</v>
      </c>
      <c r="O471" s="8" t="str">
        <f>IF(F471="","",IF($F$2=入力リスト!$H$25,ROUNDDOWN(INT(F471)+ROUNDDOWN((F471-INT(F471))*100,0)/60,2),F471))</f>
        <v/>
      </c>
      <c r="P471" s="7"/>
      <c r="Q471" s="7"/>
    </row>
    <row r="472" spans="1:17">
      <c r="A472" s="105"/>
      <c r="B472" s="2"/>
      <c r="C472" s="254"/>
      <c r="D472" s="254"/>
      <c r="E472" s="254"/>
      <c r="F472" s="255"/>
      <c r="G472" s="215" t="str">
        <f>IF(AND($B472="",OR(B472&lt;&gt;"",C472&lt;&gt;"",D472&lt;&gt;"",E472&lt;&gt;"",F472&lt;&gt;"")),入力リスト!$K$34,IF($I472=TRUE,入力リスト!$K$35,IF(J472=FALSE,"「毎月の固定給与額」","")&amp;IF(AND(J472=FALSE,OR(K472=FALSE,L472=FALSE,M472=FALSE)),",","")&amp;IF(K472=FALSE,"「賞与額等」","")&amp;IF(AND(K472=FALSE,OR(L472=FALSE,M472=FALSE)),",","")&amp;IF(L472=FALSE,"「残業手当」","")&amp;IF(AND(L472=FALSE,M472=FALSE),",","")&amp;IF(M472=FALSE,"「残業時間」","")&amp;IF(OR(J472=FALSE,K472=FALSE,L472=FALSE,M472=FALSE),入力リスト!$K$36,"")&amp;IF(N472,"",入力リスト!$K$37)))</f>
        <v/>
      </c>
      <c r="H472" s="215"/>
      <c r="I472" s="1" t="b">
        <f>IF(B472="",FALSE,COUNTIF('従業員情報(給与以外)'!$A$4:$A$1000000,$B472)=0)</f>
        <v>0</v>
      </c>
      <c r="J472" s="8" t="b">
        <f t="shared" si="35"/>
        <v>1</v>
      </c>
      <c r="K472" s="8" t="b">
        <f t="shared" si="36"/>
        <v>1</v>
      </c>
      <c r="L472" s="8" t="b">
        <f t="shared" si="37"/>
        <v>1</v>
      </c>
      <c r="M472" s="8" t="b">
        <f t="shared" si="38"/>
        <v>1</v>
      </c>
      <c r="N472" s="1" t="b">
        <f t="shared" si="39"/>
        <v>1</v>
      </c>
      <c r="O472" s="8" t="str">
        <f>IF(F472="","",IF($F$2=入力リスト!$H$25,ROUNDDOWN(INT(F472)+ROUNDDOWN((F472-INT(F472))*100,0)/60,2),F472))</f>
        <v/>
      </c>
      <c r="P472" s="7"/>
      <c r="Q472" s="7"/>
    </row>
    <row r="473" spans="1:17">
      <c r="A473" s="105"/>
      <c r="B473" s="2"/>
      <c r="C473" s="254"/>
      <c r="D473" s="254"/>
      <c r="E473" s="254"/>
      <c r="F473" s="255"/>
      <c r="G473" s="215" t="str">
        <f>IF(AND($B473="",OR(B473&lt;&gt;"",C473&lt;&gt;"",D473&lt;&gt;"",E473&lt;&gt;"",F473&lt;&gt;"")),入力リスト!$K$34,IF($I473=TRUE,入力リスト!$K$35,IF(J473=FALSE,"「毎月の固定給与額」","")&amp;IF(AND(J473=FALSE,OR(K473=FALSE,L473=FALSE,M473=FALSE)),",","")&amp;IF(K473=FALSE,"「賞与額等」","")&amp;IF(AND(K473=FALSE,OR(L473=FALSE,M473=FALSE)),",","")&amp;IF(L473=FALSE,"「残業手当」","")&amp;IF(AND(L473=FALSE,M473=FALSE),",","")&amp;IF(M473=FALSE,"「残業時間」","")&amp;IF(OR(J473=FALSE,K473=FALSE,L473=FALSE,M473=FALSE),入力リスト!$K$36,"")&amp;IF(N473,"",入力リスト!$K$37)))</f>
        <v/>
      </c>
      <c r="H473" s="215"/>
      <c r="I473" s="1" t="b">
        <f>IF(B473="",FALSE,COUNTIF('従業員情報(給与以外)'!$A$4:$A$1000000,$B473)=0)</f>
        <v>0</v>
      </c>
      <c r="J473" s="8" t="b">
        <f t="shared" si="35"/>
        <v>1</v>
      </c>
      <c r="K473" s="8" t="b">
        <f t="shared" si="36"/>
        <v>1</v>
      </c>
      <c r="L473" s="8" t="b">
        <f t="shared" si="37"/>
        <v>1</v>
      </c>
      <c r="M473" s="8" t="b">
        <f t="shared" si="38"/>
        <v>1</v>
      </c>
      <c r="N473" s="1" t="b">
        <f t="shared" si="39"/>
        <v>1</v>
      </c>
      <c r="O473" s="8" t="str">
        <f>IF(F473="","",IF($F$2=入力リスト!$H$25,ROUNDDOWN(INT(F473)+ROUNDDOWN((F473-INT(F473))*100,0)/60,2),F473))</f>
        <v/>
      </c>
      <c r="P473" s="7"/>
      <c r="Q473" s="7"/>
    </row>
    <row r="474" spans="1:17">
      <c r="A474" s="105"/>
      <c r="B474" s="2"/>
      <c r="C474" s="254"/>
      <c r="D474" s="254"/>
      <c r="E474" s="254"/>
      <c r="F474" s="255"/>
      <c r="G474" s="215" t="str">
        <f>IF(AND($B474="",OR(B474&lt;&gt;"",C474&lt;&gt;"",D474&lt;&gt;"",E474&lt;&gt;"",F474&lt;&gt;"")),入力リスト!$K$34,IF($I474=TRUE,入力リスト!$K$35,IF(J474=FALSE,"「毎月の固定給与額」","")&amp;IF(AND(J474=FALSE,OR(K474=FALSE,L474=FALSE,M474=FALSE)),",","")&amp;IF(K474=FALSE,"「賞与額等」","")&amp;IF(AND(K474=FALSE,OR(L474=FALSE,M474=FALSE)),",","")&amp;IF(L474=FALSE,"「残業手当」","")&amp;IF(AND(L474=FALSE,M474=FALSE),",","")&amp;IF(M474=FALSE,"「残業時間」","")&amp;IF(OR(J474=FALSE,K474=FALSE,L474=FALSE,M474=FALSE),入力リスト!$K$36,"")&amp;IF(N474,"",入力リスト!$K$37)))</f>
        <v/>
      </c>
      <c r="H474" s="215"/>
      <c r="I474" s="1" t="b">
        <f>IF(B474="",FALSE,COUNTIF('従業員情報(給与以外)'!$A$4:$A$1000000,$B474)=0)</f>
        <v>0</v>
      </c>
      <c r="J474" s="8" t="b">
        <f t="shared" si="35"/>
        <v>1</v>
      </c>
      <c r="K474" s="8" t="b">
        <f t="shared" si="36"/>
        <v>1</v>
      </c>
      <c r="L474" s="8" t="b">
        <f t="shared" si="37"/>
        <v>1</v>
      </c>
      <c r="M474" s="8" t="b">
        <f t="shared" si="38"/>
        <v>1</v>
      </c>
      <c r="N474" s="1" t="b">
        <f t="shared" si="39"/>
        <v>1</v>
      </c>
      <c r="O474" s="8" t="str">
        <f>IF(F474="","",IF($F$2=入力リスト!$H$25,ROUNDDOWN(INT(F474)+ROUNDDOWN((F474-INT(F474))*100,0)/60,2),F474))</f>
        <v/>
      </c>
      <c r="P474" s="7"/>
      <c r="Q474" s="7"/>
    </row>
    <row r="475" spans="1:17">
      <c r="A475" s="105"/>
      <c r="B475" s="2"/>
      <c r="C475" s="254"/>
      <c r="D475" s="254"/>
      <c r="E475" s="254"/>
      <c r="F475" s="255"/>
      <c r="G475" s="215" t="str">
        <f>IF(AND($B475="",OR(B475&lt;&gt;"",C475&lt;&gt;"",D475&lt;&gt;"",E475&lt;&gt;"",F475&lt;&gt;"")),入力リスト!$K$34,IF($I475=TRUE,入力リスト!$K$35,IF(J475=FALSE,"「毎月の固定給与額」","")&amp;IF(AND(J475=FALSE,OR(K475=FALSE,L475=FALSE,M475=FALSE)),",","")&amp;IF(K475=FALSE,"「賞与額等」","")&amp;IF(AND(K475=FALSE,OR(L475=FALSE,M475=FALSE)),",","")&amp;IF(L475=FALSE,"「残業手当」","")&amp;IF(AND(L475=FALSE,M475=FALSE),",","")&amp;IF(M475=FALSE,"「残業時間」","")&amp;IF(OR(J475=FALSE,K475=FALSE,L475=FALSE,M475=FALSE),入力リスト!$K$36,"")&amp;IF(N475,"",入力リスト!$K$37)))</f>
        <v/>
      </c>
      <c r="H475" s="215"/>
      <c r="I475" s="1" t="b">
        <f>IF(B475="",FALSE,COUNTIF('従業員情報(給与以外)'!$A$4:$A$1000000,$B475)=0)</f>
        <v>0</v>
      </c>
      <c r="J475" s="8" t="b">
        <f t="shared" si="35"/>
        <v>1</v>
      </c>
      <c r="K475" s="8" t="b">
        <f t="shared" si="36"/>
        <v>1</v>
      </c>
      <c r="L475" s="8" t="b">
        <f t="shared" si="37"/>
        <v>1</v>
      </c>
      <c r="M475" s="8" t="b">
        <f t="shared" si="38"/>
        <v>1</v>
      </c>
      <c r="N475" s="1" t="b">
        <f t="shared" si="39"/>
        <v>1</v>
      </c>
      <c r="O475" s="8" t="str">
        <f>IF(F475="","",IF($F$2=入力リスト!$H$25,ROUNDDOWN(INT(F475)+ROUNDDOWN((F475-INT(F475))*100,0)/60,2),F475))</f>
        <v/>
      </c>
      <c r="P475" s="7"/>
      <c r="Q475" s="7"/>
    </row>
    <row r="476" spans="1:17">
      <c r="A476" s="105"/>
      <c r="B476" s="2"/>
      <c r="C476" s="254"/>
      <c r="D476" s="254"/>
      <c r="E476" s="254"/>
      <c r="F476" s="255"/>
      <c r="G476" s="215" t="str">
        <f>IF(AND($B476="",OR(B476&lt;&gt;"",C476&lt;&gt;"",D476&lt;&gt;"",E476&lt;&gt;"",F476&lt;&gt;"")),入力リスト!$K$34,IF($I476=TRUE,入力リスト!$K$35,IF(J476=FALSE,"「毎月の固定給与額」","")&amp;IF(AND(J476=FALSE,OR(K476=FALSE,L476=FALSE,M476=FALSE)),",","")&amp;IF(K476=FALSE,"「賞与額等」","")&amp;IF(AND(K476=FALSE,OR(L476=FALSE,M476=FALSE)),",","")&amp;IF(L476=FALSE,"「残業手当」","")&amp;IF(AND(L476=FALSE,M476=FALSE),",","")&amp;IF(M476=FALSE,"「残業時間」","")&amp;IF(OR(J476=FALSE,K476=FALSE,L476=FALSE,M476=FALSE),入力リスト!$K$36,"")&amp;IF(N476,"",入力リスト!$K$37)))</f>
        <v/>
      </c>
      <c r="H476" s="215"/>
      <c r="I476" s="1" t="b">
        <f>IF(B476="",FALSE,COUNTIF('従業員情報(給与以外)'!$A$4:$A$1000000,$B476)=0)</f>
        <v>0</v>
      </c>
      <c r="J476" s="8" t="b">
        <f t="shared" si="35"/>
        <v>1</v>
      </c>
      <c r="K476" s="8" t="b">
        <f t="shared" si="36"/>
        <v>1</v>
      </c>
      <c r="L476" s="8" t="b">
        <f t="shared" si="37"/>
        <v>1</v>
      </c>
      <c r="M476" s="8" t="b">
        <f t="shared" si="38"/>
        <v>1</v>
      </c>
      <c r="N476" s="1" t="b">
        <f t="shared" si="39"/>
        <v>1</v>
      </c>
      <c r="O476" s="8" t="str">
        <f>IF(F476="","",IF($F$2=入力リスト!$H$25,ROUNDDOWN(INT(F476)+ROUNDDOWN((F476-INT(F476))*100,0)/60,2),F476))</f>
        <v/>
      </c>
      <c r="P476" s="7"/>
      <c r="Q476" s="7"/>
    </row>
    <row r="477" spans="1:17">
      <c r="A477" s="105"/>
      <c r="B477" s="2"/>
      <c r="C477" s="254"/>
      <c r="D477" s="254"/>
      <c r="E477" s="254"/>
      <c r="F477" s="255"/>
      <c r="G477" s="215" t="str">
        <f>IF(AND($B477="",OR(B477&lt;&gt;"",C477&lt;&gt;"",D477&lt;&gt;"",E477&lt;&gt;"",F477&lt;&gt;"")),入力リスト!$K$34,IF($I477=TRUE,入力リスト!$K$35,IF(J477=FALSE,"「毎月の固定給与額」","")&amp;IF(AND(J477=FALSE,OR(K477=FALSE,L477=FALSE,M477=FALSE)),",","")&amp;IF(K477=FALSE,"「賞与額等」","")&amp;IF(AND(K477=FALSE,OR(L477=FALSE,M477=FALSE)),",","")&amp;IF(L477=FALSE,"「残業手当」","")&amp;IF(AND(L477=FALSE,M477=FALSE),",","")&amp;IF(M477=FALSE,"「残業時間」","")&amp;IF(OR(J477=FALSE,K477=FALSE,L477=FALSE,M477=FALSE),入力リスト!$K$36,"")&amp;IF(N477,"",入力リスト!$K$37)))</f>
        <v/>
      </c>
      <c r="H477" s="215"/>
      <c r="I477" s="1" t="b">
        <f>IF(B477="",FALSE,COUNTIF('従業員情報(給与以外)'!$A$4:$A$1000000,$B477)=0)</f>
        <v>0</v>
      </c>
      <c r="J477" s="8" t="b">
        <f t="shared" si="35"/>
        <v>1</v>
      </c>
      <c r="K477" s="8" t="b">
        <f t="shared" si="36"/>
        <v>1</v>
      </c>
      <c r="L477" s="8" t="b">
        <f t="shared" si="37"/>
        <v>1</v>
      </c>
      <c r="M477" s="8" t="b">
        <f t="shared" si="38"/>
        <v>1</v>
      </c>
      <c r="N477" s="1" t="b">
        <f t="shared" si="39"/>
        <v>1</v>
      </c>
      <c r="O477" s="8" t="str">
        <f>IF(F477="","",IF($F$2=入力リスト!$H$25,ROUNDDOWN(INT(F477)+ROUNDDOWN((F477-INT(F477))*100,0)/60,2),F477))</f>
        <v/>
      </c>
      <c r="P477" s="7"/>
      <c r="Q477" s="7"/>
    </row>
    <row r="478" spans="1:17">
      <c r="A478" s="105"/>
      <c r="B478" s="2"/>
      <c r="C478" s="254"/>
      <c r="D478" s="254"/>
      <c r="E478" s="254"/>
      <c r="F478" s="255"/>
      <c r="G478" s="215" t="str">
        <f>IF(AND($B478="",OR(B478&lt;&gt;"",C478&lt;&gt;"",D478&lt;&gt;"",E478&lt;&gt;"",F478&lt;&gt;"")),入力リスト!$K$34,IF($I478=TRUE,入力リスト!$K$35,IF(J478=FALSE,"「毎月の固定給与額」","")&amp;IF(AND(J478=FALSE,OR(K478=FALSE,L478=FALSE,M478=FALSE)),",","")&amp;IF(K478=FALSE,"「賞与額等」","")&amp;IF(AND(K478=FALSE,OR(L478=FALSE,M478=FALSE)),",","")&amp;IF(L478=FALSE,"「残業手当」","")&amp;IF(AND(L478=FALSE,M478=FALSE),",","")&amp;IF(M478=FALSE,"「残業時間」","")&amp;IF(OR(J478=FALSE,K478=FALSE,L478=FALSE,M478=FALSE),入力リスト!$K$36,"")&amp;IF(N478,"",入力リスト!$K$37)))</f>
        <v/>
      </c>
      <c r="H478" s="215"/>
      <c r="I478" s="1" t="b">
        <f>IF(B478="",FALSE,COUNTIF('従業員情報(給与以外)'!$A$4:$A$1000000,$B478)=0)</f>
        <v>0</v>
      </c>
      <c r="J478" s="8" t="b">
        <f t="shared" si="35"/>
        <v>1</v>
      </c>
      <c r="K478" s="8" t="b">
        <f t="shared" si="36"/>
        <v>1</v>
      </c>
      <c r="L478" s="8" t="b">
        <f t="shared" si="37"/>
        <v>1</v>
      </c>
      <c r="M478" s="8" t="b">
        <f t="shared" si="38"/>
        <v>1</v>
      </c>
      <c r="N478" s="1" t="b">
        <f t="shared" si="39"/>
        <v>1</v>
      </c>
      <c r="O478" s="8" t="str">
        <f>IF(F478="","",IF($F$2=入力リスト!$H$25,ROUNDDOWN(INT(F478)+ROUNDDOWN((F478-INT(F478))*100,0)/60,2),F478))</f>
        <v/>
      </c>
      <c r="P478" s="7"/>
      <c r="Q478" s="7"/>
    </row>
    <row r="479" spans="1:17">
      <c r="A479" s="105"/>
      <c r="B479" s="2"/>
      <c r="C479" s="254"/>
      <c r="D479" s="254"/>
      <c r="E479" s="254"/>
      <c r="F479" s="255"/>
      <c r="G479" s="215" t="str">
        <f>IF(AND($B479="",OR(B479&lt;&gt;"",C479&lt;&gt;"",D479&lt;&gt;"",E479&lt;&gt;"",F479&lt;&gt;"")),入力リスト!$K$34,IF($I479=TRUE,入力リスト!$K$35,IF(J479=FALSE,"「毎月の固定給与額」","")&amp;IF(AND(J479=FALSE,OR(K479=FALSE,L479=FALSE,M479=FALSE)),",","")&amp;IF(K479=FALSE,"「賞与額等」","")&amp;IF(AND(K479=FALSE,OR(L479=FALSE,M479=FALSE)),",","")&amp;IF(L479=FALSE,"「残業手当」","")&amp;IF(AND(L479=FALSE,M479=FALSE),",","")&amp;IF(M479=FALSE,"「残業時間」","")&amp;IF(OR(J479=FALSE,K479=FALSE,L479=FALSE,M479=FALSE),入力リスト!$K$36,"")&amp;IF(N479,"",入力リスト!$K$37)))</f>
        <v/>
      </c>
      <c r="H479" s="215"/>
      <c r="I479" s="1" t="b">
        <f>IF(B479="",FALSE,COUNTIF('従業員情報(給与以外)'!$A$4:$A$1000000,$B479)=0)</f>
        <v>0</v>
      </c>
      <c r="J479" s="8" t="b">
        <f t="shared" si="35"/>
        <v>1</v>
      </c>
      <c r="K479" s="8" t="b">
        <f t="shared" si="36"/>
        <v>1</v>
      </c>
      <c r="L479" s="8" t="b">
        <f t="shared" si="37"/>
        <v>1</v>
      </c>
      <c r="M479" s="8" t="b">
        <f t="shared" si="38"/>
        <v>1</v>
      </c>
      <c r="N479" s="1" t="b">
        <f t="shared" si="39"/>
        <v>1</v>
      </c>
      <c r="O479" s="8" t="str">
        <f>IF(F479="","",IF($F$2=入力リスト!$H$25,ROUNDDOWN(INT(F479)+ROUNDDOWN((F479-INT(F479))*100,0)/60,2),F479))</f>
        <v/>
      </c>
      <c r="P479" s="7"/>
      <c r="Q479" s="7"/>
    </row>
    <row r="480" spans="1:17">
      <c r="A480" s="105"/>
      <c r="B480" s="2"/>
      <c r="C480" s="254"/>
      <c r="D480" s="254"/>
      <c r="E480" s="254"/>
      <c r="F480" s="255"/>
      <c r="G480" s="215" t="str">
        <f>IF(AND($B480="",OR(B480&lt;&gt;"",C480&lt;&gt;"",D480&lt;&gt;"",E480&lt;&gt;"",F480&lt;&gt;"")),入力リスト!$K$34,IF($I480=TRUE,入力リスト!$K$35,IF(J480=FALSE,"「毎月の固定給与額」","")&amp;IF(AND(J480=FALSE,OR(K480=FALSE,L480=FALSE,M480=FALSE)),",","")&amp;IF(K480=FALSE,"「賞与額等」","")&amp;IF(AND(K480=FALSE,OR(L480=FALSE,M480=FALSE)),",","")&amp;IF(L480=FALSE,"「残業手当」","")&amp;IF(AND(L480=FALSE,M480=FALSE),",","")&amp;IF(M480=FALSE,"「残業時間」","")&amp;IF(OR(J480=FALSE,K480=FALSE,L480=FALSE,M480=FALSE),入力リスト!$K$36,"")&amp;IF(N480,"",入力リスト!$K$37)))</f>
        <v/>
      </c>
      <c r="H480" s="215"/>
      <c r="I480" s="1" t="b">
        <f>IF(B480="",FALSE,COUNTIF('従業員情報(給与以外)'!$A$4:$A$1000000,$B480)=0)</f>
        <v>0</v>
      </c>
      <c r="J480" s="8" t="b">
        <f t="shared" si="35"/>
        <v>1</v>
      </c>
      <c r="K480" s="8" t="b">
        <f t="shared" si="36"/>
        <v>1</v>
      </c>
      <c r="L480" s="8" t="b">
        <f t="shared" si="37"/>
        <v>1</v>
      </c>
      <c r="M480" s="8" t="b">
        <f t="shared" si="38"/>
        <v>1</v>
      </c>
      <c r="N480" s="1" t="b">
        <f t="shared" si="39"/>
        <v>1</v>
      </c>
      <c r="O480" s="8" t="str">
        <f>IF(F480="","",IF($F$2=入力リスト!$H$25,ROUNDDOWN(INT(F480)+ROUNDDOWN((F480-INT(F480))*100,0)/60,2),F480))</f>
        <v/>
      </c>
      <c r="P480" s="7"/>
      <c r="Q480" s="7"/>
    </row>
    <row r="481" spans="1:17">
      <c r="A481" s="105"/>
      <c r="B481" s="2"/>
      <c r="C481" s="254"/>
      <c r="D481" s="254"/>
      <c r="E481" s="254"/>
      <c r="F481" s="255"/>
      <c r="G481" s="215" t="str">
        <f>IF(AND($B481="",OR(B481&lt;&gt;"",C481&lt;&gt;"",D481&lt;&gt;"",E481&lt;&gt;"",F481&lt;&gt;"")),入力リスト!$K$34,IF($I481=TRUE,入力リスト!$K$35,IF(J481=FALSE,"「毎月の固定給与額」","")&amp;IF(AND(J481=FALSE,OR(K481=FALSE,L481=FALSE,M481=FALSE)),",","")&amp;IF(K481=FALSE,"「賞与額等」","")&amp;IF(AND(K481=FALSE,OR(L481=FALSE,M481=FALSE)),",","")&amp;IF(L481=FALSE,"「残業手当」","")&amp;IF(AND(L481=FALSE,M481=FALSE),",","")&amp;IF(M481=FALSE,"「残業時間」","")&amp;IF(OR(J481=FALSE,K481=FALSE,L481=FALSE,M481=FALSE),入力リスト!$K$36,"")&amp;IF(N481,"",入力リスト!$K$37)))</f>
        <v/>
      </c>
      <c r="H481" s="215"/>
      <c r="I481" s="1" t="b">
        <f>IF(B481="",FALSE,COUNTIF('従業員情報(給与以外)'!$A$4:$A$1000000,$B481)=0)</f>
        <v>0</v>
      </c>
      <c r="J481" s="8" t="b">
        <f t="shared" si="35"/>
        <v>1</v>
      </c>
      <c r="K481" s="8" t="b">
        <f t="shared" si="36"/>
        <v>1</v>
      </c>
      <c r="L481" s="8" t="b">
        <f t="shared" si="37"/>
        <v>1</v>
      </c>
      <c r="M481" s="8" t="b">
        <f t="shared" si="38"/>
        <v>1</v>
      </c>
      <c r="N481" s="1" t="b">
        <f t="shared" si="39"/>
        <v>1</v>
      </c>
      <c r="O481" s="8" t="str">
        <f>IF(F481="","",IF($F$2=入力リスト!$H$25,ROUNDDOWN(INT(F481)+ROUNDDOWN((F481-INT(F481))*100,0)/60,2),F481))</f>
        <v/>
      </c>
      <c r="P481" s="7"/>
      <c r="Q481" s="7"/>
    </row>
    <row r="482" spans="1:17">
      <c r="A482" s="105"/>
      <c r="B482" s="2"/>
      <c r="C482" s="254"/>
      <c r="D482" s="254"/>
      <c r="E482" s="254"/>
      <c r="F482" s="255"/>
      <c r="G482" s="215" t="str">
        <f>IF(AND($B482="",OR(B482&lt;&gt;"",C482&lt;&gt;"",D482&lt;&gt;"",E482&lt;&gt;"",F482&lt;&gt;"")),入力リスト!$K$34,IF($I482=TRUE,入力リスト!$K$35,IF(J482=FALSE,"「毎月の固定給与額」","")&amp;IF(AND(J482=FALSE,OR(K482=FALSE,L482=FALSE,M482=FALSE)),",","")&amp;IF(K482=FALSE,"「賞与額等」","")&amp;IF(AND(K482=FALSE,OR(L482=FALSE,M482=FALSE)),",","")&amp;IF(L482=FALSE,"「残業手当」","")&amp;IF(AND(L482=FALSE,M482=FALSE),",","")&amp;IF(M482=FALSE,"「残業時間」","")&amp;IF(OR(J482=FALSE,K482=FALSE,L482=FALSE,M482=FALSE),入力リスト!$K$36,"")&amp;IF(N482,"",入力リスト!$K$37)))</f>
        <v/>
      </c>
      <c r="H482" s="215"/>
      <c r="I482" s="1" t="b">
        <f>IF(B482="",FALSE,COUNTIF('従業員情報(給与以外)'!$A$4:$A$1000000,$B482)=0)</f>
        <v>0</v>
      </c>
      <c r="J482" s="8" t="b">
        <f t="shared" si="35"/>
        <v>1</v>
      </c>
      <c r="K482" s="8" t="b">
        <f t="shared" si="36"/>
        <v>1</v>
      </c>
      <c r="L482" s="8" t="b">
        <f t="shared" si="37"/>
        <v>1</v>
      </c>
      <c r="M482" s="8" t="b">
        <f t="shared" si="38"/>
        <v>1</v>
      </c>
      <c r="N482" s="1" t="b">
        <f t="shared" si="39"/>
        <v>1</v>
      </c>
      <c r="O482" s="8" t="str">
        <f>IF(F482="","",IF($F$2=入力リスト!$H$25,ROUNDDOWN(INT(F482)+ROUNDDOWN((F482-INT(F482))*100,0)/60,2),F482))</f>
        <v/>
      </c>
      <c r="P482" s="7"/>
      <c r="Q482" s="7"/>
    </row>
    <row r="483" spans="1:17">
      <c r="A483" s="105"/>
      <c r="B483" s="2"/>
      <c r="C483" s="254"/>
      <c r="D483" s="254"/>
      <c r="E483" s="254"/>
      <c r="F483" s="255"/>
      <c r="G483" s="215" t="str">
        <f>IF(AND($B483="",OR(B483&lt;&gt;"",C483&lt;&gt;"",D483&lt;&gt;"",E483&lt;&gt;"",F483&lt;&gt;"")),入力リスト!$K$34,IF($I483=TRUE,入力リスト!$K$35,IF(J483=FALSE,"「毎月の固定給与額」","")&amp;IF(AND(J483=FALSE,OR(K483=FALSE,L483=FALSE,M483=FALSE)),",","")&amp;IF(K483=FALSE,"「賞与額等」","")&amp;IF(AND(K483=FALSE,OR(L483=FALSE,M483=FALSE)),",","")&amp;IF(L483=FALSE,"「残業手当」","")&amp;IF(AND(L483=FALSE,M483=FALSE),",","")&amp;IF(M483=FALSE,"「残業時間」","")&amp;IF(OR(J483=FALSE,K483=FALSE,L483=FALSE,M483=FALSE),入力リスト!$K$36,"")&amp;IF(N483,"",入力リスト!$K$37)))</f>
        <v/>
      </c>
      <c r="H483" s="215"/>
      <c r="I483" s="1" t="b">
        <f>IF(B483="",FALSE,COUNTIF('従業員情報(給与以外)'!$A$4:$A$1000000,$B483)=0)</f>
        <v>0</v>
      </c>
      <c r="J483" s="8" t="b">
        <f t="shared" si="35"/>
        <v>1</v>
      </c>
      <c r="K483" s="8" t="b">
        <f t="shared" si="36"/>
        <v>1</v>
      </c>
      <c r="L483" s="8" t="b">
        <f t="shared" si="37"/>
        <v>1</v>
      </c>
      <c r="M483" s="8" t="b">
        <f t="shared" si="38"/>
        <v>1</v>
      </c>
      <c r="N483" s="1" t="b">
        <f t="shared" si="39"/>
        <v>1</v>
      </c>
      <c r="O483" s="8" t="str">
        <f>IF(F483="","",IF($F$2=入力リスト!$H$25,ROUNDDOWN(INT(F483)+ROUNDDOWN((F483-INT(F483))*100,0)/60,2),F483))</f>
        <v/>
      </c>
      <c r="P483" s="7"/>
      <c r="Q483" s="7"/>
    </row>
    <row r="484" spans="1:17">
      <c r="A484" s="105"/>
      <c r="B484" s="2"/>
      <c r="C484" s="254"/>
      <c r="D484" s="254"/>
      <c r="E484" s="254"/>
      <c r="F484" s="255"/>
      <c r="G484" s="215" t="str">
        <f>IF(AND($B484="",OR(B484&lt;&gt;"",C484&lt;&gt;"",D484&lt;&gt;"",E484&lt;&gt;"",F484&lt;&gt;"")),入力リスト!$K$34,IF($I484=TRUE,入力リスト!$K$35,IF(J484=FALSE,"「毎月の固定給与額」","")&amp;IF(AND(J484=FALSE,OR(K484=FALSE,L484=FALSE,M484=FALSE)),",","")&amp;IF(K484=FALSE,"「賞与額等」","")&amp;IF(AND(K484=FALSE,OR(L484=FALSE,M484=FALSE)),",","")&amp;IF(L484=FALSE,"「残業手当」","")&amp;IF(AND(L484=FALSE,M484=FALSE),",","")&amp;IF(M484=FALSE,"「残業時間」","")&amp;IF(OR(J484=FALSE,K484=FALSE,L484=FALSE,M484=FALSE),入力リスト!$K$36,"")&amp;IF(N484,"",入力リスト!$K$37)))</f>
        <v/>
      </c>
      <c r="H484" s="215"/>
      <c r="I484" s="1" t="b">
        <f>IF(B484="",FALSE,COUNTIF('従業員情報(給与以外)'!$A$4:$A$1000000,$B484)=0)</f>
        <v>0</v>
      </c>
      <c r="J484" s="8" t="b">
        <f t="shared" si="35"/>
        <v>1</v>
      </c>
      <c r="K484" s="8" t="b">
        <f t="shared" si="36"/>
        <v>1</v>
      </c>
      <c r="L484" s="8" t="b">
        <f t="shared" si="37"/>
        <v>1</v>
      </c>
      <c r="M484" s="8" t="b">
        <f t="shared" si="38"/>
        <v>1</v>
      </c>
      <c r="N484" s="1" t="b">
        <f t="shared" si="39"/>
        <v>1</v>
      </c>
      <c r="O484" s="8" t="str">
        <f>IF(F484="","",IF($F$2=入力リスト!$H$25,ROUNDDOWN(INT(F484)+ROUNDDOWN((F484-INT(F484))*100,0)/60,2),F484))</f>
        <v/>
      </c>
      <c r="P484" s="7"/>
      <c r="Q484" s="7"/>
    </row>
    <row r="485" spans="1:17">
      <c r="A485" s="105"/>
      <c r="B485" s="2"/>
      <c r="C485" s="254"/>
      <c r="D485" s="254"/>
      <c r="E485" s="254"/>
      <c r="F485" s="255"/>
      <c r="G485" s="215" t="str">
        <f>IF(AND($B485="",OR(B485&lt;&gt;"",C485&lt;&gt;"",D485&lt;&gt;"",E485&lt;&gt;"",F485&lt;&gt;"")),入力リスト!$K$34,IF($I485=TRUE,入力リスト!$K$35,IF(J485=FALSE,"「毎月の固定給与額」","")&amp;IF(AND(J485=FALSE,OR(K485=FALSE,L485=FALSE,M485=FALSE)),",","")&amp;IF(K485=FALSE,"「賞与額等」","")&amp;IF(AND(K485=FALSE,OR(L485=FALSE,M485=FALSE)),",","")&amp;IF(L485=FALSE,"「残業手当」","")&amp;IF(AND(L485=FALSE,M485=FALSE),",","")&amp;IF(M485=FALSE,"「残業時間」","")&amp;IF(OR(J485=FALSE,K485=FALSE,L485=FALSE,M485=FALSE),入力リスト!$K$36,"")&amp;IF(N485,"",入力リスト!$K$37)))</f>
        <v/>
      </c>
      <c r="H485" s="215"/>
      <c r="I485" s="1" t="b">
        <f>IF(B485="",FALSE,COUNTIF('従業員情報(給与以外)'!$A$4:$A$1000000,$B485)=0)</f>
        <v>0</v>
      </c>
      <c r="J485" s="8" t="b">
        <f t="shared" si="35"/>
        <v>1</v>
      </c>
      <c r="K485" s="8" t="b">
        <f t="shared" si="36"/>
        <v>1</v>
      </c>
      <c r="L485" s="8" t="b">
        <f t="shared" si="37"/>
        <v>1</v>
      </c>
      <c r="M485" s="8" t="b">
        <f t="shared" si="38"/>
        <v>1</v>
      </c>
      <c r="N485" s="1" t="b">
        <f t="shared" si="39"/>
        <v>1</v>
      </c>
      <c r="O485" s="8" t="str">
        <f>IF(F485="","",IF($F$2=入力リスト!$H$25,ROUNDDOWN(INT(F485)+ROUNDDOWN((F485-INT(F485))*100,0)/60,2),F485))</f>
        <v/>
      </c>
      <c r="P485" s="7"/>
      <c r="Q485" s="7"/>
    </row>
    <row r="486" spans="1:17">
      <c r="A486" s="105"/>
      <c r="B486" s="2"/>
      <c r="C486" s="254"/>
      <c r="D486" s="254"/>
      <c r="E486" s="254"/>
      <c r="F486" s="255"/>
      <c r="G486" s="215" t="str">
        <f>IF(AND($B486="",OR(B486&lt;&gt;"",C486&lt;&gt;"",D486&lt;&gt;"",E486&lt;&gt;"",F486&lt;&gt;"")),入力リスト!$K$34,IF($I486=TRUE,入力リスト!$K$35,IF(J486=FALSE,"「毎月の固定給与額」","")&amp;IF(AND(J486=FALSE,OR(K486=FALSE,L486=FALSE,M486=FALSE)),",","")&amp;IF(K486=FALSE,"「賞与額等」","")&amp;IF(AND(K486=FALSE,OR(L486=FALSE,M486=FALSE)),",","")&amp;IF(L486=FALSE,"「残業手当」","")&amp;IF(AND(L486=FALSE,M486=FALSE),",","")&amp;IF(M486=FALSE,"「残業時間」","")&amp;IF(OR(J486=FALSE,K486=FALSE,L486=FALSE,M486=FALSE),入力リスト!$K$36,"")&amp;IF(N486,"",入力リスト!$K$37)))</f>
        <v/>
      </c>
      <c r="H486" s="215"/>
      <c r="I486" s="1" t="b">
        <f>IF(B486="",FALSE,COUNTIF('従業員情報(給与以外)'!$A$4:$A$1000000,$B486)=0)</f>
        <v>0</v>
      </c>
      <c r="J486" s="8" t="b">
        <f t="shared" si="35"/>
        <v>1</v>
      </c>
      <c r="K486" s="8" t="b">
        <f t="shared" si="36"/>
        <v>1</v>
      </c>
      <c r="L486" s="8" t="b">
        <f t="shared" si="37"/>
        <v>1</v>
      </c>
      <c r="M486" s="8" t="b">
        <f t="shared" si="38"/>
        <v>1</v>
      </c>
      <c r="N486" s="1" t="b">
        <f t="shared" si="39"/>
        <v>1</v>
      </c>
      <c r="O486" s="8" t="str">
        <f>IF(F486="","",IF($F$2=入力リスト!$H$25,ROUNDDOWN(INT(F486)+ROUNDDOWN((F486-INT(F486))*100,0)/60,2),F486))</f>
        <v/>
      </c>
      <c r="P486" s="7"/>
      <c r="Q486" s="7"/>
    </row>
    <row r="487" spans="1:17">
      <c r="A487" s="105"/>
      <c r="B487" s="2"/>
      <c r="C487" s="254"/>
      <c r="D487" s="254"/>
      <c r="E487" s="254"/>
      <c r="F487" s="255"/>
      <c r="G487" s="215" t="str">
        <f>IF(AND($B487="",OR(B487&lt;&gt;"",C487&lt;&gt;"",D487&lt;&gt;"",E487&lt;&gt;"",F487&lt;&gt;"")),入力リスト!$K$34,IF($I487=TRUE,入力リスト!$K$35,IF(J487=FALSE,"「毎月の固定給与額」","")&amp;IF(AND(J487=FALSE,OR(K487=FALSE,L487=FALSE,M487=FALSE)),",","")&amp;IF(K487=FALSE,"「賞与額等」","")&amp;IF(AND(K487=FALSE,OR(L487=FALSE,M487=FALSE)),",","")&amp;IF(L487=FALSE,"「残業手当」","")&amp;IF(AND(L487=FALSE,M487=FALSE),",","")&amp;IF(M487=FALSE,"「残業時間」","")&amp;IF(OR(J487=FALSE,K487=FALSE,L487=FALSE,M487=FALSE),入力リスト!$K$36,"")&amp;IF(N487,"",入力リスト!$K$37)))</f>
        <v/>
      </c>
      <c r="H487" s="215"/>
      <c r="I487" s="1" t="b">
        <f>IF(B487="",FALSE,COUNTIF('従業員情報(給与以外)'!$A$4:$A$1000000,$B487)=0)</f>
        <v>0</v>
      </c>
      <c r="J487" s="8" t="b">
        <f t="shared" si="35"/>
        <v>1</v>
      </c>
      <c r="K487" s="8" t="b">
        <f t="shared" si="36"/>
        <v>1</v>
      </c>
      <c r="L487" s="8" t="b">
        <f t="shared" si="37"/>
        <v>1</v>
      </c>
      <c r="M487" s="8" t="b">
        <f t="shared" si="38"/>
        <v>1</v>
      </c>
      <c r="N487" s="1" t="b">
        <f t="shared" si="39"/>
        <v>1</v>
      </c>
      <c r="O487" s="8" t="str">
        <f>IF(F487="","",IF($F$2=入力リスト!$H$25,ROUNDDOWN(INT(F487)+ROUNDDOWN((F487-INT(F487))*100,0)/60,2),F487))</f>
        <v/>
      </c>
      <c r="P487" s="7"/>
      <c r="Q487" s="7"/>
    </row>
    <row r="488" spans="1:17">
      <c r="A488" s="105"/>
      <c r="B488" s="2"/>
      <c r="C488" s="254"/>
      <c r="D488" s="254"/>
      <c r="E488" s="254"/>
      <c r="F488" s="255"/>
      <c r="G488" s="215" t="str">
        <f>IF(AND($B488="",OR(B488&lt;&gt;"",C488&lt;&gt;"",D488&lt;&gt;"",E488&lt;&gt;"",F488&lt;&gt;"")),入力リスト!$K$34,IF($I488=TRUE,入力リスト!$K$35,IF(J488=FALSE,"「毎月の固定給与額」","")&amp;IF(AND(J488=FALSE,OR(K488=FALSE,L488=FALSE,M488=FALSE)),",","")&amp;IF(K488=FALSE,"「賞与額等」","")&amp;IF(AND(K488=FALSE,OR(L488=FALSE,M488=FALSE)),",","")&amp;IF(L488=FALSE,"「残業手当」","")&amp;IF(AND(L488=FALSE,M488=FALSE),",","")&amp;IF(M488=FALSE,"「残業時間」","")&amp;IF(OR(J488=FALSE,K488=FALSE,L488=FALSE,M488=FALSE),入力リスト!$K$36,"")&amp;IF(N488,"",入力リスト!$K$37)))</f>
        <v/>
      </c>
      <c r="H488" s="215"/>
      <c r="I488" s="1" t="b">
        <f>IF(B488="",FALSE,COUNTIF('従業員情報(給与以外)'!$A$4:$A$1000000,$B488)=0)</f>
        <v>0</v>
      </c>
      <c r="J488" s="8" t="b">
        <f t="shared" si="35"/>
        <v>1</v>
      </c>
      <c r="K488" s="8" t="b">
        <f t="shared" si="36"/>
        <v>1</v>
      </c>
      <c r="L488" s="8" t="b">
        <f t="shared" si="37"/>
        <v>1</v>
      </c>
      <c r="M488" s="8" t="b">
        <f t="shared" si="38"/>
        <v>1</v>
      </c>
      <c r="N488" s="1" t="b">
        <f t="shared" si="39"/>
        <v>1</v>
      </c>
      <c r="O488" s="8" t="str">
        <f>IF(F488="","",IF($F$2=入力リスト!$H$25,ROUNDDOWN(INT(F488)+ROUNDDOWN((F488-INT(F488))*100,0)/60,2),F488))</f>
        <v/>
      </c>
      <c r="P488" s="7"/>
      <c r="Q488" s="7"/>
    </row>
    <row r="489" spans="1:17">
      <c r="A489" s="105"/>
      <c r="B489" s="2"/>
      <c r="C489" s="254"/>
      <c r="D489" s="254"/>
      <c r="E489" s="254"/>
      <c r="F489" s="255"/>
      <c r="G489" s="215" t="str">
        <f>IF(AND($B489="",OR(B489&lt;&gt;"",C489&lt;&gt;"",D489&lt;&gt;"",E489&lt;&gt;"",F489&lt;&gt;"")),入力リスト!$K$34,IF($I489=TRUE,入力リスト!$K$35,IF(J489=FALSE,"「毎月の固定給与額」","")&amp;IF(AND(J489=FALSE,OR(K489=FALSE,L489=FALSE,M489=FALSE)),",","")&amp;IF(K489=FALSE,"「賞与額等」","")&amp;IF(AND(K489=FALSE,OR(L489=FALSE,M489=FALSE)),",","")&amp;IF(L489=FALSE,"「残業手当」","")&amp;IF(AND(L489=FALSE,M489=FALSE),",","")&amp;IF(M489=FALSE,"「残業時間」","")&amp;IF(OR(J489=FALSE,K489=FALSE,L489=FALSE,M489=FALSE),入力リスト!$K$36,"")&amp;IF(N489,"",入力リスト!$K$37)))</f>
        <v/>
      </c>
      <c r="H489" s="215"/>
      <c r="I489" s="1" t="b">
        <f>IF(B489="",FALSE,COUNTIF('従業員情報(給与以外)'!$A$4:$A$1000000,$B489)=0)</f>
        <v>0</v>
      </c>
      <c r="J489" s="8" t="b">
        <f t="shared" si="35"/>
        <v>1</v>
      </c>
      <c r="K489" s="8" t="b">
        <f t="shared" si="36"/>
        <v>1</v>
      </c>
      <c r="L489" s="8" t="b">
        <f t="shared" si="37"/>
        <v>1</v>
      </c>
      <c r="M489" s="8" t="b">
        <f t="shared" si="38"/>
        <v>1</v>
      </c>
      <c r="N489" s="1" t="b">
        <f t="shared" si="39"/>
        <v>1</v>
      </c>
      <c r="O489" s="8" t="str">
        <f>IF(F489="","",IF($F$2=入力リスト!$H$25,ROUNDDOWN(INT(F489)+ROUNDDOWN((F489-INT(F489))*100,0)/60,2),F489))</f>
        <v/>
      </c>
      <c r="P489" s="7"/>
      <c r="Q489" s="7"/>
    </row>
    <row r="490" spans="1:17">
      <c r="A490" s="105"/>
      <c r="B490" s="2"/>
      <c r="C490" s="254"/>
      <c r="D490" s="254"/>
      <c r="E490" s="254"/>
      <c r="F490" s="255"/>
      <c r="G490" s="215" t="str">
        <f>IF(AND($B490="",OR(B490&lt;&gt;"",C490&lt;&gt;"",D490&lt;&gt;"",E490&lt;&gt;"",F490&lt;&gt;"")),入力リスト!$K$34,IF($I490=TRUE,入力リスト!$K$35,IF(J490=FALSE,"「毎月の固定給与額」","")&amp;IF(AND(J490=FALSE,OR(K490=FALSE,L490=FALSE,M490=FALSE)),",","")&amp;IF(K490=FALSE,"「賞与額等」","")&amp;IF(AND(K490=FALSE,OR(L490=FALSE,M490=FALSE)),",","")&amp;IF(L490=FALSE,"「残業手当」","")&amp;IF(AND(L490=FALSE,M490=FALSE),",","")&amp;IF(M490=FALSE,"「残業時間」","")&amp;IF(OR(J490=FALSE,K490=FALSE,L490=FALSE,M490=FALSE),入力リスト!$K$36,"")&amp;IF(N490,"",入力リスト!$K$37)))</f>
        <v/>
      </c>
      <c r="H490" s="215"/>
      <c r="I490" s="1" t="b">
        <f>IF(B490="",FALSE,COUNTIF('従業員情報(給与以外)'!$A$4:$A$1000000,$B490)=0)</f>
        <v>0</v>
      </c>
      <c r="J490" s="8" t="b">
        <f t="shared" si="35"/>
        <v>1</v>
      </c>
      <c r="K490" s="8" t="b">
        <f t="shared" si="36"/>
        <v>1</v>
      </c>
      <c r="L490" s="8" t="b">
        <f t="shared" si="37"/>
        <v>1</v>
      </c>
      <c r="M490" s="8" t="b">
        <f t="shared" si="38"/>
        <v>1</v>
      </c>
      <c r="N490" s="1" t="b">
        <f t="shared" si="39"/>
        <v>1</v>
      </c>
      <c r="O490" s="8" t="str">
        <f>IF(F490="","",IF($F$2=入力リスト!$H$25,ROUNDDOWN(INT(F490)+ROUNDDOWN((F490-INT(F490))*100,0)/60,2),F490))</f>
        <v/>
      </c>
      <c r="P490" s="7"/>
      <c r="Q490" s="7"/>
    </row>
    <row r="491" spans="1:17">
      <c r="A491" s="105"/>
      <c r="B491" s="2"/>
      <c r="C491" s="254"/>
      <c r="D491" s="254"/>
      <c r="E491" s="254"/>
      <c r="F491" s="255"/>
      <c r="G491" s="215" t="str">
        <f>IF(AND($B491="",OR(B491&lt;&gt;"",C491&lt;&gt;"",D491&lt;&gt;"",E491&lt;&gt;"",F491&lt;&gt;"")),入力リスト!$K$34,IF($I491=TRUE,入力リスト!$K$35,IF(J491=FALSE,"「毎月の固定給与額」","")&amp;IF(AND(J491=FALSE,OR(K491=FALSE,L491=FALSE,M491=FALSE)),",","")&amp;IF(K491=FALSE,"「賞与額等」","")&amp;IF(AND(K491=FALSE,OR(L491=FALSE,M491=FALSE)),",","")&amp;IF(L491=FALSE,"「残業手当」","")&amp;IF(AND(L491=FALSE,M491=FALSE),",","")&amp;IF(M491=FALSE,"「残業時間」","")&amp;IF(OR(J491=FALSE,K491=FALSE,L491=FALSE,M491=FALSE),入力リスト!$K$36,"")&amp;IF(N491,"",入力リスト!$K$37)))</f>
        <v/>
      </c>
      <c r="H491" s="215"/>
      <c r="I491" s="1" t="b">
        <f>IF(B491="",FALSE,COUNTIF('従業員情報(給与以外)'!$A$4:$A$1000000,$B491)=0)</f>
        <v>0</v>
      </c>
      <c r="J491" s="8" t="b">
        <f t="shared" si="35"/>
        <v>1</v>
      </c>
      <c r="K491" s="8" t="b">
        <f t="shared" si="36"/>
        <v>1</v>
      </c>
      <c r="L491" s="8" t="b">
        <f t="shared" si="37"/>
        <v>1</v>
      </c>
      <c r="M491" s="8" t="b">
        <f t="shared" si="38"/>
        <v>1</v>
      </c>
      <c r="N491" s="1" t="b">
        <f t="shared" si="39"/>
        <v>1</v>
      </c>
      <c r="O491" s="8" t="str">
        <f>IF(F491="","",IF($F$2=入力リスト!$H$25,ROUNDDOWN(INT(F491)+ROUNDDOWN((F491-INT(F491))*100,0)/60,2),F491))</f>
        <v/>
      </c>
      <c r="P491" s="7"/>
      <c r="Q491" s="7"/>
    </row>
    <row r="492" spans="1:17">
      <c r="A492" s="105"/>
      <c r="B492" s="2"/>
      <c r="C492" s="254"/>
      <c r="D492" s="254"/>
      <c r="E492" s="254"/>
      <c r="F492" s="255"/>
      <c r="G492" s="215" t="str">
        <f>IF(AND($B492="",OR(B492&lt;&gt;"",C492&lt;&gt;"",D492&lt;&gt;"",E492&lt;&gt;"",F492&lt;&gt;"")),入力リスト!$K$34,IF($I492=TRUE,入力リスト!$K$35,IF(J492=FALSE,"「毎月の固定給与額」","")&amp;IF(AND(J492=FALSE,OR(K492=FALSE,L492=FALSE,M492=FALSE)),",","")&amp;IF(K492=FALSE,"「賞与額等」","")&amp;IF(AND(K492=FALSE,OR(L492=FALSE,M492=FALSE)),",","")&amp;IF(L492=FALSE,"「残業手当」","")&amp;IF(AND(L492=FALSE,M492=FALSE),",","")&amp;IF(M492=FALSE,"「残業時間」","")&amp;IF(OR(J492=FALSE,K492=FALSE,L492=FALSE,M492=FALSE),入力リスト!$K$36,"")&amp;IF(N492,"",入力リスト!$K$37)))</f>
        <v/>
      </c>
      <c r="H492" s="215"/>
      <c r="I492" s="1" t="b">
        <f>IF(B492="",FALSE,COUNTIF('従業員情報(給与以外)'!$A$4:$A$1000000,$B492)=0)</f>
        <v>0</v>
      </c>
      <c r="J492" s="8" t="b">
        <f t="shared" si="35"/>
        <v>1</v>
      </c>
      <c r="K492" s="8" t="b">
        <f t="shared" si="36"/>
        <v>1</v>
      </c>
      <c r="L492" s="8" t="b">
        <f t="shared" si="37"/>
        <v>1</v>
      </c>
      <c r="M492" s="8" t="b">
        <f t="shared" si="38"/>
        <v>1</v>
      </c>
      <c r="N492" s="1" t="b">
        <f t="shared" si="39"/>
        <v>1</v>
      </c>
      <c r="O492" s="8" t="str">
        <f>IF(F492="","",IF($F$2=入力リスト!$H$25,ROUNDDOWN(INT(F492)+ROUNDDOWN((F492-INT(F492))*100,0)/60,2),F492))</f>
        <v/>
      </c>
      <c r="P492" s="7"/>
      <c r="Q492" s="7"/>
    </row>
    <row r="493" spans="1:17">
      <c r="A493" s="105"/>
      <c r="B493" s="2"/>
      <c r="C493" s="254"/>
      <c r="D493" s="254"/>
      <c r="E493" s="254"/>
      <c r="F493" s="255"/>
      <c r="G493" s="215" t="str">
        <f>IF(AND($B493="",OR(B493&lt;&gt;"",C493&lt;&gt;"",D493&lt;&gt;"",E493&lt;&gt;"",F493&lt;&gt;"")),入力リスト!$K$34,IF($I493=TRUE,入力リスト!$K$35,IF(J493=FALSE,"「毎月の固定給与額」","")&amp;IF(AND(J493=FALSE,OR(K493=FALSE,L493=FALSE,M493=FALSE)),",","")&amp;IF(K493=FALSE,"「賞与額等」","")&amp;IF(AND(K493=FALSE,OR(L493=FALSE,M493=FALSE)),",","")&amp;IF(L493=FALSE,"「残業手当」","")&amp;IF(AND(L493=FALSE,M493=FALSE),",","")&amp;IF(M493=FALSE,"「残業時間」","")&amp;IF(OR(J493=FALSE,K493=FALSE,L493=FALSE,M493=FALSE),入力リスト!$K$36,"")&amp;IF(N493,"",入力リスト!$K$37)))</f>
        <v/>
      </c>
      <c r="H493" s="215"/>
      <c r="I493" s="1" t="b">
        <f>IF(B493="",FALSE,COUNTIF('従業員情報(給与以外)'!$A$4:$A$1000000,$B493)=0)</f>
        <v>0</v>
      </c>
      <c r="J493" s="8" t="b">
        <f t="shared" si="35"/>
        <v>1</v>
      </c>
      <c r="K493" s="8" t="b">
        <f t="shared" si="36"/>
        <v>1</v>
      </c>
      <c r="L493" s="8" t="b">
        <f t="shared" si="37"/>
        <v>1</v>
      </c>
      <c r="M493" s="8" t="b">
        <f t="shared" si="38"/>
        <v>1</v>
      </c>
      <c r="N493" s="1" t="b">
        <f t="shared" si="39"/>
        <v>1</v>
      </c>
      <c r="O493" s="8" t="str">
        <f>IF(F493="","",IF($F$2=入力リスト!$H$25,ROUNDDOWN(INT(F493)+ROUNDDOWN((F493-INT(F493))*100,0)/60,2),F493))</f>
        <v/>
      </c>
      <c r="P493" s="7"/>
      <c r="Q493" s="7"/>
    </row>
    <row r="494" spans="1:17">
      <c r="A494" s="105"/>
      <c r="B494" s="2"/>
      <c r="C494" s="254"/>
      <c r="D494" s="254"/>
      <c r="E494" s="254"/>
      <c r="F494" s="255"/>
      <c r="G494" s="215" t="str">
        <f>IF(AND($B494="",OR(B494&lt;&gt;"",C494&lt;&gt;"",D494&lt;&gt;"",E494&lt;&gt;"",F494&lt;&gt;"")),入力リスト!$K$34,IF($I494=TRUE,入力リスト!$K$35,IF(J494=FALSE,"「毎月の固定給与額」","")&amp;IF(AND(J494=FALSE,OR(K494=FALSE,L494=FALSE,M494=FALSE)),",","")&amp;IF(K494=FALSE,"「賞与額等」","")&amp;IF(AND(K494=FALSE,OR(L494=FALSE,M494=FALSE)),",","")&amp;IF(L494=FALSE,"「残業手当」","")&amp;IF(AND(L494=FALSE,M494=FALSE),",","")&amp;IF(M494=FALSE,"「残業時間」","")&amp;IF(OR(J494=FALSE,K494=FALSE,L494=FALSE,M494=FALSE),入力リスト!$K$36,"")&amp;IF(N494,"",入力リスト!$K$37)))</f>
        <v/>
      </c>
      <c r="H494" s="215"/>
      <c r="I494" s="1" t="b">
        <f>IF(B494="",FALSE,COUNTIF('従業員情報(給与以外)'!$A$4:$A$1000000,$B494)=0)</f>
        <v>0</v>
      </c>
      <c r="J494" s="8" t="b">
        <f t="shared" si="35"/>
        <v>1</v>
      </c>
      <c r="K494" s="8" t="b">
        <f t="shared" si="36"/>
        <v>1</v>
      </c>
      <c r="L494" s="8" t="b">
        <f t="shared" si="37"/>
        <v>1</v>
      </c>
      <c r="M494" s="8" t="b">
        <f t="shared" si="38"/>
        <v>1</v>
      </c>
      <c r="N494" s="1" t="b">
        <f t="shared" si="39"/>
        <v>1</v>
      </c>
      <c r="O494" s="8" t="str">
        <f>IF(F494="","",IF($F$2=入力リスト!$H$25,ROUNDDOWN(INT(F494)+ROUNDDOWN((F494-INT(F494))*100,0)/60,2),F494))</f>
        <v/>
      </c>
      <c r="P494" s="7"/>
      <c r="Q494" s="7"/>
    </row>
    <row r="495" spans="1:17">
      <c r="A495" s="105"/>
      <c r="B495" s="2"/>
      <c r="C495" s="254"/>
      <c r="D495" s="254"/>
      <c r="E495" s="254"/>
      <c r="F495" s="255"/>
      <c r="G495" s="215" t="str">
        <f>IF(AND($B495="",OR(B495&lt;&gt;"",C495&lt;&gt;"",D495&lt;&gt;"",E495&lt;&gt;"",F495&lt;&gt;"")),入力リスト!$K$34,IF($I495=TRUE,入力リスト!$K$35,IF(J495=FALSE,"「毎月の固定給与額」","")&amp;IF(AND(J495=FALSE,OR(K495=FALSE,L495=FALSE,M495=FALSE)),",","")&amp;IF(K495=FALSE,"「賞与額等」","")&amp;IF(AND(K495=FALSE,OR(L495=FALSE,M495=FALSE)),",","")&amp;IF(L495=FALSE,"「残業手当」","")&amp;IF(AND(L495=FALSE,M495=FALSE),",","")&amp;IF(M495=FALSE,"「残業時間」","")&amp;IF(OR(J495=FALSE,K495=FALSE,L495=FALSE,M495=FALSE),入力リスト!$K$36,"")&amp;IF(N495,"",入力リスト!$K$37)))</f>
        <v/>
      </c>
      <c r="H495" s="215"/>
      <c r="I495" s="1" t="b">
        <f>IF(B495="",FALSE,COUNTIF('従業員情報(給与以外)'!$A$4:$A$1000000,$B495)=0)</f>
        <v>0</v>
      </c>
      <c r="J495" s="8" t="b">
        <f t="shared" si="35"/>
        <v>1</v>
      </c>
      <c r="K495" s="8" t="b">
        <f t="shared" si="36"/>
        <v>1</v>
      </c>
      <c r="L495" s="8" t="b">
        <f t="shared" si="37"/>
        <v>1</v>
      </c>
      <c r="M495" s="8" t="b">
        <f t="shared" si="38"/>
        <v>1</v>
      </c>
      <c r="N495" s="1" t="b">
        <f t="shared" si="39"/>
        <v>1</v>
      </c>
      <c r="O495" s="8" t="str">
        <f>IF(F495="","",IF($F$2=入力リスト!$H$25,ROUNDDOWN(INT(F495)+ROUNDDOWN((F495-INT(F495))*100,0)/60,2),F495))</f>
        <v/>
      </c>
      <c r="P495" s="7"/>
      <c r="Q495" s="7"/>
    </row>
    <row r="496" spans="1:17">
      <c r="A496" s="105"/>
      <c r="B496" s="2"/>
      <c r="C496" s="254"/>
      <c r="D496" s="254"/>
      <c r="E496" s="254"/>
      <c r="F496" s="255"/>
      <c r="G496" s="215" t="str">
        <f>IF(AND($B496="",OR(B496&lt;&gt;"",C496&lt;&gt;"",D496&lt;&gt;"",E496&lt;&gt;"",F496&lt;&gt;"")),入力リスト!$K$34,IF($I496=TRUE,入力リスト!$K$35,IF(J496=FALSE,"「毎月の固定給与額」","")&amp;IF(AND(J496=FALSE,OR(K496=FALSE,L496=FALSE,M496=FALSE)),",","")&amp;IF(K496=FALSE,"「賞与額等」","")&amp;IF(AND(K496=FALSE,OR(L496=FALSE,M496=FALSE)),",","")&amp;IF(L496=FALSE,"「残業手当」","")&amp;IF(AND(L496=FALSE,M496=FALSE),",","")&amp;IF(M496=FALSE,"「残業時間」","")&amp;IF(OR(J496=FALSE,K496=FALSE,L496=FALSE,M496=FALSE),入力リスト!$K$36,"")&amp;IF(N496,"",入力リスト!$K$37)))</f>
        <v/>
      </c>
      <c r="H496" s="215"/>
      <c r="I496" s="1" t="b">
        <f>IF(B496="",FALSE,COUNTIF('従業員情報(給与以外)'!$A$4:$A$1000000,$B496)=0)</f>
        <v>0</v>
      </c>
      <c r="J496" s="8" t="b">
        <f t="shared" si="35"/>
        <v>1</v>
      </c>
      <c r="K496" s="8" t="b">
        <f t="shared" si="36"/>
        <v>1</v>
      </c>
      <c r="L496" s="8" t="b">
        <f t="shared" si="37"/>
        <v>1</v>
      </c>
      <c r="M496" s="8" t="b">
        <f t="shared" si="38"/>
        <v>1</v>
      </c>
      <c r="N496" s="1" t="b">
        <f t="shared" si="39"/>
        <v>1</v>
      </c>
      <c r="O496" s="8" t="str">
        <f>IF(F496="","",IF($F$2=入力リスト!$H$25,ROUNDDOWN(INT(F496)+ROUNDDOWN((F496-INT(F496))*100,0)/60,2),F496))</f>
        <v/>
      </c>
      <c r="P496" s="7"/>
      <c r="Q496" s="7"/>
    </row>
    <row r="497" spans="1:17">
      <c r="A497" s="105"/>
      <c r="B497" s="2"/>
      <c r="C497" s="254"/>
      <c r="D497" s="254"/>
      <c r="E497" s="254"/>
      <c r="F497" s="255"/>
      <c r="G497" s="215" t="str">
        <f>IF(AND($B497="",OR(B497&lt;&gt;"",C497&lt;&gt;"",D497&lt;&gt;"",E497&lt;&gt;"",F497&lt;&gt;"")),入力リスト!$K$34,IF($I497=TRUE,入力リスト!$K$35,IF(J497=FALSE,"「毎月の固定給与額」","")&amp;IF(AND(J497=FALSE,OR(K497=FALSE,L497=FALSE,M497=FALSE)),",","")&amp;IF(K497=FALSE,"「賞与額等」","")&amp;IF(AND(K497=FALSE,OR(L497=FALSE,M497=FALSE)),",","")&amp;IF(L497=FALSE,"「残業手当」","")&amp;IF(AND(L497=FALSE,M497=FALSE),",","")&amp;IF(M497=FALSE,"「残業時間」","")&amp;IF(OR(J497=FALSE,K497=FALSE,L497=FALSE,M497=FALSE),入力リスト!$K$36,"")&amp;IF(N497,"",入力リスト!$K$37)))</f>
        <v/>
      </c>
      <c r="H497" s="215"/>
      <c r="I497" s="1" t="b">
        <f>IF(B497="",FALSE,COUNTIF('従業員情報(給与以外)'!$A$4:$A$1000000,$B497)=0)</f>
        <v>0</v>
      </c>
      <c r="J497" s="8" t="b">
        <f t="shared" si="35"/>
        <v>1</v>
      </c>
      <c r="K497" s="8" t="b">
        <f t="shared" si="36"/>
        <v>1</v>
      </c>
      <c r="L497" s="8" t="b">
        <f t="shared" si="37"/>
        <v>1</v>
      </c>
      <c r="M497" s="8" t="b">
        <f t="shared" si="38"/>
        <v>1</v>
      </c>
      <c r="N497" s="1" t="b">
        <f t="shared" si="39"/>
        <v>1</v>
      </c>
      <c r="O497" s="8" t="str">
        <f>IF(F497="","",IF($F$2=入力リスト!$H$25,ROUNDDOWN(INT(F497)+ROUNDDOWN((F497-INT(F497))*100,0)/60,2),F497))</f>
        <v/>
      </c>
      <c r="P497" s="7"/>
      <c r="Q497" s="7"/>
    </row>
    <row r="498" spans="1:17">
      <c r="A498" s="105"/>
      <c r="B498" s="2"/>
      <c r="C498" s="254"/>
      <c r="D498" s="254"/>
      <c r="E498" s="254"/>
      <c r="F498" s="255"/>
      <c r="G498" s="215" t="str">
        <f>IF(AND($B498="",OR(B498&lt;&gt;"",C498&lt;&gt;"",D498&lt;&gt;"",E498&lt;&gt;"",F498&lt;&gt;"")),入力リスト!$K$34,IF($I498=TRUE,入力リスト!$K$35,IF(J498=FALSE,"「毎月の固定給与額」","")&amp;IF(AND(J498=FALSE,OR(K498=FALSE,L498=FALSE,M498=FALSE)),",","")&amp;IF(K498=FALSE,"「賞与額等」","")&amp;IF(AND(K498=FALSE,OR(L498=FALSE,M498=FALSE)),",","")&amp;IF(L498=FALSE,"「残業手当」","")&amp;IF(AND(L498=FALSE,M498=FALSE),",","")&amp;IF(M498=FALSE,"「残業時間」","")&amp;IF(OR(J498=FALSE,K498=FALSE,L498=FALSE,M498=FALSE),入力リスト!$K$36,"")&amp;IF(N498,"",入力リスト!$K$37)))</f>
        <v/>
      </c>
      <c r="H498" s="215"/>
      <c r="I498" s="1" t="b">
        <f>IF(B498="",FALSE,COUNTIF('従業員情報(給与以外)'!$A$4:$A$1000000,$B498)=0)</f>
        <v>0</v>
      </c>
      <c r="J498" s="8" t="b">
        <f t="shared" si="35"/>
        <v>1</v>
      </c>
      <c r="K498" s="8" t="b">
        <f t="shared" si="36"/>
        <v>1</v>
      </c>
      <c r="L498" s="8" t="b">
        <f t="shared" si="37"/>
        <v>1</v>
      </c>
      <c r="M498" s="8" t="b">
        <f t="shared" si="38"/>
        <v>1</v>
      </c>
      <c r="N498" s="1" t="b">
        <f t="shared" si="39"/>
        <v>1</v>
      </c>
      <c r="O498" s="8" t="str">
        <f>IF(F498="","",IF($F$2=入力リスト!$H$25,ROUNDDOWN(INT(F498)+ROUNDDOWN((F498-INT(F498))*100,0)/60,2),F498))</f>
        <v/>
      </c>
      <c r="P498" s="7"/>
      <c r="Q498" s="7"/>
    </row>
    <row r="499" spans="1:17">
      <c r="A499" s="105"/>
      <c r="B499" s="2"/>
      <c r="C499" s="254"/>
      <c r="D499" s="254"/>
      <c r="E499" s="254"/>
      <c r="F499" s="255"/>
      <c r="G499" s="215" t="str">
        <f>IF(AND($B499="",OR(B499&lt;&gt;"",C499&lt;&gt;"",D499&lt;&gt;"",E499&lt;&gt;"",F499&lt;&gt;"")),入力リスト!$K$34,IF($I499=TRUE,入力リスト!$K$35,IF(J499=FALSE,"「毎月の固定給与額」","")&amp;IF(AND(J499=FALSE,OR(K499=FALSE,L499=FALSE,M499=FALSE)),",","")&amp;IF(K499=FALSE,"「賞与額等」","")&amp;IF(AND(K499=FALSE,OR(L499=FALSE,M499=FALSE)),",","")&amp;IF(L499=FALSE,"「残業手当」","")&amp;IF(AND(L499=FALSE,M499=FALSE),",","")&amp;IF(M499=FALSE,"「残業時間」","")&amp;IF(OR(J499=FALSE,K499=FALSE,L499=FALSE,M499=FALSE),入力リスト!$K$36,"")&amp;IF(N499,"",入力リスト!$K$37)))</f>
        <v/>
      </c>
      <c r="H499" s="215"/>
      <c r="I499" s="1" t="b">
        <f>IF(B499="",FALSE,COUNTIF('従業員情報(給与以外)'!$A$4:$A$1000000,$B499)=0)</f>
        <v>0</v>
      </c>
      <c r="J499" s="8" t="b">
        <f t="shared" si="35"/>
        <v>1</v>
      </c>
      <c r="K499" s="8" t="b">
        <f t="shared" si="36"/>
        <v>1</v>
      </c>
      <c r="L499" s="8" t="b">
        <f t="shared" si="37"/>
        <v>1</v>
      </c>
      <c r="M499" s="8" t="b">
        <f t="shared" si="38"/>
        <v>1</v>
      </c>
      <c r="N499" s="1" t="b">
        <f t="shared" si="39"/>
        <v>1</v>
      </c>
      <c r="O499" s="8" t="str">
        <f>IF(F499="","",IF($F$2=入力リスト!$H$25,ROUNDDOWN(INT(F499)+ROUNDDOWN((F499-INT(F499))*100,0)/60,2),F499))</f>
        <v/>
      </c>
      <c r="P499" s="7"/>
      <c r="Q499" s="7"/>
    </row>
    <row r="500" spans="1:17">
      <c r="A500" s="105"/>
      <c r="B500" s="2"/>
      <c r="C500" s="254"/>
      <c r="D500" s="254"/>
      <c r="E500" s="254"/>
      <c r="F500" s="255"/>
      <c r="G500" s="215" t="str">
        <f>IF(AND($B500="",OR(B500&lt;&gt;"",C500&lt;&gt;"",D500&lt;&gt;"",E500&lt;&gt;"",F500&lt;&gt;"")),入力リスト!$K$34,IF($I500=TRUE,入力リスト!$K$35,IF(J500=FALSE,"「毎月の固定給与額」","")&amp;IF(AND(J500=FALSE,OR(K500=FALSE,L500=FALSE,M500=FALSE)),",","")&amp;IF(K500=FALSE,"「賞与額等」","")&amp;IF(AND(K500=FALSE,OR(L500=FALSE,M500=FALSE)),",","")&amp;IF(L500=FALSE,"「残業手当」","")&amp;IF(AND(L500=FALSE,M500=FALSE),",","")&amp;IF(M500=FALSE,"「残業時間」","")&amp;IF(OR(J500=FALSE,K500=FALSE,L500=FALSE,M500=FALSE),入力リスト!$K$36,"")&amp;IF(N500,"",入力リスト!$K$37)))</f>
        <v/>
      </c>
      <c r="H500" s="215"/>
      <c r="I500" s="1" t="b">
        <f>IF(B500="",FALSE,COUNTIF('従業員情報(給与以外)'!$A$4:$A$1000000,$B500)=0)</f>
        <v>0</v>
      </c>
      <c r="J500" s="8" t="b">
        <f t="shared" si="35"/>
        <v>1</v>
      </c>
      <c r="K500" s="8" t="b">
        <f t="shared" si="36"/>
        <v>1</v>
      </c>
      <c r="L500" s="8" t="b">
        <f t="shared" si="37"/>
        <v>1</v>
      </c>
      <c r="M500" s="8" t="b">
        <f t="shared" si="38"/>
        <v>1</v>
      </c>
      <c r="N500" s="1" t="b">
        <f t="shared" si="39"/>
        <v>1</v>
      </c>
      <c r="O500" s="8" t="str">
        <f>IF(F500="","",IF($F$2=入力リスト!$H$25,ROUNDDOWN(INT(F500)+ROUNDDOWN((F500-INT(F500))*100,0)/60,2),F500))</f>
        <v/>
      </c>
      <c r="P500" s="7"/>
      <c r="Q500" s="7"/>
    </row>
    <row r="501" spans="1:17">
      <c r="A501" s="105"/>
      <c r="B501" s="2"/>
      <c r="C501" s="254"/>
      <c r="D501" s="254"/>
      <c r="E501" s="254"/>
      <c r="F501" s="255"/>
      <c r="G501" s="215" t="str">
        <f>IF(AND($B501="",OR(B501&lt;&gt;"",C501&lt;&gt;"",D501&lt;&gt;"",E501&lt;&gt;"",F501&lt;&gt;"")),入力リスト!$K$34,IF($I501=TRUE,入力リスト!$K$35,IF(J501=FALSE,"「毎月の固定給与額」","")&amp;IF(AND(J501=FALSE,OR(K501=FALSE,L501=FALSE,M501=FALSE)),",","")&amp;IF(K501=FALSE,"「賞与額等」","")&amp;IF(AND(K501=FALSE,OR(L501=FALSE,M501=FALSE)),",","")&amp;IF(L501=FALSE,"「残業手当」","")&amp;IF(AND(L501=FALSE,M501=FALSE),",","")&amp;IF(M501=FALSE,"「残業時間」","")&amp;IF(OR(J501=FALSE,K501=FALSE,L501=FALSE,M501=FALSE),入力リスト!$K$36,"")&amp;IF(N501,"",入力リスト!$K$37)))</f>
        <v/>
      </c>
      <c r="H501" s="215"/>
      <c r="I501" s="1" t="b">
        <f>IF(B501="",FALSE,COUNTIF('従業員情報(給与以外)'!$A$4:$A$1000000,$B501)=0)</f>
        <v>0</v>
      </c>
      <c r="J501" s="8" t="b">
        <f t="shared" si="35"/>
        <v>1</v>
      </c>
      <c r="K501" s="8" t="b">
        <f t="shared" si="36"/>
        <v>1</v>
      </c>
      <c r="L501" s="8" t="b">
        <f t="shared" si="37"/>
        <v>1</v>
      </c>
      <c r="M501" s="8" t="b">
        <f t="shared" si="38"/>
        <v>1</v>
      </c>
      <c r="N501" s="1" t="b">
        <f t="shared" si="39"/>
        <v>1</v>
      </c>
      <c r="O501" s="8" t="str">
        <f>IF(F501="","",IF($F$2=入力リスト!$H$25,ROUNDDOWN(INT(F501)+ROUNDDOWN((F501-INT(F501))*100,0)/60,2),F501))</f>
        <v/>
      </c>
      <c r="P501" s="7"/>
      <c r="Q501" s="7"/>
    </row>
    <row r="502" spans="1:17">
      <c r="A502" s="105"/>
      <c r="B502" s="2"/>
      <c r="C502" s="254"/>
      <c r="D502" s="254"/>
      <c r="E502" s="254"/>
      <c r="F502" s="255"/>
      <c r="G502" s="215" t="str">
        <f>IF(AND($B502="",OR(B502&lt;&gt;"",C502&lt;&gt;"",D502&lt;&gt;"",E502&lt;&gt;"",F502&lt;&gt;"")),入力リスト!$K$34,IF($I502=TRUE,入力リスト!$K$35,IF(J502=FALSE,"「毎月の固定給与額」","")&amp;IF(AND(J502=FALSE,OR(K502=FALSE,L502=FALSE,M502=FALSE)),",","")&amp;IF(K502=FALSE,"「賞与額等」","")&amp;IF(AND(K502=FALSE,OR(L502=FALSE,M502=FALSE)),",","")&amp;IF(L502=FALSE,"「残業手当」","")&amp;IF(AND(L502=FALSE,M502=FALSE),",","")&amp;IF(M502=FALSE,"「残業時間」","")&amp;IF(OR(J502=FALSE,K502=FALSE,L502=FALSE,M502=FALSE),入力リスト!$K$36,"")&amp;IF(N502,"",入力リスト!$K$37)))</f>
        <v/>
      </c>
      <c r="H502" s="215"/>
      <c r="I502" s="1" t="b">
        <f>IF(B502="",FALSE,COUNTIF('従業員情報(給与以外)'!$A$4:$A$1000000,$B502)=0)</f>
        <v>0</v>
      </c>
      <c r="J502" s="8" t="b">
        <f t="shared" si="35"/>
        <v>1</v>
      </c>
      <c r="K502" s="8" t="b">
        <f t="shared" si="36"/>
        <v>1</v>
      </c>
      <c r="L502" s="8" t="b">
        <f t="shared" si="37"/>
        <v>1</v>
      </c>
      <c r="M502" s="8" t="b">
        <f t="shared" si="38"/>
        <v>1</v>
      </c>
      <c r="N502" s="1" t="b">
        <f t="shared" si="39"/>
        <v>1</v>
      </c>
      <c r="O502" s="8" t="str">
        <f>IF(F502="","",IF($F$2=入力リスト!$H$25,ROUNDDOWN(INT(F502)+ROUNDDOWN((F502-INT(F502))*100,0)/60,2),F502))</f>
        <v/>
      </c>
      <c r="P502" s="7"/>
      <c r="Q502" s="7"/>
    </row>
    <row r="503" spans="1:17">
      <c r="A503" s="105"/>
      <c r="B503" s="2"/>
      <c r="C503" s="254"/>
      <c r="D503" s="254"/>
      <c r="E503" s="254"/>
      <c r="F503" s="255"/>
      <c r="G503" s="215" t="str">
        <f>IF(AND($B503="",OR(B503&lt;&gt;"",C503&lt;&gt;"",D503&lt;&gt;"",E503&lt;&gt;"",F503&lt;&gt;"")),入力リスト!$K$34,IF($I503=TRUE,入力リスト!$K$35,IF(J503=FALSE,"「毎月の固定給与額」","")&amp;IF(AND(J503=FALSE,OR(K503=FALSE,L503=FALSE,M503=FALSE)),",","")&amp;IF(K503=FALSE,"「賞与額等」","")&amp;IF(AND(K503=FALSE,OR(L503=FALSE,M503=FALSE)),",","")&amp;IF(L503=FALSE,"「残業手当」","")&amp;IF(AND(L503=FALSE,M503=FALSE),",","")&amp;IF(M503=FALSE,"「残業時間」","")&amp;IF(OR(J503=FALSE,K503=FALSE,L503=FALSE,M503=FALSE),入力リスト!$K$36,"")&amp;IF(N503,"",入力リスト!$K$37)))</f>
        <v/>
      </c>
      <c r="H503" s="215"/>
      <c r="I503" s="1" t="b">
        <f>IF(B503="",FALSE,COUNTIF('従業員情報(給与以外)'!$A$4:$A$1000000,$B503)=0)</f>
        <v>0</v>
      </c>
      <c r="J503" s="8" t="b">
        <f t="shared" si="35"/>
        <v>1</v>
      </c>
      <c r="K503" s="8" t="b">
        <f t="shared" si="36"/>
        <v>1</v>
      </c>
      <c r="L503" s="8" t="b">
        <f t="shared" si="37"/>
        <v>1</v>
      </c>
      <c r="M503" s="8" t="b">
        <f t="shared" si="38"/>
        <v>1</v>
      </c>
      <c r="N503" s="1" t="b">
        <f t="shared" si="39"/>
        <v>1</v>
      </c>
      <c r="O503" s="8" t="str">
        <f>IF(F503="","",IF($F$2=入力リスト!$H$25,ROUNDDOWN(INT(F503)+ROUNDDOWN((F503-INT(F503))*100,0)/60,2),F503))</f>
        <v/>
      </c>
      <c r="P503" s="7"/>
      <c r="Q503" s="7"/>
    </row>
    <row r="504" spans="1:17">
      <c r="A504" s="105"/>
      <c r="B504" s="2"/>
      <c r="C504" s="254"/>
      <c r="D504" s="254"/>
      <c r="E504" s="254"/>
      <c r="F504" s="255"/>
      <c r="G504" s="215" t="str">
        <f>IF(AND($B504="",OR(B504&lt;&gt;"",C504&lt;&gt;"",D504&lt;&gt;"",E504&lt;&gt;"",F504&lt;&gt;"")),入力リスト!$K$34,IF($I504=TRUE,入力リスト!$K$35,IF(J504=FALSE,"「毎月の固定給与額」","")&amp;IF(AND(J504=FALSE,OR(K504=FALSE,L504=FALSE,M504=FALSE)),",","")&amp;IF(K504=FALSE,"「賞与額等」","")&amp;IF(AND(K504=FALSE,OR(L504=FALSE,M504=FALSE)),",","")&amp;IF(L504=FALSE,"「残業手当」","")&amp;IF(AND(L504=FALSE,M504=FALSE),",","")&amp;IF(M504=FALSE,"「残業時間」","")&amp;IF(OR(J504=FALSE,K504=FALSE,L504=FALSE,M504=FALSE),入力リスト!$K$36,"")&amp;IF(N504,"",入力リスト!$K$37)))</f>
        <v/>
      </c>
      <c r="H504" s="215"/>
      <c r="I504" s="1" t="b">
        <f>IF(B504="",FALSE,COUNTIF('従業員情報(給与以外)'!$A$4:$A$1000000,$B504)=0)</f>
        <v>0</v>
      </c>
      <c r="J504" s="8" t="b">
        <f t="shared" si="35"/>
        <v>1</v>
      </c>
      <c r="K504" s="8" t="b">
        <f t="shared" si="36"/>
        <v>1</v>
      </c>
      <c r="L504" s="8" t="b">
        <f t="shared" si="37"/>
        <v>1</v>
      </c>
      <c r="M504" s="8" t="b">
        <f t="shared" si="38"/>
        <v>1</v>
      </c>
      <c r="N504" s="1" t="b">
        <f t="shared" si="39"/>
        <v>1</v>
      </c>
      <c r="O504" s="8" t="str">
        <f>IF(F504="","",IF($F$2=入力リスト!$H$25,ROUNDDOWN(INT(F504)+ROUNDDOWN((F504-INT(F504))*100,0)/60,2),F504))</f>
        <v/>
      </c>
      <c r="P504" s="7"/>
      <c r="Q504" s="7"/>
    </row>
    <row r="505" spans="1:17">
      <c r="A505" s="105"/>
      <c r="B505" s="2"/>
      <c r="C505" s="254"/>
      <c r="D505" s="254"/>
      <c r="E505" s="254"/>
      <c r="F505" s="255"/>
      <c r="G505" s="215" t="str">
        <f>IF(AND($B505="",OR(B505&lt;&gt;"",C505&lt;&gt;"",D505&lt;&gt;"",E505&lt;&gt;"",F505&lt;&gt;"")),入力リスト!$K$34,IF($I505=TRUE,入力リスト!$K$35,IF(J505=FALSE,"「毎月の固定給与額」","")&amp;IF(AND(J505=FALSE,OR(K505=FALSE,L505=FALSE,M505=FALSE)),",","")&amp;IF(K505=FALSE,"「賞与額等」","")&amp;IF(AND(K505=FALSE,OR(L505=FALSE,M505=FALSE)),",","")&amp;IF(L505=FALSE,"「残業手当」","")&amp;IF(AND(L505=FALSE,M505=FALSE),",","")&amp;IF(M505=FALSE,"「残業時間」","")&amp;IF(OR(J505=FALSE,K505=FALSE,L505=FALSE,M505=FALSE),入力リスト!$K$36,"")&amp;IF(N505,"",入力リスト!$K$37)))</f>
        <v/>
      </c>
      <c r="H505" s="215"/>
      <c r="I505" s="1" t="b">
        <f>IF(B505="",FALSE,COUNTIF('従業員情報(給与以外)'!$A$4:$A$1000000,$B505)=0)</f>
        <v>0</v>
      </c>
      <c r="J505" s="8" t="b">
        <f t="shared" si="35"/>
        <v>1</v>
      </c>
      <c r="K505" s="8" t="b">
        <f t="shared" si="36"/>
        <v>1</v>
      </c>
      <c r="L505" s="8" t="b">
        <f t="shared" si="37"/>
        <v>1</v>
      </c>
      <c r="M505" s="8" t="b">
        <f t="shared" si="38"/>
        <v>1</v>
      </c>
      <c r="N505" s="1" t="b">
        <f t="shared" si="39"/>
        <v>1</v>
      </c>
      <c r="O505" s="8" t="str">
        <f>IF(F505="","",IF($F$2=入力リスト!$H$25,ROUNDDOWN(INT(F505)+ROUNDDOWN((F505-INT(F505))*100,0)/60,2),F505))</f>
        <v/>
      </c>
      <c r="P505" s="7"/>
      <c r="Q505" s="7"/>
    </row>
    <row r="506" spans="1:17">
      <c r="A506" s="105"/>
      <c r="B506" s="2"/>
      <c r="C506" s="254"/>
      <c r="D506" s="254"/>
      <c r="E506" s="254"/>
      <c r="F506" s="255"/>
      <c r="G506" s="215" t="str">
        <f>IF(AND($B506="",OR(B506&lt;&gt;"",C506&lt;&gt;"",D506&lt;&gt;"",E506&lt;&gt;"",F506&lt;&gt;"")),入力リスト!$K$34,IF($I506=TRUE,入力リスト!$K$35,IF(J506=FALSE,"「毎月の固定給与額」","")&amp;IF(AND(J506=FALSE,OR(K506=FALSE,L506=FALSE,M506=FALSE)),",","")&amp;IF(K506=FALSE,"「賞与額等」","")&amp;IF(AND(K506=FALSE,OR(L506=FALSE,M506=FALSE)),",","")&amp;IF(L506=FALSE,"「残業手当」","")&amp;IF(AND(L506=FALSE,M506=FALSE),",","")&amp;IF(M506=FALSE,"「残業時間」","")&amp;IF(OR(J506=FALSE,K506=FALSE,L506=FALSE,M506=FALSE),入力リスト!$K$36,"")&amp;IF(N506,"",入力リスト!$K$37)))</f>
        <v/>
      </c>
      <c r="H506" s="215"/>
      <c r="I506" s="1" t="b">
        <f>IF(B506="",FALSE,COUNTIF('従業員情報(給与以外)'!$A$4:$A$1000000,$B506)=0)</f>
        <v>0</v>
      </c>
      <c r="J506" s="8" t="b">
        <f t="shared" si="35"/>
        <v>1</v>
      </c>
      <c r="K506" s="8" t="b">
        <f t="shared" si="36"/>
        <v>1</v>
      </c>
      <c r="L506" s="8" t="b">
        <f t="shared" si="37"/>
        <v>1</v>
      </c>
      <c r="M506" s="8" t="b">
        <f t="shared" si="38"/>
        <v>1</v>
      </c>
      <c r="N506" s="1" t="b">
        <f t="shared" si="39"/>
        <v>1</v>
      </c>
      <c r="O506" s="8" t="str">
        <f>IF(F506="","",IF($F$2=入力リスト!$H$25,ROUNDDOWN(INT(F506)+ROUNDDOWN((F506-INT(F506))*100,0)/60,2),F506))</f>
        <v/>
      </c>
      <c r="P506" s="7"/>
      <c r="Q506" s="7"/>
    </row>
    <row r="507" spans="1:17">
      <c r="A507" s="105"/>
      <c r="B507" s="2"/>
      <c r="C507" s="254"/>
      <c r="D507" s="254"/>
      <c r="E507" s="254"/>
      <c r="F507" s="255"/>
      <c r="G507" s="215" t="str">
        <f>IF(AND($B507="",OR(B507&lt;&gt;"",C507&lt;&gt;"",D507&lt;&gt;"",E507&lt;&gt;"",F507&lt;&gt;"")),入力リスト!$K$34,IF($I507=TRUE,入力リスト!$K$35,IF(J507=FALSE,"「毎月の固定給与額」","")&amp;IF(AND(J507=FALSE,OR(K507=FALSE,L507=FALSE,M507=FALSE)),",","")&amp;IF(K507=FALSE,"「賞与額等」","")&amp;IF(AND(K507=FALSE,OR(L507=FALSE,M507=FALSE)),",","")&amp;IF(L507=FALSE,"「残業手当」","")&amp;IF(AND(L507=FALSE,M507=FALSE),",","")&amp;IF(M507=FALSE,"「残業時間」","")&amp;IF(OR(J507=FALSE,K507=FALSE,L507=FALSE,M507=FALSE),入力リスト!$K$36,"")&amp;IF(N507,"",入力リスト!$K$37)))</f>
        <v/>
      </c>
      <c r="H507" s="215"/>
      <c r="I507" s="1" t="b">
        <f>IF(B507="",FALSE,COUNTIF('従業員情報(給与以外)'!$A$4:$A$1000000,$B507)=0)</f>
        <v>0</v>
      </c>
      <c r="J507" s="8" t="b">
        <f t="shared" si="35"/>
        <v>1</v>
      </c>
      <c r="K507" s="8" t="b">
        <f t="shared" si="36"/>
        <v>1</v>
      </c>
      <c r="L507" s="8" t="b">
        <f t="shared" si="37"/>
        <v>1</v>
      </c>
      <c r="M507" s="8" t="b">
        <f t="shared" si="38"/>
        <v>1</v>
      </c>
      <c r="N507" s="1" t="b">
        <f t="shared" si="39"/>
        <v>1</v>
      </c>
      <c r="O507" s="8" t="str">
        <f>IF(F507="","",IF($F$2=入力リスト!$H$25,ROUNDDOWN(INT(F507)+ROUNDDOWN((F507-INT(F507))*100,0)/60,2),F507))</f>
        <v/>
      </c>
      <c r="P507" s="7"/>
      <c r="Q507" s="7"/>
    </row>
    <row r="508" spans="1:17">
      <c r="A508" s="105"/>
      <c r="B508" s="2"/>
      <c r="C508" s="254"/>
      <c r="D508" s="254"/>
      <c r="E508" s="254"/>
      <c r="F508" s="255"/>
      <c r="G508" s="215" t="str">
        <f>IF(AND($B508="",OR(B508&lt;&gt;"",C508&lt;&gt;"",D508&lt;&gt;"",E508&lt;&gt;"",F508&lt;&gt;"")),入力リスト!$K$34,IF($I508=TRUE,入力リスト!$K$35,IF(J508=FALSE,"「毎月の固定給与額」","")&amp;IF(AND(J508=FALSE,OR(K508=FALSE,L508=FALSE,M508=FALSE)),",","")&amp;IF(K508=FALSE,"「賞与額等」","")&amp;IF(AND(K508=FALSE,OR(L508=FALSE,M508=FALSE)),",","")&amp;IF(L508=FALSE,"「残業手当」","")&amp;IF(AND(L508=FALSE,M508=FALSE),",","")&amp;IF(M508=FALSE,"「残業時間」","")&amp;IF(OR(J508=FALSE,K508=FALSE,L508=FALSE,M508=FALSE),入力リスト!$K$36,"")&amp;IF(N508,"",入力リスト!$K$37)))</f>
        <v/>
      </c>
      <c r="H508" s="215"/>
      <c r="I508" s="1" t="b">
        <f>IF(B508="",FALSE,COUNTIF('従業員情報(給与以外)'!$A$4:$A$1000000,$B508)=0)</f>
        <v>0</v>
      </c>
      <c r="J508" s="8" t="b">
        <f t="shared" si="35"/>
        <v>1</v>
      </c>
      <c r="K508" s="8" t="b">
        <f t="shared" si="36"/>
        <v>1</v>
      </c>
      <c r="L508" s="8" t="b">
        <f t="shared" si="37"/>
        <v>1</v>
      </c>
      <c r="M508" s="8" t="b">
        <f t="shared" si="38"/>
        <v>1</v>
      </c>
      <c r="N508" s="1" t="b">
        <f t="shared" si="39"/>
        <v>1</v>
      </c>
      <c r="O508" s="8" t="str">
        <f>IF(F508="","",IF($F$2=入力リスト!$H$25,ROUNDDOWN(INT(F508)+ROUNDDOWN((F508-INT(F508))*100,0)/60,2),F508))</f>
        <v/>
      </c>
      <c r="P508" s="7"/>
      <c r="Q508" s="7"/>
    </row>
    <row r="509" spans="1:17">
      <c r="A509" s="105"/>
      <c r="B509" s="2"/>
      <c r="C509" s="254"/>
      <c r="D509" s="254"/>
      <c r="E509" s="254"/>
      <c r="F509" s="255"/>
      <c r="G509" s="215" t="str">
        <f>IF(AND($B509="",OR(B509&lt;&gt;"",C509&lt;&gt;"",D509&lt;&gt;"",E509&lt;&gt;"",F509&lt;&gt;"")),入力リスト!$K$34,IF($I509=TRUE,入力リスト!$K$35,IF(J509=FALSE,"「毎月の固定給与額」","")&amp;IF(AND(J509=FALSE,OR(K509=FALSE,L509=FALSE,M509=FALSE)),",","")&amp;IF(K509=FALSE,"「賞与額等」","")&amp;IF(AND(K509=FALSE,OR(L509=FALSE,M509=FALSE)),",","")&amp;IF(L509=FALSE,"「残業手当」","")&amp;IF(AND(L509=FALSE,M509=FALSE),",","")&amp;IF(M509=FALSE,"「残業時間」","")&amp;IF(OR(J509=FALSE,K509=FALSE,L509=FALSE,M509=FALSE),入力リスト!$K$36,"")&amp;IF(N509,"",入力リスト!$K$37)))</f>
        <v/>
      </c>
      <c r="H509" s="215"/>
      <c r="I509" s="1" t="b">
        <f>IF(B509="",FALSE,COUNTIF('従業員情報(給与以外)'!$A$4:$A$1000000,$B509)=0)</f>
        <v>0</v>
      </c>
      <c r="J509" s="8" t="b">
        <f t="shared" si="35"/>
        <v>1</v>
      </c>
      <c r="K509" s="8" t="b">
        <f t="shared" si="36"/>
        <v>1</v>
      </c>
      <c r="L509" s="8" t="b">
        <f t="shared" si="37"/>
        <v>1</v>
      </c>
      <c r="M509" s="8" t="b">
        <f t="shared" si="38"/>
        <v>1</v>
      </c>
      <c r="N509" s="1" t="b">
        <f t="shared" si="39"/>
        <v>1</v>
      </c>
      <c r="O509" s="8" t="str">
        <f>IF(F509="","",IF($F$2=入力リスト!$H$25,ROUNDDOWN(INT(F509)+ROUNDDOWN((F509-INT(F509))*100,0)/60,2),F509))</f>
        <v/>
      </c>
      <c r="P509" s="7"/>
      <c r="Q509" s="7"/>
    </row>
    <row r="510" spans="1:17">
      <c r="A510" s="105"/>
      <c r="B510" s="2"/>
      <c r="C510" s="254"/>
      <c r="D510" s="254"/>
      <c r="E510" s="254"/>
      <c r="F510" s="255"/>
      <c r="G510" s="215" t="str">
        <f>IF(AND($B510="",OR(B510&lt;&gt;"",C510&lt;&gt;"",D510&lt;&gt;"",E510&lt;&gt;"",F510&lt;&gt;"")),入力リスト!$K$34,IF($I510=TRUE,入力リスト!$K$35,IF(J510=FALSE,"「毎月の固定給与額」","")&amp;IF(AND(J510=FALSE,OR(K510=FALSE,L510=FALSE,M510=FALSE)),",","")&amp;IF(K510=FALSE,"「賞与額等」","")&amp;IF(AND(K510=FALSE,OR(L510=FALSE,M510=FALSE)),",","")&amp;IF(L510=FALSE,"「残業手当」","")&amp;IF(AND(L510=FALSE,M510=FALSE),",","")&amp;IF(M510=FALSE,"「残業時間」","")&amp;IF(OR(J510=FALSE,K510=FALSE,L510=FALSE,M510=FALSE),入力リスト!$K$36,"")&amp;IF(N510,"",入力リスト!$K$37)))</f>
        <v/>
      </c>
      <c r="H510" s="215"/>
      <c r="I510" s="1" t="b">
        <f>IF(B510="",FALSE,COUNTIF('従業員情報(給与以外)'!$A$4:$A$1000000,$B510)=0)</f>
        <v>0</v>
      </c>
      <c r="J510" s="8" t="b">
        <f t="shared" si="35"/>
        <v>1</v>
      </c>
      <c r="K510" s="8" t="b">
        <f t="shared" si="36"/>
        <v>1</v>
      </c>
      <c r="L510" s="8" t="b">
        <f t="shared" si="37"/>
        <v>1</v>
      </c>
      <c r="M510" s="8" t="b">
        <f t="shared" si="38"/>
        <v>1</v>
      </c>
      <c r="N510" s="1" t="b">
        <f t="shared" si="39"/>
        <v>1</v>
      </c>
      <c r="O510" s="8" t="str">
        <f>IF(F510="","",IF($F$2=入力リスト!$H$25,ROUNDDOWN(INT(F510)+ROUNDDOWN((F510-INT(F510))*100,0)/60,2),F510))</f>
        <v/>
      </c>
      <c r="P510" s="7"/>
      <c r="Q510" s="7"/>
    </row>
    <row r="511" spans="1:17">
      <c r="A511" s="105"/>
      <c r="B511" s="2"/>
      <c r="C511" s="254"/>
      <c r="D511" s="254"/>
      <c r="E511" s="254"/>
      <c r="F511" s="255"/>
      <c r="G511" s="215" t="str">
        <f>IF(AND($B511="",OR(B511&lt;&gt;"",C511&lt;&gt;"",D511&lt;&gt;"",E511&lt;&gt;"",F511&lt;&gt;"")),入力リスト!$K$34,IF($I511=TRUE,入力リスト!$K$35,IF(J511=FALSE,"「毎月の固定給与額」","")&amp;IF(AND(J511=FALSE,OR(K511=FALSE,L511=FALSE,M511=FALSE)),",","")&amp;IF(K511=FALSE,"「賞与額等」","")&amp;IF(AND(K511=FALSE,OR(L511=FALSE,M511=FALSE)),",","")&amp;IF(L511=FALSE,"「残業手当」","")&amp;IF(AND(L511=FALSE,M511=FALSE),",","")&amp;IF(M511=FALSE,"「残業時間」","")&amp;IF(OR(J511=FALSE,K511=FALSE,L511=FALSE,M511=FALSE),入力リスト!$K$36,"")&amp;IF(N511,"",入力リスト!$K$37)))</f>
        <v/>
      </c>
      <c r="H511" s="215"/>
      <c r="I511" s="1" t="b">
        <f>IF(B511="",FALSE,COUNTIF('従業員情報(給与以外)'!$A$4:$A$1000000,$B511)=0)</f>
        <v>0</v>
      </c>
      <c r="J511" s="8" t="b">
        <f t="shared" si="35"/>
        <v>1</v>
      </c>
      <c r="K511" s="8" t="b">
        <f t="shared" si="36"/>
        <v>1</v>
      </c>
      <c r="L511" s="8" t="b">
        <f t="shared" si="37"/>
        <v>1</v>
      </c>
      <c r="M511" s="8" t="b">
        <f t="shared" si="38"/>
        <v>1</v>
      </c>
      <c r="N511" s="1" t="b">
        <f t="shared" si="39"/>
        <v>1</v>
      </c>
      <c r="O511" s="8" t="str">
        <f>IF(F511="","",IF($F$2=入力リスト!$H$25,ROUNDDOWN(INT(F511)+ROUNDDOWN((F511-INT(F511))*100,0)/60,2),F511))</f>
        <v/>
      </c>
      <c r="P511" s="7"/>
      <c r="Q511" s="7"/>
    </row>
    <row r="512" spans="1:17">
      <c r="A512" s="105"/>
      <c r="B512" s="2"/>
      <c r="C512" s="254"/>
      <c r="D512" s="254"/>
      <c r="E512" s="254"/>
      <c r="F512" s="255"/>
      <c r="G512" s="215" t="str">
        <f>IF(AND($B512="",OR(B512&lt;&gt;"",C512&lt;&gt;"",D512&lt;&gt;"",E512&lt;&gt;"",F512&lt;&gt;"")),入力リスト!$K$34,IF($I512=TRUE,入力リスト!$K$35,IF(J512=FALSE,"「毎月の固定給与額」","")&amp;IF(AND(J512=FALSE,OR(K512=FALSE,L512=FALSE,M512=FALSE)),",","")&amp;IF(K512=FALSE,"「賞与額等」","")&amp;IF(AND(K512=FALSE,OR(L512=FALSE,M512=FALSE)),",","")&amp;IF(L512=FALSE,"「残業手当」","")&amp;IF(AND(L512=FALSE,M512=FALSE),",","")&amp;IF(M512=FALSE,"「残業時間」","")&amp;IF(OR(J512=FALSE,K512=FALSE,L512=FALSE,M512=FALSE),入力リスト!$K$36,"")&amp;IF(N512,"",入力リスト!$K$37)))</f>
        <v/>
      </c>
      <c r="H512" s="215"/>
      <c r="I512" s="1" t="b">
        <f>IF(B512="",FALSE,COUNTIF('従業員情報(給与以外)'!$A$4:$A$1000000,$B512)=0)</f>
        <v>0</v>
      </c>
      <c r="J512" s="8" t="b">
        <f t="shared" si="35"/>
        <v>1</v>
      </c>
      <c r="K512" s="8" t="b">
        <f t="shared" si="36"/>
        <v>1</v>
      </c>
      <c r="L512" s="8" t="b">
        <f t="shared" si="37"/>
        <v>1</v>
      </c>
      <c r="M512" s="8" t="b">
        <f t="shared" si="38"/>
        <v>1</v>
      </c>
      <c r="N512" s="1" t="b">
        <f t="shared" si="39"/>
        <v>1</v>
      </c>
      <c r="O512" s="8" t="str">
        <f>IF(F512="","",IF($F$2=入力リスト!$H$25,ROUNDDOWN(INT(F512)+ROUNDDOWN((F512-INT(F512))*100,0)/60,2),F512))</f>
        <v/>
      </c>
      <c r="P512" s="7"/>
      <c r="Q512" s="7"/>
    </row>
    <row r="513" spans="1:17">
      <c r="A513" s="105"/>
      <c r="B513" s="2"/>
      <c r="C513" s="254"/>
      <c r="D513" s="254"/>
      <c r="E513" s="254"/>
      <c r="F513" s="255"/>
      <c r="G513" s="215" t="str">
        <f>IF(AND($B513="",OR(B513&lt;&gt;"",C513&lt;&gt;"",D513&lt;&gt;"",E513&lt;&gt;"",F513&lt;&gt;"")),入力リスト!$K$34,IF($I513=TRUE,入力リスト!$K$35,IF(J513=FALSE,"「毎月の固定給与額」","")&amp;IF(AND(J513=FALSE,OR(K513=FALSE,L513=FALSE,M513=FALSE)),",","")&amp;IF(K513=FALSE,"「賞与額等」","")&amp;IF(AND(K513=FALSE,OR(L513=FALSE,M513=FALSE)),",","")&amp;IF(L513=FALSE,"「残業手当」","")&amp;IF(AND(L513=FALSE,M513=FALSE),",","")&amp;IF(M513=FALSE,"「残業時間」","")&amp;IF(OR(J513=FALSE,K513=FALSE,L513=FALSE,M513=FALSE),入力リスト!$K$36,"")&amp;IF(N513,"",入力リスト!$K$37)))</f>
        <v/>
      </c>
      <c r="H513" s="215"/>
      <c r="I513" s="1" t="b">
        <f>IF(B513="",FALSE,COUNTIF('従業員情報(給与以外)'!$A$4:$A$1000000,$B513)=0)</f>
        <v>0</v>
      </c>
      <c r="J513" s="8" t="b">
        <f t="shared" si="35"/>
        <v>1</v>
      </c>
      <c r="K513" s="8" t="b">
        <f t="shared" si="36"/>
        <v>1</v>
      </c>
      <c r="L513" s="8" t="b">
        <f t="shared" si="37"/>
        <v>1</v>
      </c>
      <c r="M513" s="8" t="b">
        <f t="shared" si="38"/>
        <v>1</v>
      </c>
      <c r="N513" s="1" t="b">
        <f t="shared" si="39"/>
        <v>1</v>
      </c>
      <c r="O513" s="8" t="str">
        <f>IF(F513="","",IF($F$2=入力リスト!$H$25,ROUNDDOWN(INT(F513)+ROUNDDOWN((F513-INT(F513))*100,0)/60,2),F513))</f>
        <v/>
      </c>
      <c r="P513" s="7"/>
      <c r="Q513" s="7"/>
    </row>
    <row r="514" spans="1:17">
      <c r="A514" s="105"/>
      <c r="B514" s="2"/>
      <c r="C514" s="254"/>
      <c r="D514" s="254"/>
      <c r="E514" s="254"/>
      <c r="F514" s="255"/>
      <c r="G514" s="215" t="str">
        <f>IF(AND($B514="",OR(B514&lt;&gt;"",C514&lt;&gt;"",D514&lt;&gt;"",E514&lt;&gt;"",F514&lt;&gt;"")),入力リスト!$K$34,IF($I514=TRUE,入力リスト!$K$35,IF(J514=FALSE,"「毎月の固定給与額」","")&amp;IF(AND(J514=FALSE,OR(K514=FALSE,L514=FALSE,M514=FALSE)),",","")&amp;IF(K514=FALSE,"「賞与額等」","")&amp;IF(AND(K514=FALSE,OR(L514=FALSE,M514=FALSE)),",","")&amp;IF(L514=FALSE,"「残業手当」","")&amp;IF(AND(L514=FALSE,M514=FALSE),",","")&amp;IF(M514=FALSE,"「残業時間」","")&amp;IF(OR(J514=FALSE,K514=FALSE,L514=FALSE,M514=FALSE),入力リスト!$K$36,"")&amp;IF(N514,"",入力リスト!$K$37)))</f>
        <v/>
      </c>
      <c r="H514" s="215"/>
      <c r="I514" s="1" t="b">
        <f>IF(B514="",FALSE,COUNTIF('従業員情報(給与以外)'!$A$4:$A$1000000,$B514)=0)</f>
        <v>0</v>
      </c>
      <c r="J514" s="8" t="b">
        <f t="shared" si="35"/>
        <v>1</v>
      </c>
      <c r="K514" s="8" t="b">
        <f t="shared" si="36"/>
        <v>1</v>
      </c>
      <c r="L514" s="8" t="b">
        <f t="shared" si="37"/>
        <v>1</v>
      </c>
      <c r="M514" s="8" t="b">
        <f t="shared" si="38"/>
        <v>1</v>
      </c>
      <c r="N514" s="1" t="b">
        <f t="shared" si="39"/>
        <v>1</v>
      </c>
      <c r="O514" s="8" t="str">
        <f>IF(F514="","",IF($F$2=入力リスト!$H$25,ROUNDDOWN(INT(F514)+ROUNDDOWN((F514-INT(F514))*100,0)/60,2),F514))</f>
        <v/>
      </c>
      <c r="P514" s="7"/>
      <c r="Q514" s="7"/>
    </row>
    <row r="515" spans="1:17">
      <c r="A515" s="105"/>
      <c r="B515" s="2"/>
      <c r="C515" s="254"/>
      <c r="D515" s="254"/>
      <c r="E515" s="254"/>
      <c r="F515" s="255"/>
      <c r="G515" s="215" t="str">
        <f>IF(AND($B515="",OR(B515&lt;&gt;"",C515&lt;&gt;"",D515&lt;&gt;"",E515&lt;&gt;"",F515&lt;&gt;"")),入力リスト!$K$34,IF($I515=TRUE,入力リスト!$K$35,IF(J515=FALSE,"「毎月の固定給与額」","")&amp;IF(AND(J515=FALSE,OR(K515=FALSE,L515=FALSE,M515=FALSE)),",","")&amp;IF(K515=FALSE,"「賞与額等」","")&amp;IF(AND(K515=FALSE,OR(L515=FALSE,M515=FALSE)),",","")&amp;IF(L515=FALSE,"「残業手当」","")&amp;IF(AND(L515=FALSE,M515=FALSE),",","")&amp;IF(M515=FALSE,"「残業時間」","")&amp;IF(OR(J515=FALSE,K515=FALSE,L515=FALSE,M515=FALSE),入力リスト!$K$36,"")&amp;IF(N515,"",入力リスト!$K$37)))</f>
        <v/>
      </c>
      <c r="H515" s="215"/>
      <c r="I515" s="1" t="b">
        <f>IF(B515="",FALSE,COUNTIF('従業員情報(給与以外)'!$A$4:$A$1000000,$B515)=0)</f>
        <v>0</v>
      </c>
      <c r="J515" s="8" t="b">
        <f t="shared" si="35"/>
        <v>1</v>
      </c>
      <c r="K515" s="8" t="b">
        <f t="shared" si="36"/>
        <v>1</v>
      </c>
      <c r="L515" s="8" t="b">
        <f t="shared" si="37"/>
        <v>1</v>
      </c>
      <c r="M515" s="8" t="b">
        <f t="shared" si="38"/>
        <v>1</v>
      </c>
      <c r="N515" s="1" t="b">
        <f t="shared" si="39"/>
        <v>1</v>
      </c>
      <c r="O515" s="8" t="str">
        <f>IF(F515="","",IF($F$2=入力リスト!$H$25,ROUNDDOWN(INT(F515)+ROUNDDOWN((F515-INT(F515))*100,0)/60,2),F515))</f>
        <v/>
      </c>
      <c r="P515" s="7"/>
      <c r="Q515" s="7"/>
    </row>
    <row r="516" spans="1:17">
      <c r="A516" s="105"/>
      <c r="B516" s="2"/>
      <c r="C516" s="254"/>
      <c r="D516" s="254"/>
      <c r="E516" s="254"/>
      <c r="F516" s="255"/>
      <c r="G516" s="215" t="str">
        <f>IF(AND($B516="",OR(B516&lt;&gt;"",C516&lt;&gt;"",D516&lt;&gt;"",E516&lt;&gt;"",F516&lt;&gt;"")),入力リスト!$K$34,IF($I516=TRUE,入力リスト!$K$35,IF(J516=FALSE,"「毎月の固定給与額」","")&amp;IF(AND(J516=FALSE,OR(K516=FALSE,L516=FALSE,M516=FALSE)),",","")&amp;IF(K516=FALSE,"「賞与額等」","")&amp;IF(AND(K516=FALSE,OR(L516=FALSE,M516=FALSE)),",","")&amp;IF(L516=FALSE,"「残業手当」","")&amp;IF(AND(L516=FALSE,M516=FALSE),",","")&amp;IF(M516=FALSE,"「残業時間」","")&amp;IF(OR(J516=FALSE,K516=FALSE,L516=FALSE,M516=FALSE),入力リスト!$K$36,"")&amp;IF(N516,"",入力リスト!$K$37)))</f>
        <v/>
      </c>
      <c r="H516" s="215"/>
      <c r="I516" s="1" t="b">
        <f>IF(B516="",FALSE,COUNTIF('従業員情報(給与以外)'!$A$4:$A$1000000,$B516)=0)</f>
        <v>0</v>
      </c>
      <c r="J516" s="8" t="b">
        <f t="shared" si="35"/>
        <v>1</v>
      </c>
      <c r="K516" s="8" t="b">
        <f t="shared" si="36"/>
        <v>1</v>
      </c>
      <c r="L516" s="8" t="b">
        <f t="shared" si="37"/>
        <v>1</v>
      </c>
      <c r="M516" s="8" t="b">
        <f t="shared" si="38"/>
        <v>1</v>
      </c>
      <c r="N516" s="1" t="b">
        <f t="shared" si="39"/>
        <v>1</v>
      </c>
      <c r="O516" s="8" t="str">
        <f>IF(F516="","",IF($F$2=入力リスト!$H$25,ROUNDDOWN(INT(F516)+ROUNDDOWN((F516-INT(F516))*100,0)/60,2),F516))</f>
        <v/>
      </c>
      <c r="P516" s="7"/>
      <c r="Q516" s="7"/>
    </row>
    <row r="517" spans="1:17">
      <c r="A517" s="105"/>
      <c r="B517" s="2"/>
      <c r="C517" s="254"/>
      <c r="D517" s="254"/>
      <c r="E517" s="254"/>
      <c r="F517" s="255"/>
      <c r="G517" s="215" t="str">
        <f>IF(AND($B517="",OR(B517&lt;&gt;"",C517&lt;&gt;"",D517&lt;&gt;"",E517&lt;&gt;"",F517&lt;&gt;"")),入力リスト!$K$34,IF($I517=TRUE,入力リスト!$K$35,IF(J517=FALSE,"「毎月の固定給与額」","")&amp;IF(AND(J517=FALSE,OR(K517=FALSE,L517=FALSE,M517=FALSE)),",","")&amp;IF(K517=FALSE,"「賞与額等」","")&amp;IF(AND(K517=FALSE,OR(L517=FALSE,M517=FALSE)),",","")&amp;IF(L517=FALSE,"「残業手当」","")&amp;IF(AND(L517=FALSE,M517=FALSE),",","")&amp;IF(M517=FALSE,"「残業時間」","")&amp;IF(OR(J517=FALSE,K517=FALSE,L517=FALSE,M517=FALSE),入力リスト!$K$36,"")&amp;IF(N517,"",入力リスト!$K$37)))</f>
        <v/>
      </c>
      <c r="H517" s="215"/>
      <c r="I517" s="1" t="b">
        <f>IF(B517="",FALSE,COUNTIF('従業員情報(給与以外)'!$A$4:$A$1000000,$B517)=0)</f>
        <v>0</v>
      </c>
      <c r="J517" s="8" t="b">
        <f t="shared" ref="J517:J580" si="40">OR(C517="",ISNUMBER(C517))</f>
        <v>1</v>
      </c>
      <c r="K517" s="8" t="b">
        <f t="shared" ref="K517:K580" si="41">OR(D517="",ISNUMBER(D517))</f>
        <v>1</v>
      </c>
      <c r="L517" s="8" t="b">
        <f t="shared" ref="L517:L580" si="42">OR(E517="",ISNUMBER(E517))</f>
        <v>1</v>
      </c>
      <c r="M517" s="8" t="b">
        <f t="shared" ref="M517:M580" si="43">OR(F517="",ISNUMBER(F517))</f>
        <v>1</v>
      </c>
      <c r="N517" s="1" t="b">
        <f t="shared" ref="N517:N580" si="44">IF($N$1,TRUE,IF($N$2,IF(F517-INT(F517)&lt;0.6,TRUE,FALSE),TRUE))</f>
        <v>1</v>
      </c>
      <c r="O517" s="8" t="str">
        <f>IF(F517="","",IF($F$2=入力リスト!$H$25,ROUNDDOWN(INT(F517)+ROUNDDOWN((F517-INT(F517))*100,0)/60,2),F517))</f>
        <v/>
      </c>
      <c r="P517" s="7"/>
      <c r="Q517" s="7"/>
    </row>
    <row r="518" spans="1:17">
      <c r="A518" s="105"/>
      <c r="B518" s="2"/>
      <c r="C518" s="254"/>
      <c r="D518" s="254"/>
      <c r="E518" s="254"/>
      <c r="F518" s="255"/>
      <c r="G518" s="215" t="str">
        <f>IF(AND($B518="",OR(B518&lt;&gt;"",C518&lt;&gt;"",D518&lt;&gt;"",E518&lt;&gt;"",F518&lt;&gt;"")),入力リスト!$K$34,IF($I518=TRUE,入力リスト!$K$35,IF(J518=FALSE,"「毎月の固定給与額」","")&amp;IF(AND(J518=FALSE,OR(K518=FALSE,L518=FALSE,M518=FALSE)),",","")&amp;IF(K518=FALSE,"「賞与額等」","")&amp;IF(AND(K518=FALSE,OR(L518=FALSE,M518=FALSE)),",","")&amp;IF(L518=FALSE,"「残業手当」","")&amp;IF(AND(L518=FALSE,M518=FALSE),",","")&amp;IF(M518=FALSE,"「残業時間」","")&amp;IF(OR(J518=FALSE,K518=FALSE,L518=FALSE,M518=FALSE),入力リスト!$K$36,"")&amp;IF(N518,"",入力リスト!$K$37)))</f>
        <v/>
      </c>
      <c r="H518" s="215"/>
      <c r="I518" s="1" t="b">
        <f>IF(B518="",FALSE,COUNTIF('従業員情報(給与以外)'!$A$4:$A$1000000,$B518)=0)</f>
        <v>0</v>
      </c>
      <c r="J518" s="8" t="b">
        <f t="shared" si="40"/>
        <v>1</v>
      </c>
      <c r="K518" s="8" t="b">
        <f t="shared" si="41"/>
        <v>1</v>
      </c>
      <c r="L518" s="8" t="b">
        <f t="shared" si="42"/>
        <v>1</v>
      </c>
      <c r="M518" s="8" t="b">
        <f t="shared" si="43"/>
        <v>1</v>
      </c>
      <c r="N518" s="1" t="b">
        <f t="shared" si="44"/>
        <v>1</v>
      </c>
      <c r="O518" s="8" t="str">
        <f>IF(F518="","",IF($F$2=入力リスト!$H$25,ROUNDDOWN(INT(F518)+ROUNDDOWN((F518-INT(F518))*100,0)/60,2),F518))</f>
        <v/>
      </c>
      <c r="P518" s="7"/>
      <c r="Q518" s="7"/>
    </row>
    <row r="519" spans="1:17">
      <c r="A519" s="105"/>
      <c r="B519" s="2"/>
      <c r="C519" s="254"/>
      <c r="D519" s="254"/>
      <c r="E519" s="254"/>
      <c r="F519" s="255"/>
      <c r="G519" s="215" t="str">
        <f>IF(AND($B519="",OR(B519&lt;&gt;"",C519&lt;&gt;"",D519&lt;&gt;"",E519&lt;&gt;"",F519&lt;&gt;"")),入力リスト!$K$34,IF($I519=TRUE,入力リスト!$K$35,IF(J519=FALSE,"「毎月の固定給与額」","")&amp;IF(AND(J519=FALSE,OR(K519=FALSE,L519=FALSE,M519=FALSE)),",","")&amp;IF(K519=FALSE,"「賞与額等」","")&amp;IF(AND(K519=FALSE,OR(L519=FALSE,M519=FALSE)),",","")&amp;IF(L519=FALSE,"「残業手当」","")&amp;IF(AND(L519=FALSE,M519=FALSE),",","")&amp;IF(M519=FALSE,"「残業時間」","")&amp;IF(OR(J519=FALSE,K519=FALSE,L519=FALSE,M519=FALSE),入力リスト!$K$36,"")&amp;IF(N519,"",入力リスト!$K$37)))</f>
        <v/>
      </c>
      <c r="H519" s="215"/>
      <c r="I519" s="1" t="b">
        <f>IF(B519="",FALSE,COUNTIF('従業員情報(給与以外)'!$A$4:$A$1000000,$B519)=0)</f>
        <v>0</v>
      </c>
      <c r="J519" s="8" t="b">
        <f t="shared" si="40"/>
        <v>1</v>
      </c>
      <c r="K519" s="8" t="b">
        <f t="shared" si="41"/>
        <v>1</v>
      </c>
      <c r="L519" s="8" t="b">
        <f t="shared" si="42"/>
        <v>1</v>
      </c>
      <c r="M519" s="8" t="b">
        <f t="shared" si="43"/>
        <v>1</v>
      </c>
      <c r="N519" s="1" t="b">
        <f t="shared" si="44"/>
        <v>1</v>
      </c>
      <c r="O519" s="8" t="str">
        <f>IF(F519="","",IF($F$2=入力リスト!$H$25,ROUNDDOWN(INT(F519)+ROUNDDOWN((F519-INT(F519))*100,0)/60,2),F519))</f>
        <v/>
      </c>
      <c r="P519" s="7"/>
      <c r="Q519" s="7"/>
    </row>
    <row r="520" spans="1:17">
      <c r="A520" s="105"/>
      <c r="B520" s="2"/>
      <c r="C520" s="254"/>
      <c r="D520" s="254"/>
      <c r="E520" s="254"/>
      <c r="F520" s="255"/>
      <c r="G520" s="215" t="str">
        <f>IF(AND($B520="",OR(B520&lt;&gt;"",C520&lt;&gt;"",D520&lt;&gt;"",E520&lt;&gt;"",F520&lt;&gt;"")),入力リスト!$K$34,IF($I520=TRUE,入力リスト!$K$35,IF(J520=FALSE,"「毎月の固定給与額」","")&amp;IF(AND(J520=FALSE,OR(K520=FALSE,L520=FALSE,M520=FALSE)),",","")&amp;IF(K520=FALSE,"「賞与額等」","")&amp;IF(AND(K520=FALSE,OR(L520=FALSE,M520=FALSE)),",","")&amp;IF(L520=FALSE,"「残業手当」","")&amp;IF(AND(L520=FALSE,M520=FALSE),",","")&amp;IF(M520=FALSE,"「残業時間」","")&amp;IF(OR(J520=FALSE,K520=FALSE,L520=FALSE,M520=FALSE),入力リスト!$K$36,"")&amp;IF(N520,"",入力リスト!$K$37)))</f>
        <v/>
      </c>
      <c r="H520" s="215"/>
      <c r="I520" s="1" t="b">
        <f>IF(B520="",FALSE,COUNTIF('従業員情報(給与以外)'!$A$4:$A$1000000,$B520)=0)</f>
        <v>0</v>
      </c>
      <c r="J520" s="8" t="b">
        <f t="shared" si="40"/>
        <v>1</v>
      </c>
      <c r="K520" s="8" t="b">
        <f t="shared" si="41"/>
        <v>1</v>
      </c>
      <c r="L520" s="8" t="b">
        <f t="shared" si="42"/>
        <v>1</v>
      </c>
      <c r="M520" s="8" t="b">
        <f t="shared" si="43"/>
        <v>1</v>
      </c>
      <c r="N520" s="1" t="b">
        <f t="shared" si="44"/>
        <v>1</v>
      </c>
      <c r="O520" s="8" t="str">
        <f>IF(F520="","",IF($F$2=入力リスト!$H$25,ROUNDDOWN(INT(F520)+ROUNDDOWN((F520-INT(F520))*100,0)/60,2),F520))</f>
        <v/>
      </c>
      <c r="P520" s="7"/>
      <c r="Q520" s="7"/>
    </row>
    <row r="521" spans="1:17">
      <c r="A521" s="105"/>
      <c r="B521" s="2"/>
      <c r="C521" s="254"/>
      <c r="D521" s="254"/>
      <c r="E521" s="254"/>
      <c r="F521" s="255"/>
      <c r="G521" s="215" t="str">
        <f>IF(AND($B521="",OR(B521&lt;&gt;"",C521&lt;&gt;"",D521&lt;&gt;"",E521&lt;&gt;"",F521&lt;&gt;"")),入力リスト!$K$34,IF($I521=TRUE,入力リスト!$K$35,IF(J521=FALSE,"「毎月の固定給与額」","")&amp;IF(AND(J521=FALSE,OR(K521=FALSE,L521=FALSE,M521=FALSE)),",","")&amp;IF(K521=FALSE,"「賞与額等」","")&amp;IF(AND(K521=FALSE,OR(L521=FALSE,M521=FALSE)),",","")&amp;IF(L521=FALSE,"「残業手当」","")&amp;IF(AND(L521=FALSE,M521=FALSE),",","")&amp;IF(M521=FALSE,"「残業時間」","")&amp;IF(OR(J521=FALSE,K521=FALSE,L521=FALSE,M521=FALSE),入力リスト!$K$36,"")&amp;IF(N521,"",入力リスト!$K$37)))</f>
        <v/>
      </c>
      <c r="H521" s="215"/>
      <c r="I521" s="1" t="b">
        <f>IF(B521="",FALSE,COUNTIF('従業員情報(給与以外)'!$A$4:$A$1000000,$B521)=0)</f>
        <v>0</v>
      </c>
      <c r="J521" s="8" t="b">
        <f t="shared" si="40"/>
        <v>1</v>
      </c>
      <c r="K521" s="8" t="b">
        <f t="shared" si="41"/>
        <v>1</v>
      </c>
      <c r="L521" s="8" t="b">
        <f t="shared" si="42"/>
        <v>1</v>
      </c>
      <c r="M521" s="8" t="b">
        <f t="shared" si="43"/>
        <v>1</v>
      </c>
      <c r="N521" s="1" t="b">
        <f t="shared" si="44"/>
        <v>1</v>
      </c>
      <c r="O521" s="8" t="str">
        <f>IF(F521="","",IF($F$2=入力リスト!$H$25,ROUNDDOWN(INT(F521)+ROUNDDOWN((F521-INT(F521))*100,0)/60,2),F521))</f>
        <v/>
      </c>
      <c r="P521" s="7"/>
      <c r="Q521" s="7"/>
    </row>
    <row r="522" spans="1:17">
      <c r="A522" s="105"/>
      <c r="B522" s="2"/>
      <c r="C522" s="254"/>
      <c r="D522" s="254"/>
      <c r="E522" s="254"/>
      <c r="F522" s="255"/>
      <c r="G522" s="215" t="str">
        <f>IF(AND($B522="",OR(B522&lt;&gt;"",C522&lt;&gt;"",D522&lt;&gt;"",E522&lt;&gt;"",F522&lt;&gt;"")),入力リスト!$K$34,IF($I522=TRUE,入力リスト!$K$35,IF(J522=FALSE,"「毎月の固定給与額」","")&amp;IF(AND(J522=FALSE,OR(K522=FALSE,L522=FALSE,M522=FALSE)),",","")&amp;IF(K522=FALSE,"「賞与額等」","")&amp;IF(AND(K522=FALSE,OR(L522=FALSE,M522=FALSE)),",","")&amp;IF(L522=FALSE,"「残業手当」","")&amp;IF(AND(L522=FALSE,M522=FALSE),",","")&amp;IF(M522=FALSE,"「残業時間」","")&amp;IF(OR(J522=FALSE,K522=FALSE,L522=FALSE,M522=FALSE),入力リスト!$K$36,"")&amp;IF(N522,"",入力リスト!$K$37)))</f>
        <v/>
      </c>
      <c r="H522" s="215"/>
      <c r="I522" s="1" t="b">
        <f>IF(B522="",FALSE,COUNTIF('従業員情報(給与以外)'!$A$4:$A$1000000,$B522)=0)</f>
        <v>0</v>
      </c>
      <c r="J522" s="8" t="b">
        <f t="shared" si="40"/>
        <v>1</v>
      </c>
      <c r="K522" s="8" t="b">
        <f t="shared" si="41"/>
        <v>1</v>
      </c>
      <c r="L522" s="8" t="b">
        <f t="shared" si="42"/>
        <v>1</v>
      </c>
      <c r="M522" s="8" t="b">
        <f t="shared" si="43"/>
        <v>1</v>
      </c>
      <c r="N522" s="1" t="b">
        <f t="shared" si="44"/>
        <v>1</v>
      </c>
      <c r="O522" s="8" t="str">
        <f>IF(F522="","",IF($F$2=入力リスト!$H$25,ROUNDDOWN(INT(F522)+ROUNDDOWN((F522-INT(F522))*100,0)/60,2),F522))</f>
        <v/>
      </c>
      <c r="P522" s="7"/>
      <c r="Q522" s="7"/>
    </row>
    <row r="523" spans="1:17">
      <c r="A523" s="105"/>
      <c r="B523" s="2"/>
      <c r="C523" s="254"/>
      <c r="D523" s="254"/>
      <c r="E523" s="254"/>
      <c r="F523" s="255"/>
      <c r="G523" s="215" t="str">
        <f>IF(AND($B523="",OR(B523&lt;&gt;"",C523&lt;&gt;"",D523&lt;&gt;"",E523&lt;&gt;"",F523&lt;&gt;"")),入力リスト!$K$34,IF($I523=TRUE,入力リスト!$K$35,IF(J523=FALSE,"「毎月の固定給与額」","")&amp;IF(AND(J523=FALSE,OR(K523=FALSE,L523=FALSE,M523=FALSE)),",","")&amp;IF(K523=FALSE,"「賞与額等」","")&amp;IF(AND(K523=FALSE,OR(L523=FALSE,M523=FALSE)),",","")&amp;IF(L523=FALSE,"「残業手当」","")&amp;IF(AND(L523=FALSE,M523=FALSE),",","")&amp;IF(M523=FALSE,"「残業時間」","")&amp;IF(OR(J523=FALSE,K523=FALSE,L523=FALSE,M523=FALSE),入力リスト!$K$36,"")&amp;IF(N523,"",入力リスト!$K$37)))</f>
        <v/>
      </c>
      <c r="H523" s="215"/>
      <c r="I523" s="1" t="b">
        <f>IF(B523="",FALSE,COUNTIF('従業員情報(給与以外)'!$A$4:$A$1000000,$B523)=0)</f>
        <v>0</v>
      </c>
      <c r="J523" s="8" t="b">
        <f t="shared" si="40"/>
        <v>1</v>
      </c>
      <c r="K523" s="8" t="b">
        <f t="shared" si="41"/>
        <v>1</v>
      </c>
      <c r="L523" s="8" t="b">
        <f t="shared" si="42"/>
        <v>1</v>
      </c>
      <c r="M523" s="8" t="b">
        <f t="shared" si="43"/>
        <v>1</v>
      </c>
      <c r="N523" s="1" t="b">
        <f t="shared" si="44"/>
        <v>1</v>
      </c>
      <c r="O523" s="8" t="str">
        <f>IF(F523="","",IF($F$2=入力リスト!$H$25,ROUNDDOWN(INT(F523)+ROUNDDOWN((F523-INT(F523))*100,0)/60,2),F523))</f>
        <v/>
      </c>
      <c r="P523" s="7"/>
      <c r="Q523" s="7"/>
    </row>
    <row r="524" spans="1:17">
      <c r="A524" s="105"/>
      <c r="B524" s="2"/>
      <c r="C524" s="254"/>
      <c r="D524" s="254"/>
      <c r="E524" s="254"/>
      <c r="F524" s="255"/>
      <c r="G524" s="215" t="str">
        <f>IF(AND($B524="",OR(B524&lt;&gt;"",C524&lt;&gt;"",D524&lt;&gt;"",E524&lt;&gt;"",F524&lt;&gt;"")),入力リスト!$K$34,IF($I524=TRUE,入力リスト!$K$35,IF(J524=FALSE,"「毎月の固定給与額」","")&amp;IF(AND(J524=FALSE,OR(K524=FALSE,L524=FALSE,M524=FALSE)),",","")&amp;IF(K524=FALSE,"「賞与額等」","")&amp;IF(AND(K524=FALSE,OR(L524=FALSE,M524=FALSE)),",","")&amp;IF(L524=FALSE,"「残業手当」","")&amp;IF(AND(L524=FALSE,M524=FALSE),",","")&amp;IF(M524=FALSE,"「残業時間」","")&amp;IF(OR(J524=FALSE,K524=FALSE,L524=FALSE,M524=FALSE),入力リスト!$K$36,"")&amp;IF(N524,"",入力リスト!$K$37)))</f>
        <v/>
      </c>
      <c r="H524" s="215"/>
      <c r="I524" s="1" t="b">
        <f>IF(B524="",FALSE,COUNTIF('従業員情報(給与以外)'!$A$4:$A$1000000,$B524)=0)</f>
        <v>0</v>
      </c>
      <c r="J524" s="8" t="b">
        <f t="shared" si="40"/>
        <v>1</v>
      </c>
      <c r="K524" s="8" t="b">
        <f t="shared" si="41"/>
        <v>1</v>
      </c>
      <c r="L524" s="8" t="b">
        <f t="shared" si="42"/>
        <v>1</v>
      </c>
      <c r="M524" s="8" t="b">
        <f t="shared" si="43"/>
        <v>1</v>
      </c>
      <c r="N524" s="1" t="b">
        <f t="shared" si="44"/>
        <v>1</v>
      </c>
      <c r="O524" s="8" t="str">
        <f>IF(F524="","",IF($F$2=入力リスト!$H$25,ROUNDDOWN(INT(F524)+ROUNDDOWN((F524-INT(F524))*100,0)/60,2),F524))</f>
        <v/>
      </c>
      <c r="P524" s="7"/>
      <c r="Q524" s="7"/>
    </row>
    <row r="525" spans="1:17">
      <c r="A525" s="105"/>
      <c r="B525" s="2"/>
      <c r="C525" s="254"/>
      <c r="D525" s="254"/>
      <c r="E525" s="254"/>
      <c r="F525" s="255"/>
      <c r="G525" s="215" t="str">
        <f>IF(AND($B525="",OR(B525&lt;&gt;"",C525&lt;&gt;"",D525&lt;&gt;"",E525&lt;&gt;"",F525&lt;&gt;"")),入力リスト!$K$34,IF($I525=TRUE,入力リスト!$K$35,IF(J525=FALSE,"「毎月の固定給与額」","")&amp;IF(AND(J525=FALSE,OR(K525=FALSE,L525=FALSE,M525=FALSE)),",","")&amp;IF(K525=FALSE,"「賞与額等」","")&amp;IF(AND(K525=FALSE,OR(L525=FALSE,M525=FALSE)),",","")&amp;IF(L525=FALSE,"「残業手当」","")&amp;IF(AND(L525=FALSE,M525=FALSE),",","")&amp;IF(M525=FALSE,"「残業時間」","")&amp;IF(OR(J525=FALSE,K525=FALSE,L525=FALSE,M525=FALSE),入力リスト!$K$36,"")&amp;IF(N525,"",入力リスト!$K$37)))</f>
        <v/>
      </c>
      <c r="H525" s="215"/>
      <c r="I525" s="1" t="b">
        <f>IF(B525="",FALSE,COUNTIF('従業員情報(給与以外)'!$A$4:$A$1000000,$B525)=0)</f>
        <v>0</v>
      </c>
      <c r="J525" s="8" t="b">
        <f t="shared" si="40"/>
        <v>1</v>
      </c>
      <c r="K525" s="8" t="b">
        <f t="shared" si="41"/>
        <v>1</v>
      </c>
      <c r="L525" s="8" t="b">
        <f t="shared" si="42"/>
        <v>1</v>
      </c>
      <c r="M525" s="8" t="b">
        <f t="shared" si="43"/>
        <v>1</v>
      </c>
      <c r="N525" s="1" t="b">
        <f t="shared" si="44"/>
        <v>1</v>
      </c>
      <c r="O525" s="8" t="str">
        <f>IF(F525="","",IF($F$2=入力リスト!$H$25,ROUNDDOWN(INT(F525)+ROUNDDOWN((F525-INT(F525))*100,0)/60,2),F525))</f>
        <v/>
      </c>
      <c r="P525" s="7"/>
      <c r="Q525" s="7"/>
    </row>
    <row r="526" spans="1:17">
      <c r="A526" s="105"/>
      <c r="B526" s="2"/>
      <c r="C526" s="254"/>
      <c r="D526" s="254"/>
      <c r="E526" s="254"/>
      <c r="F526" s="255"/>
      <c r="G526" s="215" t="str">
        <f>IF(AND($B526="",OR(B526&lt;&gt;"",C526&lt;&gt;"",D526&lt;&gt;"",E526&lt;&gt;"",F526&lt;&gt;"")),入力リスト!$K$34,IF($I526=TRUE,入力リスト!$K$35,IF(J526=FALSE,"「毎月の固定給与額」","")&amp;IF(AND(J526=FALSE,OR(K526=FALSE,L526=FALSE,M526=FALSE)),",","")&amp;IF(K526=FALSE,"「賞与額等」","")&amp;IF(AND(K526=FALSE,OR(L526=FALSE,M526=FALSE)),",","")&amp;IF(L526=FALSE,"「残業手当」","")&amp;IF(AND(L526=FALSE,M526=FALSE),",","")&amp;IF(M526=FALSE,"「残業時間」","")&amp;IF(OR(J526=FALSE,K526=FALSE,L526=FALSE,M526=FALSE),入力リスト!$K$36,"")&amp;IF(N526,"",入力リスト!$K$37)))</f>
        <v/>
      </c>
      <c r="H526" s="215"/>
      <c r="I526" s="1" t="b">
        <f>IF(B526="",FALSE,COUNTIF('従業員情報(給与以外)'!$A$4:$A$1000000,$B526)=0)</f>
        <v>0</v>
      </c>
      <c r="J526" s="8" t="b">
        <f t="shared" si="40"/>
        <v>1</v>
      </c>
      <c r="K526" s="8" t="b">
        <f t="shared" si="41"/>
        <v>1</v>
      </c>
      <c r="L526" s="8" t="b">
        <f t="shared" si="42"/>
        <v>1</v>
      </c>
      <c r="M526" s="8" t="b">
        <f t="shared" si="43"/>
        <v>1</v>
      </c>
      <c r="N526" s="1" t="b">
        <f t="shared" si="44"/>
        <v>1</v>
      </c>
      <c r="O526" s="8" t="str">
        <f>IF(F526="","",IF($F$2=入力リスト!$H$25,ROUNDDOWN(INT(F526)+ROUNDDOWN((F526-INT(F526))*100,0)/60,2),F526))</f>
        <v/>
      </c>
      <c r="P526" s="7"/>
      <c r="Q526" s="7"/>
    </row>
    <row r="527" spans="1:17">
      <c r="A527" s="105"/>
      <c r="B527" s="2"/>
      <c r="C527" s="254"/>
      <c r="D527" s="254"/>
      <c r="E527" s="254"/>
      <c r="F527" s="255"/>
      <c r="G527" s="215" t="str">
        <f>IF(AND($B527="",OR(B527&lt;&gt;"",C527&lt;&gt;"",D527&lt;&gt;"",E527&lt;&gt;"",F527&lt;&gt;"")),入力リスト!$K$34,IF($I527=TRUE,入力リスト!$K$35,IF(J527=FALSE,"「毎月の固定給与額」","")&amp;IF(AND(J527=FALSE,OR(K527=FALSE,L527=FALSE,M527=FALSE)),",","")&amp;IF(K527=FALSE,"「賞与額等」","")&amp;IF(AND(K527=FALSE,OR(L527=FALSE,M527=FALSE)),",","")&amp;IF(L527=FALSE,"「残業手当」","")&amp;IF(AND(L527=FALSE,M527=FALSE),",","")&amp;IF(M527=FALSE,"「残業時間」","")&amp;IF(OR(J527=FALSE,K527=FALSE,L527=FALSE,M527=FALSE),入力リスト!$K$36,"")&amp;IF(N527,"",入力リスト!$K$37)))</f>
        <v/>
      </c>
      <c r="H527" s="215"/>
      <c r="I527" s="1" t="b">
        <f>IF(B527="",FALSE,COUNTIF('従業員情報(給与以外)'!$A$4:$A$1000000,$B527)=0)</f>
        <v>0</v>
      </c>
      <c r="J527" s="8" t="b">
        <f t="shared" si="40"/>
        <v>1</v>
      </c>
      <c r="K527" s="8" t="b">
        <f t="shared" si="41"/>
        <v>1</v>
      </c>
      <c r="L527" s="8" t="b">
        <f t="shared" si="42"/>
        <v>1</v>
      </c>
      <c r="M527" s="8" t="b">
        <f t="shared" si="43"/>
        <v>1</v>
      </c>
      <c r="N527" s="1" t="b">
        <f t="shared" si="44"/>
        <v>1</v>
      </c>
      <c r="O527" s="8" t="str">
        <f>IF(F527="","",IF($F$2=入力リスト!$H$25,ROUNDDOWN(INT(F527)+ROUNDDOWN((F527-INT(F527))*100,0)/60,2),F527))</f>
        <v/>
      </c>
      <c r="P527" s="7"/>
      <c r="Q527" s="7"/>
    </row>
    <row r="528" spans="1:17">
      <c r="A528" s="105"/>
      <c r="B528" s="2"/>
      <c r="C528" s="254"/>
      <c r="D528" s="254"/>
      <c r="E528" s="254"/>
      <c r="F528" s="255"/>
      <c r="G528" s="215" t="str">
        <f>IF(AND($B528="",OR(B528&lt;&gt;"",C528&lt;&gt;"",D528&lt;&gt;"",E528&lt;&gt;"",F528&lt;&gt;"")),入力リスト!$K$34,IF($I528=TRUE,入力リスト!$K$35,IF(J528=FALSE,"「毎月の固定給与額」","")&amp;IF(AND(J528=FALSE,OR(K528=FALSE,L528=FALSE,M528=FALSE)),",","")&amp;IF(K528=FALSE,"「賞与額等」","")&amp;IF(AND(K528=FALSE,OR(L528=FALSE,M528=FALSE)),",","")&amp;IF(L528=FALSE,"「残業手当」","")&amp;IF(AND(L528=FALSE,M528=FALSE),",","")&amp;IF(M528=FALSE,"「残業時間」","")&amp;IF(OR(J528=FALSE,K528=FALSE,L528=FALSE,M528=FALSE),入力リスト!$K$36,"")&amp;IF(N528,"",入力リスト!$K$37)))</f>
        <v/>
      </c>
      <c r="H528" s="215"/>
      <c r="I528" s="1" t="b">
        <f>IF(B528="",FALSE,COUNTIF('従業員情報(給与以外)'!$A$4:$A$1000000,$B528)=0)</f>
        <v>0</v>
      </c>
      <c r="J528" s="8" t="b">
        <f t="shared" si="40"/>
        <v>1</v>
      </c>
      <c r="K528" s="8" t="b">
        <f t="shared" si="41"/>
        <v>1</v>
      </c>
      <c r="L528" s="8" t="b">
        <f t="shared" si="42"/>
        <v>1</v>
      </c>
      <c r="M528" s="8" t="b">
        <f t="shared" si="43"/>
        <v>1</v>
      </c>
      <c r="N528" s="1" t="b">
        <f t="shared" si="44"/>
        <v>1</v>
      </c>
      <c r="O528" s="8" t="str">
        <f>IF(F528="","",IF($F$2=入力リスト!$H$25,ROUNDDOWN(INT(F528)+ROUNDDOWN((F528-INT(F528))*100,0)/60,2),F528))</f>
        <v/>
      </c>
      <c r="P528" s="7"/>
      <c r="Q528" s="7"/>
    </row>
    <row r="529" spans="1:17">
      <c r="A529" s="105"/>
      <c r="B529" s="2"/>
      <c r="C529" s="254"/>
      <c r="D529" s="254"/>
      <c r="E529" s="254"/>
      <c r="F529" s="255"/>
      <c r="G529" s="215" t="str">
        <f>IF(AND($B529="",OR(B529&lt;&gt;"",C529&lt;&gt;"",D529&lt;&gt;"",E529&lt;&gt;"",F529&lt;&gt;"")),入力リスト!$K$34,IF($I529=TRUE,入力リスト!$K$35,IF(J529=FALSE,"「毎月の固定給与額」","")&amp;IF(AND(J529=FALSE,OR(K529=FALSE,L529=FALSE,M529=FALSE)),",","")&amp;IF(K529=FALSE,"「賞与額等」","")&amp;IF(AND(K529=FALSE,OR(L529=FALSE,M529=FALSE)),",","")&amp;IF(L529=FALSE,"「残業手当」","")&amp;IF(AND(L529=FALSE,M529=FALSE),",","")&amp;IF(M529=FALSE,"「残業時間」","")&amp;IF(OR(J529=FALSE,K529=FALSE,L529=FALSE,M529=FALSE),入力リスト!$K$36,"")&amp;IF(N529,"",入力リスト!$K$37)))</f>
        <v/>
      </c>
      <c r="H529" s="215"/>
      <c r="I529" s="1" t="b">
        <f>IF(B529="",FALSE,COUNTIF('従業員情報(給与以外)'!$A$4:$A$1000000,$B529)=0)</f>
        <v>0</v>
      </c>
      <c r="J529" s="8" t="b">
        <f t="shared" si="40"/>
        <v>1</v>
      </c>
      <c r="K529" s="8" t="b">
        <f t="shared" si="41"/>
        <v>1</v>
      </c>
      <c r="L529" s="8" t="b">
        <f t="shared" si="42"/>
        <v>1</v>
      </c>
      <c r="M529" s="8" t="b">
        <f t="shared" si="43"/>
        <v>1</v>
      </c>
      <c r="N529" s="1" t="b">
        <f t="shared" si="44"/>
        <v>1</v>
      </c>
      <c r="O529" s="8" t="str">
        <f>IF(F529="","",IF($F$2=入力リスト!$H$25,ROUNDDOWN(INT(F529)+ROUNDDOWN((F529-INT(F529))*100,0)/60,2),F529))</f>
        <v/>
      </c>
      <c r="P529" s="7"/>
      <c r="Q529" s="7"/>
    </row>
    <row r="530" spans="1:17">
      <c r="A530" s="105"/>
      <c r="B530" s="2"/>
      <c r="C530" s="254"/>
      <c r="D530" s="254"/>
      <c r="E530" s="254"/>
      <c r="F530" s="255"/>
      <c r="G530" s="215" t="str">
        <f>IF(AND($B530="",OR(B530&lt;&gt;"",C530&lt;&gt;"",D530&lt;&gt;"",E530&lt;&gt;"",F530&lt;&gt;"")),入力リスト!$K$34,IF($I530=TRUE,入力リスト!$K$35,IF(J530=FALSE,"「毎月の固定給与額」","")&amp;IF(AND(J530=FALSE,OR(K530=FALSE,L530=FALSE,M530=FALSE)),",","")&amp;IF(K530=FALSE,"「賞与額等」","")&amp;IF(AND(K530=FALSE,OR(L530=FALSE,M530=FALSE)),",","")&amp;IF(L530=FALSE,"「残業手当」","")&amp;IF(AND(L530=FALSE,M530=FALSE),",","")&amp;IF(M530=FALSE,"「残業時間」","")&amp;IF(OR(J530=FALSE,K530=FALSE,L530=FALSE,M530=FALSE),入力リスト!$K$36,"")&amp;IF(N530,"",入力リスト!$K$37)))</f>
        <v/>
      </c>
      <c r="H530" s="215"/>
      <c r="I530" s="1" t="b">
        <f>IF(B530="",FALSE,COUNTIF('従業員情報(給与以外)'!$A$4:$A$1000000,$B530)=0)</f>
        <v>0</v>
      </c>
      <c r="J530" s="8" t="b">
        <f t="shared" si="40"/>
        <v>1</v>
      </c>
      <c r="K530" s="8" t="b">
        <f t="shared" si="41"/>
        <v>1</v>
      </c>
      <c r="L530" s="8" t="b">
        <f t="shared" si="42"/>
        <v>1</v>
      </c>
      <c r="M530" s="8" t="b">
        <f t="shared" si="43"/>
        <v>1</v>
      </c>
      <c r="N530" s="1" t="b">
        <f t="shared" si="44"/>
        <v>1</v>
      </c>
      <c r="O530" s="8" t="str">
        <f>IF(F530="","",IF($F$2=入力リスト!$H$25,ROUNDDOWN(INT(F530)+ROUNDDOWN((F530-INT(F530))*100,0)/60,2),F530))</f>
        <v/>
      </c>
      <c r="P530" s="7"/>
      <c r="Q530" s="7"/>
    </row>
    <row r="531" spans="1:17">
      <c r="A531" s="105"/>
      <c r="B531" s="2"/>
      <c r="C531" s="254"/>
      <c r="D531" s="254"/>
      <c r="E531" s="254"/>
      <c r="F531" s="255"/>
      <c r="G531" s="215" t="str">
        <f>IF(AND($B531="",OR(B531&lt;&gt;"",C531&lt;&gt;"",D531&lt;&gt;"",E531&lt;&gt;"",F531&lt;&gt;"")),入力リスト!$K$34,IF($I531=TRUE,入力リスト!$K$35,IF(J531=FALSE,"「毎月の固定給与額」","")&amp;IF(AND(J531=FALSE,OR(K531=FALSE,L531=FALSE,M531=FALSE)),",","")&amp;IF(K531=FALSE,"「賞与額等」","")&amp;IF(AND(K531=FALSE,OR(L531=FALSE,M531=FALSE)),",","")&amp;IF(L531=FALSE,"「残業手当」","")&amp;IF(AND(L531=FALSE,M531=FALSE),",","")&amp;IF(M531=FALSE,"「残業時間」","")&amp;IF(OR(J531=FALSE,K531=FALSE,L531=FALSE,M531=FALSE),入力リスト!$K$36,"")&amp;IF(N531,"",入力リスト!$K$37)))</f>
        <v/>
      </c>
      <c r="H531" s="215"/>
      <c r="I531" s="1" t="b">
        <f>IF(B531="",FALSE,COUNTIF('従業員情報(給与以外)'!$A$4:$A$1000000,$B531)=0)</f>
        <v>0</v>
      </c>
      <c r="J531" s="8" t="b">
        <f t="shared" si="40"/>
        <v>1</v>
      </c>
      <c r="K531" s="8" t="b">
        <f t="shared" si="41"/>
        <v>1</v>
      </c>
      <c r="L531" s="8" t="b">
        <f t="shared" si="42"/>
        <v>1</v>
      </c>
      <c r="M531" s="8" t="b">
        <f t="shared" si="43"/>
        <v>1</v>
      </c>
      <c r="N531" s="1" t="b">
        <f t="shared" si="44"/>
        <v>1</v>
      </c>
      <c r="O531" s="8" t="str">
        <f>IF(F531="","",IF($F$2=入力リスト!$H$25,ROUNDDOWN(INT(F531)+ROUNDDOWN((F531-INT(F531))*100,0)/60,2),F531))</f>
        <v/>
      </c>
      <c r="P531" s="7"/>
      <c r="Q531" s="7"/>
    </row>
    <row r="532" spans="1:17">
      <c r="A532" s="105"/>
      <c r="B532" s="2"/>
      <c r="C532" s="254"/>
      <c r="D532" s="254"/>
      <c r="E532" s="254"/>
      <c r="F532" s="255"/>
      <c r="G532" s="215" t="str">
        <f>IF(AND($B532="",OR(B532&lt;&gt;"",C532&lt;&gt;"",D532&lt;&gt;"",E532&lt;&gt;"",F532&lt;&gt;"")),入力リスト!$K$34,IF($I532=TRUE,入力リスト!$K$35,IF(J532=FALSE,"「毎月の固定給与額」","")&amp;IF(AND(J532=FALSE,OR(K532=FALSE,L532=FALSE,M532=FALSE)),",","")&amp;IF(K532=FALSE,"「賞与額等」","")&amp;IF(AND(K532=FALSE,OR(L532=FALSE,M532=FALSE)),",","")&amp;IF(L532=FALSE,"「残業手当」","")&amp;IF(AND(L532=FALSE,M532=FALSE),",","")&amp;IF(M532=FALSE,"「残業時間」","")&amp;IF(OR(J532=FALSE,K532=FALSE,L532=FALSE,M532=FALSE),入力リスト!$K$36,"")&amp;IF(N532,"",入力リスト!$K$37)))</f>
        <v/>
      </c>
      <c r="H532" s="215"/>
      <c r="I532" s="1" t="b">
        <f>IF(B532="",FALSE,COUNTIF('従業員情報(給与以外)'!$A$4:$A$1000000,$B532)=0)</f>
        <v>0</v>
      </c>
      <c r="J532" s="8" t="b">
        <f t="shared" si="40"/>
        <v>1</v>
      </c>
      <c r="K532" s="8" t="b">
        <f t="shared" si="41"/>
        <v>1</v>
      </c>
      <c r="L532" s="8" t="b">
        <f t="shared" si="42"/>
        <v>1</v>
      </c>
      <c r="M532" s="8" t="b">
        <f t="shared" si="43"/>
        <v>1</v>
      </c>
      <c r="N532" s="1" t="b">
        <f t="shared" si="44"/>
        <v>1</v>
      </c>
      <c r="O532" s="8" t="str">
        <f>IF(F532="","",IF($F$2=入力リスト!$H$25,ROUNDDOWN(INT(F532)+ROUNDDOWN((F532-INT(F532))*100,0)/60,2),F532))</f>
        <v/>
      </c>
      <c r="P532" s="7"/>
      <c r="Q532" s="7"/>
    </row>
    <row r="533" spans="1:17">
      <c r="A533" s="105"/>
      <c r="B533" s="2"/>
      <c r="C533" s="254"/>
      <c r="D533" s="254"/>
      <c r="E533" s="254"/>
      <c r="F533" s="255"/>
      <c r="G533" s="215" t="str">
        <f>IF(AND($B533="",OR(B533&lt;&gt;"",C533&lt;&gt;"",D533&lt;&gt;"",E533&lt;&gt;"",F533&lt;&gt;"")),入力リスト!$K$34,IF($I533=TRUE,入力リスト!$K$35,IF(J533=FALSE,"「毎月の固定給与額」","")&amp;IF(AND(J533=FALSE,OR(K533=FALSE,L533=FALSE,M533=FALSE)),",","")&amp;IF(K533=FALSE,"「賞与額等」","")&amp;IF(AND(K533=FALSE,OR(L533=FALSE,M533=FALSE)),",","")&amp;IF(L533=FALSE,"「残業手当」","")&amp;IF(AND(L533=FALSE,M533=FALSE),",","")&amp;IF(M533=FALSE,"「残業時間」","")&amp;IF(OR(J533=FALSE,K533=FALSE,L533=FALSE,M533=FALSE),入力リスト!$K$36,"")&amp;IF(N533,"",入力リスト!$K$37)))</f>
        <v/>
      </c>
      <c r="H533" s="215"/>
      <c r="I533" s="1" t="b">
        <f>IF(B533="",FALSE,COUNTIF('従業員情報(給与以外)'!$A$4:$A$1000000,$B533)=0)</f>
        <v>0</v>
      </c>
      <c r="J533" s="8" t="b">
        <f t="shared" si="40"/>
        <v>1</v>
      </c>
      <c r="K533" s="8" t="b">
        <f t="shared" si="41"/>
        <v>1</v>
      </c>
      <c r="L533" s="8" t="b">
        <f t="shared" si="42"/>
        <v>1</v>
      </c>
      <c r="M533" s="8" t="b">
        <f t="shared" si="43"/>
        <v>1</v>
      </c>
      <c r="N533" s="1" t="b">
        <f t="shared" si="44"/>
        <v>1</v>
      </c>
      <c r="O533" s="8" t="str">
        <f>IF(F533="","",IF($F$2=入力リスト!$H$25,ROUNDDOWN(INT(F533)+ROUNDDOWN((F533-INT(F533))*100,0)/60,2),F533))</f>
        <v/>
      </c>
      <c r="P533" s="7"/>
      <c r="Q533" s="7"/>
    </row>
    <row r="534" spans="1:17">
      <c r="A534" s="105"/>
      <c r="B534" s="2"/>
      <c r="C534" s="254"/>
      <c r="D534" s="254"/>
      <c r="E534" s="254"/>
      <c r="F534" s="255"/>
      <c r="G534" s="215" t="str">
        <f>IF(AND($B534="",OR(B534&lt;&gt;"",C534&lt;&gt;"",D534&lt;&gt;"",E534&lt;&gt;"",F534&lt;&gt;"")),入力リスト!$K$34,IF($I534=TRUE,入力リスト!$K$35,IF(J534=FALSE,"「毎月の固定給与額」","")&amp;IF(AND(J534=FALSE,OR(K534=FALSE,L534=FALSE,M534=FALSE)),",","")&amp;IF(K534=FALSE,"「賞与額等」","")&amp;IF(AND(K534=FALSE,OR(L534=FALSE,M534=FALSE)),",","")&amp;IF(L534=FALSE,"「残業手当」","")&amp;IF(AND(L534=FALSE,M534=FALSE),",","")&amp;IF(M534=FALSE,"「残業時間」","")&amp;IF(OR(J534=FALSE,K534=FALSE,L534=FALSE,M534=FALSE),入力リスト!$K$36,"")&amp;IF(N534,"",入力リスト!$K$37)))</f>
        <v/>
      </c>
      <c r="H534" s="215"/>
      <c r="I534" s="1" t="b">
        <f>IF(B534="",FALSE,COUNTIF('従業員情報(給与以外)'!$A$4:$A$1000000,$B534)=0)</f>
        <v>0</v>
      </c>
      <c r="J534" s="8" t="b">
        <f t="shared" si="40"/>
        <v>1</v>
      </c>
      <c r="K534" s="8" t="b">
        <f t="shared" si="41"/>
        <v>1</v>
      </c>
      <c r="L534" s="8" t="b">
        <f t="shared" si="42"/>
        <v>1</v>
      </c>
      <c r="M534" s="8" t="b">
        <f t="shared" si="43"/>
        <v>1</v>
      </c>
      <c r="N534" s="1" t="b">
        <f t="shared" si="44"/>
        <v>1</v>
      </c>
      <c r="O534" s="8" t="str">
        <f>IF(F534="","",IF($F$2=入力リスト!$H$25,ROUNDDOWN(INT(F534)+ROUNDDOWN((F534-INT(F534))*100,0)/60,2),F534))</f>
        <v/>
      </c>
      <c r="P534" s="7"/>
      <c r="Q534" s="7"/>
    </row>
    <row r="535" spans="1:17">
      <c r="A535" s="105"/>
      <c r="B535" s="2"/>
      <c r="C535" s="254"/>
      <c r="D535" s="254"/>
      <c r="E535" s="254"/>
      <c r="F535" s="255"/>
      <c r="G535" s="215" t="str">
        <f>IF(AND($B535="",OR(B535&lt;&gt;"",C535&lt;&gt;"",D535&lt;&gt;"",E535&lt;&gt;"",F535&lt;&gt;"")),入力リスト!$K$34,IF($I535=TRUE,入力リスト!$K$35,IF(J535=FALSE,"「毎月の固定給与額」","")&amp;IF(AND(J535=FALSE,OR(K535=FALSE,L535=FALSE,M535=FALSE)),",","")&amp;IF(K535=FALSE,"「賞与額等」","")&amp;IF(AND(K535=FALSE,OR(L535=FALSE,M535=FALSE)),",","")&amp;IF(L535=FALSE,"「残業手当」","")&amp;IF(AND(L535=FALSE,M535=FALSE),",","")&amp;IF(M535=FALSE,"「残業時間」","")&amp;IF(OR(J535=FALSE,K535=FALSE,L535=FALSE,M535=FALSE),入力リスト!$K$36,"")&amp;IF(N535,"",入力リスト!$K$37)))</f>
        <v/>
      </c>
      <c r="H535" s="215"/>
      <c r="I535" s="1" t="b">
        <f>IF(B535="",FALSE,COUNTIF('従業員情報(給与以外)'!$A$4:$A$1000000,$B535)=0)</f>
        <v>0</v>
      </c>
      <c r="J535" s="8" t="b">
        <f t="shared" si="40"/>
        <v>1</v>
      </c>
      <c r="K535" s="8" t="b">
        <f t="shared" si="41"/>
        <v>1</v>
      </c>
      <c r="L535" s="8" t="b">
        <f t="shared" si="42"/>
        <v>1</v>
      </c>
      <c r="M535" s="8" t="b">
        <f t="shared" si="43"/>
        <v>1</v>
      </c>
      <c r="N535" s="1" t="b">
        <f t="shared" si="44"/>
        <v>1</v>
      </c>
      <c r="O535" s="8" t="str">
        <f>IF(F535="","",IF($F$2=入力リスト!$H$25,ROUNDDOWN(INT(F535)+ROUNDDOWN((F535-INT(F535))*100,0)/60,2),F535))</f>
        <v/>
      </c>
      <c r="P535" s="7"/>
      <c r="Q535" s="7"/>
    </row>
    <row r="536" spans="1:17">
      <c r="A536" s="105"/>
      <c r="B536" s="2"/>
      <c r="C536" s="254"/>
      <c r="D536" s="254"/>
      <c r="E536" s="254"/>
      <c r="F536" s="255"/>
      <c r="G536" s="215" t="str">
        <f>IF(AND($B536="",OR(B536&lt;&gt;"",C536&lt;&gt;"",D536&lt;&gt;"",E536&lt;&gt;"",F536&lt;&gt;"")),入力リスト!$K$34,IF($I536=TRUE,入力リスト!$K$35,IF(J536=FALSE,"「毎月の固定給与額」","")&amp;IF(AND(J536=FALSE,OR(K536=FALSE,L536=FALSE,M536=FALSE)),",","")&amp;IF(K536=FALSE,"「賞与額等」","")&amp;IF(AND(K536=FALSE,OR(L536=FALSE,M536=FALSE)),",","")&amp;IF(L536=FALSE,"「残業手当」","")&amp;IF(AND(L536=FALSE,M536=FALSE),",","")&amp;IF(M536=FALSE,"「残業時間」","")&amp;IF(OR(J536=FALSE,K536=FALSE,L536=FALSE,M536=FALSE),入力リスト!$K$36,"")&amp;IF(N536,"",入力リスト!$K$37)))</f>
        <v/>
      </c>
      <c r="H536" s="215"/>
      <c r="I536" s="1" t="b">
        <f>IF(B536="",FALSE,COUNTIF('従業員情報(給与以外)'!$A$4:$A$1000000,$B536)=0)</f>
        <v>0</v>
      </c>
      <c r="J536" s="8" t="b">
        <f t="shared" si="40"/>
        <v>1</v>
      </c>
      <c r="K536" s="8" t="b">
        <f t="shared" si="41"/>
        <v>1</v>
      </c>
      <c r="L536" s="8" t="b">
        <f t="shared" si="42"/>
        <v>1</v>
      </c>
      <c r="M536" s="8" t="b">
        <f t="shared" si="43"/>
        <v>1</v>
      </c>
      <c r="N536" s="1" t="b">
        <f t="shared" si="44"/>
        <v>1</v>
      </c>
      <c r="O536" s="8" t="str">
        <f>IF(F536="","",IF($F$2=入力リスト!$H$25,ROUNDDOWN(INT(F536)+ROUNDDOWN((F536-INT(F536))*100,0)/60,2),F536))</f>
        <v/>
      </c>
      <c r="P536" s="7"/>
      <c r="Q536" s="7"/>
    </row>
    <row r="537" spans="1:17">
      <c r="A537" s="105"/>
      <c r="B537" s="2"/>
      <c r="C537" s="254"/>
      <c r="D537" s="254"/>
      <c r="E537" s="254"/>
      <c r="F537" s="255"/>
      <c r="G537" s="215" t="str">
        <f>IF(AND($B537="",OR(B537&lt;&gt;"",C537&lt;&gt;"",D537&lt;&gt;"",E537&lt;&gt;"",F537&lt;&gt;"")),入力リスト!$K$34,IF($I537=TRUE,入力リスト!$K$35,IF(J537=FALSE,"「毎月の固定給与額」","")&amp;IF(AND(J537=FALSE,OR(K537=FALSE,L537=FALSE,M537=FALSE)),",","")&amp;IF(K537=FALSE,"「賞与額等」","")&amp;IF(AND(K537=FALSE,OR(L537=FALSE,M537=FALSE)),",","")&amp;IF(L537=FALSE,"「残業手当」","")&amp;IF(AND(L537=FALSE,M537=FALSE),",","")&amp;IF(M537=FALSE,"「残業時間」","")&amp;IF(OR(J537=FALSE,K537=FALSE,L537=FALSE,M537=FALSE),入力リスト!$K$36,"")&amp;IF(N537,"",入力リスト!$K$37)))</f>
        <v/>
      </c>
      <c r="H537" s="215"/>
      <c r="I537" s="1" t="b">
        <f>IF(B537="",FALSE,COUNTIF('従業員情報(給与以外)'!$A$4:$A$1000000,$B537)=0)</f>
        <v>0</v>
      </c>
      <c r="J537" s="8" t="b">
        <f t="shared" si="40"/>
        <v>1</v>
      </c>
      <c r="K537" s="8" t="b">
        <f t="shared" si="41"/>
        <v>1</v>
      </c>
      <c r="L537" s="8" t="b">
        <f t="shared" si="42"/>
        <v>1</v>
      </c>
      <c r="M537" s="8" t="b">
        <f t="shared" si="43"/>
        <v>1</v>
      </c>
      <c r="N537" s="1" t="b">
        <f t="shared" si="44"/>
        <v>1</v>
      </c>
      <c r="O537" s="8" t="str">
        <f>IF(F537="","",IF($F$2=入力リスト!$H$25,ROUNDDOWN(INT(F537)+ROUNDDOWN((F537-INT(F537))*100,0)/60,2),F537))</f>
        <v/>
      </c>
      <c r="P537" s="7"/>
      <c r="Q537" s="7"/>
    </row>
    <row r="538" spans="1:17">
      <c r="A538" s="105"/>
      <c r="B538" s="2"/>
      <c r="C538" s="254"/>
      <c r="D538" s="254"/>
      <c r="E538" s="254"/>
      <c r="F538" s="255"/>
      <c r="G538" s="215" t="str">
        <f>IF(AND($B538="",OR(B538&lt;&gt;"",C538&lt;&gt;"",D538&lt;&gt;"",E538&lt;&gt;"",F538&lt;&gt;"")),入力リスト!$K$34,IF($I538=TRUE,入力リスト!$K$35,IF(J538=FALSE,"「毎月の固定給与額」","")&amp;IF(AND(J538=FALSE,OR(K538=FALSE,L538=FALSE,M538=FALSE)),",","")&amp;IF(K538=FALSE,"「賞与額等」","")&amp;IF(AND(K538=FALSE,OR(L538=FALSE,M538=FALSE)),",","")&amp;IF(L538=FALSE,"「残業手当」","")&amp;IF(AND(L538=FALSE,M538=FALSE),",","")&amp;IF(M538=FALSE,"「残業時間」","")&amp;IF(OR(J538=FALSE,K538=FALSE,L538=FALSE,M538=FALSE),入力リスト!$K$36,"")&amp;IF(N538,"",入力リスト!$K$37)))</f>
        <v/>
      </c>
      <c r="H538" s="215"/>
      <c r="I538" s="1" t="b">
        <f>IF(B538="",FALSE,COUNTIF('従業員情報(給与以外)'!$A$4:$A$1000000,$B538)=0)</f>
        <v>0</v>
      </c>
      <c r="J538" s="8" t="b">
        <f t="shared" si="40"/>
        <v>1</v>
      </c>
      <c r="K538" s="8" t="b">
        <f t="shared" si="41"/>
        <v>1</v>
      </c>
      <c r="L538" s="8" t="b">
        <f t="shared" si="42"/>
        <v>1</v>
      </c>
      <c r="M538" s="8" t="b">
        <f t="shared" si="43"/>
        <v>1</v>
      </c>
      <c r="N538" s="1" t="b">
        <f t="shared" si="44"/>
        <v>1</v>
      </c>
      <c r="O538" s="8" t="str">
        <f>IF(F538="","",IF($F$2=入力リスト!$H$25,ROUNDDOWN(INT(F538)+ROUNDDOWN((F538-INT(F538))*100,0)/60,2),F538))</f>
        <v/>
      </c>
      <c r="P538" s="7"/>
      <c r="Q538" s="7"/>
    </row>
    <row r="539" spans="1:17">
      <c r="A539" s="105"/>
      <c r="B539" s="2"/>
      <c r="C539" s="254"/>
      <c r="D539" s="254"/>
      <c r="E539" s="254"/>
      <c r="F539" s="255"/>
      <c r="G539" s="215" t="str">
        <f>IF(AND($B539="",OR(B539&lt;&gt;"",C539&lt;&gt;"",D539&lt;&gt;"",E539&lt;&gt;"",F539&lt;&gt;"")),入力リスト!$K$34,IF($I539=TRUE,入力リスト!$K$35,IF(J539=FALSE,"「毎月の固定給与額」","")&amp;IF(AND(J539=FALSE,OR(K539=FALSE,L539=FALSE,M539=FALSE)),",","")&amp;IF(K539=FALSE,"「賞与額等」","")&amp;IF(AND(K539=FALSE,OR(L539=FALSE,M539=FALSE)),",","")&amp;IF(L539=FALSE,"「残業手当」","")&amp;IF(AND(L539=FALSE,M539=FALSE),",","")&amp;IF(M539=FALSE,"「残業時間」","")&amp;IF(OR(J539=FALSE,K539=FALSE,L539=FALSE,M539=FALSE),入力リスト!$K$36,"")&amp;IF(N539,"",入力リスト!$K$37)))</f>
        <v/>
      </c>
      <c r="H539" s="215"/>
      <c r="I539" s="1" t="b">
        <f>IF(B539="",FALSE,COUNTIF('従業員情報(給与以外)'!$A$4:$A$1000000,$B539)=0)</f>
        <v>0</v>
      </c>
      <c r="J539" s="8" t="b">
        <f t="shared" si="40"/>
        <v>1</v>
      </c>
      <c r="K539" s="8" t="b">
        <f t="shared" si="41"/>
        <v>1</v>
      </c>
      <c r="L539" s="8" t="b">
        <f t="shared" si="42"/>
        <v>1</v>
      </c>
      <c r="M539" s="8" t="b">
        <f t="shared" si="43"/>
        <v>1</v>
      </c>
      <c r="N539" s="1" t="b">
        <f t="shared" si="44"/>
        <v>1</v>
      </c>
      <c r="O539" s="8" t="str">
        <f>IF(F539="","",IF($F$2=入力リスト!$H$25,ROUNDDOWN(INT(F539)+ROUNDDOWN((F539-INT(F539))*100,0)/60,2),F539))</f>
        <v/>
      </c>
      <c r="P539" s="7"/>
      <c r="Q539" s="7"/>
    </row>
    <row r="540" spans="1:17">
      <c r="A540" s="105"/>
      <c r="B540" s="2"/>
      <c r="C540" s="254"/>
      <c r="D540" s="254"/>
      <c r="E540" s="254"/>
      <c r="F540" s="255"/>
      <c r="G540" s="215" t="str">
        <f>IF(AND($B540="",OR(B540&lt;&gt;"",C540&lt;&gt;"",D540&lt;&gt;"",E540&lt;&gt;"",F540&lt;&gt;"")),入力リスト!$K$34,IF($I540=TRUE,入力リスト!$K$35,IF(J540=FALSE,"「毎月の固定給与額」","")&amp;IF(AND(J540=FALSE,OR(K540=FALSE,L540=FALSE,M540=FALSE)),",","")&amp;IF(K540=FALSE,"「賞与額等」","")&amp;IF(AND(K540=FALSE,OR(L540=FALSE,M540=FALSE)),",","")&amp;IF(L540=FALSE,"「残業手当」","")&amp;IF(AND(L540=FALSE,M540=FALSE),",","")&amp;IF(M540=FALSE,"「残業時間」","")&amp;IF(OR(J540=FALSE,K540=FALSE,L540=FALSE,M540=FALSE),入力リスト!$K$36,"")&amp;IF(N540,"",入力リスト!$K$37)))</f>
        <v/>
      </c>
      <c r="H540" s="215"/>
      <c r="I540" s="1" t="b">
        <f>IF(B540="",FALSE,COUNTIF('従業員情報(給与以外)'!$A$4:$A$1000000,$B540)=0)</f>
        <v>0</v>
      </c>
      <c r="J540" s="8" t="b">
        <f t="shared" si="40"/>
        <v>1</v>
      </c>
      <c r="K540" s="8" t="b">
        <f t="shared" si="41"/>
        <v>1</v>
      </c>
      <c r="L540" s="8" t="b">
        <f t="shared" si="42"/>
        <v>1</v>
      </c>
      <c r="M540" s="8" t="b">
        <f t="shared" si="43"/>
        <v>1</v>
      </c>
      <c r="N540" s="1" t="b">
        <f t="shared" si="44"/>
        <v>1</v>
      </c>
      <c r="O540" s="8" t="str">
        <f>IF(F540="","",IF($F$2=入力リスト!$H$25,ROUNDDOWN(INT(F540)+ROUNDDOWN((F540-INT(F540))*100,0)/60,2),F540))</f>
        <v/>
      </c>
      <c r="P540" s="7"/>
      <c r="Q540" s="7"/>
    </row>
    <row r="541" spans="1:17">
      <c r="A541" s="105"/>
      <c r="B541" s="2"/>
      <c r="C541" s="254"/>
      <c r="D541" s="254"/>
      <c r="E541" s="254"/>
      <c r="F541" s="255"/>
      <c r="G541" s="215" t="str">
        <f>IF(AND($B541="",OR(B541&lt;&gt;"",C541&lt;&gt;"",D541&lt;&gt;"",E541&lt;&gt;"",F541&lt;&gt;"")),入力リスト!$K$34,IF($I541=TRUE,入力リスト!$K$35,IF(J541=FALSE,"「毎月の固定給与額」","")&amp;IF(AND(J541=FALSE,OR(K541=FALSE,L541=FALSE,M541=FALSE)),",","")&amp;IF(K541=FALSE,"「賞与額等」","")&amp;IF(AND(K541=FALSE,OR(L541=FALSE,M541=FALSE)),",","")&amp;IF(L541=FALSE,"「残業手当」","")&amp;IF(AND(L541=FALSE,M541=FALSE),",","")&amp;IF(M541=FALSE,"「残業時間」","")&amp;IF(OR(J541=FALSE,K541=FALSE,L541=FALSE,M541=FALSE),入力リスト!$K$36,"")&amp;IF(N541,"",入力リスト!$K$37)))</f>
        <v/>
      </c>
      <c r="H541" s="215"/>
      <c r="I541" s="1" t="b">
        <f>IF(B541="",FALSE,COUNTIF('従業員情報(給与以外)'!$A$4:$A$1000000,$B541)=0)</f>
        <v>0</v>
      </c>
      <c r="J541" s="8" t="b">
        <f t="shared" si="40"/>
        <v>1</v>
      </c>
      <c r="K541" s="8" t="b">
        <f t="shared" si="41"/>
        <v>1</v>
      </c>
      <c r="L541" s="8" t="b">
        <f t="shared" si="42"/>
        <v>1</v>
      </c>
      <c r="M541" s="8" t="b">
        <f t="shared" si="43"/>
        <v>1</v>
      </c>
      <c r="N541" s="1" t="b">
        <f t="shared" si="44"/>
        <v>1</v>
      </c>
      <c r="O541" s="8" t="str">
        <f>IF(F541="","",IF($F$2=入力リスト!$H$25,ROUNDDOWN(INT(F541)+ROUNDDOWN((F541-INT(F541))*100,0)/60,2),F541))</f>
        <v/>
      </c>
      <c r="P541" s="7"/>
      <c r="Q541" s="7"/>
    </row>
    <row r="542" spans="1:17">
      <c r="A542" s="105"/>
      <c r="B542" s="2"/>
      <c r="C542" s="254"/>
      <c r="D542" s="254"/>
      <c r="E542" s="254"/>
      <c r="F542" s="255"/>
      <c r="G542" s="215" t="str">
        <f>IF(AND($B542="",OR(B542&lt;&gt;"",C542&lt;&gt;"",D542&lt;&gt;"",E542&lt;&gt;"",F542&lt;&gt;"")),入力リスト!$K$34,IF($I542=TRUE,入力リスト!$K$35,IF(J542=FALSE,"「毎月の固定給与額」","")&amp;IF(AND(J542=FALSE,OR(K542=FALSE,L542=FALSE,M542=FALSE)),",","")&amp;IF(K542=FALSE,"「賞与額等」","")&amp;IF(AND(K542=FALSE,OR(L542=FALSE,M542=FALSE)),",","")&amp;IF(L542=FALSE,"「残業手当」","")&amp;IF(AND(L542=FALSE,M542=FALSE),",","")&amp;IF(M542=FALSE,"「残業時間」","")&amp;IF(OR(J542=FALSE,K542=FALSE,L542=FALSE,M542=FALSE),入力リスト!$K$36,"")&amp;IF(N542,"",入力リスト!$K$37)))</f>
        <v/>
      </c>
      <c r="H542" s="215"/>
      <c r="I542" s="1" t="b">
        <f>IF(B542="",FALSE,COUNTIF('従業員情報(給与以外)'!$A$4:$A$1000000,$B542)=0)</f>
        <v>0</v>
      </c>
      <c r="J542" s="8" t="b">
        <f t="shared" si="40"/>
        <v>1</v>
      </c>
      <c r="K542" s="8" t="b">
        <f t="shared" si="41"/>
        <v>1</v>
      </c>
      <c r="L542" s="8" t="b">
        <f t="shared" si="42"/>
        <v>1</v>
      </c>
      <c r="M542" s="8" t="b">
        <f t="shared" si="43"/>
        <v>1</v>
      </c>
      <c r="N542" s="1" t="b">
        <f t="shared" si="44"/>
        <v>1</v>
      </c>
      <c r="O542" s="8" t="str">
        <f>IF(F542="","",IF($F$2=入力リスト!$H$25,ROUNDDOWN(INT(F542)+ROUNDDOWN((F542-INT(F542))*100,0)/60,2),F542))</f>
        <v/>
      </c>
      <c r="P542" s="7"/>
      <c r="Q542" s="7"/>
    </row>
    <row r="543" spans="1:17">
      <c r="A543" s="105"/>
      <c r="B543" s="2"/>
      <c r="C543" s="254"/>
      <c r="D543" s="254"/>
      <c r="E543" s="254"/>
      <c r="F543" s="255"/>
      <c r="G543" s="215" t="str">
        <f>IF(AND($B543="",OR(B543&lt;&gt;"",C543&lt;&gt;"",D543&lt;&gt;"",E543&lt;&gt;"",F543&lt;&gt;"")),入力リスト!$K$34,IF($I543=TRUE,入力リスト!$K$35,IF(J543=FALSE,"「毎月の固定給与額」","")&amp;IF(AND(J543=FALSE,OR(K543=FALSE,L543=FALSE,M543=FALSE)),",","")&amp;IF(K543=FALSE,"「賞与額等」","")&amp;IF(AND(K543=FALSE,OR(L543=FALSE,M543=FALSE)),",","")&amp;IF(L543=FALSE,"「残業手当」","")&amp;IF(AND(L543=FALSE,M543=FALSE),",","")&amp;IF(M543=FALSE,"「残業時間」","")&amp;IF(OR(J543=FALSE,K543=FALSE,L543=FALSE,M543=FALSE),入力リスト!$K$36,"")&amp;IF(N543,"",入力リスト!$K$37)))</f>
        <v/>
      </c>
      <c r="H543" s="215"/>
      <c r="I543" s="1" t="b">
        <f>IF(B543="",FALSE,COUNTIF('従業員情報(給与以外)'!$A$4:$A$1000000,$B543)=0)</f>
        <v>0</v>
      </c>
      <c r="J543" s="8" t="b">
        <f t="shared" si="40"/>
        <v>1</v>
      </c>
      <c r="K543" s="8" t="b">
        <f t="shared" si="41"/>
        <v>1</v>
      </c>
      <c r="L543" s="8" t="b">
        <f t="shared" si="42"/>
        <v>1</v>
      </c>
      <c r="M543" s="8" t="b">
        <f t="shared" si="43"/>
        <v>1</v>
      </c>
      <c r="N543" s="1" t="b">
        <f t="shared" si="44"/>
        <v>1</v>
      </c>
      <c r="O543" s="8" t="str">
        <f>IF(F543="","",IF($F$2=入力リスト!$H$25,ROUNDDOWN(INT(F543)+ROUNDDOWN((F543-INT(F543))*100,0)/60,2),F543))</f>
        <v/>
      </c>
      <c r="P543" s="7"/>
      <c r="Q543" s="7"/>
    </row>
    <row r="544" spans="1:17">
      <c r="A544" s="105"/>
      <c r="B544" s="2"/>
      <c r="C544" s="254"/>
      <c r="D544" s="254"/>
      <c r="E544" s="254"/>
      <c r="F544" s="255"/>
      <c r="G544" s="215" t="str">
        <f>IF(AND($B544="",OR(B544&lt;&gt;"",C544&lt;&gt;"",D544&lt;&gt;"",E544&lt;&gt;"",F544&lt;&gt;"")),入力リスト!$K$34,IF($I544=TRUE,入力リスト!$K$35,IF(J544=FALSE,"「毎月の固定給与額」","")&amp;IF(AND(J544=FALSE,OR(K544=FALSE,L544=FALSE,M544=FALSE)),",","")&amp;IF(K544=FALSE,"「賞与額等」","")&amp;IF(AND(K544=FALSE,OR(L544=FALSE,M544=FALSE)),",","")&amp;IF(L544=FALSE,"「残業手当」","")&amp;IF(AND(L544=FALSE,M544=FALSE),",","")&amp;IF(M544=FALSE,"「残業時間」","")&amp;IF(OR(J544=FALSE,K544=FALSE,L544=FALSE,M544=FALSE),入力リスト!$K$36,"")&amp;IF(N544,"",入力リスト!$K$37)))</f>
        <v/>
      </c>
      <c r="H544" s="215"/>
      <c r="I544" s="1" t="b">
        <f>IF(B544="",FALSE,COUNTIF('従業員情報(給与以外)'!$A$4:$A$1000000,$B544)=0)</f>
        <v>0</v>
      </c>
      <c r="J544" s="8" t="b">
        <f t="shared" si="40"/>
        <v>1</v>
      </c>
      <c r="K544" s="8" t="b">
        <f t="shared" si="41"/>
        <v>1</v>
      </c>
      <c r="L544" s="8" t="b">
        <f t="shared" si="42"/>
        <v>1</v>
      </c>
      <c r="M544" s="8" t="b">
        <f t="shared" si="43"/>
        <v>1</v>
      </c>
      <c r="N544" s="1" t="b">
        <f t="shared" si="44"/>
        <v>1</v>
      </c>
      <c r="O544" s="8" t="str">
        <f>IF(F544="","",IF($F$2=入力リスト!$H$25,ROUNDDOWN(INT(F544)+ROUNDDOWN((F544-INT(F544))*100,0)/60,2),F544))</f>
        <v/>
      </c>
      <c r="P544" s="7"/>
      <c r="Q544" s="7"/>
    </row>
    <row r="545" spans="1:17">
      <c r="A545" s="105"/>
      <c r="B545" s="2"/>
      <c r="C545" s="254"/>
      <c r="D545" s="254"/>
      <c r="E545" s="254"/>
      <c r="F545" s="255"/>
      <c r="G545" s="215" t="str">
        <f>IF(AND($B545="",OR(B545&lt;&gt;"",C545&lt;&gt;"",D545&lt;&gt;"",E545&lt;&gt;"",F545&lt;&gt;"")),入力リスト!$K$34,IF($I545=TRUE,入力リスト!$K$35,IF(J545=FALSE,"「毎月の固定給与額」","")&amp;IF(AND(J545=FALSE,OR(K545=FALSE,L545=FALSE,M545=FALSE)),",","")&amp;IF(K545=FALSE,"「賞与額等」","")&amp;IF(AND(K545=FALSE,OR(L545=FALSE,M545=FALSE)),",","")&amp;IF(L545=FALSE,"「残業手当」","")&amp;IF(AND(L545=FALSE,M545=FALSE),",","")&amp;IF(M545=FALSE,"「残業時間」","")&amp;IF(OR(J545=FALSE,K545=FALSE,L545=FALSE,M545=FALSE),入力リスト!$K$36,"")&amp;IF(N545,"",入力リスト!$K$37)))</f>
        <v/>
      </c>
      <c r="H545" s="215"/>
      <c r="I545" s="1" t="b">
        <f>IF(B545="",FALSE,COUNTIF('従業員情報(給与以外)'!$A$4:$A$1000000,$B545)=0)</f>
        <v>0</v>
      </c>
      <c r="J545" s="8" t="b">
        <f t="shared" si="40"/>
        <v>1</v>
      </c>
      <c r="K545" s="8" t="b">
        <f t="shared" si="41"/>
        <v>1</v>
      </c>
      <c r="L545" s="8" t="b">
        <f t="shared" si="42"/>
        <v>1</v>
      </c>
      <c r="M545" s="8" t="b">
        <f t="shared" si="43"/>
        <v>1</v>
      </c>
      <c r="N545" s="1" t="b">
        <f t="shared" si="44"/>
        <v>1</v>
      </c>
      <c r="O545" s="8" t="str">
        <f>IF(F545="","",IF($F$2=入力リスト!$H$25,ROUNDDOWN(INT(F545)+ROUNDDOWN((F545-INT(F545))*100,0)/60,2),F545))</f>
        <v/>
      </c>
      <c r="P545" s="7"/>
      <c r="Q545" s="7"/>
    </row>
    <row r="546" spans="1:17">
      <c r="A546" s="105"/>
      <c r="B546" s="2"/>
      <c r="C546" s="254"/>
      <c r="D546" s="254"/>
      <c r="E546" s="254"/>
      <c r="F546" s="255"/>
      <c r="G546" s="215" t="str">
        <f>IF(AND($B546="",OR(B546&lt;&gt;"",C546&lt;&gt;"",D546&lt;&gt;"",E546&lt;&gt;"",F546&lt;&gt;"")),入力リスト!$K$34,IF($I546=TRUE,入力リスト!$K$35,IF(J546=FALSE,"「毎月の固定給与額」","")&amp;IF(AND(J546=FALSE,OR(K546=FALSE,L546=FALSE,M546=FALSE)),",","")&amp;IF(K546=FALSE,"「賞与額等」","")&amp;IF(AND(K546=FALSE,OR(L546=FALSE,M546=FALSE)),",","")&amp;IF(L546=FALSE,"「残業手当」","")&amp;IF(AND(L546=FALSE,M546=FALSE),",","")&amp;IF(M546=FALSE,"「残業時間」","")&amp;IF(OR(J546=FALSE,K546=FALSE,L546=FALSE,M546=FALSE),入力リスト!$K$36,"")&amp;IF(N546,"",入力リスト!$K$37)))</f>
        <v/>
      </c>
      <c r="H546" s="215"/>
      <c r="I546" s="1" t="b">
        <f>IF(B546="",FALSE,COUNTIF('従業員情報(給与以外)'!$A$4:$A$1000000,$B546)=0)</f>
        <v>0</v>
      </c>
      <c r="J546" s="8" t="b">
        <f t="shared" si="40"/>
        <v>1</v>
      </c>
      <c r="K546" s="8" t="b">
        <f t="shared" si="41"/>
        <v>1</v>
      </c>
      <c r="L546" s="8" t="b">
        <f t="shared" si="42"/>
        <v>1</v>
      </c>
      <c r="M546" s="8" t="b">
        <f t="shared" si="43"/>
        <v>1</v>
      </c>
      <c r="N546" s="1" t="b">
        <f t="shared" si="44"/>
        <v>1</v>
      </c>
      <c r="O546" s="8" t="str">
        <f>IF(F546="","",IF($F$2=入力リスト!$H$25,ROUNDDOWN(INT(F546)+ROUNDDOWN((F546-INT(F546))*100,0)/60,2),F546))</f>
        <v/>
      </c>
      <c r="P546" s="7"/>
      <c r="Q546" s="7"/>
    </row>
    <row r="547" spans="1:17">
      <c r="A547" s="105"/>
      <c r="B547" s="2"/>
      <c r="C547" s="254"/>
      <c r="D547" s="254"/>
      <c r="E547" s="254"/>
      <c r="F547" s="255"/>
      <c r="G547" s="215" t="str">
        <f>IF(AND($B547="",OR(B547&lt;&gt;"",C547&lt;&gt;"",D547&lt;&gt;"",E547&lt;&gt;"",F547&lt;&gt;"")),入力リスト!$K$34,IF($I547=TRUE,入力リスト!$K$35,IF(J547=FALSE,"「毎月の固定給与額」","")&amp;IF(AND(J547=FALSE,OR(K547=FALSE,L547=FALSE,M547=FALSE)),",","")&amp;IF(K547=FALSE,"「賞与額等」","")&amp;IF(AND(K547=FALSE,OR(L547=FALSE,M547=FALSE)),",","")&amp;IF(L547=FALSE,"「残業手当」","")&amp;IF(AND(L547=FALSE,M547=FALSE),",","")&amp;IF(M547=FALSE,"「残業時間」","")&amp;IF(OR(J547=FALSE,K547=FALSE,L547=FALSE,M547=FALSE),入力リスト!$K$36,"")&amp;IF(N547,"",入力リスト!$K$37)))</f>
        <v/>
      </c>
      <c r="H547" s="215"/>
      <c r="I547" s="1" t="b">
        <f>IF(B547="",FALSE,COUNTIF('従業員情報(給与以外)'!$A$4:$A$1000000,$B547)=0)</f>
        <v>0</v>
      </c>
      <c r="J547" s="8" t="b">
        <f t="shared" si="40"/>
        <v>1</v>
      </c>
      <c r="K547" s="8" t="b">
        <f t="shared" si="41"/>
        <v>1</v>
      </c>
      <c r="L547" s="8" t="b">
        <f t="shared" si="42"/>
        <v>1</v>
      </c>
      <c r="M547" s="8" t="b">
        <f t="shared" si="43"/>
        <v>1</v>
      </c>
      <c r="N547" s="1" t="b">
        <f t="shared" si="44"/>
        <v>1</v>
      </c>
      <c r="O547" s="8" t="str">
        <f>IF(F547="","",IF($F$2=入力リスト!$H$25,ROUNDDOWN(INT(F547)+ROUNDDOWN((F547-INT(F547))*100,0)/60,2),F547))</f>
        <v/>
      </c>
      <c r="P547" s="7"/>
      <c r="Q547" s="7"/>
    </row>
    <row r="548" spans="1:17">
      <c r="A548" s="105"/>
      <c r="B548" s="2"/>
      <c r="C548" s="254"/>
      <c r="D548" s="254"/>
      <c r="E548" s="254"/>
      <c r="F548" s="255"/>
      <c r="G548" s="215" t="str">
        <f>IF(AND($B548="",OR(B548&lt;&gt;"",C548&lt;&gt;"",D548&lt;&gt;"",E548&lt;&gt;"",F548&lt;&gt;"")),入力リスト!$K$34,IF($I548=TRUE,入力リスト!$K$35,IF(J548=FALSE,"「毎月の固定給与額」","")&amp;IF(AND(J548=FALSE,OR(K548=FALSE,L548=FALSE,M548=FALSE)),",","")&amp;IF(K548=FALSE,"「賞与額等」","")&amp;IF(AND(K548=FALSE,OR(L548=FALSE,M548=FALSE)),",","")&amp;IF(L548=FALSE,"「残業手当」","")&amp;IF(AND(L548=FALSE,M548=FALSE),",","")&amp;IF(M548=FALSE,"「残業時間」","")&amp;IF(OR(J548=FALSE,K548=FALSE,L548=FALSE,M548=FALSE),入力リスト!$K$36,"")&amp;IF(N548,"",入力リスト!$K$37)))</f>
        <v/>
      </c>
      <c r="H548" s="215"/>
      <c r="I548" s="1" t="b">
        <f>IF(B548="",FALSE,COUNTIF('従業員情報(給与以外)'!$A$4:$A$1000000,$B548)=0)</f>
        <v>0</v>
      </c>
      <c r="J548" s="8" t="b">
        <f t="shared" si="40"/>
        <v>1</v>
      </c>
      <c r="K548" s="8" t="b">
        <f t="shared" si="41"/>
        <v>1</v>
      </c>
      <c r="L548" s="8" t="b">
        <f t="shared" si="42"/>
        <v>1</v>
      </c>
      <c r="M548" s="8" t="b">
        <f t="shared" si="43"/>
        <v>1</v>
      </c>
      <c r="N548" s="1" t="b">
        <f t="shared" si="44"/>
        <v>1</v>
      </c>
      <c r="O548" s="8" t="str">
        <f>IF(F548="","",IF($F$2=入力リスト!$H$25,ROUNDDOWN(INT(F548)+ROUNDDOWN((F548-INT(F548))*100,0)/60,2),F548))</f>
        <v/>
      </c>
      <c r="P548" s="7"/>
      <c r="Q548" s="7"/>
    </row>
    <row r="549" spans="1:17">
      <c r="A549" s="105"/>
      <c r="B549" s="2"/>
      <c r="C549" s="254"/>
      <c r="D549" s="254"/>
      <c r="E549" s="254"/>
      <c r="F549" s="255"/>
      <c r="G549" s="215" t="str">
        <f>IF(AND($B549="",OR(B549&lt;&gt;"",C549&lt;&gt;"",D549&lt;&gt;"",E549&lt;&gt;"",F549&lt;&gt;"")),入力リスト!$K$34,IF($I549=TRUE,入力リスト!$K$35,IF(J549=FALSE,"「毎月の固定給与額」","")&amp;IF(AND(J549=FALSE,OR(K549=FALSE,L549=FALSE,M549=FALSE)),",","")&amp;IF(K549=FALSE,"「賞与額等」","")&amp;IF(AND(K549=FALSE,OR(L549=FALSE,M549=FALSE)),",","")&amp;IF(L549=FALSE,"「残業手当」","")&amp;IF(AND(L549=FALSE,M549=FALSE),",","")&amp;IF(M549=FALSE,"「残業時間」","")&amp;IF(OR(J549=FALSE,K549=FALSE,L549=FALSE,M549=FALSE),入力リスト!$K$36,"")&amp;IF(N549,"",入力リスト!$K$37)))</f>
        <v/>
      </c>
      <c r="H549" s="215"/>
      <c r="I549" s="1" t="b">
        <f>IF(B549="",FALSE,COUNTIF('従業員情報(給与以外)'!$A$4:$A$1000000,$B549)=0)</f>
        <v>0</v>
      </c>
      <c r="J549" s="8" t="b">
        <f t="shared" si="40"/>
        <v>1</v>
      </c>
      <c r="K549" s="8" t="b">
        <f t="shared" si="41"/>
        <v>1</v>
      </c>
      <c r="L549" s="8" t="b">
        <f t="shared" si="42"/>
        <v>1</v>
      </c>
      <c r="M549" s="8" t="b">
        <f t="shared" si="43"/>
        <v>1</v>
      </c>
      <c r="N549" s="1" t="b">
        <f t="shared" si="44"/>
        <v>1</v>
      </c>
      <c r="O549" s="8" t="str">
        <f>IF(F549="","",IF($F$2=入力リスト!$H$25,ROUNDDOWN(INT(F549)+ROUNDDOWN((F549-INT(F549))*100,0)/60,2),F549))</f>
        <v/>
      </c>
      <c r="P549" s="7"/>
      <c r="Q549" s="7"/>
    </row>
    <row r="550" spans="1:17">
      <c r="A550" s="105"/>
      <c r="B550" s="2"/>
      <c r="C550" s="254"/>
      <c r="D550" s="254"/>
      <c r="E550" s="254"/>
      <c r="F550" s="255"/>
      <c r="G550" s="215" t="str">
        <f>IF(AND($B550="",OR(B550&lt;&gt;"",C550&lt;&gt;"",D550&lt;&gt;"",E550&lt;&gt;"",F550&lt;&gt;"")),入力リスト!$K$34,IF($I550=TRUE,入力リスト!$K$35,IF(J550=FALSE,"「毎月の固定給与額」","")&amp;IF(AND(J550=FALSE,OR(K550=FALSE,L550=FALSE,M550=FALSE)),",","")&amp;IF(K550=FALSE,"「賞与額等」","")&amp;IF(AND(K550=FALSE,OR(L550=FALSE,M550=FALSE)),",","")&amp;IF(L550=FALSE,"「残業手当」","")&amp;IF(AND(L550=FALSE,M550=FALSE),",","")&amp;IF(M550=FALSE,"「残業時間」","")&amp;IF(OR(J550=FALSE,K550=FALSE,L550=FALSE,M550=FALSE),入力リスト!$K$36,"")&amp;IF(N550,"",入力リスト!$K$37)))</f>
        <v/>
      </c>
      <c r="H550" s="215"/>
      <c r="I550" s="1" t="b">
        <f>IF(B550="",FALSE,COUNTIF('従業員情報(給与以外)'!$A$4:$A$1000000,$B550)=0)</f>
        <v>0</v>
      </c>
      <c r="J550" s="8" t="b">
        <f t="shared" si="40"/>
        <v>1</v>
      </c>
      <c r="K550" s="8" t="b">
        <f t="shared" si="41"/>
        <v>1</v>
      </c>
      <c r="L550" s="8" t="b">
        <f t="shared" si="42"/>
        <v>1</v>
      </c>
      <c r="M550" s="8" t="b">
        <f t="shared" si="43"/>
        <v>1</v>
      </c>
      <c r="N550" s="1" t="b">
        <f t="shared" si="44"/>
        <v>1</v>
      </c>
      <c r="O550" s="8" t="str">
        <f>IF(F550="","",IF($F$2=入力リスト!$H$25,ROUNDDOWN(INT(F550)+ROUNDDOWN((F550-INT(F550))*100,0)/60,2),F550))</f>
        <v/>
      </c>
      <c r="P550" s="7"/>
      <c r="Q550" s="7"/>
    </row>
    <row r="551" spans="1:17">
      <c r="A551" s="105"/>
      <c r="B551" s="2"/>
      <c r="C551" s="254"/>
      <c r="D551" s="254"/>
      <c r="E551" s="254"/>
      <c r="F551" s="255"/>
      <c r="G551" s="215" t="str">
        <f>IF(AND($B551="",OR(B551&lt;&gt;"",C551&lt;&gt;"",D551&lt;&gt;"",E551&lt;&gt;"",F551&lt;&gt;"")),入力リスト!$K$34,IF($I551=TRUE,入力リスト!$K$35,IF(J551=FALSE,"「毎月の固定給与額」","")&amp;IF(AND(J551=FALSE,OR(K551=FALSE,L551=FALSE,M551=FALSE)),",","")&amp;IF(K551=FALSE,"「賞与額等」","")&amp;IF(AND(K551=FALSE,OR(L551=FALSE,M551=FALSE)),",","")&amp;IF(L551=FALSE,"「残業手当」","")&amp;IF(AND(L551=FALSE,M551=FALSE),",","")&amp;IF(M551=FALSE,"「残業時間」","")&amp;IF(OR(J551=FALSE,K551=FALSE,L551=FALSE,M551=FALSE),入力リスト!$K$36,"")&amp;IF(N551,"",入力リスト!$K$37)))</f>
        <v/>
      </c>
      <c r="H551" s="215"/>
      <c r="I551" s="1" t="b">
        <f>IF(B551="",FALSE,COUNTIF('従業員情報(給与以外)'!$A$4:$A$1000000,$B551)=0)</f>
        <v>0</v>
      </c>
      <c r="J551" s="8" t="b">
        <f t="shared" si="40"/>
        <v>1</v>
      </c>
      <c r="K551" s="8" t="b">
        <f t="shared" si="41"/>
        <v>1</v>
      </c>
      <c r="L551" s="8" t="b">
        <f t="shared" si="42"/>
        <v>1</v>
      </c>
      <c r="M551" s="8" t="b">
        <f t="shared" si="43"/>
        <v>1</v>
      </c>
      <c r="N551" s="1" t="b">
        <f t="shared" si="44"/>
        <v>1</v>
      </c>
      <c r="O551" s="8" t="str">
        <f>IF(F551="","",IF($F$2=入力リスト!$H$25,ROUNDDOWN(INT(F551)+ROUNDDOWN((F551-INT(F551))*100,0)/60,2),F551))</f>
        <v/>
      </c>
      <c r="P551" s="7"/>
      <c r="Q551" s="7"/>
    </row>
    <row r="552" spans="1:17">
      <c r="A552" s="105"/>
      <c r="B552" s="2"/>
      <c r="C552" s="254"/>
      <c r="D552" s="254"/>
      <c r="E552" s="254"/>
      <c r="F552" s="255"/>
      <c r="G552" s="215" t="str">
        <f>IF(AND($B552="",OR(B552&lt;&gt;"",C552&lt;&gt;"",D552&lt;&gt;"",E552&lt;&gt;"",F552&lt;&gt;"")),入力リスト!$K$34,IF($I552=TRUE,入力リスト!$K$35,IF(J552=FALSE,"「毎月の固定給与額」","")&amp;IF(AND(J552=FALSE,OR(K552=FALSE,L552=FALSE,M552=FALSE)),",","")&amp;IF(K552=FALSE,"「賞与額等」","")&amp;IF(AND(K552=FALSE,OR(L552=FALSE,M552=FALSE)),",","")&amp;IF(L552=FALSE,"「残業手当」","")&amp;IF(AND(L552=FALSE,M552=FALSE),",","")&amp;IF(M552=FALSE,"「残業時間」","")&amp;IF(OR(J552=FALSE,K552=FALSE,L552=FALSE,M552=FALSE),入力リスト!$K$36,"")&amp;IF(N552,"",入力リスト!$K$37)))</f>
        <v/>
      </c>
      <c r="H552" s="215"/>
      <c r="I552" s="1" t="b">
        <f>IF(B552="",FALSE,COUNTIF('従業員情報(給与以外)'!$A$4:$A$1000000,$B552)=0)</f>
        <v>0</v>
      </c>
      <c r="J552" s="8" t="b">
        <f t="shared" si="40"/>
        <v>1</v>
      </c>
      <c r="K552" s="8" t="b">
        <f t="shared" si="41"/>
        <v>1</v>
      </c>
      <c r="L552" s="8" t="b">
        <f t="shared" si="42"/>
        <v>1</v>
      </c>
      <c r="M552" s="8" t="b">
        <f t="shared" si="43"/>
        <v>1</v>
      </c>
      <c r="N552" s="1" t="b">
        <f t="shared" si="44"/>
        <v>1</v>
      </c>
      <c r="O552" s="8" t="str">
        <f>IF(F552="","",IF($F$2=入力リスト!$H$25,ROUNDDOWN(INT(F552)+ROUNDDOWN((F552-INT(F552))*100,0)/60,2),F552))</f>
        <v/>
      </c>
      <c r="P552" s="7"/>
      <c r="Q552" s="7"/>
    </row>
    <row r="553" spans="1:17">
      <c r="A553" s="105"/>
      <c r="B553" s="2"/>
      <c r="C553" s="254"/>
      <c r="D553" s="254"/>
      <c r="E553" s="254"/>
      <c r="F553" s="255"/>
      <c r="G553" s="215" t="str">
        <f>IF(AND($B553="",OR(B553&lt;&gt;"",C553&lt;&gt;"",D553&lt;&gt;"",E553&lt;&gt;"",F553&lt;&gt;"")),入力リスト!$K$34,IF($I553=TRUE,入力リスト!$K$35,IF(J553=FALSE,"「毎月の固定給与額」","")&amp;IF(AND(J553=FALSE,OR(K553=FALSE,L553=FALSE,M553=FALSE)),",","")&amp;IF(K553=FALSE,"「賞与額等」","")&amp;IF(AND(K553=FALSE,OR(L553=FALSE,M553=FALSE)),",","")&amp;IF(L553=FALSE,"「残業手当」","")&amp;IF(AND(L553=FALSE,M553=FALSE),",","")&amp;IF(M553=FALSE,"「残業時間」","")&amp;IF(OR(J553=FALSE,K553=FALSE,L553=FALSE,M553=FALSE),入力リスト!$K$36,"")&amp;IF(N553,"",入力リスト!$K$37)))</f>
        <v/>
      </c>
      <c r="H553" s="215"/>
      <c r="I553" s="1" t="b">
        <f>IF(B553="",FALSE,COUNTIF('従業員情報(給与以外)'!$A$4:$A$1000000,$B553)=0)</f>
        <v>0</v>
      </c>
      <c r="J553" s="8" t="b">
        <f t="shared" si="40"/>
        <v>1</v>
      </c>
      <c r="K553" s="8" t="b">
        <f t="shared" si="41"/>
        <v>1</v>
      </c>
      <c r="L553" s="8" t="b">
        <f t="shared" si="42"/>
        <v>1</v>
      </c>
      <c r="M553" s="8" t="b">
        <f t="shared" si="43"/>
        <v>1</v>
      </c>
      <c r="N553" s="1" t="b">
        <f t="shared" si="44"/>
        <v>1</v>
      </c>
      <c r="O553" s="8" t="str">
        <f>IF(F553="","",IF($F$2=入力リスト!$H$25,ROUNDDOWN(INT(F553)+ROUNDDOWN((F553-INT(F553))*100,0)/60,2),F553))</f>
        <v/>
      </c>
      <c r="P553" s="7"/>
      <c r="Q553" s="7"/>
    </row>
    <row r="554" spans="1:17">
      <c r="A554" s="105"/>
      <c r="B554" s="2"/>
      <c r="C554" s="254"/>
      <c r="D554" s="254"/>
      <c r="E554" s="254"/>
      <c r="F554" s="255"/>
      <c r="G554" s="215" t="str">
        <f>IF(AND($B554="",OR(B554&lt;&gt;"",C554&lt;&gt;"",D554&lt;&gt;"",E554&lt;&gt;"",F554&lt;&gt;"")),入力リスト!$K$34,IF($I554=TRUE,入力リスト!$K$35,IF(J554=FALSE,"「毎月の固定給与額」","")&amp;IF(AND(J554=FALSE,OR(K554=FALSE,L554=FALSE,M554=FALSE)),",","")&amp;IF(K554=FALSE,"「賞与額等」","")&amp;IF(AND(K554=FALSE,OR(L554=FALSE,M554=FALSE)),",","")&amp;IF(L554=FALSE,"「残業手当」","")&amp;IF(AND(L554=FALSE,M554=FALSE),",","")&amp;IF(M554=FALSE,"「残業時間」","")&amp;IF(OR(J554=FALSE,K554=FALSE,L554=FALSE,M554=FALSE),入力リスト!$K$36,"")&amp;IF(N554,"",入力リスト!$K$37)))</f>
        <v/>
      </c>
      <c r="H554" s="215"/>
      <c r="I554" s="1" t="b">
        <f>IF(B554="",FALSE,COUNTIF('従業員情報(給与以外)'!$A$4:$A$1000000,$B554)=0)</f>
        <v>0</v>
      </c>
      <c r="J554" s="8" t="b">
        <f t="shared" si="40"/>
        <v>1</v>
      </c>
      <c r="K554" s="8" t="b">
        <f t="shared" si="41"/>
        <v>1</v>
      </c>
      <c r="L554" s="8" t="b">
        <f t="shared" si="42"/>
        <v>1</v>
      </c>
      <c r="M554" s="8" t="b">
        <f t="shared" si="43"/>
        <v>1</v>
      </c>
      <c r="N554" s="1" t="b">
        <f t="shared" si="44"/>
        <v>1</v>
      </c>
      <c r="O554" s="8" t="str">
        <f>IF(F554="","",IF($F$2=入力リスト!$H$25,ROUNDDOWN(INT(F554)+ROUNDDOWN((F554-INT(F554))*100,0)/60,2),F554))</f>
        <v/>
      </c>
      <c r="P554" s="7"/>
      <c r="Q554" s="7"/>
    </row>
    <row r="555" spans="1:17">
      <c r="A555" s="105"/>
      <c r="B555" s="2"/>
      <c r="C555" s="254"/>
      <c r="D555" s="254"/>
      <c r="E555" s="254"/>
      <c r="F555" s="255"/>
      <c r="G555" s="215" t="str">
        <f>IF(AND($B555="",OR(B555&lt;&gt;"",C555&lt;&gt;"",D555&lt;&gt;"",E555&lt;&gt;"",F555&lt;&gt;"")),入力リスト!$K$34,IF($I555=TRUE,入力リスト!$K$35,IF(J555=FALSE,"「毎月の固定給与額」","")&amp;IF(AND(J555=FALSE,OR(K555=FALSE,L555=FALSE,M555=FALSE)),",","")&amp;IF(K555=FALSE,"「賞与額等」","")&amp;IF(AND(K555=FALSE,OR(L555=FALSE,M555=FALSE)),",","")&amp;IF(L555=FALSE,"「残業手当」","")&amp;IF(AND(L555=FALSE,M555=FALSE),",","")&amp;IF(M555=FALSE,"「残業時間」","")&amp;IF(OR(J555=FALSE,K555=FALSE,L555=FALSE,M555=FALSE),入力リスト!$K$36,"")&amp;IF(N555,"",入力リスト!$K$37)))</f>
        <v/>
      </c>
      <c r="H555" s="215"/>
      <c r="I555" s="1" t="b">
        <f>IF(B555="",FALSE,COUNTIF('従業員情報(給与以外)'!$A$4:$A$1000000,$B555)=0)</f>
        <v>0</v>
      </c>
      <c r="J555" s="8" t="b">
        <f t="shared" si="40"/>
        <v>1</v>
      </c>
      <c r="K555" s="8" t="b">
        <f t="shared" si="41"/>
        <v>1</v>
      </c>
      <c r="L555" s="8" t="b">
        <f t="shared" si="42"/>
        <v>1</v>
      </c>
      <c r="M555" s="8" t="b">
        <f t="shared" si="43"/>
        <v>1</v>
      </c>
      <c r="N555" s="1" t="b">
        <f t="shared" si="44"/>
        <v>1</v>
      </c>
      <c r="O555" s="8" t="str">
        <f>IF(F555="","",IF($F$2=入力リスト!$H$25,ROUNDDOWN(INT(F555)+ROUNDDOWN((F555-INT(F555))*100,0)/60,2),F555))</f>
        <v/>
      </c>
      <c r="P555" s="7"/>
      <c r="Q555" s="7"/>
    </row>
    <row r="556" spans="1:17">
      <c r="A556" s="105"/>
      <c r="B556" s="2"/>
      <c r="C556" s="254"/>
      <c r="D556" s="254"/>
      <c r="E556" s="254"/>
      <c r="F556" s="255"/>
      <c r="G556" s="215" t="str">
        <f>IF(AND($B556="",OR(B556&lt;&gt;"",C556&lt;&gt;"",D556&lt;&gt;"",E556&lt;&gt;"",F556&lt;&gt;"")),入力リスト!$K$34,IF($I556=TRUE,入力リスト!$K$35,IF(J556=FALSE,"「毎月の固定給与額」","")&amp;IF(AND(J556=FALSE,OR(K556=FALSE,L556=FALSE,M556=FALSE)),",","")&amp;IF(K556=FALSE,"「賞与額等」","")&amp;IF(AND(K556=FALSE,OR(L556=FALSE,M556=FALSE)),",","")&amp;IF(L556=FALSE,"「残業手当」","")&amp;IF(AND(L556=FALSE,M556=FALSE),",","")&amp;IF(M556=FALSE,"「残業時間」","")&amp;IF(OR(J556=FALSE,K556=FALSE,L556=FALSE,M556=FALSE),入力リスト!$K$36,"")&amp;IF(N556,"",入力リスト!$K$37)))</f>
        <v/>
      </c>
      <c r="H556" s="215"/>
      <c r="I556" s="1" t="b">
        <f>IF(B556="",FALSE,COUNTIF('従業員情報(給与以外)'!$A$4:$A$1000000,$B556)=0)</f>
        <v>0</v>
      </c>
      <c r="J556" s="8" t="b">
        <f t="shared" si="40"/>
        <v>1</v>
      </c>
      <c r="K556" s="8" t="b">
        <f t="shared" si="41"/>
        <v>1</v>
      </c>
      <c r="L556" s="8" t="b">
        <f t="shared" si="42"/>
        <v>1</v>
      </c>
      <c r="M556" s="8" t="b">
        <f t="shared" si="43"/>
        <v>1</v>
      </c>
      <c r="N556" s="1" t="b">
        <f t="shared" si="44"/>
        <v>1</v>
      </c>
      <c r="O556" s="8" t="str">
        <f>IF(F556="","",IF($F$2=入力リスト!$H$25,ROUNDDOWN(INT(F556)+ROUNDDOWN((F556-INT(F556))*100,0)/60,2),F556))</f>
        <v/>
      </c>
      <c r="P556" s="7"/>
      <c r="Q556" s="7"/>
    </row>
    <row r="557" spans="1:17">
      <c r="A557" s="105"/>
      <c r="B557" s="2"/>
      <c r="C557" s="254"/>
      <c r="D557" s="254"/>
      <c r="E557" s="254"/>
      <c r="F557" s="255"/>
      <c r="G557" s="215" t="str">
        <f>IF(AND($B557="",OR(B557&lt;&gt;"",C557&lt;&gt;"",D557&lt;&gt;"",E557&lt;&gt;"",F557&lt;&gt;"")),入力リスト!$K$34,IF($I557=TRUE,入力リスト!$K$35,IF(J557=FALSE,"「毎月の固定給与額」","")&amp;IF(AND(J557=FALSE,OR(K557=FALSE,L557=FALSE,M557=FALSE)),",","")&amp;IF(K557=FALSE,"「賞与額等」","")&amp;IF(AND(K557=FALSE,OR(L557=FALSE,M557=FALSE)),",","")&amp;IF(L557=FALSE,"「残業手当」","")&amp;IF(AND(L557=FALSE,M557=FALSE),",","")&amp;IF(M557=FALSE,"「残業時間」","")&amp;IF(OR(J557=FALSE,K557=FALSE,L557=FALSE,M557=FALSE),入力リスト!$K$36,"")&amp;IF(N557,"",入力リスト!$K$37)))</f>
        <v/>
      </c>
      <c r="H557" s="215"/>
      <c r="I557" s="1" t="b">
        <f>IF(B557="",FALSE,COUNTIF('従業員情報(給与以外)'!$A$4:$A$1000000,$B557)=0)</f>
        <v>0</v>
      </c>
      <c r="J557" s="8" t="b">
        <f t="shared" si="40"/>
        <v>1</v>
      </c>
      <c r="K557" s="8" t="b">
        <f t="shared" si="41"/>
        <v>1</v>
      </c>
      <c r="L557" s="8" t="b">
        <f t="shared" si="42"/>
        <v>1</v>
      </c>
      <c r="M557" s="8" t="b">
        <f t="shared" si="43"/>
        <v>1</v>
      </c>
      <c r="N557" s="1" t="b">
        <f t="shared" si="44"/>
        <v>1</v>
      </c>
      <c r="O557" s="8" t="str">
        <f>IF(F557="","",IF($F$2=入力リスト!$H$25,ROUNDDOWN(INT(F557)+ROUNDDOWN((F557-INT(F557))*100,0)/60,2),F557))</f>
        <v/>
      </c>
      <c r="P557" s="7"/>
      <c r="Q557" s="7"/>
    </row>
    <row r="558" spans="1:17">
      <c r="A558" s="105"/>
      <c r="B558" s="2"/>
      <c r="C558" s="254"/>
      <c r="D558" s="254"/>
      <c r="E558" s="254"/>
      <c r="F558" s="255"/>
      <c r="G558" s="215" t="str">
        <f>IF(AND($B558="",OR(B558&lt;&gt;"",C558&lt;&gt;"",D558&lt;&gt;"",E558&lt;&gt;"",F558&lt;&gt;"")),入力リスト!$K$34,IF($I558=TRUE,入力リスト!$K$35,IF(J558=FALSE,"「毎月の固定給与額」","")&amp;IF(AND(J558=FALSE,OR(K558=FALSE,L558=FALSE,M558=FALSE)),",","")&amp;IF(K558=FALSE,"「賞与額等」","")&amp;IF(AND(K558=FALSE,OR(L558=FALSE,M558=FALSE)),",","")&amp;IF(L558=FALSE,"「残業手当」","")&amp;IF(AND(L558=FALSE,M558=FALSE),",","")&amp;IF(M558=FALSE,"「残業時間」","")&amp;IF(OR(J558=FALSE,K558=FALSE,L558=FALSE,M558=FALSE),入力リスト!$K$36,"")&amp;IF(N558,"",入力リスト!$K$37)))</f>
        <v/>
      </c>
      <c r="H558" s="215"/>
      <c r="I558" s="1" t="b">
        <f>IF(B558="",FALSE,COUNTIF('従業員情報(給与以外)'!$A$4:$A$1000000,$B558)=0)</f>
        <v>0</v>
      </c>
      <c r="J558" s="8" t="b">
        <f t="shared" si="40"/>
        <v>1</v>
      </c>
      <c r="K558" s="8" t="b">
        <f t="shared" si="41"/>
        <v>1</v>
      </c>
      <c r="L558" s="8" t="b">
        <f t="shared" si="42"/>
        <v>1</v>
      </c>
      <c r="M558" s="8" t="b">
        <f t="shared" si="43"/>
        <v>1</v>
      </c>
      <c r="N558" s="1" t="b">
        <f t="shared" si="44"/>
        <v>1</v>
      </c>
      <c r="O558" s="8" t="str">
        <f>IF(F558="","",IF($F$2=入力リスト!$H$25,ROUNDDOWN(INT(F558)+ROUNDDOWN((F558-INT(F558))*100,0)/60,2),F558))</f>
        <v/>
      </c>
      <c r="P558" s="7"/>
      <c r="Q558" s="7"/>
    </row>
    <row r="559" spans="1:17">
      <c r="A559" s="105"/>
      <c r="B559" s="2"/>
      <c r="C559" s="254"/>
      <c r="D559" s="254"/>
      <c r="E559" s="254"/>
      <c r="F559" s="255"/>
      <c r="G559" s="215" t="str">
        <f>IF(AND($B559="",OR(B559&lt;&gt;"",C559&lt;&gt;"",D559&lt;&gt;"",E559&lt;&gt;"",F559&lt;&gt;"")),入力リスト!$K$34,IF($I559=TRUE,入力リスト!$K$35,IF(J559=FALSE,"「毎月の固定給与額」","")&amp;IF(AND(J559=FALSE,OR(K559=FALSE,L559=FALSE,M559=FALSE)),",","")&amp;IF(K559=FALSE,"「賞与額等」","")&amp;IF(AND(K559=FALSE,OR(L559=FALSE,M559=FALSE)),",","")&amp;IF(L559=FALSE,"「残業手当」","")&amp;IF(AND(L559=FALSE,M559=FALSE),",","")&amp;IF(M559=FALSE,"「残業時間」","")&amp;IF(OR(J559=FALSE,K559=FALSE,L559=FALSE,M559=FALSE),入力リスト!$K$36,"")&amp;IF(N559,"",入力リスト!$K$37)))</f>
        <v/>
      </c>
      <c r="H559" s="215"/>
      <c r="I559" s="1" t="b">
        <f>IF(B559="",FALSE,COUNTIF('従業員情報(給与以外)'!$A$4:$A$1000000,$B559)=0)</f>
        <v>0</v>
      </c>
      <c r="J559" s="8" t="b">
        <f t="shared" si="40"/>
        <v>1</v>
      </c>
      <c r="K559" s="8" t="b">
        <f t="shared" si="41"/>
        <v>1</v>
      </c>
      <c r="L559" s="8" t="b">
        <f t="shared" si="42"/>
        <v>1</v>
      </c>
      <c r="M559" s="8" t="b">
        <f t="shared" si="43"/>
        <v>1</v>
      </c>
      <c r="N559" s="1" t="b">
        <f t="shared" si="44"/>
        <v>1</v>
      </c>
      <c r="O559" s="8" t="str">
        <f>IF(F559="","",IF($F$2=入力リスト!$H$25,ROUNDDOWN(INT(F559)+ROUNDDOWN((F559-INT(F559))*100,0)/60,2),F559))</f>
        <v/>
      </c>
      <c r="P559" s="7"/>
      <c r="Q559" s="7"/>
    </row>
    <row r="560" spans="1:17">
      <c r="A560" s="105"/>
      <c r="B560" s="2"/>
      <c r="C560" s="254"/>
      <c r="D560" s="254"/>
      <c r="E560" s="254"/>
      <c r="F560" s="255"/>
      <c r="G560" s="215" t="str">
        <f>IF(AND($B560="",OR(B560&lt;&gt;"",C560&lt;&gt;"",D560&lt;&gt;"",E560&lt;&gt;"",F560&lt;&gt;"")),入力リスト!$K$34,IF($I560=TRUE,入力リスト!$K$35,IF(J560=FALSE,"「毎月の固定給与額」","")&amp;IF(AND(J560=FALSE,OR(K560=FALSE,L560=FALSE,M560=FALSE)),",","")&amp;IF(K560=FALSE,"「賞与額等」","")&amp;IF(AND(K560=FALSE,OR(L560=FALSE,M560=FALSE)),",","")&amp;IF(L560=FALSE,"「残業手当」","")&amp;IF(AND(L560=FALSE,M560=FALSE),",","")&amp;IF(M560=FALSE,"「残業時間」","")&amp;IF(OR(J560=FALSE,K560=FALSE,L560=FALSE,M560=FALSE),入力リスト!$K$36,"")&amp;IF(N560,"",入力リスト!$K$37)))</f>
        <v/>
      </c>
      <c r="H560" s="215"/>
      <c r="I560" s="1" t="b">
        <f>IF(B560="",FALSE,COUNTIF('従業員情報(給与以外)'!$A$4:$A$1000000,$B560)=0)</f>
        <v>0</v>
      </c>
      <c r="J560" s="8" t="b">
        <f t="shared" si="40"/>
        <v>1</v>
      </c>
      <c r="K560" s="8" t="b">
        <f t="shared" si="41"/>
        <v>1</v>
      </c>
      <c r="L560" s="8" t="b">
        <f t="shared" si="42"/>
        <v>1</v>
      </c>
      <c r="M560" s="8" t="b">
        <f t="shared" si="43"/>
        <v>1</v>
      </c>
      <c r="N560" s="1" t="b">
        <f t="shared" si="44"/>
        <v>1</v>
      </c>
      <c r="O560" s="8" t="str">
        <f>IF(F560="","",IF($F$2=入力リスト!$H$25,ROUNDDOWN(INT(F560)+ROUNDDOWN((F560-INT(F560))*100,0)/60,2),F560))</f>
        <v/>
      </c>
      <c r="P560" s="7"/>
      <c r="Q560" s="7"/>
    </row>
    <row r="561" spans="1:17">
      <c r="A561" s="105"/>
      <c r="B561" s="2"/>
      <c r="C561" s="254"/>
      <c r="D561" s="254"/>
      <c r="E561" s="254"/>
      <c r="F561" s="255"/>
      <c r="G561" s="215" t="str">
        <f>IF(AND($B561="",OR(B561&lt;&gt;"",C561&lt;&gt;"",D561&lt;&gt;"",E561&lt;&gt;"",F561&lt;&gt;"")),入力リスト!$K$34,IF($I561=TRUE,入力リスト!$K$35,IF(J561=FALSE,"「毎月の固定給与額」","")&amp;IF(AND(J561=FALSE,OR(K561=FALSE,L561=FALSE,M561=FALSE)),",","")&amp;IF(K561=FALSE,"「賞与額等」","")&amp;IF(AND(K561=FALSE,OR(L561=FALSE,M561=FALSE)),",","")&amp;IF(L561=FALSE,"「残業手当」","")&amp;IF(AND(L561=FALSE,M561=FALSE),",","")&amp;IF(M561=FALSE,"「残業時間」","")&amp;IF(OR(J561=FALSE,K561=FALSE,L561=FALSE,M561=FALSE),入力リスト!$K$36,"")&amp;IF(N561,"",入力リスト!$K$37)))</f>
        <v/>
      </c>
      <c r="H561" s="215"/>
      <c r="I561" s="1" t="b">
        <f>IF(B561="",FALSE,COUNTIF('従業員情報(給与以外)'!$A$4:$A$1000000,$B561)=0)</f>
        <v>0</v>
      </c>
      <c r="J561" s="8" t="b">
        <f t="shared" si="40"/>
        <v>1</v>
      </c>
      <c r="K561" s="8" t="b">
        <f t="shared" si="41"/>
        <v>1</v>
      </c>
      <c r="L561" s="8" t="b">
        <f t="shared" si="42"/>
        <v>1</v>
      </c>
      <c r="M561" s="8" t="b">
        <f t="shared" si="43"/>
        <v>1</v>
      </c>
      <c r="N561" s="1" t="b">
        <f t="shared" si="44"/>
        <v>1</v>
      </c>
      <c r="O561" s="8" t="str">
        <f>IF(F561="","",IF($F$2=入力リスト!$H$25,ROUNDDOWN(INT(F561)+ROUNDDOWN((F561-INT(F561))*100,0)/60,2),F561))</f>
        <v/>
      </c>
      <c r="P561" s="7"/>
      <c r="Q561" s="7"/>
    </row>
    <row r="562" spans="1:17">
      <c r="A562" s="105"/>
      <c r="B562" s="2"/>
      <c r="C562" s="254"/>
      <c r="D562" s="254"/>
      <c r="E562" s="254"/>
      <c r="F562" s="255"/>
      <c r="G562" s="215" t="str">
        <f>IF(AND($B562="",OR(B562&lt;&gt;"",C562&lt;&gt;"",D562&lt;&gt;"",E562&lt;&gt;"",F562&lt;&gt;"")),入力リスト!$K$34,IF($I562=TRUE,入力リスト!$K$35,IF(J562=FALSE,"「毎月の固定給与額」","")&amp;IF(AND(J562=FALSE,OR(K562=FALSE,L562=FALSE,M562=FALSE)),",","")&amp;IF(K562=FALSE,"「賞与額等」","")&amp;IF(AND(K562=FALSE,OR(L562=FALSE,M562=FALSE)),",","")&amp;IF(L562=FALSE,"「残業手当」","")&amp;IF(AND(L562=FALSE,M562=FALSE),",","")&amp;IF(M562=FALSE,"「残業時間」","")&amp;IF(OR(J562=FALSE,K562=FALSE,L562=FALSE,M562=FALSE),入力リスト!$K$36,"")&amp;IF(N562,"",入力リスト!$K$37)))</f>
        <v/>
      </c>
      <c r="H562" s="215"/>
      <c r="I562" s="1" t="b">
        <f>IF(B562="",FALSE,COUNTIF('従業員情報(給与以外)'!$A$4:$A$1000000,$B562)=0)</f>
        <v>0</v>
      </c>
      <c r="J562" s="8" t="b">
        <f t="shared" si="40"/>
        <v>1</v>
      </c>
      <c r="K562" s="8" t="b">
        <f t="shared" si="41"/>
        <v>1</v>
      </c>
      <c r="L562" s="8" t="b">
        <f t="shared" si="42"/>
        <v>1</v>
      </c>
      <c r="M562" s="8" t="b">
        <f t="shared" si="43"/>
        <v>1</v>
      </c>
      <c r="N562" s="1" t="b">
        <f t="shared" si="44"/>
        <v>1</v>
      </c>
      <c r="O562" s="8" t="str">
        <f>IF(F562="","",IF($F$2=入力リスト!$H$25,ROUNDDOWN(INT(F562)+ROUNDDOWN((F562-INT(F562))*100,0)/60,2),F562))</f>
        <v/>
      </c>
      <c r="P562" s="7"/>
      <c r="Q562" s="7"/>
    </row>
    <row r="563" spans="1:17">
      <c r="A563" s="105"/>
      <c r="B563" s="2"/>
      <c r="C563" s="254"/>
      <c r="D563" s="254"/>
      <c r="E563" s="254"/>
      <c r="F563" s="255"/>
      <c r="G563" s="215" t="str">
        <f>IF(AND($B563="",OR(B563&lt;&gt;"",C563&lt;&gt;"",D563&lt;&gt;"",E563&lt;&gt;"",F563&lt;&gt;"")),入力リスト!$K$34,IF($I563=TRUE,入力リスト!$K$35,IF(J563=FALSE,"「毎月の固定給与額」","")&amp;IF(AND(J563=FALSE,OR(K563=FALSE,L563=FALSE,M563=FALSE)),",","")&amp;IF(K563=FALSE,"「賞与額等」","")&amp;IF(AND(K563=FALSE,OR(L563=FALSE,M563=FALSE)),",","")&amp;IF(L563=FALSE,"「残業手当」","")&amp;IF(AND(L563=FALSE,M563=FALSE),",","")&amp;IF(M563=FALSE,"「残業時間」","")&amp;IF(OR(J563=FALSE,K563=FALSE,L563=FALSE,M563=FALSE),入力リスト!$K$36,"")&amp;IF(N563,"",入力リスト!$K$37)))</f>
        <v/>
      </c>
      <c r="H563" s="215"/>
      <c r="I563" s="1" t="b">
        <f>IF(B563="",FALSE,COUNTIF('従業員情報(給与以外)'!$A$4:$A$1000000,$B563)=0)</f>
        <v>0</v>
      </c>
      <c r="J563" s="8" t="b">
        <f t="shared" si="40"/>
        <v>1</v>
      </c>
      <c r="K563" s="8" t="b">
        <f t="shared" si="41"/>
        <v>1</v>
      </c>
      <c r="L563" s="8" t="b">
        <f t="shared" si="42"/>
        <v>1</v>
      </c>
      <c r="M563" s="8" t="b">
        <f t="shared" si="43"/>
        <v>1</v>
      </c>
      <c r="N563" s="1" t="b">
        <f t="shared" si="44"/>
        <v>1</v>
      </c>
      <c r="O563" s="8" t="str">
        <f>IF(F563="","",IF($F$2=入力リスト!$H$25,ROUNDDOWN(INT(F563)+ROUNDDOWN((F563-INT(F563))*100,0)/60,2),F563))</f>
        <v/>
      </c>
      <c r="P563" s="7"/>
      <c r="Q563" s="7"/>
    </row>
    <row r="564" spans="1:17">
      <c r="A564" s="105"/>
      <c r="B564" s="2"/>
      <c r="C564" s="254"/>
      <c r="D564" s="254"/>
      <c r="E564" s="254"/>
      <c r="F564" s="255"/>
      <c r="G564" s="215" t="str">
        <f>IF(AND($B564="",OR(B564&lt;&gt;"",C564&lt;&gt;"",D564&lt;&gt;"",E564&lt;&gt;"",F564&lt;&gt;"")),入力リスト!$K$34,IF($I564=TRUE,入力リスト!$K$35,IF(J564=FALSE,"「毎月の固定給与額」","")&amp;IF(AND(J564=FALSE,OR(K564=FALSE,L564=FALSE,M564=FALSE)),",","")&amp;IF(K564=FALSE,"「賞与額等」","")&amp;IF(AND(K564=FALSE,OR(L564=FALSE,M564=FALSE)),",","")&amp;IF(L564=FALSE,"「残業手当」","")&amp;IF(AND(L564=FALSE,M564=FALSE),",","")&amp;IF(M564=FALSE,"「残業時間」","")&amp;IF(OR(J564=FALSE,K564=FALSE,L564=FALSE,M564=FALSE),入力リスト!$K$36,"")&amp;IF(N564,"",入力リスト!$K$37)))</f>
        <v/>
      </c>
      <c r="H564" s="215"/>
      <c r="I564" s="1" t="b">
        <f>IF(B564="",FALSE,COUNTIF('従業員情報(給与以外)'!$A$4:$A$1000000,$B564)=0)</f>
        <v>0</v>
      </c>
      <c r="J564" s="8" t="b">
        <f t="shared" si="40"/>
        <v>1</v>
      </c>
      <c r="K564" s="8" t="b">
        <f t="shared" si="41"/>
        <v>1</v>
      </c>
      <c r="L564" s="8" t="b">
        <f t="shared" si="42"/>
        <v>1</v>
      </c>
      <c r="M564" s="8" t="b">
        <f t="shared" si="43"/>
        <v>1</v>
      </c>
      <c r="N564" s="1" t="b">
        <f t="shared" si="44"/>
        <v>1</v>
      </c>
      <c r="O564" s="8" t="str">
        <f>IF(F564="","",IF($F$2=入力リスト!$H$25,ROUNDDOWN(INT(F564)+ROUNDDOWN((F564-INT(F564))*100,0)/60,2),F564))</f>
        <v/>
      </c>
      <c r="P564" s="7"/>
      <c r="Q564" s="7"/>
    </row>
    <row r="565" spans="1:17">
      <c r="A565" s="105"/>
      <c r="B565" s="2"/>
      <c r="C565" s="254"/>
      <c r="D565" s="254"/>
      <c r="E565" s="254"/>
      <c r="F565" s="255"/>
      <c r="G565" s="215" t="str">
        <f>IF(AND($B565="",OR(B565&lt;&gt;"",C565&lt;&gt;"",D565&lt;&gt;"",E565&lt;&gt;"",F565&lt;&gt;"")),入力リスト!$K$34,IF($I565=TRUE,入力リスト!$K$35,IF(J565=FALSE,"「毎月の固定給与額」","")&amp;IF(AND(J565=FALSE,OR(K565=FALSE,L565=FALSE,M565=FALSE)),",","")&amp;IF(K565=FALSE,"「賞与額等」","")&amp;IF(AND(K565=FALSE,OR(L565=FALSE,M565=FALSE)),",","")&amp;IF(L565=FALSE,"「残業手当」","")&amp;IF(AND(L565=FALSE,M565=FALSE),",","")&amp;IF(M565=FALSE,"「残業時間」","")&amp;IF(OR(J565=FALSE,K565=FALSE,L565=FALSE,M565=FALSE),入力リスト!$K$36,"")&amp;IF(N565,"",入力リスト!$K$37)))</f>
        <v/>
      </c>
      <c r="H565" s="215"/>
      <c r="I565" s="1" t="b">
        <f>IF(B565="",FALSE,COUNTIF('従業員情報(給与以外)'!$A$4:$A$1000000,$B565)=0)</f>
        <v>0</v>
      </c>
      <c r="J565" s="8" t="b">
        <f t="shared" si="40"/>
        <v>1</v>
      </c>
      <c r="K565" s="8" t="b">
        <f t="shared" si="41"/>
        <v>1</v>
      </c>
      <c r="L565" s="8" t="b">
        <f t="shared" si="42"/>
        <v>1</v>
      </c>
      <c r="M565" s="8" t="b">
        <f t="shared" si="43"/>
        <v>1</v>
      </c>
      <c r="N565" s="1" t="b">
        <f t="shared" si="44"/>
        <v>1</v>
      </c>
      <c r="O565" s="8" t="str">
        <f>IF(F565="","",IF($F$2=入力リスト!$H$25,ROUNDDOWN(INT(F565)+ROUNDDOWN((F565-INT(F565))*100,0)/60,2),F565))</f>
        <v/>
      </c>
      <c r="P565" s="7"/>
      <c r="Q565" s="7"/>
    </row>
    <row r="566" spans="1:17">
      <c r="A566" s="105"/>
      <c r="B566" s="2"/>
      <c r="C566" s="254"/>
      <c r="D566" s="254"/>
      <c r="E566" s="254"/>
      <c r="F566" s="255"/>
      <c r="G566" s="215" t="str">
        <f>IF(AND($B566="",OR(B566&lt;&gt;"",C566&lt;&gt;"",D566&lt;&gt;"",E566&lt;&gt;"",F566&lt;&gt;"")),入力リスト!$K$34,IF($I566=TRUE,入力リスト!$K$35,IF(J566=FALSE,"「毎月の固定給与額」","")&amp;IF(AND(J566=FALSE,OR(K566=FALSE,L566=FALSE,M566=FALSE)),",","")&amp;IF(K566=FALSE,"「賞与額等」","")&amp;IF(AND(K566=FALSE,OR(L566=FALSE,M566=FALSE)),",","")&amp;IF(L566=FALSE,"「残業手当」","")&amp;IF(AND(L566=FALSE,M566=FALSE),",","")&amp;IF(M566=FALSE,"「残業時間」","")&amp;IF(OR(J566=FALSE,K566=FALSE,L566=FALSE,M566=FALSE),入力リスト!$K$36,"")&amp;IF(N566,"",入力リスト!$K$37)))</f>
        <v/>
      </c>
      <c r="H566" s="215"/>
      <c r="I566" s="1" t="b">
        <f>IF(B566="",FALSE,COUNTIF('従業員情報(給与以外)'!$A$4:$A$1000000,$B566)=0)</f>
        <v>0</v>
      </c>
      <c r="J566" s="8" t="b">
        <f t="shared" si="40"/>
        <v>1</v>
      </c>
      <c r="K566" s="8" t="b">
        <f t="shared" si="41"/>
        <v>1</v>
      </c>
      <c r="L566" s="8" t="b">
        <f t="shared" si="42"/>
        <v>1</v>
      </c>
      <c r="M566" s="8" t="b">
        <f t="shared" si="43"/>
        <v>1</v>
      </c>
      <c r="N566" s="1" t="b">
        <f t="shared" si="44"/>
        <v>1</v>
      </c>
      <c r="O566" s="8" t="str">
        <f>IF(F566="","",IF($F$2=入力リスト!$H$25,ROUNDDOWN(INT(F566)+ROUNDDOWN((F566-INT(F566))*100,0)/60,2),F566))</f>
        <v/>
      </c>
      <c r="P566" s="7"/>
      <c r="Q566" s="7"/>
    </row>
    <row r="567" spans="1:17">
      <c r="A567" s="105"/>
      <c r="B567" s="2"/>
      <c r="C567" s="254"/>
      <c r="D567" s="254"/>
      <c r="E567" s="254"/>
      <c r="F567" s="255"/>
      <c r="G567" s="215" t="str">
        <f>IF(AND($B567="",OR(B567&lt;&gt;"",C567&lt;&gt;"",D567&lt;&gt;"",E567&lt;&gt;"",F567&lt;&gt;"")),入力リスト!$K$34,IF($I567=TRUE,入力リスト!$K$35,IF(J567=FALSE,"「毎月の固定給与額」","")&amp;IF(AND(J567=FALSE,OR(K567=FALSE,L567=FALSE,M567=FALSE)),",","")&amp;IF(K567=FALSE,"「賞与額等」","")&amp;IF(AND(K567=FALSE,OR(L567=FALSE,M567=FALSE)),",","")&amp;IF(L567=FALSE,"「残業手当」","")&amp;IF(AND(L567=FALSE,M567=FALSE),",","")&amp;IF(M567=FALSE,"「残業時間」","")&amp;IF(OR(J567=FALSE,K567=FALSE,L567=FALSE,M567=FALSE),入力リスト!$K$36,"")&amp;IF(N567,"",入力リスト!$K$37)))</f>
        <v/>
      </c>
      <c r="H567" s="215"/>
      <c r="I567" s="1" t="b">
        <f>IF(B567="",FALSE,COUNTIF('従業員情報(給与以外)'!$A$4:$A$1000000,$B567)=0)</f>
        <v>0</v>
      </c>
      <c r="J567" s="8" t="b">
        <f t="shared" si="40"/>
        <v>1</v>
      </c>
      <c r="K567" s="8" t="b">
        <f t="shared" si="41"/>
        <v>1</v>
      </c>
      <c r="L567" s="8" t="b">
        <f t="shared" si="42"/>
        <v>1</v>
      </c>
      <c r="M567" s="8" t="b">
        <f t="shared" si="43"/>
        <v>1</v>
      </c>
      <c r="N567" s="1" t="b">
        <f t="shared" si="44"/>
        <v>1</v>
      </c>
      <c r="O567" s="8" t="str">
        <f>IF(F567="","",IF($F$2=入力リスト!$H$25,ROUNDDOWN(INT(F567)+ROUNDDOWN((F567-INT(F567))*100,0)/60,2),F567))</f>
        <v/>
      </c>
      <c r="P567" s="7"/>
      <c r="Q567" s="7"/>
    </row>
    <row r="568" spans="1:17">
      <c r="A568" s="105"/>
      <c r="B568" s="2"/>
      <c r="C568" s="254"/>
      <c r="D568" s="254"/>
      <c r="E568" s="254"/>
      <c r="F568" s="255"/>
      <c r="G568" s="215" t="str">
        <f>IF(AND($B568="",OR(B568&lt;&gt;"",C568&lt;&gt;"",D568&lt;&gt;"",E568&lt;&gt;"",F568&lt;&gt;"")),入力リスト!$K$34,IF($I568=TRUE,入力リスト!$K$35,IF(J568=FALSE,"「毎月の固定給与額」","")&amp;IF(AND(J568=FALSE,OR(K568=FALSE,L568=FALSE,M568=FALSE)),",","")&amp;IF(K568=FALSE,"「賞与額等」","")&amp;IF(AND(K568=FALSE,OR(L568=FALSE,M568=FALSE)),",","")&amp;IF(L568=FALSE,"「残業手当」","")&amp;IF(AND(L568=FALSE,M568=FALSE),",","")&amp;IF(M568=FALSE,"「残業時間」","")&amp;IF(OR(J568=FALSE,K568=FALSE,L568=FALSE,M568=FALSE),入力リスト!$K$36,"")&amp;IF(N568,"",入力リスト!$K$37)))</f>
        <v/>
      </c>
      <c r="H568" s="215"/>
      <c r="I568" s="1" t="b">
        <f>IF(B568="",FALSE,COUNTIF('従業員情報(給与以外)'!$A$4:$A$1000000,$B568)=0)</f>
        <v>0</v>
      </c>
      <c r="J568" s="8" t="b">
        <f t="shared" si="40"/>
        <v>1</v>
      </c>
      <c r="K568" s="8" t="b">
        <f t="shared" si="41"/>
        <v>1</v>
      </c>
      <c r="L568" s="8" t="b">
        <f t="shared" si="42"/>
        <v>1</v>
      </c>
      <c r="M568" s="8" t="b">
        <f t="shared" si="43"/>
        <v>1</v>
      </c>
      <c r="N568" s="1" t="b">
        <f t="shared" si="44"/>
        <v>1</v>
      </c>
      <c r="O568" s="8" t="str">
        <f>IF(F568="","",IF($F$2=入力リスト!$H$25,ROUNDDOWN(INT(F568)+ROUNDDOWN((F568-INT(F568))*100,0)/60,2),F568))</f>
        <v/>
      </c>
      <c r="P568" s="7"/>
      <c r="Q568" s="7"/>
    </row>
    <row r="569" spans="1:17">
      <c r="A569" s="105"/>
      <c r="B569" s="2"/>
      <c r="C569" s="254"/>
      <c r="D569" s="254"/>
      <c r="E569" s="254"/>
      <c r="F569" s="255"/>
      <c r="G569" s="215" t="str">
        <f>IF(AND($B569="",OR(B569&lt;&gt;"",C569&lt;&gt;"",D569&lt;&gt;"",E569&lt;&gt;"",F569&lt;&gt;"")),入力リスト!$K$34,IF($I569=TRUE,入力リスト!$K$35,IF(J569=FALSE,"「毎月の固定給与額」","")&amp;IF(AND(J569=FALSE,OR(K569=FALSE,L569=FALSE,M569=FALSE)),",","")&amp;IF(K569=FALSE,"「賞与額等」","")&amp;IF(AND(K569=FALSE,OR(L569=FALSE,M569=FALSE)),",","")&amp;IF(L569=FALSE,"「残業手当」","")&amp;IF(AND(L569=FALSE,M569=FALSE),",","")&amp;IF(M569=FALSE,"「残業時間」","")&amp;IF(OR(J569=FALSE,K569=FALSE,L569=FALSE,M569=FALSE),入力リスト!$K$36,"")&amp;IF(N569,"",入力リスト!$K$37)))</f>
        <v/>
      </c>
      <c r="H569" s="215"/>
      <c r="I569" s="1" t="b">
        <f>IF(B569="",FALSE,COUNTIF('従業員情報(給与以外)'!$A$4:$A$1000000,$B569)=0)</f>
        <v>0</v>
      </c>
      <c r="J569" s="8" t="b">
        <f t="shared" si="40"/>
        <v>1</v>
      </c>
      <c r="K569" s="8" t="b">
        <f t="shared" si="41"/>
        <v>1</v>
      </c>
      <c r="L569" s="8" t="b">
        <f t="shared" si="42"/>
        <v>1</v>
      </c>
      <c r="M569" s="8" t="b">
        <f t="shared" si="43"/>
        <v>1</v>
      </c>
      <c r="N569" s="1" t="b">
        <f t="shared" si="44"/>
        <v>1</v>
      </c>
      <c r="O569" s="8" t="str">
        <f>IF(F569="","",IF($F$2=入力リスト!$H$25,ROUNDDOWN(INT(F569)+ROUNDDOWN((F569-INT(F569))*100,0)/60,2),F569))</f>
        <v/>
      </c>
      <c r="P569" s="7"/>
      <c r="Q569" s="7"/>
    </row>
    <row r="570" spans="1:17">
      <c r="A570" s="105"/>
      <c r="B570" s="2"/>
      <c r="C570" s="254"/>
      <c r="D570" s="254"/>
      <c r="E570" s="254"/>
      <c r="F570" s="255"/>
      <c r="G570" s="215" t="str">
        <f>IF(AND($B570="",OR(B570&lt;&gt;"",C570&lt;&gt;"",D570&lt;&gt;"",E570&lt;&gt;"",F570&lt;&gt;"")),入力リスト!$K$34,IF($I570=TRUE,入力リスト!$K$35,IF(J570=FALSE,"「毎月の固定給与額」","")&amp;IF(AND(J570=FALSE,OR(K570=FALSE,L570=FALSE,M570=FALSE)),",","")&amp;IF(K570=FALSE,"「賞与額等」","")&amp;IF(AND(K570=FALSE,OR(L570=FALSE,M570=FALSE)),",","")&amp;IF(L570=FALSE,"「残業手当」","")&amp;IF(AND(L570=FALSE,M570=FALSE),",","")&amp;IF(M570=FALSE,"「残業時間」","")&amp;IF(OR(J570=FALSE,K570=FALSE,L570=FALSE,M570=FALSE),入力リスト!$K$36,"")&amp;IF(N570,"",入力リスト!$K$37)))</f>
        <v/>
      </c>
      <c r="H570" s="215"/>
      <c r="I570" s="1" t="b">
        <f>IF(B570="",FALSE,COUNTIF('従業員情報(給与以外)'!$A$4:$A$1000000,$B570)=0)</f>
        <v>0</v>
      </c>
      <c r="J570" s="8" t="b">
        <f t="shared" si="40"/>
        <v>1</v>
      </c>
      <c r="K570" s="8" t="b">
        <f t="shared" si="41"/>
        <v>1</v>
      </c>
      <c r="L570" s="8" t="b">
        <f t="shared" si="42"/>
        <v>1</v>
      </c>
      <c r="M570" s="8" t="b">
        <f t="shared" si="43"/>
        <v>1</v>
      </c>
      <c r="N570" s="1" t="b">
        <f t="shared" si="44"/>
        <v>1</v>
      </c>
      <c r="O570" s="8" t="str">
        <f>IF(F570="","",IF($F$2=入力リスト!$H$25,ROUNDDOWN(INT(F570)+ROUNDDOWN((F570-INT(F570))*100,0)/60,2),F570))</f>
        <v/>
      </c>
      <c r="P570" s="7"/>
      <c r="Q570" s="7"/>
    </row>
    <row r="571" spans="1:17">
      <c r="A571" s="105"/>
      <c r="B571" s="2"/>
      <c r="C571" s="254"/>
      <c r="D571" s="254"/>
      <c r="E571" s="254"/>
      <c r="F571" s="255"/>
      <c r="G571" s="215" t="str">
        <f>IF(AND($B571="",OR(B571&lt;&gt;"",C571&lt;&gt;"",D571&lt;&gt;"",E571&lt;&gt;"",F571&lt;&gt;"")),入力リスト!$K$34,IF($I571=TRUE,入力リスト!$K$35,IF(J571=FALSE,"「毎月の固定給与額」","")&amp;IF(AND(J571=FALSE,OR(K571=FALSE,L571=FALSE,M571=FALSE)),",","")&amp;IF(K571=FALSE,"「賞与額等」","")&amp;IF(AND(K571=FALSE,OR(L571=FALSE,M571=FALSE)),",","")&amp;IF(L571=FALSE,"「残業手当」","")&amp;IF(AND(L571=FALSE,M571=FALSE),",","")&amp;IF(M571=FALSE,"「残業時間」","")&amp;IF(OR(J571=FALSE,K571=FALSE,L571=FALSE,M571=FALSE),入力リスト!$K$36,"")&amp;IF(N571,"",入力リスト!$K$37)))</f>
        <v/>
      </c>
      <c r="H571" s="215"/>
      <c r="I571" s="1" t="b">
        <f>IF(B571="",FALSE,COUNTIF('従業員情報(給与以外)'!$A$4:$A$1000000,$B571)=0)</f>
        <v>0</v>
      </c>
      <c r="J571" s="8" t="b">
        <f t="shared" si="40"/>
        <v>1</v>
      </c>
      <c r="K571" s="8" t="b">
        <f t="shared" si="41"/>
        <v>1</v>
      </c>
      <c r="L571" s="8" t="b">
        <f t="shared" si="42"/>
        <v>1</v>
      </c>
      <c r="M571" s="8" t="b">
        <f t="shared" si="43"/>
        <v>1</v>
      </c>
      <c r="N571" s="1" t="b">
        <f t="shared" si="44"/>
        <v>1</v>
      </c>
      <c r="O571" s="8" t="str">
        <f>IF(F571="","",IF($F$2=入力リスト!$H$25,ROUNDDOWN(INT(F571)+ROUNDDOWN((F571-INT(F571))*100,0)/60,2),F571))</f>
        <v/>
      </c>
      <c r="P571" s="7"/>
      <c r="Q571" s="7"/>
    </row>
    <row r="572" spans="1:17">
      <c r="A572" s="105"/>
      <c r="B572" s="2"/>
      <c r="C572" s="254"/>
      <c r="D572" s="254"/>
      <c r="E572" s="254"/>
      <c r="F572" s="255"/>
      <c r="G572" s="215" t="str">
        <f>IF(AND($B572="",OR(B572&lt;&gt;"",C572&lt;&gt;"",D572&lt;&gt;"",E572&lt;&gt;"",F572&lt;&gt;"")),入力リスト!$K$34,IF($I572=TRUE,入力リスト!$K$35,IF(J572=FALSE,"「毎月の固定給与額」","")&amp;IF(AND(J572=FALSE,OR(K572=FALSE,L572=FALSE,M572=FALSE)),",","")&amp;IF(K572=FALSE,"「賞与額等」","")&amp;IF(AND(K572=FALSE,OR(L572=FALSE,M572=FALSE)),",","")&amp;IF(L572=FALSE,"「残業手当」","")&amp;IF(AND(L572=FALSE,M572=FALSE),",","")&amp;IF(M572=FALSE,"「残業時間」","")&amp;IF(OR(J572=FALSE,K572=FALSE,L572=FALSE,M572=FALSE),入力リスト!$K$36,"")&amp;IF(N572,"",入力リスト!$K$37)))</f>
        <v/>
      </c>
      <c r="H572" s="215"/>
      <c r="I572" s="1" t="b">
        <f>IF(B572="",FALSE,COUNTIF('従業員情報(給与以外)'!$A$4:$A$1000000,$B572)=0)</f>
        <v>0</v>
      </c>
      <c r="J572" s="8" t="b">
        <f t="shared" si="40"/>
        <v>1</v>
      </c>
      <c r="K572" s="8" t="b">
        <f t="shared" si="41"/>
        <v>1</v>
      </c>
      <c r="L572" s="8" t="b">
        <f t="shared" si="42"/>
        <v>1</v>
      </c>
      <c r="M572" s="8" t="b">
        <f t="shared" si="43"/>
        <v>1</v>
      </c>
      <c r="N572" s="1" t="b">
        <f t="shared" si="44"/>
        <v>1</v>
      </c>
      <c r="O572" s="8" t="str">
        <f>IF(F572="","",IF($F$2=入力リスト!$H$25,ROUNDDOWN(INT(F572)+ROUNDDOWN((F572-INT(F572))*100,0)/60,2),F572))</f>
        <v/>
      </c>
      <c r="P572" s="7"/>
      <c r="Q572" s="7"/>
    </row>
    <row r="573" spans="1:17">
      <c r="A573" s="105"/>
      <c r="B573" s="2"/>
      <c r="C573" s="254"/>
      <c r="D573" s="254"/>
      <c r="E573" s="254"/>
      <c r="F573" s="255"/>
      <c r="G573" s="215" t="str">
        <f>IF(AND($B573="",OR(B573&lt;&gt;"",C573&lt;&gt;"",D573&lt;&gt;"",E573&lt;&gt;"",F573&lt;&gt;"")),入力リスト!$K$34,IF($I573=TRUE,入力リスト!$K$35,IF(J573=FALSE,"「毎月の固定給与額」","")&amp;IF(AND(J573=FALSE,OR(K573=FALSE,L573=FALSE,M573=FALSE)),",","")&amp;IF(K573=FALSE,"「賞与額等」","")&amp;IF(AND(K573=FALSE,OR(L573=FALSE,M573=FALSE)),",","")&amp;IF(L573=FALSE,"「残業手当」","")&amp;IF(AND(L573=FALSE,M573=FALSE),",","")&amp;IF(M573=FALSE,"「残業時間」","")&amp;IF(OR(J573=FALSE,K573=FALSE,L573=FALSE,M573=FALSE),入力リスト!$K$36,"")&amp;IF(N573,"",入力リスト!$K$37)))</f>
        <v/>
      </c>
      <c r="H573" s="215"/>
      <c r="I573" s="1" t="b">
        <f>IF(B573="",FALSE,COUNTIF('従業員情報(給与以外)'!$A$4:$A$1000000,$B573)=0)</f>
        <v>0</v>
      </c>
      <c r="J573" s="8" t="b">
        <f t="shared" si="40"/>
        <v>1</v>
      </c>
      <c r="K573" s="8" t="b">
        <f t="shared" si="41"/>
        <v>1</v>
      </c>
      <c r="L573" s="8" t="b">
        <f t="shared" si="42"/>
        <v>1</v>
      </c>
      <c r="M573" s="8" t="b">
        <f t="shared" si="43"/>
        <v>1</v>
      </c>
      <c r="N573" s="1" t="b">
        <f t="shared" si="44"/>
        <v>1</v>
      </c>
      <c r="O573" s="8" t="str">
        <f>IF(F573="","",IF($F$2=入力リスト!$H$25,ROUNDDOWN(INT(F573)+ROUNDDOWN((F573-INT(F573))*100,0)/60,2),F573))</f>
        <v/>
      </c>
      <c r="P573" s="7"/>
      <c r="Q573" s="7"/>
    </row>
    <row r="574" spans="1:17">
      <c r="A574" s="105"/>
      <c r="B574" s="2"/>
      <c r="C574" s="254"/>
      <c r="D574" s="254"/>
      <c r="E574" s="254"/>
      <c r="F574" s="255"/>
      <c r="G574" s="215" t="str">
        <f>IF(AND($B574="",OR(B574&lt;&gt;"",C574&lt;&gt;"",D574&lt;&gt;"",E574&lt;&gt;"",F574&lt;&gt;"")),入力リスト!$K$34,IF($I574=TRUE,入力リスト!$K$35,IF(J574=FALSE,"「毎月の固定給与額」","")&amp;IF(AND(J574=FALSE,OR(K574=FALSE,L574=FALSE,M574=FALSE)),",","")&amp;IF(K574=FALSE,"「賞与額等」","")&amp;IF(AND(K574=FALSE,OR(L574=FALSE,M574=FALSE)),",","")&amp;IF(L574=FALSE,"「残業手当」","")&amp;IF(AND(L574=FALSE,M574=FALSE),",","")&amp;IF(M574=FALSE,"「残業時間」","")&amp;IF(OR(J574=FALSE,K574=FALSE,L574=FALSE,M574=FALSE),入力リスト!$K$36,"")&amp;IF(N574,"",入力リスト!$K$37)))</f>
        <v/>
      </c>
      <c r="H574" s="215"/>
      <c r="I574" s="1" t="b">
        <f>IF(B574="",FALSE,COUNTIF('従業員情報(給与以外)'!$A$4:$A$1000000,$B574)=0)</f>
        <v>0</v>
      </c>
      <c r="J574" s="8" t="b">
        <f t="shared" si="40"/>
        <v>1</v>
      </c>
      <c r="K574" s="8" t="b">
        <f t="shared" si="41"/>
        <v>1</v>
      </c>
      <c r="L574" s="8" t="b">
        <f t="shared" si="42"/>
        <v>1</v>
      </c>
      <c r="M574" s="8" t="b">
        <f t="shared" si="43"/>
        <v>1</v>
      </c>
      <c r="N574" s="1" t="b">
        <f t="shared" si="44"/>
        <v>1</v>
      </c>
      <c r="O574" s="8" t="str">
        <f>IF(F574="","",IF($F$2=入力リスト!$H$25,ROUNDDOWN(INT(F574)+ROUNDDOWN((F574-INT(F574))*100,0)/60,2),F574))</f>
        <v/>
      </c>
      <c r="P574" s="7"/>
      <c r="Q574" s="7"/>
    </row>
    <row r="575" spans="1:17">
      <c r="A575" s="105"/>
      <c r="B575" s="2"/>
      <c r="C575" s="254"/>
      <c r="D575" s="254"/>
      <c r="E575" s="254"/>
      <c r="F575" s="255"/>
      <c r="G575" s="215" t="str">
        <f>IF(AND($B575="",OR(B575&lt;&gt;"",C575&lt;&gt;"",D575&lt;&gt;"",E575&lt;&gt;"",F575&lt;&gt;"")),入力リスト!$K$34,IF($I575=TRUE,入力リスト!$K$35,IF(J575=FALSE,"「毎月の固定給与額」","")&amp;IF(AND(J575=FALSE,OR(K575=FALSE,L575=FALSE,M575=FALSE)),",","")&amp;IF(K575=FALSE,"「賞与額等」","")&amp;IF(AND(K575=FALSE,OR(L575=FALSE,M575=FALSE)),",","")&amp;IF(L575=FALSE,"「残業手当」","")&amp;IF(AND(L575=FALSE,M575=FALSE),",","")&amp;IF(M575=FALSE,"「残業時間」","")&amp;IF(OR(J575=FALSE,K575=FALSE,L575=FALSE,M575=FALSE),入力リスト!$K$36,"")&amp;IF(N575,"",入力リスト!$K$37)))</f>
        <v/>
      </c>
      <c r="H575" s="215"/>
      <c r="I575" s="1" t="b">
        <f>IF(B575="",FALSE,COUNTIF('従業員情報(給与以外)'!$A$4:$A$1000000,$B575)=0)</f>
        <v>0</v>
      </c>
      <c r="J575" s="8" t="b">
        <f t="shared" si="40"/>
        <v>1</v>
      </c>
      <c r="K575" s="8" t="b">
        <f t="shared" si="41"/>
        <v>1</v>
      </c>
      <c r="L575" s="8" t="b">
        <f t="shared" si="42"/>
        <v>1</v>
      </c>
      <c r="M575" s="8" t="b">
        <f t="shared" si="43"/>
        <v>1</v>
      </c>
      <c r="N575" s="1" t="b">
        <f t="shared" si="44"/>
        <v>1</v>
      </c>
      <c r="O575" s="8" t="str">
        <f>IF(F575="","",IF($F$2=入力リスト!$H$25,ROUNDDOWN(INT(F575)+ROUNDDOWN((F575-INT(F575))*100,0)/60,2),F575))</f>
        <v/>
      </c>
      <c r="P575" s="7"/>
      <c r="Q575" s="7"/>
    </row>
    <row r="576" spans="1:17">
      <c r="A576" s="105"/>
      <c r="B576" s="2"/>
      <c r="C576" s="254"/>
      <c r="D576" s="254"/>
      <c r="E576" s="254"/>
      <c r="F576" s="255"/>
      <c r="G576" s="215" t="str">
        <f>IF(AND($B576="",OR(B576&lt;&gt;"",C576&lt;&gt;"",D576&lt;&gt;"",E576&lt;&gt;"",F576&lt;&gt;"")),入力リスト!$K$34,IF($I576=TRUE,入力リスト!$K$35,IF(J576=FALSE,"「毎月の固定給与額」","")&amp;IF(AND(J576=FALSE,OR(K576=FALSE,L576=FALSE,M576=FALSE)),",","")&amp;IF(K576=FALSE,"「賞与額等」","")&amp;IF(AND(K576=FALSE,OR(L576=FALSE,M576=FALSE)),",","")&amp;IF(L576=FALSE,"「残業手当」","")&amp;IF(AND(L576=FALSE,M576=FALSE),",","")&amp;IF(M576=FALSE,"「残業時間」","")&amp;IF(OR(J576=FALSE,K576=FALSE,L576=FALSE,M576=FALSE),入力リスト!$K$36,"")&amp;IF(N576,"",入力リスト!$K$37)))</f>
        <v/>
      </c>
      <c r="H576" s="215"/>
      <c r="I576" s="1" t="b">
        <f>IF(B576="",FALSE,COUNTIF('従業員情報(給与以外)'!$A$4:$A$1000000,$B576)=0)</f>
        <v>0</v>
      </c>
      <c r="J576" s="8" t="b">
        <f t="shared" si="40"/>
        <v>1</v>
      </c>
      <c r="K576" s="8" t="b">
        <f t="shared" si="41"/>
        <v>1</v>
      </c>
      <c r="L576" s="8" t="b">
        <f t="shared" si="42"/>
        <v>1</v>
      </c>
      <c r="M576" s="8" t="b">
        <f t="shared" si="43"/>
        <v>1</v>
      </c>
      <c r="N576" s="1" t="b">
        <f t="shared" si="44"/>
        <v>1</v>
      </c>
      <c r="O576" s="8" t="str">
        <f>IF(F576="","",IF($F$2=入力リスト!$H$25,ROUNDDOWN(INT(F576)+ROUNDDOWN((F576-INT(F576))*100,0)/60,2),F576))</f>
        <v/>
      </c>
      <c r="P576" s="7"/>
      <c r="Q576" s="7"/>
    </row>
    <row r="577" spans="1:17">
      <c r="A577" s="105"/>
      <c r="B577" s="2"/>
      <c r="C577" s="254"/>
      <c r="D577" s="254"/>
      <c r="E577" s="254"/>
      <c r="F577" s="255"/>
      <c r="G577" s="215" t="str">
        <f>IF(AND($B577="",OR(B577&lt;&gt;"",C577&lt;&gt;"",D577&lt;&gt;"",E577&lt;&gt;"",F577&lt;&gt;"")),入力リスト!$K$34,IF($I577=TRUE,入力リスト!$K$35,IF(J577=FALSE,"「毎月の固定給与額」","")&amp;IF(AND(J577=FALSE,OR(K577=FALSE,L577=FALSE,M577=FALSE)),",","")&amp;IF(K577=FALSE,"「賞与額等」","")&amp;IF(AND(K577=FALSE,OR(L577=FALSE,M577=FALSE)),",","")&amp;IF(L577=FALSE,"「残業手当」","")&amp;IF(AND(L577=FALSE,M577=FALSE),",","")&amp;IF(M577=FALSE,"「残業時間」","")&amp;IF(OR(J577=FALSE,K577=FALSE,L577=FALSE,M577=FALSE),入力リスト!$K$36,"")&amp;IF(N577,"",入力リスト!$K$37)))</f>
        <v/>
      </c>
      <c r="H577" s="215"/>
      <c r="I577" s="1" t="b">
        <f>IF(B577="",FALSE,COUNTIF('従業員情報(給与以外)'!$A$4:$A$1000000,$B577)=0)</f>
        <v>0</v>
      </c>
      <c r="J577" s="8" t="b">
        <f t="shared" si="40"/>
        <v>1</v>
      </c>
      <c r="K577" s="8" t="b">
        <f t="shared" si="41"/>
        <v>1</v>
      </c>
      <c r="L577" s="8" t="b">
        <f t="shared" si="42"/>
        <v>1</v>
      </c>
      <c r="M577" s="8" t="b">
        <f t="shared" si="43"/>
        <v>1</v>
      </c>
      <c r="N577" s="1" t="b">
        <f t="shared" si="44"/>
        <v>1</v>
      </c>
      <c r="O577" s="8" t="str">
        <f>IF(F577="","",IF($F$2=入力リスト!$H$25,ROUNDDOWN(INT(F577)+ROUNDDOWN((F577-INT(F577))*100,0)/60,2),F577))</f>
        <v/>
      </c>
      <c r="P577" s="7"/>
      <c r="Q577" s="7"/>
    </row>
    <row r="578" spans="1:17">
      <c r="A578" s="105"/>
      <c r="B578" s="2"/>
      <c r="C578" s="254"/>
      <c r="D578" s="254"/>
      <c r="E578" s="254"/>
      <c r="F578" s="255"/>
      <c r="G578" s="215" t="str">
        <f>IF(AND($B578="",OR(B578&lt;&gt;"",C578&lt;&gt;"",D578&lt;&gt;"",E578&lt;&gt;"",F578&lt;&gt;"")),入力リスト!$K$34,IF($I578=TRUE,入力リスト!$K$35,IF(J578=FALSE,"「毎月の固定給与額」","")&amp;IF(AND(J578=FALSE,OR(K578=FALSE,L578=FALSE,M578=FALSE)),",","")&amp;IF(K578=FALSE,"「賞与額等」","")&amp;IF(AND(K578=FALSE,OR(L578=FALSE,M578=FALSE)),",","")&amp;IF(L578=FALSE,"「残業手当」","")&amp;IF(AND(L578=FALSE,M578=FALSE),",","")&amp;IF(M578=FALSE,"「残業時間」","")&amp;IF(OR(J578=FALSE,K578=FALSE,L578=FALSE,M578=FALSE),入力リスト!$K$36,"")&amp;IF(N578,"",入力リスト!$K$37)))</f>
        <v/>
      </c>
      <c r="H578" s="215"/>
      <c r="I578" s="1" t="b">
        <f>IF(B578="",FALSE,COUNTIF('従業員情報(給与以外)'!$A$4:$A$1000000,$B578)=0)</f>
        <v>0</v>
      </c>
      <c r="J578" s="8" t="b">
        <f t="shared" si="40"/>
        <v>1</v>
      </c>
      <c r="K578" s="8" t="b">
        <f t="shared" si="41"/>
        <v>1</v>
      </c>
      <c r="L578" s="8" t="b">
        <f t="shared" si="42"/>
        <v>1</v>
      </c>
      <c r="M578" s="8" t="b">
        <f t="shared" si="43"/>
        <v>1</v>
      </c>
      <c r="N578" s="1" t="b">
        <f t="shared" si="44"/>
        <v>1</v>
      </c>
      <c r="O578" s="8" t="str">
        <f>IF(F578="","",IF($F$2=入力リスト!$H$25,ROUNDDOWN(INT(F578)+ROUNDDOWN((F578-INT(F578))*100,0)/60,2),F578))</f>
        <v/>
      </c>
      <c r="P578" s="7"/>
      <c r="Q578" s="7"/>
    </row>
    <row r="579" spans="1:17">
      <c r="A579" s="105"/>
      <c r="B579" s="2"/>
      <c r="C579" s="254"/>
      <c r="D579" s="254"/>
      <c r="E579" s="254"/>
      <c r="F579" s="255"/>
      <c r="G579" s="215" t="str">
        <f>IF(AND($B579="",OR(B579&lt;&gt;"",C579&lt;&gt;"",D579&lt;&gt;"",E579&lt;&gt;"",F579&lt;&gt;"")),入力リスト!$K$34,IF($I579=TRUE,入力リスト!$K$35,IF(J579=FALSE,"「毎月の固定給与額」","")&amp;IF(AND(J579=FALSE,OR(K579=FALSE,L579=FALSE,M579=FALSE)),",","")&amp;IF(K579=FALSE,"「賞与額等」","")&amp;IF(AND(K579=FALSE,OR(L579=FALSE,M579=FALSE)),",","")&amp;IF(L579=FALSE,"「残業手当」","")&amp;IF(AND(L579=FALSE,M579=FALSE),",","")&amp;IF(M579=FALSE,"「残業時間」","")&amp;IF(OR(J579=FALSE,K579=FALSE,L579=FALSE,M579=FALSE),入力リスト!$K$36,"")&amp;IF(N579,"",入力リスト!$K$37)))</f>
        <v/>
      </c>
      <c r="H579" s="215"/>
      <c r="I579" s="1" t="b">
        <f>IF(B579="",FALSE,COUNTIF('従業員情報(給与以外)'!$A$4:$A$1000000,$B579)=0)</f>
        <v>0</v>
      </c>
      <c r="J579" s="8" t="b">
        <f t="shared" si="40"/>
        <v>1</v>
      </c>
      <c r="K579" s="8" t="b">
        <f t="shared" si="41"/>
        <v>1</v>
      </c>
      <c r="L579" s="8" t="b">
        <f t="shared" si="42"/>
        <v>1</v>
      </c>
      <c r="M579" s="8" t="b">
        <f t="shared" si="43"/>
        <v>1</v>
      </c>
      <c r="N579" s="1" t="b">
        <f t="shared" si="44"/>
        <v>1</v>
      </c>
      <c r="O579" s="8" t="str">
        <f>IF(F579="","",IF($F$2=入力リスト!$H$25,ROUNDDOWN(INT(F579)+ROUNDDOWN((F579-INT(F579))*100,0)/60,2),F579))</f>
        <v/>
      </c>
      <c r="P579" s="7"/>
      <c r="Q579" s="7"/>
    </row>
    <row r="580" spans="1:17">
      <c r="A580" s="105"/>
      <c r="B580" s="2"/>
      <c r="C580" s="254"/>
      <c r="D580" s="254"/>
      <c r="E580" s="254"/>
      <c r="F580" s="255"/>
      <c r="G580" s="215" t="str">
        <f>IF(AND($B580="",OR(B580&lt;&gt;"",C580&lt;&gt;"",D580&lt;&gt;"",E580&lt;&gt;"",F580&lt;&gt;"")),入力リスト!$K$34,IF($I580=TRUE,入力リスト!$K$35,IF(J580=FALSE,"「毎月の固定給与額」","")&amp;IF(AND(J580=FALSE,OR(K580=FALSE,L580=FALSE,M580=FALSE)),",","")&amp;IF(K580=FALSE,"「賞与額等」","")&amp;IF(AND(K580=FALSE,OR(L580=FALSE,M580=FALSE)),",","")&amp;IF(L580=FALSE,"「残業手当」","")&amp;IF(AND(L580=FALSE,M580=FALSE),",","")&amp;IF(M580=FALSE,"「残業時間」","")&amp;IF(OR(J580=FALSE,K580=FALSE,L580=FALSE,M580=FALSE),入力リスト!$K$36,"")&amp;IF(N580,"",入力リスト!$K$37)))</f>
        <v/>
      </c>
      <c r="H580" s="215"/>
      <c r="I580" s="1" t="b">
        <f>IF(B580="",FALSE,COUNTIF('従業員情報(給与以外)'!$A$4:$A$1000000,$B580)=0)</f>
        <v>0</v>
      </c>
      <c r="J580" s="8" t="b">
        <f t="shared" si="40"/>
        <v>1</v>
      </c>
      <c r="K580" s="8" t="b">
        <f t="shared" si="41"/>
        <v>1</v>
      </c>
      <c r="L580" s="8" t="b">
        <f t="shared" si="42"/>
        <v>1</v>
      </c>
      <c r="M580" s="8" t="b">
        <f t="shared" si="43"/>
        <v>1</v>
      </c>
      <c r="N580" s="1" t="b">
        <f t="shared" si="44"/>
        <v>1</v>
      </c>
      <c r="O580" s="8" t="str">
        <f>IF(F580="","",IF($F$2=入力リスト!$H$25,ROUNDDOWN(INT(F580)+ROUNDDOWN((F580-INT(F580))*100,0)/60,2),F580))</f>
        <v/>
      </c>
      <c r="P580" s="7"/>
      <c r="Q580" s="7"/>
    </row>
    <row r="581" spans="1:17">
      <c r="A581" s="105"/>
      <c r="B581" s="2"/>
      <c r="C581" s="254"/>
      <c r="D581" s="254"/>
      <c r="E581" s="254"/>
      <c r="F581" s="255"/>
      <c r="G581" s="215" t="str">
        <f>IF(AND($B581="",OR(B581&lt;&gt;"",C581&lt;&gt;"",D581&lt;&gt;"",E581&lt;&gt;"",F581&lt;&gt;"")),入力リスト!$K$34,IF($I581=TRUE,入力リスト!$K$35,IF(J581=FALSE,"「毎月の固定給与額」","")&amp;IF(AND(J581=FALSE,OR(K581=FALSE,L581=FALSE,M581=FALSE)),",","")&amp;IF(K581=FALSE,"「賞与額等」","")&amp;IF(AND(K581=FALSE,OR(L581=FALSE,M581=FALSE)),",","")&amp;IF(L581=FALSE,"「残業手当」","")&amp;IF(AND(L581=FALSE,M581=FALSE),",","")&amp;IF(M581=FALSE,"「残業時間」","")&amp;IF(OR(J581=FALSE,K581=FALSE,L581=FALSE,M581=FALSE),入力リスト!$K$36,"")&amp;IF(N581,"",入力リスト!$K$37)))</f>
        <v/>
      </c>
      <c r="H581" s="215"/>
      <c r="I581" s="1" t="b">
        <f>IF(B581="",FALSE,COUNTIF('従業員情報(給与以外)'!$A$4:$A$1000000,$B581)=0)</f>
        <v>0</v>
      </c>
      <c r="J581" s="8" t="b">
        <f t="shared" ref="J581:J644" si="45">OR(C581="",ISNUMBER(C581))</f>
        <v>1</v>
      </c>
      <c r="K581" s="8" t="b">
        <f t="shared" ref="K581:K644" si="46">OR(D581="",ISNUMBER(D581))</f>
        <v>1</v>
      </c>
      <c r="L581" s="8" t="b">
        <f t="shared" ref="L581:L644" si="47">OR(E581="",ISNUMBER(E581))</f>
        <v>1</v>
      </c>
      <c r="M581" s="8" t="b">
        <f t="shared" ref="M581:M644" si="48">OR(F581="",ISNUMBER(F581))</f>
        <v>1</v>
      </c>
      <c r="N581" s="1" t="b">
        <f t="shared" ref="N581:N644" si="49">IF($N$1,TRUE,IF($N$2,IF(F581-INT(F581)&lt;0.6,TRUE,FALSE),TRUE))</f>
        <v>1</v>
      </c>
      <c r="O581" s="8" t="str">
        <f>IF(F581="","",IF($F$2=入力リスト!$H$25,ROUNDDOWN(INT(F581)+ROUNDDOWN((F581-INT(F581))*100,0)/60,2),F581))</f>
        <v/>
      </c>
      <c r="P581" s="7"/>
      <c r="Q581" s="7"/>
    </row>
    <row r="582" spans="1:17">
      <c r="A582" s="105"/>
      <c r="B582" s="2"/>
      <c r="C582" s="254"/>
      <c r="D582" s="254"/>
      <c r="E582" s="254"/>
      <c r="F582" s="255"/>
      <c r="G582" s="215" t="str">
        <f>IF(AND($B582="",OR(B582&lt;&gt;"",C582&lt;&gt;"",D582&lt;&gt;"",E582&lt;&gt;"",F582&lt;&gt;"")),入力リスト!$K$34,IF($I582=TRUE,入力リスト!$K$35,IF(J582=FALSE,"「毎月の固定給与額」","")&amp;IF(AND(J582=FALSE,OR(K582=FALSE,L582=FALSE,M582=FALSE)),",","")&amp;IF(K582=FALSE,"「賞与額等」","")&amp;IF(AND(K582=FALSE,OR(L582=FALSE,M582=FALSE)),",","")&amp;IF(L582=FALSE,"「残業手当」","")&amp;IF(AND(L582=FALSE,M582=FALSE),",","")&amp;IF(M582=FALSE,"「残業時間」","")&amp;IF(OR(J582=FALSE,K582=FALSE,L582=FALSE,M582=FALSE),入力リスト!$K$36,"")&amp;IF(N582,"",入力リスト!$K$37)))</f>
        <v/>
      </c>
      <c r="H582" s="215"/>
      <c r="I582" s="1" t="b">
        <f>IF(B582="",FALSE,COUNTIF('従業員情報(給与以外)'!$A$4:$A$1000000,$B582)=0)</f>
        <v>0</v>
      </c>
      <c r="J582" s="8" t="b">
        <f t="shared" si="45"/>
        <v>1</v>
      </c>
      <c r="K582" s="8" t="b">
        <f t="shared" si="46"/>
        <v>1</v>
      </c>
      <c r="L582" s="8" t="b">
        <f t="shared" si="47"/>
        <v>1</v>
      </c>
      <c r="M582" s="8" t="b">
        <f t="shared" si="48"/>
        <v>1</v>
      </c>
      <c r="N582" s="1" t="b">
        <f t="shared" si="49"/>
        <v>1</v>
      </c>
      <c r="O582" s="8" t="str">
        <f>IF(F582="","",IF($F$2=入力リスト!$H$25,ROUNDDOWN(INT(F582)+ROUNDDOWN((F582-INT(F582))*100,0)/60,2),F582))</f>
        <v/>
      </c>
      <c r="P582" s="7"/>
      <c r="Q582" s="7"/>
    </row>
    <row r="583" spans="1:17">
      <c r="A583" s="105"/>
      <c r="B583" s="2"/>
      <c r="C583" s="254"/>
      <c r="D583" s="254"/>
      <c r="E583" s="254"/>
      <c r="F583" s="255"/>
      <c r="G583" s="215" t="str">
        <f>IF(AND($B583="",OR(B583&lt;&gt;"",C583&lt;&gt;"",D583&lt;&gt;"",E583&lt;&gt;"",F583&lt;&gt;"")),入力リスト!$K$34,IF($I583=TRUE,入力リスト!$K$35,IF(J583=FALSE,"「毎月の固定給与額」","")&amp;IF(AND(J583=FALSE,OR(K583=FALSE,L583=FALSE,M583=FALSE)),",","")&amp;IF(K583=FALSE,"「賞与額等」","")&amp;IF(AND(K583=FALSE,OR(L583=FALSE,M583=FALSE)),",","")&amp;IF(L583=FALSE,"「残業手当」","")&amp;IF(AND(L583=FALSE,M583=FALSE),",","")&amp;IF(M583=FALSE,"「残業時間」","")&amp;IF(OR(J583=FALSE,K583=FALSE,L583=FALSE,M583=FALSE),入力リスト!$K$36,"")&amp;IF(N583,"",入力リスト!$K$37)))</f>
        <v/>
      </c>
      <c r="H583" s="215"/>
      <c r="I583" s="1" t="b">
        <f>IF(B583="",FALSE,COUNTIF('従業員情報(給与以外)'!$A$4:$A$1000000,$B583)=0)</f>
        <v>0</v>
      </c>
      <c r="J583" s="8" t="b">
        <f t="shared" si="45"/>
        <v>1</v>
      </c>
      <c r="K583" s="8" t="b">
        <f t="shared" si="46"/>
        <v>1</v>
      </c>
      <c r="L583" s="8" t="b">
        <f t="shared" si="47"/>
        <v>1</v>
      </c>
      <c r="M583" s="8" t="b">
        <f t="shared" si="48"/>
        <v>1</v>
      </c>
      <c r="N583" s="1" t="b">
        <f t="shared" si="49"/>
        <v>1</v>
      </c>
      <c r="O583" s="8" t="str">
        <f>IF(F583="","",IF($F$2=入力リスト!$H$25,ROUNDDOWN(INT(F583)+ROUNDDOWN((F583-INT(F583))*100,0)/60,2),F583))</f>
        <v/>
      </c>
      <c r="P583" s="7"/>
      <c r="Q583" s="7"/>
    </row>
    <row r="584" spans="1:17">
      <c r="A584" s="105"/>
      <c r="B584" s="2"/>
      <c r="C584" s="254"/>
      <c r="D584" s="254"/>
      <c r="E584" s="254"/>
      <c r="F584" s="255"/>
      <c r="G584" s="215" t="str">
        <f>IF(AND($B584="",OR(B584&lt;&gt;"",C584&lt;&gt;"",D584&lt;&gt;"",E584&lt;&gt;"",F584&lt;&gt;"")),入力リスト!$K$34,IF($I584=TRUE,入力リスト!$K$35,IF(J584=FALSE,"「毎月の固定給与額」","")&amp;IF(AND(J584=FALSE,OR(K584=FALSE,L584=FALSE,M584=FALSE)),",","")&amp;IF(K584=FALSE,"「賞与額等」","")&amp;IF(AND(K584=FALSE,OR(L584=FALSE,M584=FALSE)),",","")&amp;IF(L584=FALSE,"「残業手当」","")&amp;IF(AND(L584=FALSE,M584=FALSE),",","")&amp;IF(M584=FALSE,"「残業時間」","")&amp;IF(OR(J584=FALSE,K584=FALSE,L584=FALSE,M584=FALSE),入力リスト!$K$36,"")&amp;IF(N584,"",入力リスト!$K$37)))</f>
        <v/>
      </c>
      <c r="H584" s="215"/>
      <c r="I584" s="1" t="b">
        <f>IF(B584="",FALSE,COUNTIF('従業員情報(給与以外)'!$A$4:$A$1000000,$B584)=0)</f>
        <v>0</v>
      </c>
      <c r="J584" s="8" t="b">
        <f t="shared" si="45"/>
        <v>1</v>
      </c>
      <c r="K584" s="8" t="b">
        <f t="shared" si="46"/>
        <v>1</v>
      </c>
      <c r="L584" s="8" t="b">
        <f t="shared" si="47"/>
        <v>1</v>
      </c>
      <c r="M584" s="8" t="b">
        <f t="shared" si="48"/>
        <v>1</v>
      </c>
      <c r="N584" s="1" t="b">
        <f t="shared" si="49"/>
        <v>1</v>
      </c>
      <c r="O584" s="8" t="str">
        <f>IF(F584="","",IF($F$2=入力リスト!$H$25,ROUNDDOWN(INT(F584)+ROUNDDOWN((F584-INT(F584))*100,0)/60,2),F584))</f>
        <v/>
      </c>
      <c r="P584" s="7"/>
      <c r="Q584" s="7"/>
    </row>
    <row r="585" spans="1:17">
      <c r="A585" s="105"/>
      <c r="B585" s="2"/>
      <c r="C585" s="254"/>
      <c r="D585" s="254"/>
      <c r="E585" s="254"/>
      <c r="F585" s="255"/>
      <c r="G585" s="215" t="str">
        <f>IF(AND($B585="",OR(B585&lt;&gt;"",C585&lt;&gt;"",D585&lt;&gt;"",E585&lt;&gt;"",F585&lt;&gt;"")),入力リスト!$K$34,IF($I585=TRUE,入力リスト!$K$35,IF(J585=FALSE,"「毎月の固定給与額」","")&amp;IF(AND(J585=FALSE,OR(K585=FALSE,L585=FALSE,M585=FALSE)),",","")&amp;IF(K585=FALSE,"「賞与額等」","")&amp;IF(AND(K585=FALSE,OR(L585=FALSE,M585=FALSE)),",","")&amp;IF(L585=FALSE,"「残業手当」","")&amp;IF(AND(L585=FALSE,M585=FALSE),",","")&amp;IF(M585=FALSE,"「残業時間」","")&amp;IF(OR(J585=FALSE,K585=FALSE,L585=FALSE,M585=FALSE),入力リスト!$K$36,"")&amp;IF(N585,"",入力リスト!$K$37)))</f>
        <v/>
      </c>
      <c r="H585" s="215"/>
      <c r="I585" s="1" t="b">
        <f>IF(B585="",FALSE,COUNTIF('従業員情報(給与以外)'!$A$4:$A$1000000,$B585)=0)</f>
        <v>0</v>
      </c>
      <c r="J585" s="8" t="b">
        <f t="shared" si="45"/>
        <v>1</v>
      </c>
      <c r="K585" s="8" t="b">
        <f t="shared" si="46"/>
        <v>1</v>
      </c>
      <c r="L585" s="8" t="b">
        <f t="shared" si="47"/>
        <v>1</v>
      </c>
      <c r="M585" s="8" t="b">
        <f t="shared" si="48"/>
        <v>1</v>
      </c>
      <c r="N585" s="1" t="b">
        <f t="shared" si="49"/>
        <v>1</v>
      </c>
      <c r="O585" s="8" t="str">
        <f>IF(F585="","",IF($F$2=入力リスト!$H$25,ROUNDDOWN(INT(F585)+ROUNDDOWN((F585-INT(F585))*100,0)/60,2),F585))</f>
        <v/>
      </c>
      <c r="P585" s="7"/>
      <c r="Q585" s="7"/>
    </row>
    <row r="586" spans="1:17">
      <c r="A586" s="105"/>
      <c r="B586" s="2"/>
      <c r="C586" s="254"/>
      <c r="D586" s="254"/>
      <c r="E586" s="254"/>
      <c r="F586" s="255"/>
      <c r="G586" s="215" t="str">
        <f>IF(AND($B586="",OR(B586&lt;&gt;"",C586&lt;&gt;"",D586&lt;&gt;"",E586&lt;&gt;"",F586&lt;&gt;"")),入力リスト!$K$34,IF($I586=TRUE,入力リスト!$K$35,IF(J586=FALSE,"「毎月の固定給与額」","")&amp;IF(AND(J586=FALSE,OR(K586=FALSE,L586=FALSE,M586=FALSE)),",","")&amp;IF(K586=FALSE,"「賞与額等」","")&amp;IF(AND(K586=FALSE,OR(L586=FALSE,M586=FALSE)),",","")&amp;IF(L586=FALSE,"「残業手当」","")&amp;IF(AND(L586=FALSE,M586=FALSE),",","")&amp;IF(M586=FALSE,"「残業時間」","")&amp;IF(OR(J586=FALSE,K586=FALSE,L586=FALSE,M586=FALSE),入力リスト!$K$36,"")&amp;IF(N586,"",入力リスト!$K$37)))</f>
        <v/>
      </c>
      <c r="H586" s="215"/>
      <c r="I586" s="1" t="b">
        <f>IF(B586="",FALSE,COUNTIF('従業員情報(給与以外)'!$A$4:$A$1000000,$B586)=0)</f>
        <v>0</v>
      </c>
      <c r="J586" s="8" t="b">
        <f t="shared" si="45"/>
        <v>1</v>
      </c>
      <c r="K586" s="8" t="b">
        <f t="shared" si="46"/>
        <v>1</v>
      </c>
      <c r="L586" s="8" t="b">
        <f t="shared" si="47"/>
        <v>1</v>
      </c>
      <c r="M586" s="8" t="b">
        <f t="shared" si="48"/>
        <v>1</v>
      </c>
      <c r="N586" s="1" t="b">
        <f t="shared" si="49"/>
        <v>1</v>
      </c>
      <c r="O586" s="8" t="str">
        <f>IF(F586="","",IF($F$2=入力リスト!$H$25,ROUNDDOWN(INT(F586)+ROUNDDOWN((F586-INT(F586))*100,0)/60,2),F586))</f>
        <v/>
      </c>
      <c r="P586" s="7"/>
      <c r="Q586" s="7"/>
    </row>
    <row r="587" spans="1:17">
      <c r="A587" s="105"/>
      <c r="B587" s="2"/>
      <c r="C587" s="254"/>
      <c r="D587" s="254"/>
      <c r="E587" s="254"/>
      <c r="F587" s="255"/>
      <c r="G587" s="215" t="str">
        <f>IF(AND($B587="",OR(B587&lt;&gt;"",C587&lt;&gt;"",D587&lt;&gt;"",E587&lt;&gt;"",F587&lt;&gt;"")),入力リスト!$K$34,IF($I587=TRUE,入力リスト!$K$35,IF(J587=FALSE,"「毎月の固定給与額」","")&amp;IF(AND(J587=FALSE,OR(K587=FALSE,L587=FALSE,M587=FALSE)),",","")&amp;IF(K587=FALSE,"「賞与額等」","")&amp;IF(AND(K587=FALSE,OR(L587=FALSE,M587=FALSE)),",","")&amp;IF(L587=FALSE,"「残業手当」","")&amp;IF(AND(L587=FALSE,M587=FALSE),",","")&amp;IF(M587=FALSE,"「残業時間」","")&amp;IF(OR(J587=FALSE,K587=FALSE,L587=FALSE,M587=FALSE),入力リスト!$K$36,"")&amp;IF(N587,"",入力リスト!$K$37)))</f>
        <v/>
      </c>
      <c r="H587" s="215"/>
      <c r="I587" s="1" t="b">
        <f>IF(B587="",FALSE,COUNTIF('従業員情報(給与以外)'!$A$4:$A$1000000,$B587)=0)</f>
        <v>0</v>
      </c>
      <c r="J587" s="8" t="b">
        <f t="shared" si="45"/>
        <v>1</v>
      </c>
      <c r="K587" s="8" t="b">
        <f t="shared" si="46"/>
        <v>1</v>
      </c>
      <c r="L587" s="8" t="b">
        <f t="shared" si="47"/>
        <v>1</v>
      </c>
      <c r="M587" s="8" t="b">
        <f t="shared" si="48"/>
        <v>1</v>
      </c>
      <c r="N587" s="1" t="b">
        <f t="shared" si="49"/>
        <v>1</v>
      </c>
      <c r="O587" s="8" t="str">
        <f>IF(F587="","",IF($F$2=入力リスト!$H$25,ROUNDDOWN(INT(F587)+ROUNDDOWN((F587-INT(F587))*100,0)/60,2),F587))</f>
        <v/>
      </c>
      <c r="P587" s="7"/>
      <c r="Q587" s="7"/>
    </row>
    <row r="588" spans="1:17">
      <c r="A588" s="105"/>
      <c r="B588" s="2"/>
      <c r="C588" s="254"/>
      <c r="D588" s="254"/>
      <c r="E588" s="254"/>
      <c r="F588" s="255"/>
      <c r="G588" s="215" t="str">
        <f>IF(AND($B588="",OR(B588&lt;&gt;"",C588&lt;&gt;"",D588&lt;&gt;"",E588&lt;&gt;"",F588&lt;&gt;"")),入力リスト!$K$34,IF($I588=TRUE,入力リスト!$K$35,IF(J588=FALSE,"「毎月の固定給与額」","")&amp;IF(AND(J588=FALSE,OR(K588=FALSE,L588=FALSE,M588=FALSE)),",","")&amp;IF(K588=FALSE,"「賞与額等」","")&amp;IF(AND(K588=FALSE,OR(L588=FALSE,M588=FALSE)),",","")&amp;IF(L588=FALSE,"「残業手当」","")&amp;IF(AND(L588=FALSE,M588=FALSE),",","")&amp;IF(M588=FALSE,"「残業時間」","")&amp;IF(OR(J588=FALSE,K588=FALSE,L588=FALSE,M588=FALSE),入力リスト!$K$36,"")&amp;IF(N588,"",入力リスト!$K$37)))</f>
        <v/>
      </c>
      <c r="H588" s="215"/>
      <c r="I588" s="1" t="b">
        <f>IF(B588="",FALSE,COUNTIF('従業員情報(給与以外)'!$A$4:$A$1000000,$B588)=0)</f>
        <v>0</v>
      </c>
      <c r="J588" s="8" t="b">
        <f t="shared" si="45"/>
        <v>1</v>
      </c>
      <c r="K588" s="8" t="b">
        <f t="shared" si="46"/>
        <v>1</v>
      </c>
      <c r="L588" s="8" t="b">
        <f t="shared" si="47"/>
        <v>1</v>
      </c>
      <c r="M588" s="8" t="b">
        <f t="shared" si="48"/>
        <v>1</v>
      </c>
      <c r="N588" s="1" t="b">
        <f t="shared" si="49"/>
        <v>1</v>
      </c>
      <c r="O588" s="8" t="str">
        <f>IF(F588="","",IF($F$2=入力リスト!$H$25,ROUNDDOWN(INT(F588)+ROUNDDOWN((F588-INT(F588))*100,0)/60,2),F588))</f>
        <v/>
      </c>
      <c r="P588" s="7"/>
      <c r="Q588" s="7"/>
    </row>
    <row r="589" spans="1:17">
      <c r="A589" s="105"/>
      <c r="B589" s="2"/>
      <c r="C589" s="254"/>
      <c r="D589" s="254"/>
      <c r="E589" s="254"/>
      <c r="F589" s="255"/>
      <c r="G589" s="215" t="str">
        <f>IF(AND($B589="",OR(B589&lt;&gt;"",C589&lt;&gt;"",D589&lt;&gt;"",E589&lt;&gt;"",F589&lt;&gt;"")),入力リスト!$K$34,IF($I589=TRUE,入力リスト!$K$35,IF(J589=FALSE,"「毎月の固定給与額」","")&amp;IF(AND(J589=FALSE,OR(K589=FALSE,L589=FALSE,M589=FALSE)),",","")&amp;IF(K589=FALSE,"「賞与額等」","")&amp;IF(AND(K589=FALSE,OR(L589=FALSE,M589=FALSE)),",","")&amp;IF(L589=FALSE,"「残業手当」","")&amp;IF(AND(L589=FALSE,M589=FALSE),",","")&amp;IF(M589=FALSE,"「残業時間」","")&amp;IF(OR(J589=FALSE,K589=FALSE,L589=FALSE,M589=FALSE),入力リスト!$K$36,"")&amp;IF(N589,"",入力リスト!$K$37)))</f>
        <v/>
      </c>
      <c r="H589" s="215"/>
      <c r="I589" s="1" t="b">
        <f>IF(B589="",FALSE,COUNTIF('従業員情報(給与以外)'!$A$4:$A$1000000,$B589)=0)</f>
        <v>0</v>
      </c>
      <c r="J589" s="8" t="b">
        <f t="shared" si="45"/>
        <v>1</v>
      </c>
      <c r="K589" s="8" t="b">
        <f t="shared" si="46"/>
        <v>1</v>
      </c>
      <c r="L589" s="8" t="b">
        <f t="shared" si="47"/>
        <v>1</v>
      </c>
      <c r="M589" s="8" t="b">
        <f t="shared" si="48"/>
        <v>1</v>
      </c>
      <c r="N589" s="1" t="b">
        <f t="shared" si="49"/>
        <v>1</v>
      </c>
      <c r="O589" s="8" t="str">
        <f>IF(F589="","",IF($F$2=入力リスト!$H$25,ROUNDDOWN(INT(F589)+ROUNDDOWN((F589-INT(F589))*100,0)/60,2),F589))</f>
        <v/>
      </c>
      <c r="P589" s="7"/>
      <c r="Q589" s="7"/>
    </row>
    <row r="590" spans="1:17">
      <c r="A590" s="105"/>
      <c r="B590" s="2"/>
      <c r="C590" s="254"/>
      <c r="D590" s="254"/>
      <c r="E590" s="254"/>
      <c r="F590" s="255"/>
      <c r="G590" s="215" t="str">
        <f>IF(AND($B590="",OR(B590&lt;&gt;"",C590&lt;&gt;"",D590&lt;&gt;"",E590&lt;&gt;"",F590&lt;&gt;"")),入力リスト!$K$34,IF($I590=TRUE,入力リスト!$K$35,IF(J590=FALSE,"「毎月の固定給与額」","")&amp;IF(AND(J590=FALSE,OR(K590=FALSE,L590=FALSE,M590=FALSE)),",","")&amp;IF(K590=FALSE,"「賞与額等」","")&amp;IF(AND(K590=FALSE,OR(L590=FALSE,M590=FALSE)),",","")&amp;IF(L590=FALSE,"「残業手当」","")&amp;IF(AND(L590=FALSE,M590=FALSE),",","")&amp;IF(M590=FALSE,"「残業時間」","")&amp;IF(OR(J590=FALSE,K590=FALSE,L590=FALSE,M590=FALSE),入力リスト!$K$36,"")&amp;IF(N590,"",入力リスト!$K$37)))</f>
        <v/>
      </c>
      <c r="H590" s="215"/>
      <c r="I590" s="1" t="b">
        <f>IF(B590="",FALSE,COUNTIF('従業員情報(給与以外)'!$A$4:$A$1000000,$B590)=0)</f>
        <v>0</v>
      </c>
      <c r="J590" s="8" t="b">
        <f t="shared" si="45"/>
        <v>1</v>
      </c>
      <c r="K590" s="8" t="b">
        <f t="shared" si="46"/>
        <v>1</v>
      </c>
      <c r="L590" s="8" t="b">
        <f t="shared" si="47"/>
        <v>1</v>
      </c>
      <c r="M590" s="8" t="b">
        <f t="shared" si="48"/>
        <v>1</v>
      </c>
      <c r="N590" s="1" t="b">
        <f t="shared" si="49"/>
        <v>1</v>
      </c>
      <c r="O590" s="8" t="str">
        <f>IF(F590="","",IF($F$2=入力リスト!$H$25,ROUNDDOWN(INT(F590)+ROUNDDOWN((F590-INT(F590))*100,0)/60,2),F590))</f>
        <v/>
      </c>
      <c r="P590" s="7"/>
      <c r="Q590" s="7"/>
    </row>
    <row r="591" spans="1:17">
      <c r="A591" s="105"/>
      <c r="B591" s="2"/>
      <c r="C591" s="254"/>
      <c r="D591" s="254"/>
      <c r="E591" s="254"/>
      <c r="F591" s="255"/>
      <c r="G591" s="215" t="str">
        <f>IF(AND($B591="",OR(B591&lt;&gt;"",C591&lt;&gt;"",D591&lt;&gt;"",E591&lt;&gt;"",F591&lt;&gt;"")),入力リスト!$K$34,IF($I591=TRUE,入力リスト!$K$35,IF(J591=FALSE,"「毎月の固定給与額」","")&amp;IF(AND(J591=FALSE,OR(K591=FALSE,L591=FALSE,M591=FALSE)),",","")&amp;IF(K591=FALSE,"「賞与額等」","")&amp;IF(AND(K591=FALSE,OR(L591=FALSE,M591=FALSE)),",","")&amp;IF(L591=FALSE,"「残業手当」","")&amp;IF(AND(L591=FALSE,M591=FALSE),",","")&amp;IF(M591=FALSE,"「残業時間」","")&amp;IF(OR(J591=FALSE,K591=FALSE,L591=FALSE,M591=FALSE),入力リスト!$K$36,"")&amp;IF(N591,"",入力リスト!$K$37)))</f>
        <v/>
      </c>
      <c r="H591" s="215"/>
      <c r="I591" s="1" t="b">
        <f>IF(B591="",FALSE,COUNTIF('従業員情報(給与以外)'!$A$4:$A$1000000,$B591)=0)</f>
        <v>0</v>
      </c>
      <c r="J591" s="8" t="b">
        <f t="shared" si="45"/>
        <v>1</v>
      </c>
      <c r="K591" s="8" t="b">
        <f t="shared" si="46"/>
        <v>1</v>
      </c>
      <c r="L591" s="8" t="b">
        <f t="shared" si="47"/>
        <v>1</v>
      </c>
      <c r="M591" s="8" t="b">
        <f t="shared" si="48"/>
        <v>1</v>
      </c>
      <c r="N591" s="1" t="b">
        <f t="shared" si="49"/>
        <v>1</v>
      </c>
      <c r="O591" s="8" t="str">
        <f>IF(F591="","",IF($F$2=入力リスト!$H$25,ROUNDDOWN(INT(F591)+ROUNDDOWN((F591-INT(F591))*100,0)/60,2),F591))</f>
        <v/>
      </c>
      <c r="P591" s="7"/>
      <c r="Q591" s="7"/>
    </row>
    <row r="592" spans="1:17">
      <c r="A592" s="105"/>
      <c r="B592" s="2"/>
      <c r="C592" s="254"/>
      <c r="D592" s="254"/>
      <c r="E592" s="254"/>
      <c r="F592" s="255"/>
      <c r="G592" s="215" t="str">
        <f>IF(AND($B592="",OR(B592&lt;&gt;"",C592&lt;&gt;"",D592&lt;&gt;"",E592&lt;&gt;"",F592&lt;&gt;"")),入力リスト!$K$34,IF($I592=TRUE,入力リスト!$K$35,IF(J592=FALSE,"「毎月の固定給与額」","")&amp;IF(AND(J592=FALSE,OR(K592=FALSE,L592=FALSE,M592=FALSE)),",","")&amp;IF(K592=FALSE,"「賞与額等」","")&amp;IF(AND(K592=FALSE,OR(L592=FALSE,M592=FALSE)),",","")&amp;IF(L592=FALSE,"「残業手当」","")&amp;IF(AND(L592=FALSE,M592=FALSE),",","")&amp;IF(M592=FALSE,"「残業時間」","")&amp;IF(OR(J592=FALSE,K592=FALSE,L592=FALSE,M592=FALSE),入力リスト!$K$36,"")&amp;IF(N592,"",入力リスト!$K$37)))</f>
        <v/>
      </c>
      <c r="H592" s="215"/>
      <c r="I592" s="1" t="b">
        <f>IF(B592="",FALSE,COUNTIF('従業員情報(給与以外)'!$A$4:$A$1000000,$B592)=0)</f>
        <v>0</v>
      </c>
      <c r="J592" s="8" t="b">
        <f t="shared" si="45"/>
        <v>1</v>
      </c>
      <c r="K592" s="8" t="b">
        <f t="shared" si="46"/>
        <v>1</v>
      </c>
      <c r="L592" s="8" t="b">
        <f t="shared" si="47"/>
        <v>1</v>
      </c>
      <c r="M592" s="8" t="b">
        <f t="shared" si="48"/>
        <v>1</v>
      </c>
      <c r="N592" s="1" t="b">
        <f t="shared" si="49"/>
        <v>1</v>
      </c>
      <c r="O592" s="8" t="str">
        <f>IF(F592="","",IF($F$2=入力リスト!$H$25,ROUNDDOWN(INT(F592)+ROUNDDOWN((F592-INT(F592))*100,0)/60,2),F592))</f>
        <v/>
      </c>
      <c r="P592" s="7"/>
      <c r="Q592" s="7"/>
    </row>
    <row r="593" spans="1:17">
      <c r="A593" s="105"/>
      <c r="B593" s="2"/>
      <c r="C593" s="254"/>
      <c r="D593" s="254"/>
      <c r="E593" s="254"/>
      <c r="F593" s="255"/>
      <c r="G593" s="215" t="str">
        <f>IF(AND($B593="",OR(B593&lt;&gt;"",C593&lt;&gt;"",D593&lt;&gt;"",E593&lt;&gt;"",F593&lt;&gt;"")),入力リスト!$K$34,IF($I593=TRUE,入力リスト!$K$35,IF(J593=FALSE,"「毎月の固定給与額」","")&amp;IF(AND(J593=FALSE,OR(K593=FALSE,L593=FALSE,M593=FALSE)),",","")&amp;IF(K593=FALSE,"「賞与額等」","")&amp;IF(AND(K593=FALSE,OR(L593=FALSE,M593=FALSE)),",","")&amp;IF(L593=FALSE,"「残業手当」","")&amp;IF(AND(L593=FALSE,M593=FALSE),",","")&amp;IF(M593=FALSE,"「残業時間」","")&amp;IF(OR(J593=FALSE,K593=FALSE,L593=FALSE,M593=FALSE),入力リスト!$K$36,"")&amp;IF(N593,"",入力リスト!$K$37)))</f>
        <v/>
      </c>
      <c r="H593" s="215"/>
      <c r="I593" s="1" t="b">
        <f>IF(B593="",FALSE,COUNTIF('従業員情報(給与以外)'!$A$4:$A$1000000,$B593)=0)</f>
        <v>0</v>
      </c>
      <c r="J593" s="8" t="b">
        <f t="shared" si="45"/>
        <v>1</v>
      </c>
      <c r="K593" s="8" t="b">
        <f t="shared" si="46"/>
        <v>1</v>
      </c>
      <c r="L593" s="8" t="b">
        <f t="shared" si="47"/>
        <v>1</v>
      </c>
      <c r="M593" s="8" t="b">
        <f t="shared" si="48"/>
        <v>1</v>
      </c>
      <c r="N593" s="1" t="b">
        <f t="shared" si="49"/>
        <v>1</v>
      </c>
      <c r="O593" s="8" t="str">
        <f>IF(F593="","",IF($F$2=入力リスト!$H$25,ROUNDDOWN(INT(F593)+ROUNDDOWN((F593-INT(F593))*100,0)/60,2),F593))</f>
        <v/>
      </c>
      <c r="P593" s="7"/>
      <c r="Q593" s="7"/>
    </row>
    <row r="594" spans="1:17">
      <c r="A594" s="105"/>
      <c r="B594" s="2"/>
      <c r="C594" s="254"/>
      <c r="D594" s="254"/>
      <c r="E594" s="254"/>
      <c r="F594" s="255"/>
      <c r="G594" s="215" t="str">
        <f>IF(AND($B594="",OR(B594&lt;&gt;"",C594&lt;&gt;"",D594&lt;&gt;"",E594&lt;&gt;"",F594&lt;&gt;"")),入力リスト!$K$34,IF($I594=TRUE,入力リスト!$K$35,IF(J594=FALSE,"「毎月の固定給与額」","")&amp;IF(AND(J594=FALSE,OR(K594=FALSE,L594=FALSE,M594=FALSE)),",","")&amp;IF(K594=FALSE,"「賞与額等」","")&amp;IF(AND(K594=FALSE,OR(L594=FALSE,M594=FALSE)),",","")&amp;IF(L594=FALSE,"「残業手当」","")&amp;IF(AND(L594=FALSE,M594=FALSE),",","")&amp;IF(M594=FALSE,"「残業時間」","")&amp;IF(OR(J594=FALSE,K594=FALSE,L594=FALSE,M594=FALSE),入力リスト!$K$36,"")&amp;IF(N594,"",入力リスト!$K$37)))</f>
        <v/>
      </c>
      <c r="H594" s="215"/>
      <c r="I594" s="1" t="b">
        <f>IF(B594="",FALSE,COUNTIF('従業員情報(給与以外)'!$A$4:$A$1000000,$B594)=0)</f>
        <v>0</v>
      </c>
      <c r="J594" s="8" t="b">
        <f t="shared" si="45"/>
        <v>1</v>
      </c>
      <c r="K594" s="8" t="b">
        <f t="shared" si="46"/>
        <v>1</v>
      </c>
      <c r="L594" s="8" t="b">
        <f t="shared" si="47"/>
        <v>1</v>
      </c>
      <c r="M594" s="8" t="b">
        <f t="shared" si="48"/>
        <v>1</v>
      </c>
      <c r="N594" s="1" t="b">
        <f t="shared" si="49"/>
        <v>1</v>
      </c>
      <c r="O594" s="8" t="str">
        <f>IF(F594="","",IF($F$2=入力リスト!$H$25,ROUNDDOWN(INT(F594)+ROUNDDOWN((F594-INT(F594))*100,0)/60,2),F594))</f>
        <v/>
      </c>
      <c r="P594" s="7"/>
      <c r="Q594" s="7"/>
    </row>
    <row r="595" spans="1:17">
      <c r="A595" s="105"/>
      <c r="B595" s="2"/>
      <c r="C595" s="254"/>
      <c r="D595" s="254"/>
      <c r="E595" s="254"/>
      <c r="F595" s="255"/>
      <c r="G595" s="215" t="str">
        <f>IF(AND($B595="",OR(B595&lt;&gt;"",C595&lt;&gt;"",D595&lt;&gt;"",E595&lt;&gt;"",F595&lt;&gt;"")),入力リスト!$K$34,IF($I595=TRUE,入力リスト!$K$35,IF(J595=FALSE,"「毎月の固定給与額」","")&amp;IF(AND(J595=FALSE,OR(K595=FALSE,L595=FALSE,M595=FALSE)),",","")&amp;IF(K595=FALSE,"「賞与額等」","")&amp;IF(AND(K595=FALSE,OR(L595=FALSE,M595=FALSE)),",","")&amp;IF(L595=FALSE,"「残業手当」","")&amp;IF(AND(L595=FALSE,M595=FALSE),",","")&amp;IF(M595=FALSE,"「残業時間」","")&amp;IF(OR(J595=FALSE,K595=FALSE,L595=FALSE,M595=FALSE),入力リスト!$K$36,"")&amp;IF(N595,"",入力リスト!$K$37)))</f>
        <v/>
      </c>
      <c r="H595" s="215"/>
      <c r="I595" s="1" t="b">
        <f>IF(B595="",FALSE,COUNTIF('従業員情報(給与以外)'!$A$4:$A$1000000,$B595)=0)</f>
        <v>0</v>
      </c>
      <c r="J595" s="8" t="b">
        <f t="shared" si="45"/>
        <v>1</v>
      </c>
      <c r="K595" s="8" t="b">
        <f t="shared" si="46"/>
        <v>1</v>
      </c>
      <c r="L595" s="8" t="b">
        <f t="shared" si="47"/>
        <v>1</v>
      </c>
      <c r="M595" s="8" t="b">
        <f t="shared" si="48"/>
        <v>1</v>
      </c>
      <c r="N595" s="1" t="b">
        <f t="shared" si="49"/>
        <v>1</v>
      </c>
      <c r="O595" s="8" t="str">
        <f>IF(F595="","",IF($F$2=入力リスト!$H$25,ROUNDDOWN(INT(F595)+ROUNDDOWN((F595-INT(F595))*100,0)/60,2),F595))</f>
        <v/>
      </c>
      <c r="P595" s="7"/>
      <c r="Q595" s="7"/>
    </row>
    <row r="596" spans="1:17">
      <c r="A596" s="105"/>
      <c r="B596" s="2"/>
      <c r="C596" s="254"/>
      <c r="D596" s="254"/>
      <c r="E596" s="254"/>
      <c r="F596" s="255"/>
      <c r="G596" s="215" t="str">
        <f>IF(AND($B596="",OR(B596&lt;&gt;"",C596&lt;&gt;"",D596&lt;&gt;"",E596&lt;&gt;"",F596&lt;&gt;"")),入力リスト!$K$34,IF($I596=TRUE,入力リスト!$K$35,IF(J596=FALSE,"「毎月の固定給与額」","")&amp;IF(AND(J596=FALSE,OR(K596=FALSE,L596=FALSE,M596=FALSE)),",","")&amp;IF(K596=FALSE,"「賞与額等」","")&amp;IF(AND(K596=FALSE,OR(L596=FALSE,M596=FALSE)),",","")&amp;IF(L596=FALSE,"「残業手当」","")&amp;IF(AND(L596=FALSE,M596=FALSE),",","")&amp;IF(M596=FALSE,"「残業時間」","")&amp;IF(OR(J596=FALSE,K596=FALSE,L596=FALSE,M596=FALSE),入力リスト!$K$36,"")&amp;IF(N596,"",入力リスト!$K$37)))</f>
        <v/>
      </c>
      <c r="H596" s="215"/>
      <c r="I596" s="1" t="b">
        <f>IF(B596="",FALSE,COUNTIF('従業員情報(給与以外)'!$A$4:$A$1000000,$B596)=0)</f>
        <v>0</v>
      </c>
      <c r="J596" s="8" t="b">
        <f t="shared" si="45"/>
        <v>1</v>
      </c>
      <c r="K596" s="8" t="b">
        <f t="shared" si="46"/>
        <v>1</v>
      </c>
      <c r="L596" s="8" t="b">
        <f t="shared" si="47"/>
        <v>1</v>
      </c>
      <c r="M596" s="8" t="b">
        <f t="shared" si="48"/>
        <v>1</v>
      </c>
      <c r="N596" s="1" t="b">
        <f t="shared" si="49"/>
        <v>1</v>
      </c>
      <c r="O596" s="8" t="str">
        <f>IF(F596="","",IF($F$2=入力リスト!$H$25,ROUNDDOWN(INT(F596)+ROUNDDOWN((F596-INT(F596))*100,0)/60,2),F596))</f>
        <v/>
      </c>
      <c r="P596" s="7"/>
      <c r="Q596" s="7"/>
    </row>
    <row r="597" spans="1:17">
      <c r="A597" s="105"/>
      <c r="B597" s="2"/>
      <c r="C597" s="254"/>
      <c r="D597" s="254"/>
      <c r="E597" s="254"/>
      <c r="F597" s="255"/>
      <c r="G597" s="215" t="str">
        <f>IF(AND($B597="",OR(B597&lt;&gt;"",C597&lt;&gt;"",D597&lt;&gt;"",E597&lt;&gt;"",F597&lt;&gt;"")),入力リスト!$K$34,IF($I597=TRUE,入力リスト!$K$35,IF(J597=FALSE,"「毎月の固定給与額」","")&amp;IF(AND(J597=FALSE,OR(K597=FALSE,L597=FALSE,M597=FALSE)),",","")&amp;IF(K597=FALSE,"「賞与額等」","")&amp;IF(AND(K597=FALSE,OR(L597=FALSE,M597=FALSE)),",","")&amp;IF(L597=FALSE,"「残業手当」","")&amp;IF(AND(L597=FALSE,M597=FALSE),",","")&amp;IF(M597=FALSE,"「残業時間」","")&amp;IF(OR(J597=FALSE,K597=FALSE,L597=FALSE,M597=FALSE),入力リスト!$K$36,"")&amp;IF(N597,"",入力リスト!$K$37)))</f>
        <v/>
      </c>
      <c r="H597" s="215"/>
      <c r="I597" s="1" t="b">
        <f>IF(B597="",FALSE,COUNTIF('従業員情報(給与以外)'!$A$4:$A$1000000,$B597)=0)</f>
        <v>0</v>
      </c>
      <c r="J597" s="8" t="b">
        <f t="shared" si="45"/>
        <v>1</v>
      </c>
      <c r="K597" s="8" t="b">
        <f t="shared" si="46"/>
        <v>1</v>
      </c>
      <c r="L597" s="8" t="b">
        <f t="shared" si="47"/>
        <v>1</v>
      </c>
      <c r="M597" s="8" t="b">
        <f t="shared" si="48"/>
        <v>1</v>
      </c>
      <c r="N597" s="1" t="b">
        <f t="shared" si="49"/>
        <v>1</v>
      </c>
      <c r="O597" s="8" t="str">
        <f>IF(F597="","",IF($F$2=入力リスト!$H$25,ROUNDDOWN(INT(F597)+ROUNDDOWN((F597-INT(F597))*100,0)/60,2),F597))</f>
        <v/>
      </c>
      <c r="P597" s="7"/>
      <c r="Q597" s="7"/>
    </row>
    <row r="598" spans="1:17">
      <c r="A598" s="105"/>
      <c r="B598" s="2"/>
      <c r="C598" s="254"/>
      <c r="D598" s="254"/>
      <c r="E598" s="254"/>
      <c r="F598" s="255"/>
      <c r="G598" s="215" t="str">
        <f>IF(AND($B598="",OR(B598&lt;&gt;"",C598&lt;&gt;"",D598&lt;&gt;"",E598&lt;&gt;"",F598&lt;&gt;"")),入力リスト!$K$34,IF($I598=TRUE,入力リスト!$K$35,IF(J598=FALSE,"「毎月の固定給与額」","")&amp;IF(AND(J598=FALSE,OR(K598=FALSE,L598=FALSE,M598=FALSE)),",","")&amp;IF(K598=FALSE,"「賞与額等」","")&amp;IF(AND(K598=FALSE,OR(L598=FALSE,M598=FALSE)),",","")&amp;IF(L598=FALSE,"「残業手当」","")&amp;IF(AND(L598=FALSE,M598=FALSE),",","")&amp;IF(M598=FALSE,"「残業時間」","")&amp;IF(OR(J598=FALSE,K598=FALSE,L598=FALSE,M598=FALSE),入力リスト!$K$36,"")&amp;IF(N598,"",入力リスト!$K$37)))</f>
        <v/>
      </c>
      <c r="H598" s="215"/>
      <c r="I598" s="1" t="b">
        <f>IF(B598="",FALSE,COUNTIF('従業員情報(給与以外)'!$A$4:$A$1000000,$B598)=0)</f>
        <v>0</v>
      </c>
      <c r="J598" s="8" t="b">
        <f t="shared" si="45"/>
        <v>1</v>
      </c>
      <c r="K598" s="8" t="b">
        <f t="shared" si="46"/>
        <v>1</v>
      </c>
      <c r="L598" s="8" t="b">
        <f t="shared" si="47"/>
        <v>1</v>
      </c>
      <c r="M598" s="8" t="b">
        <f t="shared" si="48"/>
        <v>1</v>
      </c>
      <c r="N598" s="1" t="b">
        <f t="shared" si="49"/>
        <v>1</v>
      </c>
      <c r="O598" s="8" t="str">
        <f>IF(F598="","",IF($F$2=入力リスト!$H$25,ROUNDDOWN(INT(F598)+ROUNDDOWN((F598-INT(F598))*100,0)/60,2),F598))</f>
        <v/>
      </c>
      <c r="P598" s="7"/>
      <c r="Q598" s="7"/>
    </row>
    <row r="599" spans="1:17">
      <c r="A599" s="105"/>
      <c r="B599" s="2"/>
      <c r="C599" s="254"/>
      <c r="D599" s="254"/>
      <c r="E599" s="254"/>
      <c r="F599" s="255"/>
      <c r="G599" s="215" t="str">
        <f>IF(AND($B599="",OR(B599&lt;&gt;"",C599&lt;&gt;"",D599&lt;&gt;"",E599&lt;&gt;"",F599&lt;&gt;"")),入力リスト!$K$34,IF($I599=TRUE,入力リスト!$K$35,IF(J599=FALSE,"「毎月の固定給与額」","")&amp;IF(AND(J599=FALSE,OR(K599=FALSE,L599=FALSE,M599=FALSE)),",","")&amp;IF(K599=FALSE,"「賞与額等」","")&amp;IF(AND(K599=FALSE,OR(L599=FALSE,M599=FALSE)),",","")&amp;IF(L599=FALSE,"「残業手当」","")&amp;IF(AND(L599=FALSE,M599=FALSE),",","")&amp;IF(M599=FALSE,"「残業時間」","")&amp;IF(OR(J599=FALSE,K599=FALSE,L599=FALSE,M599=FALSE),入力リスト!$K$36,"")&amp;IF(N599,"",入力リスト!$K$37)))</f>
        <v/>
      </c>
      <c r="H599" s="215"/>
      <c r="I599" s="1" t="b">
        <f>IF(B599="",FALSE,COUNTIF('従業員情報(給与以外)'!$A$4:$A$1000000,$B599)=0)</f>
        <v>0</v>
      </c>
      <c r="J599" s="8" t="b">
        <f t="shared" si="45"/>
        <v>1</v>
      </c>
      <c r="K599" s="8" t="b">
        <f t="shared" si="46"/>
        <v>1</v>
      </c>
      <c r="L599" s="8" t="b">
        <f t="shared" si="47"/>
        <v>1</v>
      </c>
      <c r="M599" s="8" t="b">
        <f t="shared" si="48"/>
        <v>1</v>
      </c>
      <c r="N599" s="1" t="b">
        <f t="shared" si="49"/>
        <v>1</v>
      </c>
      <c r="O599" s="8" t="str">
        <f>IF(F599="","",IF($F$2=入力リスト!$H$25,ROUNDDOWN(INT(F599)+ROUNDDOWN((F599-INT(F599))*100,0)/60,2),F599))</f>
        <v/>
      </c>
      <c r="P599" s="7"/>
      <c r="Q599" s="7"/>
    </row>
    <row r="600" spans="1:17">
      <c r="A600" s="105"/>
      <c r="B600" s="2"/>
      <c r="C600" s="254"/>
      <c r="D600" s="254"/>
      <c r="E600" s="254"/>
      <c r="F600" s="255"/>
      <c r="G600" s="215" t="str">
        <f>IF(AND($B600="",OR(B600&lt;&gt;"",C600&lt;&gt;"",D600&lt;&gt;"",E600&lt;&gt;"",F600&lt;&gt;"")),入力リスト!$K$34,IF($I600=TRUE,入力リスト!$K$35,IF(J600=FALSE,"「毎月の固定給与額」","")&amp;IF(AND(J600=FALSE,OR(K600=FALSE,L600=FALSE,M600=FALSE)),",","")&amp;IF(K600=FALSE,"「賞与額等」","")&amp;IF(AND(K600=FALSE,OR(L600=FALSE,M600=FALSE)),",","")&amp;IF(L600=FALSE,"「残業手当」","")&amp;IF(AND(L600=FALSE,M600=FALSE),",","")&amp;IF(M600=FALSE,"「残業時間」","")&amp;IF(OR(J600=FALSE,K600=FALSE,L600=FALSE,M600=FALSE),入力リスト!$K$36,"")&amp;IF(N600,"",入力リスト!$K$37)))</f>
        <v/>
      </c>
      <c r="H600" s="215"/>
      <c r="I600" s="1" t="b">
        <f>IF(B600="",FALSE,COUNTIF('従業員情報(給与以外)'!$A$4:$A$1000000,$B600)=0)</f>
        <v>0</v>
      </c>
      <c r="J600" s="8" t="b">
        <f t="shared" si="45"/>
        <v>1</v>
      </c>
      <c r="K600" s="8" t="b">
        <f t="shared" si="46"/>
        <v>1</v>
      </c>
      <c r="L600" s="8" t="b">
        <f t="shared" si="47"/>
        <v>1</v>
      </c>
      <c r="M600" s="8" t="b">
        <f t="shared" si="48"/>
        <v>1</v>
      </c>
      <c r="N600" s="1" t="b">
        <f t="shared" si="49"/>
        <v>1</v>
      </c>
      <c r="O600" s="8" t="str">
        <f>IF(F600="","",IF($F$2=入力リスト!$H$25,ROUNDDOWN(INT(F600)+ROUNDDOWN((F600-INT(F600))*100,0)/60,2),F600))</f>
        <v/>
      </c>
      <c r="P600" s="7"/>
      <c r="Q600" s="7"/>
    </row>
    <row r="601" spans="1:17">
      <c r="A601" s="105"/>
      <c r="B601" s="2"/>
      <c r="C601" s="254"/>
      <c r="D601" s="254"/>
      <c r="E601" s="254"/>
      <c r="F601" s="255"/>
      <c r="G601" s="215" t="str">
        <f>IF(AND($B601="",OR(B601&lt;&gt;"",C601&lt;&gt;"",D601&lt;&gt;"",E601&lt;&gt;"",F601&lt;&gt;"")),入力リスト!$K$34,IF($I601=TRUE,入力リスト!$K$35,IF(J601=FALSE,"「毎月の固定給与額」","")&amp;IF(AND(J601=FALSE,OR(K601=FALSE,L601=FALSE,M601=FALSE)),",","")&amp;IF(K601=FALSE,"「賞与額等」","")&amp;IF(AND(K601=FALSE,OR(L601=FALSE,M601=FALSE)),",","")&amp;IF(L601=FALSE,"「残業手当」","")&amp;IF(AND(L601=FALSE,M601=FALSE),",","")&amp;IF(M601=FALSE,"「残業時間」","")&amp;IF(OR(J601=FALSE,K601=FALSE,L601=FALSE,M601=FALSE),入力リスト!$K$36,"")&amp;IF(N601,"",入力リスト!$K$37)))</f>
        <v/>
      </c>
      <c r="H601" s="215"/>
      <c r="I601" s="1" t="b">
        <f>IF(B601="",FALSE,COUNTIF('従業員情報(給与以外)'!$A$4:$A$1000000,$B601)=0)</f>
        <v>0</v>
      </c>
      <c r="J601" s="8" t="b">
        <f t="shared" si="45"/>
        <v>1</v>
      </c>
      <c r="K601" s="8" t="b">
        <f t="shared" si="46"/>
        <v>1</v>
      </c>
      <c r="L601" s="8" t="b">
        <f t="shared" si="47"/>
        <v>1</v>
      </c>
      <c r="M601" s="8" t="b">
        <f t="shared" si="48"/>
        <v>1</v>
      </c>
      <c r="N601" s="1" t="b">
        <f t="shared" si="49"/>
        <v>1</v>
      </c>
      <c r="O601" s="8" t="str">
        <f>IF(F601="","",IF($F$2=入力リスト!$H$25,ROUNDDOWN(INT(F601)+ROUNDDOWN((F601-INT(F601))*100,0)/60,2),F601))</f>
        <v/>
      </c>
      <c r="P601" s="7"/>
      <c r="Q601" s="7"/>
    </row>
    <row r="602" spans="1:17">
      <c r="A602" s="105"/>
      <c r="B602" s="2"/>
      <c r="C602" s="254"/>
      <c r="D602" s="254"/>
      <c r="E602" s="254"/>
      <c r="F602" s="255"/>
      <c r="G602" s="215" t="str">
        <f>IF(AND($B602="",OR(B602&lt;&gt;"",C602&lt;&gt;"",D602&lt;&gt;"",E602&lt;&gt;"",F602&lt;&gt;"")),入力リスト!$K$34,IF($I602=TRUE,入力リスト!$K$35,IF(J602=FALSE,"「毎月の固定給与額」","")&amp;IF(AND(J602=FALSE,OR(K602=FALSE,L602=FALSE,M602=FALSE)),",","")&amp;IF(K602=FALSE,"「賞与額等」","")&amp;IF(AND(K602=FALSE,OR(L602=FALSE,M602=FALSE)),",","")&amp;IF(L602=FALSE,"「残業手当」","")&amp;IF(AND(L602=FALSE,M602=FALSE),",","")&amp;IF(M602=FALSE,"「残業時間」","")&amp;IF(OR(J602=FALSE,K602=FALSE,L602=FALSE,M602=FALSE),入力リスト!$K$36,"")&amp;IF(N602,"",入力リスト!$K$37)))</f>
        <v/>
      </c>
      <c r="H602" s="215"/>
      <c r="I602" s="1" t="b">
        <f>IF(B602="",FALSE,COUNTIF('従業員情報(給与以外)'!$A$4:$A$1000000,$B602)=0)</f>
        <v>0</v>
      </c>
      <c r="J602" s="8" t="b">
        <f t="shared" si="45"/>
        <v>1</v>
      </c>
      <c r="K602" s="8" t="b">
        <f t="shared" si="46"/>
        <v>1</v>
      </c>
      <c r="L602" s="8" t="b">
        <f t="shared" si="47"/>
        <v>1</v>
      </c>
      <c r="M602" s="8" t="b">
        <f t="shared" si="48"/>
        <v>1</v>
      </c>
      <c r="N602" s="1" t="b">
        <f t="shared" si="49"/>
        <v>1</v>
      </c>
      <c r="O602" s="8" t="str">
        <f>IF(F602="","",IF($F$2=入力リスト!$H$25,ROUNDDOWN(INT(F602)+ROUNDDOWN((F602-INT(F602))*100,0)/60,2),F602))</f>
        <v/>
      </c>
      <c r="P602" s="7"/>
      <c r="Q602" s="7"/>
    </row>
    <row r="603" spans="1:17">
      <c r="A603" s="105"/>
      <c r="B603" s="2"/>
      <c r="C603" s="254"/>
      <c r="D603" s="254"/>
      <c r="E603" s="254"/>
      <c r="F603" s="255"/>
      <c r="G603" s="215" t="str">
        <f>IF(AND($B603="",OR(B603&lt;&gt;"",C603&lt;&gt;"",D603&lt;&gt;"",E603&lt;&gt;"",F603&lt;&gt;"")),入力リスト!$K$34,IF($I603=TRUE,入力リスト!$K$35,IF(J603=FALSE,"「毎月の固定給与額」","")&amp;IF(AND(J603=FALSE,OR(K603=FALSE,L603=FALSE,M603=FALSE)),",","")&amp;IF(K603=FALSE,"「賞与額等」","")&amp;IF(AND(K603=FALSE,OR(L603=FALSE,M603=FALSE)),",","")&amp;IF(L603=FALSE,"「残業手当」","")&amp;IF(AND(L603=FALSE,M603=FALSE),",","")&amp;IF(M603=FALSE,"「残業時間」","")&amp;IF(OR(J603=FALSE,K603=FALSE,L603=FALSE,M603=FALSE),入力リスト!$K$36,"")&amp;IF(N603,"",入力リスト!$K$37)))</f>
        <v/>
      </c>
      <c r="H603" s="215"/>
      <c r="I603" s="1" t="b">
        <f>IF(B603="",FALSE,COUNTIF('従業員情報(給与以外)'!$A$4:$A$1000000,$B603)=0)</f>
        <v>0</v>
      </c>
      <c r="J603" s="8" t="b">
        <f t="shared" si="45"/>
        <v>1</v>
      </c>
      <c r="K603" s="8" t="b">
        <f t="shared" si="46"/>
        <v>1</v>
      </c>
      <c r="L603" s="8" t="b">
        <f t="shared" si="47"/>
        <v>1</v>
      </c>
      <c r="M603" s="8" t="b">
        <f t="shared" si="48"/>
        <v>1</v>
      </c>
      <c r="N603" s="1" t="b">
        <f t="shared" si="49"/>
        <v>1</v>
      </c>
      <c r="O603" s="8" t="str">
        <f>IF(F603="","",IF($F$2=入力リスト!$H$25,ROUNDDOWN(INT(F603)+ROUNDDOWN((F603-INT(F603))*100,0)/60,2),F603))</f>
        <v/>
      </c>
      <c r="P603" s="7"/>
      <c r="Q603" s="7"/>
    </row>
    <row r="604" spans="1:17">
      <c r="A604" s="105"/>
      <c r="B604" s="2"/>
      <c r="C604" s="254"/>
      <c r="D604" s="254"/>
      <c r="E604" s="254"/>
      <c r="F604" s="255"/>
      <c r="G604" s="215" t="str">
        <f>IF(AND($B604="",OR(B604&lt;&gt;"",C604&lt;&gt;"",D604&lt;&gt;"",E604&lt;&gt;"",F604&lt;&gt;"")),入力リスト!$K$34,IF($I604=TRUE,入力リスト!$K$35,IF(J604=FALSE,"「毎月の固定給与額」","")&amp;IF(AND(J604=FALSE,OR(K604=FALSE,L604=FALSE,M604=FALSE)),",","")&amp;IF(K604=FALSE,"「賞与額等」","")&amp;IF(AND(K604=FALSE,OR(L604=FALSE,M604=FALSE)),",","")&amp;IF(L604=FALSE,"「残業手当」","")&amp;IF(AND(L604=FALSE,M604=FALSE),",","")&amp;IF(M604=FALSE,"「残業時間」","")&amp;IF(OR(J604=FALSE,K604=FALSE,L604=FALSE,M604=FALSE),入力リスト!$K$36,"")&amp;IF(N604,"",入力リスト!$K$37)))</f>
        <v/>
      </c>
      <c r="H604" s="215"/>
      <c r="I604" s="1" t="b">
        <f>IF(B604="",FALSE,COUNTIF('従業員情報(給与以外)'!$A$4:$A$1000000,$B604)=0)</f>
        <v>0</v>
      </c>
      <c r="J604" s="8" t="b">
        <f t="shared" si="45"/>
        <v>1</v>
      </c>
      <c r="K604" s="8" t="b">
        <f t="shared" si="46"/>
        <v>1</v>
      </c>
      <c r="L604" s="8" t="b">
        <f t="shared" si="47"/>
        <v>1</v>
      </c>
      <c r="M604" s="8" t="b">
        <f t="shared" si="48"/>
        <v>1</v>
      </c>
      <c r="N604" s="1" t="b">
        <f t="shared" si="49"/>
        <v>1</v>
      </c>
      <c r="O604" s="8" t="str">
        <f>IF(F604="","",IF($F$2=入力リスト!$H$25,ROUNDDOWN(INT(F604)+ROUNDDOWN((F604-INT(F604))*100,0)/60,2),F604))</f>
        <v/>
      </c>
      <c r="P604" s="7"/>
      <c r="Q604" s="7"/>
    </row>
    <row r="605" spans="1:17">
      <c r="A605" s="105"/>
      <c r="B605" s="2"/>
      <c r="C605" s="254"/>
      <c r="D605" s="254"/>
      <c r="E605" s="254"/>
      <c r="F605" s="255"/>
      <c r="G605" s="215" t="str">
        <f>IF(AND($B605="",OR(B605&lt;&gt;"",C605&lt;&gt;"",D605&lt;&gt;"",E605&lt;&gt;"",F605&lt;&gt;"")),入力リスト!$K$34,IF($I605=TRUE,入力リスト!$K$35,IF(J605=FALSE,"「毎月の固定給与額」","")&amp;IF(AND(J605=FALSE,OR(K605=FALSE,L605=FALSE,M605=FALSE)),",","")&amp;IF(K605=FALSE,"「賞与額等」","")&amp;IF(AND(K605=FALSE,OR(L605=FALSE,M605=FALSE)),",","")&amp;IF(L605=FALSE,"「残業手当」","")&amp;IF(AND(L605=FALSE,M605=FALSE),",","")&amp;IF(M605=FALSE,"「残業時間」","")&amp;IF(OR(J605=FALSE,K605=FALSE,L605=FALSE,M605=FALSE),入力リスト!$K$36,"")&amp;IF(N605,"",入力リスト!$K$37)))</f>
        <v/>
      </c>
      <c r="H605" s="215"/>
      <c r="I605" s="1" t="b">
        <f>IF(B605="",FALSE,COUNTIF('従業員情報(給与以外)'!$A$4:$A$1000000,$B605)=0)</f>
        <v>0</v>
      </c>
      <c r="J605" s="8" t="b">
        <f t="shared" si="45"/>
        <v>1</v>
      </c>
      <c r="K605" s="8" t="b">
        <f t="shared" si="46"/>
        <v>1</v>
      </c>
      <c r="L605" s="8" t="b">
        <f t="shared" si="47"/>
        <v>1</v>
      </c>
      <c r="M605" s="8" t="b">
        <f t="shared" si="48"/>
        <v>1</v>
      </c>
      <c r="N605" s="1" t="b">
        <f t="shared" si="49"/>
        <v>1</v>
      </c>
      <c r="O605" s="8" t="str">
        <f>IF(F605="","",IF($F$2=入力リスト!$H$25,ROUNDDOWN(INT(F605)+ROUNDDOWN((F605-INT(F605))*100,0)/60,2),F605))</f>
        <v/>
      </c>
      <c r="P605" s="7"/>
      <c r="Q605" s="7"/>
    </row>
    <row r="606" spans="1:17">
      <c r="A606" s="105"/>
      <c r="B606" s="2"/>
      <c r="C606" s="254"/>
      <c r="D606" s="254"/>
      <c r="E606" s="254"/>
      <c r="F606" s="255"/>
      <c r="G606" s="215" t="str">
        <f>IF(AND($B606="",OR(B606&lt;&gt;"",C606&lt;&gt;"",D606&lt;&gt;"",E606&lt;&gt;"",F606&lt;&gt;"")),入力リスト!$K$34,IF($I606=TRUE,入力リスト!$K$35,IF(J606=FALSE,"「毎月の固定給与額」","")&amp;IF(AND(J606=FALSE,OR(K606=FALSE,L606=FALSE,M606=FALSE)),",","")&amp;IF(K606=FALSE,"「賞与額等」","")&amp;IF(AND(K606=FALSE,OR(L606=FALSE,M606=FALSE)),",","")&amp;IF(L606=FALSE,"「残業手当」","")&amp;IF(AND(L606=FALSE,M606=FALSE),",","")&amp;IF(M606=FALSE,"「残業時間」","")&amp;IF(OR(J606=FALSE,K606=FALSE,L606=FALSE,M606=FALSE),入力リスト!$K$36,"")&amp;IF(N606,"",入力リスト!$K$37)))</f>
        <v/>
      </c>
      <c r="H606" s="215"/>
      <c r="I606" s="1" t="b">
        <f>IF(B606="",FALSE,COUNTIF('従業員情報(給与以外)'!$A$4:$A$1000000,$B606)=0)</f>
        <v>0</v>
      </c>
      <c r="J606" s="8" t="b">
        <f t="shared" si="45"/>
        <v>1</v>
      </c>
      <c r="K606" s="8" t="b">
        <f t="shared" si="46"/>
        <v>1</v>
      </c>
      <c r="L606" s="8" t="b">
        <f t="shared" si="47"/>
        <v>1</v>
      </c>
      <c r="M606" s="8" t="b">
        <f t="shared" si="48"/>
        <v>1</v>
      </c>
      <c r="N606" s="1" t="b">
        <f t="shared" si="49"/>
        <v>1</v>
      </c>
      <c r="O606" s="8" t="str">
        <f>IF(F606="","",IF($F$2=入力リスト!$H$25,ROUNDDOWN(INT(F606)+ROUNDDOWN((F606-INT(F606))*100,0)/60,2),F606))</f>
        <v/>
      </c>
      <c r="P606" s="7"/>
      <c r="Q606" s="7"/>
    </row>
    <row r="607" spans="1:17">
      <c r="A607" s="105"/>
      <c r="B607" s="2"/>
      <c r="C607" s="254"/>
      <c r="D607" s="254"/>
      <c r="E607" s="254"/>
      <c r="F607" s="255"/>
      <c r="G607" s="215" t="str">
        <f>IF(AND($B607="",OR(B607&lt;&gt;"",C607&lt;&gt;"",D607&lt;&gt;"",E607&lt;&gt;"",F607&lt;&gt;"")),入力リスト!$K$34,IF($I607=TRUE,入力リスト!$K$35,IF(J607=FALSE,"「毎月の固定給与額」","")&amp;IF(AND(J607=FALSE,OR(K607=FALSE,L607=FALSE,M607=FALSE)),",","")&amp;IF(K607=FALSE,"「賞与額等」","")&amp;IF(AND(K607=FALSE,OR(L607=FALSE,M607=FALSE)),",","")&amp;IF(L607=FALSE,"「残業手当」","")&amp;IF(AND(L607=FALSE,M607=FALSE),",","")&amp;IF(M607=FALSE,"「残業時間」","")&amp;IF(OR(J607=FALSE,K607=FALSE,L607=FALSE,M607=FALSE),入力リスト!$K$36,"")&amp;IF(N607,"",入力リスト!$K$37)))</f>
        <v/>
      </c>
      <c r="H607" s="215"/>
      <c r="I607" s="1" t="b">
        <f>IF(B607="",FALSE,COUNTIF('従業員情報(給与以外)'!$A$4:$A$1000000,$B607)=0)</f>
        <v>0</v>
      </c>
      <c r="J607" s="8" t="b">
        <f t="shared" si="45"/>
        <v>1</v>
      </c>
      <c r="K607" s="8" t="b">
        <f t="shared" si="46"/>
        <v>1</v>
      </c>
      <c r="L607" s="8" t="b">
        <f t="shared" si="47"/>
        <v>1</v>
      </c>
      <c r="M607" s="8" t="b">
        <f t="shared" si="48"/>
        <v>1</v>
      </c>
      <c r="N607" s="1" t="b">
        <f t="shared" si="49"/>
        <v>1</v>
      </c>
      <c r="O607" s="8" t="str">
        <f>IF(F607="","",IF($F$2=入力リスト!$H$25,ROUNDDOWN(INT(F607)+ROUNDDOWN((F607-INT(F607))*100,0)/60,2),F607))</f>
        <v/>
      </c>
      <c r="P607" s="7"/>
      <c r="Q607" s="7"/>
    </row>
    <row r="608" spans="1:17">
      <c r="A608" s="105"/>
      <c r="B608" s="2"/>
      <c r="C608" s="254"/>
      <c r="D608" s="254"/>
      <c r="E608" s="254"/>
      <c r="F608" s="255"/>
      <c r="G608" s="215" t="str">
        <f>IF(AND($B608="",OR(B608&lt;&gt;"",C608&lt;&gt;"",D608&lt;&gt;"",E608&lt;&gt;"",F608&lt;&gt;"")),入力リスト!$K$34,IF($I608=TRUE,入力リスト!$K$35,IF(J608=FALSE,"「毎月の固定給与額」","")&amp;IF(AND(J608=FALSE,OR(K608=FALSE,L608=FALSE,M608=FALSE)),",","")&amp;IF(K608=FALSE,"「賞与額等」","")&amp;IF(AND(K608=FALSE,OR(L608=FALSE,M608=FALSE)),",","")&amp;IF(L608=FALSE,"「残業手当」","")&amp;IF(AND(L608=FALSE,M608=FALSE),",","")&amp;IF(M608=FALSE,"「残業時間」","")&amp;IF(OR(J608=FALSE,K608=FALSE,L608=FALSE,M608=FALSE),入力リスト!$K$36,"")&amp;IF(N608,"",入力リスト!$K$37)))</f>
        <v/>
      </c>
      <c r="H608" s="215"/>
      <c r="I608" s="1" t="b">
        <f>IF(B608="",FALSE,COUNTIF('従業員情報(給与以外)'!$A$4:$A$1000000,$B608)=0)</f>
        <v>0</v>
      </c>
      <c r="J608" s="8" t="b">
        <f t="shared" si="45"/>
        <v>1</v>
      </c>
      <c r="K608" s="8" t="b">
        <f t="shared" si="46"/>
        <v>1</v>
      </c>
      <c r="L608" s="8" t="b">
        <f t="shared" si="47"/>
        <v>1</v>
      </c>
      <c r="M608" s="8" t="b">
        <f t="shared" si="48"/>
        <v>1</v>
      </c>
      <c r="N608" s="1" t="b">
        <f t="shared" si="49"/>
        <v>1</v>
      </c>
      <c r="O608" s="8" t="str">
        <f>IF(F608="","",IF($F$2=入力リスト!$H$25,ROUNDDOWN(INT(F608)+ROUNDDOWN((F608-INT(F608))*100,0)/60,2),F608))</f>
        <v/>
      </c>
      <c r="P608" s="7"/>
      <c r="Q608" s="7"/>
    </row>
    <row r="609" spans="1:17">
      <c r="A609" s="105"/>
      <c r="B609" s="2"/>
      <c r="C609" s="254"/>
      <c r="D609" s="254"/>
      <c r="E609" s="254"/>
      <c r="F609" s="255"/>
      <c r="G609" s="215" t="str">
        <f>IF(AND($B609="",OR(B609&lt;&gt;"",C609&lt;&gt;"",D609&lt;&gt;"",E609&lt;&gt;"",F609&lt;&gt;"")),入力リスト!$K$34,IF($I609=TRUE,入力リスト!$K$35,IF(J609=FALSE,"「毎月の固定給与額」","")&amp;IF(AND(J609=FALSE,OR(K609=FALSE,L609=FALSE,M609=FALSE)),",","")&amp;IF(K609=FALSE,"「賞与額等」","")&amp;IF(AND(K609=FALSE,OR(L609=FALSE,M609=FALSE)),",","")&amp;IF(L609=FALSE,"「残業手当」","")&amp;IF(AND(L609=FALSE,M609=FALSE),",","")&amp;IF(M609=FALSE,"「残業時間」","")&amp;IF(OR(J609=FALSE,K609=FALSE,L609=FALSE,M609=FALSE),入力リスト!$K$36,"")&amp;IF(N609,"",入力リスト!$K$37)))</f>
        <v/>
      </c>
      <c r="H609" s="215"/>
      <c r="I609" s="1" t="b">
        <f>IF(B609="",FALSE,COUNTIF('従業員情報(給与以外)'!$A$4:$A$1000000,$B609)=0)</f>
        <v>0</v>
      </c>
      <c r="J609" s="8" t="b">
        <f t="shared" si="45"/>
        <v>1</v>
      </c>
      <c r="K609" s="8" t="b">
        <f t="shared" si="46"/>
        <v>1</v>
      </c>
      <c r="L609" s="8" t="b">
        <f t="shared" si="47"/>
        <v>1</v>
      </c>
      <c r="M609" s="8" t="b">
        <f t="shared" si="48"/>
        <v>1</v>
      </c>
      <c r="N609" s="1" t="b">
        <f t="shared" si="49"/>
        <v>1</v>
      </c>
      <c r="O609" s="8" t="str">
        <f>IF(F609="","",IF($F$2=入力リスト!$H$25,ROUNDDOWN(INT(F609)+ROUNDDOWN((F609-INT(F609))*100,0)/60,2),F609))</f>
        <v/>
      </c>
      <c r="P609" s="7"/>
      <c r="Q609" s="7"/>
    </row>
    <row r="610" spans="1:17">
      <c r="A610" s="105"/>
      <c r="B610" s="2"/>
      <c r="C610" s="254"/>
      <c r="D610" s="254"/>
      <c r="E610" s="254"/>
      <c r="F610" s="255"/>
      <c r="G610" s="215" t="str">
        <f>IF(AND($B610="",OR(B610&lt;&gt;"",C610&lt;&gt;"",D610&lt;&gt;"",E610&lt;&gt;"",F610&lt;&gt;"")),入力リスト!$K$34,IF($I610=TRUE,入力リスト!$K$35,IF(J610=FALSE,"「毎月の固定給与額」","")&amp;IF(AND(J610=FALSE,OR(K610=FALSE,L610=FALSE,M610=FALSE)),",","")&amp;IF(K610=FALSE,"「賞与額等」","")&amp;IF(AND(K610=FALSE,OR(L610=FALSE,M610=FALSE)),",","")&amp;IF(L610=FALSE,"「残業手当」","")&amp;IF(AND(L610=FALSE,M610=FALSE),",","")&amp;IF(M610=FALSE,"「残業時間」","")&amp;IF(OR(J610=FALSE,K610=FALSE,L610=FALSE,M610=FALSE),入力リスト!$K$36,"")&amp;IF(N610,"",入力リスト!$K$37)))</f>
        <v/>
      </c>
      <c r="H610" s="215"/>
      <c r="I610" s="1" t="b">
        <f>IF(B610="",FALSE,COUNTIF('従業員情報(給与以外)'!$A$4:$A$1000000,$B610)=0)</f>
        <v>0</v>
      </c>
      <c r="J610" s="8" t="b">
        <f t="shared" si="45"/>
        <v>1</v>
      </c>
      <c r="K610" s="8" t="b">
        <f t="shared" si="46"/>
        <v>1</v>
      </c>
      <c r="L610" s="8" t="b">
        <f t="shared" si="47"/>
        <v>1</v>
      </c>
      <c r="M610" s="8" t="b">
        <f t="shared" si="48"/>
        <v>1</v>
      </c>
      <c r="N610" s="1" t="b">
        <f t="shared" si="49"/>
        <v>1</v>
      </c>
      <c r="O610" s="8" t="str">
        <f>IF(F610="","",IF($F$2=入力リスト!$H$25,ROUNDDOWN(INT(F610)+ROUNDDOWN((F610-INT(F610))*100,0)/60,2),F610))</f>
        <v/>
      </c>
      <c r="P610" s="7"/>
      <c r="Q610" s="7"/>
    </row>
    <row r="611" spans="1:17">
      <c r="A611" s="105"/>
      <c r="B611" s="2"/>
      <c r="C611" s="254"/>
      <c r="D611" s="254"/>
      <c r="E611" s="254"/>
      <c r="F611" s="255"/>
      <c r="G611" s="215" t="str">
        <f>IF(AND($B611="",OR(B611&lt;&gt;"",C611&lt;&gt;"",D611&lt;&gt;"",E611&lt;&gt;"",F611&lt;&gt;"")),入力リスト!$K$34,IF($I611=TRUE,入力リスト!$K$35,IF(J611=FALSE,"「毎月の固定給与額」","")&amp;IF(AND(J611=FALSE,OR(K611=FALSE,L611=FALSE,M611=FALSE)),",","")&amp;IF(K611=FALSE,"「賞与額等」","")&amp;IF(AND(K611=FALSE,OR(L611=FALSE,M611=FALSE)),",","")&amp;IF(L611=FALSE,"「残業手当」","")&amp;IF(AND(L611=FALSE,M611=FALSE),",","")&amp;IF(M611=FALSE,"「残業時間」","")&amp;IF(OR(J611=FALSE,K611=FALSE,L611=FALSE,M611=FALSE),入力リスト!$K$36,"")&amp;IF(N611,"",入力リスト!$K$37)))</f>
        <v/>
      </c>
      <c r="H611" s="215"/>
      <c r="I611" s="1" t="b">
        <f>IF(B611="",FALSE,COUNTIF('従業員情報(給与以外)'!$A$4:$A$1000000,$B611)=0)</f>
        <v>0</v>
      </c>
      <c r="J611" s="8" t="b">
        <f t="shared" si="45"/>
        <v>1</v>
      </c>
      <c r="K611" s="8" t="b">
        <f t="shared" si="46"/>
        <v>1</v>
      </c>
      <c r="L611" s="8" t="b">
        <f t="shared" si="47"/>
        <v>1</v>
      </c>
      <c r="M611" s="8" t="b">
        <f t="shared" si="48"/>
        <v>1</v>
      </c>
      <c r="N611" s="1" t="b">
        <f t="shared" si="49"/>
        <v>1</v>
      </c>
      <c r="O611" s="8" t="str">
        <f>IF(F611="","",IF($F$2=入力リスト!$H$25,ROUNDDOWN(INT(F611)+ROUNDDOWN((F611-INT(F611))*100,0)/60,2),F611))</f>
        <v/>
      </c>
      <c r="P611" s="7"/>
      <c r="Q611" s="7"/>
    </row>
    <row r="612" spans="1:17">
      <c r="A612" s="105"/>
      <c r="B612" s="2"/>
      <c r="C612" s="254"/>
      <c r="D612" s="254"/>
      <c r="E612" s="254"/>
      <c r="F612" s="255"/>
      <c r="G612" s="215" t="str">
        <f>IF(AND($B612="",OR(B612&lt;&gt;"",C612&lt;&gt;"",D612&lt;&gt;"",E612&lt;&gt;"",F612&lt;&gt;"")),入力リスト!$K$34,IF($I612=TRUE,入力リスト!$K$35,IF(J612=FALSE,"「毎月の固定給与額」","")&amp;IF(AND(J612=FALSE,OR(K612=FALSE,L612=FALSE,M612=FALSE)),",","")&amp;IF(K612=FALSE,"「賞与額等」","")&amp;IF(AND(K612=FALSE,OR(L612=FALSE,M612=FALSE)),",","")&amp;IF(L612=FALSE,"「残業手当」","")&amp;IF(AND(L612=FALSE,M612=FALSE),",","")&amp;IF(M612=FALSE,"「残業時間」","")&amp;IF(OR(J612=FALSE,K612=FALSE,L612=FALSE,M612=FALSE),入力リスト!$K$36,"")&amp;IF(N612,"",入力リスト!$K$37)))</f>
        <v/>
      </c>
      <c r="H612" s="215"/>
      <c r="I612" s="1" t="b">
        <f>IF(B612="",FALSE,COUNTIF('従業員情報(給与以外)'!$A$4:$A$1000000,$B612)=0)</f>
        <v>0</v>
      </c>
      <c r="J612" s="8" t="b">
        <f t="shared" si="45"/>
        <v>1</v>
      </c>
      <c r="K612" s="8" t="b">
        <f t="shared" si="46"/>
        <v>1</v>
      </c>
      <c r="L612" s="8" t="b">
        <f t="shared" si="47"/>
        <v>1</v>
      </c>
      <c r="M612" s="8" t="b">
        <f t="shared" si="48"/>
        <v>1</v>
      </c>
      <c r="N612" s="1" t="b">
        <f t="shared" si="49"/>
        <v>1</v>
      </c>
      <c r="O612" s="8" t="str">
        <f>IF(F612="","",IF($F$2=入力リスト!$H$25,ROUNDDOWN(INT(F612)+ROUNDDOWN((F612-INT(F612))*100,0)/60,2),F612))</f>
        <v/>
      </c>
      <c r="P612" s="7"/>
      <c r="Q612" s="7"/>
    </row>
    <row r="613" spans="1:17">
      <c r="A613" s="105"/>
      <c r="B613" s="2"/>
      <c r="C613" s="254"/>
      <c r="D613" s="254"/>
      <c r="E613" s="254"/>
      <c r="F613" s="255"/>
      <c r="G613" s="215" t="str">
        <f>IF(AND($B613="",OR(B613&lt;&gt;"",C613&lt;&gt;"",D613&lt;&gt;"",E613&lt;&gt;"",F613&lt;&gt;"")),入力リスト!$K$34,IF($I613=TRUE,入力リスト!$K$35,IF(J613=FALSE,"「毎月の固定給与額」","")&amp;IF(AND(J613=FALSE,OR(K613=FALSE,L613=FALSE,M613=FALSE)),",","")&amp;IF(K613=FALSE,"「賞与額等」","")&amp;IF(AND(K613=FALSE,OR(L613=FALSE,M613=FALSE)),",","")&amp;IF(L613=FALSE,"「残業手当」","")&amp;IF(AND(L613=FALSE,M613=FALSE),",","")&amp;IF(M613=FALSE,"「残業時間」","")&amp;IF(OR(J613=FALSE,K613=FALSE,L613=FALSE,M613=FALSE),入力リスト!$K$36,"")&amp;IF(N613,"",入力リスト!$K$37)))</f>
        <v/>
      </c>
      <c r="H613" s="215"/>
      <c r="I613" s="1" t="b">
        <f>IF(B613="",FALSE,COUNTIF('従業員情報(給与以外)'!$A$4:$A$1000000,$B613)=0)</f>
        <v>0</v>
      </c>
      <c r="J613" s="8" t="b">
        <f t="shared" si="45"/>
        <v>1</v>
      </c>
      <c r="K613" s="8" t="b">
        <f t="shared" si="46"/>
        <v>1</v>
      </c>
      <c r="L613" s="8" t="b">
        <f t="shared" si="47"/>
        <v>1</v>
      </c>
      <c r="M613" s="8" t="b">
        <f t="shared" si="48"/>
        <v>1</v>
      </c>
      <c r="N613" s="1" t="b">
        <f t="shared" si="49"/>
        <v>1</v>
      </c>
      <c r="O613" s="8" t="str">
        <f>IF(F613="","",IF($F$2=入力リスト!$H$25,ROUNDDOWN(INT(F613)+ROUNDDOWN((F613-INT(F613))*100,0)/60,2),F613))</f>
        <v/>
      </c>
      <c r="P613" s="7"/>
      <c r="Q613" s="7"/>
    </row>
    <row r="614" spans="1:17">
      <c r="A614" s="105"/>
      <c r="B614" s="2"/>
      <c r="C614" s="254"/>
      <c r="D614" s="254"/>
      <c r="E614" s="254"/>
      <c r="F614" s="255"/>
      <c r="G614" s="215" t="str">
        <f>IF(AND($B614="",OR(B614&lt;&gt;"",C614&lt;&gt;"",D614&lt;&gt;"",E614&lt;&gt;"",F614&lt;&gt;"")),入力リスト!$K$34,IF($I614=TRUE,入力リスト!$K$35,IF(J614=FALSE,"「毎月の固定給与額」","")&amp;IF(AND(J614=FALSE,OR(K614=FALSE,L614=FALSE,M614=FALSE)),",","")&amp;IF(K614=FALSE,"「賞与額等」","")&amp;IF(AND(K614=FALSE,OR(L614=FALSE,M614=FALSE)),",","")&amp;IF(L614=FALSE,"「残業手当」","")&amp;IF(AND(L614=FALSE,M614=FALSE),",","")&amp;IF(M614=FALSE,"「残業時間」","")&amp;IF(OR(J614=FALSE,K614=FALSE,L614=FALSE,M614=FALSE),入力リスト!$K$36,"")&amp;IF(N614,"",入力リスト!$K$37)))</f>
        <v/>
      </c>
      <c r="H614" s="215"/>
      <c r="I614" s="1" t="b">
        <f>IF(B614="",FALSE,COUNTIF('従業員情報(給与以外)'!$A$4:$A$1000000,$B614)=0)</f>
        <v>0</v>
      </c>
      <c r="J614" s="8" t="b">
        <f t="shared" si="45"/>
        <v>1</v>
      </c>
      <c r="K614" s="8" t="b">
        <f t="shared" si="46"/>
        <v>1</v>
      </c>
      <c r="L614" s="8" t="b">
        <f t="shared" si="47"/>
        <v>1</v>
      </c>
      <c r="M614" s="8" t="b">
        <f t="shared" si="48"/>
        <v>1</v>
      </c>
      <c r="N614" s="1" t="b">
        <f t="shared" si="49"/>
        <v>1</v>
      </c>
      <c r="O614" s="8" t="str">
        <f>IF(F614="","",IF($F$2=入力リスト!$H$25,ROUNDDOWN(INT(F614)+ROUNDDOWN((F614-INT(F614))*100,0)/60,2),F614))</f>
        <v/>
      </c>
      <c r="P614" s="7"/>
      <c r="Q614" s="7"/>
    </row>
    <row r="615" spans="1:17">
      <c r="A615" s="105"/>
      <c r="B615" s="2"/>
      <c r="C615" s="254"/>
      <c r="D615" s="254"/>
      <c r="E615" s="254"/>
      <c r="F615" s="255"/>
      <c r="G615" s="215" t="str">
        <f>IF(AND($B615="",OR(B615&lt;&gt;"",C615&lt;&gt;"",D615&lt;&gt;"",E615&lt;&gt;"",F615&lt;&gt;"")),入力リスト!$K$34,IF($I615=TRUE,入力リスト!$K$35,IF(J615=FALSE,"「毎月の固定給与額」","")&amp;IF(AND(J615=FALSE,OR(K615=FALSE,L615=FALSE,M615=FALSE)),",","")&amp;IF(K615=FALSE,"「賞与額等」","")&amp;IF(AND(K615=FALSE,OR(L615=FALSE,M615=FALSE)),",","")&amp;IF(L615=FALSE,"「残業手当」","")&amp;IF(AND(L615=FALSE,M615=FALSE),",","")&amp;IF(M615=FALSE,"「残業時間」","")&amp;IF(OR(J615=FALSE,K615=FALSE,L615=FALSE,M615=FALSE),入力リスト!$K$36,"")&amp;IF(N615,"",入力リスト!$K$37)))</f>
        <v/>
      </c>
      <c r="H615" s="215"/>
      <c r="I615" s="1" t="b">
        <f>IF(B615="",FALSE,COUNTIF('従業員情報(給与以外)'!$A$4:$A$1000000,$B615)=0)</f>
        <v>0</v>
      </c>
      <c r="J615" s="8" t="b">
        <f t="shared" si="45"/>
        <v>1</v>
      </c>
      <c r="K615" s="8" t="b">
        <f t="shared" si="46"/>
        <v>1</v>
      </c>
      <c r="L615" s="8" t="b">
        <f t="shared" si="47"/>
        <v>1</v>
      </c>
      <c r="M615" s="8" t="b">
        <f t="shared" si="48"/>
        <v>1</v>
      </c>
      <c r="N615" s="1" t="b">
        <f t="shared" si="49"/>
        <v>1</v>
      </c>
      <c r="O615" s="8" t="str">
        <f>IF(F615="","",IF($F$2=入力リスト!$H$25,ROUNDDOWN(INT(F615)+ROUNDDOWN((F615-INT(F615))*100,0)/60,2),F615))</f>
        <v/>
      </c>
      <c r="P615" s="7"/>
      <c r="Q615" s="7"/>
    </row>
    <row r="616" spans="1:17">
      <c r="A616" s="105"/>
      <c r="B616" s="2"/>
      <c r="C616" s="254"/>
      <c r="D616" s="254"/>
      <c r="E616" s="254"/>
      <c r="F616" s="255"/>
      <c r="G616" s="215" t="str">
        <f>IF(AND($B616="",OR(B616&lt;&gt;"",C616&lt;&gt;"",D616&lt;&gt;"",E616&lt;&gt;"",F616&lt;&gt;"")),入力リスト!$K$34,IF($I616=TRUE,入力リスト!$K$35,IF(J616=FALSE,"「毎月の固定給与額」","")&amp;IF(AND(J616=FALSE,OR(K616=FALSE,L616=FALSE,M616=FALSE)),",","")&amp;IF(K616=FALSE,"「賞与額等」","")&amp;IF(AND(K616=FALSE,OR(L616=FALSE,M616=FALSE)),",","")&amp;IF(L616=FALSE,"「残業手当」","")&amp;IF(AND(L616=FALSE,M616=FALSE),",","")&amp;IF(M616=FALSE,"「残業時間」","")&amp;IF(OR(J616=FALSE,K616=FALSE,L616=FALSE,M616=FALSE),入力リスト!$K$36,"")&amp;IF(N616,"",入力リスト!$K$37)))</f>
        <v/>
      </c>
      <c r="H616" s="215"/>
      <c r="I616" s="1" t="b">
        <f>IF(B616="",FALSE,COUNTIF('従業員情報(給与以外)'!$A$4:$A$1000000,$B616)=0)</f>
        <v>0</v>
      </c>
      <c r="J616" s="8" t="b">
        <f t="shared" si="45"/>
        <v>1</v>
      </c>
      <c r="K616" s="8" t="b">
        <f t="shared" si="46"/>
        <v>1</v>
      </c>
      <c r="L616" s="8" t="b">
        <f t="shared" si="47"/>
        <v>1</v>
      </c>
      <c r="M616" s="8" t="b">
        <f t="shared" si="48"/>
        <v>1</v>
      </c>
      <c r="N616" s="1" t="b">
        <f t="shared" si="49"/>
        <v>1</v>
      </c>
      <c r="O616" s="8" t="str">
        <f>IF(F616="","",IF($F$2=入力リスト!$H$25,ROUNDDOWN(INT(F616)+ROUNDDOWN((F616-INT(F616))*100,0)/60,2),F616))</f>
        <v/>
      </c>
      <c r="P616" s="7"/>
      <c r="Q616" s="7"/>
    </row>
    <row r="617" spans="1:17">
      <c r="A617" s="105"/>
      <c r="B617" s="2"/>
      <c r="C617" s="254"/>
      <c r="D617" s="254"/>
      <c r="E617" s="254"/>
      <c r="F617" s="255"/>
      <c r="G617" s="215" t="str">
        <f>IF(AND($B617="",OR(B617&lt;&gt;"",C617&lt;&gt;"",D617&lt;&gt;"",E617&lt;&gt;"",F617&lt;&gt;"")),入力リスト!$K$34,IF($I617=TRUE,入力リスト!$K$35,IF(J617=FALSE,"「毎月の固定給与額」","")&amp;IF(AND(J617=FALSE,OR(K617=FALSE,L617=FALSE,M617=FALSE)),",","")&amp;IF(K617=FALSE,"「賞与額等」","")&amp;IF(AND(K617=FALSE,OR(L617=FALSE,M617=FALSE)),",","")&amp;IF(L617=FALSE,"「残業手当」","")&amp;IF(AND(L617=FALSE,M617=FALSE),",","")&amp;IF(M617=FALSE,"「残業時間」","")&amp;IF(OR(J617=FALSE,K617=FALSE,L617=FALSE,M617=FALSE),入力リスト!$K$36,"")&amp;IF(N617,"",入力リスト!$K$37)))</f>
        <v/>
      </c>
      <c r="H617" s="215"/>
      <c r="I617" s="1" t="b">
        <f>IF(B617="",FALSE,COUNTIF('従業員情報(給与以外)'!$A$4:$A$1000000,$B617)=0)</f>
        <v>0</v>
      </c>
      <c r="J617" s="8" t="b">
        <f t="shared" si="45"/>
        <v>1</v>
      </c>
      <c r="K617" s="8" t="b">
        <f t="shared" si="46"/>
        <v>1</v>
      </c>
      <c r="L617" s="8" t="b">
        <f t="shared" si="47"/>
        <v>1</v>
      </c>
      <c r="M617" s="8" t="b">
        <f t="shared" si="48"/>
        <v>1</v>
      </c>
      <c r="N617" s="1" t="b">
        <f t="shared" si="49"/>
        <v>1</v>
      </c>
      <c r="O617" s="8" t="str">
        <f>IF(F617="","",IF($F$2=入力リスト!$H$25,ROUNDDOWN(INT(F617)+ROUNDDOWN((F617-INT(F617))*100,0)/60,2),F617))</f>
        <v/>
      </c>
      <c r="P617" s="7"/>
      <c r="Q617" s="7"/>
    </row>
    <row r="618" spans="1:17">
      <c r="A618" s="105"/>
      <c r="B618" s="2"/>
      <c r="C618" s="254"/>
      <c r="D618" s="254"/>
      <c r="E618" s="254"/>
      <c r="F618" s="255"/>
      <c r="G618" s="215" t="str">
        <f>IF(AND($B618="",OR(B618&lt;&gt;"",C618&lt;&gt;"",D618&lt;&gt;"",E618&lt;&gt;"",F618&lt;&gt;"")),入力リスト!$K$34,IF($I618=TRUE,入力リスト!$K$35,IF(J618=FALSE,"「毎月の固定給与額」","")&amp;IF(AND(J618=FALSE,OR(K618=FALSE,L618=FALSE,M618=FALSE)),",","")&amp;IF(K618=FALSE,"「賞与額等」","")&amp;IF(AND(K618=FALSE,OR(L618=FALSE,M618=FALSE)),",","")&amp;IF(L618=FALSE,"「残業手当」","")&amp;IF(AND(L618=FALSE,M618=FALSE),",","")&amp;IF(M618=FALSE,"「残業時間」","")&amp;IF(OR(J618=FALSE,K618=FALSE,L618=FALSE,M618=FALSE),入力リスト!$K$36,"")&amp;IF(N618,"",入力リスト!$K$37)))</f>
        <v/>
      </c>
      <c r="H618" s="215"/>
      <c r="I618" s="1" t="b">
        <f>IF(B618="",FALSE,COUNTIF('従業員情報(給与以外)'!$A$4:$A$1000000,$B618)=0)</f>
        <v>0</v>
      </c>
      <c r="J618" s="8" t="b">
        <f t="shared" si="45"/>
        <v>1</v>
      </c>
      <c r="K618" s="8" t="b">
        <f t="shared" si="46"/>
        <v>1</v>
      </c>
      <c r="L618" s="8" t="b">
        <f t="shared" si="47"/>
        <v>1</v>
      </c>
      <c r="M618" s="8" t="b">
        <f t="shared" si="48"/>
        <v>1</v>
      </c>
      <c r="N618" s="1" t="b">
        <f t="shared" si="49"/>
        <v>1</v>
      </c>
      <c r="O618" s="8" t="str">
        <f>IF(F618="","",IF($F$2=入力リスト!$H$25,ROUNDDOWN(INT(F618)+ROUNDDOWN((F618-INT(F618))*100,0)/60,2),F618))</f>
        <v/>
      </c>
      <c r="P618" s="7"/>
      <c r="Q618" s="7"/>
    </row>
    <row r="619" spans="1:17">
      <c r="A619" s="105"/>
      <c r="B619" s="2"/>
      <c r="C619" s="254"/>
      <c r="D619" s="254"/>
      <c r="E619" s="254"/>
      <c r="F619" s="255"/>
      <c r="G619" s="215" t="str">
        <f>IF(AND($B619="",OR(B619&lt;&gt;"",C619&lt;&gt;"",D619&lt;&gt;"",E619&lt;&gt;"",F619&lt;&gt;"")),入力リスト!$K$34,IF($I619=TRUE,入力リスト!$K$35,IF(J619=FALSE,"「毎月の固定給与額」","")&amp;IF(AND(J619=FALSE,OR(K619=FALSE,L619=FALSE,M619=FALSE)),",","")&amp;IF(K619=FALSE,"「賞与額等」","")&amp;IF(AND(K619=FALSE,OR(L619=FALSE,M619=FALSE)),",","")&amp;IF(L619=FALSE,"「残業手当」","")&amp;IF(AND(L619=FALSE,M619=FALSE),",","")&amp;IF(M619=FALSE,"「残業時間」","")&amp;IF(OR(J619=FALSE,K619=FALSE,L619=FALSE,M619=FALSE),入力リスト!$K$36,"")&amp;IF(N619,"",入力リスト!$K$37)))</f>
        <v/>
      </c>
      <c r="H619" s="215"/>
      <c r="I619" s="1" t="b">
        <f>IF(B619="",FALSE,COUNTIF('従業員情報(給与以外)'!$A$4:$A$1000000,$B619)=0)</f>
        <v>0</v>
      </c>
      <c r="J619" s="8" t="b">
        <f t="shared" si="45"/>
        <v>1</v>
      </c>
      <c r="K619" s="8" t="b">
        <f t="shared" si="46"/>
        <v>1</v>
      </c>
      <c r="L619" s="8" t="b">
        <f t="shared" si="47"/>
        <v>1</v>
      </c>
      <c r="M619" s="8" t="b">
        <f t="shared" si="48"/>
        <v>1</v>
      </c>
      <c r="N619" s="1" t="b">
        <f t="shared" si="49"/>
        <v>1</v>
      </c>
      <c r="O619" s="8" t="str">
        <f>IF(F619="","",IF($F$2=入力リスト!$H$25,ROUNDDOWN(INT(F619)+ROUNDDOWN((F619-INT(F619))*100,0)/60,2),F619))</f>
        <v/>
      </c>
      <c r="P619" s="7"/>
      <c r="Q619" s="7"/>
    </row>
    <row r="620" spans="1:17">
      <c r="A620" s="105"/>
      <c r="B620" s="2"/>
      <c r="C620" s="254"/>
      <c r="D620" s="254"/>
      <c r="E620" s="254"/>
      <c r="F620" s="255"/>
      <c r="G620" s="215" t="str">
        <f>IF(AND($B620="",OR(B620&lt;&gt;"",C620&lt;&gt;"",D620&lt;&gt;"",E620&lt;&gt;"",F620&lt;&gt;"")),入力リスト!$K$34,IF($I620=TRUE,入力リスト!$K$35,IF(J620=FALSE,"「毎月の固定給与額」","")&amp;IF(AND(J620=FALSE,OR(K620=FALSE,L620=FALSE,M620=FALSE)),",","")&amp;IF(K620=FALSE,"「賞与額等」","")&amp;IF(AND(K620=FALSE,OR(L620=FALSE,M620=FALSE)),",","")&amp;IF(L620=FALSE,"「残業手当」","")&amp;IF(AND(L620=FALSE,M620=FALSE),",","")&amp;IF(M620=FALSE,"「残業時間」","")&amp;IF(OR(J620=FALSE,K620=FALSE,L620=FALSE,M620=FALSE),入力リスト!$K$36,"")&amp;IF(N620,"",入力リスト!$K$37)))</f>
        <v/>
      </c>
      <c r="H620" s="215"/>
      <c r="I620" s="1" t="b">
        <f>IF(B620="",FALSE,COUNTIF('従業員情報(給与以外)'!$A$4:$A$1000000,$B620)=0)</f>
        <v>0</v>
      </c>
      <c r="J620" s="8" t="b">
        <f t="shared" si="45"/>
        <v>1</v>
      </c>
      <c r="K620" s="8" t="b">
        <f t="shared" si="46"/>
        <v>1</v>
      </c>
      <c r="L620" s="8" t="b">
        <f t="shared" si="47"/>
        <v>1</v>
      </c>
      <c r="M620" s="8" t="b">
        <f t="shared" si="48"/>
        <v>1</v>
      </c>
      <c r="N620" s="1" t="b">
        <f t="shared" si="49"/>
        <v>1</v>
      </c>
      <c r="O620" s="8" t="str">
        <f>IF(F620="","",IF($F$2=入力リスト!$H$25,ROUNDDOWN(INT(F620)+ROUNDDOWN((F620-INT(F620))*100,0)/60,2),F620))</f>
        <v/>
      </c>
      <c r="P620" s="7"/>
      <c r="Q620" s="7"/>
    </row>
    <row r="621" spans="1:17">
      <c r="A621" s="105"/>
      <c r="B621" s="2"/>
      <c r="C621" s="254"/>
      <c r="D621" s="254"/>
      <c r="E621" s="254"/>
      <c r="F621" s="255"/>
      <c r="G621" s="215" t="str">
        <f>IF(AND($B621="",OR(B621&lt;&gt;"",C621&lt;&gt;"",D621&lt;&gt;"",E621&lt;&gt;"",F621&lt;&gt;"")),入力リスト!$K$34,IF($I621=TRUE,入力リスト!$K$35,IF(J621=FALSE,"「毎月の固定給与額」","")&amp;IF(AND(J621=FALSE,OR(K621=FALSE,L621=FALSE,M621=FALSE)),",","")&amp;IF(K621=FALSE,"「賞与額等」","")&amp;IF(AND(K621=FALSE,OR(L621=FALSE,M621=FALSE)),",","")&amp;IF(L621=FALSE,"「残業手当」","")&amp;IF(AND(L621=FALSE,M621=FALSE),",","")&amp;IF(M621=FALSE,"「残業時間」","")&amp;IF(OR(J621=FALSE,K621=FALSE,L621=FALSE,M621=FALSE),入力リスト!$K$36,"")&amp;IF(N621,"",入力リスト!$K$37)))</f>
        <v/>
      </c>
      <c r="H621" s="215"/>
      <c r="I621" s="1" t="b">
        <f>IF(B621="",FALSE,COUNTIF('従業員情報(給与以外)'!$A$4:$A$1000000,$B621)=0)</f>
        <v>0</v>
      </c>
      <c r="J621" s="8" t="b">
        <f t="shared" si="45"/>
        <v>1</v>
      </c>
      <c r="K621" s="8" t="b">
        <f t="shared" si="46"/>
        <v>1</v>
      </c>
      <c r="L621" s="8" t="b">
        <f t="shared" si="47"/>
        <v>1</v>
      </c>
      <c r="M621" s="8" t="b">
        <f t="shared" si="48"/>
        <v>1</v>
      </c>
      <c r="N621" s="1" t="b">
        <f t="shared" si="49"/>
        <v>1</v>
      </c>
      <c r="O621" s="8" t="str">
        <f>IF(F621="","",IF($F$2=入力リスト!$H$25,ROUNDDOWN(INT(F621)+ROUNDDOWN((F621-INT(F621))*100,0)/60,2),F621))</f>
        <v/>
      </c>
      <c r="P621" s="7"/>
      <c r="Q621" s="7"/>
    </row>
    <row r="622" spans="1:17">
      <c r="A622" s="105"/>
      <c r="B622" s="2"/>
      <c r="C622" s="254"/>
      <c r="D622" s="254"/>
      <c r="E622" s="254"/>
      <c r="F622" s="255"/>
      <c r="G622" s="215" t="str">
        <f>IF(AND($B622="",OR(B622&lt;&gt;"",C622&lt;&gt;"",D622&lt;&gt;"",E622&lt;&gt;"",F622&lt;&gt;"")),入力リスト!$K$34,IF($I622=TRUE,入力リスト!$K$35,IF(J622=FALSE,"「毎月の固定給与額」","")&amp;IF(AND(J622=FALSE,OR(K622=FALSE,L622=FALSE,M622=FALSE)),",","")&amp;IF(K622=FALSE,"「賞与額等」","")&amp;IF(AND(K622=FALSE,OR(L622=FALSE,M622=FALSE)),",","")&amp;IF(L622=FALSE,"「残業手当」","")&amp;IF(AND(L622=FALSE,M622=FALSE),",","")&amp;IF(M622=FALSE,"「残業時間」","")&amp;IF(OR(J622=FALSE,K622=FALSE,L622=FALSE,M622=FALSE),入力リスト!$K$36,"")&amp;IF(N622,"",入力リスト!$K$37)))</f>
        <v/>
      </c>
      <c r="H622" s="215"/>
      <c r="I622" s="1" t="b">
        <f>IF(B622="",FALSE,COUNTIF('従業員情報(給与以外)'!$A$4:$A$1000000,$B622)=0)</f>
        <v>0</v>
      </c>
      <c r="J622" s="8" t="b">
        <f t="shared" si="45"/>
        <v>1</v>
      </c>
      <c r="K622" s="8" t="b">
        <f t="shared" si="46"/>
        <v>1</v>
      </c>
      <c r="L622" s="8" t="b">
        <f t="shared" si="47"/>
        <v>1</v>
      </c>
      <c r="M622" s="8" t="b">
        <f t="shared" si="48"/>
        <v>1</v>
      </c>
      <c r="N622" s="1" t="b">
        <f t="shared" si="49"/>
        <v>1</v>
      </c>
      <c r="O622" s="8" t="str">
        <f>IF(F622="","",IF($F$2=入力リスト!$H$25,ROUNDDOWN(INT(F622)+ROUNDDOWN((F622-INT(F622))*100,0)/60,2),F622))</f>
        <v/>
      </c>
      <c r="P622" s="7"/>
      <c r="Q622" s="7"/>
    </row>
    <row r="623" spans="1:17">
      <c r="A623" s="105"/>
      <c r="B623" s="2"/>
      <c r="C623" s="254"/>
      <c r="D623" s="254"/>
      <c r="E623" s="254"/>
      <c r="F623" s="255"/>
      <c r="G623" s="215" t="str">
        <f>IF(AND($B623="",OR(B623&lt;&gt;"",C623&lt;&gt;"",D623&lt;&gt;"",E623&lt;&gt;"",F623&lt;&gt;"")),入力リスト!$K$34,IF($I623=TRUE,入力リスト!$K$35,IF(J623=FALSE,"「毎月の固定給与額」","")&amp;IF(AND(J623=FALSE,OR(K623=FALSE,L623=FALSE,M623=FALSE)),",","")&amp;IF(K623=FALSE,"「賞与額等」","")&amp;IF(AND(K623=FALSE,OR(L623=FALSE,M623=FALSE)),",","")&amp;IF(L623=FALSE,"「残業手当」","")&amp;IF(AND(L623=FALSE,M623=FALSE),",","")&amp;IF(M623=FALSE,"「残業時間」","")&amp;IF(OR(J623=FALSE,K623=FALSE,L623=FALSE,M623=FALSE),入力リスト!$K$36,"")&amp;IF(N623,"",入力リスト!$K$37)))</f>
        <v/>
      </c>
      <c r="H623" s="215"/>
      <c r="I623" s="1" t="b">
        <f>IF(B623="",FALSE,COUNTIF('従業員情報(給与以外)'!$A$4:$A$1000000,$B623)=0)</f>
        <v>0</v>
      </c>
      <c r="J623" s="8" t="b">
        <f t="shared" si="45"/>
        <v>1</v>
      </c>
      <c r="K623" s="8" t="b">
        <f t="shared" si="46"/>
        <v>1</v>
      </c>
      <c r="L623" s="8" t="b">
        <f t="shared" si="47"/>
        <v>1</v>
      </c>
      <c r="M623" s="8" t="b">
        <f t="shared" si="48"/>
        <v>1</v>
      </c>
      <c r="N623" s="1" t="b">
        <f t="shared" si="49"/>
        <v>1</v>
      </c>
      <c r="O623" s="8" t="str">
        <f>IF(F623="","",IF($F$2=入力リスト!$H$25,ROUNDDOWN(INT(F623)+ROUNDDOWN((F623-INT(F623))*100,0)/60,2),F623))</f>
        <v/>
      </c>
      <c r="P623" s="7"/>
      <c r="Q623" s="7"/>
    </row>
    <row r="624" spans="1:17">
      <c r="A624" s="105"/>
      <c r="B624" s="2"/>
      <c r="C624" s="254"/>
      <c r="D624" s="254"/>
      <c r="E624" s="254"/>
      <c r="F624" s="255"/>
      <c r="G624" s="215" t="str">
        <f>IF(AND($B624="",OR(B624&lt;&gt;"",C624&lt;&gt;"",D624&lt;&gt;"",E624&lt;&gt;"",F624&lt;&gt;"")),入力リスト!$K$34,IF($I624=TRUE,入力リスト!$K$35,IF(J624=FALSE,"「毎月の固定給与額」","")&amp;IF(AND(J624=FALSE,OR(K624=FALSE,L624=FALSE,M624=FALSE)),",","")&amp;IF(K624=FALSE,"「賞与額等」","")&amp;IF(AND(K624=FALSE,OR(L624=FALSE,M624=FALSE)),",","")&amp;IF(L624=FALSE,"「残業手当」","")&amp;IF(AND(L624=FALSE,M624=FALSE),",","")&amp;IF(M624=FALSE,"「残業時間」","")&amp;IF(OR(J624=FALSE,K624=FALSE,L624=FALSE,M624=FALSE),入力リスト!$K$36,"")&amp;IF(N624,"",入力リスト!$K$37)))</f>
        <v/>
      </c>
      <c r="H624" s="215"/>
      <c r="I624" s="1" t="b">
        <f>IF(B624="",FALSE,COUNTIF('従業員情報(給与以外)'!$A$4:$A$1000000,$B624)=0)</f>
        <v>0</v>
      </c>
      <c r="J624" s="8" t="b">
        <f t="shared" si="45"/>
        <v>1</v>
      </c>
      <c r="K624" s="8" t="b">
        <f t="shared" si="46"/>
        <v>1</v>
      </c>
      <c r="L624" s="8" t="b">
        <f t="shared" si="47"/>
        <v>1</v>
      </c>
      <c r="M624" s="8" t="b">
        <f t="shared" si="48"/>
        <v>1</v>
      </c>
      <c r="N624" s="1" t="b">
        <f t="shared" si="49"/>
        <v>1</v>
      </c>
      <c r="O624" s="8" t="str">
        <f>IF(F624="","",IF($F$2=入力リスト!$H$25,ROUNDDOWN(INT(F624)+ROUNDDOWN((F624-INT(F624))*100,0)/60,2),F624))</f>
        <v/>
      </c>
      <c r="P624" s="7"/>
      <c r="Q624" s="7"/>
    </row>
    <row r="625" spans="1:17">
      <c r="A625" s="105"/>
      <c r="B625" s="2"/>
      <c r="C625" s="254"/>
      <c r="D625" s="254"/>
      <c r="E625" s="254"/>
      <c r="F625" s="255"/>
      <c r="G625" s="215" t="str">
        <f>IF(AND($B625="",OR(B625&lt;&gt;"",C625&lt;&gt;"",D625&lt;&gt;"",E625&lt;&gt;"",F625&lt;&gt;"")),入力リスト!$K$34,IF($I625=TRUE,入力リスト!$K$35,IF(J625=FALSE,"「毎月の固定給与額」","")&amp;IF(AND(J625=FALSE,OR(K625=FALSE,L625=FALSE,M625=FALSE)),",","")&amp;IF(K625=FALSE,"「賞与額等」","")&amp;IF(AND(K625=FALSE,OR(L625=FALSE,M625=FALSE)),",","")&amp;IF(L625=FALSE,"「残業手当」","")&amp;IF(AND(L625=FALSE,M625=FALSE),",","")&amp;IF(M625=FALSE,"「残業時間」","")&amp;IF(OR(J625=FALSE,K625=FALSE,L625=FALSE,M625=FALSE),入力リスト!$K$36,"")&amp;IF(N625,"",入力リスト!$K$37)))</f>
        <v/>
      </c>
      <c r="H625" s="215"/>
      <c r="I625" s="1" t="b">
        <f>IF(B625="",FALSE,COUNTIF('従業員情報(給与以外)'!$A$4:$A$1000000,$B625)=0)</f>
        <v>0</v>
      </c>
      <c r="J625" s="8" t="b">
        <f t="shared" si="45"/>
        <v>1</v>
      </c>
      <c r="K625" s="8" t="b">
        <f t="shared" si="46"/>
        <v>1</v>
      </c>
      <c r="L625" s="8" t="b">
        <f t="shared" si="47"/>
        <v>1</v>
      </c>
      <c r="M625" s="8" t="b">
        <f t="shared" si="48"/>
        <v>1</v>
      </c>
      <c r="N625" s="1" t="b">
        <f t="shared" si="49"/>
        <v>1</v>
      </c>
      <c r="O625" s="8" t="str">
        <f>IF(F625="","",IF($F$2=入力リスト!$H$25,ROUNDDOWN(INT(F625)+ROUNDDOWN((F625-INT(F625))*100,0)/60,2),F625))</f>
        <v/>
      </c>
      <c r="P625" s="7"/>
      <c r="Q625" s="7"/>
    </row>
    <row r="626" spans="1:17">
      <c r="A626" s="105"/>
      <c r="B626" s="2"/>
      <c r="C626" s="254"/>
      <c r="D626" s="254"/>
      <c r="E626" s="254"/>
      <c r="F626" s="255"/>
      <c r="G626" s="215" t="str">
        <f>IF(AND($B626="",OR(B626&lt;&gt;"",C626&lt;&gt;"",D626&lt;&gt;"",E626&lt;&gt;"",F626&lt;&gt;"")),入力リスト!$K$34,IF($I626=TRUE,入力リスト!$K$35,IF(J626=FALSE,"「毎月の固定給与額」","")&amp;IF(AND(J626=FALSE,OR(K626=FALSE,L626=FALSE,M626=FALSE)),",","")&amp;IF(K626=FALSE,"「賞与額等」","")&amp;IF(AND(K626=FALSE,OR(L626=FALSE,M626=FALSE)),",","")&amp;IF(L626=FALSE,"「残業手当」","")&amp;IF(AND(L626=FALSE,M626=FALSE),",","")&amp;IF(M626=FALSE,"「残業時間」","")&amp;IF(OR(J626=FALSE,K626=FALSE,L626=FALSE,M626=FALSE),入力リスト!$K$36,"")&amp;IF(N626,"",入力リスト!$K$37)))</f>
        <v/>
      </c>
      <c r="H626" s="215"/>
      <c r="I626" s="1" t="b">
        <f>IF(B626="",FALSE,COUNTIF('従業員情報(給与以外)'!$A$4:$A$1000000,$B626)=0)</f>
        <v>0</v>
      </c>
      <c r="J626" s="8" t="b">
        <f t="shared" si="45"/>
        <v>1</v>
      </c>
      <c r="K626" s="8" t="b">
        <f t="shared" si="46"/>
        <v>1</v>
      </c>
      <c r="L626" s="8" t="b">
        <f t="shared" si="47"/>
        <v>1</v>
      </c>
      <c r="M626" s="8" t="b">
        <f t="shared" si="48"/>
        <v>1</v>
      </c>
      <c r="N626" s="1" t="b">
        <f t="shared" si="49"/>
        <v>1</v>
      </c>
      <c r="O626" s="8" t="str">
        <f>IF(F626="","",IF($F$2=入力リスト!$H$25,ROUNDDOWN(INT(F626)+ROUNDDOWN((F626-INT(F626))*100,0)/60,2),F626))</f>
        <v/>
      </c>
      <c r="P626" s="7"/>
      <c r="Q626" s="7"/>
    </row>
    <row r="627" spans="1:17">
      <c r="A627" s="105"/>
      <c r="B627" s="2"/>
      <c r="C627" s="254"/>
      <c r="D627" s="254"/>
      <c r="E627" s="254"/>
      <c r="F627" s="255"/>
      <c r="G627" s="215" t="str">
        <f>IF(AND($B627="",OR(B627&lt;&gt;"",C627&lt;&gt;"",D627&lt;&gt;"",E627&lt;&gt;"",F627&lt;&gt;"")),入力リスト!$K$34,IF($I627=TRUE,入力リスト!$K$35,IF(J627=FALSE,"「毎月の固定給与額」","")&amp;IF(AND(J627=FALSE,OR(K627=FALSE,L627=FALSE,M627=FALSE)),",","")&amp;IF(K627=FALSE,"「賞与額等」","")&amp;IF(AND(K627=FALSE,OR(L627=FALSE,M627=FALSE)),",","")&amp;IF(L627=FALSE,"「残業手当」","")&amp;IF(AND(L627=FALSE,M627=FALSE),",","")&amp;IF(M627=FALSE,"「残業時間」","")&amp;IF(OR(J627=FALSE,K627=FALSE,L627=FALSE,M627=FALSE),入力リスト!$K$36,"")&amp;IF(N627,"",入力リスト!$K$37)))</f>
        <v/>
      </c>
      <c r="H627" s="215"/>
      <c r="I627" s="1" t="b">
        <f>IF(B627="",FALSE,COUNTIF('従業員情報(給与以外)'!$A$4:$A$1000000,$B627)=0)</f>
        <v>0</v>
      </c>
      <c r="J627" s="8" t="b">
        <f t="shared" si="45"/>
        <v>1</v>
      </c>
      <c r="K627" s="8" t="b">
        <f t="shared" si="46"/>
        <v>1</v>
      </c>
      <c r="L627" s="8" t="b">
        <f t="shared" si="47"/>
        <v>1</v>
      </c>
      <c r="M627" s="8" t="b">
        <f t="shared" si="48"/>
        <v>1</v>
      </c>
      <c r="N627" s="1" t="b">
        <f t="shared" si="49"/>
        <v>1</v>
      </c>
      <c r="O627" s="8" t="str">
        <f>IF(F627="","",IF($F$2=入力リスト!$H$25,ROUNDDOWN(INT(F627)+ROUNDDOWN((F627-INT(F627))*100,0)/60,2),F627))</f>
        <v/>
      </c>
      <c r="P627" s="7"/>
      <c r="Q627" s="7"/>
    </row>
    <row r="628" spans="1:17">
      <c r="A628" s="105"/>
      <c r="B628" s="2"/>
      <c r="C628" s="254"/>
      <c r="D628" s="254"/>
      <c r="E628" s="254"/>
      <c r="F628" s="255"/>
      <c r="G628" s="215" t="str">
        <f>IF(AND($B628="",OR(B628&lt;&gt;"",C628&lt;&gt;"",D628&lt;&gt;"",E628&lt;&gt;"",F628&lt;&gt;"")),入力リスト!$K$34,IF($I628=TRUE,入力リスト!$K$35,IF(J628=FALSE,"「毎月の固定給与額」","")&amp;IF(AND(J628=FALSE,OR(K628=FALSE,L628=FALSE,M628=FALSE)),",","")&amp;IF(K628=FALSE,"「賞与額等」","")&amp;IF(AND(K628=FALSE,OR(L628=FALSE,M628=FALSE)),",","")&amp;IF(L628=FALSE,"「残業手当」","")&amp;IF(AND(L628=FALSE,M628=FALSE),",","")&amp;IF(M628=FALSE,"「残業時間」","")&amp;IF(OR(J628=FALSE,K628=FALSE,L628=FALSE,M628=FALSE),入力リスト!$K$36,"")&amp;IF(N628,"",入力リスト!$K$37)))</f>
        <v/>
      </c>
      <c r="H628" s="215"/>
      <c r="I628" s="1" t="b">
        <f>IF(B628="",FALSE,COUNTIF('従業員情報(給与以外)'!$A$4:$A$1000000,$B628)=0)</f>
        <v>0</v>
      </c>
      <c r="J628" s="8" t="b">
        <f t="shared" si="45"/>
        <v>1</v>
      </c>
      <c r="K628" s="8" t="b">
        <f t="shared" si="46"/>
        <v>1</v>
      </c>
      <c r="L628" s="8" t="b">
        <f t="shared" si="47"/>
        <v>1</v>
      </c>
      <c r="M628" s="8" t="b">
        <f t="shared" si="48"/>
        <v>1</v>
      </c>
      <c r="N628" s="1" t="b">
        <f t="shared" si="49"/>
        <v>1</v>
      </c>
      <c r="O628" s="8" t="str">
        <f>IF(F628="","",IF($F$2=入力リスト!$H$25,ROUNDDOWN(INT(F628)+ROUNDDOWN((F628-INT(F628))*100,0)/60,2),F628))</f>
        <v/>
      </c>
      <c r="P628" s="7"/>
      <c r="Q628" s="7"/>
    </row>
    <row r="629" spans="1:17">
      <c r="A629" s="105"/>
      <c r="B629" s="2"/>
      <c r="C629" s="254"/>
      <c r="D629" s="254"/>
      <c r="E629" s="254"/>
      <c r="F629" s="255"/>
      <c r="G629" s="215" t="str">
        <f>IF(AND($B629="",OR(B629&lt;&gt;"",C629&lt;&gt;"",D629&lt;&gt;"",E629&lt;&gt;"",F629&lt;&gt;"")),入力リスト!$K$34,IF($I629=TRUE,入力リスト!$K$35,IF(J629=FALSE,"「毎月の固定給与額」","")&amp;IF(AND(J629=FALSE,OR(K629=FALSE,L629=FALSE,M629=FALSE)),",","")&amp;IF(K629=FALSE,"「賞与額等」","")&amp;IF(AND(K629=FALSE,OR(L629=FALSE,M629=FALSE)),",","")&amp;IF(L629=FALSE,"「残業手当」","")&amp;IF(AND(L629=FALSE,M629=FALSE),",","")&amp;IF(M629=FALSE,"「残業時間」","")&amp;IF(OR(J629=FALSE,K629=FALSE,L629=FALSE,M629=FALSE),入力リスト!$K$36,"")&amp;IF(N629,"",入力リスト!$K$37)))</f>
        <v/>
      </c>
      <c r="H629" s="215"/>
      <c r="I629" s="1" t="b">
        <f>IF(B629="",FALSE,COUNTIF('従業員情報(給与以外)'!$A$4:$A$1000000,$B629)=0)</f>
        <v>0</v>
      </c>
      <c r="J629" s="8" t="b">
        <f t="shared" si="45"/>
        <v>1</v>
      </c>
      <c r="K629" s="8" t="b">
        <f t="shared" si="46"/>
        <v>1</v>
      </c>
      <c r="L629" s="8" t="b">
        <f t="shared" si="47"/>
        <v>1</v>
      </c>
      <c r="M629" s="8" t="b">
        <f t="shared" si="48"/>
        <v>1</v>
      </c>
      <c r="N629" s="1" t="b">
        <f t="shared" si="49"/>
        <v>1</v>
      </c>
      <c r="O629" s="8" t="str">
        <f>IF(F629="","",IF($F$2=入力リスト!$H$25,ROUNDDOWN(INT(F629)+ROUNDDOWN((F629-INT(F629))*100,0)/60,2),F629))</f>
        <v/>
      </c>
      <c r="P629" s="7"/>
      <c r="Q629" s="7"/>
    </row>
    <row r="630" spans="1:17">
      <c r="A630" s="105"/>
      <c r="B630" s="2"/>
      <c r="C630" s="254"/>
      <c r="D630" s="254"/>
      <c r="E630" s="254"/>
      <c r="F630" s="255"/>
      <c r="G630" s="215" t="str">
        <f>IF(AND($B630="",OR(B630&lt;&gt;"",C630&lt;&gt;"",D630&lt;&gt;"",E630&lt;&gt;"",F630&lt;&gt;"")),入力リスト!$K$34,IF($I630=TRUE,入力リスト!$K$35,IF(J630=FALSE,"「毎月の固定給与額」","")&amp;IF(AND(J630=FALSE,OR(K630=FALSE,L630=FALSE,M630=FALSE)),",","")&amp;IF(K630=FALSE,"「賞与額等」","")&amp;IF(AND(K630=FALSE,OR(L630=FALSE,M630=FALSE)),",","")&amp;IF(L630=FALSE,"「残業手当」","")&amp;IF(AND(L630=FALSE,M630=FALSE),",","")&amp;IF(M630=FALSE,"「残業時間」","")&amp;IF(OR(J630=FALSE,K630=FALSE,L630=FALSE,M630=FALSE),入力リスト!$K$36,"")&amp;IF(N630,"",入力リスト!$K$37)))</f>
        <v/>
      </c>
      <c r="H630" s="215"/>
      <c r="I630" s="1" t="b">
        <f>IF(B630="",FALSE,COUNTIF('従業員情報(給与以外)'!$A$4:$A$1000000,$B630)=0)</f>
        <v>0</v>
      </c>
      <c r="J630" s="8" t="b">
        <f t="shared" si="45"/>
        <v>1</v>
      </c>
      <c r="K630" s="8" t="b">
        <f t="shared" si="46"/>
        <v>1</v>
      </c>
      <c r="L630" s="8" t="b">
        <f t="shared" si="47"/>
        <v>1</v>
      </c>
      <c r="M630" s="8" t="b">
        <f t="shared" si="48"/>
        <v>1</v>
      </c>
      <c r="N630" s="1" t="b">
        <f t="shared" si="49"/>
        <v>1</v>
      </c>
      <c r="O630" s="8" t="str">
        <f>IF(F630="","",IF($F$2=入力リスト!$H$25,ROUNDDOWN(INT(F630)+ROUNDDOWN((F630-INT(F630))*100,0)/60,2),F630))</f>
        <v/>
      </c>
      <c r="P630" s="7"/>
      <c r="Q630" s="7"/>
    </row>
    <row r="631" spans="1:17">
      <c r="A631" s="105"/>
      <c r="B631" s="2"/>
      <c r="C631" s="254"/>
      <c r="D631" s="254"/>
      <c r="E631" s="254"/>
      <c r="F631" s="255"/>
      <c r="G631" s="215" t="str">
        <f>IF(AND($B631="",OR(B631&lt;&gt;"",C631&lt;&gt;"",D631&lt;&gt;"",E631&lt;&gt;"",F631&lt;&gt;"")),入力リスト!$K$34,IF($I631=TRUE,入力リスト!$K$35,IF(J631=FALSE,"「毎月の固定給与額」","")&amp;IF(AND(J631=FALSE,OR(K631=FALSE,L631=FALSE,M631=FALSE)),",","")&amp;IF(K631=FALSE,"「賞与額等」","")&amp;IF(AND(K631=FALSE,OR(L631=FALSE,M631=FALSE)),",","")&amp;IF(L631=FALSE,"「残業手当」","")&amp;IF(AND(L631=FALSE,M631=FALSE),",","")&amp;IF(M631=FALSE,"「残業時間」","")&amp;IF(OR(J631=FALSE,K631=FALSE,L631=FALSE,M631=FALSE),入力リスト!$K$36,"")&amp;IF(N631,"",入力リスト!$K$37)))</f>
        <v/>
      </c>
      <c r="H631" s="215"/>
      <c r="I631" s="1" t="b">
        <f>IF(B631="",FALSE,COUNTIF('従業員情報(給与以外)'!$A$4:$A$1000000,$B631)=0)</f>
        <v>0</v>
      </c>
      <c r="J631" s="8" t="b">
        <f t="shared" si="45"/>
        <v>1</v>
      </c>
      <c r="K631" s="8" t="b">
        <f t="shared" si="46"/>
        <v>1</v>
      </c>
      <c r="L631" s="8" t="b">
        <f t="shared" si="47"/>
        <v>1</v>
      </c>
      <c r="M631" s="8" t="b">
        <f t="shared" si="48"/>
        <v>1</v>
      </c>
      <c r="N631" s="1" t="b">
        <f t="shared" si="49"/>
        <v>1</v>
      </c>
      <c r="O631" s="8" t="str">
        <f>IF(F631="","",IF($F$2=入力リスト!$H$25,ROUNDDOWN(INT(F631)+ROUNDDOWN((F631-INT(F631))*100,0)/60,2),F631))</f>
        <v/>
      </c>
      <c r="P631" s="7"/>
      <c r="Q631" s="7"/>
    </row>
    <row r="632" spans="1:17">
      <c r="A632" s="105"/>
      <c r="B632" s="2"/>
      <c r="C632" s="254"/>
      <c r="D632" s="254"/>
      <c r="E632" s="254"/>
      <c r="F632" s="255"/>
      <c r="G632" s="215" t="str">
        <f>IF(AND($B632="",OR(B632&lt;&gt;"",C632&lt;&gt;"",D632&lt;&gt;"",E632&lt;&gt;"",F632&lt;&gt;"")),入力リスト!$K$34,IF($I632=TRUE,入力リスト!$K$35,IF(J632=FALSE,"「毎月の固定給与額」","")&amp;IF(AND(J632=FALSE,OR(K632=FALSE,L632=FALSE,M632=FALSE)),",","")&amp;IF(K632=FALSE,"「賞与額等」","")&amp;IF(AND(K632=FALSE,OR(L632=FALSE,M632=FALSE)),",","")&amp;IF(L632=FALSE,"「残業手当」","")&amp;IF(AND(L632=FALSE,M632=FALSE),",","")&amp;IF(M632=FALSE,"「残業時間」","")&amp;IF(OR(J632=FALSE,K632=FALSE,L632=FALSE,M632=FALSE),入力リスト!$K$36,"")&amp;IF(N632,"",入力リスト!$K$37)))</f>
        <v/>
      </c>
      <c r="H632" s="215"/>
      <c r="I632" s="1" t="b">
        <f>IF(B632="",FALSE,COUNTIF('従業員情報(給与以外)'!$A$4:$A$1000000,$B632)=0)</f>
        <v>0</v>
      </c>
      <c r="J632" s="8" t="b">
        <f t="shared" si="45"/>
        <v>1</v>
      </c>
      <c r="K632" s="8" t="b">
        <f t="shared" si="46"/>
        <v>1</v>
      </c>
      <c r="L632" s="8" t="b">
        <f t="shared" si="47"/>
        <v>1</v>
      </c>
      <c r="M632" s="8" t="b">
        <f t="shared" si="48"/>
        <v>1</v>
      </c>
      <c r="N632" s="1" t="b">
        <f t="shared" si="49"/>
        <v>1</v>
      </c>
      <c r="O632" s="8" t="str">
        <f>IF(F632="","",IF($F$2=入力リスト!$H$25,ROUNDDOWN(INT(F632)+ROUNDDOWN((F632-INT(F632))*100,0)/60,2),F632))</f>
        <v/>
      </c>
      <c r="P632" s="7"/>
      <c r="Q632" s="7"/>
    </row>
    <row r="633" spans="1:17">
      <c r="A633" s="105"/>
      <c r="B633" s="2"/>
      <c r="C633" s="254"/>
      <c r="D633" s="254"/>
      <c r="E633" s="254"/>
      <c r="F633" s="255"/>
      <c r="G633" s="215" t="str">
        <f>IF(AND($B633="",OR(B633&lt;&gt;"",C633&lt;&gt;"",D633&lt;&gt;"",E633&lt;&gt;"",F633&lt;&gt;"")),入力リスト!$K$34,IF($I633=TRUE,入力リスト!$K$35,IF(J633=FALSE,"「毎月の固定給与額」","")&amp;IF(AND(J633=FALSE,OR(K633=FALSE,L633=FALSE,M633=FALSE)),",","")&amp;IF(K633=FALSE,"「賞与額等」","")&amp;IF(AND(K633=FALSE,OR(L633=FALSE,M633=FALSE)),",","")&amp;IF(L633=FALSE,"「残業手当」","")&amp;IF(AND(L633=FALSE,M633=FALSE),",","")&amp;IF(M633=FALSE,"「残業時間」","")&amp;IF(OR(J633=FALSE,K633=FALSE,L633=FALSE,M633=FALSE),入力リスト!$K$36,"")&amp;IF(N633,"",入力リスト!$K$37)))</f>
        <v/>
      </c>
      <c r="H633" s="215"/>
      <c r="I633" s="1" t="b">
        <f>IF(B633="",FALSE,COUNTIF('従業員情報(給与以外)'!$A$4:$A$1000000,$B633)=0)</f>
        <v>0</v>
      </c>
      <c r="J633" s="8" t="b">
        <f t="shared" si="45"/>
        <v>1</v>
      </c>
      <c r="K633" s="8" t="b">
        <f t="shared" si="46"/>
        <v>1</v>
      </c>
      <c r="L633" s="8" t="b">
        <f t="shared" si="47"/>
        <v>1</v>
      </c>
      <c r="M633" s="8" t="b">
        <f t="shared" si="48"/>
        <v>1</v>
      </c>
      <c r="N633" s="1" t="b">
        <f t="shared" si="49"/>
        <v>1</v>
      </c>
      <c r="O633" s="8" t="str">
        <f>IF(F633="","",IF($F$2=入力リスト!$H$25,ROUNDDOWN(INT(F633)+ROUNDDOWN((F633-INT(F633))*100,0)/60,2),F633))</f>
        <v/>
      </c>
      <c r="P633" s="7"/>
      <c r="Q633" s="7"/>
    </row>
    <row r="634" spans="1:17">
      <c r="A634" s="105"/>
      <c r="B634" s="2"/>
      <c r="C634" s="254"/>
      <c r="D634" s="254"/>
      <c r="E634" s="254"/>
      <c r="F634" s="255"/>
      <c r="G634" s="215" t="str">
        <f>IF(AND($B634="",OR(B634&lt;&gt;"",C634&lt;&gt;"",D634&lt;&gt;"",E634&lt;&gt;"",F634&lt;&gt;"")),入力リスト!$K$34,IF($I634=TRUE,入力リスト!$K$35,IF(J634=FALSE,"「毎月の固定給与額」","")&amp;IF(AND(J634=FALSE,OR(K634=FALSE,L634=FALSE,M634=FALSE)),",","")&amp;IF(K634=FALSE,"「賞与額等」","")&amp;IF(AND(K634=FALSE,OR(L634=FALSE,M634=FALSE)),",","")&amp;IF(L634=FALSE,"「残業手当」","")&amp;IF(AND(L634=FALSE,M634=FALSE),",","")&amp;IF(M634=FALSE,"「残業時間」","")&amp;IF(OR(J634=FALSE,K634=FALSE,L634=FALSE,M634=FALSE),入力リスト!$K$36,"")&amp;IF(N634,"",入力リスト!$K$37)))</f>
        <v/>
      </c>
      <c r="H634" s="215"/>
      <c r="I634" s="1" t="b">
        <f>IF(B634="",FALSE,COUNTIF('従業員情報(給与以外)'!$A$4:$A$1000000,$B634)=0)</f>
        <v>0</v>
      </c>
      <c r="J634" s="8" t="b">
        <f t="shared" si="45"/>
        <v>1</v>
      </c>
      <c r="K634" s="8" t="b">
        <f t="shared" si="46"/>
        <v>1</v>
      </c>
      <c r="L634" s="8" t="b">
        <f t="shared" si="47"/>
        <v>1</v>
      </c>
      <c r="M634" s="8" t="b">
        <f t="shared" si="48"/>
        <v>1</v>
      </c>
      <c r="N634" s="1" t="b">
        <f t="shared" si="49"/>
        <v>1</v>
      </c>
      <c r="O634" s="8" t="str">
        <f>IF(F634="","",IF($F$2=入力リスト!$H$25,ROUNDDOWN(INT(F634)+ROUNDDOWN((F634-INT(F634))*100,0)/60,2),F634))</f>
        <v/>
      </c>
      <c r="P634" s="7"/>
      <c r="Q634" s="7"/>
    </row>
    <row r="635" spans="1:17">
      <c r="A635" s="105"/>
      <c r="B635" s="2"/>
      <c r="C635" s="254"/>
      <c r="D635" s="254"/>
      <c r="E635" s="254"/>
      <c r="F635" s="255"/>
      <c r="G635" s="215" t="str">
        <f>IF(AND($B635="",OR(B635&lt;&gt;"",C635&lt;&gt;"",D635&lt;&gt;"",E635&lt;&gt;"",F635&lt;&gt;"")),入力リスト!$K$34,IF($I635=TRUE,入力リスト!$K$35,IF(J635=FALSE,"「毎月の固定給与額」","")&amp;IF(AND(J635=FALSE,OR(K635=FALSE,L635=FALSE,M635=FALSE)),",","")&amp;IF(K635=FALSE,"「賞与額等」","")&amp;IF(AND(K635=FALSE,OR(L635=FALSE,M635=FALSE)),",","")&amp;IF(L635=FALSE,"「残業手当」","")&amp;IF(AND(L635=FALSE,M635=FALSE),",","")&amp;IF(M635=FALSE,"「残業時間」","")&amp;IF(OR(J635=FALSE,K635=FALSE,L635=FALSE,M635=FALSE),入力リスト!$K$36,"")&amp;IF(N635,"",入力リスト!$K$37)))</f>
        <v/>
      </c>
      <c r="H635" s="215"/>
      <c r="I635" s="1" t="b">
        <f>IF(B635="",FALSE,COUNTIF('従業員情報(給与以外)'!$A$4:$A$1000000,$B635)=0)</f>
        <v>0</v>
      </c>
      <c r="J635" s="8" t="b">
        <f t="shared" si="45"/>
        <v>1</v>
      </c>
      <c r="K635" s="8" t="b">
        <f t="shared" si="46"/>
        <v>1</v>
      </c>
      <c r="L635" s="8" t="b">
        <f t="shared" si="47"/>
        <v>1</v>
      </c>
      <c r="M635" s="8" t="b">
        <f t="shared" si="48"/>
        <v>1</v>
      </c>
      <c r="N635" s="1" t="b">
        <f t="shared" si="49"/>
        <v>1</v>
      </c>
      <c r="O635" s="8" t="str">
        <f>IF(F635="","",IF($F$2=入力リスト!$H$25,ROUNDDOWN(INT(F635)+ROUNDDOWN((F635-INT(F635))*100,0)/60,2),F635))</f>
        <v/>
      </c>
      <c r="P635" s="7"/>
      <c r="Q635" s="7"/>
    </row>
    <row r="636" spans="1:17">
      <c r="A636" s="105"/>
      <c r="B636" s="2"/>
      <c r="C636" s="254"/>
      <c r="D636" s="254"/>
      <c r="E636" s="254"/>
      <c r="F636" s="255"/>
      <c r="G636" s="215" t="str">
        <f>IF(AND($B636="",OR(B636&lt;&gt;"",C636&lt;&gt;"",D636&lt;&gt;"",E636&lt;&gt;"",F636&lt;&gt;"")),入力リスト!$K$34,IF($I636=TRUE,入力リスト!$K$35,IF(J636=FALSE,"「毎月の固定給与額」","")&amp;IF(AND(J636=FALSE,OR(K636=FALSE,L636=FALSE,M636=FALSE)),",","")&amp;IF(K636=FALSE,"「賞与額等」","")&amp;IF(AND(K636=FALSE,OR(L636=FALSE,M636=FALSE)),",","")&amp;IF(L636=FALSE,"「残業手当」","")&amp;IF(AND(L636=FALSE,M636=FALSE),",","")&amp;IF(M636=FALSE,"「残業時間」","")&amp;IF(OR(J636=FALSE,K636=FALSE,L636=FALSE,M636=FALSE),入力リスト!$K$36,"")&amp;IF(N636,"",入力リスト!$K$37)))</f>
        <v/>
      </c>
      <c r="H636" s="215"/>
      <c r="I636" s="1" t="b">
        <f>IF(B636="",FALSE,COUNTIF('従業員情報(給与以外)'!$A$4:$A$1000000,$B636)=0)</f>
        <v>0</v>
      </c>
      <c r="J636" s="8" t="b">
        <f t="shared" si="45"/>
        <v>1</v>
      </c>
      <c r="K636" s="8" t="b">
        <f t="shared" si="46"/>
        <v>1</v>
      </c>
      <c r="L636" s="8" t="b">
        <f t="shared" si="47"/>
        <v>1</v>
      </c>
      <c r="M636" s="8" t="b">
        <f t="shared" si="48"/>
        <v>1</v>
      </c>
      <c r="N636" s="1" t="b">
        <f t="shared" si="49"/>
        <v>1</v>
      </c>
      <c r="O636" s="8" t="str">
        <f>IF(F636="","",IF($F$2=入力リスト!$H$25,ROUNDDOWN(INT(F636)+ROUNDDOWN((F636-INT(F636))*100,0)/60,2),F636))</f>
        <v/>
      </c>
      <c r="P636" s="7"/>
      <c r="Q636" s="7"/>
    </row>
    <row r="637" spans="1:17">
      <c r="A637" s="105"/>
      <c r="B637" s="2"/>
      <c r="C637" s="254"/>
      <c r="D637" s="254"/>
      <c r="E637" s="254"/>
      <c r="F637" s="255"/>
      <c r="G637" s="215" t="str">
        <f>IF(AND($B637="",OR(B637&lt;&gt;"",C637&lt;&gt;"",D637&lt;&gt;"",E637&lt;&gt;"",F637&lt;&gt;"")),入力リスト!$K$34,IF($I637=TRUE,入力リスト!$K$35,IF(J637=FALSE,"「毎月の固定給与額」","")&amp;IF(AND(J637=FALSE,OR(K637=FALSE,L637=FALSE,M637=FALSE)),",","")&amp;IF(K637=FALSE,"「賞与額等」","")&amp;IF(AND(K637=FALSE,OR(L637=FALSE,M637=FALSE)),",","")&amp;IF(L637=FALSE,"「残業手当」","")&amp;IF(AND(L637=FALSE,M637=FALSE),",","")&amp;IF(M637=FALSE,"「残業時間」","")&amp;IF(OR(J637=FALSE,K637=FALSE,L637=FALSE,M637=FALSE),入力リスト!$K$36,"")&amp;IF(N637,"",入力リスト!$K$37)))</f>
        <v/>
      </c>
      <c r="H637" s="215"/>
      <c r="I637" s="1" t="b">
        <f>IF(B637="",FALSE,COUNTIF('従業員情報(給与以外)'!$A$4:$A$1000000,$B637)=0)</f>
        <v>0</v>
      </c>
      <c r="J637" s="8" t="b">
        <f t="shared" si="45"/>
        <v>1</v>
      </c>
      <c r="K637" s="8" t="b">
        <f t="shared" si="46"/>
        <v>1</v>
      </c>
      <c r="L637" s="8" t="b">
        <f t="shared" si="47"/>
        <v>1</v>
      </c>
      <c r="M637" s="8" t="b">
        <f t="shared" si="48"/>
        <v>1</v>
      </c>
      <c r="N637" s="1" t="b">
        <f t="shared" si="49"/>
        <v>1</v>
      </c>
      <c r="O637" s="8" t="str">
        <f>IF(F637="","",IF($F$2=入力リスト!$H$25,ROUNDDOWN(INT(F637)+ROUNDDOWN((F637-INT(F637))*100,0)/60,2),F637))</f>
        <v/>
      </c>
      <c r="P637" s="7"/>
      <c r="Q637" s="7"/>
    </row>
    <row r="638" spans="1:17">
      <c r="A638" s="105"/>
      <c r="B638" s="2"/>
      <c r="C638" s="254"/>
      <c r="D638" s="254"/>
      <c r="E638" s="254"/>
      <c r="F638" s="255"/>
      <c r="G638" s="215" t="str">
        <f>IF(AND($B638="",OR(B638&lt;&gt;"",C638&lt;&gt;"",D638&lt;&gt;"",E638&lt;&gt;"",F638&lt;&gt;"")),入力リスト!$K$34,IF($I638=TRUE,入力リスト!$K$35,IF(J638=FALSE,"「毎月の固定給与額」","")&amp;IF(AND(J638=FALSE,OR(K638=FALSE,L638=FALSE,M638=FALSE)),",","")&amp;IF(K638=FALSE,"「賞与額等」","")&amp;IF(AND(K638=FALSE,OR(L638=FALSE,M638=FALSE)),",","")&amp;IF(L638=FALSE,"「残業手当」","")&amp;IF(AND(L638=FALSE,M638=FALSE),",","")&amp;IF(M638=FALSE,"「残業時間」","")&amp;IF(OR(J638=FALSE,K638=FALSE,L638=FALSE,M638=FALSE),入力リスト!$K$36,"")&amp;IF(N638,"",入力リスト!$K$37)))</f>
        <v/>
      </c>
      <c r="H638" s="215"/>
      <c r="I638" s="1" t="b">
        <f>IF(B638="",FALSE,COUNTIF('従業員情報(給与以外)'!$A$4:$A$1000000,$B638)=0)</f>
        <v>0</v>
      </c>
      <c r="J638" s="8" t="b">
        <f t="shared" si="45"/>
        <v>1</v>
      </c>
      <c r="K638" s="8" t="b">
        <f t="shared" si="46"/>
        <v>1</v>
      </c>
      <c r="L638" s="8" t="b">
        <f t="shared" si="47"/>
        <v>1</v>
      </c>
      <c r="M638" s="8" t="b">
        <f t="shared" si="48"/>
        <v>1</v>
      </c>
      <c r="N638" s="1" t="b">
        <f t="shared" si="49"/>
        <v>1</v>
      </c>
      <c r="O638" s="8" t="str">
        <f>IF(F638="","",IF($F$2=入力リスト!$H$25,ROUNDDOWN(INT(F638)+ROUNDDOWN((F638-INT(F638))*100,0)/60,2),F638))</f>
        <v/>
      </c>
      <c r="P638" s="7"/>
      <c r="Q638" s="7"/>
    </row>
    <row r="639" spans="1:17">
      <c r="A639" s="105"/>
      <c r="B639" s="2"/>
      <c r="C639" s="254"/>
      <c r="D639" s="254"/>
      <c r="E639" s="254"/>
      <c r="F639" s="255"/>
      <c r="G639" s="215" t="str">
        <f>IF(AND($B639="",OR(B639&lt;&gt;"",C639&lt;&gt;"",D639&lt;&gt;"",E639&lt;&gt;"",F639&lt;&gt;"")),入力リスト!$K$34,IF($I639=TRUE,入力リスト!$K$35,IF(J639=FALSE,"「毎月の固定給与額」","")&amp;IF(AND(J639=FALSE,OR(K639=FALSE,L639=FALSE,M639=FALSE)),",","")&amp;IF(K639=FALSE,"「賞与額等」","")&amp;IF(AND(K639=FALSE,OR(L639=FALSE,M639=FALSE)),",","")&amp;IF(L639=FALSE,"「残業手当」","")&amp;IF(AND(L639=FALSE,M639=FALSE),",","")&amp;IF(M639=FALSE,"「残業時間」","")&amp;IF(OR(J639=FALSE,K639=FALSE,L639=FALSE,M639=FALSE),入力リスト!$K$36,"")&amp;IF(N639,"",入力リスト!$K$37)))</f>
        <v/>
      </c>
      <c r="H639" s="215"/>
      <c r="I639" s="1" t="b">
        <f>IF(B639="",FALSE,COUNTIF('従業員情報(給与以外)'!$A$4:$A$1000000,$B639)=0)</f>
        <v>0</v>
      </c>
      <c r="J639" s="8" t="b">
        <f t="shared" si="45"/>
        <v>1</v>
      </c>
      <c r="K639" s="8" t="b">
        <f t="shared" si="46"/>
        <v>1</v>
      </c>
      <c r="L639" s="8" t="b">
        <f t="shared" si="47"/>
        <v>1</v>
      </c>
      <c r="M639" s="8" t="b">
        <f t="shared" si="48"/>
        <v>1</v>
      </c>
      <c r="N639" s="1" t="b">
        <f t="shared" si="49"/>
        <v>1</v>
      </c>
      <c r="O639" s="8" t="str">
        <f>IF(F639="","",IF($F$2=入力リスト!$H$25,ROUNDDOWN(INT(F639)+ROUNDDOWN((F639-INT(F639))*100,0)/60,2),F639))</f>
        <v/>
      </c>
      <c r="P639" s="7"/>
      <c r="Q639" s="7"/>
    </row>
    <row r="640" spans="1:17">
      <c r="A640" s="105"/>
      <c r="B640" s="2"/>
      <c r="C640" s="254"/>
      <c r="D640" s="254"/>
      <c r="E640" s="254"/>
      <c r="F640" s="255"/>
      <c r="G640" s="215" t="str">
        <f>IF(AND($B640="",OR(B640&lt;&gt;"",C640&lt;&gt;"",D640&lt;&gt;"",E640&lt;&gt;"",F640&lt;&gt;"")),入力リスト!$K$34,IF($I640=TRUE,入力リスト!$K$35,IF(J640=FALSE,"「毎月の固定給与額」","")&amp;IF(AND(J640=FALSE,OR(K640=FALSE,L640=FALSE,M640=FALSE)),",","")&amp;IF(K640=FALSE,"「賞与額等」","")&amp;IF(AND(K640=FALSE,OR(L640=FALSE,M640=FALSE)),",","")&amp;IF(L640=FALSE,"「残業手当」","")&amp;IF(AND(L640=FALSE,M640=FALSE),",","")&amp;IF(M640=FALSE,"「残業時間」","")&amp;IF(OR(J640=FALSE,K640=FALSE,L640=FALSE,M640=FALSE),入力リスト!$K$36,"")&amp;IF(N640,"",入力リスト!$K$37)))</f>
        <v/>
      </c>
      <c r="H640" s="215"/>
      <c r="I640" s="1" t="b">
        <f>IF(B640="",FALSE,COUNTIF('従業員情報(給与以外)'!$A$4:$A$1000000,$B640)=0)</f>
        <v>0</v>
      </c>
      <c r="J640" s="8" t="b">
        <f t="shared" si="45"/>
        <v>1</v>
      </c>
      <c r="K640" s="8" t="b">
        <f t="shared" si="46"/>
        <v>1</v>
      </c>
      <c r="L640" s="8" t="b">
        <f t="shared" si="47"/>
        <v>1</v>
      </c>
      <c r="M640" s="8" t="b">
        <f t="shared" si="48"/>
        <v>1</v>
      </c>
      <c r="N640" s="1" t="b">
        <f t="shared" si="49"/>
        <v>1</v>
      </c>
      <c r="O640" s="8" t="str">
        <f>IF(F640="","",IF($F$2=入力リスト!$H$25,ROUNDDOWN(INT(F640)+ROUNDDOWN((F640-INT(F640))*100,0)/60,2),F640))</f>
        <v/>
      </c>
      <c r="P640" s="7"/>
      <c r="Q640" s="7"/>
    </row>
    <row r="641" spans="1:17">
      <c r="A641" s="105"/>
      <c r="B641" s="2"/>
      <c r="C641" s="254"/>
      <c r="D641" s="254"/>
      <c r="E641" s="254"/>
      <c r="F641" s="255"/>
      <c r="G641" s="215" t="str">
        <f>IF(AND($B641="",OR(B641&lt;&gt;"",C641&lt;&gt;"",D641&lt;&gt;"",E641&lt;&gt;"",F641&lt;&gt;"")),入力リスト!$K$34,IF($I641=TRUE,入力リスト!$K$35,IF(J641=FALSE,"「毎月の固定給与額」","")&amp;IF(AND(J641=FALSE,OR(K641=FALSE,L641=FALSE,M641=FALSE)),",","")&amp;IF(K641=FALSE,"「賞与額等」","")&amp;IF(AND(K641=FALSE,OR(L641=FALSE,M641=FALSE)),",","")&amp;IF(L641=FALSE,"「残業手当」","")&amp;IF(AND(L641=FALSE,M641=FALSE),",","")&amp;IF(M641=FALSE,"「残業時間」","")&amp;IF(OR(J641=FALSE,K641=FALSE,L641=FALSE,M641=FALSE),入力リスト!$K$36,"")&amp;IF(N641,"",入力リスト!$K$37)))</f>
        <v/>
      </c>
      <c r="H641" s="215"/>
      <c r="I641" s="1" t="b">
        <f>IF(B641="",FALSE,COUNTIF('従業員情報(給与以外)'!$A$4:$A$1000000,$B641)=0)</f>
        <v>0</v>
      </c>
      <c r="J641" s="8" t="b">
        <f t="shared" si="45"/>
        <v>1</v>
      </c>
      <c r="K641" s="8" t="b">
        <f t="shared" si="46"/>
        <v>1</v>
      </c>
      <c r="L641" s="8" t="b">
        <f t="shared" si="47"/>
        <v>1</v>
      </c>
      <c r="M641" s="8" t="b">
        <f t="shared" si="48"/>
        <v>1</v>
      </c>
      <c r="N641" s="1" t="b">
        <f t="shared" si="49"/>
        <v>1</v>
      </c>
      <c r="O641" s="8" t="str">
        <f>IF(F641="","",IF($F$2=入力リスト!$H$25,ROUNDDOWN(INT(F641)+ROUNDDOWN((F641-INT(F641))*100,0)/60,2),F641))</f>
        <v/>
      </c>
      <c r="P641" s="7"/>
      <c r="Q641" s="7"/>
    </row>
    <row r="642" spans="1:17">
      <c r="A642" s="105"/>
      <c r="B642" s="2"/>
      <c r="C642" s="254"/>
      <c r="D642" s="254"/>
      <c r="E642" s="254"/>
      <c r="F642" s="255"/>
      <c r="G642" s="215" t="str">
        <f>IF(AND($B642="",OR(B642&lt;&gt;"",C642&lt;&gt;"",D642&lt;&gt;"",E642&lt;&gt;"",F642&lt;&gt;"")),入力リスト!$K$34,IF($I642=TRUE,入力リスト!$K$35,IF(J642=FALSE,"「毎月の固定給与額」","")&amp;IF(AND(J642=FALSE,OR(K642=FALSE,L642=FALSE,M642=FALSE)),",","")&amp;IF(K642=FALSE,"「賞与額等」","")&amp;IF(AND(K642=FALSE,OR(L642=FALSE,M642=FALSE)),",","")&amp;IF(L642=FALSE,"「残業手当」","")&amp;IF(AND(L642=FALSE,M642=FALSE),",","")&amp;IF(M642=FALSE,"「残業時間」","")&amp;IF(OR(J642=FALSE,K642=FALSE,L642=FALSE,M642=FALSE),入力リスト!$K$36,"")&amp;IF(N642,"",入力リスト!$K$37)))</f>
        <v/>
      </c>
      <c r="H642" s="215"/>
      <c r="I642" s="1" t="b">
        <f>IF(B642="",FALSE,COUNTIF('従業員情報(給与以外)'!$A$4:$A$1000000,$B642)=0)</f>
        <v>0</v>
      </c>
      <c r="J642" s="8" t="b">
        <f t="shared" si="45"/>
        <v>1</v>
      </c>
      <c r="K642" s="8" t="b">
        <f t="shared" si="46"/>
        <v>1</v>
      </c>
      <c r="L642" s="8" t="b">
        <f t="shared" si="47"/>
        <v>1</v>
      </c>
      <c r="M642" s="8" t="b">
        <f t="shared" si="48"/>
        <v>1</v>
      </c>
      <c r="N642" s="1" t="b">
        <f t="shared" si="49"/>
        <v>1</v>
      </c>
      <c r="O642" s="8" t="str">
        <f>IF(F642="","",IF($F$2=入力リスト!$H$25,ROUNDDOWN(INT(F642)+ROUNDDOWN((F642-INT(F642))*100,0)/60,2),F642))</f>
        <v/>
      </c>
      <c r="P642" s="7"/>
      <c r="Q642" s="7"/>
    </row>
    <row r="643" spans="1:17">
      <c r="A643" s="105"/>
      <c r="B643" s="2"/>
      <c r="C643" s="254"/>
      <c r="D643" s="254"/>
      <c r="E643" s="254"/>
      <c r="F643" s="255"/>
      <c r="G643" s="215" t="str">
        <f>IF(AND($B643="",OR(B643&lt;&gt;"",C643&lt;&gt;"",D643&lt;&gt;"",E643&lt;&gt;"",F643&lt;&gt;"")),入力リスト!$K$34,IF($I643=TRUE,入力リスト!$K$35,IF(J643=FALSE,"「毎月の固定給与額」","")&amp;IF(AND(J643=FALSE,OR(K643=FALSE,L643=FALSE,M643=FALSE)),",","")&amp;IF(K643=FALSE,"「賞与額等」","")&amp;IF(AND(K643=FALSE,OR(L643=FALSE,M643=FALSE)),",","")&amp;IF(L643=FALSE,"「残業手当」","")&amp;IF(AND(L643=FALSE,M643=FALSE),",","")&amp;IF(M643=FALSE,"「残業時間」","")&amp;IF(OR(J643=FALSE,K643=FALSE,L643=FALSE,M643=FALSE),入力リスト!$K$36,"")&amp;IF(N643,"",入力リスト!$K$37)))</f>
        <v/>
      </c>
      <c r="H643" s="215"/>
      <c r="I643" s="1" t="b">
        <f>IF(B643="",FALSE,COUNTIF('従業員情報(給与以外)'!$A$4:$A$1000000,$B643)=0)</f>
        <v>0</v>
      </c>
      <c r="J643" s="8" t="b">
        <f t="shared" si="45"/>
        <v>1</v>
      </c>
      <c r="K643" s="8" t="b">
        <f t="shared" si="46"/>
        <v>1</v>
      </c>
      <c r="L643" s="8" t="b">
        <f t="shared" si="47"/>
        <v>1</v>
      </c>
      <c r="M643" s="8" t="b">
        <f t="shared" si="48"/>
        <v>1</v>
      </c>
      <c r="N643" s="1" t="b">
        <f t="shared" si="49"/>
        <v>1</v>
      </c>
      <c r="O643" s="8" t="str">
        <f>IF(F643="","",IF($F$2=入力リスト!$H$25,ROUNDDOWN(INT(F643)+ROUNDDOWN((F643-INT(F643))*100,0)/60,2),F643))</f>
        <v/>
      </c>
      <c r="P643" s="7"/>
      <c r="Q643" s="7"/>
    </row>
    <row r="644" spans="1:17">
      <c r="A644" s="105"/>
      <c r="B644" s="2"/>
      <c r="C644" s="254"/>
      <c r="D644" s="254"/>
      <c r="E644" s="254"/>
      <c r="F644" s="255"/>
      <c r="G644" s="215" t="str">
        <f>IF(AND($B644="",OR(B644&lt;&gt;"",C644&lt;&gt;"",D644&lt;&gt;"",E644&lt;&gt;"",F644&lt;&gt;"")),入力リスト!$K$34,IF($I644=TRUE,入力リスト!$K$35,IF(J644=FALSE,"「毎月の固定給与額」","")&amp;IF(AND(J644=FALSE,OR(K644=FALSE,L644=FALSE,M644=FALSE)),",","")&amp;IF(K644=FALSE,"「賞与額等」","")&amp;IF(AND(K644=FALSE,OR(L644=FALSE,M644=FALSE)),",","")&amp;IF(L644=FALSE,"「残業手当」","")&amp;IF(AND(L644=FALSE,M644=FALSE),",","")&amp;IF(M644=FALSE,"「残業時間」","")&amp;IF(OR(J644=FALSE,K644=FALSE,L644=FALSE,M644=FALSE),入力リスト!$K$36,"")&amp;IF(N644,"",入力リスト!$K$37)))</f>
        <v/>
      </c>
      <c r="H644" s="215"/>
      <c r="I644" s="1" t="b">
        <f>IF(B644="",FALSE,COUNTIF('従業員情報(給与以外)'!$A$4:$A$1000000,$B644)=0)</f>
        <v>0</v>
      </c>
      <c r="J644" s="8" t="b">
        <f t="shared" si="45"/>
        <v>1</v>
      </c>
      <c r="K644" s="8" t="b">
        <f t="shared" si="46"/>
        <v>1</v>
      </c>
      <c r="L644" s="8" t="b">
        <f t="shared" si="47"/>
        <v>1</v>
      </c>
      <c r="M644" s="8" t="b">
        <f t="shared" si="48"/>
        <v>1</v>
      </c>
      <c r="N644" s="1" t="b">
        <f t="shared" si="49"/>
        <v>1</v>
      </c>
      <c r="O644" s="8" t="str">
        <f>IF(F644="","",IF($F$2=入力リスト!$H$25,ROUNDDOWN(INT(F644)+ROUNDDOWN((F644-INT(F644))*100,0)/60,2),F644))</f>
        <v/>
      </c>
      <c r="P644" s="7"/>
      <c r="Q644" s="7"/>
    </row>
    <row r="645" spans="1:17">
      <c r="A645" s="105"/>
      <c r="B645" s="2"/>
      <c r="C645" s="254"/>
      <c r="D645" s="254"/>
      <c r="E645" s="254"/>
      <c r="F645" s="255"/>
      <c r="G645" s="215" t="str">
        <f>IF(AND($B645="",OR(B645&lt;&gt;"",C645&lt;&gt;"",D645&lt;&gt;"",E645&lt;&gt;"",F645&lt;&gt;"")),入力リスト!$K$34,IF($I645=TRUE,入力リスト!$K$35,IF(J645=FALSE,"「毎月の固定給与額」","")&amp;IF(AND(J645=FALSE,OR(K645=FALSE,L645=FALSE,M645=FALSE)),",","")&amp;IF(K645=FALSE,"「賞与額等」","")&amp;IF(AND(K645=FALSE,OR(L645=FALSE,M645=FALSE)),",","")&amp;IF(L645=FALSE,"「残業手当」","")&amp;IF(AND(L645=FALSE,M645=FALSE),",","")&amp;IF(M645=FALSE,"「残業時間」","")&amp;IF(OR(J645=FALSE,K645=FALSE,L645=FALSE,M645=FALSE),入力リスト!$K$36,"")&amp;IF(N645,"",入力リスト!$K$37)))</f>
        <v/>
      </c>
      <c r="H645" s="215"/>
      <c r="I645" s="1" t="b">
        <f>IF(B645="",FALSE,COUNTIF('従業員情報(給与以外)'!$A$4:$A$1000000,$B645)=0)</f>
        <v>0</v>
      </c>
      <c r="J645" s="8" t="b">
        <f t="shared" ref="J645:J708" si="50">OR(C645="",ISNUMBER(C645))</f>
        <v>1</v>
      </c>
      <c r="K645" s="8" t="b">
        <f t="shared" ref="K645:K708" si="51">OR(D645="",ISNUMBER(D645))</f>
        <v>1</v>
      </c>
      <c r="L645" s="8" t="b">
        <f t="shared" ref="L645:L708" si="52">OR(E645="",ISNUMBER(E645))</f>
        <v>1</v>
      </c>
      <c r="M645" s="8" t="b">
        <f t="shared" ref="M645:M708" si="53">OR(F645="",ISNUMBER(F645))</f>
        <v>1</v>
      </c>
      <c r="N645" s="1" t="b">
        <f t="shared" ref="N645:N708" si="54">IF($N$1,TRUE,IF($N$2,IF(F645-INT(F645)&lt;0.6,TRUE,FALSE),TRUE))</f>
        <v>1</v>
      </c>
      <c r="O645" s="8" t="str">
        <f>IF(F645="","",IF($F$2=入力リスト!$H$25,ROUNDDOWN(INT(F645)+ROUNDDOWN((F645-INT(F645))*100,0)/60,2),F645))</f>
        <v/>
      </c>
      <c r="P645" s="7"/>
      <c r="Q645" s="7"/>
    </row>
    <row r="646" spans="1:17">
      <c r="A646" s="105"/>
      <c r="B646" s="2"/>
      <c r="C646" s="254"/>
      <c r="D646" s="254"/>
      <c r="E646" s="254"/>
      <c r="F646" s="255"/>
      <c r="G646" s="215" t="str">
        <f>IF(AND($B646="",OR(B646&lt;&gt;"",C646&lt;&gt;"",D646&lt;&gt;"",E646&lt;&gt;"",F646&lt;&gt;"")),入力リスト!$K$34,IF($I646=TRUE,入力リスト!$K$35,IF(J646=FALSE,"「毎月の固定給与額」","")&amp;IF(AND(J646=FALSE,OR(K646=FALSE,L646=FALSE,M646=FALSE)),",","")&amp;IF(K646=FALSE,"「賞与額等」","")&amp;IF(AND(K646=FALSE,OR(L646=FALSE,M646=FALSE)),",","")&amp;IF(L646=FALSE,"「残業手当」","")&amp;IF(AND(L646=FALSE,M646=FALSE),",","")&amp;IF(M646=FALSE,"「残業時間」","")&amp;IF(OR(J646=FALSE,K646=FALSE,L646=FALSE,M646=FALSE),入力リスト!$K$36,"")&amp;IF(N646,"",入力リスト!$K$37)))</f>
        <v/>
      </c>
      <c r="H646" s="215"/>
      <c r="I646" s="1" t="b">
        <f>IF(B646="",FALSE,COUNTIF('従業員情報(給与以外)'!$A$4:$A$1000000,$B646)=0)</f>
        <v>0</v>
      </c>
      <c r="J646" s="8" t="b">
        <f t="shared" si="50"/>
        <v>1</v>
      </c>
      <c r="K646" s="8" t="b">
        <f t="shared" si="51"/>
        <v>1</v>
      </c>
      <c r="L646" s="8" t="b">
        <f t="shared" si="52"/>
        <v>1</v>
      </c>
      <c r="M646" s="8" t="b">
        <f t="shared" si="53"/>
        <v>1</v>
      </c>
      <c r="N646" s="1" t="b">
        <f t="shared" si="54"/>
        <v>1</v>
      </c>
      <c r="O646" s="8" t="str">
        <f>IF(F646="","",IF($F$2=入力リスト!$H$25,ROUNDDOWN(INT(F646)+ROUNDDOWN((F646-INT(F646))*100,0)/60,2),F646))</f>
        <v/>
      </c>
      <c r="P646" s="7"/>
      <c r="Q646" s="7"/>
    </row>
    <row r="647" spans="1:17">
      <c r="A647" s="105"/>
      <c r="B647" s="2"/>
      <c r="C647" s="254"/>
      <c r="D647" s="254"/>
      <c r="E647" s="254"/>
      <c r="F647" s="255"/>
      <c r="G647" s="215" t="str">
        <f>IF(AND($B647="",OR(B647&lt;&gt;"",C647&lt;&gt;"",D647&lt;&gt;"",E647&lt;&gt;"",F647&lt;&gt;"")),入力リスト!$K$34,IF($I647=TRUE,入力リスト!$K$35,IF(J647=FALSE,"「毎月の固定給与額」","")&amp;IF(AND(J647=FALSE,OR(K647=FALSE,L647=FALSE,M647=FALSE)),",","")&amp;IF(K647=FALSE,"「賞与額等」","")&amp;IF(AND(K647=FALSE,OR(L647=FALSE,M647=FALSE)),",","")&amp;IF(L647=FALSE,"「残業手当」","")&amp;IF(AND(L647=FALSE,M647=FALSE),",","")&amp;IF(M647=FALSE,"「残業時間」","")&amp;IF(OR(J647=FALSE,K647=FALSE,L647=FALSE,M647=FALSE),入力リスト!$K$36,"")&amp;IF(N647,"",入力リスト!$K$37)))</f>
        <v/>
      </c>
      <c r="H647" s="215"/>
      <c r="I647" s="1" t="b">
        <f>IF(B647="",FALSE,COUNTIF('従業員情報(給与以外)'!$A$4:$A$1000000,$B647)=0)</f>
        <v>0</v>
      </c>
      <c r="J647" s="8" t="b">
        <f t="shared" si="50"/>
        <v>1</v>
      </c>
      <c r="K647" s="8" t="b">
        <f t="shared" si="51"/>
        <v>1</v>
      </c>
      <c r="L647" s="8" t="b">
        <f t="shared" si="52"/>
        <v>1</v>
      </c>
      <c r="M647" s="8" t="b">
        <f t="shared" si="53"/>
        <v>1</v>
      </c>
      <c r="N647" s="1" t="b">
        <f t="shared" si="54"/>
        <v>1</v>
      </c>
      <c r="O647" s="8" t="str">
        <f>IF(F647="","",IF($F$2=入力リスト!$H$25,ROUNDDOWN(INT(F647)+ROUNDDOWN((F647-INT(F647))*100,0)/60,2),F647))</f>
        <v/>
      </c>
      <c r="P647" s="7"/>
      <c r="Q647" s="7"/>
    </row>
    <row r="648" spans="1:17">
      <c r="A648" s="105"/>
      <c r="B648" s="2"/>
      <c r="C648" s="254"/>
      <c r="D648" s="254"/>
      <c r="E648" s="254"/>
      <c r="F648" s="255"/>
      <c r="G648" s="215" t="str">
        <f>IF(AND($B648="",OR(B648&lt;&gt;"",C648&lt;&gt;"",D648&lt;&gt;"",E648&lt;&gt;"",F648&lt;&gt;"")),入力リスト!$K$34,IF($I648=TRUE,入力リスト!$K$35,IF(J648=FALSE,"「毎月の固定給与額」","")&amp;IF(AND(J648=FALSE,OR(K648=FALSE,L648=FALSE,M648=FALSE)),",","")&amp;IF(K648=FALSE,"「賞与額等」","")&amp;IF(AND(K648=FALSE,OR(L648=FALSE,M648=FALSE)),",","")&amp;IF(L648=FALSE,"「残業手当」","")&amp;IF(AND(L648=FALSE,M648=FALSE),",","")&amp;IF(M648=FALSE,"「残業時間」","")&amp;IF(OR(J648=FALSE,K648=FALSE,L648=FALSE,M648=FALSE),入力リスト!$K$36,"")&amp;IF(N648,"",入力リスト!$K$37)))</f>
        <v/>
      </c>
      <c r="H648" s="215"/>
      <c r="I648" s="1" t="b">
        <f>IF(B648="",FALSE,COUNTIF('従業員情報(給与以外)'!$A$4:$A$1000000,$B648)=0)</f>
        <v>0</v>
      </c>
      <c r="J648" s="8" t="b">
        <f t="shared" si="50"/>
        <v>1</v>
      </c>
      <c r="K648" s="8" t="b">
        <f t="shared" si="51"/>
        <v>1</v>
      </c>
      <c r="L648" s="8" t="b">
        <f t="shared" si="52"/>
        <v>1</v>
      </c>
      <c r="M648" s="8" t="b">
        <f t="shared" si="53"/>
        <v>1</v>
      </c>
      <c r="N648" s="1" t="b">
        <f t="shared" si="54"/>
        <v>1</v>
      </c>
      <c r="O648" s="8" t="str">
        <f>IF(F648="","",IF($F$2=入力リスト!$H$25,ROUNDDOWN(INT(F648)+ROUNDDOWN((F648-INT(F648))*100,0)/60,2),F648))</f>
        <v/>
      </c>
      <c r="P648" s="7"/>
      <c r="Q648" s="7"/>
    </row>
    <row r="649" spans="1:17">
      <c r="A649" s="105"/>
      <c r="B649" s="2"/>
      <c r="C649" s="254"/>
      <c r="D649" s="254"/>
      <c r="E649" s="254"/>
      <c r="F649" s="255"/>
      <c r="G649" s="215" t="str">
        <f>IF(AND($B649="",OR(B649&lt;&gt;"",C649&lt;&gt;"",D649&lt;&gt;"",E649&lt;&gt;"",F649&lt;&gt;"")),入力リスト!$K$34,IF($I649=TRUE,入力リスト!$K$35,IF(J649=FALSE,"「毎月の固定給与額」","")&amp;IF(AND(J649=FALSE,OR(K649=FALSE,L649=FALSE,M649=FALSE)),",","")&amp;IF(K649=FALSE,"「賞与額等」","")&amp;IF(AND(K649=FALSE,OR(L649=FALSE,M649=FALSE)),",","")&amp;IF(L649=FALSE,"「残業手当」","")&amp;IF(AND(L649=FALSE,M649=FALSE),",","")&amp;IF(M649=FALSE,"「残業時間」","")&amp;IF(OR(J649=FALSE,K649=FALSE,L649=FALSE,M649=FALSE),入力リスト!$K$36,"")&amp;IF(N649,"",入力リスト!$K$37)))</f>
        <v/>
      </c>
      <c r="H649" s="215"/>
      <c r="I649" s="1" t="b">
        <f>IF(B649="",FALSE,COUNTIF('従業員情報(給与以外)'!$A$4:$A$1000000,$B649)=0)</f>
        <v>0</v>
      </c>
      <c r="J649" s="8" t="b">
        <f t="shared" si="50"/>
        <v>1</v>
      </c>
      <c r="K649" s="8" t="b">
        <f t="shared" si="51"/>
        <v>1</v>
      </c>
      <c r="L649" s="8" t="b">
        <f t="shared" si="52"/>
        <v>1</v>
      </c>
      <c r="M649" s="8" t="b">
        <f t="shared" si="53"/>
        <v>1</v>
      </c>
      <c r="N649" s="1" t="b">
        <f t="shared" si="54"/>
        <v>1</v>
      </c>
      <c r="O649" s="8" t="str">
        <f>IF(F649="","",IF($F$2=入力リスト!$H$25,ROUNDDOWN(INT(F649)+ROUNDDOWN((F649-INT(F649))*100,0)/60,2),F649))</f>
        <v/>
      </c>
      <c r="P649" s="7"/>
      <c r="Q649" s="7"/>
    </row>
    <row r="650" spans="1:17">
      <c r="A650" s="105"/>
      <c r="B650" s="2"/>
      <c r="C650" s="254"/>
      <c r="D650" s="254"/>
      <c r="E650" s="254"/>
      <c r="F650" s="255"/>
      <c r="G650" s="215" t="str">
        <f>IF(AND($B650="",OR(B650&lt;&gt;"",C650&lt;&gt;"",D650&lt;&gt;"",E650&lt;&gt;"",F650&lt;&gt;"")),入力リスト!$K$34,IF($I650=TRUE,入力リスト!$K$35,IF(J650=FALSE,"「毎月の固定給与額」","")&amp;IF(AND(J650=FALSE,OR(K650=FALSE,L650=FALSE,M650=FALSE)),",","")&amp;IF(K650=FALSE,"「賞与額等」","")&amp;IF(AND(K650=FALSE,OR(L650=FALSE,M650=FALSE)),",","")&amp;IF(L650=FALSE,"「残業手当」","")&amp;IF(AND(L650=FALSE,M650=FALSE),",","")&amp;IF(M650=FALSE,"「残業時間」","")&amp;IF(OR(J650=FALSE,K650=FALSE,L650=FALSE,M650=FALSE),入力リスト!$K$36,"")&amp;IF(N650,"",入力リスト!$K$37)))</f>
        <v/>
      </c>
      <c r="H650" s="215"/>
      <c r="I650" s="1" t="b">
        <f>IF(B650="",FALSE,COUNTIF('従業員情報(給与以外)'!$A$4:$A$1000000,$B650)=0)</f>
        <v>0</v>
      </c>
      <c r="J650" s="8" t="b">
        <f t="shared" si="50"/>
        <v>1</v>
      </c>
      <c r="K650" s="8" t="b">
        <f t="shared" si="51"/>
        <v>1</v>
      </c>
      <c r="L650" s="8" t="b">
        <f t="shared" si="52"/>
        <v>1</v>
      </c>
      <c r="M650" s="8" t="b">
        <f t="shared" si="53"/>
        <v>1</v>
      </c>
      <c r="N650" s="1" t="b">
        <f t="shared" si="54"/>
        <v>1</v>
      </c>
      <c r="O650" s="8" t="str">
        <f>IF(F650="","",IF($F$2=入力リスト!$H$25,ROUNDDOWN(INT(F650)+ROUNDDOWN((F650-INT(F650))*100,0)/60,2),F650))</f>
        <v/>
      </c>
      <c r="P650" s="7"/>
      <c r="Q650" s="7"/>
    </row>
    <row r="651" spans="1:17">
      <c r="A651" s="105"/>
      <c r="B651" s="2"/>
      <c r="C651" s="254"/>
      <c r="D651" s="254"/>
      <c r="E651" s="254"/>
      <c r="F651" s="255"/>
      <c r="G651" s="215" t="str">
        <f>IF(AND($B651="",OR(B651&lt;&gt;"",C651&lt;&gt;"",D651&lt;&gt;"",E651&lt;&gt;"",F651&lt;&gt;"")),入力リスト!$K$34,IF($I651=TRUE,入力リスト!$K$35,IF(J651=FALSE,"「毎月の固定給与額」","")&amp;IF(AND(J651=FALSE,OR(K651=FALSE,L651=FALSE,M651=FALSE)),",","")&amp;IF(K651=FALSE,"「賞与額等」","")&amp;IF(AND(K651=FALSE,OR(L651=FALSE,M651=FALSE)),",","")&amp;IF(L651=FALSE,"「残業手当」","")&amp;IF(AND(L651=FALSE,M651=FALSE),",","")&amp;IF(M651=FALSE,"「残業時間」","")&amp;IF(OR(J651=FALSE,K651=FALSE,L651=FALSE,M651=FALSE),入力リスト!$K$36,"")&amp;IF(N651,"",入力リスト!$K$37)))</f>
        <v/>
      </c>
      <c r="H651" s="215"/>
      <c r="I651" s="1" t="b">
        <f>IF(B651="",FALSE,COUNTIF('従業員情報(給与以外)'!$A$4:$A$1000000,$B651)=0)</f>
        <v>0</v>
      </c>
      <c r="J651" s="8" t="b">
        <f t="shared" si="50"/>
        <v>1</v>
      </c>
      <c r="K651" s="8" t="b">
        <f t="shared" si="51"/>
        <v>1</v>
      </c>
      <c r="L651" s="8" t="b">
        <f t="shared" si="52"/>
        <v>1</v>
      </c>
      <c r="M651" s="8" t="b">
        <f t="shared" si="53"/>
        <v>1</v>
      </c>
      <c r="N651" s="1" t="b">
        <f t="shared" si="54"/>
        <v>1</v>
      </c>
      <c r="O651" s="8" t="str">
        <f>IF(F651="","",IF($F$2=入力リスト!$H$25,ROUNDDOWN(INT(F651)+ROUNDDOWN((F651-INT(F651))*100,0)/60,2),F651))</f>
        <v/>
      </c>
      <c r="P651" s="7"/>
      <c r="Q651" s="7"/>
    </row>
    <row r="652" spans="1:17">
      <c r="A652" s="105"/>
      <c r="B652" s="2"/>
      <c r="C652" s="254"/>
      <c r="D652" s="254"/>
      <c r="E652" s="254"/>
      <c r="F652" s="255"/>
      <c r="G652" s="215" t="str">
        <f>IF(AND($B652="",OR(B652&lt;&gt;"",C652&lt;&gt;"",D652&lt;&gt;"",E652&lt;&gt;"",F652&lt;&gt;"")),入力リスト!$K$34,IF($I652=TRUE,入力リスト!$K$35,IF(J652=FALSE,"「毎月の固定給与額」","")&amp;IF(AND(J652=FALSE,OR(K652=FALSE,L652=FALSE,M652=FALSE)),",","")&amp;IF(K652=FALSE,"「賞与額等」","")&amp;IF(AND(K652=FALSE,OR(L652=FALSE,M652=FALSE)),",","")&amp;IF(L652=FALSE,"「残業手当」","")&amp;IF(AND(L652=FALSE,M652=FALSE),",","")&amp;IF(M652=FALSE,"「残業時間」","")&amp;IF(OR(J652=FALSE,K652=FALSE,L652=FALSE,M652=FALSE),入力リスト!$K$36,"")&amp;IF(N652,"",入力リスト!$K$37)))</f>
        <v/>
      </c>
      <c r="H652" s="215"/>
      <c r="I652" s="1" t="b">
        <f>IF(B652="",FALSE,COUNTIF('従業員情報(給与以外)'!$A$4:$A$1000000,$B652)=0)</f>
        <v>0</v>
      </c>
      <c r="J652" s="8" t="b">
        <f t="shared" si="50"/>
        <v>1</v>
      </c>
      <c r="K652" s="8" t="b">
        <f t="shared" si="51"/>
        <v>1</v>
      </c>
      <c r="L652" s="8" t="b">
        <f t="shared" si="52"/>
        <v>1</v>
      </c>
      <c r="M652" s="8" t="b">
        <f t="shared" si="53"/>
        <v>1</v>
      </c>
      <c r="N652" s="1" t="b">
        <f t="shared" si="54"/>
        <v>1</v>
      </c>
      <c r="O652" s="8" t="str">
        <f>IF(F652="","",IF($F$2=入力リスト!$H$25,ROUNDDOWN(INT(F652)+ROUNDDOWN((F652-INT(F652))*100,0)/60,2),F652))</f>
        <v/>
      </c>
      <c r="P652" s="7"/>
      <c r="Q652" s="7"/>
    </row>
    <row r="653" spans="1:17">
      <c r="A653" s="105"/>
      <c r="B653" s="2"/>
      <c r="C653" s="254"/>
      <c r="D653" s="254"/>
      <c r="E653" s="254"/>
      <c r="F653" s="255"/>
      <c r="G653" s="215" t="str">
        <f>IF(AND($B653="",OR(B653&lt;&gt;"",C653&lt;&gt;"",D653&lt;&gt;"",E653&lt;&gt;"",F653&lt;&gt;"")),入力リスト!$K$34,IF($I653=TRUE,入力リスト!$K$35,IF(J653=FALSE,"「毎月の固定給与額」","")&amp;IF(AND(J653=FALSE,OR(K653=FALSE,L653=FALSE,M653=FALSE)),",","")&amp;IF(K653=FALSE,"「賞与額等」","")&amp;IF(AND(K653=FALSE,OR(L653=FALSE,M653=FALSE)),",","")&amp;IF(L653=FALSE,"「残業手当」","")&amp;IF(AND(L653=FALSE,M653=FALSE),",","")&amp;IF(M653=FALSE,"「残業時間」","")&amp;IF(OR(J653=FALSE,K653=FALSE,L653=FALSE,M653=FALSE),入力リスト!$K$36,"")&amp;IF(N653,"",入力リスト!$K$37)))</f>
        <v/>
      </c>
      <c r="H653" s="215"/>
      <c r="I653" s="1" t="b">
        <f>IF(B653="",FALSE,COUNTIF('従業員情報(給与以外)'!$A$4:$A$1000000,$B653)=0)</f>
        <v>0</v>
      </c>
      <c r="J653" s="8" t="b">
        <f t="shared" si="50"/>
        <v>1</v>
      </c>
      <c r="K653" s="8" t="b">
        <f t="shared" si="51"/>
        <v>1</v>
      </c>
      <c r="L653" s="8" t="b">
        <f t="shared" si="52"/>
        <v>1</v>
      </c>
      <c r="M653" s="8" t="b">
        <f t="shared" si="53"/>
        <v>1</v>
      </c>
      <c r="N653" s="1" t="b">
        <f t="shared" si="54"/>
        <v>1</v>
      </c>
      <c r="O653" s="8" t="str">
        <f>IF(F653="","",IF($F$2=入力リスト!$H$25,ROUNDDOWN(INT(F653)+ROUNDDOWN((F653-INT(F653))*100,0)/60,2),F653))</f>
        <v/>
      </c>
      <c r="P653" s="7"/>
      <c r="Q653" s="7"/>
    </row>
    <row r="654" spans="1:17">
      <c r="A654" s="105"/>
      <c r="B654" s="2"/>
      <c r="C654" s="254"/>
      <c r="D654" s="254"/>
      <c r="E654" s="254"/>
      <c r="F654" s="255"/>
      <c r="G654" s="215" t="str">
        <f>IF(AND($B654="",OR(B654&lt;&gt;"",C654&lt;&gt;"",D654&lt;&gt;"",E654&lt;&gt;"",F654&lt;&gt;"")),入力リスト!$K$34,IF($I654=TRUE,入力リスト!$K$35,IF(J654=FALSE,"「毎月の固定給与額」","")&amp;IF(AND(J654=FALSE,OR(K654=FALSE,L654=FALSE,M654=FALSE)),",","")&amp;IF(K654=FALSE,"「賞与額等」","")&amp;IF(AND(K654=FALSE,OR(L654=FALSE,M654=FALSE)),",","")&amp;IF(L654=FALSE,"「残業手当」","")&amp;IF(AND(L654=FALSE,M654=FALSE),",","")&amp;IF(M654=FALSE,"「残業時間」","")&amp;IF(OR(J654=FALSE,K654=FALSE,L654=FALSE,M654=FALSE),入力リスト!$K$36,"")&amp;IF(N654,"",入力リスト!$K$37)))</f>
        <v/>
      </c>
      <c r="H654" s="215"/>
      <c r="I654" s="1" t="b">
        <f>IF(B654="",FALSE,COUNTIF('従業員情報(給与以外)'!$A$4:$A$1000000,$B654)=0)</f>
        <v>0</v>
      </c>
      <c r="J654" s="8" t="b">
        <f t="shared" si="50"/>
        <v>1</v>
      </c>
      <c r="K654" s="8" t="b">
        <f t="shared" si="51"/>
        <v>1</v>
      </c>
      <c r="L654" s="8" t="b">
        <f t="shared" si="52"/>
        <v>1</v>
      </c>
      <c r="M654" s="8" t="b">
        <f t="shared" si="53"/>
        <v>1</v>
      </c>
      <c r="N654" s="1" t="b">
        <f t="shared" si="54"/>
        <v>1</v>
      </c>
      <c r="O654" s="8" t="str">
        <f>IF(F654="","",IF($F$2=入力リスト!$H$25,ROUNDDOWN(INT(F654)+ROUNDDOWN((F654-INT(F654))*100,0)/60,2),F654))</f>
        <v/>
      </c>
      <c r="P654" s="7"/>
      <c r="Q654" s="7"/>
    </row>
    <row r="655" spans="1:17">
      <c r="A655" s="105"/>
      <c r="B655" s="2"/>
      <c r="C655" s="254"/>
      <c r="D655" s="254"/>
      <c r="E655" s="254"/>
      <c r="F655" s="255"/>
      <c r="G655" s="215" t="str">
        <f>IF(AND($B655="",OR(B655&lt;&gt;"",C655&lt;&gt;"",D655&lt;&gt;"",E655&lt;&gt;"",F655&lt;&gt;"")),入力リスト!$K$34,IF($I655=TRUE,入力リスト!$K$35,IF(J655=FALSE,"「毎月の固定給与額」","")&amp;IF(AND(J655=FALSE,OR(K655=FALSE,L655=FALSE,M655=FALSE)),",","")&amp;IF(K655=FALSE,"「賞与額等」","")&amp;IF(AND(K655=FALSE,OR(L655=FALSE,M655=FALSE)),",","")&amp;IF(L655=FALSE,"「残業手当」","")&amp;IF(AND(L655=FALSE,M655=FALSE),",","")&amp;IF(M655=FALSE,"「残業時間」","")&amp;IF(OR(J655=FALSE,K655=FALSE,L655=FALSE,M655=FALSE),入力リスト!$K$36,"")&amp;IF(N655,"",入力リスト!$K$37)))</f>
        <v/>
      </c>
      <c r="H655" s="215"/>
      <c r="I655" s="1" t="b">
        <f>IF(B655="",FALSE,COUNTIF('従業員情報(給与以外)'!$A$4:$A$1000000,$B655)=0)</f>
        <v>0</v>
      </c>
      <c r="J655" s="8" t="b">
        <f t="shared" si="50"/>
        <v>1</v>
      </c>
      <c r="K655" s="8" t="b">
        <f t="shared" si="51"/>
        <v>1</v>
      </c>
      <c r="L655" s="8" t="b">
        <f t="shared" si="52"/>
        <v>1</v>
      </c>
      <c r="M655" s="8" t="b">
        <f t="shared" si="53"/>
        <v>1</v>
      </c>
      <c r="N655" s="1" t="b">
        <f t="shared" si="54"/>
        <v>1</v>
      </c>
      <c r="O655" s="8" t="str">
        <f>IF(F655="","",IF($F$2=入力リスト!$H$25,ROUNDDOWN(INT(F655)+ROUNDDOWN((F655-INT(F655))*100,0)/60,2),F655))</f>
        <v/>
      </c>
      <c r="P655" s="7"/>
      <c r="Q655" s="7"/>
    </row>
    <row r="656" spans="1:17">
      <c r="A656" s="105"/>
      <c r="B656" s="2"/>
      <c r="C656" s="254"/>
      <c r="D656" s="254"/>
      <c r="E656" s="254"/>
      <c r="F656" s="255"/>
      <c r="G656" s="215" t="str">
        <f>IF(AND($B656="",OR(B656&lt;&gt;"",C656&lt;&gt;"",D656&lt;&gt;"",E656&lt;&gt;"",F656&lt;&gt;"")),入力リスト!$K$34,IF($I656=TRUE,入力リスト!$K$35,IF(J656=FALSE,"「毎月の固定給与額」","")&amp;IF(AND(J656=FALSE,OR(K656=FALSE,L656=FALSE,M656=FALSE)),",","")&amp;IF(K656=FALSE,"「賞与額等」","")&amp;IF(AND(K656=FALSE,OR(L656=FALSE,M656=FALSE)),",","")&amp;IF(L656=FALSE,"「残業手当」","")&amp;IF(AND(L656=FALSE,M656=FALSE),",","")&amp;IF(M656=FALSE,"「残業時間」","")&amp;IF(OR(J656=FALSE,K656=FALSE,L656=FALSE,M656=FALSE),入力リスト!$K$36,"")&amp;IF(N656,"",入力リスト!$K$37)))</f>
        <v/>
      </c>
      <c r="H656" s="215"/>
      <c r="I656" s="1" t="b">
        <f>IF(B656="",FALSE,COUNTIF('従業員情報(給与以外)'!$A$4:$A$1000000,$B656)=0)</f>
        <v>0</v>
      </c>
      <c r="J656" s="8" t="b">
        <f t="shared" si="50"/>
        <v>1</v>
      </c>
      <c r="K656" s="8" t="b">
        <f t="shared" si="51"/>
        <v>1</v>
      </c>
      <c r="L656" s="8" t="b">
        <f t="shared" si="52"/>
        <v>1</v>
      </c>
      <c r="M656" s="8" t="b">
        <f t="shared" si="53"/>
        <v>1</v>
      </c>
      <c r="N656" s="1" t="b">
        <f t="shared" si="54"/>
        <v>1</v>
      </c>
      <c r="O656" s="8" t="str">
        <f>IF(F656="","",IF($F$2=入力リスト!$H$25,ROUNDDOWN(INT(F656)+ROUNDDOWN((F656-INT(F656))*100,0)/60,2),F656))</f>
        <v/>
      </c>
      <c r="P656" s="7"/>
      <c r="Q656" s="7"/>
    </row>
    <row r="657" spans="1:17">
      <c r="A657" s="105"/>
      <c r="B657" s="2"/>
      <c r="C657" s="254"/>
      <c r="D657" s="254"/>
      <c r="E657" s="254"/>
      <c r="F657" s="255"/>
      <c r="G657" s="215" t="str">
        <f>IF(AND($B657="",OR(B657&lt;&gt;"",C657&lt;&gt;"",D657&lt;&gt;"",E657&lt;&gt;"",F657&lt;&gt;"")),入力リスト!$K$34,IF($I657=TRUE,入力リスト!$K$35,IF(J657=FALSE,"「毎月の固定給与額」","")&amp;IF(AND(J657=FALSE,OR(K657=FALSE,L657=FALSE,M657=FALSE)),",","")&amp;IF(K657=FALSE,"「賞与額等」","")&amp;IF(AND(K657=FALSE,OR(L657=FALSE,M657=FALSE)),",","")&amp;IF(L657=FALSE,"「残業手当」","")&amp;IF(AND(L657=FALSE,M657=FALSE),",","")&amp;IF(M657=FALSE,"「残業時間」","")&amp;IF(OR(J657=FALSE,K657=FALSE,L657=FALSE,M657=FALSE),入力リスト!$K$36,"")&amp;IF(N657,"",入力リスト!$K$37)))</f>
        <v/>
      </c>
      <c r="H657" s="215"/>
      <c r="I657" s="1" t="b">
        <f>IF(B657="",FALSE,COUNTIF('従業員情報(給与以外)'!$A$4:$A$1000000,$B657)=0)</f>
        <v>0</v>
      </c>
      <c r="J657" s="8" t="b">
        <f t="shared" si="50"/>
        <v>1</v>
      </c>
      <c r="K657" s="8" t="b">
        <f t="shared" si="51"/>
        <v>1</v>
      </c>
      <c r="L657" s="8" t="b">
        <f t="shared" si="52"/>
        <v>1</v>
      </c>
      <c r="M657" s="8" t="b">
        <f t="shared" si="53"/>
        <v>1</v>
      </c>
      <c r="N657" s="1" t="b">
        <f t="shared" si="54"/>
        <v>1</v>
      </c>
      <c r="O657" s="8" t="str">
        <f>IF(F657="","",IF($F$2=入力リスト!$H$25,ROUNDDOWN(INT(F657)+ROUNDDOWN((F657-INT(F657))*100,0)/60,2),F657))</f>
        <v/>
      </c>
      <c r="P657" s="7"/>
      <c r="Q657" s="7"/>
    </row>
    <row r="658" spans="1:17">
      <c r="A658" s="105"/>
      <c r="B658" s="2"/>
      <c r="C658" s="254"/>
      <c r="D658" s="254"/>
      <c r="E658" s="254"/>
      <c r="F658" s="255"/>
      <c r="G658" s="215" t="str">
        <f>IF(AND($B658="",OR(B658&lt;&gt;"",C658&lt;&gt;"",D658&lt;&gt;"",E658&lt;&gt;"",F658&lt;&gt;"")),入力リスト!$K$34,IF($I658=TRUE,入力リスト!$K$35,IF(J658=FALSE,"「毎月の固定給与額」","")&amp;IF(AND(J658=FALSE,OR(K658=FALSE,L658=FALSE,M658=FALSE)),",","")&amp;IF(K658=FALSE,"「賞与額等」","")&amp;IF(AND(K658=FALSE,OR(L658=FALSE,M658=FALSE)),",","")&amp;IF(L658=FALSE,"「残業手当」","")&amp;IF(AND(L658=FALSE,M658=FALSE),",","")&amp;IF(M658=FALSE,"「残業時間」","")&amp;IF(OR(J658=FALSE,K658=FALSE,L658=FALSE,M658=FALSE),入力リスト!$K$36,"")&amp;IF(N658,"",入力リスト!$K$37)))</f>
        <v/>
      </c>
      <c r="H658" s="215"/>
      <c r="I658" s="1" t="b">
        <f>IF(B658="",FALSE,COUNTIF('従業員情報(給与以外)'!$A$4:$A$1000000,$B658)=0)</f>
        <v>0</v>
      </c>
      <c r="J658" s="8" t="b">
        <f t="shared" si="50"/>
        <v>1</v>
      </c>
      <c r="K658" s="8" t="b">
        <f t="shared" si="51"/>
        <v>1</v>
      </c>
      <c r="L658" s="8" t="b">
        <f t="shared" si="52"/>
        <v>1</v>
      </c>
      <c r="M658" s="8" t="b">
        <f t="shared" si="53"/>
        <v>1</v>
      </c>
      <c r="N658" s="1" t="b">
        <f t="shared" si="54"/>
        <v>1</v>
      </c>
      <c r="O658" s="8" t="str">
        <f>IF(F658="","",IF($F$2=入力リスト!$H$25,ROUNDDOWN(INT(F658)+ROUNDDOWN((F658-INT(F658))*100,0)/60,2),F658))</f>
        <v/>
      </c>
      <c r="P658" s="7"/>
      <c r="Q658" s="7"/>
    </row>
    <row r="659" spans="1:17">
      <c r="A659" s="105"/>
      <c r="B659" s="2"/>
      <c r="C659" s="254"/>
      <c r="D659" s="254"/>
      <c r="E659" s="254"/>
      <c r="F659" s="255"/>
      <c r="G659" s="215" t="str">
        <f>IF(AND($B659="",OR(B659&lt;&gt;"",C659&lt;&gt;"",D659&lt;&gt;"",E659&lt;&gt;"",F659&lt;&gt;"")),入力リスト!$K$34,IF($I659=TRUE,入力リスト!$K$35,IF(J659=FALSE,"「毎月の固定給与額」","")&amp;IF(AND(J659=FALSE,OR(K659=FALSE,L659=FALSE,M659=FALSE)),",","")&amp;IF(K659=FALSE,"「賞与額等」","")&amp;IF(AND(K659=FALSE,OR(L659=FALSE,M659=FALSE)),",","")&amp;IF(L659=FALSE,"「残業手当」","")&amp;IF(AND(L659=FALSE,M659=FALSE),",","")&amp;IF(M659=FALSE,"「残業時間」","")&amp;IF(OR(J659=FALSE,K659=FALSE,L659=FALSE,M659=FALSE),入力リスト!$K$36,"")&amp;IF(N659,"",入力リスト!$K$37)))</f>
        <v/>
      </c>
      <c r="H659" s="215"/>
      <c r="I659" s="1" t="b">
        <f>IF(B659="",FALSE,COUNTIF('従業員情報(給与以外)'!$A$4:$A$1000000,$B659)=0)</f>
        <v>0</v>
      </c>
      <c r="J659" s="8" t="b">
        <f t="shared" si="50"/>
        <v>1</v>
      </c>
      <c r="K659" s="8" t="b">
        <f t="shared" si="51"/>
        <v>1</v>
      </c>
      <c r="L659" s="8" t="b">
        <f t="shared" si="52"/>
        <v>1</v>
      </c>
      <c r="M659" s="8" t="b">
        <f t="shared" si="53"/>
        <v>1</v>
      </c>
      <c r="N659" s="1" t="b">
        <f t="shared" si="54"/>
        <v>1</v>
      </c>
      <c r="O659" s="8" t="str">
        <f>IF(F659="","",IF($F$2=入力リスト!$H$25,ROUNDDOWN(INT(F659)+ROUNDDOWN((F659-INT(F659))*100,0)/60,2),F659))</f>
        <v/>
      </c>
      <c r="P659" s="7"/>
      <c r="Q659" s="7"/>
    </row>
    <row r="660" spans="1:17">
      <c r="A660" s="105"/>
      <c r="B660" s="2"/>
      <c r="C660" s="254"/>
      <c r="D660" s="254"/>
      <c r="E660" s="254"/>
      <c r="F660" s="255"/>
      <c r="G660" s="215" t="str">
        <f>IF(AND($B660="",OR(B660&lt;&gt;"",C660&lt;&gt;"",D660&lt;&gt;"",E660&lt;&gt;"",F660&lt;&gt;"")),入力リスト!$K$34,IF($I660=TRUE,入力リスト!$K$35,IF(J660=FALSE,"「毎月の固定給与額」","")&amp;IF(AND(J660=FALSE,OR(K660=FALSE,L660=FALSE,M660=FALSE)),",","")&amp;IF(K660=FALSE,"「賞与額等」","")&amp;IF(AND(K660=FALSE,OR(L660=FALSE,M660=FALSE)),",","")&amp;IF(L660=FALSE,"「残業手当」","")&amp;IF(AND(L660=FALSE,M660=FALSE),",","")&amp;IF(M660=FALSE,"「残業時間」","")&amp;IF(OR(J660=FALSE,K660=FALSE,L660=FALSE,M660=FALSE),入力リスト!$K$36,"")&amp;IF(N660,"",入力リスト!$K$37)))</f>
        <v/>
      </c>
      <c r="H660" s="215"/>
      <c r="I660" s="1" t="b">
        <f>IF(B660="",FALSE,COUNTIF('従業員情報(給与以外)'!$A$4:$A$1000000,$B660)=0)</f>
        <v>0</v>
      </c>
      <c r="J660" s="8" t="b">
        <f t="shared" si="50"/>
        <v>1</v>
      </c>
      <c r="K660" s="8" t="b">
        <f t="shared" si="51"/>
        <v>1</v>
      </c>
      <c r="L660" s="8" t="b">
        <f t="shared" si="52"/>
        <v>1</v>
      </c>
      <c r="M660" s="8" t="b">
        <f t="shared" si="53"/>
        <v>1</v>
      </c>
      <c r="N660" s="1" t="b">
        <f t="shared" si="54"/>
        <v>1</v>
      </c>
      <c r="O660" s="8" t="str">
        <f>IF(F660="","",IF($F$2=入力リスト!$H$25,ROUNDDOWN(INT(F660)+ROUNDDOWN((F660-INT(F660))*100,0)/60,2),F660))</f>
        <v/>
      </c>
      <c r="P660" s="7"/>
      <c r="Q660" s="7"/>
    </row>
    <row r="661" spans="1:17">
      <c r="A661" s="105"/>
      <c r="B661" s="2"/>
      <c r="C661" s="254"/>
      <c r="D661" s="254"/>
      <c r="E661" s="254"/>
      <c r="F661" s="255"/>
      <c r="G661" s="215" t="str">
        <f>IF(AND($B661="",OR(B661&lt;&gt;"",C661&lt;&gt;"",D661&lt;&gt;"",E661&lt;&gt;"",F661&lt;&gt;"")),入力リスト!$K$34,IF($I661=TRUE,入力リスト!$K$35,IF(J661=FALSE,"「毎月の固定給与額」","")&amp;IF(AND(J661=FALSE,OR(K661=FALSE,L661=FALSE,M661=FALSE)),",","")&amp;IF(K661=FALSE,"「賞与額等」","")&amp;IF(AND(K661=FALSE,OR(L661=FALSE,M661=FALSE)),",","")&amp;IF(L661=FALSE,"「残業手当」","")&amp;IF(AND(L661=FALSE,M661=FALSE),",","")&amp;IF(M661=FALSE,"「残業時間」","")&amp;IF(OR(J661=FALSE,K661=FALSE,L661=FALSE,M661=FALSE),入力リスト!$K$36,"")&amp;IF(N661,"",入力リスト!$K$37)))</f>
        <v/>
      </c>
      <c r="H661" s="215"/>
      <c r="I661" s="1" t="b">
        <f>IF(B661="",FALSE,COUNTIF('従業員情報(給与以外)'!$A$4:$A$1000000,$B661)=0)</f>
        <v>0</v>
      </c>
      <c r="J661" s="8" t="b">
        <f t="shared" si="50"/>
        <v>1</v>
      </c>
      <c r="K661" s="8" t="b">
        <f t="shared" si="51"/>
        <v>1</v>
      </c>
      <c r="L661" s="8" t="b">
        <f t="shared" si="52"/>
        <v>1</v>
      </c>
      <c r="M661" s="8" t="b">
        <f t="shared" si="53"/>
        <v>1</v>
      </c>
      <c r="N661" s="1" t="b">
        <f t="shared" si="54"/>
        <v>1</v>
      </c>
      <c r="O661" s="8" t="str">
        <f>IF(F661="","",IF($F$2=入力リスト!$H$25,ROUNDDOWN(INT(F661)+ROUNDDOWN((F661-INT(F661))*100,0)/60,2),F661))</f>
        <v/>
      </c>
      <c r="P661" s="7"/>
      <c r="Q661" s="7"/>
    </row>
    <row r="662" spans="1:17">
      <c r="A662" s="105"/>
      <c r="B662" s="2"/>
      <c r="C662" s="254"/>
      <c r="D662" s="254"/>
      <c r="E662" s="254"/>
      <c r="F662" s="255"/>
      <c r="G662" s="215" t="str">
        <f>IF(AND($B662="",OR(B662&lt;&gt;"",C662&lt;&gt;"",D662&lt;&gt;"",E662&lt;&gt;"",F662&lt;&gt;"")),入力リスト!$K$34,IF($I662=TRUE,入力リスト!$K$35,IF(J662=FALSE,"「毎月の固定給与額」","")&amp;IF(AND(J662=FALSE,OR(K662=FALSE,L662=FALSE,M662=FALSE)),",","")&amp;IF(K662=FALSE,"「賞与額等」","")&amp;IF(AND(K662=FALSE,OR(L662=FALSE,M662=FALSE)),",","")&amp;IF(L662=FALSE,"「残業手当」","")&amp;IF(AND(L662=FALSE,M662=FALSE),",","")&amp;IF(M662=FALSE,"「残業時間」","")&amp;IF(OR(J662=FALSE,K662=FALSE,L662=FALSE,M662=FALSE),入力リスト!$K$36,"")&amp;IF(N662,"",入力リスト!$K$37)))</f>
        <v/>
      </c>
      <c r="H662" s="215"/>
      <c r="I662" s="1" t="b">
        <f>IF(B662="",FALSE,COUNTIF('従業員情報(給与以外)'!$A$4:$A$1000000,$B662)=0)</f>
        <v>0</v>
      </c>
      <c r="J662" s="8" t="b">
        <f t="shared" si="50"/>
        <v>1</v>
      </c>
      <c r="K662" s="8" t="b">
        <f t="shared" si="51"/>
        <v>1</v>
      </c>
      <c r="L662" s="8" t="b">
        <f t="shared" si="52"/>
        <v>1</v>
      </c>
      <c r="M662" s="8" t="b">
        <f t="shared" si="53"/>
        <v>1</v>
      </c>
      <c r="N662" s="1" t="b">
        <f t="shared" si="54"/>
        <v>1</v>
      </c>
      <c r="O662" s="8" t="str">
        <f>IF(F662="","",IF($F$2=入力リスト!$H$25,ROUNDDOWN(INT(F662)+ROUNDDOWN((F662-INT(F662))*100,0)/60,2),F662))</f>
        <v/>
      </c>
      <c r="P662" s="7"/>
      <c r="Q662" s="7"/>
    </row>
    <row r="663" spans="1:17">
      <c r="A663" s="105"/>
      <c r="B663" s="2"/>
      <c r="C663" s="254"/>
      <c r="D663" s="254"/>
      <c r="E663" s="254"/>
      <c r="F663" s="255"/>
      <c r="G663" s="215" t="str">
        <f>IF(AND($B663="",OR(B663&lt;&gt;"",C663&lt;&gt;"",D663&lt;&gt;"",E663&lt;&gt;"",F663&lt;&gt;"")),入力リスト!$K$34,IF($I663=TRUE,入力リスト!$K$35,IF(J663=FALSE,"「毎月の固定給与額」","")&amp;IF(AND(J663=FALSE,OR(K663=FALSE,L663=FALSE,M663=FALSE)),",","")&amp;IF(K663=FALSE,"「賞与額等」","")&amp;IF(AND(K663=FALSE,OR(L663=FALSE,M663=FALSE)),",","")&amp;IF(L663=FALSE,"「残業手当」","")&amp;IF(AND(L663=FALSE,M663=FALSE),",","")&amp;IF(M663=FALSE,"「残業時間」","")&amp;IF(OR(J663=FALSE,K663=FALSE,L663=FALSE,M663=FALSE),入力リスト!$K$36,"")&amp;IF(N663,"",入力リスト!$K$37)))</f>
        <v/>
      </c>
      <c r="H663" s="215"/>
      <c r="I663" s="1" t="b">
        <f>IF(B663="",FALSE,COUNTIF('従業員情報(給与以外)'!$A$4:$A$1000000,$B663)=0)</f>
        <v>0</v>
      </c>
      <c r="J663" s="8" t="b">
        <f t="shared" si="50"/>
        <v>1</v>
      </c>
      <c r="K663" s="8" t="b">
        <f t="shared" si="51"/>
        <v>1</v>
      </c>
      <c r="L663" s="8" t="b">
        <f t="shared" si="52"/>
        <v>1</v>
      </c>
      <c r="M663" s="8" t="b">
        <f t="shared" si="53"/>
        <v>1</v>
      </c>
      <c r="N663" s="1" t="b">
        <f t="shared" si="54"/>
        <v>1</v>
      </c>
      <c r="O663" s="8" t="str">
        <f>IF(F663="","",IF($F$2=入力リスト!$H$25,ROUNDDOWN(INT(F663)+ROUNDDOWN((F663-INT(F663))*100,0)/60,2),F663))</f>
        <v/>
      </c>
      <c r="P663" s="7"/>
      <c r="Q663" s="7"/>
    </row>
    <row r="664" spans="1:17">
      <c r="A664" s="105"/>
      <c r="B664" s="2"/>
      <c r="C664" s="254"/>
      <c r="D664" s="254"/>
      <c r="E664" s="254"/>
      <c r="F664" s="255"/>
      <c r="G664" s="215" t="str">
        <f>IF(AND($B664="",OR(B664&lt;&gt;"",C664&lt;&gt;"",D664&lt;&gt;"",E664&lt;&gt;"",F664&lt;&gt;"")),入力リスト!$K$34,IF($I664=TRUE,入力リスト!$K$35,IF(J664=FALSE,"「毎月の固定給与額」","")&amp;IF(AND(J664=FALSE,OR(K664=FALSE,L664=FALSE,M664=FALSE)),",","")&amp;IF(K664=FALSE,"「賞与額等」","")&amp;IF(AND(K664=FALSE,OR(L664=FALSE,M664=FALSE)),",","")&amp;IF(L664=FALSE,"「残業手当」","")&amp;IF(AND(L664=FALSE,M664=FALSE),",","")&amp;IF(M664=FALSE,"「残業時間」","")&amp;IF(OR(J664=FALSE,K664=FALSE,L664=FALSE,M664=FALSE),入力リスト!$K$36,"")&amp;IF(N664,"",入力リスト!$K$37)))</f>
        <v/>
      </c>
      <c r="H664" s="215"/>
      <c r="I664" s="1" t="b">
        <f>IF(B664="",FALSE,COUNTIF('従業員情報(給与以外)'!$A$4:$A$1000000,$B664)=0)</f>
        <v>0</v>
      </c>
      <c r="J664" s="8" t="b">
        <f t="shared" si="50"/>
        <v>1</v>
      </c>
      <c r="K664" s="8" t="b">
        <f t="shared" si="51"/>
        <v>1</v>
      </c>
      <c r="L664" s="8" t="b">
        <f t="shared" si="52"/>
        <v>1</v>
      </c>
      <c r="M664" s="8" t="b">
        <f t="shared" si="53"/>
        <v>1</v>
      </c>
      <c r="N664" s="1" t="b">
        <f t="shared" si="54"/>
        <v>1</v>
      </c>
      <c r="O664" s="8" t="str">
        <f>IF(F664="","",IF($F$2=入力リスト!$H$25,ROUNDDOWN(INT(F664)+ROUNDDOWN((F664-INT(F664))*100,0)/60,2),F664))</f>
        <v/>
      </c>
      <c r="P664" s="7"/>
      <c r="Q664" s="7"/>
    </row>
    <row r="665" spans="1:17">
      <c r="A665" s="105"/>
      <c r="B665" s="2"/>
      <c r="C665" s="254"/>
      <c r="D665" s="254"/>
      <c r="E665" s="254"/>
      <c r="F665" s="255"/>
      <c r="G665" s="215" t="str">
        <f>IF(AND($B665="",OR(B665&lt;&gt;"",C665&lt;&gt;"",D665&lt;&gt;"",E665&lt;&gt;"",F665&lt;&gt;"")),入力リスト!$K$34,IF($I665=TRUE,入力リスト!$K$35,IF(J665=FALSE,"「毎月の固定給与額」","")&amp;IF(AND(J665=FALSE,OR(K665=FALSE,L665=FALSE,M665=FALSE)),",","")&amp;IF(K665=FALSE,"「賞与額等」","")&amp;IF(AND(K665=FALSE,OR(L665=FALSE,M665=FALSE)),",","")&amp;IF(L665=FALSE,"「残業手当」","")&amp;IF(AND(L665=FALSE,M665=FALSE),",","")&amp;IF(M665=FALSE,"「残業時間」","")&amp;IF(OR(J665=FALSE,K665=FALSE,L665=FALSE,M665=FALSE),入力リスト!$K$36,"")&amp;IF(N665,"",入力リスト!$K$37)))</f>
        <v/>
      </c>
      <c r="H665" s="215"/>
      <c r="I665" s="1" t="b">
        <f>IF(B665="",FALSE,COUNTIF('従業員情報(給与以外)'!$A$4:$A$1000000,$B665)=0)</f>
        <v>0</v>
      </c>
      <c r="J665" s="8" t="b">
        <f t="shared" si="50"/>
        <v>1</v>
      </c>
      <c r="K665" s="8" t="b">
        <f t="shared" si="51"/>
        <v>1</v>
      </c>
      <c r="L665" s="8" t="b">
        <f t="shared" si="52"/>
        <v>1</v>
      </c>
      <c r="M665" s="8" t="b">
        <f t="shared" si="53"/>
        <v>1</v>
      </c>
      <c r="N665" s="1" t="b">
        <f t="shared" si="54"/>
        <v>1</v>
      </c>
      <c r="O665" s="8" t="str">
        <f>IF(F665="","",IF($F$2=入力リスト!$H$25,ROUNDDOWN(INT(F665)+ROUNDDOWN((F665-INT(F665))*100,0)/60,2),F665))</f>
        <v/>
      </c>
      <c r="P665" s="7"/>
      <c r="Q665" s="7"/>
    </row>
    <row r="666" spans="1:17">
      <c r="A666" s="105"/>
      <c r="B666" s="2"/>
      <c r="C666" s="254"/>
      <c r="D666" s="254"/>
      <c r="E666" s="254"/>
      <c r="F666" s="255"/>
      <c r="G666" s="215" t="str">
        <f>IF(AND($B666="",OR(B666&lt;&gt;"",C666&lt;&gt;"",D666&lt;&gt;"",E666&lt;&gt;"",F666&lt;&gt;"")),入力リスト!$K$34,IF($I666=TRUE,入力リスト!$K$35,IF(J666=FALSE,"「毎月の固定給与額」","")&amp;IF(AND(J666=FALSE,OR(K666=FALSE,L666=FALSE,M666=FALSE)),",","")&amp;IF(K666=FALSE,"「賞与額等」","")&amp;IF(AND(K666=FALSE,OR(L666=FALSE,M666=FALSE)),",","")&amp;IF(L666=FALSE,"「残業手当」","")&amp;IF(AND(L666=FALSE,M666=FALSE),",","")&amp;IF(M666=FALSE,"「残業時間」","")&amp;IF(OR(J666=FALSE,K666=FALSE,L666=FALSE,M666=FALSE),入力リスト!$K$36,"")&amp;IF(N666,"",入力リスト!$K$37)))</f>
        <v/>
      </c>
      <c r="H666" s="215"/>
      <c r="I666" s="1" t="b">
        <f>IF(B666="",FALSE,COUNTIF('従業員情報(給与以外)'!$A$4:$A$1000000,$B666)=0)</f>
        <v>0</v>
      </c>
      <c r="J666" s="8" t="b">
        <f t="shared" si="50"/>
        <v>1</v>
      </c>
      <c r="K666" s="8" t="b">
        <f t="shared" si="51"/>
        <v>1</v>
      </c>
      <c r="L666" s="8" t="b">
        <f t="shared" si="52"/>
        <v>1</v>
      </c>
      <c r="M666" s="8" t="b">
        <f t="shared" si="53"/>
        <v>1</v>
      </c>
      <c r="N666" s="1" t="b">
        <f t="shared" si="54"/>
        <v>1</v>
      </c>
      <c r="O666" s="8" t="str">
        <f>IF(F666="","",IF($F$2=入力リスト!$H$25,ROUNDDOWN(INT(F666)+ROUNDDOWN((F666-INT(F666))*100,0)/60,2),F666))</f>
        <v/>
      </c>
      <c r="P666" s="7"/>
      <c r="Q666" s="7"/>
    </row>
    <row r="667" spans="1:17">
      <c r="A667" s="105"/>
      <c r="B667" s="2"/>
      <c r="C667" s="254"/>
      <c r="D667" s="254"/>
      <c r="E667" s="254"/>
      <c r="F667" s="255"/>
      <c r="G667" s="215" t="str">
        <f>IF(AND($B667="",OR(B667&lt;&gt;"",C667&lt;&gt;"",D667&lt;&gt;"",E667&lt;&gt;"",F667&lt;&gt;"")),入力リスト!$K$34,IF($I667=TRUE,入力リスト!$K$35,IF(J667=FALSE,"「毎月の固定給与額」","")&amp;IF(AND(J667=FALSE,OR(K667=FALSE,L667=FALSE,M667=FALSE)),",","")&amp;IF(K667=FALSE,"「賞与額等」","")&amp;IF(AND(K667=FALSE,OR(L667=FALSE,M667=FALSE)),",","")&amp;IF(L667=FALSE,"「残業手当」","")&amp;IF(AND(L667=FALSE,M667=FALSE),",","")&amp;IF(M667=FALSE,"「残業時間」","")&amp;IF(OR(J667=FALSE,K667=FALSE,L667=FALSE,M667=FALSE),入力リスト!$K$36,"")&amp;IF(N667,"",入力リスト!$K$37)))</f>
        <v/>
      </c>
      <c r="H667" s="215"/>
      <c r="I667" s="1" t="b">
        <f>IF(B667="",FALSE,COUNTIF('従業員情報(給与以外)'!$A$4:$A$1000000,$B667)=0)</f>
        <v>0</v>
      </c>
      <c r="J667" s="8" t="b">
        <f t="shared" si="50"/>
        <v>1</v>
      </c>
      <c r="K667" s="8" t="b">
        <f t="shared" si="51"/>
        <v>1</v>
      </c>
      <c r="L667" s="8" t="b">
        <f t="shared" si="52"/>
        <v>1</v>
      </c>
      <c r="M667" s="8" t="b">
        <f t="shared" si="53"/>
        <v>1</v>
      </c>
      <c r="N667" s="1" t="b">
        <f t="shared" si="54"/>
        <v>1</v>
      </c>
      <c r="O667" s="8" t="str">
        <f>IF(F667="","",IF($F$2=入力リスト!$H$25,ROUNDDOWN(INT(F667)+ROUNDDOWN((F667-INT(F667))*100,0)/60,2),F667))</f>
        <v/>
      </c>
      <c r="P667" s="7"/>
      <c r="Q667" s="7"/>
    </row>
    <row r="668" spans="1:17">
      <c r="A668" s="105"/>
      <c r="B668" s="2"/>
      <c r="C668" s="254"/>
      <c r="D668" s="254"/>
      <c r="E668" s="254"/>
      <c r="F668" s="255"/>
      <c r="G668" s="215" t="str">
        <f>IF(AND($B668="",OR(B668&lt;&gt;"",C668&lt;&gt;"",D668&lt;&gt;"",E668&lt;&gt;"",F668&lt;&gt;"")),入力リスト!$K$34,IF($I668=TRUE,入力リスト!$K$35,IF(J668=FALSE,"「毎月の固定給与額」","")&amp;IF(AND(J668=FALSE,OR(K668=FALSE,L668=FALSE,M668=FALSE)),",","")&amp;IF(K668=FALSE,"「賞与額等」","")&amp;IF(AND(K668=FALSE,OR(L668=FALSE,M668=FALSE)),",","")&amp;IF(L668=FALSE,"「残業手当」","")&amp;IF(AND(L668=FALSE,M668=FALSE),",","")&amp;IF(M668=FALSE,"「残業時間」","")&amp;IF(OR(J668=FALSE,K668=FALSE,L668=FALSE,M668=FALSE),入力リスト!$K$36,"")&amp;IF(N668,"",入力リスト!$K$37)))</f>
        <v/>
      </c>
      <c r="H668" s="215"/>
      <c r="I668" s="1" t="b">
        <f>IF(B668="",FALSE,COUNTIF('従業員情報(給与以外)'!$A$4:$A$1000000,$B668)=0)</f>
        <v>0</v>
      </c>
      <c r="J668" s="8" t="b">
        <f t="shared" si="50"/>
        <v>1</v>
      </c>
      <c r="K668" s="8" t="b">
        <f t="shared" si="51"/>
        <v>1</v>
      </c>
      <c r="L668" s="8" t="b">
        <f t="shared" si="52"/>
        <v>1</v>
      </c>
      <c r="M668" s="8" t="b">
        <f t="shared" si="53"/>
        <v>1</v>
      </c>
      <c r="N668" s="1" t="b">
        <f t="shared" si="54"/>
        <v>1</v>
      </c>
      <c r="O668" s="8" t="str">
        <f>IF(F668="","",IF($F$2=入力リスト!$H$25,ROUNDDOWN(INT(F668)+ROUNDDOWN((F668-INT(F668))*100,0)/60,2),F668))</f>
        <v/>
      </c>
      <c r="P668" s="7"/>
      <c r="Q668" s="7"/>
    </row>
    <row r="669" spans="1:17">
      <c r="A669" s="105"/>
      <c r="B669" s="2"/>
      <c r="C669" s="254"/>
      <c r="D669" s="254"/>
      <c r="E669" s="254"/>
      <c r="F669" s="255"/>
      <c r="G669" s="215" t="str">
        <f>IF(AND($B669="",OR(B669&lt;&gt;"",C669&lt;&gt;"",D669&lt;&gt;"",E669&lt;&gt;"",F669&lt;&gt;"")),入力リスト!$K$34,IF($I669=TRUE,入力リスト!$K$35,IF(J669=FALSE,"「毎月の固定給与額」","")&amp;IF(AND(J669=FALSE,OR(K669=FALSE,L669=FALSE,M669=FALSE)),",","")&amp;IF(K669=FALSE,"「賞与額等」","")&amp;IF(AND(K669=FALSE,OR(L669=FALSE,M669=FALSE)),",","")&amp;IF(L669=FALSE,"「残業手当」","")&amp;IF(AND(L669=FALSE,M669=FALSE),",","")&amp;IF(M669=FALSE,"「残業時間」","")&amp;IF(OR(J669=FALSE,K669=FALSE,L669=FALSE,M669=FALSE),入力リスト!$K$36,"")&amp;IF(N669,"",入力リスト!$K$37)))</f>
        <v/>
      </c>
      <c r="H669" s="215"/>
      <c r="I669" s="1" t="b">
        <f>IF(B669="",FALSE,COUNTIF('従業員情報(給与以外)'!$A$4:$A$1000000,$B669)=0)</f>
        <v>0</v>
      </c>
      <c r="J669" s="8" t="b">
        <f t="shared" si="50"/>
        <v>1</v>
      </c>
      <c r="K669" s="8" t="b">
        <f t="shared" si="51"/>
        <v>1</v>
      </c>
      <c r="L669" s="8" t="b">
        <f t="shared" si="52"/>
        <v>1</v>
      </c>
      <c r="M669" s="8" t="b">
        <f t="shared" si="53"/>
        <v>1</v>
      </c>
      <c r="N669" s="1" t="b">
        <f t="shared" si="54"/>
        <v>1</v>
      </c>
      <c r="O669" s="8" t="str">
        <f>IF(F669="","",IF($F$2=入力リスト!$H$25,ROUNDDOWN(INT(F669)+ROUNDDOWN((F669-INT(F669))*100,0)/60,2),F669))</f>
        <v/>
      </c>
      <c r="P669" s="7"/>
      <c r="Q669" s="7"/>
    </row>
    <row r="670" spans="1:17">
      <c r="A670" s="105"/>
      <c r="B670" s="2"/>
      <c r="C670" s="254"/>
      <c r="D670" s="254"/>
      <c r="E670" s="254"/>
      <c r="F670" s="255"/>
      <c r="G670" s="215" t="str">
        <f>IF(AND($B670="",OR(B670&lt;&gt;"",C670&lt;&gt;"",D670&lt;&gt;"",E670&lt;&gt;"",F670&lt;&gt;"")),入力リスト!$K$34,IF($I670=TRUE,入力リスト!$K$35,IF(J670=FALSE,"「毎月の固定給与額」","")&amp;IF(AND(J670=FALSE,OR(K670=FALSE,L670=FALSE,M670=FALSE)),",","")&amp;IF(K670=FALSE,"「賞与額等」","")&amp;IF(AND(K670=FALSE,OR(L670=FALSE,M670=FALSE)),",","")&amp;IF(L670=FALSE,"「残業手当」","")&amp;IF(AND(L670=FALSE,M670=FALSE),",","")&amp;IF(M670=FALSE,"「残業時間」","")&amp;IF(OR(J670=FALSE,K670=FALSE,L670=FALSE,M670=FALSE),入力リスト!$K$36,"")&amp;IF(N670,"",入力リスト!$K$37)))</f>
        <v/>
      </c>
      <c r="H670" s="215"/>
      <c r="I670" s="1" t="b">
        <f>IF(B670="",FALSE,COUNTIF('従業員情報(給与以外)'!$A$4:$A$1000000,$B670)=0)</f>
        <v>0</v>
      </c>
      <c r="J670" s="8" t="b">
        <f t="shared" si="50"/>
        <v>1</v>
      </c>
      <c r="K670" s="8" t="b">
        <f t="shared" si="51"/>
        <v>1</v>
      </c>
      <c r="L670" s="8" t="b">
        <f t="shared" si="52"/>
        <v>1</v>
      </c>
      <c r="M670" s="8" t="b">
        <f t="shared" si="53"/>
        <v>1</v>
      </c>
      <c r="N670" s="1" t="b">
        <f t="shared" si="54"/>
        <v>1</v>
      </c>
      <c r="O670" s="8" t="str">
        <f>IF(F670="","",IF($F$2=入力リスト!$H$25,ROUNDDOWN(INT(F670)+ROUNDDOWN((F670-INT(F670))*100,0)/60,2),F670))</f>
        <v/>
      </c>
      <c r="P670" s="7"/>
      <c r="Q670" s="7"/>
    </row>
    <row r="671" spans="1:17">
      <c r="A671" s="105"/>
      <c r="B671" s="2"/>
      <c r="C671" s="254"/>
      <c r="D671" s="254"/>
      <c r="E671" s="254"/>
      <c r="F671" s="255"/>
      <c r="G671" s="215" t="str">
        <f>IF(AND($B671="",OR(B671&lt;&gt;"",C671&lt;&gt;"",D671&lt;&gt;"",E671&lt;&gt;"",F671&lt;&gt;"")),入力リスト!$K$34,IF($I671=TRUE,入力リスト!$K$35,IF(J671=FALSE,"「毎月の固定給与額」","")&amp;IF(AND(J671=FALSE,OR(K671=FALSE,L671=FALSE,M671=FALSE)),",","")&amp;IF(K671=FALSE,"「賞与額等」","")&amp;IF(AND(K671=FALSE,OR(L671=FALSE,M671=FALSE)),",","")&amp;IF(L671=FALSE,"「残業手当」","")&amp;IF(AND(L671=FALSE,M671=FALSE),",","")&amp;IF(M671=FALSE,"「残業時間」","")&amp;IF(OR(J671=FALSE,K671=FALSE,L671=FALSE,M671=FALSE),入力リスト!$K$36,"")&amp;IF(N671,"",入力リスト!$K$37)))</f>
        <v/>
      </c>
      <c r="H671" s="215"/>
      <c r="I671" s="1" t="b">
        <f>IF(B671="",FALSE,COUNTIF('従業員情報(給与以外)'!$A$4:$A$1000000,$B671)=0)</f>
        <v>0</v>
      </c>
      <c r="J671" s="8" t="b">
        <f t="shared" si="50"/>
        <v>1</v>
      </c>
      <c r="K671" s="8" t="b">
        <f t="shared" si="51"/>
        <v>1</v>
      </c>
      <c r="L671" s="8" t="b">
        <f t="shared" si="52"/>
        <v>1</v>
      </c>
      <c r="M671" s="8" t="b">
        <f t="shared" si="53"/>
        <v>1</v>
      </c>
      <c r="N671" s="1" t="b">
        <f t="shared" si="54"/>
        <v>1</v>
      </c>
      <c r="O671" s="8" t="str">
        <f>IF(F671="","",IF($F$2=入力リスト!$H$25,ROUNDDOWN(INT(F671)+ROUNDDOWN((F671-INT(F671))*100,0)/60,2),F671))</f>
        <v/>
      </c>
      <c r="P671" s="7"/>
      <c r="Q671" s="7"/>
    </row>
    <row r="672" spans="1:17">
      <c r="A672" s="105"/>
      <c r="B672" s="2"/>
      <c r="C672" s="254"/>
      <c r="D672" s="254"/>
      <c r="E672" s="254"/>
      <c r="F672" s="255"/>
      <c r="G672" s="215" t="str">
        <f>IF(AND($B672="",OR(B672&lt;&gt;"",C672&lt;&gt;"",D672&lt;&gt;"",E672&lt;&gt;"",F672&lt;&gt;"")),入力リスト!$K$34,IF($I672=TRUE,入力リスト!$K$35,IF(J672=FALSE,"「毎月の固定給与額」","")&amp;IF(AND(J672=FALSE,OR(K672=FALSE,L672=FALSE,M672=FALSE)),",","")&amp;IF(K672=FALSE,"「賞与額等」","")&amp;IF(AND(K672=FALSE,OR(L672=FALSE,M672=FALSE)),",","")&amp;IF(L672=FALSE,"「残業手当」","")&amp;IF(AND(L672=FALSE,M672=FALSE),",","")&amp;IF(M672=FALSE,"「残業時間」","")&amp;IF(OR(J672=FALSE,K672=FALSE,L672=FALSE,M672=FALSE),入力リスト!$K$36,"")&amp;IF(N672,"",入力リスト!$K$37)))</f>
        <v/>
      </c>
      <c r="H672" s="215"/>
      <c r="I672" s="1" t="b">
        <f>IF(B672="",FALSE,COUNTIF('従業員情報(給与以外)'!$A$4:$A$1000000,$B672)=0)</f>
        <v>0</v>
      </c>
      <c r="J672" s="8" t="b">
        <f t="shared" si="50"/>
        <v>1</v>
      </c>
      <c r="K672" s="8" t="b">
        <f t="shared" si="51"/>
        <v>1</v>
      </c>
      <c r="L672" s="8" t="b">
        <f t="shared" si="52"/>
        <v>1</v>
      </c>
      <c r="M672" s="8" t="b">
        <f t="shared" si="53"/>
        <v>1</v>
      </c>
      <c r="N672" s="1" t="b">
        <f t="shared" si="54"/>
        <v>1</v>
      </c>
      <c r="O672" s="8" t="str">
        <f>IF(F672="","",IF($F$2=入力リスト!$H$25,ROUNDDOWN(INT(F672)+ROUNDDOWN((F672-INT(F672))*100,0)/60,2),F672))</f>
        <v/>
      </c>
      <c r="P672" s="7"/>
      <c r="Q672" s="7"/>
    </row>
    <row r="673" spans="1:17">
      <c r="A673" s="105"/>
      <c r="B673" s="2"/>
      <c r="C673" s="254"/>
      <c r="D673" s="254"/>
      <c r="E673" s="254"/>
      <c r="F673" s="255"/>
      <c r="G673" s="215" t="str">
        <f>IF(AND($B673="",OR(B673&lt;&gt;"",C673&lt;&gt;"",D673&lt;&gt;"",E673&lt;&gt;"",F673&lt;&gt;"")),入力リスト!$K$34,IF($I673=TRUE,入力リスト!$K$35,IF(J673=FALSE,"「毎月の固定給与額」","")&amp;IF(AND(J673=FALSE,OR(K673=FALSE,L673=FALSE,M673=FALSE)),",","")&amp;IF(K673=FALSE,"「賞与額等」","")&amp;IF(AND(K673=FALSE,OR(L673=FALSE,M673=FALSE)),",","")&amp;IF(L673=FALSE,"「残業手当」","")&amp;IF(AND(L673=FALSE,M673=FALSE),",","")&amp;IF(M673=FALSE,"「残業時間」","")&amp;IF(OR(J673=FALSE,K673=FALSE,L673=FALSE,M673=FALSE),入力リスト!$K$36,"")&amp;IF(N673,"",入力リスト!$K$37)))</f>
        <v/>
      </c>
      <c r="H673" s="215"/>
      <c r="I673" s="1" t="b">
        <f>IF(B673="",FALSE,COUNTIF('従業員情報(給与以外)'!$A$4:$A$1000000,$B673)=0)</f>
        <v>0</v>
      </c>
      <c r="J673" s="8" t="b">
        <f t="shared" si="50"/>
        <v>1</v>
      </c>
      <c r="K673" s="8" t="b">
        <f t="shared" si="51"/>
        <v>1</v>
      </c>
      <c r="L673" s="8" t="b">
        <f t="shared" si="52"/>
        <v>1</v>
      </c>
      <c r="M673" s="8" t="b">
        <f t="shared" si="53"/>
        <v>1</v>
      </c>
      <c r="N673" s="1" t="b">
        <f t="shared" si="54"/>
        <v>1</v>
      </c>
      <c r="O673" s="8" t="str">
        <f>IF(F673="","",IF($F$2=入力リスト!$H$25,ROUNDDOWN(INT(F673)+ROUNDDOWN((F673-INT(F673))*100,0)/60,2),F673))</f>
        <v/>
      </c>
      <c r="P673" s="7"/>
      <c r="Q673" s="7"/>
    </row>
    <row r="674" spans="1:17">
      <c r="A674" s="105"/>
      <c r="B674" s="2"/>
      <c r="C674" s="254"/>
      <c r="D674" s="254"/>
      <c r="E674" s="254"/>
      <c r="F674" s="255"/>
      <c r="G674" s="215" t="str">
        <f>IF(AND($B674="",OR(B674&lt;&gt;"",C674&lt;&gt;"",D674&lt;&gt;"",E674&lt;&gt;"",F674&lt;&gt;"")),入力リスト!$K$34,IF($I674=TRUE,入力リスト!$K$35,IF(J674=FALSE,"「毎月の固定給与額」","")&amp;IF(AND(J674=FALSE,OR(K674=FALSE,L674=FALSE,M674=FALSE)),",","")&amp;IF(K674=FALSE,"「賞与額等」","")&amp;IF(AND(K674=FALSE,OR(L674=FALSE,M674=FALSE)),",","")&amp;IF(L674=FALSE,"「残業手当」","")&amp;IF(AND(L674=FALSE,M674=FALSE),",","")&amp;IF(M674=FALSE,"「残業時間」","")&amp;IF(OR(J674=FALSE,K674=FALSE,L674=FALSE,M674=FALSE),入力リスト!$K$36,"")&amp;IF(N674,"",入力リスト!$K$37)))</f>
        <v/>
      </c>
      <c r="H674" s="215"/>
      <c r="I674" s="1" t="b">
        <f>IF(B674="",FALSE,COUNTIF('従業員情報(給与以外)'!$A$4:$A$1000000,$B674)=0)</f>
        <v>0</v>
      </c>
      <c r="J674" s="8" t="b">
        <f t="shared" si="50"/>
        <v>1</v>
      </c>
      <c r="K674" s="8" t="b">
        <f t="shared" si="51"/>
        <v>1</v>
      </c>
      <c r="L674" s="8" t="b">
        <f t="shared" si="52"/>
        <v>1</v>
      </c>
      <c r="M674" s="8" t="b">
        <f t="shared" si="53"/>
        <v>1</v>
      </c>
      <c r="N674" s="1" t="b">
        <f t="shared" si="54"/>
        <v>1</v>
      </c>
      <c r="O674" s="8" t="str">
        <f>IF(F674="","",IF($F$2=入力リスト!$H$25,ROUNDDOWN(INT(F674)+ROUNDDOWN((F674-INT(F674))*100,0)/60,2),F674))</f>
        <v/>
      </c>
      <c r="P674" s="7"/>
      <c r="Q674" s="7"/>
    </row>
    <row r="675" spans="1:17">
      <c r="A675" s="105"/>
      <c r="B675" s="2"/>
      <c r="C675" s="254"/>
      <c r="D675" s="254"/>
      <c r="E675" s="254"/>
      <c r="F675" s="255"/>
      <c r="G675" s="215" t="str">
        <f>IF(AND($B675="",OR(B675&lt;&gt;"",C675&lt;&gt;"",D675&lt;&gt;"",E675&lt;&gt;"",F675&lt;&gt;"")),入力リスト!$K$34,IF($I675=TRUE,入力リスト!$K$35,IF(J675=FALSE,"「毎月の固定給与額」","")&amp;IF(AND(J675=FALSE,OR(K675=FALSE,L675=FALSE,M675=FALSE)),",","")&amp;IF(K675=FALSE,"「賞与額等」","")&amp;IF(AND(K675=FALSE,OR(L675=FALSE,M675=FALSE)),",","")&amp;IF(L675=FALSE,"「残業手当」","")&amp;IF(AND(L675=FALSE,M675=FALSE),",","")&amp;IF(M675=FALSE,"「残業時間」","")&amp;IF(OR(J675=FALSE,K675=FALSE,L675=FALSE,M675=FALSE),入力リスト!$K$36,"")&amp;IF(N675,"",入力リスト!$K$37)))</f>
        <v/>
      </c>
      <c r="H675" s="215"/>
      <c r="I675" s="1" t="b">
        <f>IF(B675="",FALSE,COUNTIF('従業員情報(給与以外)'!$A$4:$A$1000000,$B675)=0)</f>
        <v>0</v>
      </c>
      <c r="J675" s="8" t="b">
        <f t="shared" si="50"/>
        <v>1</v>
      </c>
      <c r="K675" s="8" t="b">
        <f t="shared" si="51"/>
        <v>1</v>
      </c>
      <c r="L675" s="8" t="b">
        <f t="shared" si="52"/>
        <v>1</v>
      </c>
      <c r="M675" s="8" t="b">
        <f t="shared" si="53"/>
        <v>1</v>
      </c>
      <c r="N675" s="1" t="b">
        <f t="shared" si="54"/>
        <v>1</v>
      </c>
      <c r="O675" s="8" t="str">
        <f>IF(F675="","",IF($F$2=入力リスト!$H$25,ROUNDDOWN(INT(F675)+ROUNDDOWN((F675-INT(F675))*100,0)/60,2),F675))</f>
        <v/>
      </c>
      <c r="P675" s="7"/>
      <c r="Q675" s="7"/>
    </row>
    <row r="676" spans="1:17">
      <c r="A676" s="105"/>
      <c r="B676" s="2"/>
      <c r="C676" s="254"/>
      <c r="D676" s="254"/>
      <c r="E676" s="254"/>
      <c r="F676" s="255"/>
      <c r="G676" s="215" t="str">
        <f>IF(AND($B676="",OR(B676&lt;&gt;"",C676&lt;&gt;"",D676&lt;&gt;"",E676&lt;&gt;"",F676&lt;&gt;"")),入力リスト!$K$34,IF($I676=TRUE,入力リスト!$K$35,IF(J676=FALSE,"「毎月の固定給与額」","")&amp;IF(AND(J676=FALSE,OR(K676=FALSE,L676=FALSE,M676=FALSE)),",","")&amp;IF(K676=FALSE,"「賞与額等」","")&amp;IF(AND(K676=FALSE,OR(L676=FALSE,M676=FALSE)),",","")&amp;IF(L676=FALSE,"「残業手当」","")&amp;IF(AND(L676=FALSE,M676=FALSE),",","")&amp;IF(M676=FALSE,"「残業時間」","")&amp;IF(OR(J676=FALSE,K676=FALSE,L676=FALSE,M676=FALSE),入力リスト!$K$36,"")&amp;IF(N676,"",入力リスト!$K$37)))</f>
        <v/>
      </c>
      <c r="H676" s="215"/>
      <c r="I676" s="1" t="b">
        <f>IF(B676="",FALSE,COUNTIF('従業員情報(給与以外)'!$A$4:$A$1000000,$B676)=0)</f>
        <v>0</v>
      </c>
      <c r="J676" s="8" t="b">
        <f t="shared" si="50"/>
        <v>1</v>
      </c>
      <c r="K676" s="8" t="b">
        <f t="shared" si="51"/>
        <v>1</v>
      </c>
      <c r="L676" s="8" t="b">
        <f t="shared" si="52"/>
        <v>1</v>
      </c>
      <c r="M676" s="8" t="b">
        <f t="shared" si="53"/>
        <v>1</v>
      </c>
      <c r="N676" s="1" t="b">
        <f t="shared" si="54"/>
        <v>1</v>
      </c>
      <c r="O676" s="8" t="str">
        <f>IF(F676="","",IF($F$2=入力リスト!$H$25,ROUNDDOWN(INT(F676)+ROUNDDOWN((F676-INT(F676))*100,0)/60,2),F676))</f>
        <v/>
      </c>
      <c r="P676" s="7"/>
      <c r="Q676" s="7"/>
    </row>
    <row r="677" spans="1:17">
      <c r="A677" s="105"/>
      <c r="B677" s="2"/>
      <c r="C677" s="254"/>
      <c r="D677" s="254"/>
      <c r="E677" s="254"/>
      <c r="F677" s="255"/>
      <c r="G677" s="215" t="str">
        <f>IF(AND($B677="",OR(B677&lt;&gt;"",C677&lt;&gt;"",D677&lt;&gt;"",E677&lt;&gt;"",F677&lt;&gt;"")),入力リスト!$K$34,IF($I677=TRUE,入力リスト!$K$35,IF(J677=FALSE,"「毎月の固定給与額」","")&amp;IF(AND(J677=FALSE,OR(K677=FALSE,L677=FALSE,M677=FALSE)),",","")&amp;IF(K677=FALSE,"「賞与額等」","")&amp;IF(AND(K677=FALSE,OR(L677=FALSE,M677=FALSE)),",","")&amp;IF(L677=FALSE,"「残業手当」","")&amp;IF(AND(L677=FALSE,M677=FALSE),",","")&amp;IF(M677=FALSE,"「残業時間」","")&amp;IF(OR(J677=FALSE,K677=FALSE,L677=FALSE,M677=FALSE),入力リスト!$K$36,"")&amp;IF(N677,"",入力リスト!$K$37)))</f>
        <v/>
      </c>
      <c r="H677" s="215"/>
      <c r="I677" s="1" t="b">
        <f>IF(B677="",FALSE,COUNTIF('従業員情報(給与以外)'!$A$4:$A$1000000,$B677)=0)</f>
        <v>0</v>
      </c>
      <c r="J677" s="8" t="b">
        <f t="shared" si="50"/>
        <v>1</v>
      </c>
      <c r="K677" s="8" t="b">
        <f t="shared" si="51"/>
        <v>1</v>
      </c>
      <c r="L677" s="8" t="b">
        <f t="shared" si="52"/>
        <v>1</v>
      </c>
      <c r="M677" s="8" t="b">
        <f t="shared" si="53"/>
        <v>1</v>
      </c>
      <c r="N677" s="1" t="b">
        <f t="shared" si="54"/>
        <v>1</v>
      </c>
      <c r="O677" s="8" t="str">
        <f>IF(F677="","",IF($F$2=入力リスト!$H$25,ROUNDDOWN(INT(F677)+ROUNDDOWN((F677-INT(F677))*100,0)/60,2),F677))</f>
        <v/>
      </c>
      <c r="P677" s="7"/>
      <c r="Q677" s="7"/>
    </row>
    <row r="678" spans="1:17">
      <c r="A678" s="105"/>
      <c r="B678" s="2"/>
      <c r="C678" s="254"/>
      <c r="D678" s="254"/>
      <c r="E678" s="254"/>
      <c r="F678" s="255"/>
      <c r="G678" s="215" t="str">
        <f>IF(AND($B678="",OR(B678&lt;&gt;"",C678&lt;&gt;"",D678&lt;&gt;"",E678&lt;&gt;"",F678&lt;&gt;"")),入力リスト!$K$34,IF($I678=TRUE,入力リスト!$K$35,IF(J678=FALSE,"「毎月の固定給与額」","")&amp;IF(AND(J678=FALSE,OR(K678=FALSE,L678=FALSE,M678=FALSE)),",","")&amp;IF(K678=FALSE,"「賞与額等」","")&amp;IF(AND(K678=FALSE,OR(L678=FALSE,M678=FALSE)),",","")&amp;IF(L678=FALSE,"「残業手当」","")&amp;IF(AND(L678=FALSE,M678=FALSE),",","")&amp;IF(M678=FALSE,"「残業時間」","")&amp;IF(OR(J678=FALSE,K678=FALSE,L678=FALSE,M678=FALSE),入力リスト!$K$36,"")&amp;IF(N678,"",入力リスト!$K$37)))</f>
        <v/>
      </c>
      <c r="H678" s="215"/>
      <c r="I678" s="1" t="b">
        <f>IF(B678="",FALSE,COUNTIF('従業員情報(給与以外)'!$A$4:$A$1000000,$B678)=0)</f>
        <v>0</v>
      </c>
      <c r="J678" s="8" t="b">
        <f t="shared" si="50"/>
        <v>1</v>
      </c>
      <c r="K678" s="8" t="b">
        <f t="shared" si="51"/>
        <v>1</v>
      </c>
      <c r="L678" s="8" t="b">
        <f t="shared" si="52"/>
        <v>1</v>
      </c>
      <c r="M678" s="8" t="b">
        <f t="shared" si="53"/>
        <v>1</v>
      </c>
      <c r="N678" s="1" t="b">
        <f t="shared" si="54"/>
        <v>1</v>
      </c>
      <c r="O678" s="8" t="str">
        <f>IF(F678="","",IF($F$2=入力リスト!$H$25,ROUNDDOWN(INT(F678)+ROUNDDOWN((F678-INT(F678))*100,0)/60,2),F678))</f>
        <v/>
      </c>
      <c r="P678" s="7"/>
      <c r="Q678" s="7"/>
    </row>
    <row r="679" spans="1:17">
      <c r="A679" s="105"/>
      <c r="B679" s="2"/>
      <c r="C679" s="254"/>
      <c r="D679" s="254"/>
      <c r="E679" s="254"/>
      <c r="F679" s="255"/>
      <c r="G679" s="215" t="str">
        <f>IF(AND($B679="",OR(B679&lt;&gt;"",C679&lt;&gt;"",D679&lt;&gt;"",E679&lt;&gt;"",F679&lt;&gt;"")),入力リスト!$K$34,IF($I679=TRUE,入力リスト!$K$35,IF(J679=FALSE,"「毎月の固定給与額」","")&amp;IF(AND(J679=FALSE,OR(K679=FALSE,L679=FALSE,M679=FALSE)),",","")&amp;IF(K679=FALSE,"「賞与額等」","")&amp;IF(AND(K679=FALSE,OR(L679=FALSE,M679=FALSE)),",","")&amp;IF(L679=FALSE,"「残業手当」","")&amp;IF(AND(L679=FALSE,M679=FALSE),",","")&amp;IF(M679=FALSE,"「残業時間」","")&amp;IF(OR(J679=FALSE,K679=FALSE,L679=FALSE,M679=FALSE),入力リスト!$K$36,"")&amp;IF(N679,"",入力リスト!$K$37)))</f>
        <v/>
      </c>
      <c r="H679" s="215"/>
      <c r="I679" s="1" t="b">
        <f>IF(B679="",FALSE,COUNTIF('従業員情報(給与以外)'!$A$4:$A$1000000,$B679)=0)</f>
        <v>0</v>
      </c>
      <c r="J679" s="8" t="b">
        <f t="shared" si="50"/>
        <v>1</v>
      </c>
      <c r="K679" s="8" t="b">
        <f t="shared" si="51"/>
        <v>1</v>
      </c>
      <c r="L679" s="8" t="b">
        <f t="shared" si="52"/>
        <v>1</v>
      </c>
      <c r="M679" s="8" t="b">
        <f t="shared" si="53"/>
        <v>1</v>
      </c>
      <c r="N679" s="1" t="b">
        <f t="shared" si="54"/>
        <v>1</v>
      </c>
      <c r="O679" s="8" t="str">
        <f>IF(F679="","",IF($F$2=入力リスト!$H$25,ROUNDDOWN(INT(F679)+ROUNDDOWN((F679-INT(F679))*100,0)/60,2),F679))</f>
        <v/>
      </c>
      <c r="P679" s="7"/>
      <c r="Q679" s="7"/>
    </row>
    <row r="680" spans="1:17">
      <c r="A680" s="105"/>
      <c r="B680" s="2"/>
      <c r="C680" s="254"/>
      <c r="D680" s="254"/>
      <c r="E680" s="254"/>
      <c r="F680" s="255"/>
      <c r="G680" s="215" t="str">
        <f>IF(AND($B680="",OR(B680&lt;&gt;"",C680&lt;&gt;"",D680&lt;&gt;"",E680&lt;&gt;"",F680&lt;&gt;"")),入力リスト!$K$34,IF($I680=TRUE,入力リスト!$K$35,IF(J680=FALSE,"「毎月の固定給与額」","")&amp;IF(AND(J680=FALSE,OR(K680=FALSE,L680=FALSE,M680=FALSE)),",","")&amp;IF(K680=FALSE,"「賞与額等」","")&amp;IF(AND(K680=FALSE,OR(L680=FALSE,M680=FALSE)),",","")&amp;IF(L680=FALSE,"「残業手当」","")&amp;IF(AND(L680=FALSE,M680=FALSE),",","")&amp;IF(M680=FALSE,"「残業時間」","")&amp;IF(OR(J680=FALSE,K680=FALSE,L680=FALSE,M680=FALSE),入力リスト!$K$36,"")&amp;IF(N680,"",入力リスト!$K$37)))</f>
        <v/>
      </c>
      <c r="H680" s="215"/>
      <c r="I680" s="1" t="b">
        <f>IF(B680="",FALSE,COUNTIF('従業員情報(給与以外)'!$A$4:$A$1000000,$B680)=0)</f>
        <v>0</v>
      </c>
      <c r="J680" s="8" t="b">
        <f t="shared" si="50"/>
        <v>1</v>
      </c>
      <c r="K680" s="8" t="b">
        <f t="shared" si="51"/>
        <v>1</v>
      </c>
      <c r="L680" s="8" t="b">
        <f t="shared" si="52"/>
        <v>1</v>
      </c>
      <c r="M680" s="8" t="b">
        <f t="shared" si="53"/>
        <v>1</v>
      </c>
      <c r="N680" s="1" t="b">
        <f t="shared" si="54"/>
        <v>1</v>
      </c>
      <c r="O680" s="8" t="str">
        <f>IF(F680="","",IF($F$2=入力リスト!$H$25,ROUNDDOWN(INT(F680)+ROUNDDOWN((F680-INT(F680))*100,0)/60,2),F680))</f>
        <v/>
      </c>
      <c r="P680" s="7"/>
      <c r="Q680" s="7"/>
    </row>
    <row r="681" spans="1:17">
      <c r="A681" s="105"/>
      <c r="B681" s="2"/>
      <c r="C681" s="254"/>
      <c r="D681" s="254"/>
      <c r="E681" s="254"/>
      <c r="F681" s="255"/>
      <c r="G681" s="215" t="str">
        <f>IF(AND($B681="",OR(B681&lt;&gt;"",C681&lt;&gt;"",D681&lt;&gt;"",E681&lt;&gt;"",F681&lt;&gt;"")),入力リスト!$K$34,IF($I681=TRUE,入力リスト!$K$35,IF(J681=FALSE,"「毎月の固定給与額」","")&amp;IF(AND(J681=FALSE,OR(K681=FALSE,L681=FALSE,M681=FALSE)),",","")&amp;IF(K681=FALSE,"「賞与額等」","")&amp;IF(AND(K681=FALSE,OR(L681=FALSE,M681=FALSE)),",","")&amp;IF(L681=FALSE,"「残業手当」","")&amp;IF(AND(L681=FALSE,M681=FALSE),",","")&amp;IF(M681=FALSE,"「残業時間」","")&amp;IF(OR(J681=FALSE,K681=FALSE,L681=FALSE,M681=FALSE),入力リスト!$K$36,"")&amp;IF(N681,"",入力リスト!$K$37)))</f>
        <v/>
      </c>
      <c r="H681" s="215"/>
      <c r="I681" s="1" t="b">
        <f>IF(B681="",FALSE,COUNTIF('従業員情報(給与以外)'!$A$4:$A$1000000,$B681)=0)</f>
        <v>0</v>
      </c>
      <c r="J681" s="8" t="b">
        <f t="shared" si="50"/>
        <v>1</v>
      </c>
      <c r="K681" s="8" t="b">
        <f t="shared" si="51"/>
        <v>1</v>
      </c>
      <c r="L681" s="8" t="b">
        <f t="shared" si="52"/>
        <v>1</v>
      </c>
      <c r="M681" s="8" t="b">
        <f t="shared" si="53"/>
        <v>1</v>
      </c>
      <c r="N681" s="1" t="b">
        <f t="shared" si="54"/>
        <v>1</v>
      </c>
      <c r="O681" s="8" t="str">
        <f>IF(F681="","",IF($F$2=入力リスト!$H$25,ROUNDDOWN(INT(F681)+ROUNDDOWN((F681-INT(F681))*100,0)/60,2),F681))</f>
        <v/>
      </c>
      <c r="P681" s="7"/>
      <c r="Q681" s="7"/>
    </row>
    <row r="682" spans="1:17">
      <c r="A682" s="105"/>
      <c r="B682" s="2"/>
      <c r="C682" s="254"/>
      <c r="D682" s="254"/>
      <c r="E682" s="254"/>
      <c r="F682" s="255"/>
      <c r="G682" s="215" t="str">
        <f>IF(AND($B682="",OR(B682&lt;&gt;"",C682&lt;&gt;"",D682&lt;&gt;"",E682&lt;&gt;"",F682&lt;&gt;"")),入力リスト!$K$34,IF($I682=TRUE,入力リスト!$K$35,IF(J682=FALSE,"「毎月の固定給与額」","")&amp;IF(AND(J682=FALSE,OR(K682=FALSE,L682=FALSE,M682=FALSE)),",","")&amp;IF(K682=FALSE,"「賞与額等」","")&amp;IF(AND(K682=FALSE,OR(L682=FALSE,M682=FALSE)),",","")&amp;IF(L682=FALSE,"「残業手当」","")&amp;IF(AND(L682=FALSE,M682=FALSE),",","")&amp;IF(M682=FALSE,"「残業時間」","")&amp;IF(OR(J682=FALSE,K682=FALSE,L682=FALSE,M682=FALSE),入力リスト!$K$36,"")&amp;IF(N682,"",入力リスト!$K$37)))</f>
        <v/>
      </c>
      <c r="H682" s="215"/>
      <c r="I682" s="1" t="b">
        <f>IF(B682="",FALSE,COUNTIF('従業員情報(給与以外)'!$A$4:$A$1000000,$B682)=0)</f>
        <v>0</v>
      </c>
      <c r="J682" s="8" t="b">
        <f t="shared" si="50"/>
        <v>1</v>
      </c>
      <c r="K682" s="8" t="b">
        <f t="shared" si="51"/>
        <v>1</v>
      </c>
      <c r="L682" s="8" t="b">
        <f t="shared" si="52"/>
        <v>1</v>
      </c>
      <c r="M682" s="8" t="b">
        <f t="shared" si="53"/>
        <v>1</v>
      </c>
      <c r="N682" s="1" t="b">
        <f t="shared" si="54"/>
        <v>1</v>
      </c>
      <c r="O682" s="8" t="str">
        <f>IF(F682="","",IF($F$2=入力リスト!$H$25,ROUNDDOWN(INT(F682)+ROUNDDOWN((F682-INT(F682))*100,0)/60,2),F682))</f>
        <v/>
      </c>
      <c r="P682" s="7"/>
      <c r="Q682" s="7"/>
    </row>
    <row r="683" spans="1:17">
      <c r="A683" s="105"/>
      <c r="B683" s="2"/>
      <c r="C683" s="254"/>
      <c r="D683" s="254"/>
      <c r="E683" s="254"/>
      <c r="F683" s="255"/>
      <c r="G683" s="215" t="str">
        <f>IF(AND($B683="",OR(B683&lt;&gt;"",C683&lt;&gt;"",D683&lt;&gt;"",E683&lt;&gt;"",F683&lt;&gt;"")),入力リスト!$K$34,IF($I683=TRUE,入力リスト!$K$35,IF(J683=FALSE,"「毎月の固定給与額」","")&amp;IF(AND(J683=FALSE,OR(K683=FALSE,L683=FALSE,M683=FALSE)),",","")&amp;IF(K683=FALSE,"「賞与額等」","")&amp;IF(AND(K683=FALSE,OR(L683=FALSE,M683=FALSE)),",","")&amp;IF(L683=FALSE,"「残業手当」","")&amp;IF(AND(L683=FALSE,M683=FALSE),",","")&amp;IF(M683=FALSE,"「残業時間」","")&amp;IF(OR(J683=FALSE,K683=FALSE,L683=FALSE,M683=FALSE),入力リスト!$K$36,"")&amp;IF(N683,"",入力リスト!$K$37)))</f>
        <v/>
      </c>
      <c r="H683" s="215"/>
      <c r="I683" s="1" t="b">
        <f>IF(B683="",FALSE,COUNTIF('従業員情報(給与以外)'!$A$4:$A$1000000,$B683)=0)</f>
        <v>0</v>
      </c>
      <c r="J683" s="8" t="b">
        <f t="shared" si="50"/>
        <v>1</v>
      </c>
      <c r="K683" s="8" t="b">
        <f t="shared" si="51"/>
        <v>1</v>
      </c>
      <c r="L683" s="8" t="b">
        <f t="shared" si="52"/>
        <v>1</v>
      </c>
      <c r="M683" s="8" t="b">
        <f t="shared" si="53"/>
        <v>1</v>
      </c>
      <c r="N683" s="1" t="b">
        <f t="shared" si="54"/>
        <v>1</v>
      </c>
      <c r="O683" s="8" t="str">
        <f>IF(F683="","",IF($F$2=入力リスト!$H$25,ROUNDDOWN(INT(F683)+ROUNDDOWN((F683-INT(F683))*100,0)/60,2),F683))</f>
        <v/>
      </c>
      <c r="P683" s="7"/>
      <c r="Q683" s="7"/>
    </row>
    <row r="684" spans="1:17">
      <c r="A684" s="105"/>
      <c r="B684" s="2"/>
      <c r="C684" s="254"/>
      <c r="D684" s="254"/>
      <c r="E684" s="254"/>
      <c r="F684" s="255"/>
      <c r="G684" s="215" t="str">
        <f>IF(AND($B684="",OR(B684&lt;&gt;"",C684&lt;&gt;"",D684&lt;&gt;"",E684&lt;&gt;"",F684&lt;&gt;"")),入力リスト!$K$34,IF($I684=TRUE,入力リスト!$K$35,IF(J684=FALSE,"「毎月の固定給与額」","")&amp;IF(AND(J684=FALSE,OR(K684=FALSE,L684=FALSE,M684=FALSE)),",","")&amp;IF(K684=FALSE,"「賞与額等」","")&amp;IF(AND(K684=FALSE,OR(L684=FALSE,M684=FALSE)),",","")&amp;IF(L684=FALSE,"「残業手当」","")&amp;IF(AND(L684=FALSE,M684=FALSE),",","")&amp;IF(M684=FALSE,"「残業時間」","")&amp;IF(OR(J684=FALSE,K684=FALSE,L684=FALSE,M684=FALSE),入力リスト!$K$36,"")&amp;IF(N684,"",入力リスト!$K$37)))</f>
        <v/>
      </c>
      <c r="H684" s="215"/>
      <c r="I684" s="1" t="b">
        <f>IF(B684="",FALSE,COUNTIF('従業員情報(給与以外)'!$A$4:$A$1000000,$B684)=0)</f>
        <v>0</v>
      </c>
      <c r="J684" s="8" t="b">
        <f t="shared" si="50"/>
        <v>1</v>
      </c>
      <c r="K684" s="8" t="b">
        <f t="shared" si="51"/>
        <v>1</v>
      </c>
      <c r="L684" s="8" t="b">
        <f t="shared" si="52"/>
        <v>1</v>
      </c>
      <c r="M684" s="8" t="b">
        <f t="shared" si="53"/>
        <v>1</v>
      </c>
      <c r="N684" s="1" t="b">
        <f t="shared" si="54"/>
        <v>1</v>
      </c>
      <c r="O684" s="8" t="str">
        <f>IF(F684="","",IF($F$2=入力リスト!$H$25,ROUNDDOWN(INT(F684)+ROUNDDOWN((F684-INT(F684))*100,0)/60,2),F684))</f>
        <v/>
      </c>
      <c r="P684" s="7"/>
      <c r="Q684" s="7"/>
    </row>
    <row r="685" spans="1:17">
      <c r="A685" s="105"/>
      <c r="B685" s="2"/>
      <c r="C685" s="254"/>
      <c r="D685" s="254"/>
      <c r="E685" s="254"/>
      <c r="F685" s="255"/>
      <c r="G685" s="215" t="str">
        <f>IF(AND($B685="",OR(B685&lt;&gt;"",C685&lt;&gt;"",D685&lt;&gt;"",E685&lt;&gt;"",F685&lt;&gt;"")),入力リスト!$K$34,IF($I685=TRUE,入力リスト!$K$35,IF(J685=FALSE,"「毎月の固定給与額」","")&amp;IF(AND(J685=FALSE,OR(K685=FALSE,L685=FALSE,M685=FALSE)),",","")&amp;IF(K685=FALSE,"「賞与額等」","")&amp;IF(AND(K685=FALSE,OR(L685=FALSE,M685=FALSE)),",","")&amp;IF(L685=FALSE,"「残業手当」","")&amp;IF(AND(L685=FALSE,M685=FALSE),",","")&amp;IF(M685=FALSE,"「残業時間」","")&amp;IF(OR(J685=FALSE,K685=FALSE,L685=FALSE,M685=FALSE),入力リスト!$K$36,"")&amp;IF(N685,"",入力リスト!$K$37)))</f>
        <v/>
      </c>
      <c r="H685" s="215"/>
      <c r="I685" s="1" t="b">
        <f>IF(B685="",FALSE,COUNTIF('従業員情報(給与以外)'!$A$4:$A$1000000,$B685)=0)</f>
        <v>0</v>
      </c>
      <c r="J685" s="8" t="b">
        <f t="shared" si="50"/>
        <v>1</v>
      </c>
      <c r="K685" s="8" t="b">
        <f t="shared" si="51"/>
        <v>1</v>
      </c>
      <c r="L685" s="8" t="b">
        <f t="shared" si="52"/>
        <v>1</v>
      </c>
      <c r="M685" s="8" t="b">
        <f t="shared" si="53"/>
        <v>1</v>
      </c>
      <c r="N685" s="1" t="b">
        <f t="shared" si="54"/>
        <v>1</v>
      </c>
      <c r="O685" s="8" t="str">
        <f>IF(F685="","",IF($F$2=入力リスト!$H$25,ROUNDDOWN(INT(F685)+ROUNDDOWN((F685-INT(F685))*100,0)/60,2),F685))</f>
        <v/>
      </c>
      <c r="P685" s="7"/>
      <c r="Q685" s="7"/>
    </row>
    <row r="686" spans="1:17">
      <c r="A686" s="105"/>
      <c r="B686" s="2"/>
      <c r="C686" s="254"/>
      <c r="D686" s="254"/>
      <c r="E686" s="254"/>
      <c r="F686" s="255"/>
      <c r="G686" s="215" t="str">
        <f>IF(AND($B686="",OR(B686&lt;&gt;"",C686&lt;&gt;"",D686&lt;&gt;"",E686&lt;&gt;"",F686&lt;&gt;"")),入力リスト!$K$34,IF($I686=TRUE,入力リスト!$K$35,IF(J686=FALSE,"「毎月の固定給与額」","")&amp;IF(AND(J686=FALSE,OR(K686=FALSE,L686=FALSE,M686=FALSE)),",","")&amp;IF(K686=FALSE,"「賞与額等」","")&amp;IF(AND(K686=FALSE,OR(L686=FALSE,M686=FALSE)),",","")&amp;IF(L686=FALSE,"「残業手当」","")&amp;IF(AND(L686=FALSE,M686=FALSE),",","")&amp;IF(M686=FALSE,"「残業時間」","")&amp;IF(OR(J686=FALSE,K686=FALSE,L686=FALSE,M686=FALSE),入力リスト!$K$36,"")&amp;IF(N686,"",入力リスト!$K$37)))</f>
        <v/>
      </c>
      <c r="H686" s="215"/>
      <c r="I686" s="1" t="b">
        <f>IF(B686="",FALSE,COUNTIF('従業員情報(給与以外)'!$A$4:$A$1000000,$B686)=0)</f>
        <v>0</v>
      </c>
      <c r="J686" s="8" t="b">
        <f t="shared" si="50"/>
        <v>1</v>
      </c>
      <c r="K686" s="8" t="b">
        <f t="shared" si="51"/>
        <v>1</v>
      </c>
      <c r="L686" s="8" t="b">
        <f t="shared" si="52"/>
        <v>1</v>
      </c>
      <c r="M686" s="8" t="b">
        <f t="shared" si="53"/>
        <v>1</v>
      </c>
      <c r="N686" s="1" t="b">
        <f t="shared" si="54"/>
        <v>1</v>
      </c>
      <c r="O686" s="8" t="str">
        <f>IF(F686="","",IF($F$2=入力リスト!$H$25,ROUNDDOWN(INT(F686)+ROUNDDOWN((F686-INT(F686))*100,0)/60,2),F686))</f>
        <v/>
      </c>
      <c r="P686" s="7"/>
      <c r="Q686" s="7"/>
    </row>
    <row r="687" spans="1:17">
      <c r="A687" s="105"/>
      <c r="B687" s="2"/>
      <c r="C687" s="254"/>
      <c r="D687" s="254"/>
      <c r="E687" s="254"/>
      <c r="F687" s="255"/>
      <c r="G687" s="215" t="str">
        <f>IF(AND($B687="",OR(B687&lt;&gt;"",C687&lt;&gt;"",D687&lt;&gt;"",E687&lt;&gt;"",F687&lt;&gt;"")),入力リスト!$K$34,IF($I687=TRUE,入力リスト!$K$35,IF(J687=FALSE,"「毎月の固定給与額」","")&amp;IF(AND(J687=FALSE,OR(K687=FALSE,L687=FALSE,M687=FALSE)),",","")&amp;IF(K687=FALSE,"「賞与額等」","")&amp;IF(AND(K687=FALSE,OR(L687=FALSE,M687=FALSE)),",","")&amp;IF(L687=FALSE,"「残業手当」","")&amp;IF(AND(L687=FALSE,M687=FALSE),",","")&amp;IF(M687=FALSE,"「残業時間」","")&amp;IF(OR(J687=FALSE,K687=FALSE,L687=FALSE,M687=FALSE),入力リスト!$K$36,"")&amp;IF(N687,"",入力リスト!$K$37)))</f>
        <v/>
      </c>
      <c r="H687" s="215"/>
      <c r="I687" s="1" t="b">
        <f>IF(B687="",FALSE,COUNTIF('従業員情報(給与以外)'!$A$4:$A$1000000,$B687)=0)</f>
        <v>0</v>
      </c>
      <c r="J687" s="8" t="b">
        <f t="shared" si="50"/>
        <v>1</v>
      </c>
      <c r="K687" s="8" t="b">
        <f t="shared" si="51"/>
        <v>1</v>
      </c>
      <c r="L687" s="8" t="b">
        <f t="shared" si="52"/>
        <v>1</v>
      </c>
      <c r="M687" s="8" t="b">
        <f t="shared" si="53"/>
        <v>1</v>
      </c>
      <c r="N687" s="1" t="b">
        <f t="shared" si="54"/>
        <v>1</v>
      </c>
      <c r="O687" s="8" t="str">
        <f>IF(F687="","",IF($F$2=入力リスト!$H$25,ROUNDDOWN(INT(F687)+ROUNDDOWN((F687-INT(F687))*100,0)/60,2),F687))</f>
        <v/>
      </c>
      <c r="P687" s="7"/>
      <c r="Q687" s="7"/>
    </row>
    <row r="688" spans="1:17">
      <c r="A688" s="105"/>
      <c r="B688" s="2"/>
      <c r="C688" s="254"/>
      <c r="D688" s="254"/>
      <c r="E688" s="254"/>
      <c r="F688" s="255"/>
      <c r="G688" s="215" t="str">
        <f>IF(AND($B688="",OR(B688&lt;&gt;"",C688&lt;&gt;"",D688&lt;&gt;"",E688&lt;&gt;"",F688&lt;&gt;"")),入力リスト!$K$34,IF($I688=TRUE,入力リスト!$K$35,IF(J688=FALSE,"「毎月の固定給与額」","")&amp;IF(AND(J688=FALSE,OR(K688=FALSE,L688=FALSE,M688=FALSE)),",","")&amp;IF(K688=FALSE,"「賞与額等」","")&amp;IF(AND(K688=FALSE,OR(L688=FALSE,M688=FALSE)),",","")&amp;IF(L688=FALSE,"「残業手当」","")&amp;IF(AND(L688=FALSE,M688=FALSE),",","")&amp;IF(M688=FALSE,"「残業時間」","")&amp;IF(OR(J688=FALSE,K688=FALSE,L688=FALSE,M688=FALSE),入力リスト!$K$36,"")&amp;IF(N688,"",入力リスト!$K$37)))</f>
        <v/>
      </c>
      <c r="H688" s="215"/>
      <c r="I688" s="1" t="b">
        <f>IF(B688="",FALSE,COUNTIF('従業員情報(給与以外)'!$A$4:$A$1000000,$B688)=0)</f>
        <v>0</v>
      </c>
      <c r="J688" s="8" t="b">
        <f t="shared" si="50"/>
        <v>1</v>
      </c>
      <c r="K688" s="8" t="b">
        <f t="shared" si="51"/>
        <v>1</v>
      </c>
      <c r="L688" s="8" t="b">
        <f t="shared" si="52"/>
        <v>1</v>
      </c>
      <c r="M688" s="8" t="b">
        <f t="shared" si="53"/>
        <v>1</v>
      </c>
      <c r="N688" s="1" t="b">
        <f t="shared" si="54"/>
        <v>1</v>
      </c>
      <c r="O688" s="8" t="str">
        <f>IF(F688="","",IF($F$2=入力リスト!$H$25,ROUNDDOWN(INT(F688)+ROUNDDOWN((F688-INT(F688))*100,0)/60,2),F688))</f>
        <v/>
      </c>
      <c r="P688" s="7"/>
      <c r="Q688" s="7"/>
    </row>
    <row r="689" spans="1:17">
      <c r="A689" s="105"/>
      <c r="B689" s="2"/>
      <c r="C689" s="254"/>
      <c r="D689" s="254"/>
      <c r="E689" s="254"/>
      <c r="F689" s="255"/>
      <c r="G689" s="215" t="str">
        <f>IF(AND($B689="",OR(B689&lt;&gt;"",C689&lt;&gt;"",D689&lt;&gt;"",E689&lt;&gt;"",F689&lt;&gt;"")),入力リスト!$K$34,IF($I689=TRUE,入力リスト!$K$35,IF(J689=FALSE,"「毎月の固定給与額」","")&amp;IF(AND(J689=FALSE,OR(K689=FALSE,L689=FALSE,M689=FALSE)),",","")&amp;IF(K689=FALSE,"「賞与額等」","")&amp;IF(AND(K689=FALSE,OR(L689=FALSE,M689=FALSE)),",","")&amp;IF(L689=FALSE,"「残業手当」","")&amp;IF(AND(L689=FALSE,M689=FALSE),",","")&amp;IF(M689=FALSE,"「残業時間」","")&amp;IF(OR(J689=FALSE,K689=FALSE,L689=FALSE,M689=FALSE),入力リスト!$K$36,"")&amp;IF(N689,"",入力リスト!$K$37)))</f>
        <v/>
      </c>
      <c r="H689" s="215"/>
      <c r="I689" s="1" t="b">
        <f>IF(B689="",FALSE,COUNTIF('従業員情報(給与以外)'!$A$4:$A$1000000,$B689)=0)</f>
        <v>0</v>
      </c>
      <c r="J689" s="8" t="b">
        <f t="shared" si="50"/>
        <v>1</v>
      </c>
      <c r="K689" s="8" t="b">
        <f t="shared" si="51"/>
        <v>1</v>
      </c>
      <c r="L689" s="8" t="b">
        <f t="shared" si="52"/>
        <v>1</v>
      </c>
      <c r="M689" s="8" t="b">
        <f t="shared" si="53"/>
        <v>1</v>
      </c>
      <c r="N689" s="1" t="b">
        <f t="shared" si="54"/>
        <v>1</v>
      </c>
      <c r="O689" s="8" t="str">
        <f>IF(F689="","",IF($F$2=入力リスト!$H$25,ROUNDDOWN(INT(F689)+ROUNDDOWN((F689-INT(F689))*100,0)/60,2),F689))</f>
        <v/>
      </c>
      <c r="P689" s="7"/>
      <c r="Q689" s="7"/>
    </row>
    <row r="690" spans="1:17">
      <c r="A690" s="105"/>
      <c r="B690" s="2"/>
      <c r="C690" s="254"/>
      <c r="D690" s="254"/>
      <c r="E690" s="254"/>
      <c r="F690" s="255"/>
      <c r="G690" s="215" t="str">
        <f>IF(AND($B690="",OR(B690&lt;&gt;"",C690&lt;&gt;"",D690&lt;&gt;"",E690&lt;&gt;"",F690&lt;&gt;"")),入力リスト!$K$34,IF($I690=TRUE,入力リスト!$K$35,IF(J690=FALSE,"「毎月の固定給与額」","")&amp;IF(AND(J690=FALSE,OR(K690=FALSE,L690=FALSE,M690=FALSE)),",","")&amp;IF(K690=FALSE,"「賞与額等」","")&amp;IF(AND(K690=FALSE,OR(L690=FALSE,M690=FALSE)),",","")&amp;IF(L690=FALSE,"「残業手当」","")&amp;IF(AND(L690=FALSE,M690=FALSE),",","")&amp;IF(M690=FALSE,"「残業時間」","")&amp;IF(OR(J690=FALSE,K690=FALSE,L690=FALSE,M690=FALSE),入力リスト!$K$36,"")&amp;IF(N690,"",入力リスト!$K$37)))</f>
        <v/>
      </c>
      <c r="H690" s="215"/>
      <c r="I690" s="1" t="b">
        <f>IF(B690="",FALSE,COUNTIF('従業員情報(給与以外)'!$A$4:$A$1000000,$B690)=0)</f>
        <v>0</v>
      </c>
      <c r="J690" s="8" t="b">
        <f t="shared" si="50"/>
        <v>1</v>
      </c>
      <c r="K690" s="8" t="b">
        <f t="shared" si="51"/>
        <v>1</v>
      </c>
      <c r="L690" s="8" t="b">
        <f t="shared" si="52"/>
        <v>1</v>
      </c>
      <c r="M690" s="8" t="b">
        <f t="shared" si="53"/>
        <v>1</v>
      </c>
      <c r="N690" s="1" t="b">
        <f t="shared" si="54"/>
        <v>1</v>
      </c>
      <c r="O690" s="8" t="str">
        <f>IF(F690="","",IF($F$2=入力リスト!$H$25,ROUNDDOWN(INT(F690)+ROUNDDOWN((F690-INT(F690))*100,0)/60,2),F690))</f>
        <v/>
      </c>
      <c r="P690" s="7"/>
      <c r="Q690" s="7"/>
    </row>
    <row r="691" spans="1:17">
      <c r="A691" s="105"/>
      <c r="B691" s="2"/>
      <c r="C691" s="254"/>
      <c r="D691" s="254"/>
      <c r="E691" s="254"/>
      <c r="F691" s="255"/>
      <c r="G691" s="215" t="str">
        <f>IF(AND($B691="",OR(B691&lt;&gt;"",C691&lt;&gt;"",D691&lt;&gt;"",E691&lt;&gt;"",F691&lt;&gt;"")),入力リスト!$K$34,IF($I691=TRUE,入力リスト!$K$35,IF(J691=FALSE,"「毎月の固定給与額」","")&amp;IF(AND(J691=FALSE,OR(K691=FALSE,L691=FALSE,M691=FALSE)),",","")&amp;IF(K691=FALSE,"「賞与額等」","")&amp;IF(AND(K691=FALSE,OR(L691=FALSE,M691=FALSE)),",","")&amp;IF(L691=FALSE,"「残業手当」","")&amp;IF(AND(L691=FALSE,M691=FALSE),",","")&amp;IF(M691=FALSE,"「残業時間」","")&amp;IF(OR(J691=FALSE,K691=FALSE,L691=FALSE,M691=FALSE),入力リスト!$K$36,"")&amp;IF(N691,"",入力リスト!$K$37)))</f>
        <v/>
      </c>
      <c r="H691" s="215"/>
      <c r="I691" s="1" t="b">
        <f>IF(B691="",FALSE,COUNTIF('従業員情報(給与以外)'!$A$4:$A$1000000,$B691)=0)</f>
        <v>0</v>
      </c>
      <c r="J691" s="8" t="b">
        <f t="shared" si="50"/>
        <v>1</v>
      </c>
      <c r="K691" s="8" t="b">
        <f t="shared" si="51"/>
        <v>1</v>
      </c>
      <c r="L691" s="8" t="b">
        <f t="shared" si="52"/>
        <v>1</v>
      </c>
      <c r="M691" s="8" t="b">
        <f t="shared" si="53"/>
        <v>1</v>
      </c>
      <c r="N691" s="1" t="b">
        <f t="shared" si="54"/>
        <v>1</v>
      </c>
      <c r="O691" s="8" t="str">
        <f>IF(F691="","",IF($F$2=入力リスト!$H$25,ROUNDDOWN(INT(F691)+ROUNDDOWN((F691-INT(F691))*100,0)/60,2),F691))</f>
        <v/>
      </c>
      <c r="P691" s="7"/>
      <c r="Q691" s="7"/>
    </row>
    <row r="692" spans="1:17">
      <c r="A692" s="105"/>
      <c r="B692" s="2"/>
      <c r="C692" s="254"/>
      <c r="D692" s="254"/>
      <c r="E692" s="254"/>
      <c r="F692" s="255"/>
      <c r="G692" s="215" t="str">
        <f>IF(AND($B692="",OR(B692&lt;&gt;"",C692&lt;&gt;"",D692&lt;&gt;"",E692&lt;&gt;"",F692&lt;&gt;"")),入力リスト!$K$34,IF($I692=TRUE,入力リスト!$K$35,IF(J692=FALSE,"「毎月の固定給与額」","")&amp;IF(AND(J692=FALSE,OR(K692=FALSE,L692=FALSE,M692=FALSE)),",","")&amp;IF(K692=FALSE,"「賞与額等」","")&amp;IF(AND(K692=FALSE,OR(L692=FALSE,M692=FALSE)),",","")&amp;IF(L692=FALSE,"「残業手当」","")&amp;IF(AND(L692=FALSE,M692=FALSE),",","")&amp;IF(M692=FALSE,"「残業時間」","")&amp;IF(OR(J692=FALSE,K692=FALSE,L692=FALSE,M692=FALSE),入力リスト!$K$36,"")&amp;IF(N692,"",入力リスト!$K$37)))</f>
        <v/>
      </c>
      <c r="H692" s="215"/>
      <c r="I692" s="1" t="b">
        <f>IF(B692="",FALSE,COUNTIF('従業員情報(給与以外)'!$A$4:$A$1000000,$B692)=0)</f>
        <v>0</v>
      </c>
      <c r="J692" s="8" t="b">
        <f t="shared" si="50"/>
        <v>1</v>
      </c>
      <c r="K692" s="8" t="b">
        <f t="shared" si="51"/>
        <v>1</v>
      </c>
      <c r="L692" s="8" t="b">
        <f t="shared" si="52"/>
        <v>1</v>
      </c>
      <c r="M692" s="8" t="b">
        <f t="shared" si="53"/>
        <v>1</v>
      </c>
      <c r="N692" s="1" t="b">
        <f t="shared" si="54"/>
        <v>1</v>
      </c>
      <c r="O692" s="8" t="str">
        <f>IF(F692="","",IF($F$2=入力リスト!$H$25,ROUNDDOWN(INT(F692)+ROUNDDOWN((F692-INT(F692))*100,0)/60,2),F692))</f>
        <v/>
      </c>
      <c r="P692" s="7"/>
      <c r="Q692" s="7"/>
    </row>
    <row r="693" spans="1:17">
      <c r="A693" s="105"/>
      <c r="B693" s="2"/>
      <c r="C693" s="254"/>
      <c r="D693" s="254"/>
      <c r="E693" s="254"/>
      <c r="F693" s="255"/>
      <c r="G693" s="215" t="str">
        <f>IF(AND($B693="",OR(B693&lt;&gt;"",C693&lt;&gt;"",D693&lt;&gt;"",E693&lt;&gt;"",F693&lt;&gt;"")),入力リスト!$K$34,IF($I693=TRUE,入力リスト!$K$35,IF(J693=FALSE,"「毎月の固定給与額」","")&amp;IF(AND(J693=FALSE,OR(K693=FALSE,L693=FALSE,M693=FALSE)),",","")&amp;IF(K693=FALSE,"「賞与額等」","")&amp;IF(AND(K693=FALSE,OR(L693=FALSE,M693=FALSE)),",","")&amp;IF(L693=FALSE,"「残業手当」","")&amp;IF(AND(L693=FALSE,M693=FALSE),",","")&amp;IF(M693=FALSE,"「残業時間」","")&amp;IF(OR(J693=FALSE,K693=FALSE,L693=FALSE,M693=FALSE),入力リスト!$K$36,"")&amp;IF(N693,"",入力リスト!$K$37)))</f>
        <v/>
      </c>
      <c r="H693" s="215"/>
      <c r="I693" s="1" t="b">
        <f>IF(B693="",FALSE,COUNTIF('従業員情報(給与以外)'!$A$4:$A$1000000,$B693)=0)</f>
        <v>0</v>
      </c>
      <c r="J693" s="8" t="b">
        <f t="shared" si="50"/>
        <v>1</v>
      </c>
      <c r="K693" s="8" t="b">
        <f t="shared" si="51"/>
        <v>1</v>
      </c>
      <c r="L693" s="8" t="b">
        <f t="shared" si="52"/>
        <v>1</v>
      </c>
      <c r="M693" s="8" t="b">
        <f t="shared" si="53"/>
        <v>1</v>
      </c>
      <c r="N693" s="1" t="b">
        <f t="shared" si="54"/>
        <v>1</v>
      </c>
      <c r="O693" s="8" t="str">
        <f>IF(F693="","",IF($F$2=入力リスト!$H$25,ROUNDDOWN(INT(F693)+ROUNDDOWN((F693-INT(F693))*100,0)/60,2),F693))</f>
        <v/>
      </c>
      <c r="P693" s="7"/>
      <c r="Q693" s="7"/>
    </row>
    <row r="694" spans="1:17">
      <c r="A694" s="105"/>
      <c r="B694" s="2"/>
      <c r="C694" s="254"/>
      <c r="D694" s="254"/>
      <c r="E694" s="254"/>
      <c r="F694" s="255"/>
      <c r="G694" s="215" t="str">
        <f>IF(AND($B694="",OR(B694&lt;&gt;"",C694&lt;&gt;"",D694&lt;&gt;"",E694&lt;&gt;"",F694&lt;&gt;"")),入力リスト!$K$34,IF($I694=TRUE,入力リスト!$K$35,IF(J694=FALSE,"「毎月の固定給与額」","")&amp;IF(AND(J694=FALSE,OR(K694=FALSE,L694=FALSE,M694=FALSE)),",","")&amp;IF(K694=FALSE,"「賞与額等」","")&amp;IF(AND(K694=FALSE,OR(L694=FALSE,M694=FALSE)),",","")&amp;IF(L694=FALSE,"「残業手当」","")&amp;IF(AND(L694=FALSE,M694=FALSE),",","")&amp;IF(M694=FALSE,"「残業時間」","")&amp;IF(OR(J694=FALSE,K694=FALSE,L694=FALSE,M694=FALSE),入力リスト!$K$36,"")&amp;IF(N694,"",入力リスト!$K$37)))</f>
        <v/>
      </c>
      <c r="H694" s="215"/>
      <c r="I694" s="1" t="b">
        <f>IF(B694="",FALSE,COUNTIF('従業員情報(給与以外)'!$A$4:$A$1000000,$B694)=0)</f>
        <v>0</v>
      </c>
      <c r="J694" s="8" t="b">
        <f t="shared" si="50"/>
        <v>1</v>
      </c>
      <c r="K694" s="8" t="b">
        <f t="shared" si="51"/>
        <v>1</v>
      </c>
      <c r="L694" s="8" t="b">
        <f t="shared" si="52"/>
        <v>1</v>
      </c>
      <c r="M694" s="8" t="b">
        <f t="shared" si="53"/>
        <v>1</v>
      </c>
      <c r="N694" s="1" t="b">
        <f t="shared" si="54"/>
        <v>1</v>
      </c>
      <c r="O694" s="8" t="str">
        <f>IF(F694="","",IF($F$2=入力リスト!$H$25,ROUNDDOWN(INT(F694)+ROUNDDOWN((F694-INT(F694))*100,0)/60,2),F694))</f>
        <v/>
      </c>
      <c r="P694" s="7"/>
      <c r="Q694" s="7"/>
    </row>
    <row r="695" spans="1:17">
      <c r="A695" s="105"/>
      <c r="B695" s="2"/>
      <c r="C695" s="254"/>
      <c r="D695" s="254"/>
      <c r="E695" s="254"/>
      <c r="F695" s="255"/>
      <c r="G695" s="215" t="str">
        <f>IF(AND($B695="",OR(B695&lt;&gt;"",C695&lt;&gt;"",D695&lt;&gt;"",E695&lt;&gt;"",F695&lt;&gt;"")),入力リスト!$K$34,IF($I695=TRUE,入力リスト!$K$35,IF(J695=FALSE,"「毎月の固定給与額」","")&amp;IF(AND(J695=FALSE,OR(K695=FALSE,L695=FALSE,M695=FALSE)),",","")&amp;IF(K695=FALSE,"「賞与額等」","")&amp;IF(AND(K695=FALSE,OR(L695=FALSE,M695=FALSE)),",","")&amp;IF(L695=FALSE,"「残業手当」","")&amp;IF(AND(L695=FALSE,M695=FALSE),",","")&amp;IF(M695=FALSE,"「残業時間」","")&amp;IF(OR(J695=FALSE,K695=FALSE,L695=FALSE,M695=FALSE),入力リスト!$K$36,"")&amp;IF(N695,"",入力リスト!$K$37)))</f>
        <v/>
      </c>
      <c r="H695" s="215"/>
      <c r="I695" s="1" t="b">
        <f>IF(B695="",FALSE,COUNTIF('従業員情報(給与以外)'!$A$4:$A$1000000,$B695)=0)</f>
        <v>0</v>
      </c>
      <c r="J695" s="8" t="b">
        <f t="shared" si="50"/>
        <v>1</v>
      </c>
      <c r="K695" s="8" t="b">
        <f t="shared" si="51"/>
        <v>1</v>
      </c>
      <c r="L695" s="8" t="b">
        <f t="shared" si="52"/>
        <v>1</v>
      </c>
      <c r="M695" s="8" t="b">
        <f t="shared" si="53"/>
        <v>1</v>
      </c>
      <c r="N695" s="1" t="b">
        <f t="shared" si="54"/>
        <v>1</v>
      </c>
      <c r="O695" s="8" t="str">
        <f>IF(F695="","",IF($F$2=入力リスト!$H$25,ROUNDDOWN(INT(F695)+ROUNDDOWN((F695-INT(F695))*100,0)/60,2),F695))</f>
        <v/>
      </c>
      <c r="P695" s="7"/>
      <c r="Q695" s="7"/>
    </row>
    <row r="696" spans="1:17">
      <c r="A696" s="105"/>
      <c r="B696" s="2"/>
      <c r="C696" s="254"/>
      <c r="D696" s="254"/>
      <c r="E696" s="254"/>
      <c r="F696" s="255"/>
      <c r="G696" s="215" t="str">
        <f>IF(AND($B696="",OR(B696&lt;&gt;"",C696&lt;&gt;"",D696&lt;&gt;"",E696&lt;&gt;"",F696&lt;&gt;"")),入力リスト!$K$34,IF($I696=TRUE,入力リスト!$K$35,IF(J696=FALSE,"「毎月の固定給与額」","")&amp;IF(AND(J696=FALSE,OR(K696=FALSE,L696=FALSE,M696=FALSE)),",","")&amp;IF(K696=FALSE,"「賞与額等」","")&amp;IF(AND(K696=FALSE,OR(L696=FALSE,M696=FALSE)),",","")&amp;IF(L696=FALSE,"「残業手当」","")&amp;IF(AND(L696=FALSE,M696=FALSE),",","")&amp;IF(M696=FALSE,"「残業時間」","")&amp;IF(OR(J696=FALSE,K696=FALSE,L696=FALSE,M696=FALSE),入力リスト!$K$36,"")&amp;IF(N696,"",入力リスト!$K$37)))</f>
        <v/>
      </c>
      <c r="H696" s="215"/>
      <c r="I696" s="1" t="b">
        <f>IF(B696="",FALSE,COUNTIF('従業員情報(給与以外)'!$A$4:$A$1000000,$B696)=0)</f>
        <v>0</v>
      </c>
      <c r="J696" s="8" t="b">
        <f t="shared" si="50"/>
        <v>1</v>
      </c>
      <c r="K696" s="8" t="b">
        <f t="shared" si="51"/>
        <v>1</v>
      </c>
      <c r="L696" s="8" t="b">
        <f t="shared" si="52"/>
        <v>1</v>
      </c>
      <c r="M696" s="8" t="b">
        <f t="shared" si="53"/>
        <v>1</v>
      </c>
      <c r="N696" s="1" t="b">
        <f t="shared" si="54"/>
        <v>1</v>
      </c>
      <c r="O696" s="8" t="str">
        <f>IF(F696="","",IF($F$2=入力リスト!$H$25,ROUNDDOWN(INT(F696)+ROUNDDOWN((F696-INT(F696))*100,0)/60,2),F696))</f>
        <v/>
      </c>
      <c r="P696" s="7"/>
      <c r="Q696" s="7"/>
    </row>
    <row r="697" spans="1:17">
      <c r="A697" s="105"/>
      <c r="B697" s="2"/>
      <c r="C697" s="254"/>
      <c r="D697" s="254"/>
      <c r="E697" s="254"/>
      <c r="F697" s="255"/>
      <c r="G697" s="215" t="str">
        <f>IF(AND($B697="",OR(B697&lt;&gt;"",C697&lt;&gt;"",D697&lt;&gt;"",E697&lt;&gt;"",F697&lt;&gt;"")),入力リスト!$K$34,IF($I697=TRUE,入力リスト!$K$35,IF(J697=FALSE,"「毎月の固定給与額」","")&amp;IF(AND(J697=FALSE,OR(K697=FALSE,L697=FALSE,M697=FALSE)),",","")&amp;IF(K697=FALSE,"「賞与額等」","")&amp;IF(AND(K697=FALSE,OR(L697=FALSE,M697=FALSE)),",","")&amp;IF(L697=FALSE,"「残業手当」","")&amp;IF(AND(L697=FALSE,M697=FALSE),",","")&amp;IF(M697=FALSE,"「残業時間」","")&amp;IF(OR(J697=FALSE,K697=FALSE,L697=FALSE,M697=FALSE),入力リスト!$K$36,"")&amp;IF(N697,"",入力リスト!$K$37)))</f>
        <v/>
      </c>
      <c r="H697" s="215"/>
      <c r="I697" s="1" t="b">
        <f>IF(B697="",FALSE,COUNTIF('従業員情報(給与以外)'!$A$4:$A$1000000,$B697)=0)</f>
        <v>0</v>
      </c>
      <c r="J697" s="8" t="b">
        <f t="shared" si="50"/>
        <v>1</v>
      </c>
      <c r="K697" s="8" t="b">
        <f t="shared" si="51"/>
        <v>1</v>
      </c>
      <c r="L697" s="8" t="b">
        <f t="shared" si="52"/>
        <v>1</v>
      </c>
      <c r="M697" s="8" t="b">
        <f t="shared" si="53"/>
        <v>1</v>
      </c>
      <c r="N697" s="1" t="b">
        <f t="shared" si="54"/>
        <v>1</v>
      </c>
      <c r="O697" s="8" t="str">
        <f>IF(F697="","",IF($F$2=入力リスト!$H$25,ROUNDDOWN(INT(F697)+ROUNDDOWN((F697-INT(F697))*100,0)/60,2),F697))</f>
        <v/>
      </c>
      <c r="P697" s="7"/>
      <c r="Q697" s="7"/>
    </row>
    <row r="698" spans="1:17">
      <c r="A698" s="105"/>
      <c r="B698" s="2"/>
      <c r="C698" s="254"/>
      <c r="D698" s="254"/>
      <c r="E698" s="254"/>
      <c r="F698" s="255"/>
      <c r="G698" s="215" t="str">
        <f>IF(AND($B698="",OR(B698&lt;&gt;"",C698&lt;&gt;"",D698&lt;&gt;"",E698&lt;&gt;"",F698&lt;&gt;"")),入力リスト!$K$34,IF($I698=TRUE,入力リスト!$K$35,IF(J698=FALSE,"「毎月の固定給与額」","")&amp;IF(AND(J698=FALSE,OR(K698=FALSE,L698=FALSE,M698=FALSE)),",","")&amp;IF(K698=FALSE,"「賞与額等」","")&amp;IF(AND(K698=FALSE,OR(L698=FALSE,M698=FALSE)),",","")&amp;IF(L698=FALSE,"「残業手当」","")&amp;IF(AND(L698=FALSE,M698=FALSE),",","")&amp;IF(M698=FALSE,"「残業時間」","")&amp;IF(OR(J698=FALSE,K698=FALSE,L698=FALSE,M698=FALSE),入力リスト!$K$36,"")&amp;IF(N698,"",入力リスト!$K$37)))</f>
        <v/>
      </c>
      <c r="H698" s="215"/>
      <c r="I698" s="1" t="b">
        <f>IF(B698="",FALSE,COUNTIF('従業員情報(給与以外)'!$A$4:$A$1000000,$B698)=0)</f>
        <v>0</v>
      </c>
      <c r="J698" s="8" t="b">
        <f t="shared" si="50"/>
        <v>1</v>
      </c>
      <c r="K698" s="8" t="b">
        <f t="shared" si="51"/>
        <v>1</v>
      </c>
      <c r="L698" s="8" t="b">
        <f t="shared" si="52"/>
        <v>1</v>
      </c>
      <c r="M698" s="8" t="b">
        <f t="shared" si="53"/>
        <v>1</v>
      </c>
      <c r="N698" s="1" t="b">
        <f t="shared" si="54"/>
        <v>1</v>
      </c>
      <c r="O698" s="8" t="str">
        <f>IF(F698="","",IF($F$2=入力リスト!$H$25,ROUNDDOWN(INT(F698)+ROUNDDOWN((F698-INT(F698))*100,0)/60,2),F698))</f>
        <v/>
      </c>
      <c r="P698" s="7"/>
      <c r="Q698" s="7"/>
    </row>
    <row r="699" spans="1:17">
      <c r="A699" s="105"/>
      <c r="B699" s="2"/>
      <c r="C699" s="254"/>
      <c r="D699" s="254"/>
      <c r="E699" s="254"/>
      <c r="F699" s="255"/>
      <c r="G699" s="215" t="str">
        <f>IF(AND($B699="",OR(B699&lt;&gt;"",C699&lt;&gt;"",D699&lt;&gt;"",E699&lt;&gt;"",F699&lt;&gt;"")),入力リスト!$K$34,IF($I699=TRUE,入力リスト!$K$35,IF(J699=FALSE,"「毎月の固定給与額」","")&amp;IF(AND(J699=FALSE,OR(K699=FALSE,L699=FALSE,M699=FALSE)),",","")&amp;IF(K699=FALSE,"「賞与額等」","")&amp;IF(AND(K699=FALSE,OR(L699=FALSE,M699=FALSE)),",","")&amp;IF(L699=FALSE,"「残業手当」","")&amp;IF(AND(L699=FALSE,M699=FALSE),",","")&amp;IF(M699=FALSE,"「残業時間」","")&amp;IF(OR(J699=FALSE,K699=FALSE,L699=FALSE,M699=FALSE),入力リスト!$K$36,"")&amp;IF(N699,"",入力リスト!$K$37)))</f>
        <v/>
      </c>
      <c r="H699" s="215"/>
      <c r="I699" s="1" t="b">
        <f>IF(B699="",FALSE,COUNTIF('従業員情報(給与以外)'!$A$4:$A$1000000,$B699)=0)</f>
        <v>0</v>
      </c>
      <c r="J699" s="8" t="b">
        <f t="shared" si="50"/>
        <v>1</v>
      </c>
      <c r="K699" s="8" t="b">
        <f t="shared" si="51"/>
        <v>1</v>
      </c>
      <c r="L699" s="8" t="b">
        <f t="shared" si="52"/>
        <v>1</v>
      </c>
      <c r="M699" s="8" t="b">
        <f t="shared" si="53"/>
        <v>1</v>
      </c>
      <c r="N699" s="1" t="b">
        <f t="shared" si="54"/>
        <v>1</v>
      </c>
      <c r="O699" s="8" t="str">
        <f>IF(F699="","",IF($F$2=入力リスト!$H$25,ROUNDDOWN(INT(F699)+ROUNDDOWN((F699-INT(F699))*100,0)/60,2),F699))</f>
        <v/>
      </c>
      <c r="P699" s="7"/>
      <c r="Q699" s="7"/>
    </row>
    <row r="700" spans="1:17">
      <c r="A700" s="105"/>
      <c r="B700" s="2"/>
      <c r="C700" s="254"/>
      <c r="D700" s="254"/>
      <c r="E700" s="254"/>
      <c r="F700" s="255"/>
      <c r="G700" s="215" t="str">
        <f>IF(AND($B700="",OR(B700&lt;&gt;"",C700&lt;&gt;"",D700&lt;&gt;"",E700&lt;&gt;"",F700&lt;&gt;"")),入力リスト!$K$34,IF($I700=TRUE,入力リスト!$K$35,IF(J700=FALSE,"「毎月の固定給与額」","")&amp;IF(AND(J700=FALSE,OR(K700=FALSE,L700=FALSE,M700=FALSE)),",","")&amp;IF(K700=FALSE,"「賞与額等」","")&amp;IF(AND(K700=FALSE,OR(L700=FALSE,M700=FALSE)),",","")&amp;IF(L700=FALSE,"「残業手当」","")&amp;IF(AND(L700=FALSE,M700=FALSE),",","")&amp;IF(M700=FALSE,"「残業時間」","")&amp;IF(OR(J700=FALSE,K700=FALSE,L700=FALSE,M700=FALSE),入力リスト!$K$36,"")&amp;IF(N700,"",入力リスト!$K$37)))</f>
        <v/>
      </c>
      <c r="H700" s="215"/>
      <c r="I700" s="1" t="b">
        <f>IF(B700="",FALSE,COUNTIF('従業員情報(給与以外)'!$A$4:$A$1000000,$B700)=0)</f>
        <v>0</v>
      </c>
      <c r="J700" s="8" t="b">
        <f t="shared" si="50"/>
        <v>1</v>
      </c>
      <c r="K700" s="8" t="b">
        <f t="shared" si="51"/>
        <v>1</v>
      </c>
      <c r="L700" s="8" t="b">
        <f t="shared" si="52"/>
        <v>1</v>
      </c>
      <c r="M700" s="8" t="b">
        <f t="shared" si="53"/>
        <v>1</v>
      </c>
      <c r="N700" s="1" t="b">
        <f t="shared" si="54"/>
        <v>1</v>
      </c>
      <c r="O700" s="8" t="str">
        <f>IF(F700="","",IF($F$2=入力リスト!$H$25,ROUNDDOWN(INT(F700)+ROUNDDOWN((F700-INT(F700))*100,0)/60,2),F700))</f>
        <v/>
      </c>
      <c r="P700" s="7"/>
      <c r="Q700" s="7"/>
    </row>
    <row r="701" spans="1:17">
      <c r="A701" s="105"/>
      <c r="B701" s="2"/>
      <c r="C701" s="254"/>
      <c r="D701" s="254"/>
      <c r="E701" s="254"/>
      <c r="F701" s="255"/>
      <c r="G701" s="215" t="str">
        <f>IF(AND($B701="",OR(B701&lt;&gt;"",C701&lt;&gt;"",D701&lt;&gt;"",E701&lt;&gt;"",F701&lt;&gt;"")),入力リスト!$K$34,IF($I701=TRUE,入力リスト!$K$35,IF(J701=FALSE,"「毎月の固定給与額」","")&amp;IF(AND(J701=FALSE,OR(K701=FALSE,L701=FALSE,M701=FALSE)),",","")&amp;IF(K701=FALSE,"「賞与額等」","")&amp;IF(AND(K701=FALSE,OR(L701=FALSE,M701=FALSE)),",","")&amp;IF(L701=FALSE,"「残業手当」","")&amp;IF(AND(L701=FALSE,M701=FALSE),",","")&amp;IF(M701=FALSE,"「残業時間」","")&amp;IF(OR(J701=FALSE,K701=FALSE,L701=FALSE,M701=FALSE),入力リスト!$K$36,"")&amp;IF(N701,"",入力リスト!$K$37)))</f>
        <v/>
      </c>
      <c r="H701" s="215"/>
      <c r="I701" s="1" t="b">
        <f>IF(B701="",FALSE,COUNTIF('従業員情報(給与以外)'!$A$4:$A$1000000,$B701)=0)</f>
        <v>0</v>
      </c>
      <c r="J701" s="8" t="b">
        <f t="shared" si="50"/>
        <v>1</v>
      </c>
      <c r="K701" s="8" t="b">
        <f t="shared" si="51"/>
        <v>1</v>
      </c>
      <c r="L701" s="8" t="b">
        <f t="shared" si="52"/>
        <v>1</v>
      </c>
      <c r="M701" s="8" t="b">
        <f t="shared" si="53"/>
        <v>1</v>
      </c>
      <c r="N701" s="1" t="b">
        <f t="shared" si="54"/>
        <v>1</v>
      </c>
      <c r="O701" s="8" t="str">
        <f>IF(F701="","",IF($F$2=入力リスト!$H$25,ROUNDDOWN(INT(F701)+ROUNDDOWN((F701-INT(F701))*100,0)/60,2),F701))</f>
        <v/>
      </c>
      <c r="P701" s="7"/>
      <c r="Q701" s="7"/>
    </row>
    <row r="702" spans="1:17">
      <c r="A702" s="105"/>
      <c r="B702" s="2"/>
      <c r="C702" s="254"/>
      <c r="D702" s="254"/>
      <c r="E702" s="254"/>
      <c r="F702" s="255"/>
      <c r="G702" s="215" t="str">
        <f>IF(AND($B702="",OR(B702&lt;&gt;"",C702&lt;&gt;"",D702&lt;&gt;"",E702&lt;&gt;"",F702&lt;&gt;"")),入力リスト!$K$34,IF($I702=TRUE,入力リスト!$K$35,IF(J702=FALSE,"「毎月の固定給与額」","")&amp;IF(AND(J702=FALSE,OR(K702=FALSE,L702=FALSE,M702=FALSE)),",","")&amp;IF(K702=FALSE,"「賞与額等」","")&amp;IF(AND(K702=FALSE,OR(L702=FALSE,M702=FALSE)),",","")&amp;IF(L702=FALSE,"「残業手当」","")&amp;IF(AND(L702=FALSE,M702=FALSE),",","")&amp;IF(M702=FALSE,"「残業時間」","")&amp;IF(OR(J702=FALSE,K702=FALSE,L702=FALSE,M702=FALSE),入力リスト!$K$36,"")&amp;IF(N702,"",入力リスト!$K$37)))</f>
        <v/>
      </c>
      <c r="H702" s="215"/>
      <c r="I702" s="1" t="b">
        <f>IF(B702="",FALSE,COUNTIF('従業員情報(給与以外)'!$A$4:$A$1000000,$B702)=0)</f>
        <v>0</v>
      </c>
      <c r="J702" s="8" t="b">
        <f t="shared" si="50"/>
        <v>1</v>
      </c>
      <c r="K702" s="8" t="b">
        <f t="shared" si="51"/>
        <v>1</v>
      </c>
      <c r="L702" s="8" t="b">
        <f t="shared" si="52"/>
        <v>1</v>
      </c>
      <c r="M702" s="8" t="b">
        <f t="shared" si="53"/>
        <v>1</v>
      </c>
      <c r="N702" s="1" t="b">
        <f t="shared" si="54"/>
        <v>1</v>
      </c>
      <c r="O702" s="8" t="str">
        <f>IF(F702="","",IF($F$2=入力リスト!$H$25,ROUNDDOWN(INT(F702)+ROUNDDOWN((F702-INT(F702))*100,0)/60,2),F702))</f>
        <v/>
      </c>
      <c r="P702" s="7"/>
      <c r="Q702" s="7"/>
    </row>
    <row r="703" spans="1:17">
      <c r="A703" s="105"/>
      <c r="B703" s="2"/>
      <c r="C703" s="254"/>
      <c r="D703" s="254"/>
      <c r="E703" s="254"/>
      <c r="F703" s="255"/>
      <c r="G703" s="215" t="str">
        <f>IF(AND($B703="",OR(B703&lt;&gt;"",C703&lt;&gt;"",D703&lt;&gt;"",E703&lt;&gt;"",F703&lt;&gt;"")),入力リスト!$K$34,IF($I703=TRUE,入力リスト!$K$35,IF(J703=FALSE,"「毎月の固定給与額」","")&amp;IF(AND(J703=FALSE,OR(K703=FALSE,L703=FALSE,M703=FALSE)),",","")&amp;IF(K703=FALSE,"「賞与額等」","")&amp;IF(AND(K703=FALSE,OR(L703=FALSE,M703=FALSE)),",","")&amp;IF(L703=FALSE,"「残業手当」","")&amp;IF(AND(L703=FALSE,M703=FALSE),",","")&amp;IF(M703=FALSE,"「残業時間」","")&amp;IF(OR(J703=FALSE,K703=FALSE,L703=FALSE,M703=FALSE),入力リスト!$K$36,"")&amp;IF(N703,"",入力リスト!$K$37)))</f>
        <v/>
      </c>
      <c r="H703" s="215"/>
      <c r="I703" s="1" t="b">
        <f>IF(B703="",FALSE,COUNTIF('従業員情報(給与以外)'!$A$4:$A$1000000,$B703)=0)</f>
        <v>0</v>
      </c>
      <c r="J703" s="8" t="b">
        <f t="shared" si="50"/>
        <v>1</v>
      </c>
      <c r="K703" s="8" t="b">
        <f t="shared" si="51"/>
        <v>1</v>
      </c>
      <c r="L703" s="8" t="b">
        <f t="shared" si="52"/>
        <v>1</v>
      </c>
      <c r="M703" s="8" t="b">
        <f t="shared" si="53"/>
        <v>1</v>
      </c>
      <c r="N703" s="1" t="b">
        <f t="shared" si="54"/>
        <v>1</v>
      </c>
      <c r="O703" s="8" t="str">
        <f>IF(F703="","",IF($F$2=入力リスト!$H$25,ROUNDDOWN(INT(F703)+ROUNDDOWN((F703-INT(F703))*100,0)/60,2),F703))</f>
        <v/>
      </c>
      <c r="P703" s="7"/>
      <c r="Q703" s="7"/>
    </row>
    <row r="704" spans="1:17">
      <c r="A704" s="105"/>
      <c r="B704" s="2"/>
      <c r="C704" s="254"/>
      <c r="D704" s="254"/>
      <c r="E704" s="254"/>
      <c r="F704" s="255"/>
      <c r="G704" s="215" t="str">
        <f>IF(AND($B704="",OR(B704&lt;&gt;"",C704&lt;&gt;"",D704&lt;&gt;"",E704&lt;&gt;"",F704&lt;&gt;"")),入力リスト!$K$34,IF($I704=TRUE,入力リスト!$K$35,IF(J704=FALSE,"「毎月の固定給与額」","")&amp;IF(AND(J704=FALSE,OR(K704=FALSE,L704=FALSE,M704=FALSE)),",","")&amp;IF(K704=FALSE,"「賞与額等」","")&amp;IF(AND(K704=FALSE,OR(L704=FALSE,M704=FALSE)),",","")&amp;IF(L704=FALSE,"「残業手当」","")&amp;IF(AND(L704=FALSE,M704=FALSE),",","")&amp;IF(M704=FALSE,"「残業時間」","")&amp;IF(OR(J704=FALSE,K704=FALSE,L704=FALSE,M704=FALSE),入力リスト!$K$36,"")&amp;IF(N704,"",入力リスト!$K$37)))</f>
        <v/>
      </c>
      <c r="H704" s="215"/>
      <c r="I704" s="1" t="b">
        <f>IF(B704="",FALSE,COUNTIF('従業員情報(給与以外)'!$A$4:$A$1000000,$B704)=0)</f>
        <v>0</v>
      </c>
      <c r="J704" s="8" t="b">
        <f t="shared" si="50"/>
        <v>1</v>
      </c>
      <c r="K704" s="8" t="b">
        <f t="shared" si="51"/>
        <v>1</v>
      </c>
      <c r="L704" s="8" t="b">
        <f t="shared" si="52"/>
        <v>1</v>
      </c>
      <c r="M704" s="8" t="b">
        <f t="shared" si="53"/>
        <v>1</v>
      </c>
      <c r="N704" s="1" t="b">
        <f t="shared" si="54"/>
        <v>1</v>
      </c>
      <c r="O704" s="8" t="str">
        <f>IF(F704="","",IF($F$2=入力リスト!$H$25,ROUNDDOWN(INT(F704)+ROUNDDOWN((F704-INT(F704))*100,0)/60,2),F704))</f>
        <v/>
      </c>
      <c r="P704" s="7"/>
      <c r="Q704" s="7"/>
    </row>
    <row r="705" spans="1:17">
      <c r="A705" s="105"/>
      <c r="B705" s="2"/>
      <c r="C705" s="254"/>
      <c r="D705" s="254"/>
      <c r="E705" s="254"/>
      <c r="F705" s="255"/>
      <c r="G705" s="215" t="str">
        <f>IF(AND($B705="",OR(B705&lt;&gt;"",C705&lt;&gt;"",D705&lt;&gt;"",E705&lt;&gt;"",F705&lt;&gt;"")),入力リスト!$K$34,IF($I705=TRUE,入力リスト!$K$35,IF(J705=FALSE,"「毎月の固定給与額」","")&amp;IF(AND(J705=FALSE,OR(K705=FALSE,L705=FALSE,M705=FALSE)),",","")&amp;IF(K705=FALSE,"「賞与額等」","")&amp;IF(AND(K705=FALSE,OR(L705=FALSE,M705=FALSE)),",","")&amp;IF(L705=FALSE,"「残業手当」","")&amp;IF(AND(L705=FALSE,M705=FALSE),",","")&amp;IF(M705=FALSE,"「残業時間」","")&amp;IF(OR(J705=FALSE,K705=FALSE,L705=FALSE,M705=FALSE),入力リスト!$K$36,"")&amp;IF(N705,"",入力リスト!$K$37)))</f>
        <v/>
      </c>
      <c r="H705" s="215"/>
      <c r="I705" s="1" t="b">
        <f>IF(B705="",FALSE,COUNTIF('従業員情報(給与以外)'!$A$4:$A$1000000,$B705)=0)</f>
        <v>0</v>
      </c>
      <c r="J705" s="8" t="b">
        <f t="shared" si="50"/>
        <v>1</v>
      </c>
      <c r="K705" s="8" t="b">
        <f t="shared" si="51"/>
        <v>1</v>
      </c>
      <c r="L705" s="8" t="b">
        <f t="shared" si="52"/>
        <v>1</v>
      </c>
      <c r="M705" s="8" t="b">
        <f t="shared" si="53"/>
        <v>1</v>
      </c>
      <c r="N705" s="1" t="b">
        <f t="shared" si="54"/>
        <v>1</v>
      </c>
      <c r="O705" s="8" t="str">
        <f>IF(F705="","",IF($F$2=入力リスト!$H$25,ROUNDDOWN(INT(F705)+ROUNDDOWN((F705-INT(F705))*100,0)/60,2),F705))</f>
        <v/>
      </c>
      <c r="P705" s="7"/>
      <c r="Q705" s="7"/>
    </row>
    <row r="706" spans="1:17">
      <c r="A706" s="105"/>
      <c r="B706" s="2"/>
      <c r="C706" s="254"/>
      <c r="D706" s="254"/>
      <c r="E706" s="254"/>
      <c r="F706" s="255"/>
      <c r="G706" s="215" t="str">
        <f>IF(AND($B706="",OR(B706&lt;&gt;"",C706&lt;&gt;"",D706&lt;&gt;"",E706&lt;&gt;"",F706&lt;&gt;"")),入力リスト!$K$34,IF($I706=TRUE,入力リスト!$K$35,IF(J706=FALSE,"「毎月の固定給与額」","")&amp;IF(AND(J706=FALSE,OR(K706=FALSE,L706=FALSE,M706=FALSE)),",","")&amp;IF(K706=FALSE,"「賞与額等」","")&amp;IF(AND(K706=FALSE,OR(L706=FALSE,M706=FALSE)),",","")&amp;IF(L706=FALSE,"「残業手当」","")&amp;IF(AND(L706=FALSE,M706=FALSE),",","")&amp;IF(M706=FALSE,"「残業時間」","")&amp;IF(OR(J706=FALSE,K706=FALSE,L706=FALSE,M706=FALSE),入力リスト!$K$36,"")&amp;IF(N706,"",入力リスト!$K$37)))</f>
        <v/>
      </c>
      <c r="H706" s="215"/>
      <c r="I706" s="1" t="b">
        <f>IF(B706="",FALSE,COUNTIF('従業員情報(給与以外)'!$A$4:$A$1000000,$B706)=0)</f>
        <v>0</v>
      </c>
      <c r="J706" s="8" t="b">
        <f t="shared" si="50"/>
        <v>1</v>
      </c>
      <c r="K706" s="8" t="b">
        <f t="shared" si="51"/>
        <v>1</v>
      </c>
      <c r="L706" s="8" t="b">
        <f t="shared" si="52"/>
        <v>1</v>
      </c>
      <c r="M706" s="8" t="b">
        <f t="shared" si="53"/>
        <v>1</v>
      </c>
      <c r="N706" s="1" t="b">
        <f t="shared" si="54"/>
        <v>1</v>
      </c>
      <c r="O706" s="8" t="str">
        <f>IF(F706="","",IF($F$2=入力リスト!$H$25,ROUNDDOWN(INT(F706)+ROUNDDOWN((F706-INT(F706))*100,0)/60,2),F706))</f>
        <v/>
      </c>
      <c r="P706" s="7"/>
      <c r="Q706" s="7"/>
    </row>
    <row r="707" spans="1:17">
      <c r="A707" s="105"/>
      <c r="B707" s="2"/>
      <c r="C707" s="254"/>
      <c r="D707" s="254"/>
      <c r="E707" s="254"/>
      <c r="F707" s="255"/>
      <c r="G707" s="215" t="str">
        <f>IF(AND($B707="",OR(B707&lt;&gt;"",C707&lt;&gt;"",D707&lt;&gt;"",E707&lt;&gt;"",F707&lt;&gt;"")),入力リスト!$K$34,IF($I707=TRUE,入力リスト!$K$35,IF(J707=FALSE,"「毎月の固定給与額」","")&amp;IF(AND(J707=FALSE,OR(K707=FALSE,L707=FALSE,M707=FALSE)),",","")&amp;IF(K707=FALSE,"「賞与額等」","")&amp;IF(AND(K707=FALSE,OR(L707=FALSE,M707=FALSE)),",","")&amp;IF(L707=FALSE,"「残業手当」","")&amp;IF(AND(L707=FALSE,M707=FALSE),",","")&amp;IF(M707=FALSE,"「残業時間」","")&amp;IF(OR(J707=FALSE,K707=FALSE,L707=FALSE,M707=FALSE),入力リスト!$K$36,"")&amp;IF(N707,"",入力リスト!$K$37)))</f>
        <v/>
      </c>
      <c r="H707" s="215"/>
      <c r="I707" s="1" t="b">
        <f>IF(B707="",FALSE,COUNTIF('従業員情報(給与以外)'!$A$4:$A$1000000,$B707)=0)</f>
        <v>0</v>
      </c>
      <c r="J707" s="8" t="b">
        <f t="shared" si="50"/>
        <v>1</v>
      </c>
      <c r="K707" s="8" t="b">
        <f t="shared" si="51"/>
        <v>1</v>
      </c>
      <c r="L707" s="8" t="b">
        <f t="shared" si="52"/>
        <v>1</v>
      </c>
      <c r="M707" s="8" t="b">
        <f t="shared" si="53"/>
        <v>1</v>
      </c>
      <c r="N707" s="1" t="b">
        <f t="shared" si="54"/>
        <v>1</v>
      </c>
      <c r="O707" s="8" t="str">
        <f>IF(F707="","",IF($F$2=入力リスト!$H$25,ROUNDDOWN(INT(F707)+ROUNDDOWN((F707-INT(F707))*100,0)/60,2),F707))</f>
        <v/>
      </c>
      <c r="P707" s="7"/>
      <c r="Q707" s="7"/>
    </row>
    <row r="708" spans="1:17">
      <c r="A708" s="105"/>
      <c r="B708" s="2"/>
      <c r="C708" s="254"/>
      <c r="D708" s="254"/>
      <c r="E708" s="254"/>
      <c r="F708" s="255"/>
      <c r="G708" s="215" t="str">
        <f>IF(AND($B708="",OR(B708&lt;&gt;"",C708&lt;&gt;"",D708&lt;&gt;"",E708&lt;&gt;"",F708&lt;&gt;"")),入力リスト!$K$34,IF($I708=TRUE,入力リスト!$K$35,IF(J708=FALSE,"「毎月の固定給与額」","")&amp;IF(AND(J708=FALSE,OR(K708=FALSE,L708=FALSE,M708=FALSE)),",","")&amp;IF(K708=FALSE,"「賞与額等」","")&amp;IF(AND(K708=FALSE,OR(L708=FALSE,M708=FALSE)),",","")&amp;IF(L708=FALSE,"「残業手当」","")&amp;IF(AND(L708=FALSE,M708=FALSE),",","")&amp;IF(M708=FALSE,"「残業時間」","")&amp;IF(OR(J708=FALSE,K708=FALSE,L708=FALSE,M708=FALSE),入力リスト!$K$36,"")&amp;IF(N708,"",入力リスト!$K$37)))</f>
        <v/>
      </c>
      <c r="H708" s="215"/>
      <c r="I708" s="1" t="b">
        <f>IF(B708="",FALSE,COUNTIF('従業員情報(給与以外)'!$A$4:$A$1000000,$B708)=0)</f>
        <v>0</v>
      </c>
      <c r="J708" s="8" t="b">
        <f t="shared" si="50"/>
        <v>1</v>
      </c>
      <c r="K708" s="8" t="b">
        <f t="shared" si="51"/>
        <v>1</v>
      </c>
      <c r="L708" s="8" t="b">
        <f t="shared" si="52"/>
        <v>1</v>
      </c>
      <c r="M708" s="8" t="b">
        <f t="shared" si="53"/>
        <v>1</v>
      </c>
      <c r="N708" s="1" t="b">
        <f t="shared" si="54"/>
        <v>1</v>
      </c>
      <c r="O708" s="8" t="str">
        <f>IF(F708="","",IF($F$2=入力リスト!$H$25,ROUNDDOWN(INT(F708)+ROUNDDOWN((F708-INT(F708))*100,0)/60,2),F708))</f>
        <v/>
      </c>
      <c r="P708" s="7"/>
      <c r="Q708" s="7"/>
    </row>
    <row r="709" spans="1:17">
      <c r="A709" s="105"/>
      <c r="B709" s="2"/>
      <c r="C709" s="254"/>
      <c r="D709" s="254"/>
      <c r="E709" s="254"/>
      <c r="F709" s="255"/>
      <c r="G709" s="215" t="str">
        <f>IF(AND($B709="",OR(B709&lt;&gt;"",C709&lt;&gt;"",D709&lt;&gt;"",E709&lt;&gt;"",F709&lt;&gt;"")),入力リスト!$K$34,IF($I709=TRUE,入力リスト!$K$35,IF(J709=FALSE,"「毎月の固定給与額」","")&amp;IF(AND(J709=FALSE,OR(K709=FALSE,L709=FALSE,M709=FALSE)),",","")&amp;IF(K709=FALSE,"「賞与額等」","")&amp;IF(AND(K709=FALSE,OR(L709=FALSE,M709=FALSE)),",","")&amp;IF(L709=FALSE,"「残業手当」","")&amp;IF(AND(L709=FALSE,M709=FALSE),",","")&amp;IF(M709=FALSE,"「残業時間」","")&amp;IF(OR(J709=FALSE,K709=FALSE,L709=FALSE,M709=FALSE),入力リスト!$K$36,"")&amp;IF(N709,"",入力リスト!$K$37)))</f>
        <v/>
      </c>
      <c r="H709" s="215"/>
      <c r="I709" s="1" t="b">
        <f>IF(B709="",FALSE,COUNTIF('従業員情報(給与以外)'!$A$4:$A$1000000,$B709)=0)</f>
        <v>0</v>
      </c>
      <c r="J709" s="8" t="b">
        <f t="shared" ref="J709:J772" si="55">OR(C709="",ISNUMBER(C709))</f>
        <v>1</v>
      </c>
      <c r="K709" s="8" t="b">
        <f t="shared" ref="K709:K772" si="56">OR(D709="",ISNUMBER(D709))</f>
        <v>1</v>
      </c>
      <c r="L709" s="8" t="b">
        <f t="shared" ref="L709:L772" si="57">OR(E709="",ISNUMBER(E709))</f>
        <v>1</v>
      </c>
      <c r="M709" s="8" t="b">
        <f t="shared" ref="M709:M772" si="58">OR(F709="",ISNUMBER(F709))</f>
        <v>1</v>
      </c>
      <c r="N709" s="1" t="b">
        <f t="shared" ref="N709:N772" si="59">IF($N$1,TRUE,IF($N$2,IF(F709-INT(F709)&lt;0.6,TRUE,FALSE),TRUE))</f>
        <v>1</v>
      </c>
      <c r="O709" s="8" t="str">
        <f>IF(F709="","",IF($F$2=入力リスト!$H$25,ROUNDDOWN(INT(F709)+ROUNDDOWN((F709-INT(F709))*100,0)/60,2),F709))</f>
        <v/>
      </c>
      <c r="P709" s="7"/>
      <c r="Q709" s="7"/>
    </row>
    <row r="710" spans="1:17">
      <c r="A710" s="105"/>
      <c r="B710" s="2"/>
      <c r="C710" s="254"/>
      <c r="D710" s="254"/>
      <c r="E710" s="254"/>
      <c r="F710" s="255"/>
      <c r="G710" s="215" t="str">
        <f>IF(AND($B710="",OR(B710&lt;&gt;"",C710&lt;&gt;"",D710&lt;&gt;"",E710&lt;&gt;"",F710&lt;&gt;"")),入力リスト!$K$34,IF($I710=TRUE,入力リスト!$K$35,IF(J710=FALSE,"「毎月の固定給与額」","")&amp;IF(AND(J710=FALSE,OR(K710=FALSE,L710=FALSE,M710=FALSE)),",","")&amp;IF(K710=FALSE,"「賞与額等」","")&amp;IF(AND(K710=FALSE,OR(L710=FALSE,M710=FALSE)),",","")&amp;IF(L710=FALSE,"「残業手当」","")&amp;IF(AND(L710=FALSE,M710=FALSE),",","")&amp;IF(M710=FALSE,"「残業時間」","")&amp;IF(OR(J710=FALSE,K710=FALSE,L710=FALSE,M710=FALSE),入力リスト!$K$36,"")&amp;IF(N710,"",入力リスト!$K$37)))</f>
        <v/>
      </c>
      <c r="H710" s="215"/>
      <c r="I710" s="1" t="b">
        <f>IF(B710="",FALSE,COUNTIF('従業員情報(給与以外)'!$A$4:$A$1000000,$B710)=0)</f>
        <v>0</v>
      </c>
      <c r="J710" s="8" t="b">
        <f t="shared" si="55"/>
        <v>1</v>
      </c>
      <c r="K710" s="8" t="b">
        <f t="shared" si="56"/>
        <v>1</v>
      </c>
      <c r="L710" s="8" t="b">
        <f t="shared" si="57"/>
        <v>1</v>
      </c>
      <c r="M710" s="8" t="b">
        <f t="shared" si="58"/>
        <v>1</v>
      </c>
      <c r="N710" s="1" t="b">
        <f t="shared" si="59"/>
        <v>1</v>
      </c>
      <c r="O710" s="8" t="str">
        <f>IF(F710="","",IF($F$2=入力リスト!$H$25,ROUNDDOWN(INT(F710)+ROUNDDOWN((F710-INT(F710))*100,0)/60,2),F710))</f>
        <v/>
      </c>
      <c r="P710" s="7"/>
      <c r="Q710" s="7"/>
    </row>
    <row r="711" spans="1:17">
      <c r="A711" s="105"/>
      <c r="B711" s="2"/>
      <c r="C711" s="254"/>
      <c r="D711" s="254"/>
      <c r="E711" s="254"/>
      <c r="F711" s="255"/>
      <c r="G711" s="215" t="str">
        <f>IF(AND($B711="",OR(B711&lt;&gt;"",C711&lt;&gt;"",D711&lt;&gt;"",E711&lt;&gt;"",F711&lt;&gt;"")),入力リスト!$K$34,IF($I711=TRUE,入力リスト!$K$35,IF(J711=FALSE,"「毎月の固定給与額」","")&amp;IF(AND(J711=FALSE,OR(K711=FALSE,L711=FALSE,M711=FALSE)),",","")&amp;IF(K711=FALSE,"「賞与額等」","")&amp;IF(AND(K711=FALSE,OR(L711=FALSE,M711=FALSE)),",","")&amp;IF(L711=FALSE,"「残業手当」","")&amp;IF(AND(L711=FALSE,M711=FALSE),",","")&amp;IF(M711=FALSE,"「残業時間」","")&amp;IF(OR(J711=FALSE,K711=FALSE,L711=FALSE,M711=FALSE),入力リスト!$K$36,"")&amp;IF(N711,"",入力リスト!$K$37)))</f>
        <v/>
      </c>
      <c r="H711" s="215"/>
      <c r="I711" s="1" t="b">
        <f>IF(B711="",FALSE,COUNTIF('従業員情報(給与以外)'!$A$4:$A$1000000,$B711)=0)</f>
        <v>0</v>
      </c>
      <c r="J711" s="8" t="b">
        <f t="shared" si="55"/>
        <v>1</v>
      </c>
      <c r="K711" s="8" t="b">
        <f t="shared" si="56"/>
        <v>1</v>
      </c>
      <c r="L711" s="8" t="b">
        <f t="shared" si="57"/>
        <v>1</v>
      </c>
      <c r="M711" s="8" t="b">
        <f t="shared" si="58"/>
        <v>1</v>
      </c>
      <c r="N711" s="1" t="b">
        <f t="shared" si="59"/>
        <v>1</v>
      </c>
      <c r="O711" s="8" t="str">
        <f>IF(F711="","",IF($F$2=入力リスト!$H$25,ROUNDDOWN(INT(F711)+ROUNDDOWN((F711-INT(F711))*100,0)/60,2),F711))</f>
        <v/>
      </c>
      <c r="P711" s="7"/>
      <c r="Q711" s="7"/>
    </row>
    <row r="712" spans="1:17">
      <c r="A712" s="105"/>
      <c r="B712" s="2"/>
      <c r="C712" s="254"/>
      <c r="D712" s="254"/>
      <c r="E712" s="254"/>
      <c r="F712" s="255"/>
      <c r="G712" s="215" t="str">
        <f>IF(AND($B712="",OR(B712&lt;&gt;"",C712&lt;&gt;"",D712&lt;&gt;"",E712&lt;&gt;"",F712&lt;&gt;"")),入力リスト!$K$34,IF($I712=TRUE,入力リスト!$K$35,IF(J712=FALSE,"「毎月の固定給与額」","")&amp;IF(AND(J712=FALSE,OR(K712=FALSE,L712=FALSE,M712=FALSE)),",","")&amp;IF(K712=FALSE,"「賞与額等」","")&amp;IF(AND(K712=FALSE,OR(L712=FALSE,M712=FALSE)),",","")&amp;IF(L712=FALSE,"「残業手当」","")&amp;IF(AND(L712=FALSE,M712=FALSE),",","")&amp;IF(M712=FALSE,"「残業時間」","")&amp;IF(OR(J712=FALSE,K712=FALSE,L712=FALSE,M712=FALSE),入力リスト!$K$36,"")&amp;IF(N712,"",入力リスト!$K$37)))</f>
        <v/>
      </c>
      <c r="H712" s="215"/>
      <c r="I712" s="1" t="b">
        <f>IF(B712="",FALSE,COUNTIF('従業員情報(給与以外)'!$A$4:$A$1000000,$B712)=0)</f>
        <v>0</v>
      </c>
      <c r="J712" s="8" t="b">
        <f t="shared" si="55"/>
        <v>1</v>
      </c>
      <c r="K712" s="8" t="b">
        <f t="shared" si="56"/>
        <v>1</v>
      </c>
      <c r="L712" s="8" t="b">
        <f t="shared" si="57"/>
        <v>1</v>
      </c>
      <c r="M712" s="8" t="b">
        <f t="shared" si="58"/>
        <v>1</v>
      </c>
      <c r="N712" s="1" t="b">
        <f t="shared" si="59"/>
        <v>1</v>
      </c>
      <c r="O712" s="8" t="str">
        <f>IF(F712="","",IF($F$2=入力リスト!$H$25,ROUNDDOWN(INT(F712)+ROUNDDOWN((F712-INT(F712))*100,0)/60,2),F712))</f>
        <v/>
      </c>
      <c r="P712" s="7"/>
      <c r="Q712" s="7"/>
    </row>
    <row r="713" spans="1:17">
      <c r="A713" s="105"/>
      <c r="B713" s="2"/>
      <c r="C713" s="254"/>
      <c r="D713" s="254"/>
      <c r="E713" s="254"/>
      <c r="F713" s="255"/>
      <c r="G713" s="215" t="str">
        <f>IF(AND($B713="",OR(B713&lt;&gt;"",C713&lt;&gt;"",D713&lt;&gt;"",E713&lt;&gt;"",F713&lt;&gt;"")),入力リスト!$K$34,IF($I713=TRUE,入力リスト!$K$35,IF(J713=FALSE,"「毎月の固定給与額」","")&amp;IF(AND(J713=FALSE,OR(K713=FALSE,L713=FALSE,M713=FALSE)),",","")&amp;IF(K713=FALSE,"「賞与額等」","")&amp;IF(AND(K713=FALSE,OR(L713=FALSE,M713=FALSE)),",","")&amp;IF(L713=FALSE,"「残業手当」","")&amp;IF(AND(L713=FALSE,M713=FALSE),",","")&amp;IF(M713=FALSE,"「残業時間」","")&amp;IF(OR(J713=FALSE,K713=FALSE,L713=FALSE,M713=FALSE),入力リスト!$K$36,"")&amp;IF(N713,"",入力リスト!$K$37)))</f>
        <v/>
      </c>
      <c r="H713" s="215"/>
      <c r="I713" s="1" t="b">
        <f>IF(B713="",FALSE,COUNTIF('従業員情報(給与以外)'!$A$4:$A$1000000,$B713)=0)</f>
        <v>0</v>
      </c>
      <c r="J713" s="8" t="b">
        <f t="shared" si="55"/>
        <v>1</v>
      </c>
      <c r="K713" s="8" t="b">
        <f t="shared" si="56"/>
        <v>1</v>
      </c>
      <c r="L713" s="8" t="b">
        <f t="shared" si="57"/>
        <v>1</v>
      </c>
      <c r="M713" s="8" t="b">
        <f t="shared" si="58"/>
        <v>1</v>
      </c>
      <c r="N713" s="1" t="b">
        <f t="shared" si="59"/>
        <v>1</v>
      </c>
      <c r="O713" s="8" t="str">
        <f>IF(F713="","",IF($F$2=入力リスト!$H$25,ROUNDDOWN(INT(F713)+ROUNDDOWN((F713-INT(F713))*100,0)/60,2),F713))</f>
        <v/>
      </c>
      <c r="P713" s="7"/>
      <c r="Q713" s="7"/>
    </row>
    <row r="714" spans="1:17">
      <c r="A714" s="105"/>
      <c r="B714" s="2"/>
      <c r="C714" s="254"/>
      <c r="D714" s="254"/>
      <c r="E714" s="254"/>
      <c r="F714" s="255"/>
      <c r="G714" s="215" t="str">
        <f>IF(AND($B714="",OR(B714&lt;&gt;"",C714&lt;&gt;"",D714&lt;&gt;"",E714&lt;&gt;"",F714&lt;&gt;"")),入力リスト!$K$34,IF($I714=TRUE,入力リスト!$K$35,IF(J714=FALSE,"「毎月の固定給与額」","")&amp;IF(AND(J714=FALSE,OR(K714=FALSE,L714=FALSE,M714=FALSE)),",","")&amp;IF(K714=FALSE,"「賞与額等」","")&amp;IF(AND(K714=FALSE,OR(L714=FALSE,M714=FALSE)),",","")&amp;IF(L714=FALSE,"「残業手当」","")&amp;IF(AND(L714=FALSE,M714=FALSE),",","")&amp;IF(M714=FALSE,"「残業時間」","")&amp;IF(OR(J714=FALSE,K714=FALSE,L714=FALSE,M714=FALSE),入力リスト!$K$36,"")&amp;IF(N714,"",入力リスト!$K$37)))</f>
        <v/>
      </c>
      <c r="H714" s="215"/>
      <c r="I714" s="1" t="b">
        <f>IF(B714="",FALSE,COUNTIF('従業員情報(給与以外)'!$A$4:$A$1000000,$B714)=0)</f>
        <v>0</v>
      </c>
      <c r="J714" s="8" t="b">
        <f t="shared" si="55"/>
        <v>1</v>
      </c>
      <c r="K714" s="8" t="b">
        <f t="shared" si="56"/>
        <v>1</v>
      </c>
      <c r="L714" s="8" t="b">
        <f t="shared" si="57"/>
        <v>1</v>
      </c>
      <c r="M714" s="8" t="b">
        <f t="shared" si="58"/>
        <v>1</v>
      </c>
      <c r="N714" s="1" t="b">
        <f t="shared" si="59"/>
        <v>1</v>
      </c>
      <c r="O714" s="8" t="str">
        <f>IF(F714="","",IF($F$2=入力リスト!$H$25,ROUNDDOWN(INT(F714)+ROUNDDOWN((F714-INT(F714))*100,0)/60,2),F714))</f>
        <v/>
      </c>
      <c r="P714" s="7"/>
      <c r="Q714" s="7"/>
    </row>
    <row r="715" spans="1:17">
      <c r="A715" s="105"/>
      <c r="B715" s="2"/>
      <c r="C715" s="254"/>
      <c r="D715" s="254"/>
      <c r="E715" s="254"/>
      <c r="F715" s="255"/>
      <c r="G715" s="215" t="str">
        <f>IF(AND($B715="",OR(B715&lt;&gt;"",C715&lt;&gt;"",D715&lt;&gt;"",E715&lt;&gt;"",F715&lt;&gt;"")),入力リスト!$K$34,IF($I715=TRUE,入力リスト!$K$35,IF(J715=FALSE,"「毎月の固定給与額」","")&amp;IF(AND(J715=FALSE,OR(K715=FALSE,L715=FALSE,M715=FALSE)),",","")&amp;IF(K715=FALSE,"「賞与額等」","")&amp;IF(AND(K715=FALSE,OR(L715=FALSE,M715=FALSE)),",","")&amp;IF(L715=FALSE,"「残業手当」","")&amp;IF(AND(L715=FALSE,M715=FALSE),",","")&amp;IF(M715=FALSE,"「残業時間」","")&amp;IF(OR(J715=FALSE,K715=FALSE,L715=FALSE,M715=FALSE),入力リスト!$K$36,"")&amp;IF(N715,"",入力リスト!$K$37)))</f>
        <v/>
      </c>
      <c r="H715" s="215"/>
      <c r="I715" s="1" t="b">
        <f>IF(B715="",FALSE,COUNTIF('従業員情報(給与以外)'!$A$4:$A$1000000,$B715)=0)</f>
        <v>0</v>
      </c>
      <c r="J715" s="8" t="b">
        <f t="shared" si="55"/>
        <v>1</v>
      </c>
      <c r="K715" s="8" t="b">
        <f t="shared" si="56"/>
        <v>1</v>
      </c>
      <c r="L715" s="8" t="b">
        <f t="shared" si="57"/>
        <v>1</v>
      </c>
      <c r="M715" s="8" t="b">
        <f t="shared" si="58"/>
        <v>1</v>
      </c>
      <c r="N715" s="1" t="b">
        <f t="shared" si="59"/>
        <v>1</v>
      </c>
      <c r="O715" s="8" t="str">
        <f>IF(F715="","",IF($F$2=入力リスト!$H$25,ROUNDDOWN(INT(F715)+ROUNDDOWN((F715-INT(F715))*100,0)/60,2),F715))</f>
        <v/>
      </c>
      <c r="P715" s="7"/>
      <c r="Q715" s="7"/>
    </row>
    <row r="716" spans="1:17">
      <c r="A716" s="105"/>
      <c r="B716" s="2"/>
      <c r="C716" s="254"/>
      <c r="D716" s="254"/>
      <c r="E716" s="254"/>
      <c r="F716" s="255"/>
      <c r="G716" s="215" t="str">
        <f>IF(AND($B716="",OR(B716&lt;&gt;"",C716&lt;&gt;"",D716&lt;&gt;"",E716&lt;&gt;"",F716&lt;&gt;"")),入力リスト!$K$34,IF($I716=TRUE,入力リスト!$K$35,IF(J716=FALSE,"「毎月の固定給与額」","")&amp;IF(AND(J716=FALSE,OR(K716=FALSE,L716=FALSE,M716=FALSE)),",","")&amp;IF(K716=FALSE,"「賞与額等」","")&amp;IF(AND(K716=FALSE,OR(L716=FALSE,M716=FALSE)),",","")&amp;IF(L716=FALSE,"「残業手当」","")&amp;IF(AND(L716=FALSE,M716=FALSE),",","")&amp;IF(M716=FALSE,"「残業時間」","")&amp;IF(OR(J716=FALSE,K716=FALSE,L716=FALSE,M716=FALSE),入力リスト!$K$36,"")&amp;IF(N716,"",入力リスト!$K$37)))</f>
        <v/>
      </c>
      <c r="H716" s="215"/>
      <c r="I716" s="1" t="b">
        <f>IF(B716="",FALSE,COUNTIF('従業員情報(給与以外)'!$A$4:$A$1000000,$B716)=0)</f>
        <v>0</v>
      </c>
      <c r="J716" s="8" t="b">
        <f t="shared" si="55"/>
        <v>1</v>
      </c>
      <c r="K716" s="8" t="b">
        <f t="shared" si="56"/>
        <v>1</v>
      </c>
      <c r="L716" s="8" t="b">
        <f t="shared" si="57"/>
        <v>1</v>
      </c>
      <c r="M716" s="8" t="b">
        <f t="shared" si="58"/>
        <v>1</v>
      </c>
      <c r="N716" s="1" t="b">
        <f t="shared" si="59"/>
        <v>1</v>
      </c>
      <c r="O716" s="8" t="str">
        <f>IF(F716="","",IF($F$2=入力リスト!$H$25,ROUNDDOWN(INT(F716)+ROUNDDOWN((F716-INT(F716))*100,0)/60,2),F716))</f>
        <v/>
      </c>
      <c r="P716" s="7"/>
      <c r="Q716" s="7"/>
    </row>
    <row r="717" spans="1:17">
      <c r="A717" s="105"/>
      <c r="B717" s="2"/>
      <c r="C717" s="254"/>
      <c r="D717" s="254"/>
      <c r="E717" s="254"/>
      <c r="F717" s="255"/>
      <c r="G717" s="215" t="str">
        <f>IF(AND($B717="",OR(B717&lt;&gt;"",C717&lt;&gt;"",D717&lt;&gt;"",E717&lt;&gt;"",F717&lt;&gt;"")),入力リスト!$K$34,IF($I717=TRUE,入力リスト!$K$35,IF(J717=FALSE,"「毎月の固定給与額」","")&amp;IF(AND(J717=FALSE,OR(K717=FALSE,L717=FALSE,M717=FALSE)),",","")&amp;IF(K717=FALSE,"「賞与額等」","")&amp;IF(AND(K717=FALSE,OR(L717=FALSE,M717=FALSE)),",","")&amp;IF(L717=FALSE,"「残業手当」","")&amp;IF(AND(L717=FALSE,M717=FALSE),",","")&amp;IF(M717=FALSE,"「残業時間」","")&amp;IF(OR(J717=FALSE,K717=FALSE,L717=FALSE,M717=FALSE),入力リスト!$K$36,"")&amp;IF(N717,"",入力リスト!$K$37)))</f>
        <v/>
      </c>
      <c r="H717" s="215"/>
      <c r="I717" s="1" t="b">
        <f>IF(B717="",FALSE,COUNTIF('従業員情報(給与以外)'!$A$4:$A$1000000,$B717)=0)</f>
        <v>0</v>
      </c>
      <c r="J717" s="8" t="b">
        <f t="shared" si="55"/>
        <v>1</v>
      </c>
      <c r="K717" s="8" t="b">
        <f t="shared" si="56"/>
        <v>1</v>
      </c>
      <c r="L717" s="8" t="b">
        <f t="shared" si="57"/>
        <v>1</v>
      </c>
      <c r="M717" s="8" t="b">
        <f t="shared" si="58"/>
        <v>1</v>
      </c>
      <c r="N717" s="1" t="b">
        <f t="shared" si="59"/>
        <v>1</v>
      </c>
      <c r="O717" s="8" t="str">
        <f>IF(F717="","",IF($F$2=入力リスト!$H$25,ROUNDDOWN(INT(F717)+ROUNDDOWN((F717-INT(F717))*100,0)/60,2),F717))</f>
        <v/>
      </c>
      <c r="P717" s="7"/>
      <c r="Q717" s="7"/>
    </row>
    <row r="718" spans="1:17">
      <c r="A718" s="105"/>
      <c r="B718" s="2"/>
      <c r="C718" s="254"/>
      <c r="D718" s="254"/>
      <c r="E718" s="254"/>
      <c r="F718" s="255"/>
      <c r="G718" s="215" t="str">
        <f>IF(AND($B718="",OR(B718&lt;&gt;"",C718&lt;&gt;"",D718&lt;&gt;"",E718&lt;&gt;"",F718&lt;&gt;"")),入力リスト!$K$34,IF($I718=TRUE,入力リスト!$K$35,IF(J718=FALSE,"「毎月の固定給与額」","")&amp;IF(AND(J718=FALSE,OR(K718=FALSE,L718=FALSE,M718=FALSE)),",","")&amp;IF(K718=FALSE,"「賞与額等」","")&amp;IF(AND(K718=FALSE,OR(L718=FALSE,M718=FALSE)),",","")&amp;IF(L718=FALSE,"「残業手当」","")&amp;IF(AND(L718=FALSE,M718=FALSE),",","")&amp;IF(M718=FALSE,"「残業時間」","")&amp;IF(OR(J718=FALSE,K718=FALSE,L718=FALSE,M718=FALSE),入力リスト!$K$36,"")&amp;IF(N718,"",入力リスト!$K$37)))</f>
        <v/>
      </c>
      <c r="H718" s="215"/>
      <c r="I718" s="1" t="b">
        <f>IF(B718="",FALSE,COUNTIF('従業員情報(給与以外)'!$A$4:$A$1000000,$B718)=0)</f>
        <v>0</v>
      </c>
      <c r="J718" s="8" t="b">
        <f t="shared" si="55"/>
        <v>1</v>
      </c>
      <c r="K718" s="8" t="b">
        <f t="shared" si="56"/>
        <v>1</v>
      </c>
      <c r="L718" s="8" t="b">
        <f t="shared" si="57"/>
        <v>1</v>
      </c>
      <c r="M718" s="8" t="b">
        <f t="shared" si="58"/>
        <v>1</v>
      </c>
      <c r="N718" s="1" t="b">
        <f t="shared" si="59"/>
        <v>1</v>
      </c>
      <c r="O718" s="8" t="str">
        <f>IF(F718="","",IF($F$2=入力リスト!$H$25,ROUNDDOWN(INT(F718)+ROUNDDOWN((F718-INT(F718))*100,0)/60,2),F718))</f>
        <v/>
      </c>
      <c r="P718" s="7"/>
      <c r="Q718" s="7"/>
    </row>
    <row r="719" spans="1:17">
      <c r="A719" s="105"/>
      <c r="B719" s="2"/>
      <c r="C719" s="254"/>
      <c r="D719" s="254"/>
      <c r="E719" s="254"/>
      <c r="F719" s="255"/>
      <c r="G719" s="215" t="str">
        <f>IF(AND($B719="",OR(B719&lt;&gt;"",C719&lt;&gt;"",D719&lt;&gt;"",E719&lt;&gt;"",F719&lt;&gt;"")),入力リスト!$K$34,IF($I719=TRUE,入力リスト!$K$35,IF(J719=FALSE,"「毎月の固定給与額」","")&amp;IF(AND(J719=FALSE,OR(K719=FALSE,L719=FALSE,M719=FALSE)),",","")&amp;IF(K719=FALSE,"「賞与額等」","")&amp;IF(AND(K719=FALSE,OR(L719=FALSE,M719=FALSE)),",","")&amp;IF(L719=FALSE,"「残業手当」","")&amp;IF(AND(L719=FALSE,M719=FALSE),",","")&amp;IF(M719=FALSE,"「残業時間」","")&amp;IF(OR(J719=FALSE,K719=FALSE,L719=FALSE,M719=FALSE),入力リスト!$K$36,"")&amp;IF(N719,"",入力リスト!$K$37)))</f>
        <v/>
      </c>
      <c r="H719" s="215"/>
      <c r="I719" s="1" t="b">
        <f>IF(B719="",FALSE,COUNTIF('従業員情報(給与以外)'!$A$4:$A$1000000,$B719)=0)</f>
        <v>0</v>
      </c>
      <c r="J719" s="8" t="b">
        <f t="shared" si="55"/>
        <v>1</v>
      </c>
      <c r="K719" s="8" t="b">
        <f t="shared" si="56"/>
        <v>1</v>
      </c>
      <c r="L719" s="8" t="b">
        <f t="shared" si="57"/>
        <v>1</v>
      </c>
      <c r="M719" s="8" t="b">
        <f t="shared" si="58"/>
        <v>1</v>
      </c>
      <c r="N719" s="1" t="b">
        <f t="shared" si="59"/>
        <v>1</v>
      </c>
      <c r="O719" s="8" t="str">
        <f>IF(F719="","",IF($F$2=入力リスト!$H$25,ROUNDDOWN(INT(F719)+ROUNDDOWN((F719-INT(F719))*100,0)/60,2),F719))</f>
        <v/>
      </c>
      <c r="P719" s="7"/>
      <c r="Q719" s="7"/>
    </row>
    <row r="720" spans="1:17">
      <c r="A720" s="105"/>
      <c r="B720" s="2"/>
      <c r="C720" s="254"/>
      <c r="D720" s="254"/>
      <c r="E720" s="254"/>
      <c r="F720" s="255"/>
      <c r="G720" s="215" t="str">
        <f>IF(AND($B720="",OR(B720&lt;&gt;"",C720&lt;&gt;"",D720&lt;&gt;"",E720&lt;&gt;"",F720&lt;&gt;"")),入力リスト!$K$34,IF($I720=TRUE,入力リスト!$K$35,IF(J720=FALSE,"「毎月の固定給与額」","")&amp;IF(AND(J720=FALSE,OR(K720=FALSE,L720=FALSE,M720=FALSE)),",","")&amp;IF(K720=FALSE,"「賞与額等」","")&amp;IF(AND(K720=FALSE,OR(L720=FALSE,M720=FALSE)),",","")&amp;IF(L720=FALSE,"「残業手当」","")&amp;IF(AND(L720=FALSE,M720=FALSE),",","")&amp;IF(M720=FALSE,"「残業時間」","")&amp;IF(OR(J720=FALSE,K720=FALSE,L720=FALSE,M720=FALSE),入力リスト!$K$36,"")&amp;IF(N720,"",入力リスト!$K$37)))</f>
        <v/>
      </c>
      <c r="H720" s="215"/>
      <c r="I720" s="1" t="b">
        <f>IF(B720="",FALSE,COUNTIF('従業員情報(給与以外)'!$A$4:$A$1000000,$B720)=0)</f>
        <v>0</v>
      </c>
      <c r="J720" s="8" t="b">
        <f t="shared" si="55"/>
        <v>1</v>
      </c>
      <c r="K720" s="8" t="b">
        <f t="shared" si="56"/>
        <v>1</v>
      </c>
      <c r="L720" s="8" t="b">
        <f t="shared" si="57"/>
        <v>1</v>
      </c>
      <c r="M720" s="8" t="b">
        <f t="shared" si="58"/>
        <v>1</v>
      </c>
      <c r="N720" s="1" t="b">
        <f t="shared" si="59"/>
        <v>1</v>
      </c>
      <c r="O720" s="8" t="str">
        <f>IF(F720="","",IF($F$2=入力リスト!$H$25,ROUNDDOWN(INT(F720)+ROUNDDOWN((F720-INT(F720))*100,0)/60,2),F720))</f>
        <v/>
      </c>
      <c r="P720" s="7"/>
      <c r="Q720" s="7"/>
    </row>
    <row r="721" spans="1:17">
      <c r="A721" s="105"/>
      <c r="B721" s="2"/>
      <c r="C721" s="254"/>
      <c r="D721" s="254"/>
      <c r="E721" s="254"/>
      <c r="F721" s="255"/>
      <c r="G721" s="215" t="str">
        <f>IF(AND($B721="",OR(B721&lt;&gt;"",C721&lt;&gt;"",D721&lt;&gt;"",E721&lt;&gt;"",F721&lt;&gt;"")),入力リスト!$K$34,IF($I721=TRUE,入力リスト!$K$35,IF(J721=FALSE,"「毎月の固定給与額」","")&amp;IF(AND(J721=FALSE,OR(K721=FALSE,L721=FALSE,M721=FALSE)),",","")&amp;IF(K721=FALSE,"「賞与額等」","")&amp;IF(AND(K721=FALSE,OR(L721=FALSE,M721=FALSE)),",","")&amp;IF(L721=FALSE,"「残業手当」","")&amp;IF(AND(L721=FALSE,M721=FALSE),",","")&amp;IF(M721=FALSE,"「残業時間」","")&amp;IF(OR(J721=FALSE,K721=FALSE,L721=FALSE,M721=FALSE),入力リスト!$K$36,"")&amp;IF(N721,"",入力リスト!$K$37)))</f>
        <v/>
      </c>
      <c r="H721" s="215"/>
      <c r="I721" s="1" t="b">
        <f>IF(B721="",FALSE,COUNTIF('従業員情報(給与以外)'!$A$4:$A$1000000,$B721)=0)</f>
        <v>0</v>
      </c>
      <c r="J721" s="8" t="b">
        <f t="shared" si="55"/>
        <v>1</v>
      </c>
      <c r="K721" s="8" t="b">
        <f t="shared" si="56"/>
        <v>1</v>
      </c>
      <c r="L721" s="8" t="b">
        <f t="shared" si="57"/>
        <v>1</v>
      </c>
      <c r="M721" s="8" t="b">
        <f t="shared" si="58"/>
        <v>1</v>
      </c>
      <c r="N721" s="1" t="b">
        <f t="shared" si="59"/>
        <v>1</v>
      </c>
      <c r="O721" s="8" t="str">
        <f>IF(F721="","",IF($F$2=入力リスト!$H$25,ROUNDDOWN(INT(F721)+ROUNDDOWN((F721-INT(F721))*100,0)/60,2),F721))</f>
        <v/>
      </c>
      <c r="P721" s="7"/>
      <c r="Q721" s="7"/>
    </row>
    <row r="722" spans="1:17">
      <c r="A722" s="105"/>
      <c r="B722" s="2"/>
      <c r="C722" s="254"/>
      <c r="D722" s="254"/>
      <c r="E722" s="254"/>
      <c r="F722" s="255"/>
      <c r="G722" s="215" t="str">
        <f>IF(AND($B722="",OR(B722&lt;&gt;"",C722&lt;&gt;"",D722&lt;&gt;"",E722&lt;&gt;"",F722&lt;&gt;"")),入力リスト!$K$34,IF($I722=TRUE,入力リスト!$K$35,IF(J722=FALSE,"「毎月の固定給与額」","")&amp;IF(AND(J722=FALSE,OR(K722=FALSE,L722=FALSE,M722=FALSE)),",","")&amp;IF(K722=FALSE,"「賞与額等」","")&amp;IF(AND(K722=FALSE,OR(L722=FALSE,M722=FALSE)),",","")&amp;IF(L722=FALSE,"「残業手当」","")&amp;IF(AND(L722=FALSE,M722=FALSE),",","")&amp;IF(M722=FALSE,"「残業時間」","")&amp;IF(OR(J722=FALSE,K722=FALSE,L722=FALSE,M722=FALSE),入力リスト!$K$36,"")&amp;IF(N722,"",入力リスト!$K$37)))</f>
        <v/>
      </c>
      <c r="H722" s="215"/>
      <c r="I722" s="1" t="b">
        <f>IF(B722="",FALSE,COUNTIF('従業員情報(給与以外)'!$A$4:$A$1000000,$B722)=0)</f>
        <v>0</v>
      </c>
      <c r="J722" s="8" t="b">
        <f t="shared" si="55"/>
        <v>1</v>
      </c>
      <c r="K722" s="8" t="b">
        <f t="shared" si="56"/>
        <v>1</v>
      </c>
      <c r="L722" s="8" t="b">
        <f t="shared" si="57"/>
        <v>1</v>
      </c>
      <c r="M722" s="8" t="b">
        <f t="shared" si="58"/>
        <v>1</v>
      </c>
      <c r="N722" s="1" t="b">
        <f t="shared" si="59"/>
        <v>1</v>
      </c>
      <c r="O722" s="8" t="str">
        <f>IF(F722="","",IF($F$2=入力リスト!$H$25,ROUNDDOWN(INT(F722)+ROUNDDOWN((F722-INT(F722))*100,0)/60,2),F722))</f>
        <v/>
      </c>
      <c r="P722" s="7"/>
      <c r="Q722" s="7"/>
    </row>
    <row r="723" spans="1:17">
      <c r="A723" s="105"/>
      <c r="B723" s="2"/>
      <c r="C723" s="254"/>
      <c r="D723" s="254"/>
      <c r="E723" s="254"/>
      <c r="F723" s="255"/>
      <c r="G723" s="215" t="str">
        <f>IF(AND($B723="",OR(B723&lt;&gt;"",C723&lt;&gt;"",D723&lt;&gt;"",E723&lt;&gt;"",F723&lt;&gt;"")),入力リスト!$K$34,IF($I723=TRUE,入力リスト!$K$35,IF(J723=FALSE,"「毎月の固定給与額」","")&amp;IF(AND(J723=FALSE,OR(K723=FALSE,L723=FALSE,M723=FALSE)),",","")&amp;IF(K723=FALSE,"「賞与額等」","")&amp;IF(AND(K723=FALSE,OR(L723=FALSE,M723=FALSE)),",","")&amp;IF(L723=FALSE,"「残業手当」","")&amp;IF(AND(L723=FALSE,M723=FALSE),",","")&amp;IF(M723=FALSE,"「残業時間」","")&amp;IF(OR(J723=FALSE,K723=FALSE,L723=FALSE,M723=FALSE),入力リスト!$K$36,"")&amp;IF(N723,"",入力リスト!$K$37)))</f>
        <v/>
      </c>
      <c r="H723" s="215"/>
      <c r="I723" s="1" t="b">
        <f>IF(B723="",FALSE,COUNTIF('従業員情報(給与以外)'!$A$4:$A$1000000,$B723)=0)</f>
        <v>0</v>
      </c>
      <c r="J723" s="8" t="b">
        <f t="shared" si="55"/>
        <v>1</v>
      </c>
      <c r="K723" s="8" t="b">
        <f t="shared" si="56"/>
        <v>1</v>
      </c>
      <c r="L723" s="8" t="b">
        <f t="shared" si="57"/>
        <v>1</v>
      </c>
      <c r="M723" s="8" t="b">
        <f t="shared" si="58"/>
        <v>1</v>
      </c>
      <c r="N723" s="1" t="b">
        <f t="shared" si="59"/>
        <v>1</v>
      </c>
      <c r="O723" s="8" t="str">
        <f>IF(F723="","",IF($F$2=入力リスト!$H$25,ROUNDDOWN(INT(F723)+ROUNDDOWN((F723-INT(F723))*100,0)/60,2),F723))</f>
        <v/>
      </c>
      <c r="P723" s="7"/>
      <c r="Q723" s="7"/>
    </row>
    <row r="724" spans="1:17">
      <c r="A724" s="105"/>
      <c r="B724" s="2"/>
      <c r="C724" s="254"/>
      <c r="D724" s="254"/>
      <c r="E724" s="254"/>
      <c r="F724" s="255"/>
      <c r="G724" s="215" t="str">
        <f>IF(AND($B724="",OR(B724&lt;&gt;"",C724&lt;&gt;"",D724&lt;&gt;"",E724&lt;&gt;"",F724&lt;&gt;"")),入力リスト!$K$34,IF($I724=TRUE,入力リスト!$K$35,IF(J724=FALSE,"「毎月の固定給与額」","")&amp;IF(AND(J724=FALSE,OR(K724=FALSE,L724=FALSE,M724=FALSE)),",","")&amp;IF(K724=FALSE,"「賞与額等」","")&amp;IF(AND(K724=FALSE,OR(L724=FALSE,M724=FALSE)),",","")&amp;IF(L724=FALSE,"「残業手当」","")&amp;IF(AND(L724=FALSE,M724=FALSE),",","")&amp;IF(M724=FALSE,"「残業時間」","")&amp;IF(OR(J724=FALSE,K724=FALSE,L724=FALSE,M724=FALSE),入力リスト!$K$36,"")&amp;IF(N724,"",入力リスト!$K$37)))</f>
        <v/>
      </c>
      <c r="H724" s="215"/>
      <c r="I724" s="1" t="b">
        <f>IF(B724="",FALSE,COUNTIF('従業員情報(給与以外)'!$A$4:$A$1000000,$B724)=0)</f>
        <v>0</v>
      </c>
      <c r="J724" s="8" t="b">
        <f t="shared" si="55"/>
        <v>1</v>
      </c>
      <c r="K724" s="8" t="b">
        <f t="shared" si="56"/>
        <v>1</v>
      </c>
      <c r="L724" s="8" t="b">
        <f t="shared" si="57"/>
        <v>1</v>
      </c>
      <c r="M724" s="8" t="b">
        <f t="shared" si="58"/>
        <v>1</v>
      </c>
      <c r="N724" s="1" t="b">
        <f t="shared" si="59"/>
        <v>1</v>
      </c>
      <c r="O724" s="8" t="str">
        <f>IF(F724="","",IF($F$2=入力リスト!$H$25,ROUNDDOWN(INT(F724)+ROUNDDOWN((F724-INT(F724))*100,0)/60,2),F724))</f>
        <v/>
      </c>
      <c r="P724" s="7"/>
      <c r="Q724" s="7"/>
    </row>
    <row r="725" spans="1:17">
      <c r="A725" s="105"/>
      <c r="B725" s="2"/>
      <c r="C725" s="254"/>
      <c r="D725" s="254"/>
      <c r="E725" s="254"/>
      <c r="F725" s="255"/>
      <c r="G725" s="215" t="str">
        <f>IF(AND($B725="",OR(B725&lt;&gt;"",C725&lt;&gt;"",D725&lt;&gt;"",E725&lt;&gt;"",F725&lt;&gt;"")),入力リスト!$K$34,IF($I725=TRUE,入力リスト!$K$35,IF(J725=FALSE,"「毎月の固定給与額」","")&amp;IF(AND(J725=FALSE,OR(K725=FALSE,L725=FALSE,M725=FALSE)),",","")&amp;IF(K725=FALSE,"「賞与額等」","")&amp;IF(AND(K725=FALSE,OR(L725=FALSE,M725=FALSE)),",","")&amp;IF(L725=FALSE,"「残業手当」","")&amp;IF(AND(L725=FALSE,M725=FALSE),",","")&amp;IF(M725=FALSE,"「残業時間」","")&amp;IF(OR(J725=FALSE,K725=FALSE,L725=FALSE,M725=FALSE),入力リスト!$K$36,"")&amp;IF(N725,"",入力リスト!$K$37)))</f>
        <v/>
      </c>
      <c r="H725" s="215"/>
      <c r="I725" s="1" t="b">
        <f>IF(B725="",FALSE,COUNTIF('従業員情報(給与以外)'!$A$4:$A$1000000,$B725)=0)</f>
        <v>0</v>
      </c>
      <c r="J725" s="8" t="b">
        <f t="shared" si="55"/>
        <v>1</v>
      </c>
      <c r="K725" s="8" t="b">
        <f t="shared" si="56"/>
        <v>1</v>
      </c>
      <c r="L725" s="8" t="b">
        <f t="shared" si="57"/>
        <v>1</v>
      </c>
      <c r="M725" s="8" t="b">
        <f t="shared" si="58"/>
        <v>1</v>
      </c>
      <c r="N725" s="1" t="b">
        <f t="shared" si="59"/>
        <v>1</v>
      </c>
      <c r="O725" s="8" t="str">
        <f>IF(F725="","",IF($F$2=入力リスト!$H$25,ROUNDDOWN(INT(F725)+ROUNDDOWN((F725-INT(F725))*100,0)/60,2),F725))</f>
        <v/>
      </c>
      <c r="P725" s="7"/>
      <c r="Q725" s="7"/>
    </row>
    <row r="726" spans="1:17">
      <c r="A726" s="105"/>
      <c r="B726" s="2"/>
      <c r="C726" s="254"/>
      <c r="D726" s="254"/>
      <c r="E726" s="254"/>
      <c r="F726" s="255"/>
      <c r="G726" s="215" t="str">
        <f>IF(AND($B726="",OR(B726&lt;&gt;"",C726&lt;&gt;"",D726&lt;&gt;"",E726&lt;&gt;"",F726&lt;&gt;"")),入力リスト!$K$34,IF($I726=TRUE,入力リスト!$K$35,IF(J726=FALSE,"「毎月の固定給与額」","")&amp;IF(AND(J726=FALSE,OR(K726=FALSE,L726=FALSE,M726=FALSE)),",","")&amp;IF(K726=FALSE,"「賞与額等」","")&amp;IF(AND(K726=FALSE,OR(L726=FALSE,M726=FALSE)),",","")&amp;IF(L726=FALSE,"「残業手当」","")&amp;IF(AND(L726=FALSE,M726=FALSE),",","")&amp;IF(M726=FALSE,"「残業時間」","")&amp;IF(OR(J726=FALSE,K726=FALSE,L726=FALSE,M726=FALSE),入力リスト!$K$36,"")&amp;IF(N726,"",入力リスト!$K$37)))</f>
        <v/>
      </c>
      <c r="H726" s="215"/>
      <c r="I726" s="1" t="b">
        <f>IF(B726="",FALSE,COUNTIF('従業員情報(給与以外)'!$A$4:$A$1000000,$B726)=0)</f>
        <v>0</v>
      </c>
      <c r="J726" s="8" t="b">
        <f t="shared" si="55"/>
        <v>1</v>
      </c>
      <c r="K726" s="8" t="b">
        <f t="shared" si="56"/>
        <v>1</v>
      </c>
      <c r="L726" s="8" t="b">
        <f t="shared" si="57"/>
        <v>1</v>
      </c>
      <c r="M726" s="8" t="b">
        <f t="shared" si="58"/>
        <v>1</v>
      </c>
      <c r="N726" s="1" t="b">
        <f t="shared" si="59"/>
        <v>1</v>
      </c>
      <c r="O726" s="8" t="str">
        <f>IF(F726="","",IF($F$2=入力リスト!$H$25,ROUNDDOWN(INT(F726)+ROUNDDOWN((F726-INT(F726))*100,0)/60,2),F726))</f>
        <v/>
      </c>
      <c r="P726" s="7"/>
      <c r="Q726" s="7"/>
    </row>
    <row r="727" spans="1:17">
      <c r="A727" s="105"/>
      <c r="B727" s="2"/>
      <c r="C727" s="254"/>
      <c r="D727" s="254"/>
      <c r="E727" s="254"/>
      <c r="F727" s="255"/>
      <c r="G727" s="215" t="str">
        <f>IF(AND($B727="",OR(B727&lt;&gt;"",C727&lt;&gt;"",D727&lt;&gt;"",E727&lt;&gt;"",F727&lt;&gt;"")),入力リスト!$K$34,IF($I727=TRUE,入力リスト!$K$35,IF(J727=FALSE,"「毎月の固定給与額」","")&amp;IF(AND(J727=FALSE,OR(K727=FALSE,L727=FALSE,M727=FALSE)),",","")&amp;IF(K727=FALSE,"「賞与額等」","")&amp;IF(AND(K727=FALSE,OR(L727=FALSE,M727=FALSE)),",","")&amp;IF(L727=FALSE,"「残業手当」","")&amp;IF(AND(L727=FALSE,M727=FALSE),",","")&amp;IF(M727=FALSE,"「残業時間」","")&amp;IF(OR(J727=FALSE,K727=FALSE,L727=FALSE,M727=FALSE),入力リスト!$K$36,"")&amp;IF(N727,"",入力リスト!$K$37)))</f>
        <v/>
      </c>
      <c r="H727" s="215"/>
      <c r="I727" s="1" t="b">
        <f>IF(B727="",FALSE,COUNTIF('従業員情報(給与以外)'!$A$4:$A$1000000,$B727)=0)</f>
        <v>0</v>
      </c>
      <c r="J727" s="8" t="b">
        <f t="shared" si="55"/>
        <v>1</v>
      </c>
      <c r="K727" s="8" t="b">
        <f t="shared" si="56"/>
        <v>1</v>
      </c>
      <c r="L727" s="8" t="b">
        <f t="shared" si="57"/>
        <v>1</v>
      </c>
      <c r="M727" s="8" t="b">
        <f t="shared" si="58"/>
        <v>1</v>
      </c>
      <c r="N727" s="1" t="b">
        <f t="shared" si="59"/>
        <v>1</v>
      </c>
      <c r="O727" s="8" t="str">
        <f>IF(F727="","",IF($F$2=入力リスト!$H$25,ROUNDDOWN(INT(F727)+ROUNDDOWN((F727-INT(F727))*100,0)/60,2),F727))</f>
        <v/>
      </c>
      <c r="P727" s="7"/>
      <c r="Q727" s="7"/>
    </row>
    <row r="728" spans="1:17">
      <c r="A728" s="105"/>
      <c r="B728" s="2"/>
      <c r="C728" s="254"/>
      <c r="D728" s="254"/>
      <c r="E728" s="254"/>
      <c r="F728" s="255"/>
      <c r="G728" s="215" t="str">
        <f>IF(AND($B728="",OR(B728&lt;&gt;"",C728&lt;&gt;"",D728&lt;&gt;"",E728&lt;&gt;"",F728&lt;&gt;"")),入力リスト!$K$34,IF($I728=TRUE,入力リスト!$K$35,IF(J728=FALSE,"「毎月の固定給与額」","")&amp;IF(AND(J728=FALSE,OR(K728=FALSE,L728=FALSE,M728=FALSE)),",","")&amp;IF(K728=FALSE,"「賞与額等」","")&amp;IF(AND(K728=FALSE,OR(L728=FALSE,M728=FALSE)),",","")&amp;IF(L728=FALSE,"「残業手当」","")&amp;IF(AND(L728=FALSE,M728=FALSE),",","")&amp;IF(M728=FALSE,"「残業時間」","")&amp;IF(OR(J728=FALSE,K728=FALSE,L728=FALSE,M728=FALSE),入力リスト!$K$36,"")&amp;IF(N728,"",入力リスト!$K$37)))</f>
        <v/>
      </c>
      <c r="H728" s="215"/>
      <c r="I728" s="1" t="b">
        <f>IF(B728="",FALSE,COUNTIF('従業員情報(給与以外)'!$A$4:$A$1000000,$B728)=0)</f>
        <v>0</v>
      </c>
      <c r="J728" s="8" t="b">
        <f t="shared" si="55"/>
        <v>1</v>
      </c>
      <c r="K728" s="8" t="b">
        <f t="shared" si="56"/>
        <v>1</v>
      </c>
      <c r="L728" s="8" t="b">
        <f t="shared" si="57"/>
        <v>1</v>
      </c>
      <c r="M728" s="8" t="b">
        <f t="shared" si="58"/>
        <v>1</v>
      </c>
      <c r="N728" s="1" t="b">
        <f t="shared" si="59"/>
        <v>1</v>
      </c>
      <c r="O728" s="8" t="str">
        <f>IF(F728="","",IF($F$2=入力リスト!$H$25,ROUNDDOWN(INT(F728)+ROUNDDOWN((F728-INT(F728))*100,0)/60,2),F728))</f>
        <v/>
      </c>
      <c r="P728" s="7"/>
      <c r="Q728" s="7"/>
    </row>
    <row r="729" spans="1:17">
      <c r="A729" s="105"/>
      <c r="B729" s="2"/>
      <c r="C729" s="254"/>
      <c r="D729" s="254"/>
      <c r="E729" s="254"/>
      <c r="F729" s="255"/>
      <c r="G729" s="215" t="str">
        <f>IF(AND($B729="",OR(B729&lt;&gt;"",C729&lt;&gt;"",D729&lt;&gt;"",E729&lt;&gt;"",F729&lt;&gt;"")),入力リスト!$K$34,IF($I729=TRUE,入力リスト!$K$35,IF(J729=FALSE,"「毎月の固定給与額」","")&amp;IF(AND(J729=FALSE,OR(K729=FALSE,L729=FALSE,M729=FALSE)),",","")&amp;IF(K729=FALSE,"「賞与額等」","")&amp;IF(AND(K729=FALSE,OR(L729=FALSE,M729=FALSE)),",","")&amp;IF(L729=FALSE,"「残業手当」","")&amp;IF(AND(L729=FALSE,M729=FALSE),",","")&amp;IF(M729=FALSE,"「残業時間」","")&amp;IF(OR(J729=FALSE,K729=FALSE,L729=FALSE,M729=FALSE),入力リスト!$K$36,"")&amp;IF(N729,"",入力リスト!$K$37)))</f>
        <v/>
      </c>
      <c r="H729" s="215"/>
      <c r="I729" s="1" t="b">
        <f>IF(B729="",FALSE,COUNTIF('従業員情報(給与以外)'!$A$4:$A$1000000,$B729)=0)</f>
        <v>0</v>
      </c>
      <c r="J729" s="8" t="b">
        <f t="shared" si="55"/>
        <v>1</v>
      </c>
      <c r="K729" s="8" t="b">
        <f t="shared" si="56"/>
        <v>1</v>
      </c>
      <c r="L729" s="8" t="b">
        <f t="shared" si="57"/>
        <v>1</v>
      </c>
      <c r="M729" s="8" t="b">
        <f t="shared" si="58"/>
        <v>1</v>
      </c>
      <c r="N729" s="1" t="b">
        <f t="shared" si="59"/>
        <v>1</v>
      </c>
      <c r="O729" s="8" t="str">
        <f>IF(F729="","",IF($F$2=入力リスト!$H$25,ROUNDDOWN(INT(F729)+ROUNDDOWN((F729-INT(F729))*100,0)/60,2),F729))</f>
        <v/>
      </c>
      <c r="P729" s="7"/>
      <c r="Q729" s="7"/>
    </row>
    <row r="730" spans="1:17">
      <c r="A730" s="105"/>
      <c r="B730" s="2"/>
      <c r="C730" s="254"/>
      <c r="D730" s="254"/>
      <c r="E730" s="254"/>
      <c r="F730" s="255"/>
      <c r="G730" s="215" t="str">
        <f>IF(AND($B730="",OR(B730&lt;&gt;"",C730&lt;&gt;"",D730&lt;&gt;"",E730&lt;&gt;"",F730&lt;&gt;"")),入力リスト!$K$34,IF($I730=TRUE,入力リスト!$K$35,IF(J730=FALSE,"「毎月の固定給与額」","")&amp;IF(AND(J730=FALSE,OR(K730=FALSE,L730=FALSE,M730=FALSE)),",","")&amp;IF(K730=FALSE,"「賞与額等」","")&amp;IF(AND(K730=FALSE,OR(L730=FALSE,M730=FALSE)),",","")&amp;IF(L730=FALSE,"「残業手当」","")&amp;IF(AND(L730=FALSE,M730=FALSE),",","")&amp;IF(M730=FALSE,"「残業時間」","")&amp;IF(OR(J730=FALSE,K730=FALSE,L730=FALSE,M730=FALSE),入力リスト!$K$36,"")&amp;IF(N730,"",入力リスト!$K$37)))</f>
        <v/>
      </c>
      <c r="H730" s="215"/>
      <c r="I730" s="1" t="b">
        <f>IF(B730="",FALSE,COUNTIF('従業員情報(給与以外)'!$A$4:$A$1000000,$B730)=0)</f>
        <v>0</v>
      </c>
      <c r="J730" s="8" t="b">
        <f t="shared" si="55"/>
        <v>1</v>
      </c>
      <c r="K730" s="8" t="b">
        <f t="shared" si="56"/>
        <v>1</v>
      </c>
      <c r="L730" s="8" t="b">
        <f t="shared" si="57"/>
        <v>1</v>
      </c>
      <c r="M730" s="8" t="b">
        <f t="shared" si="58"/>
        <v>1</v>
      </c>
      <c r="N730" s="1" t="b">
        <f t="shared" si="59"/>
        <v>1</v>
      </c>
      <c r="O730" s="8" t="str">
        <f>IF(F730="","",IF($F$2=入力リスト!$H$25,ROUNDDOWN(INT(F730)+ROUNDDOWN((F730-INT(F730))*100,0)/60,2),F730))</f>
        <v/>
      </c>
      <c r="P730" s="7"/>
      <c r="Q730" s="7"/>
    </row>
    <row r="731" spans="1:17">
      <c r="A731" s="105"/>
      <c r="B731" s="2"/>
      <c r="C731" s="254"/>
      <c r="D731" s="254"/>
      <c r="E731" s="254"/>
      <c r="F731" s="255"/>
      <c r="G731" s="215" t="str">
        <f>IF(AND($B731="",OR(B731&lt;&gt;"",C731&lt;&gt;"",D731&lt;&gt;"",E731&lt;&gt;"",F731&lt;&gt;"")),入力リスト!$K$34,IF($I731=TRUE,入力リスト!$K$35,IF(J731=FALSE,"「毎月の固定給与額」","")&amp;IF(AND(J731=FALSE,OR(K731=FALSE,L731=FALSE,M731=FALSE)),",","")&amp;IF(K731=FALSE,"「賞与額等」","")&amp;IF(AND(K731=FALSE,OR(L731=FALSE,M731=FALSE)),",","")&amp;IF(L731=FALSE,"「残業手当」","")&amp;IF(AND(L731=FALSE,M731=FALSE),",","")&amp;IF(M731=FALSE,"「残業時間」","")&amp;IF(OR(J731=FALSE,K731=FALSE,L731=FALSE,M731=FALSE),入力リスト!$K$36,"")&amp;IF(N731,"",入力リスト!$K$37)))</f>
        <v/>
      </c>
      <c r="H731" s="215"/>
      <c r="I731" s="1" t="b">
        <f>IF(B731="",FALSE,COUNTIF('従業員情報(給与以外)'!$A$4:$A$1000000,$B731)=0)</f>
        <v>0</v>
      </c>
      <c r="J731" s="8" t="b">
        <f t="shared" si="55"/>
        <v>1</v>
      </c>
      <c r="K731" s="8" t="b">
        <f t="shared" si="56"/>
        <v>1</v>
      </c>
      <c r="L731" s="8" t="b">
        <f t="shared" si="57"/>
        <v>1</v>
      </c>
      <c r="M731" s="8" t="b">
        <f t="shared" si="58"/>
        <v>1</v>
      </c>
      <c r="N731" s="1" t="b">
        <f t="shared" si="59"/>
        <v>1</v>
      </c>
      <c r="O731" s="8" t="str">
        <f>IF(F731="","",IF($F$2=入力リスト!$H$25,ROUNDDOWN(INT(F731)+ROUNDDOWN((F731-INT(F731))*100,0)/60,2),F731))</f>
        <v/>
      </c>
      <c r="P731" s="7"/>
      <c r="Q731" s="7"/>
    </row>
    <row r="732" spans="1:17">
      <c r="A732" s="105"/>
      <c r="B732" s="2"/>
      <c r="C732" s="254"/>
      <c r="D732" s="254"/>
      <c r="E732" s="254"/>
      <c r="F732" s="255"/>
      <c r="G732" s="215" t="str">
        <f>IF(AND($B732="",OR(B732&lt;&gt;"",C732&lt;&gt;"",D732&lt;&gt;"",E732&lt;&gt;"",F732&lt;&gt;"")),入力リスト!$K$34,IF($I732=TRUE,入力リスト!$K$35,IF(J732=FALSE,"「毎月の固定給与額」","")&amp;IF(AND(J732=FALSE,OR(K732=FALSE,L732=FALSE,M732=FALSE)),",","")&amp;IF(K732=FALSE,"「賞与額等」","")&amp;IF(AND(K732=FALSE,OR(L732=FALSE,M732=FALSE)),",","")&amp;IF(L732=FALSE,"「残業手当」","")&amp;IF(AND(L732=FALSE,M732=FALSE),",","")&amp;IF(M732=FALSE,"「残業時間」","")&amp;IF(OR(J732=FALSE,K732=FALSE,L732=FALSE,M732=FALSE),入力リスト!$K$36,"")&amp;IF(N732,"",入力リスト!$K$37)))</f>
        <v/>
      </c>
      <c r="H732" s="215"/>
      <c r="I732" s="1" t="b">
        <f>IF(B732="",FALSE,COUNTIF('従業員情報(給与以外)'!$A$4:$A$1000000,$B732)=0)</f>
        <v>0</v>
      </c>
      <c r="J732" s="8" t="b">
        <f t="shared" si="55"/>
        <v>1</v>
      </c>
      <c r="K732" s="8" t="b">
        <f t="shared" si="56"/>
        <v>1</v>
      </c>
      <c r="L732" s="8" t="b">
        <f t="shared" si="57"/>
        <v>1</v>
      </c>
      <c r="M732" s="8" t="b">
        <f t="shared" si="58"/>
        <v>1</v>
      </c>
      <c r="N732" s="1" t="b">
        <f t="shared" si="59"/>
        <v>1</v>
      </c>
      <c r="O732" s="8" t="str">
        <f>IF(F732="","",IF($F$2=入力リスト!$H$25,ROUNDDOWN(INT(F732)+ROUNDDOWN((F732-INT(F732))*100,0)/60,2),F732))</f>
        <v/>
      </c>
      <c r="P732" s="7"/>
      <c r="Q732" s="7"/>
    </row>
    <row r="733" spans="1:17">
      <c r="A733" s="105"/>
      <c r="B733" s="2"/>
      <c r="C733" s="254"/>
      <c r="D733" s="254"/>
      <c r="E733" s="254"/>
      <c r="F733" s="255"/>
      <c r="G733" s="215" t="str">
        <f>IF(AND($B733="",OR(B733&lt;&gt;"",C733&lt;&gt;"",D733&lt;&gt;"",E733&lt;&gt;"",F733&lt;&gt;"")),入力リスト!$K$34,IF($I733=TRUE,入力リスト!$K$35,IF(J733=FALSE,"「毎月の固定給与額」","")&amp;IF(AND(J733=FALSE,OR(K733=FALSE,L733=FALSE,M733=FALSE)),",","")&amp;IF(K733=FALSE,"「賞与額等」","")&amp;IF(AND(K733=FALSE,OR(L733=FALSE,M733=FALSE)),",","")&amp;IF(L733=FALSE,"「残業手当」","")&amp;IF(AND(L733=FALSE,M733=FALSE),",","")&amp;IF(M733=FALSE,"「残業時間」","")&amp;IF(OR(J733=FALSE,K733=FALSE,L733=FALSE,M733=FALSE),入力リスト!$K$36,"")&amp;IF(N733,"",入力リスト!$K$37)))</f>
        <v/>
      </c>
      <c r="H733" s="215"/>
      <c r="I733" s="1" t="b">
        <f>IF(B733="",FALSE,COUNTIF('従業員情報(給与以外)'!$A$4:$A$1000000,$B733)=0)</f>
        <v>0</v>
      </c>
      <c r="J733" s="8" t="b">
        <f t="shared" si="55"/>
        <v>1</v>
      </c>
      <c r="K733" s="8" t="b">
        <f t="shared" si="56"/>
        <v>1</v>
      </c>
      <c r="L733" s="8" t="b">
        <f t="shared" si="57"/>
        <v>1</v>
      </c>
      <c r="M733" s="8" t="b">
        <f t="shared" si="58"/>
        <v>1</v>
      </c>
      <c r="N733" s="1" t="b">
        <f t="shared" si="59"/>
        <v>1</v>
      </c>
      <c r="O733" s="8" t="str">
        <f>IF(F733="","",IF($F$2=入力リスト!$H$25,ROUNDDOWN(INT(F733)+ROUNDDOWN((F733-INT(F733))*100,0)/60,2),F733))</f>
        <v/>
      </c>
      <c r="P733" s="7"/>
      <c r="Q733" s="7"/>
    </row>
    <row r="734" spans="1:17">
      <c r="A734" s="105"/>
      <c r="B734" s="2"/>
      <c r="C734" s="254"/>
      <c r="D734" s="254"/>
      <c r="E734" s="254"/>
      <c r="F734" s="255"/>
      <c r="G734" s="215" t="str">
        <f>IF(AND($B734="",OR(B734&lt;&gt;"",C734&lt;&gt;"",D734&lt;&gt;"",E734&lt;&gt;"",F734&lt;&gt;"")),入力リスト!$K$34,IF($I734=TRUE,入力リスト!$K$35,IF(J734=FALSE,"「毎月の固定給与額」","")&amp;IF(AND(J734=FALSE,OR(K734=FALSE,L734=FALSE,M734=FALSE)),",","")&amp;IF(K734=FALSE,"「賞与額等」","")&amp;IF(AND(K734=FALSE,OR(L734=FALSE,M734=FALSE)),",","")&amp;IF(L734=FALSE,"「残業手当」","")&amp;IF(AND(L734=FALSE,M734=FALSE),",","")&amp;IF(M734=FALSE,"「残業時間」","")&amp;IF(OR(J734=FALSE,K734=FALSE,L734=FALSE,M734=FALSE),入力リスト!$K$36,"")&amp;IF(N734,"",入力リスト!$K$37)))</f>
        <v/>
      </c>
      <c r="H734" s="215"/>
      <c r="I734" s="1" t="b">
        <f>IF(B734="",FALSE,COUNTIF('従業員情報(給与以外)'!$A$4:$A$1000000,$B734)=0)</f>
        <v>0</v>
      </c>
      <c r="J734" s="8" t="b">
        <f t="shared" si="55"/>
        <v>1</v>
      </c>
      <c r="K734" s="8" t="b">
        <f t="shared" si="56"/>
        <v>1</v>
      </c>
      <c r="L734" s="8" t="b">
        <f t="shared" si="57"/>
        <v>1</v>
      </c>
      <c r="M734" s="8" t="b">
        <f t="shared" si="58"/>
        <v>1</v>
      </c>
      <c r="N734" s="1" t="b">
        <f t="shared" si="59"/>
        <v>1</v>
      </c>
      <c r="O734" s="8" t="str">
        <f>IF(F734="","",IF($F$2=入力リスト!$H$25,ROUNDDOWN(INT(F734)+ROUNDDOWN((F734-INT(F734))*100,0)/60,2),F734))</f>
        <v/>
      </c>
      <c r="P734" s="7"/>
      <c r="Q734" s="7"/>
    </row>
    <row r="735" spans="1:17">
      <c r="A735" s="105"/>
      <c r="B735" s="2"/>
      <c r="C735" s="254"/>
      <c r="D735" s="254"/>
      <c r="E735" s="254"/>
      <c r="F735" s="255"/>
      <c r="G735" s="215" t="str">
        <f>IF(AND($B735="",OR(B735&lt;&gt;"",C735&lt;&gt;"",D735&lt;&gt;"",E735&lt;&gt;"",F735&lt;&gt;"")),入力リスト!$K$34,IF($I735=TRUE,入力リスト!$K$35,IF(J735=FALSE,"「毎月の固定給与額」","")&amp;IF(AND(J735=FALSE,OR(K735=FALSE,L735=FALSE,M735=FALSE)),",","")&amp;IF(K735=FALSE,"「賞与額等」","")&amp;IF(AND(K735=FALSE,OR(L735=FALSE,M735=FALSE)),",","")&amp;IF(L735=FALSE,"「残業手当」","")&amp;IF(AND(L735=FALSE,M735=FALSE),",","")&amp;IF(M735=FALSE,"「残業時間」","")&amp;IF(OR(J735=FALSE,K735=FALSE,L735=FALSE,M735=FALSE),入力リスト!$K$36,"")&amp;IF(N735,"",入力リスト!$K$37)))</f>
        <v/>
      </c>
      <c r="H735" s="215"/>
      <c r="I735" s="1" t="b">
        <f>IF(B735="",FALSE,COUNTIF('従業員情報(給与以外)'!$A$4:$A$1000000,$B735)=0)</f>
        <v>0</v>
      </c>
      <c r="J735" s="8" t="b">
        <f t="shared" si="55"/>
        <v>1</v>
      </c>
      <c r="K735" s="8" t="b">
        <f t="shared" si="56"/>
        <v>1</v>
      </c>
      <c r="L735" s="8" t="b">
        <f t="shared" si="57"/>
        <v>1</v>
      </c>
      <c r="M735" s="8" t="b">
        <f t="shared" si="58"/>
        <v>1</v>
      </c>
      <c r="N735" s="1" t="b">
        <f t="shared" si="59"/>
        <v>1</v>
      </c>
      <c r="O735" s="8" t="str">
        <f>IF(F735="","",IF($F$2=入力リスト!$H$25,ROUNDDOWN(INT(F735)+ROUNDDOWN((F735-INT(F735))*100,0)/60,2),F735))</f>
        <v/>
      </c>
      <c r="P735" s="7"/>
      <c r="Q735" s="7"/>
    </row>
    <row r="736" spans="1:17">
      <c r="A736" s="105"/>
      <c r="B736" s="2"/>
      <c r="C736" s="254"/>
      <c r="D736" s="254"/>
      <c r="E736" s="254"/>
      <c r="F736" s="255"/>
      <c r="G736" s="215" t="str">
        <f>IF(AND($B736="",OR(B736&lt;&gt;"",C736&lt;&gt;"",D736&lt;&gt;"",E736&lt;&gt;"",F736&lt;&gt;"")),入力リスト!$K$34,IF($I736=TRUE,入力リスト!$K$35,IF(J736=FALSE,"「毎月の固定給与額」","")&amp;IF(AND(J736=FALSE,OR(K736=FALSE,L736=FALSE,M736=FALSE)),",","")&amp;IF(K736=FALSE,"「賞与額等」","")&amp;IF(AND(K736=FALSE,OR(L736=FALSE,M736=FALSE)),",","")&amp;IF(L736=FALSE,"「残業手当」","")&amp;IF(AND(L736=FALSE,M736=FALSE),",","")&amp;IF(M736=FALSE,"「残業時間」","")&amp;IF(OR(J736=FALSE,K736=FALSE,L736=FALSE,M736=FALSE),入力リスト!$K$36,"")&amp;IF(N736,"",入力リスト!$K$37)))</f>
        <v/>
      </c>
      <c r="H736" s="215"/>
      <c r="I736" s="1" t="b">
        <f>IF(B736="",FALSE,COUNTIF('従業員情報(給与以外)'!$A$4:$A$1000000,$B736)=0)</f>
        <v>0</v>
      </c>
      <c r="J736" s="8" t="b">
        <f t="shared" si="55"/>
        <v>1</v>
      </c>
      <c r="K736" s="8" t="b">
        <f t="shared" si="56"/>
        <v>1</v>
      </c>
      <c r="L736" s="8" t="b">
        <f t="shared" si="57"/>
        <v>1</v>
      </c>
      <c r="M736" s="8" t="b">
        <f t="shared" si="58"/>
        <v>1</v>
      </c>
      <c r="N736" s="1" t="b">
        <f t="shared" si="59"/>
        <v>1</v>
      </c>
      <c r="O736" s="8" t="str">
        <f>IF(F736="","",IF($F$2=入力リスト!$H$25,ROUNDDOWN(INT(F736)+ROUNDDOWN((F736-INT(F736))*100,0)/60,2),F736))</f>
        <v/>
      </c>
      <c r="P736" s="7"/>
      <c r="Q736" s="7"/>
    </row>
    <row r="737" spans="1:17">
      <c r="A737" s="105"/>
      <c r="B737" s="2"/>
      <c r="C737" s="254"/>
      <c r="D737" s="254"/>
      <c r="E737" s="254"/>
      <c r="F737" s="255"/>
      <c r="G737" s="215" t="str">
        <f>IF(AND($B737="",OR(B737&lt;&gt;"",C737&lt;&gt;"",D737&lt;&gt;"",E737&lt;&gt;"",F737&lt;&gt;"")),入力リスト!$K$34,IF($I737=TRUE,入力リスト!$K$35,IF(J737=FALSE,"「毎月の固定給与額」","")&amp;IF(AND(J737=FALSE,OR(K737=FALSE,L737=FALSE,M737=FALSE)),",","")&amp;IF(K737=FALSE,"「賞与額等」","")&amp;IF(AND(K737=FALSE,OR(L737=FALSE,M737=FALSE)),",","")&amp;IF(L737=FALSE,"「残業手当」","")&amp;IF(AND(L737=FALSE,M737=FALSE),",","")&amp;IF(M737=FALSE,"「残業時間」","")&amp;IF(OR(J737=FALSE,K737=FALSE,L737=FALSE,M737=FALSE),入力リスト!$K$36,"")&amp;IF(N737,"",入力リスト!$K$37)))</f>
        <v/>
      </c>
      <c r="H737" s="215"/>
      <c r="I737" s="1" t="b">
        <f>IF(B737="",FALSE,COUNTIF('従業員情報(給与以外)'!$A$4:$A$1000000,$B737)=0)</f>
        <v>0</v>
      </c>
      <c r="J737" s="8" t="b">
        <f t="shared" si="55"/>
        <v>1</v>
      </c>
      <c r="K737" s="8" t="b">
        <f t="shared" si="56"/>
        <v>1</v>
      </c>
      <c r="L737" s="8" t="b">
        <f t="shared" si="57"/>
        <v>1</v>
      </c>
      <c r="M737" s="8" t="b">
        <f t="shared" si="58"/>
        <v>1</v>
      </c>
      <c r="N737" s="1" t="b">
        <f t="shared" si="59"/>
        <v>1</v>
      </c>
      <c r="O737" s="8" t="str">
        <f>IF(F737="","",IF($F$2=入力リスト!$H$25,ROUNDDOWN(INT(F737)+ROUNDDOWN((F737-INT(F737))*100,0)/60,2),F737))</f>
        <v/>
      </c>
      <c r="P737" s="7"/>
      <c r="Q737" s="7"/>
    </row>
    <row r="738" spans="1:17">
      <c r="A738" s="105"/>
      <c r="B738" s="2"/>
      <c r="C738" s="254"/>
      <c r="D738" s="254"/>
      <c r="E738" s="254"/>
      <c r="F738" s="255"/>
      <c r="G738" s="215" t="str">
        <f>IF(AND($B738="",OR(B738&lt;&gt;"",C738&lt;&gt;"",D738&lt;&gt;"",E738&lt;&gt;"",F738&lt;&gt;"")),入力リスト!$K$34,IF($I738=TRUE,入力リスト!$K$35,IF(J738=FALSE,"「毎月の固定給与額」","")&amp;IF(AND(J738=FALSE,OR(K738=FALSE,L738=FALSE,M738=FALSE)),",","")&amp;IF(K738=FALSE,"「賞与額等」","")&amp;IF(AND(K738=FALSE,OR(L738=FALSE,M738=FALSE)),",","")&amp;IF(L738=FALSE,"「残業手当」","")&amp;IF(AND(L738=FALSE,M738=FALSE),",","")&amp;IF(M738=FALSE,"「残業時間」","")&amp;IF(OR(J738=FALSE,K738=FALSE,L738=FALSE,M738=FALSE),入力リスト!$K$36,"")&amp;IF(N738,"",入力リスト!$K$37)))</f>
        <v/>
      </c>
      <c r="H738" s="215"/>
      <c r="I738" s="1" t="b">
        <f>IF(B738="",FALSE,COUNTIF('従業員情報(給与以外)'!$A$4:$A$1000000,$B738)=0)</f>
        <v>0</v>
      </c>
      <c r="J738" s="8" t="b">
        <f t="shared" si="55"/>
        <v>1</v>
      </c>
      <c r="K738" s="8" t="b">
        <f t="shared" si="56"/>
        <v>1</v>
      </c>
      <c r="L738" s="8" t="b">
        <f t="shared" si="57"/>
        <v>1</v>
      </c>
      <c r="M738" s="8" t="b">
        <f t="shared" si="58"/>
        <v>1</v>
      </c>
      <c r="N738" s="1" t="b">
        <f t="shared" si="59"/>
        <v>1</v>
      </c>
      <c r="O738" s="8" t="str">
        <f>IF(F738="","",IF($F$2=入力リスト!$H$25,ROUNDDOWN(INT(F738)+ROUNDDOWN((F738-INT(F738))*100,0)/60,2),F738))</f>
        <v/>
      </c>
      <c r="P738" s="7"/>
      <c r="Q738" s="7"/>
    </row>
    <row r="739" spans="1:17">
      <c r="A739" s="105"/>
      <c r="B739" s="2"/>
      <c r="C739" s="254"/>
      <c r="D739" s="254"/>
      <c r="E739" s="254"/>
      <c r="F739" s="255"/>
      <c r="G739" s="215" t="str">
        <f>IF(AND($B739="",OR(B739&lt;&gt;"",C739&lt;&gt;"",D739&lt;&gt;"",E739&lt;&gt;"",F739&lt;&gt;"")),入力リスト!$K$34,IF($I739=TRUE,入力リスト!$K$35,IF(J739=FALSE,"「毎月の固定給与額」","")&amp;IF(AND(J739=FALSE,OR(K739=FALSE,L739=FALSE,M739=FALSE)),",","")&amp;IF(K739=FALSE,"「賞与額等」","")&amp;IF(AND(K739=FALSE,OR(L739=FALSE,M739=FALSE)),",","")&amp;IF(L739=FALSE,"「残業手当」","")&amp;IF(AND(L739=FALSE,M739=FALSE),",","")&amp;IF(M739=FALSE,"「残業時間」","")&amp;IF(OR(J739=FALSE,K739=FALSE,L739=FALSE,M739=FALSE),入力リスト!$K$36,"")&amp;IF(N739,"",入力リスト!$K$37)))</f>
        <v/>
      </c>
      <c r="H739" s="215"/>
      <c r="I739" s="1" t="b">
        <f>IF(B739="",FALSE,COUNTIF('従業員情報(給与以外)'!$A$4:$A$1000000,$B739)=0)</f>
        <v>0</v>
      </c>
      <c r="J739" s="8" t="b">
        <f t="shared" si="55"/>
        <v>1</v>
      </c>
      <c r="K739" s="8" t="b">
        <f t="shared" si="56"/>
        <v>1</v>
      </c>
      <c r="L739" s="8" t="b">
        <f t="shared" si="57"/>
        <v>1</v>
      </c>
      <c r="M739" s="8" t="b">
        <f t="shared" si="58"/>
        <v>1</v>
      </c>
      <c r="N739" s="1" t="b">
        <f t="shared" si="59"/>
        <v>1</v>
      </c>
      <c r="O739" s="8" t="str">
        <f>IF(F739="","",IF($F$2=入力リスト!$H$25,ROUNDDOWN(INT(F739)+ROUNDDOWN((F739-INT(F739))*100,0)/60,2),F739))</f>
        <v/>
      </c>
      <c r="P739" s="7"/>
      <c r="Q739" s="7"/>
    </row>
    <row r="740" spans="1:17">
      <c r="A740" s="105"/>
      <c r="B740" s="2"/>
      <c r="C740" s="254"/>
      <c r="D740" s="254"/>
      <c r="E740" s="254"/>
      <c r="F740" s="255"/>
      <c r="G740" s="215" t="str">
        <f>IF(AND($B740="",OR(B740&lt;&gt;"",C740&lt;&gt;"",D740&lt;&gt;"",E740&lt;&gt;"",F740&lt;&gt;"")),入力リスト!$K$34,IF($I740=TRUE,入力リスト!$K$35,IF(J740=FALSE,"「毎月の固定給与額」","")&amp;IF(AND(J740=FALSE,OR(K740=FALSE,L740=FALSE,M740=FALSE)),",","")&amp;IF(K740=FALSE,"「賞与額等」","")&amp;IF(AND(K740=FALSE,OR(L740=FALSE,M740=FALSE)),",","")&amp;IF(L740=FALSE,"「残業手当」","")&amp;IF(AND(L740=FALSE,M740=FALSE),",","")&amp;IF(M740=FALSE,"「残業時間」","")&amp;IF(OR(J740=FALSE,K740=FALSE,L740=FALSE,M740=FALSE),入力リスト!$K$36,"")&amp;IF(N740,"",入力リスト!$K$37)))</f>
        <v/>
      </c>
      <c r="H740" s="215"/>
      <c r="I740" s="1" t="b">
        <f>IF(B740="",FALSE,COUNTIF('従業員情報(給与以外)'!$A$4:$A$1000000,$B740)=0)</f>
        <v>0</v>
      </c>
      <c r="J740" s="8" t="b">
        <f t="shared" si="55"/>
        <v>1</v>
      </c>
      <c r="K740" s="8" t="b">
        <f t="shared" si="56"/>
        <v>1</v>
      </c>
      <c r="L740" s="8" t="b">
        <f t="shared" si="57"/>
        <v>1</v>
      </c>
      <c r="M740" s="8" t="b">
        <f t="shared" si="58"/>
        <v>1</v>
      </c>
      <c r="N740" s="1" t="b">
        <f t="shared" si="59"/>
        <v>1</v>
      </c>
      <c r="O740" s="8" t="str">
        <f>IF(F740="","",IF($F$2=入力リスト!$H$25,ROUNDDOWN(INT(F740)+ROUNDDOWN((F740-INT(F740))*100,0)/60,2),F740))</f>
        <v/>
      </c>
      <c r="P740" s="7"/>
      <c r="Q740" s="7"/>
    </row>
    <row r="741" spans="1:17">
      <c r="A741" s="105"/>
      <c r="B741" s="2"/>
      <c r="C741" s="254"/>
      <c r="D741" s="254"/>
      <c r="E741" s="254"/>
      <c r="F741" s="255"/>
      <c r="G741" s="215" t="str">
        <f>IF(AND($B741="",OR(B741&lt;&gt;"",C741&lt;&gt;"",D741&lt;&gt;"",E741&lt;&gt;"",F741&lt;&gt;"")),入力リスト!$K$34,IF($I741=TRUE,入力リスト!$K$35,IF(J741=FALSE,"「毎月の固定給与額」","")&amp;IF(AND(J741=FALSE,OR(K741=FALSE,L741=FALSE,M741=FALSE)),",","")&amp;IF(K741=FALSE,"「賞与額等」","")&amp;IF(AND(K741=FALSE,OR(L741=FALSE,M741=FALSE)),",","")&amp;IF(L741=FALSE,"「残業手当」","")&amp;IF(AND(L741=FALSE,M741=FALSE),",","")&amp;IF(M741=FALSE,"「残業時間」","")&amp;IF(OR(J741=FALSE,K741=FALSE,L741=FALSE,M741=FALSE),入力リスト!$K$36,"")&amp;IF(N741,"",入力リスト!$K$37)))</f>
        <v/>
      </c>
      <c r="H741" s="215"/>
      <c r="I741" s="1" t="b">
        <f>IF(B741="",FALSE,COUNTIF('従業員情報(給与以外)'!$A$4:$A$1000000,$B741)=0)</f>
        <v>0</v>
      </c>
      <c r="J741" s="8" t="b">
        <f t="shared" si="55"/>
        <v>1</v>
      </c>
      <c r="K741" s="8" t="b">
        <f t="shared" si="56"/>
        <v>1</v>
      </c>
      <c r="L741" s="8" t="b">
        <f t="shared" si="57"/>
        <v>1</v>
      </c>
      <c r="M741" s="8" t="b">
        <f t="shared" si="58"/>
        <v>1</v>
      </c>
      <c r="N741" s="1" t="b">
        <f t="shared" si="59"/>
        <v>1</v>
      </c>
      <c r="O741" s="8" t="str">
        <f>IF(F741="","",IF($F$2=入力リスト!$H$25,ROUNDDOWN(INT(F741)+ROUNDDOWN((F741-INT(F741))*100,0)/60,2),F741))</f>
        <v/>
      </c>
      <c r="P741" s="7"/>
      <c r="Q741" s="7"/>
    </row>
    <row r="742" spans="1:17">
      <c r="A742" s="105"/>
      <c r="B742" s="2"/>
      <c r="C742" s="254"/>
      <c r="D742" s="254"/>
      <c r="E742" s="254"/>
      <c r="F742" s="255"/>
      <c r="G742" s="215" t="str">
        <f>IF(AND($B742="",OR(B742&lt;&gt;"",C742&lt;&gt;"",D742&lt;&gt;"",E742&lt;&gt;"",F742&lt;&gt;"")),入力リスト!$K$34,IF($I742=TRUE,入力リスト!$K$35,IF(J742=FALSE,"「毎月の固定給与額」","")&amp;IF(AND(J742=FALSE,OR(K742=FALSE,L742=FALSE,M742=FALSE)),",","")&amp;IF(K742=FALSE,"「賞与額等」","")&amp;IF(AND(K742=FALSE,OR(L742=FALSE,M742=FALSE)),",","")&amp;IF(L742=FALSE,"「残業手当」","")&amp;IF(AND(L742=FALSE,M742=FALSE),",","")&amp;IF(M742=FALSE,"「残業時間」","")&amp;IF(OR(J742=FALSE,K742=FALSE,L742=FALSE,M742=FALSE),入力リスト!$K$36,"")&amp;IF(N742,"",入力リスト!$K$37)))</f>
        <v/>
      </c>
      <c r="H742" s="215"/>
      <c r="I742" s="1" t="b">
        <f>IF(B742="",FALSE,COUNTIF('従業員情報(給与以外)'!$A$4:$A$1000000,$B742)=0)</f>
        <v>0</v>
      </c>
      <c r="J742" s="8" t="b">
        <f t="shared" si="55"/>
        <v>1</v>
      </c>
      <c r="K742" s="8" t="b">
        <f t="shared" si="56"/>
        <v>1</v>
      </c>
      <c r="L742" s="8" t="b">
        <f t="shared" si="57"/>
        <v>1</v>
      </c>
      <c r="M742" s="8" t="b">
        <f t="shared" si="58"/>
        <v>1</v>
      </c>
      <c r="N742" s="1" t="b">
        <f t="shared" si="59"/>
        <v>1</v>
      </c>
      <c r="O742" s="8" t="str">
        <f>IF(F742="","",IF($F$2=入力リスト!$H$25,ROUNDDOWN(INT(F742)+ROUNDDOWN((F742-INT(F742))*100,0)/60,2),F742))</f>
        <v/>
      </c>
      <c r="P742" s="7"/>
      <c r="Q742" s="7"/>
    </row>
    <row r="743" spans="1:17">
      <c r="A743" s="105"/>
      <c r="B743" s="2"/>
      <c r="C743" s="254"/>
      <c r="D743" s="254"/>
      <c r="E743" s="254"/>
      <c r="F743" s="255"/>
      <c r="G743" s="215" t="str">
        <f>IF(AND($B743="",OR(B743&lt;&gt;"",C743&lt;&gt;"",D743&lt;&gt;"",E743&lt;&gt;"",F743&lt;&gt;"")),入力リスト!$K$34,IF($I743=TRUE,入力リスト!$K$35,IF(J743=FALSE,"「毎月の固定給与額」","")&amp;IF(AND(J743=FALSE,OR(K743=FALSE,L743=FALSE,M743=FALSE)),",","")&amp;IF(K743=FALSE,"「賞与額等」","")&amp;IF(AND(K743=FALSE,OR(L743=FALSE,M743=FALSE)),",","")&amp;IF(L743=FALSE,"「残業手当」","")&amp;IF(AND(L743=FALSE,M743=FALSE),",","")&amp;IF(M743=FALSE,"「残業時間」","")&amp;IF(OR(J743=FALSE,K743=FALSE,L743=FALSE,M743=FALSE),入力リスト!$K$36,"")&amp;IF(N743,"",入力リスト!$K$37)))</f>
        <v/>
      </c>
      <c r="H743" s="215"/>
      <c r="I743" s="1" t="b">
        <f>IF(B743="",FALSE,COUNTIF('従業員情報(給与以外)'!$A$4:$A$1000000,$B743)=0)</f>
        <v>0</v>
      </c>
      <c r="J743" s="8" t="b">
        <f t="shared" si="55"/>
        <v>1</v>
      </c>
      <c r="K743" s="8" t="b">
        <f t="shared" si="56"/>
        <v>1</v>
      </c>
      <c r="L743" s="8" t="b">
        <f t="shared" si="57"/>
        <v>1</v>
      </c>
      <c r="M743" s="8" t="b">
        <f t="shared" si="58"/>
        <v>1</v>
      </c>
      <c r="N743" s="1" t="b">
        <f t="shared" si="59"/>
        <v>1</v>
      </c>
      <c r="O743" s="8" t="str">
        <f>IF(F743="","",IF($F$2=入力リスト!$H$25,ROUNDDOWN(INT(F743)+ROUNDDOWN((F743-INT(F743))*100,0)/60,2),F743))</f>
        <v/>
      </c>
      <c r="P743" s="7"/>
      <c r="Q743" s="7"/>
    </row>
    <row r="744" spans="1:17">
      <c r="A744" s="105"/>
      <c r="B744" s="2"/>
      <c r="C744" s="254"/>
      <c r="D744" s="254"/>
      <c r="E744" s="254"/>
      <c r="F744" s="255"/>
      <c r="G744" s="215" t="str">
        <f>IF(AND($B744="",OR(B744&lt;&gt;"",C744&lt;&gt;"",D744&lt;&gt;"",E744&lt;&gt;"",F744&lt;&gt;"")),入力リスト!$K$34,IF($I744=TRUE,入力リスト!$K$35,IF(J744=FALSE,"「毎月の固定給与額」","")&amp;IF(AND(J744=FALSE,OR(K744=FALSE,L744=FALSE,M744=FALSE)),",","")&amp;IF(K744=FALSE,"「賞与額等」","")&amp;IF(AND(K744=FALSE,OR(L744=FALSE,M744=FALSE)),",","")&amp;IF(L744=FALSE,"「残業手当」","")&amp;IF(AND(L744=FALSE,M744=FALSE),",","")&amp;IF(M744=FALSE,"「残業時間」","")&amp;IF(OR(J744=FALSE,K744=FALSE,L744=FALSE,M744=FALSE),入力リスト!$K$36,"")&amp;IF(N744,"",入力リスト!$K$37)))</f>
        <v/>
      </c>
      <c r="H744" s="215"/>
      <c r="I744" s="1" t="b">
        <f>IF(B744="",FALSE,COUNTIF('従業員情報(給与以外)'!$A$4:$A$1000000,$B744)=0)</f>
        <v>0</v>
      </c>
      <c r="J744" s="8" t="b">
        <f t="shared" si="55"/>
        <v>1</v>
      </c>
      <c r="K744" s="8" t="b">
        <f t="shared" si="56"/>
        <v>1</v>
      </c>
      <c r="L744" s="8" t="b">
        <f t="shared" si="57"/>
        <v>1</v>
      </c>
      <c r="M744" s="8" t="b">
        <f t="shared" si="58"/>
        <v>1</v>
      </c>
      <c r="N744" s="1" t="b">
        <f t="shared" si="59"/>
        <v>1</v>
      </c>
      <c r="O744" s="8" t="str">
        <f>IF(F744="","",IF($F$2=入力リスト!$H$25,ROUNDDOWN(INT(F744)+ROUNDDOWN((F744-INT(F744))*100,0)/60,2),F744))</f>
        <v/>
      </c>
      <c r="P744" s="7"/>
      <c r="Q744" s="7"/>
    </row>
    <row r="745" spans="1:17">
      <c r="A745" s="105"/>
      <c r="B745" s="2"/>
      <c r="C745" s="254"/>
      <c r="D745" s="254"/>
      <c r="E745" s="254"/>
      <c r="F745" s="255"/>
      <c r="G745" s="215" t="str">
        <f>IF(AND($B745="",OR(B745&lt;&gt;"",C745&lt;&gt;"",D745&lt;&gt;"",E745&lt;&gt;"",F745&lt;&gt;"")),入力リスト!$K$34,IF($I745=TRUE,入力リスト!$K$35,IF(J745=FALSE,"「毎月の固定給与額」","")&amp;IF(AND(J745=FALSE,OR(K745=FALSE,L745=FALSE,M745=FALSE)),",","")&amp;IF(K745=FALSE,"「賞与額等」","")&amp;IF(AND(K745=FALSE,OR(L745=FALSE,M745=FALSE)),",","")&amp;IF(L745=FALSE,"「残業手当」","")&amp;IF(AND(L745=FALSE,M745=FALSE),",","")&amp;IF(M745=FALSE,"「残業時間」","")&amp;IF(OR(J745=FALSE,K745=FALSE,L745=FALSE,M745=FALSE),入力リスト!$K$36,"")&amp;IF(N745,"",入力リスト!$K$37)))</f>
        <v/>
      </c>
      <c r="H745" s="215"/>
      <c r="I745" s="1" t="b">
        <f>IF(B745="",FALSE,COUNTIF('従業員情報(給与以外)'!$A$4:$A$1000000,$B745)=0)</f>
        <v>0</v>
      </c>
      <c r="J745" s="8" t="b">
        <f t="shared" si="55"/>
        <v>1</v>
      </c>
      <c r="K745" s="8" t="b">
        <f t="shared" si="56"/>
        <v>1</v>
      </c>
      <c r="L745" s="8" t="b">
        <f t="shared" si="57"/>
        <v>1</v>
      </c>
      <c r="M745" s="8" t="b">
        <f t="shared" si="58"/>
        <v>1</v>
      </c>
      <c r="N745" s="1" t="b">
        <f t="shared" si="59"/>
        <v>1</v>
      </c>
      <c r="O745" s="8" t="str">
        <f>IF(F745="","",IF($F$2=入力リスト!$H$25,ROUNDDOWN(INT(F745)+ROUNDDOWN((F745-INT(F745))*100,0)/60,2),F745))</f>
        <v/>
      </c>
      <c r="P745" s="7"/>
      <c r="Q745" s="7"/>
    </row>
    <row r="746" spans="1:17">
      <c r="A746" s="105"/>
      <c r="B746" s="2"/>
      <c r="C746" s="254"/>
      <c r="D746" s="254"/>
      <c r="E746" s="254"/>
      <c r="F746" s="255"/>
      <c r="G746" s="215" t="str">
        <f>IF(AND($B746="",OR(B746&lt;&gt;"",C746&lt;&gt;"",D746&lt;&gt;"",E746&lt;&gt;"",F746&lt;&gt;"")),入力リスト!$K$34,IF($I746=TRUE,入力リスト!$K$35,IF(J746=FALSE,"「毎月の固定給与額」","")&amp;IF(AND(J746=FALSE,OR(K746=FALSE,L746=FALSE,M746=FALSE)),",","")&amp;IF(K746=FALSE,"「賞与額等」","")&amp;IF(AND(K746=FALSE,OR(L746=FALSE,M746=FALSE)),",","")&amp;IF(L746=FALSE,"「残業手当」","")&amp;IF(AND(L746=FALSE,M746=FALSE),",","")&amp;IF(M746=FALSE,"「残業時間」","")&amp;IF(OR(J746=FALSE,K746=FALSE,L746=FALSE,M746=FALSE),入力リスト!$K$36,"")&amp;IF(N746,"",入力リスト!$K$37)))</f>
        <v/>
      </c>
      <c r="H746" s="215"/>
      <c r="I746" s="1" t="b">
        <f>IF(B746="",FALSE,COUNTIF('従業員情報(給与以外)'!$A$4:$A$1000000,$B746)=0)</f>
        <v>0</v>
      </c>
      <c r="J746" s="8" t="b">
        <f t="shared" si="55"/>
        <v>1</v>
      </c>
      <c r="K746" s="8" t="b">
        <f t="shared" si="56"/>
        <v>1</v>
      </c>
      <c r="L746" s="8" t="b">
        <f t="shared" si="57"/>
        <v>1</v>
      </c>
      <c r="M746" s="8" t="b">
        <f t="shared" si="58"/>
        <v>1</v>
      </c>
      <c r="N746" s="1" t="b">
        <f t="shared" si="59"/>
        <v>1</v>
      </c>
      <c r="O746" s="8" t="str">
        <f>IF(F746="","",IF($F$2=入力リスト!$H$25,ROUNDDOWN(INT(F746)+ROUNDDOWN((F746-INT(F746))*100,0)/60,2),F746))</f>
        <v/>
      </c>
      <c r="P746" s="7"/>
      <c r="Q746" s="7"/>
    </row>
    <row r="747" spans="1:17">
      <c r="A747" s="105"/>
      <c r="B747" s="2"/>
      <c r="C747" s="254"/>
      <c r="D747" s="254"/>
      <c r="E747" s="254"/>
      <c r="F747" s="255"/>
      <c r="G747" s="215" t="str">
        <f>IF(AND($B747="",OR(B747&lt;&gt;"",C747&lt;&gt;"",D747&lt;&gt;"",E747&lt;&gt;"",F747&lt;&gt;"")),入力リスト!$K$34,IF($I747=TRUE,入力リスト!$K$35,IF(J747=FALSE,"「毎月の固定給与額」","")&amp;IF(AND(J747=FALSE,OR(K747=FALSE,L747=FALSE,M747=FALSE)),",","")&amp;IF(K747=FALSE,"「賞与額等」","")&amp;IF(AND(K747=FALSE,OR(L747=FALSE,M747=FALSE)),",","")&amp;IF(L747=FALSE,"「残業手当」","")&amp;IF(AND(L747=FALSE,M747=FALSE),",","")&amp;IF(M747=FALSE,"「残業時間」","")&amp;IF(OR(J747=FALSE,K747=FALSE,L747=FALSE,M747=FALSE),入力リスト!$K$36,"")&amp;IF(N747,"",入力リスト!$K$37)))</f>
        <v/>
      </c>
      <c r="H747" s="215"/>
      <c r="I747" s="1" t="b">
        <f>IF(B747="",FALSE,COUNTIF('従業員情報(給与以外)'!$A$4:$A$1000000,$B747)=0)</f>
        <v>0</v>
      </c>
      <c r="J747" s="8" t="b">
        <f t="shared" si="55"/>
        <v>1</v>
      </c>
      <c r="K747" s="8" t="b">
        <f t="shared" si="56"/>
        <v>1</v>
      </c>
      <c r="L747" s="8" t="b">
        <f t="shared" si="57"/>
        <v>1</v>
      </c>
      <c r="M747" s="8" t="b">
        <f t="shared" si="58"/>
        <v>1</v>
      </c>
      <c r="N747" s="1" t="b">
        <f t="shared" si="59"/>
        <v>1</v>
      </c>
      <c r="O747" s="8" t="str">
        <f>IF(F747="","",IF($F$2=入力リスト!$H$25,ROUNDDOWN(INT(F747)+ROUNDDOWN((F747-INT(F747))*100,0)/60,2),F747))</f>
        <v/>
      </c>
      <c r="P747" s="7"/>
      <c r="Q747" s="7"/>
    </row>
    <row r="748" spans="1:17">
      <c r="A748" s="105"/>
      <c r="B748" s="2"/>
      <c r="C748" s="254"/>
      <c r="D748" s="254"/>
      <c r="E748" s="254"/>
      <c r="F748" s="255"/>
      <c r="G748" s="215" t="str">
        <f>IF(AND($B748="",OR(B748&lt;&gt;"",C748&lt;&gt;"",D748&lt;&gt;"",E748&lt;&gt;"",F748&lt;&gt;"")),入力リスト!$K$34,IF($I748=TRUE,入力リスト!$K$35,IF(J748=FALSE,"「毎月の固定給与額」","")&amp;IF(AND(J748=FALSE,OR(K748=FALSE,L748=FALSE,M748=FALSE)),",","")&amp;IF(K748=FALSE,"「賞与額等」","")&amp;IF(AND(K748=FALSE,OR(L748=FALSE,M748=FALSE)),",","")&amp;IF(L748=FALSE,"「残業手当」","")&amp;IF(AND(L748=FALSE,M748=FALSE),",","")&amp;IF(M748=FALSE,"「残業時間」","")&amp;IF(OR(J748=FALSE,K748=FALSE,L748=FALSE,M748=FALSE),入力リスト!$K$36,"")&amp;IF(N748,"",入力リスト!$K$37)))</f>
        <v/>
      </c>
      <c r="H748" s="215"/>
      <c r="I748" s="1" t="b">
        <f>IF(B748="",FALSE,COUNTIF('従業員情報(給与以外)'!$A$4:$A$1000000,$B748)=0)</f>
        <v>0</v>
      </c>
      <c r="J748" s="8" t="b">
        <f t="shared" si="55"/>
        <v>1</v>
      </c>
      <c r="K748" s="8" t="b">
        <f t="shared" si="56"/>
        <v>1</v>
      </c>
      <c r="L748" s="8" t="b">
        <f t="shared" si="57"/>
        <v>1</v>
      </c>
      <c r="M748" s="8" t="b">
        <f t="shared" si="58"/>
        <v>1</v>
      </c>
      <c r="N748" s="1" t="b">
        <f t="shared" si="59"/>
        <v>1</v>
      </c>
      <c r="O748" s="8" t="str">
        <f>IF(F748="","",IF($F$2=入力リスト!$H$25,ROUNDDOWN(INT(F748)+ROUNDDOWN((F748-INT(F748))*100,0)/60,2),F748))</f>
        <v/>
      </c>
      <c r="P748" s="7"/>
      <c r="Q748" s="7"/>
    </row>
    <row r="749" spans="1:17">
      <c r="A749" s="105"/>
      <c r="B749" s="2"/>
      <c r="C749" s="254"/>
      <c r="D749" s="254"/>
      <c r="E749" s="254"/>
      <c r="F749" s="255"/>
      <c r="G749" s="215" t="str">
        <f>IF(AND($B749="",OR(B749&lt;&gt;"",C749&lt;&gt;"",D749&lt;&gt;"",E749&lt;&gt;"",F749&lt;&gt;"")),入力リスト!$K$34,IF($I749=TRUE,入力リスト!$K$35,IF(J749=FALSE,"「毎月の固定給与額」","")&amp;IF(AND(J749=FALSE,OR(K749=FALSE,L749=FALSE,M749=FALSE)),",","")&amp;IF(K749=FALSE,"「賞与額等」","")&amp;IF(AND(K749=FALSE,OR(L749=FALSE,M749=FALSE)),",","")&amp;IF(L749=FALSE,"「残業手当」","")&amp;IF(AND(L749=FALSE,M749=FALSE),",","")&amp;IF(M749=FALSE,"「残業時間」","")&amp;IF(OR(J749=FALSE,K749=FALSE,L749=FALSE,M749=FALSE),入力リスト!$K$36,"")&amp;IF(N749,"",入力リスト!$K$37)))</f>
        <v/>
      </c>
      <c r="H749" s="215"/>
      <c r="I749" s="1" t="b">
        <f>IF(B749="",FALSE,COUNTIF('従業員情報(給与以外)'!$A$4:$A$1000000,$B749)=0)</f>
        <v>0</v>
      </c>
      <c r="J749" s="8" t="b">
        <f t="shared" si="55"/>
        <v>1</v>
      </c>
      <c r="K749" s="8" t="b">
        <f t="shared" si="56"/>
        <v>1</v>
      </c>
      <c r="L749" s="8" t="b">
        <f t="shared" si="57"/>
        <v>1</v>
      </c>
      <c r="M749" s="8" t="b">
        <f t="shared" si="58"/>
        <v>1</v>
      </c>
      <c r="N749" s="1" t="b">
        <f t="shared" si="59"/>
        <v>1</v>
      </c>
      <c r="O749" s="8" t="str">
        <f>IF(F749="","",IF($F$2=入力リスト!$H$25,ROUNDDOWN(INT(F749)+ROUNDDOWN((F749-INT(F749))*100,0)/60,2),F749))</f>
        <v/>
      </c>
      <c r="P749" s="7"/>
      <c r="Q749" s="7"/>
    </row>
    <row r="750" spans="1:17">
      <c r="A750" s="105"/>
      <c r="B750" s="2"/>
      <c r="C750" s="254"/>
      <c r="D750" s="254"/>
      <c r="E750" s="254"/>
      <c r="F750" s="255"/>
      <c r="G750" s="215" t="str">
        <f>IF(AND($B750="",OR(B750&lt;&gt;"",C750&lt;&gt;"",D750&lt;&gt;"",E750&lt;&gt;"",F750&lt;&gt;"")),入力リスト!$K$34,IF($I750=TRUE,入力リスト!$K$35,IF(J750=FALSE,"「毎月の固定給与額」","")&amp;IF(AND(J750=FALSE,OR(K750=FALSE,L750=FALSE,M750=FALSE)),",","")&amp;IF(K750=FALSE,"「賞与額等」","")&amp;IF(AND(K750=FALSE,OR(L750=FALSE,M750=FALSE)),",","")&amp;IF(L750=FALSE,"「残業手当」","")&amp;IF(AND(L750=FALSE,M750=FALSE),",","")&amp;IF(M750=FALSE,"「残業時間」","")&amp;IF(OR(J750=FALSE,K750=FALSE,L750=FALSE,M750=FALSE),入力リスト!$K$36,"")&amp;IF(N750,"",入力リスト!$K$37)))</f>
        <v/>
      </c>
      <c r="H750" s="215"/>
      <c r="I750" s="1" t="b">
        <f>IF(B750="",FALSE,COUNTIF('従業員情報(給与以外)'!$A$4:$A$1000000,$B750)=0)</f>
        <v>0</v>
      </c>
      <c r="J750" s="8" t="b">
        <f t="shared" si="55"/>
        <v>1</v>
      </c>
      <c r="K750" s="8" t="b">
        <f t="shared" si="56"/>
        <v>1</v>
      </c>
      <c r="L750" s="8" t="b">
        <f t="shared" si="57"/>
        <v>1</v>
      </c>
      <c r="M750" s="8" t="b">
        <f t="shared" si="58"/>
        <v>1</v>
      </c>
      <c r="N750" s="1" t="b">
        <f t="shared" si="59"/>
        <v>1</v>
      </c>
      <c r="O750" s="8" t="str">
        <f>IF(F750="","",IF($F$2=入力リスト!$H$25,ROUNDDOWN(INT(F750)+ROUNDDOWN((F750-INT(F750))*100,0)/60,2),F750))</f>
        <v/>
      </c>
      <c r="P750" s="7"/>
      <c r="Q750" s="7"/>
    </row>
    <row r="751" spans="1:17">
      <c r="A751" s="105"/>
      <c r="B751" s="2"/>
      <c r="C751" s="254"/>
      <c r="D751" s="254"/>
      <c r="E751" s="254"/>
      <c r="F751" s="255"/>
      <c r="G751" s="215" t="str">
        <f>IF(AND($B751="",OR(B751&lt;&gt;"",C751&lt;&gt;"",D751&lt;&gt;"",E751&lt;&gt;"",F751&lt;&gt;"")),入力リスト!$K$34,IF($I751=TRUE,入力リスト!$K$35,IF(J751=FALSE,"「毎月の固定給与額」","")&amp;IF(AND(J751=FALSE,OR(K751=FALSE,L751=FALSE,M751=FALSE)),",","")&amp;IF(K751=FALSE,"「賞与額等」","")&amp;IF(AND(K751=FALSE,OR(L751=FALSE,M751=FALSE)),",","")&amp;IF(L751=FALSE,"「残業手当」","")&amp;IF(AND(L751=FALSE,M751=FALSE),",","")&amp;IF(M751=FALSE,"「残業時間」","")&amp;IF(OR(J751=FALSE,K751=FALSE,L751=FALSE,M751=FALSE),入力リスト!$K$36,"")&amp;IF(N751,"",入力リスト!$K$37)))</f>
        <v/>
      </c>
      <c r="H751" s="215"/>
      <c r="I751" s="1" t="b">
        <f>IF(B751="",FALSE,COUNTIF('従業員情報(給与以外)'!$A$4:$A$1000000,$B751)=0)</f>
        <v>0</v>
      </c>
      <c r="J751" s="8" t="b">
        <f t="shared" si="55"/>
        <v>1</v>
      </c>
      <c r="K751" s="8" t="b">
        <f t="shared" si="56"/>
        <v>1</v>
      </c>
      <c r="L751" s="8" t="b">
        <f t="shared" si="57"/>
        <v>1</v>
      </c>
      <c r="M751" s="8" t="b">
        <f t="shared" si="58"/>
        <v>1</v>
      </c>
      <c r="N751" s="1" t="b">
        <f t="shared" si="59"/>
        <v>1</v>
      </c>
      <c r="O751" s="8" t="str">
        <f>IF(F751="","",IF($F$2=入力リスト!$H$25,ROUNDDOWN(INT(F751)+ROUNDDOWN((F751-INT(F751))*100,0)/60,2),F751))</f>
        <v/>
      </c>
      <c r="P751" s="7"/>
      <c r="Q751" s="7"/>
    </row>
    <row r="752" spans="1:17">
      <c r="A752" s="105"/>
      <c r="B752" s="2"/>
      <c r="C752" s="254"/>
      <c r="D752" s="254"/>
      <c r="E752" s="254"/>
      <c r="F752" s="255"/>
      <c r="G752" s="215" t="str">
        <f>IF(AND($B752="",OR(B752&lt;&gt;"",C752&lt;&gt;"",D752&lt;&gt;"",E752&lt;&gt;"",F752&lt;&gt;"")),入力リスト!$K$34,IF($I752=TRUE,入力リスト!$K$35,IF(J752=FALSE,"「毎月の固定給与額」","")&amp;IF(AND(J752=FALSE,OR(K752=FALSE,L752=FALSE,M752=FALSE)),",","")&amp;IF(K752=FALSE,"「賞与額等」","")&amp;IF(AND(K752=FALSE,OR(L752=FALSE,M752=FALSE)),",","")&amp;IF(L752=FALSE,"「残業手当」","")&amp;IF(AND(L752=FALSE,M752=FALSE),",","")&amp;IF(M752=FALSE,"「残業時間」","")&amp;IF(OR(J752=FALSE,K752=FALSE,L752=FALSE,M752=FALSE),入力リスト!$K$36,"")&amp;IF(N752,"",入力リスト!$K$37)))</f>
        <v/>
      </c>
      <c r="H752" s="215"/>
      <c r="I752" s="1" t="b">
        <f>IF(B752="",FALSE,COUNTIF('従業員情報(給与以外)'!$A$4:$A$1000000,$B752)=0)</f>
        <v>0</v>
      </c>
      <c r="J752" s="8" t="b">
        <f t="shared" si="55"/>
        <v>1</v>
      </c>
      <c r="K752" s="8" t="b">
        <f t="shared" si="56"/>
        <v>1</v>
      </c>
      <c r="L752" s="8" t="b">
        <f t="shared" si="57"/>
        <v>1</v>
      </c>
      <c r="M752" s="8" t="b">
        <f t="shared" si="58"/>
        <v>1</v>
      </c>
      <c r="N752" s="1" t="b">
        <f t="shared" si="59"/>
        <v>1</v>
      </c>
      <c r="O752" s="8" t="str">
        <f>IF(F752="","",IF($F$2=入力リスト!$H$25,ROUNDDOWN(INT(F752)+ROUNDDOWN((F752-INT(F752))*100,0)/60,2),F752))</f>
        <v/>
      </c>
      <c r="P752" s="7"/>
      <c r="Q752" s="7"/>
    </row>
    <row r="753" spans="1:17">
      <c r="A753" s="105"/>
      <c r="B753" s="2"/>
      <c r="C753" s="254"/>
      <c r="D753" s="254"/>
      <c r="E753" s="254"/>
      <c r="F753" s="255"/>
      <c r="G753" s="215" t="str">
        <f>IF(AND($B753="",OR(B753&lt;&gt;"",C753&lt;&gt;"",D753&lt;&gt;"",E753&lt;&gt;"",F753&lt;&gt;"")),入力リスト!$K$34,IF($I753=TRUE,入力リスト!$K$35,IF(J753=FALSE,"「毎月の固定給与額」","")&amp;IF(AND(J753=FALSE,OR(K753=FALSE,L753=FALSE,M753=FALSE)),",","")&amp;IF(K753=FALSE,"「賞与額等」","")&amp;IF(AND(K753=FALSE,OR(L753=FALSE,M753=FALSE)),",","")&amp;IF(L753=FALSE,"「残業手当」","")&amp;IF(AND(L753=FALSE,M753=FALSE),",","")&amp;IF(M753=FALSE,"「残業時間」","")&amp;IF(OR(J753=FALSE,K753=FALSE,L753=FALSE,M753=FALSE),入力リスト!$K$36,"")&amp;IF(N753,"",入力リスト!$K$37)))</f>
        <v/>
      </c>
      <c r="H753" s="215"/>
      <c r="I753" s="1" t="b">
        <f>IF(B753="",FALSE,COUNTIF('従業員情報(給与以外)'!$A$4:$A$1000000,$B753)=0)</f>
        <v>0</v>
      </c>
      <c r="J753" s="8" t="b">
        <f t="shared" si="55"/>
        <v>1</v>
      </c>
      <c r="K753" s="8" t="b">
        <f t="shared" si="56"/>
        <v>1</v>
      </c>
      <c r="L753" s="8" t="b">
        <f t="shared" si="57"/>
        <v>1</v>
      </c>
      <c r="M753" s="8" t="b">
        <f t="shared" si="58"/>
        <v>1</v>
      </c>
      <c r="N753" s="1" t="b">
        <f t="shared" si="59"/>
        <v>1</v>
      </c>
      <c r="O753" s="8" t="str">
        <f>IF(F753="","",IF($F$2=入力リスト!$H$25,ROUNDDOWN(INT(F753)+ROUNDDOWN((F753-INT(F753))*100,0)/60,2),F753))</f>
        <v/>
      </c>
      <c r="P753" s="7"/>
      <c r="Q753" s="7"/>
    </row>
    <row r="754" spans="1:17">
      <c r="A754" s="105"/>
      <c r="B754" s="2"/>
      <c r="C754" s="254"/>
      <c r="D754" s="254"/>
      <c r="E754" s="254"/>
      <c r="F754" s="255"/>
      <c r="G754" s="215" t="str">
        <f>IF(AND($B754="",OR(B754&lt;&gt;"",C754&lt;&gt;"",D754&lt;&gt;"",E754&lt;&gt;"",F754&lt;&gt;"")),入力リスト!$K$34,IF($I754=TRUE,入力リスト!$K$35,IF(J754=FALSE,"「毎月の固定給与額」","")&amp;IF(AND(J754=FALSE,OR(K754=FALSE,L754=FALSE,M754=FALSE)),",","")&amp;IF(K754=FALSE,"「賞与額等」","")&amp;IF(AND(K754=FALSE,OR(L754=FALSE,M754=FALSE)),",","")&amp;IF(L754=FALSE,"「残業手当」","")&amp;IF(AND(L754=FALSE,M754=FALSE),",","")&amp;IF(M754=FALSE,"「残業時間」","")&amp;IF(OR(J754=FALSE,K754=FALSE,L754=FALSE,M754=FALSE),入力リスト!$K$36,"")&amp;IF(N754,"",入力リスト!$K$37)))</f>
        <v/>
      </c>
      <c r="H754" s="215"/>
      <c r="I754" s="1" t="b">
        <f>IF(B754="",FALSE,COUNTIF('従業員情報(給与以外)'!$A$4:$A$1000000,$B754)=0)</f>
        <v>0</v>
      </c>
      <c r="J754" s="8" t="b">
        <f t="shared" si="55"/>
        <v>1</v>
      </c>
      <c r="K754" s="8" t="b">
        <f t="shared" si="56"/>
        <v>1</v>
      </c>
      <c r="L754" s="8" t="b">
        <f t="shared" si="57"/>
        <v>1</v>
      </c>
      <c r="M754" s="8" t="b">
        <f t="shared" si="58"/>
        <v>1</v>
      </c>
      <c r="N754" s="1" t="b">
        <f t="shared" si="59"/>
        <v>1</v>
      </c>
      <c r="O754" s="8" t="str">
        <f>IF(F754="","",IF($F$2=入力リスト!$H$25,ROUNDDOWN(INT(F754)+ROUNDDOWN((F754-INT(F754))*100,0)/60,2),F754))</f>
        <v/>
      </c>
      <c r="P754" s="7"/>
      <c r="Q754" s="7"/>
    </row>
    <row r="755" spans="1:17">
      <c r="A755" s="105"/>
      <c r="B755" s="2"/>
      <c r="C755" s="254"/>
      <c r="D755" s="254"/>
      <c r="E755" s="254"/>
      <c r="F755" s="255"/>
      <c r="G755" s="215" t="str">
        <f>IF(AND($B755="",OR(B755&lt;&gt;"",C755&lt;&gt;"",D755&lt;&gt;"",E755&lt;&gt;"",F755&lt;&gt;"")),入力リスト!$K$34,IF($I755=TRUE,入力リスト!$K$35,IF(J755=FALSE,"「毎月の固定給与額」","")&amp;IF(AND(J755=FALSE,OR(K755=FALSE,L755=FALSE,M755=FALSE)),",","")&amp;IF(K755=FALSE,"「賞与額等」","")&amp;IF(AND(K755=FALSE,OR(L755=FALSE,M755=FALSE)),",","")&amp;IF(L755=FALSE,"「残業手当」","")&amp;IF(AND(L755=FALSE,M755=FALSE),",","")&amp;IF(M755=FALSE,"「残業時間」","")&amp;IF(OR(J755=FALSE,K755=FALSE,L755=FALSE,M755=FALSE),入力リスト!$K$36,"")&amp;IF(N755,"",入力リスト!$K$37)))</f>
        <v/>
      </c>
      <c r="H755" s="215"/>
      <c r="I755" s="1" t="b">
        <f>IF(B755="",FALSE,COUNTIF('従業員情報(給与以外)'!$A$4:$A$1000000,$B755)=0)</f>
        <v>0</v>
      </c>
      <c r="J755" s="8" t="b">
        <f t="shared" si="55"/>
        <v>1</v>
      </c>
      <c r="K755" s="8" t="b">
        <f t="shared" si="56"/>
        <v>1</v>
      </c>
      <c r="L755" s="8" t="b">
        <f t="shared" si="57"/>
        <v>1</v>
      </c>
      <c r="M755" s="8" t="b">
        <f t="shared" si="58"/>
        <v>1</v>
      </c>
      <c r="N755" s="1" t="b">
        <f t="shared" si="59"/>
        <v>1</v>
      </c>
      <c r="O755" s="8" t="str">
        <f>IF(F755="","",IF($F$2=入力リスト!$H$25,ROUNDDOWN(INT(F755)+ROUNDDOWN((F755-INT(F755))*100,0)/60,2),F755))</f>
        <v/>
      </c>
      <c r="P755" s="7"/>
      <c r="Q755" s="7"/>
    </row>
    <row r="756" spans="1:17">
      <c r="A756" s="105"/>
      <c r="B756" s="2"/>
      <c r="C756" s="254"/>
      <c r="D756" s="254"/>
      <c r="E756" s="254"/>
      <c r="F756" s="255"/>
      <c r="G756" s="215" t="str">
        <f>IF(AND($B756="",OR(B756&lt;&gt;"",C756&lt;&gt;"",D756&lt;&gt;"",E756&lt;&gt;"",F756&lt;&gt;"")),入力リスト!$K$34,IF($I756=TRUE,入力リスト!$K$35,IF(J756=FALSE,"「毎月の固定給与額」","")&amp;IF(AND(J756=FALSE,OR(K756=FALSE,L756=FALSE,M756=FALSE)),",","")&amp;IF(K756=FALSE,"「賞与額等」","")&amp;IF(AND(K756=FALSE,OR(L756=FALSE,M756=FALSE)),",","")&amp;IF(L756=FALSE,"「残業手当」","")&amp;IF(AND(L756=FALSE,M756=FALSE),",","")&amp;IF(M756=FALSE,"「残業時間」","")&amp;IF(OR(J756=FALSE,K756=FALSE,L756=FALSE,M756=FALSE),入力リスト!$K$36,"")&amp;IF(N756,"",入力リスト!$K$37)))</f>
        <v/>
      </c>
      <c r="H756" s="215"/>
      <c r="I756" s="1" t="b">
        <f>IF(B756="",FALSE,COUNTIF('従業員情報(給与以外)'!$A$4:$A$1000000,$B756)=0)</f>
        <v>0</v>
      </c>
      <c r="J756" s="8" t="b">
        <f t="shared" si="55"/>
        <v>1</v>
      </c>
      <c r="K756" s="8" t="b">
        <f t="shared" si="56"/>
        <v>1</v>
      </c>
      <c r="L756" s="8" t="b">
        <f t="shared" si="57"/>
        <v>1</v>
      </c>
      <c r="M756" s="8" t="b">
        <f t="shared" si="58"/>
        <v>1</v>
      </c>
      <c r="N756" s="1" t="b">
        <f t="shared" si="59"/>
        <v>1</v>
      </c>
      <c r="O756" s="8" t="str">
        <f>IF(F756="","",IF($F$2=入力リスト!$H$25,ROUNDDOWN(INT(F756)+ROUNDDOWN((F756-INT(F756))*100,0)/60,2),F756))</f>
        <v/>
      </c>
      <c r="P756" s="7"/>
      <c r="Q756" s="7"/>
    </row>
    <row r="757" spans="1:17">
      <c r="A757" s="105"/>
      <c r="B757" s="2"/>
      <c r="C757" s="254"/>
      <c r="D757" s="254"/>
      <c r="E757" s="254"/>
      <c r="F757" s="255"/>
      <c r="G757" s="215" t="str">
        <f>IF(AND($B757="",OR(B757&lt;&gt;"",C757&lt;&gt;"",D757&lt;&gt;"",E757&lt;&gt;"",F757&lt;&gt;"")),入力リスト!$K$34,IF($I757=TRUE,入力リスト!$K$35,IF(J757=FALSE,"「毎月の固定給与額」","")&amp;IF(AND(J757=FALSE,OR(K757=FALSE,L757=FALSE,M757=FALSE)),",","")&amp;IF(K757=FALSE,"「賞与額等」","")&amp;IF(AND(K757=FALSE,OR(L757=FALSE,M757=FALSE)),",","")&amp;IF(L757=FALSE,"「残業手当」","")&amp;IF(AND(L757=FALSE,M757=FALSE),",","")&amp;IF(M757=FALSE,"「残業時間」","")&amp;IF(OR(J757=FALSE,K757=FALSE,L757=FALSE,M757=FALSE),入力リスト!$K$36,"")&amp;IF(N757,"",入力リスト!$K$37)))</f>
        <v/>
      </c>
      <c r="H757" s="215"/>
      <c r="I757" s="1" t="b">
        <f>IF(B757="",FALSE,COUNTIF('従業員情報(給与以外)'!$A$4:$A$1000000,$B757)=0)</f>
        <v>0</v>
      </c>
      <c r="J757" s="8" t="b">
        <f t="shared" si="55"/>
        <v>1</v>
      </c>
      <c r="K757" s="8" t="b">
        <f t="shared" si="56"/>
        <v>1</v>
      </c>
      <c r="L757" s="8" t="b">
        <f t="shared" si="57"/>
        <v>1</v>
      </c>
      <c r="M757" s="8" t="b">
        <f t="shared" si="58"/>
        <v>1</v>
      </c>
      <c r="N757" s="1" t="b">
        <f t="shared" si="59"/>
        <v>1</v>
      </c>
      <c r="O757" s="8" t="str">
        <f>IF(F757="","",IF($F$2=入力リスト!$H$25,ROUNDDOWN(INT(F757)+ROUNDDOWN((F757-INT(F757))*100,0)/60,2),F757))</f>
        <v/>
      </c>
      <c r="P757" s="7"/>
      <c r="Q757" s="7"/>
    </row>
    <row r="758" spans="1:17">
      <c r="A758" s="105"/>
      <c r="B758" s="2"/>
      <c r="C758" s="254"/>
      <c r="D758" s="254"/>
      <c r="E758" s="254"/>
      <c r="F758" s="255"/>
      <c r="G758" s="215" t="str">
        <f>IF(AND($B758="",OR(B758&lt;&gt;"",C758&lt;&gt;"",D758&lt;&gt;"",E758&lt;&gt;"",F758&lt;&gt;"")),入力リスト!$K$34,IF($I758=TRUE,入力リスト!$K$35,IF(J758=FALSE,"「毎月の固定給与額」","")&amp;IF(AND(J758=FALSE,OR(K758=FALSE,L758=FALSE,M758=FALSE)),",","")&amp;IF(K758=FALSE,"「賞与額等」","")&amp;IF(AND(K758=FALSE,OR(L758=FALSE,M758=FALSE)),",","")&amp;IF(L758=FALSE,"「残業手当」","")&amp;IF(AND(L758=FALSE,M758=FALSE),",","")&amp;IF(M758=FALSE,"「残業時間」","")&amp;IF(OR(J758=FALSE,K758=FALSE,L758=FALSE,M758=FALSE),入力リスト!$K$36,"")&amp;IF(N758,"",入力リスト!$K$37)))</f>
        <v/>
      </c>
      <c r="H758" s="215"/>
      <c r="I758" s="1" t="b">
        <f>IF(B758="",FALSE,COUNTIF('従業員情報(給与以外)'!$A$4:$A$1000000,$B758)=0)</f>
        <v>0</v>
      </c>
      <c r="J758" s="8" t="b">
        <f t="shared" si="55"/>
        <v>1</v>
      </c>
      <c r="K758" s="8" t="b">
        <f t="shared" si="56"/>
        <v>1</v>
      </c>
      <c r="L758" s="8" t="b">
        <f t="shared" si="57"/>
        <v>1</v>
      </c>
      <c r="M758" s="8" t="b">
        <f t="shared" si="58"/>
        <v>1</v>
      </c>
      <c r="N758" s="1" t="b">
        <f t="shared" si="59"/>
        <v>1</v>
      </c>
      <c r="O758" s="8" t="str">
        <f>IF(F758="","",IF($F$2=入力リスト!$H$25,ROUNDDOWN(INT(F758)+ROUNDDOWN((F758-INT(F758))*100,0)/60,2),F758))</f>
        <v/>
      </c>
      <c r="P758" s="7"/>
      <c r="Q758" s="7"/>
    </row>
    <row r="759" spans="1:17">
      <c r="A759" s="105"/>
      <c r="B759" s="2"/>
      <c r="C759" s="254"/>
      <c r="D759" s="254"/>
      <c r="E759" s="254"/>
      <c r="F759" s="255"/>
      <c r="G759" s="215" t="str">
        <f>IF(AND($B759="",OR(B759&lt;&gt;"",C759&lt;&gt;"",D759&lt;&gt;"",E759&lt;&gt;"",F759&lt;&gt;"")),入力リスト!$K$34,IF($I759=TRUE,入力リスト!$K$35,IF(J759=FALSE,"「毎月の固定給与額」","")&amp;IF(AND(J759=FALSE,OR(K759=FALSE,L759=FALSE,M759=FALSE)),",","")&amp;IF(K759=FALSE,"「賞与額等」","")&amp;IF(AND(K759=FALSE,OR(L759=FALSE,M759=FALSE)),",","")&amp;IF(L759=FALSE,"「残業手当」","")&amp;IF(AND(L759=FALSE,M759=FALSE),",","")&amp;IF(M759=FALSE,"「残業時間」","")&amp;IF(OR(J759=FALSE,K759=FALSE,L759=FALSE,M759=FALSE),入力リスト!$K$36,"")&amp;IF(N759,"",入力リスト!$K$37)))</f>
        <v/>
      </c>
      <c r="H759" s="215"/>
      <c r="I759" s="1" t="b">
        <f>IF(B759="",FALSE,COUNTIF('従業員情報(給与以外)'!$A$4:$A$1000000,$B759)=0)</f>
        <v>0</v>
      </c>
      <c r="J759" s="8" t="b">
        <f t="shared" si="55"/>
        <v>1</v>
      </c>
      <c r="K759" s="8" t="b">
        <f t="shared" si="56"/>
        <v>1</v>
      </c>
      <c r="L759" s="8" t="b">
        <f t="shared" si="57"/>
        <v>1</v>
      </c>
      <c r="M759" s="8" t="b">
        <f t="shared" si="58"/>
        <v>1</v>
      </c>
      <c r="N759" s="1" t="b">
        <f t="shared" si="59"/>
        <v>1</v>
      </c>
      <c r="O759" s="8" t="str">
        <f>IF(F759="","",IF($F$2=入力リスト!$H$25,ROUNDDOWN(INT(F759)+ROUNDDOWN((F759-INT(F759))*100,0)/60,2),F759))</f>
        <v/>
      </c>
      <c r="P759" s="7"/>
      <c r="Q759" s="7"/>
    </row>
    <row r="760" spans="1:17">
      <c r="A760" s="105"/>
      <c r="B760" s="2"/>
      <c r="C760" s="254"/>
      <c r="D760" s="254"/>
      <c r="E760" s="254"/>
      <c r="F760" s="255"/>
      <c r="G760" s="215" t="str">
        <f>IF(AND($B760="",OR(B760&lt;&gt;"",C760&lt;&gt;"",D760&lt;&gt;"",E760&lt;&gt;"",F760&lt;&gt;"")),入力リスト!$K$34,IF($I760=TRUE,入力リスト!$K$35,IF(J760=FALSE,"「毎月の固定給与額」","")&amp;IF(AND(J760=FALSE,OR(K760=FALSE,L760=FALSE,M760=FALSE)),",","")&amp;IF(K760=FALSE,"「賞与額等」","")&amp;IF(AND(K760=FALSE,OR(L760=FALSE,M760=FALSE)),",","")&amp;IF(L760=FALSE,"「残業手当」","")&amp;IF(AND(L760=FALSE,M760=FALSE),",","")&amp;IF(M760=FALSE,"「残業時間」","")&amp;IF(OR(J760=FALSE,K760=FALSE,L760=FALSE,M760=FALSE),入力リスト!$K$36,"")&amp;IF(N760,"",入力リスト!$K$37)))</f>
        <v/>
      </c>
      <c r="H760" s="215"/>
      <c r="I760" s="1" t="b">
        <f>IF(B760="",FALSE,COUNTIF('従業員情報(給与以外)'!$A$4:$A$1000000,$B760)=0)</f>
        <v>0</v>
      </c>
      <c r="J760" s="8" t="b">
        <f t="shared" si="55"/>
        <v>1</v>
      </c>
      <c r="K760" s="8" t="b">
        <f t="shared" si="56"/>
        <v>1</v>
      </c>
      <c r="L760" s="8" t="b">
        <f t="shared" si="57"/>
        <v>1</v>
      </c>
      <c r="M760" s="8" t="b">
        <f t="shared" si="58"/>
        <v>1</v>
      </c>
      <c r="N760" s="1" t="b">
        <f t="shared" si="59"/>
        <v>1</v>
      </c>
      <c r="O760" s="8" t="str">
        <f>IF(F760="","",IF($F$2=入力リスト!$H$25,ROUNDDOWN(INT(F760)+ROUNDDOWN((F760-INT(F760))*100,0)/60,2),F760))</f>
        <v/>
      </c>
      <c r="P760" s="7"/>
      <c r="Q760" s="7"/>
    </row>
    <row r="761" spans="1:17">
      <c r="A761" s="105"/>
      <c r="B761" s="2"/>
      <c r="C761" s="254"/>
      <c r="D761" s="254"/>
      <c r="E761" s="254"/>
      <c r="F761" s="255"/>
      <c r="G761" s="215" t="str">
        <f>IF(AND($B761="",OR(B761&lt;&gt;"",C761&lt;&gt;"",D761&lt;&gt;"",E761&lt;&gt;"",F761&lt;&gt;"")),入力リスト!$K$34,IF($I761=TRUE,入力リスト!$K$35,IF(J761=FALSE,"「毎月の固定給与額」","")&amp;IF(AND(J761=FALSE,OR(K761=FALSE,L761=FALSE,M761=FALSE)),",","")&amp;IF(K761=FALSE,"「賞与額等」","")&amp;IF(AND(K761=FALSE,OR(L761=FALSE,M761=FALSE)),",","")&amp;IF(L761=FALSE,"「残業手当」","")&amp;IF(AND(L761=FALSE,M761=FALSE),",","")&amp;IF(M761=FALSE,"「残業時間」","")&amp;IF(OR(J761=FALSE,K761=FALSE,L761=FALSE,M761=FALSE),入力リスト!$K$36,"")&amp;IF(N761,"",入力リスト!$K$37)))</f>
        <v/>
      </c>
      <c r="H761" s="215"/>
      <c r="I761" s="1" t="b">
        <f>IF(B761="",FALSE,COUNTIF('従業員情報(給与以外)'!$A$4:$A$1000000,$B761)=0)</f>
        <v>0</v>
      </c>
      <c r="J761" s="8" t="b">
        <f t="shared" si="55"/>
        <v>1</v>
      </c>
      <c r="K761" s="8" t="b">
        <f t="shared" si="56"/>
        <v>1</v>
      </c>
      <c r="L761" s="8" t="b">
        <f t="shared" si="57"/>
        <v>1</v>
      </c>
      <c r="M761" s="8" t="b">
        <f t="shared" si="58"/>
        <v>1</v>
      </c>
      <c r="N761" s="1" t="b">
        <f t="shared" si="59"/>
        <v>1</v>
      </c>
      <c r="O761" s="8" t="str">
        <f>IF(F761="","",IF($F$2=入力リスト!$H$25,ROUNDDOWN(INT(F761)+ROUNDDOWN((F761-INT(F761))*100,0)/60,2),F761))</f>
        <v/>
      </c>
      <c r="P761" s="7"/>
      <c r="Q761" s="7"/>
    </row>
    <row r="762" spans="1:17">
      <c r="A762" s="105"/>
      <c r="B762" s="2"/>
      <c r="C762" s="254"/>
      <c r="D762" s="254"/>
      <c r="E762" s="254"/>
      <c r="F762" s="255"/>
      <c r="G762" s="215" t="str">
        <f>IF(AND($B762="",OR(B762&lt;&gt;"",C762&lt;&gt;"",D762&lt;&gt;"",E762&lt;&gt;"",F762&lt;&gt;"")),入力リスト!$K$34,IF($I762=TRUE,入力リスト!$K$35,IF(J762=FALSE,"「毎月の固定給与額」","")&amp;IF(AND(J762=FALSE,OR(K762=FALSE,L762=FALSE,M762=FALSE)),",","")&amp;IF(K762=FALSE,"「賞与額等」","")&amp;IF(AND(K762=FALSE,OR(L762=FALSE,M762=FALSE)),",","")&amp;IF(L762=FALSE,"「残業手当」","")&amp;IF(AND(L762=FALSE,M762=FALSE),",","")&amp;IF(M762=FALSE,"「残業時間」","")&amp;IF(OR(J762=FALSE,K762=FALSE,L762=FALSE,M762=FALSE),入力リスト!$K$36,"")&amp;IF(N762,"",入力リスト!$K$37)))</f>
        <v/>
      </c>
      <c r="H762" s="215"/>
      <c r="I762" s="1" t="b">
        <f>IF(B762="",FALSE,COUNTIF('従業員情報(給与以外)'!$A$4:$A$1000000,$B762)=0)</f>
        <v>0</v>
      </c>
      <c r="J762" s="8" t="b">
        <f t="shared" si="55"/>
        <v>1</v>
      </c>
      <c r="K762" s="8" t="b">
        <f t="shared" si="56"/>
        <v>1</v>
      </c>
      <c r="L762" s="8" t="b">
        <f t="shared" si="57"/>
        <v>1</v>
      </c>
      <c r="M762" s="8" t="b">
        <f t="shared" si="58"/>
        <v>1</v>
      </c>
      <c r="N762" s="1" t="b">
        <f t="shared" si="59"/>
        <v>1</v>
      </c>
      <c r="O762" s="8" t="str">
        <f>IF(F762="","",IF($F$2=入力リスト!$H$25,ROUNDDOWN(INT(F762)+ROUNDDOWN((F762-INT(F762))*100,0)/60,2),F762))</f>
        <v/>
      </c>
      <c r="P762" s="7"/>
      <c r="Q762" s="7"/>
    </row>
    <row r="763" spans="1:17">
      <c r="A763" s="105"/>
      <c r="B763" s="2"/>
      <c r="C763" s="254"/>
      <c r="D763" s="254"/>
      <c r="E763" s="254"/>
      <c r="F763" s="255"/>
      <c r="G763" s="215" t="str">
        <f>IF(AND($B763="",OR(B763&lt;&gt;"",C763&lt;&gt;"",D763&lt;&gt;"",E763&lt;&gt;"",F763&lt;&gt;"")),入力リスト!$K$34,IF($I763=TRUE,入力リスト!$K$35,IF(J763=FALSE,"「毎月の固定給与額」","")&amp;IF(AND(J763=FALSE,OR(K763=FALSE,L763=FALSE,M763=FALSE)),",","")&amp;IF(K763=FALSE,"「賞与額等」","")&amp;IF(AND(K763=FALSE,OR(L763=FALSE,M763=FALSE)),",","")&amp;IF(L763=FALSE,"「残業手当」","")&amp;IF(AND(L763=FALSE,M763=FALSE),",","")&amp;IF(M763=FALSE,"「残業時間」","")&amp;IF(OR(J763=FALSE,K763=FALSE,L763=FALSE,M763=FALSE),入力リスト!$K$36,"")&amp;IF(N763,"",入力リスト!$K$37)))</f>
        <v/>
      </c>
      <c r="H763" s="215"/>
      <c r="I763" s="1" t="b">
        <f>IF(B763="",FALSE,COUNTIF('従業員情報(給与以外)'!$A$4:$A$1000000,$B763)=0)</f>
        <v>0</v>
      </c>
      <c r="J763" s="8" t="b">
        <f t="shared" si="55"/>
        <v>1</v>
      </c>
      <c r="K763" s="8" t="b">
        <f t="shared" si="56"/>
        <v>1</v>
      </c>
      <c r="L763" s="8" t="b">
        <f t="shared" si="57"/>
        <v>1</v>
      </c>
      <c r="M763" s="8" t="b">
        <f t="shared" si="58"/>
        <v>1</v>
      </c>
      <c r="N763" s="1" t="b">
        <f t="shared" si="59"/>
        <v>1</v>
      </c>
      <c r="O763" s="8" t="str">
        <f>IF(F763="","",IF($F$2=入力リスト!$H$25,ROUNDDOWN(INT(F763)+ROUNDDOWN((F763-INT(F763))*100,0)/60,2),F763))</f>
        <v/>
      </c>
      <c r="P763" s="7"/>
      <c r="Q763" s="7"/>
    </row>
    <row r="764" spans="1:17">
      <c r="A764" s="105"/>
      <c r="B764" s="2"/>
      <c r="C764" s="254"/>
      <c r="D764" s="254"/>
      <c r="E764" s="254"/>
      <c r="F764" s="255"/>
      <c r="G764" s="215" t="str">
        <f>IF(AND($B764="",OR(B764&lt;&gt;"",C764&lt;&gt;"",D764&lt;&gt;"",E764&lt;&gt;"",F764&lt;&gt;"")),入力リスト!$K$34,IF($I764=TRUE,入力リスト!$K$35,IF(J764=FALSE,"「毎月の固定給与額」","")&amp;IF(AND(J764=FALSE,OR(K764=FALSE,L764=FALSE,M764=FALSE)),",","")&amp;IF(K764=FALSE,"「賞与額等」","")&amp;IF(AND(K764=FALSE,OR(L764=FALSE,M764=FALSE)),",","")&amp;IF(L764=FALSE,"「残業手当」","")&amp;IF(AND(L764=FALSE,M764=FALSE),",","")&amp;IF(M764=FALSE,"「残業時間」","")&amp;IF(OR(J764=FALSE,K764=FALSE,L764=FALSE,M764=FALSE),入力リスト!$K$36,"")&amp;IF(N764,"",入力リスト!$K$37)))</f>
        <v/>
      </c>
      <c r="H764" s="215"/>
      <c r="I764" s="1" t="b">
        <f>IF(B764="",FALSE,COUNTIF('従業員情報(給与以外)'!$A$4:$A$1000000,$B764)=0)</f>
        <v>0</v>
      </c>
      <c r="J764" s="8" t="b">
        <f t="shared" si="55"/>
        <v>1</v>
      </c>
      <c r="K764" s="8" t="b">
        <f t="shared" si="56"/>
        <v>1</v>
      </c>
      <c r="L764" s="8" t="b">
        <f t="shared" si="57"/>
        <v>1</v>
      </c>
      <c r="M764" s="8" t="b">
        <f t="shared" si="58"/>
        <v>1</v>
      </c>
      <c r="N764" s="1" t="b">
        <f t="shared" si="59"/>
        <v>1</v>
      </c>
      <c r="O764" s="8" t="str">
        <f>IF(F764="","",IF($F$2=入力リスト!$H$25,ROUNDDOWN(INT(F764)+ROUNDDOWN((F764-INT(F764))*100,0)/60,2),F764))</f>
        <v/>
      </c>
      <c r="P764" s="7"/>
      <c r="Q764" s="7"/>
    </row>
    <row r="765" spans="1:17">
      <c r="A765" s="105"/>
      <c r="B765" s="2"/>
      <c r="C765" s="254"/>
      <c r="D765" s="254"/>
      <c r="E765" s="254"/>
      <c r="F765" s="255"/>
      <c r="G765" s="215" t="str">
        <f>IF(AND($B765="",OR(B765&lt;&gt;"",C765&lt;&gt;"",D765&lt;&gt;"",E765&lt;&gt;"",F765&lt;&gt;"")),入力リスト!$K$34,IF($I765=TRUE,入力リスト!$K$35,IF(J765=FALSE,"「毎月の固定給与額」","")&amp;IF(AND(J765=FALSE,OR(K765=FALSE,L765=FALSE,M765=FALSE)),",","")&amp;IF(K765=FALSE,"「賞与額等」","")&amp;IF(AND(K765=FALSE,OR(L765=FALSE,M765=FALSE)),",","")&amp;IF(L765=FALSE,"「残業手当」","")&amp;IF(AND(L765=FALSE,M765=FALSE),",","")&amp;IF(M765=FALSE,"「残業時間」","")&amp;IF(OR(J765=FALSE,K765=FALSE,L765=FALSE,M765=FALSE),入力リスト!$K$36,"")&amp;IF(N765,"",入力リスト!$K$37)))</f>
        <v/>
      </c>
      <c r="H765" s="215"/>
      <c r="I765" s="1" t="b">
        <f>IF(B765="",FALSE,COUNTIF('従業員情報(給与以外)'!$A$4:$A$1000000,$B765)=0)</f>
        <v>0</v>
      </c>
      <c r="J765" s="8" t="b">
        <f t="shared" si="55"/>
        <v>1</v>
      </c>
      <c r="K765" s="8" t="b">
        <f t="shared" si="56"/>
        <v>1</v>
      </c>
      <c r="L765" s="8" t="b">
        <f t="shared" si="57"/>
        <v>1</v>
      </c>
      <c r="M765" s="8" t="b">
        <f t="shared" si="58"/>
        <v>1</v>
      </c>
      <c r="N765" s="1" t="b">
        <f t="shared" si="59"/>
        <v>1</v>
      </c>
      <c r="O765" s="8" t="str">
        <f>IF(F765="","",IF($F$2=入力リスト!$H$25,ROUNDDOWN(INT(F765)+ROUNDDOWN((F765-INT(F765))*100,0)/60,2),F765))</f>
        <v/>
      </c>
      <c r="P765" s="7"/>
      <c r="Q765" s="7"/>
    </row>
    <row r="766" spans="1:17">
      <c r="A766" s="105"/>
      <c r="B766" s="2"/>
      <c r="C766" s="254"/>
      <c r="D766" s="254"/>
      <c r="E766" s="254"/>
      <c r="F766" s="255"/>
      <c r="G766" s="215" t="str">
        <f>IF(AND($B766="",OR(B766&lt;&gt;"",C766&lt;&gt;"",D766&lt;&gt;"",E766&lt;&gt;"",F766&lt;&gt;"")),入力リスト!$K$34,IF($I766=TRUE,入力リスト!$K$35,IF(J766=FALSE,"「毎月の固定給与額」","")&amp;IF(AND(J766=FALSE,OR(K766=FALSE,L766=FALSE,M766=FALSE)),",","")&amp;IF(K766=FALSE,"「賞与額等」","")&amp;IF(AND(K766=FALSE,OR(L766=FALSE,M766=FALSE)),",","")&amp;IF(L766=FALSE,"「残業手当」","")&amp;IF(AND(L766=FALSE,M766=FALSE),",","")&amp;IF(M766=FALSE,"「残業時間」","")&amp;IF(OR(J766=FALSE,K766=FALSE,L766=FALSE,M766=FALSE),入力リスト!$K$36,"")&amp;IF(N766,"",入力リスト!$K$37)))</f>
        <v/>
      </c>
      <c r="H766" s="215"/>
      <c r="I766" s="1" t="b">
        <f>IF(B766="",FALSE,COUNTIF('従業員情報(給与以外)'!$A$4:$A$1000000,$B766)=0)</f>
        <v>0</v>
      </c>
      <c r="J766" s="8" t="b">
        <f t="shared" si="55"/>
        <v>1</v>
      </c>
      <c r="K766" s="8" t="b">
        <f t="shared" si="56"/>
        <v>1</v>
      </c>
      <c r="L766" s="8" t="b">
        <f t="shared" si="57"/>
        <v>1</v>
      </c>
      <c r="M766" s="8" t="b">
        <f t="shared" si="58"/>
        <v>1</v>
      </c>
      <c r="N766" s="1" t="b">
        <f t="shared" si="59"/>
        <v>1</v>
      </c>
      <c r="O766" s="8" t="str">
        <f>IF(F766="","",IF($F$2=入力リスト!$H$25,ROUNDDOWN(INT(F766)+ROUNDDOWN((F766-INT(F766))*100,0)/60,2),F766))</f>
        <v/>
      </c>
      <c r="P766" s="7"/>
      <c r="Q766" s="7"/>
    </row>
    <row r="767" spans="1:17">
      <c r="A767" s="105"/>
      <c r="B767" s="2"/>
      <c r="C767" s="254"/>
      <c r="D767" s="254"/>
      <c r="E767" s="254"/>
      <c r="F767" s="255"/>
      <c r="G767" s="215" t="str">
        <f>IF(AND($B767="",OR(B767&lt;&gt;"",C767&lt;&gt;"",D767&lt;&gt;"",E767&lt;&gt;"",F767&lt;&gt;"")),入力リスト!$K$34,IF($I767=TRUE,入力リスト!$K$35,IF(J767=FALSE,"「毎月の固定給与額」","")&amp;IF(AND(J767=FALSE,OR(K767=FALSE,L767=FALSE,M767=FALSE)),",","")&amp;IF(K767=FALSE,"「賞与額等」","")&amp;IF(AND(K767=FALSE,OR(L767=FALSE,M767=FALSE)),",","")&amp;IF(L767=FALSE,"「残業手当」","")&amp;IF(AND(L767=FALSE,M767=FALSE),",","")&amp;IF(M767=FALSE,"「残業時間」","")&amp;IF(OR(J767=FALSE,K767=FALSE,L767=FALSE,M767=FALSE),入力リスト!$K$36,"")&amp;IF(N767,"",入力リスト!$K$37)))</f>
        <v/>
      </c>
      <c r="H767" s="215"/>
      <c r="I767" s="1" t="b">
        <f>IF(B767="",FALSE,COUNTIF('従業員情報(給与以外)'!$A$4:$A$1000000,$B767)=0)</f>
        <v>0</v>
      </c>
      <c r="J767" s="8" t="b">
        <f t="shared" si="55"/>
        <v>1</v>
      </c>
      <c r="K767" s="8" t="b">
        <f t="shared" si="56"/>
        <v>1</v>
      </c>
      <c r="L767" s="8" t="b">
        <f t="shared" si="57"/>
        <v>1</v>
      </c>
      <c r="M767" s="8" t="b">
        <f t="shared" si="58"/>
        <v>1</v>
      </c>
      <c r="N767" s="1" t="b">
        <f t="shared" si="59"/>
        <v>1</v>
      </c>
      <c r="O767" s="8" t="str">
        <f>IF(F767="","",IF($F$2=入力リスト!$H$25,ROUNDDOWN(INT(F767)+ROUNDDOWN((F767-INT(F767))*100,0)/60,2),F767))</f>
        <v/>
      </c>
      <c r="P767" s="7"/>
      <c r="Q767" s="7"/>
    </row>
    <row r="768" spans="1:17">
      <c r="A768" s="105"/>
      <c r="B768" s="2"/>
      <c r="C768" s="254"/>
      <c r="D768" s="254"/>
      <c r="E768" s="254"/>
      <c r="F768" s="255"/>
      <c r="G768" s="215" t="str">
        <f>IF(AND($B768="",OR(B768&lt;&gt;"",C768&lt;&gt;"",D768&lt;&gt;"",E768&lt;&gt;"",F768&lt;&gt;"")),入力リスト!$K$34,IF($I768=TRUE,入力リスト!$K$35,IF(J768=FALSE,"「毎月の固定給与額」","")&amp;IF(AND(J768=FALSE,OR(K768=FALSE,L768=FALSE,M768=FALSE)),",","")&amp;IF(K768=FALSE,"「賞与額等」","")&amp;IF(AND(K768=FALSE,OR(L768=FALSE,M768=FALSE)),",","")&amp;IF(L768=FALSE,"「残業手当」","")&amp;IF(AND(L768=FALSE,M768=FALSE),",","")&amp;IF(M768=FALSE,"「残業時間」","")&amp;IF(OR(J768=FALSE,K768=FALSE,L768=FALSE,M768=FALSE),入力リスト!$K$36,"")&amp;IF(N768,"",入力リスト!$K$37)))</f>
        <v/>
      </c>
      <c r="H768" s="215"/>
      <c r="I768" s="1" t="b">
        <f>IF(B768="",FALSE,COUNTIF('従業員情報(給与以外)'!$A$4:$A$1000000,$B768)=0)</f>
        <v>0</v>
      </c>
      <c r="J768" s="8" t="b">
        <f t="shared" si="55"/>
        <v>1</v>
      </c>
      <c r="K768" s="8" t="b">
        <f t="shared" si="56"/>
        <v>1</v>
      </c>
      <c r="L768" s="8" t="b">
        <f t="shared" si="57"/>
        <v>1</v>
      </c>
      <c r="M768" s="8" t="b">
        <f t="shared" si="58"/>
        <v>1</v>
      </c>
      <c r="N768" s="1" t="b">
        <f t="shared" si="59"/>
        <v>1</v>
      </c>
      <c r="O768" s="8" t="str">
        <f>IF(F768="","",IF($F$2=入力リスト!$H$25,ROUNDDOWN(INT(F768)+ROUNDDOWN((F768-INT(F768))*100,0)/60,2),F768))</f>
        <v/>
      </c>
      <c r="P768" s="7"/>
      <c r="Q768" s="7"/>
    </row>
    <row r="769" spans="1:17">
      <c r="A769" s="105"/>
      <c r="B769" s="2"/>
      <c r="C769" s="254"/>
      <c r="D769" s="254"/>
      <c r="E769" s="254"/>
      <c r="F769" s="255"/>
      <c r="G769" s="215" t="str">
        <f>IF(AND($B769="",OR(B769&lt;&gt;"",C769&lt;&gt;"",D769&lt;&gt;"",E769&lt;&gt;"",F769&lt;&gt;"")),入力リスト!$K$34,IF($I769=TRUE,入力リスト!$K$35,IF(J769=FALSE,"「毎月の固定給与額」","")&amp;IF(AND(J769=FALSE,OR(K769=FALSE,L769=FALSE,M769=FALSE)),",","")&amp;IF(K769=FALSE,"「賞与額等」","")&amp;IF(AND(K769=FALSE,OR(L769=FALSE,M769=FALSE)),",","")&amp;IF(L769=FALSE,"「残業手当」","")&amp;IF(AND(L769=FALSE,M769=FALSE),",","")&amp;IF(M769=FALSE,"「残業時間」","")&amp;IF(OR(J769=FALSE,K769=FALSE,L769=FALSE,M769=FALSE),入力リスト!$K$36,"")&amp;IF(N769,"",入力リスト!$K$37)))</f>
        <v/>
      </c>
      <c r="H769" s="215"/>
      <c r="I769" s="1" t="b">
        <f>IF(B769="",FALSE,COUNTIF('従業員情報(給与以外)'!$A$4:$A$1000000,$B769)=0)</f>
        <v>0</v>
      </c>
      <c r="J769" s="8" t="b">
        <f t="shared" si="55"/>
        <v>1</v>
      </c>
      <c r="K769" s="8" t="b">
        <f t="shared" si="56"/>
        <v>1</v>
      </c>
      <c r="L769" s="8" t="b">
        <f t="shared" si="57"/>
        <v>1</v>
      </c>
      <c r="M769" s="8" t="b">
        <f t="shared" si="58"/>
        <v>1</v>
      </c>
      <c r="N769" s="1" t="b">
        <f t="shared" si="59"/>
        <v>1</v>
      </c>
      <c r="O769" s="8" t="str">
        <f>IF(F769="","",IF($F$2=入力リスト!$H$25,ROUNDDOWN(INT(F769)+ROUNDDOWN((F769-INT(F769))*100,0)/60,2),F769))</f>
        <v/>
      </c>
      <c r="P769" s="7"/>
      <c r="Q769" s="7"/>
    </row>
    <row r="770" spans="1:17">
      <c r="A770" s="105"/>
      <c r="B770" s="2"/>
      <c r="C770" s="254"/>
      <c r="D770" s="254"/>
      <c r="E770" s="254"/>
      <c r="F770" s="255"/>
      <c r="G770" s="215" t="str">
        <f>IF(AND($B770="",OR(B770&lt;&gt;"",C770&lt;&gt;"",D770&lt;&gt;"",E770&lt;&gt;"",F770&lt;&gt;"")),入力リスト!$K$34,IF($I770=TRUE,入力リスト!$K$35,IF(J770=FALSE,"「毎月の固定給与額」","")&amp;IF(AND(J770=FALSE,OR(K770=FALSE,L770=FALSE,M770=FALSE)),",","")&amp;IF(K770=FALSE,"「賞与額等」","")&amp;IF(AND(K770=FALSE,OR(L770=FALSE,M770=FALSE)),",","")&amp;IF(L770=FALSE,"「残業手当」","")&amp;IF(AND(L770=FALSE,M770=FALSE),",","")&amp;IF(M770=FALSE,"「残業時間」","")&amp;IF(OR(J770=FALSE,K770=FALSE,L770=FALSE,M770=FALSE),入力リスト!$K$36,"")&amp;IF(N770,"",入力リスト!$K$37)))</f>
        <v/>
      </c>
      <c r="H770" s="215"/>
      <c r="I770" s="1" t="b">
        <f>IF(B770="",FALSE,COUNTIF('従業員情報(給与以外)'!$A$4:$A$1000000,$B770)=0)</f>
        <v>0</v>
      </c>
      <c r="J770" s="8" t="b">
        <f t="shared" si="55"/>
        <v>1</v>
      </c>
      <c r="K770" s="8" t="b">
        <f t="shared" si="56"/>
        <v>1</v>
      </c>
      <c r="L770" s="8" t="b">
        <f t="shared" si="57"/>
        <v>1</v>
      </c>
      <c r="M770" s="8" t="b">
        <f t="shared" si="58"/>
        <v>1</v>
      </c>
      <c r="N770" s="1" t="b">
        <f t="shared" si="59"/>
        <v>1</v>
      </c>
      <c r="O770" s="8" t="str">
        <f>IF(F770="","",IF($F$2=入力リスト!$H$25,ROUNDDOWN(INT(F770)+ROUNDDOWN((F770-INT(F770))*100,0)/60,2),F770))</f>
        <v/>
      </c>
      <c r="P770" s="7"/>
      <c r="Q770" s="7"/>
    </row>
    <row r="771" spans="1:17">
      <c r="A771" s="105"/>
      <c r="B771" s="2"/>
      <c r="C771" s="254"/>
      <c r="D771" s="254"/>
      <c r="E771" s="254"/>
      <c r="F771" s="255"/>
      <c r="G771" s="215" t="str">
        <f>IF(AND($B771="",OR(B771&lt;&gt;"",C771&lt;&gt;"",D771&lt;&gt;"",E771&lt;&gt;"",F771&lt;&gt;"")),入力リスト!$K$34,IF($I771=TRUE,入力リスト!$K$35,IF(J771=FALSE,"「毎月の固定給与額」","")&amp;IF(AND(J771=FALSE,OR(K771=FALSE,L771=FALSE,M771=FALSE)),",","")&amp;IF(K771=FALSE,"「賞与額等」","")&amp;IF(AND(K771=FALSE,OR(L771=FALSE,M771=FALSE)),",","")&amp;IF(L771=FALSE,"「残業手当」","")&amp;IF(AND(L771=FALSE,M771=FALSE),",","")&amp;IF(M771=FALSE,"「残業時間」","")&amp;IF(OR(J771=FALSE,K771=FALSE,L771=FALSE,M771=FALSE),入力リスト!$K$36,"")&amp;IF(N771,"",入力リスト!$K$37)))</f>
        <v/>
      </c>
      <c r="H771" s="215"/>
      <c r="I771" s="1" t="b">
        <f>IF(B771="",FALSE,COUNTIF('従業員情報(給与以外)'!$A$4:$A$1000000,$B771)=0)</f>
        <v>0</v>
      </c>
      <c r="J771" s="8" t="b">
        <f t="shared" si="55"/>
        <v>1</v>
      </c>
      <c r="K771" s="8" t="b">
        <f t="shared" si="56"/>
        <v>1</v>
      </c>
      <c r="L771" s="8" t="b">
        <f t="shared" si="57"/>
        <v>1</v>
      </c>
      <c r="M771" s="8" t="b">
        <f t="shared" si="58"/>
        <v>1</v>
      </c>
      <c r="N771" s="1" t="b">
        <f t="shared" si="59"/>
        <v>1</v>
      </c>
      <c r="O771" s="8" t="str">
        <f>IF(F771="","",IF($F$2=入力リスト!$H$25,ROUNDDOWN(INT(F771)+ROUNDDOWN((F771-INT(F771))*100,0)/60,2),F771))</f>
        <v/>
      </c>
      <c r="P771" s="7"/>
      <c r="Q771" s="7"/>
    </row>
    <row r="772" spans="1:17">
      <c r="A772" s="105"/>
      <c r="B772" s="2"/>
      <c r="C772" s="254"/>
      <c r="D772" s="254"/>
      <c r="E772" s="254"/>
      <c r="F772" s="255"/>
      <c r="G772" s="215" t="str">
        <f>IF(AND($B772="",OR(B772&lt;&gt;"",C772&lt;&gt;"",D772&lt;&gt;"",E772&lt;&gt;"",F772&lt;&gt;"")),入力リスト!$K$34,IF($I772=TRUE,入力リスト!$K$35,IF(J772=FALSE,"「毎月の固定給与額」","")&amp;IF(AND(J772=FALSE,OR(K772=FALSE,L772=FALSE,M772=FALSE)),",","")&amp;IF(K772=FALSE,"「賞与額等」","")&amp;IF(AND(K772=FALSE,OR(L772=FALSE,M772=FALSE)),",","")&amp;IF(L772=FALSE,"「残業手当」","")&amp;IF(AND(L772=FALSE,M772=FALSE),",","")&amp;IF(M772=FALSE,"「残業時間」","")&amp;IF(OR(J772=FALSE,K772=FALSE,L772=FALSE,M772=FALSE),入力リスト!$K$36,"")&amp;IF(N772,"",入力リスト!$K$37)))</f>
        <v/>
      </c>
      <c r="H772" s="215"/>
      <c r="I772" s="1" t="b">
        <f>IF(B772="",FALSE,COUNTIF('従業員情報(給与以外)'!$A$4:$A$1000000,$B772)=0)</f>
        <v>0</v>
      </c>
      <c r="J772" s="8" t="b">
        <f t="shared" si="55"/>
        <v>1</v>
      </c>
      <c r="K772" s="8" t="b">
        <f t="shared" si="56"/>
        <v>1</v>
      </c>
      <c r="L772" s="8" t="b">
        <f t="shared" si="57"/>
        <v>1</v>
      </c>
      <c r="M772" s="8" t="b">
        <f t="shared" si="58"/>
        <v>1</v>
      </c>
      <c r="N772" s="1" t="b">
        <f t="shared" si="59"/>
        <v>1</v>
      </c>
      <c r="O772" s="8" t="str">
        <f>IF(F772="","",IF($F$2=入力リスト!$H$25,ROUNDDOWN(INT(F772)+ROUNDDOWN((F772-INT(F772))*100,0)/60,2),F772))</f>
        <v/>
      </c>
      <c r="P772" s="7"/>
      <c r="Q772" s="7"/>
    </row>
    <row r="773" spans="1:17">
      <c r="A773" s="105"/>
      <c r="B773" s="2"/>
      <c r="C773" s="254"/>
      <c r="D773" s="254"/>
      <c r="E773" s="254"/>
      <c r="F773" s="255"/>
      <c r="G773" s="215" t="str">
        <f>IF(AND($B773="",OR(B773&lt;&gt;"",C773&lt;&gt;"",D773&lt;&gt;"",E773&lt;&gt;"",F773&lt;&gt;"")),入力リスト!$K$34,IF($I773=TRUE,入力リスト!$K$35,IF(J773=FALSE,"「毎月の固定給与額」","")&amp;IF(AND(J773=FALSE,OR(K773=FALSE,L773=FALSE,M773=FALSE)),",","")&amp;IF(K773=FALSE,"「賞与額等」","")&amp;IF(AND(K773=FALSE,OR(L773=FALSE,M773=FALSE)),",","")&amp;IF(L773=FALSE,"「残業手当」","")&amp;IF(AND(L773=FALSE,M773=FALSE),",","")&amp;IF(M773=FALSE,"「残業時間」","")&amp;IF(OR(J773=FALSE,K773=FALSE,L773=FALSE,M773=FALSE),入力リスト!$K$36,"")&amp;IF(N773,"",入力リスト!$K$37)))</f>
        <v/>
      </c>
      <c r="H773" s="215"/>
      <c r="I773" s="1" t="b">
        <f>IF(B773="",FALSE,COUNTIF('従業員情報(給与以外)'!$A$4:$A$1000000,$B773)=0)</f>
        <v>0</v>
      </c>
      <c r="J773" s="8" t="b">
        <f t="shared" ref="J773:J836" si="60">OR(C773="",ISNUMBER(C773))</f>
        <v>1</v>
      </c>
      <c r="K773" s="8" t="b">
        <f t="shared" ref="K773:K836" si="61">OR(D773="",ISNUMBER(D773))</f>
        <v>1</v>
      </c>
      <c r="L773" s="8" t="b">
        <f t="shared" ref="L773:L836" si="62">OR(E773="",ISNUMBER(E773))</f>
        <v>1</v>
      </c>
      <c r="M773" s="8" t="b">
        <f t="shared" ref="M773:M836" si="63">OR(F773="",ISNUMBER(F773))</f>
        <v>1</v>
      </c>
      <c r="N773" s="1" t="b">
        <f t="shared" ref="N773:N836" si="64">IF($N$1,TRUE,IF($N$2,IF(F773-INT(F773)&lt;0.6,TRUE,FALSE),TRUE))</f>
        <v>1</v>
      </c>
      <c r="O773" s="8" t="str">
        <f>IF(F773="","",IF($F$2=入力リスト!$H$25,ROUNDDOWN(INT(F773)+ROUNDDOWN((F773-INT(F773))*100,0)/60,2),F773))</f>
        <v/>
      </c>
      <c r="P773" s="7"/>
      <c r="Q773" s="7"/>
    </row>
    <row r="774" spans="1:17">
      <c r="A774" s="105"/>
      <c r="B774" s="2"/>
      <c r="C774" s="254"/>
      <c r="D774" s="254"/>
      <c r="E774" s="254"/>
      <c r="F774" s="255"/>
      <c r="G774" s="215" t="str">
        <f>IF(AND($B774="",OR(B774&lt;&gt;"",C774&lt;&gt;"",D774&lt;&gt;"",E774&lt;&gt;"",F774&lt;&gt;"")),入力リスト!$K$34,IF($I774=TRUE,入力リスト!$K$35,IF(J774=FALSE,"「毎月の固定給与額」","")&amp;IF(AND(J774=FALSE,OR(K774=FALSE,L774=FALSE,M774=FALSE)),",","")&amp;IF(K774=FALSE,"「賞与額等」","")&amp;IF(AND(K774=FALSE,OR(L774=FALSE,M774=FALSE)),",","")&amp;IF(L774=FALSE,"「残業手当」","")&amp;IF(AND(L774=FALSE,M774=FALSE),",","")&amp;IF(M774=FALSE,"「残業時間」","")&amp;IF(OR(J774=FALSE,K774=FALSE,L774=FALSE,M774=FALSE),入力リスト!$K$36,"")&amp;IF(N774,"",入力リスト!$K$37)))</f>
        <v/>
      </c>
      <c r="H774" s="215"/>
      <c r="I774" s="1" t="b">
        <f>IF(B774="",FALSE,COUNTIF('従業員情報(給与以外)'!$A$4:$A$1000000,$B774)=0)</f>
        <v>0</v>
      </c>
      <c r="J774" s="8" t="b">
        <f t="shared" si="60"/>
        <v>1</v>
      </c>
      <c r="K774" s="8" t="b">
        <f t="shared" si="61"/>
        <v>1</v>
      </c>
      <c r="L774" s="8" t="b">
        <f t="shared" si="62"/>
        <v>1</v>
      </c>
      <c r="M774" s="8" t="b">
        <f t="shared" si="63"/>
        <v>1</v>
      </c>
      <c r="N774" s="1" t="b">
        <f t="shared" si="64"/>
        <v>1</v>
      </c>
      <c r="O774" s="8" t="str">
        <f>IF(F774="","",IF($F$2=入力リスト!$H$25,ROUNDDOWN(INT(F774)+ROUNDDOWN((F774-INT(F774))*100,0)/60,2),F774))</f>
        <v/>
      </c>
      <c r="P774" s="7"/>
      <c r="Q774" s="7"/>
    </row>
    <row r="775" spans="1:17">
      <c r="A775" s="105"/>
      <c r="B775" s="2"/>
      <c r="C775" s="254"/>
      <c r="D775" s="254"/>
      <c r="E775" s="254"/>
      <c r="F775" s="255"/>
      <c r="G775" s="215" t="str">
        <f>IF(AND($B775="",OR(B775&lt;&gt;"",C775&lt;&gt;"",D775&lt;&gt;"",E775&lt;&gt;"",F775&lt;&gt;"")),入力リスト!$K$34,IF($I775=TRUE,入力リスト!$K$35,IF(J775=FALSE,"「毎月の固定給与額」","")&amp;IF(AND(J775=FALSE,OR(K775=FALSE,L775=FALSE,M775=FALSE)),",","")&amp;IF(K775=FALSE,"「賞与額等」","")&amp;IF(AND(K775=FALSE,OR(L775=FALSE,M775=FALSE)),",","")&amp;IF(L775=FALSE,"「残業手当」","")&amp;IF(AND(L775=FALSE,M775=FALSE),",","")&amp;IF(M775=FALSE,"「残業時間」","")&amp;IF(OR(J775=FALSE,K775=FALSE,L775=FALSE,M775=FALSE),入力リスト!$K$36,"")&amp;IF(N775,"",入力リスト!$K$37)))</f>
        <v/>
      </c>
      <c r="H775" s="215"/>
      <c r="I775" s="1" t="b">
        <f>IF(B775="",FALSE,COUNTIF('従業員情報(給与以外)'!$A$4:$A$1000000,$B775)=0)</f>
        <v>0</v>
      </c>
      <c r="J775" s="8" t="b">
        <f t="shared" si="60"/>
        <v>1</v>
      </c>
      <c r="K775" s="8" t="b">
        <f t="shared" si="61"/>
        <v>1</v>
      </c>
      <c r="L775" s="8" t="b">
        <f t="shared" si="62"/>
        <v>1</v>
      </c>
      <c r="M775" s="8" t="b">
        <f t="shared" si="63"/>
        <v>1</v>
      </c>
      <c r="N775" s="1" t="b">
        <f t="shared" si="64"/>
        <v>1</v>
      </c>
      <c r="O775" s="8" t="str">
        <f>IF(F775="","",IF($F$2=入力リスト!$H$25,ROUNDDOWN(INT(F775)+ROUNDDOWN((F775-INT(F775))*100,0)/60,2),F775))</f>
        <v/>
      </c>
      <c r="P775" s="7"/>
      <c r="Q775" s="7"/>
    </row>
    <row r="776" spans="1:17">
      <c r="A776" s="105"/>
      <c r="B776" s="2"/>
      <c r="C776" s="254"/>
      <c r="D776" s="254"/>
      <c r="E776" s="254"/>
      <c r="F776" s="255"/>
      <c r="G776" s="215" t="str">
        <f>IF(AND($B776="",OR(B776&lt;&gt;"",C776&lt;&gt;"",D776&lt;&gt;"",E776&lt;&gt;"",F776&lt;&gt;"")),入力リスト!$K$34,IF($I776=TRUE,入力リスト!$K$35,IF(J776=FALSE,"「毎月の固定給与額」","")&amp;IF(AND(J776=FALSE,OR(K776=FALSE,L776=FALSE,M776=FALSE)),",","")&amp;IF(K776=FALSE,"「賞与額等」","")&amp;IF(AND(K776=FALSE,OR(L776=FALSE,M776=FALSE)),",","")&amp;IF(L776=FALSE,"「残業手当」","")&amp;IF(AND(L776=FALSE,M776=FALSE),",","")&amp;IF(M776=FALSE,"「残業時間」","")&amp;IF(OR(J776=FALSE,K776=FALSE,L776=FALSE,M776=FALSE),入力リスト!$K$36,"")&amp;IF(N776,"",入力リスト!$K$37)))</f>
        <v/>
      </c>
      <c r="H776" s="215"/>
      <c r="I776" s="1" t="b">
        <f>IF(B776="",FALSE,COUNTIF('従業員情報(給与以外)'!$A$4:$A$1000000,$B776)=0)</f>
        <v>0</v>
      </c>
      <c r="J776" s="8" t="b">
        <f t="shared" si="60"/>
        <v>1</v>
      </c>
      <c r="K776" s="8" t="b">
        <f t="shared" si="61"/>
        <v>1</v>
      </c>
      <c r="L776" s="8" t="b">
        <f t="shared" si="62"/>
        <v>1</v>
      </c>
      <c r="M776" s="8" t="b">
        <f t="shared" si="63"/>
        <v>1</v>
      </c>
      <c r="N776" s="1" t="b">
        <f t="shared" si="64"/>
        <v>1</v>
      </c>
      <c r="O776" s="8" t="str">
        <f>IF(F776="","",IF($F$2=入力リスト!$H$25,ROUNDDOWN(INT(F776)+ROUNDDOWN((F776-INT(F776))*100,0)/60,2),F776))</f>
        <v/>
      </c>
      <c r="P776" s="7"/>
      <c r="Q776" s="7"/>
    </row>
    <row r="777" spans="1:17">
      <c r="A777" s="105"/>
      <c r="B777" s="2"/>
      <c r="C777" s="254"/>
      <c r="D777" s="254"/>
      <c r="E777" s="254"/>
      <c r="F777" s="255"/>
      <c r="G777" s="215" t="str">
        <f>IF(AND($B777="",OR(B777&lt;&gt;"",C777&lt;&gt;"",D777&lt;&gt;"",E777&lt;&gt;"",F777&lt;&gt;"")),入力リスト!$K$34,IF($I777=TRUE,入力リスト!$K$35,IF(J777=FALSE,"「毎月の固定給与額」","")&amp;IF(AND(J777=FALSE,OR(K777=FALSE,L777=FALSE,M777=FALSE)),",","")&amp;IF(K777=FALSE,"「賞与額等」","")&amp;IF(AND(K777=FALSE,OR(L777=FALSE,M777=FALSE)),",","")&amp;IF(L777=FALSE,"「残業手当」","")&amp;IF(AND(L777=FALSE,M777=FALSE),",","")&amp;IF(M777=FALSE,"「残業時間」","")&amp;IF(OR(J777=FALSE,K777=FALSE,L777=FALSE,M777=FALSE),入力リスト!$K$36,"")&amp;IF(N777,"",入力リスト!$K$37)))</f>
        <v/>
      </c>
      <c r="H777" s="215"/>
      <c r="I777" s="1" t="b">
        <f>IF(B777="",FALSE,COUNTIF('従業員情報(給与以外)'!$A$4:$A$1000000,$B777)=0)</f>
        <v>0</v>
      </c>
      <c r="J777" s="8" t="b">
        <f t="shared" si="60"/>
        <v>1</v>
      </c>
      <c r="K777" s="8" t="b">
        <f t="shared" si="61"/>
        <v>1</v>
      </c>
      <c r="L777" s="8" t="b">
        <f t="shared" si="62"/>
        <v>1</v>
      </c>
      <c r="M777" s="8" t="b">
        <f t="shared" si="63"/>
        <v>1</v>
      </c>
      <c r="N777" s="1" t="b">
        <f t="shared" si="64"/>
        <v>1</v>
      </c>
      <c r="O777" s="8" t="str">
        <f>IF(F777="","",IF($F$2=入力リスト!$H$25,ROUNDDOWN(INT(F777)+ROUNDDOWN((F777-INT(F777))*100,0)/60,2),F777))</f>
        <v/>
      </c>
      <c r="P777" s="7"/>
      <c r="Q777" s="7"/>
    </row>
    <row r="778" spans="1:17">
      <c r="A778" s="105"/>
      <c r="B778" s="2"/>
      <c r="C778" s="254"/>
      <c r="D778" s="254"/>
      <c r="E778" s="254"/>
      <c r="F778" s="255"/>
      <c r="G778" s="215" t="str">
        <f>IF(AND($B778="",OR(B778&lt;&gt;"",C778&lt;&gt;"",D778&lt;&gt;"",E778&lt;&gt;"",F778&lt;&gt;"")),入力リスト!$K$34,IF($I778=TRUE,入力リスト!$K$35,IF(J778=FALSE,"「毎月の固定給与額」","")&amp;IF(AND(J778=FALSE,OR(K778=FALSE,L778=FALSE,M778=FALSE)),",","")&amp;IF(K778=FALSE,"「賞与額等」","")&amp;IF(AND(K778=FALSE,OR(L778=FALSE,M778=FALSE)),",","")&amp;IF(L778=FALSE,"「残業手当」","")&amp;IF(AND(L778=FALSE,M778=FALSE),",","")&amp;IF(M778=FALSE,"「残業時間」","")&amp;IF(OR(J778=FALSE,K778=FALSE,L778=FALSE,M778=FALSE),入力リスト!$K$36,"")&amp;IF(N778,"",入力リスト!$K$37)))</f>
        <v/>
      </c>
      <c r="H778" s="215"/>
      <c r="I778" s="1" t="b">
        <f>IF(B778="",FALSE,COUNTIF('従業員情報(給与以外)'!$A$4:$A$1000000,$B778)=0)</f>
        <v>0</v>
      </c>
      <c r="J778" s="8" t="b">
        <f t="shared" si="60"/>
        <v>1</v>
      </c>
      <c r="K778" s="8" t="b">
        <f t="shared" si="61"/>
        <v>1</v>
      </c>
      <c r="L778" s="8" t="b">
        <f t="shared" si="62"/>
        <v>1</v>
      </c>
      <c r="M778" s="8" t="b">
        <f t="shared" si="63"/>
        <v>1</v>
      </c>
      <c r="N778" s="1" t="b">
        <f t="shared" si="64"/>
        <v>1</v>
      </c>
      <c r="O778" s="8" t="str">
        <f>IF(F778="","",IF($F$2=入力リスト!$H$25,ROUNDDOWN(INT(F778)+ROUNDDOWN((F778-INT(F778))*100,0)/60,2),F778))</f>
        <v/>
      </c>
      <c r="P778" s="7"/>
      <c r="Q778" s="7"/>
    </row>
    <row r="779" spans="1:17">
      <c r="A779" s="105"/>
      <c r="B779" s="2"/>
      <c r="C779" s="254"/>
      <c r="D779" s="254"/>
      <c r="E779" s="254"/>
      <c r="F779" s="255"/>
      <c r="G779" s="215" t="str">
        <f>IF(AND($B779="",OR(B779&lt;&gt;"",C779&lt;&gt;"",D779&lt;&gt;"",E779&lt;&gt;"",F779&lt;&gt;"")),入力リスト!$K$34,IF($I779=TRUE,入力リスト!$K$35,IF(J779=FALSE,"「毎月の固定給与額」","")&amp;IF(AND(J779=FALSE,OR(K779=FALSE,L779=FALSE,M779=FALSE)),",","")&amp;IF(K779=FALSE,"「賞与額等」","")&amp;IF(AND(K779=FALSE,OR(L779=FALSE,M779=FALSE)),",","")&amp;IF(L779=FALSE,"「残業手当」","")&amp;IF(AND(L779=FALSE,M779=FALSE),",","")&amp;IF(M779=FALSE,"「残業時間」","")&amp;IF(OR(J779=FALSE,K779=FALSE,L779=FALSE,M779=FALSE),入力リスト!$K$36,"")&amp;IF(N779,"",入力リスト!$K$37)))</f>
        <v/>
      </c>
      <c r="H779" s="215"/>
      <c r="I779" s="1" t="b">
        <f>IF(B779="",FALSE,COUNTIF('従業員情報(給与以外)'!$A$4:$A$1000000,$B779)=0)</f>
        <v>0</v>
      </c>
      <c r="J779" s="8" t="b">
        <f t="shared" si="60"/>
        <v>1</v>
      </c>
      <c r="K779" s="8" t="b">
        <f t="shared" si="61"/>
        <v>1</v>
      </c>
      <c r="L779" s="8" t="b">
        <f t="shared" si="62"/>
        <v>1</v>
      </c>
      <c r="M779" s="8" t="b">
        <f t="shared" si="63"/>
        <v>1</v>
      </c>
      <c r="N779" s="1" t="b">
        <f t="shared" si="64"/>
        <v>1</v>
      </c>
      <c r="O779" s="8" t="str">
        <f>IF(F779="","",IF($F$2=入力リスト!$H$25,ROUNDDOWN(INT(F779)+ROUNDDOWN((F779-INT(F779))*100,0)/60,2),F779))</f>
        <v/>
      </c>
      <c r="P779" s="7"/>
      <c r="Q779" s="7"/>
    </row>
    <row r="780" spans="1:17">
      <c r="A780" s="105"/>
      <c r="B780" s="2"/>
      <c r="C780" s="254"/>
      <c r="D780" s="254"/>
      <c r="E780" s="254"/>
      <c r="F780" s="255"/>
      <c r="G780" s="215" t="str">
        <f>IF(AND($B780="",OR(B780&lt;&gt;"",C780&lt;&gt;"",D780&lt;&gt;"",E780&lt;&gt;"",F780&lt;&gt;"")),入力リスト!$K$34,IF($I780=TRUE,入力リスト!$K$35,IF(J780=FALSE,"「毎月の固定給与額」","")&amp;IF(AND(J780=FALSE,OR(K780=FALSE,L780=FALSE,M780=FALSE)),",","")&amp;IF(K780=FALSE,"「賞与額等」","")&amp;IF(AND(K780=FALSE,OR(L780=FALSE,M780=FALSE)),",","")&amp;IF(L780=FALSE,"「残業手当」","")&amp;IF(AND(L780=FALSE,M780=FALSE),",","")&amp;IF(M780=FALSE,"「残業時間」","")&amp;IF(OR(J780=FALSE,K780=FALSE,L780=FALSE,M780=FALSE),入力リスト!$K$36,"")&amp;IF(N780,"",入力リスト!$K$37)))</f>
        <v/>
      </c>
      <c r="H780" s="215"/>
      <c r="I780" s="1" t="b">
        <f>IF(B780="",FALSE,COUNTIF('従業員情報(給与以外)'!$A$4:$A$1000000,$B780)=0)</f>
        <v>0</v>
      </c>
      <c r="J780" s="8" t="b">
        <f t="shared" si="60"/>
        <v>1</v>
      </c>
      <c r="K780" s="8" t="b">
        <f t="shared" si="61"/>
        <v>1</v>
      </c>
      <c r="L780" s="8" t="b">
        <f t="shared" si="62"/>
        <v>1</v>
      </c>
      <c r="M780" s="8" t="b">
        <f t="shared" si="63"/>
        <v>1</v>
      </c>
      <c r="N780" s="1" t="b">
        <f t="shared" si="64"/>
        <v>1</v>
      </c>
      <c r="O780" s="8" t="str">
        <f>IF(F780="","",IF($F$2=入力リスト!$H$25,ROUNDDOWN(INT(F780)+ROUNDDOWN((F780-INT(F780))*100,0)/60,2),F780))</f>
        <v/>
      </c>
      <c r="P780" s="7"/>
      <c r="Q780" s="7"/>
    </row>
    <row r="781" spans="1:17">
      <c r="A781" s="105"/>
      <c r="B781" s="2"/>
      <c r="C781" s="254"/>
      <c r="D781" s="254"/>
      <c r="E781" s="254"/>
      <c r="F781" s="255"/>
      <c r="G781" s="215" t="str">
        <f>IF(AND($B781="",OR(B781&lt;&gt;"",C781&lt;&gt;"",D781&lt;&gt;"",E781&lt;&gt;"",F781&lt;&gt;"")),入力リスト!$K$34,IF($I781=TRUE,入力リスト!$K$35,IF(J781=FALSE,"「毎月の固定給与額」","")&amp;IF(AND(J781=FALSE,OR(K781=FALSE,L781=FALSE,M781=FALSE)),",","")&amp;IF(K781=FALSE,"「賞与額等」","")&amp;IF(AND(K781=FALSE,OR(L781=FALSE,M781=FALSE)),",","")&amp;IF(L781=FALSE,"「残業手当」","")&amp;IF(AND(L781=FALSE,M781=FALSE),",","")&amp;IF(M781=FALSE,"「残業時間」","")&amp;IF(OR(J781=FALSE,K781=FALSE,L781=FALSE,M781=FALSE),入力リスト!$K$36,"")&amp;IF(N781,"",入力リスト!$K$37)))</f>
        <v/>
      </c>
      <c r="H781" s="215"/>
      <c r="I781" s="1" t="b">
        <f>IF(B781="",FALSE,COUNTIF('従業員情報(給与以外)'!$A$4:$A$1000000,$B781)=0)</f>
        <v>0</v>
      </c>
      <c r="J781" s="8" t="b">
        <f t="shared" si="60"/>
        <v>1</v>
      </c>
      <c r="K781" s="8" t="b">
        <f t="shared" si="61"/>
        <v>1</v>
      </c>
      <c r="L781" s="8" t="b">
        <f t="shared" si="62"/>
        <v>1</v>
      </c>
      <c r="M781" s="8" t="b">
        <f t="shared" si="63"/>
        <v>1</v>
      </c>
      <c r="N781" s="1" t="b">
        <f t="shared" si="64"/>
        <v>1</v>
      </c>
      <c r="O781" s="8" t="str">
        <f>IF(F781="","",IF($F$2=入力リスト!$H$25,ROUNDDOWN(INT(F781)+ROUNDDOWN((F781-INT(F781))*100,0)/60,2),F781))</f>
        <v/>
      </c>
      <c r="P781" s="7"/>
      <c r="Q781" s="7"/>
    </row>
    <row r="782" spans="1:17">
      <c r="A782" s="105"/>
      <c r="B782" s="2"/>
      <c r="C782" s="254"/>
      <c r="D782" s="254"/>
      <c r="E782" s="254"/>
      <c r="F782" s="255"/>
      <c r="G782" s="215" t="str">
        <f>IF(AND($B782="",OR(B782&lt;&gt;"",C782&lt;&gt;"",D782&lt;&gt;"",E782&lt;&gt;"",F782&lt;&gt;"")),入力リスト!$K$34,IF($I782=TRUE,入力リスト!$K$35,IF(J782=FALSE,"「毎月の固定給与額」","")&amp;IF(AND(J782=FALSE,OR(K782=FALSE,L782=FALSE,M782=FALSE)),",","")&amp;IF(K782=FALSE,"「賞与額等」","")&amp;IF(AND(K782=FALSE,OR(L782=FALSE,M782=FALSE)),",","")&amp;IF(L782=FALSE,"「残業手当」","")&amp;IF(AND(L782=FALSE,M782=FALSE),",","")&amp;IF(M782=FALSE,"「残業時間」","")&amp;IF(OR(J782=FALSE,K782=FALSE,L782=FALSE,M782=FALSE),入力リスト!$K$36,"")&amp;IF(N782,"",入力リスト!$K$37)))</f>
        <v/>
      </c>
      <c r="H782" s="215"/>
      <c r="I782" s="1" t="b">
        <f>IF(B782="",FALSE,COUNTIF('従業員情報(給与以外)'!$A$4:$A$1000000,$B782)=0)</f>
        <v>0</v>
      </c>
      <c r="J782" s="8" t="b">
        <f t="shared" si="60"/>
        <v>1</v>
      </c>
      <c r="K782" s="8" t="b">
        <f t="shared" si="61"/>
        <v>1</v>
      </c>
      <c r="L782" s="8" t="b">
        <f t="shared" si="62"/>
        <v>1</v>
      </c>
      <c r="M782" s="8" t="b">
        <f t="shared" si="63"/>
        <v>1</v>
      </c>
      <c r="N782" s="1" t="b">
        <f t="shared" si="64"/>
        <v>1</v>
      </c>
      <c r="O782" s="8" t="str">
        <f>IF(F782="","",IF($F$2=入力リスト!$H$25,ROUNDDOWN(INT(F782)+ROUNDDOWN((F782-INT(F782))*100,0)/60,2),F782))</f>
        <v/>
      </c>
      <c r="P782" s="7"/>
      <c r="Q782" s="7"/>
    </row>
    <row r="783" spans="1:17">
      <c r="A783" s="105"/>
      <c r="B783" s="2"/>
      <c r="C783" s="254"/>
      <c r="D783" s="254"/>
      <c r="E783" s="254"/>
      <c r="F783" s="255"/>
      <c r="G783" s="215" t="str">
        <f>IF(AND($B783="",OR(B783&lt;&gt;"",C783&lt;&gt;"",D783&lt;&gt;"",E783&lt;&gt;"",F783&lt;&gt;"")),入力リスト!$K$34,IF($I783=TRUE,入力リスト!$K$35,IF(J783=FALSE,"「毎月の固定給与額」","")&amp;IF(AND(J783=FALSE,OR(K783=FALSE,L783=FALSE,M783=FALSE)),",","")&amp;IF(K783=FALSE,"「賞与額等」","")&amp;IF(AND(K783=FALSE,OR(L783=FALSE,M783=FALSE)),",","")&amp;IF(L783=FALSE,"「残業手当」","")&amp;IF(AND(L783=FALSE,M783=FALSE),",","")&amp;IF(M783=FALSE,"「残業時間」","")&amp;IF(OR(J783=FALSE,K783=FALSE,L783=FALSE,M783=FALSE),入力リスト!$K$36,"")&amp;IF(N783,"",入力リスト!$K$37)))</f>
        <v/>
      </c>
      <c r="H783" s="215"/>
      <c r="I783" s="1" t="b">
        <f>IF(B783="",FALSE,COUNTIF('従業員情報(給与以外)'!$A$4:$A$1000000,$B783)=0)</f>
        <v>0</v>
      </c>
      <c r="J783" s="8" t="b">
        <f t="shared" si="60"/>
        <v>1</v>
      </c>
      <c r="K783" s="8" t="b">
        <f t="shared" si="61"/>
        <v>1</v>
      </c>
      <c r="L783" s="8" t="b">
        <f t="shared" si="62"/>
        <v>1</v>
      </c>
      <c r="M783" s="8" t="b">
        <f t="shared" si="63"/>
        <v>1</v>
      </c>
      <c r="N783" s="1" t="b">
        <f t="shared" si="64"/>
        <v>1</v>
      </c>
      <c r="O783" s="8" t="str">
        <f>IF(F783="","",IF($F$2=入力リスト!$H$25,ROUNDDOWN(INT(F783)+ROUNDDOWN((F783-INT(F783))*100,0)/60,2),F783))</f>
        <v/>
      </c>
      <c r="P783" s="7"/>
      <c r="Q783" s="7"/>
    </row>
    <row r="784" spans="1:17">
      <c r="A784" s="105"/>
      <c r="B784" s="2"/>
      <c r="C784" s="254"/>
      <c r="D784" s="254"/>
      <c r="E784" s="254"/>
      <c r="F784" s="255"/>
      <c r="G784" s="215" t="str">
        <f>IF(AND($B784="",OR(B784&lt;&gt;"",C784&lt;&gt;"",D784&lt;&gt;"",E784&lt;&gt;"",F784&lt;&gt;"")),入力リスト!$K$34,IF($I784=TRUE,入力リスト!$K$35,IF(J784=FALSE,"「毎月の固定給与額」","")&amp;IF(AND(J784=FALSE,OR(K784=FALSE,L784=FALSE,M784=FALSE)),",","")&amp;IF(K784=FALSE,"「賞与額等」","")&amp;IF(AND(K784=FALSE,OR(L784=FALSE,M784=FALSE)),",","")&amp;IF(L784=FALSE,"「残業手当」","")&amp;IF(AND(L784=FALSE,M784=FALSE),",","")&amp;IF(M784=FALSE,"「残業時間」","")&amp;IF(OR(J784=FALSE,K784=FALSE,L784=FALSE,M784=FALSE),入力リスト!$K$36,"")&amp;IF(N784,"",入力リスト!$K$37)))</f>
        <v/>
      </c>
      <c r="H784" s="215"/>
      <c r="I784" s="1" t="b">
        <f>IF(B784="",FALSE,COUNTIF('従業員情報(給与以外)'!$A$4:$A$1000000,$B784)=0)</f>
        <v>0</v>
      </c>
      <c r="J784" s="8" t="b">
        <f t="shared" si="60"/>
        <v>1</v>
      </c>
      <c r="K784" s="8" t="b">
        <f t="shared" si="61"/>
        <v>1</v>
      </c>
      <c r="L784" s="8" t="b">
        <f t="shared" si="62"/>
        <v>1</v>
      </c>
      <c r="M784" s="8" t="b">
        <f t="shared" si="63"/>
        <v>1</v>
      </c>
      <c r="N784" s="1" t="b">
        <f t="shared" si="64"/>
        <v>1</v>
      </c>
      <c r="O784" s="8" t="str">
        <f>IF(F784="","",IF($F$2=入力リスト!$H$25,ROUNDDOWN(INT(F784)+ROUNDDOWN((F784-INT(F784))*100,0)/60,2),F784))</f>
        <v/>
      </c>
      <c r="P784" s="7"/>
      <c r="Q784" s="7"/>
    </row>
    <row r="785" spans="1:17">
      <c r="A785" s="105"/>
      <c r="B785" s="2"/>
      <c r="C785" s="254"/>
      <c r="D785" s="254"/>
      <c r="E785" s="254"/>
      <c r="F785" s="255"/>
      <c r="G785" s="215" t="str">
        <f>IF(AND($B785="",OR(B785&lt;&gt;"",C785&lt;&gt;"",D785&lt;&gt;"",E785&lt;&gt;"",F785&lt;&gt;"")),入力リスト!$K$34,IF($I785=TRUE,入力リスト!$K$35,IF(J785=FALSE,"「毎月の固定給与額」","")&amp;IF(AND(J785=FALSE,OR(K785=FALSE,L785=FALSE,M785=FALSE)),",","")&amp;IF(K785=FALSE,"「賞与額等」","")&amp;IF(AND(K785=FALSE,OR(L785=FALSE,M785=FALSE)),",","")&amp;IF(L785=FALSE,"「残業手当」","")&amp;IF(AND(L785=FALSE,M785=FALSE),",","")&amp;IF(M785=FALSE,"「残業時間」","")&amp;IF(OR(J785=FALSE,K785=FALSE,L785=FALSE,M785=FALSE),入力リスト!$K$36,"")&amp;IF(N785,"",入力リスト!$K$37)))</f>
        <v/>
      </c>
      <c r="H785" s="215"/>
      <c r="I785" s="1" t="b">
        <f>IF(B785="",FALSE,COUNTIF('従業員情報(給与以外)'!$A$4:$A$1000000,$B785)=0)</f>
        <v>0</v>
      </c>
      <c r="J785" s="8" t="b">
        <f t="shared" si="60"/>
        <v>1</v>
      </c>
      <c r="K785" s="8" t="b">
        <f t="shared" si="61"/>
        <v>1</v>
      </c>
      <c r="L785" s="8" t="b">
        <f t="shared" si="62"/>
        <v>1</v>
      </c>
      <c r="M785" s="8" t="b">
        <f t="shared" si="63"/>
        <v>1</v>
      </c>
      <c r="N785" s="1" t="b">
        <f t="shared" si="64"/>
        <v>1</v>
      </c>
      <c r="O785" s="8" t="str">
        <f>IF(F785="","",IF($F$2=入力リスト!$H$25,ROUNDDOWN(INT(F785)+ROUNDDOWN((F785-INT(F785))*100,0)/60,2),F785))</f>
        <v/>
      </c>
      <c r="P785" s="7"/>
      <c r="Q785" s="7"/>
    </row>
    <row r="786" spans="1:17">
      <c r="A786" s="105"/>
      <c r="B786" s="2"/>
      <c r="C786" s="254"/>
      <c r="D786" s="254"/>
      <c r="E786" s="254"/>
      <c r="F786" s="255"/>
      <c r="G786" s="215" t="str">
        <f>IF(AND($B786="",OR(B786&lt;&gt;"",C786&lt;&gt;"",D786&lt;&gt;"",E786&lt;&gt;"",F786&lt;&gt;"")),入力リスト!$K$34,IF($I786=TRUE,入力リスト!$K$35,IF(J786=FALSE,"「毎月の固定給与額」","")&amp;IF(AND(J786=FALSE,OR(K786=FALSE,L786=FALSE,M786=FALSE)),",","")&amp;IF(K786=FALSE,"「賞与額等」","")&amp;IF(AND(K786=FALSE,OR(L786=FALSE,M786=FALSE)),",","")&amp;IF(L786=FALSE,"「残業手当」","")&amp;IF(AND(L786=FALSE,M786=FALSE),",","")&amp;IF(M786=FALSE,"「残業時間」","")&amp;IF(OR(J786=FALSE,K786=FALSE,L786=FALSE,M786=FALSE),入力リスト!$K$36,"")&amp;IF(N786,"",入力リスト!$K$37)))</f>
        <v/>
      </c>
      <c r="H786" s="215"/>
      <c r="I786" s="1" t="b">
        <f>IF(B786="",FALSE,COUNTIF('従業員情報(給与以外)'!$A$4:$A$1000000,$B786)=0)</f>
        <v>0</v>
      </c>
      <c r="J786" s="8" t="b">
        <f t="shared" si="60"/>
        <v>1</v>
      </c>
      <c r="K786" s="8" t="b">
        <f t="shared" si="61"/>
        <v>1</v>
      </c>
      <c r="L786" s="8" t="b">
        <f t="shared" si="62"/>
        <v>1</v>
      </c>
      <c r="M786" s="8" t="b">
        <f t="shared" si="63"/>
        <v>1</v>
      </c>
      <c r="N786" s="1" t="b">
        <f t="shared" si="64"/>
        <v>1</v>
      </c>
      <c r="O786" s="8" t="str">
        <f>IF(F786="","",IF($F$2=入力リスト!$H$25,ROUNDDOWN(INT(F786)+ROUNDDOWN((F786-INT(F786))*100,0)/60,2),F786))</f>
        <v/>
      </c>
      <c r="P786" s="7"/>
      <c r="Q786" s="7"/>
    </row>
    <row r="787" spans="1:17">
      <c r="A787" s="105"/>
      <c r="B787" s="2"/>
      <c r="C787" s="254"/>
      <c r="D787" s="254"/>
      <c r="E787" s="254"/>
      <c r="F787" s="255"/>
      <c r="G787" s="215" t="str">
        <f>IF(AND($B787="",OR(B787&lt;&gt;"",C787&lt;&gt;"",D787&lt;&gt;"",E787&lt;&gt;"",F787&lt;&gt;"")),入力リスト!$K$34,IF($I787=TRUE,入力リスト!$K$35,IF(J787=FALSE,"「毎月の固定給与額」","")&amp;IF(AND(J787=FALSE,OR(K787=FALSE,L787=FALSE,M787=FALSE)),",","")&amp;IF(K787=FALSE,"「賞与額等」","")&amp;IF(AND(K787=FALSE,OR(L787=FALSE,M787=FALSE)),",","")&amp;IF(L787=FALSE,"「残業手当」","")&amp;IF(AND(L787=FALSE,M787=FALSE),",","")&amp;IF(M787=FALSE,"「残業時間」","")&amp;IF(OR(J787=FALSE,K787=FALSE,L787=FALSE,M787=FALSE),入力リスト!$K$36,"")&amp;IF(N787,"",入力リスト!$K$37)))</f>
        <v/>
      </c>
      <c r="H787" s="215"/>
      <c r="I787" s="1" t="b">
        <f>IF(B787="",FALSE,COUNTIF('従業員情報(給与以外)'!$A$4:$A$1000000,$B787)=0)</f>
        <v>0</v>
      </c>
      <c r="J787" s="8" t="b">
        <f t="shared" si="60"/>
        <v>1</v>
      </c>
      <c r="K787" s="8" t="b">
        <f t="shared" si="61"/>
        <v>1</v>
      </c>
      <c r="L787" s="8" t="b">
        <f t="shared" si="62"/>
        <v>1</v>
      </c>
      <c r="M787" s="8" t="b">
        <f t="shared" si="63"/>
        <v>1</v>
      </c>
      <c r="N787" s="1" t="b">
        <f t="shared" si="64"/>
        <v>1</v>
      </c>
      <c r="O787" s="8" t="str">
        <f>IF(F787="","",IF($F$2=入力リスト!$H$25,ROUNDDOWN(INT(F787)+ROUNDDOWN((F787-INT(F787))*100,0)/60,2),F787))</f>
        <v/>
      </c>
      <c r="P787" s="7"/>
      <c r="Q787" s="7"/>
    </row>
    <row r="788" spans="1:17">
      <c r="A788" s="105"/>
      <c r="B788" s="2"/>
      <c r="C788" s="254"/>
      <c r="D788" s="254"/>
      <c r="E788" s="254"/>
      <c r="F788" s="255"/>
      <c r="G788" s="215" t="str">
        <f>IF(AND($B788="",OR(B788&lt;&gt;"",C788&lt;&gt;"",D788&lt;&gt;"",E788&lt;&gt;"",F788&lt;&gt;"")),入力リスト!$K$34,IF($I788=TRUE,入力リスト!$K$35,IF(J788=FALSE,"「毎月の固定給与額」","")&amp;IF(AND(J788=FALSE,OR(K788=FALSE,L788=FALSE,M788=FALSE)),",","")&amp;IF(K788=FALSE,"「賞与額等」","")&amp;IF(AND(K788=FALSE,OR(L788=FALSE,M788=FALSE)),",","")&amp;IF(L788=FALSE,"「残業手当」","")&amp;IF(AND(L788=FALSE,M788=FALSE),",","")&amp;IF(M788=FALSE,"「残業時間」","")&amp;IF(OR(J788=FALSE,K788=FALSE,L788=FALSE,M788=FALSE),入力リスト!$K$36,"")&amp;IF(N788,"",入力リスト!$K$37)))</f>
        <v/>
      </c>
      <c r="H788" s="215"/>
      <c r="I788" s="1" t="b">
        <f>IF(B788="",FALSE,COUNTIF('従業員情報(給与以外)'!$A$4:$A$1000000,$B788)=0)</f>
        <v>0</v>
      </c>
      <c r="J788" s="8" t="b">
        <f t="shared" si="60"/>
        <v>1</v>
      </c>
      <c r="K788" s="8" t="b">
        <f t="shared" si="61"/>
        <v>1</v>
      </c>
      <c r="L788" s="8" t="b">
        <f t="shared" si="62"/>
        <v>1</v>
      </c>
      <c r="M788" s="8" t="b">
        <f t="shared" si="63"/>
        <v>1</v>
      </c>
      <c r="N788" s="1" t="b">
        <f t="shared" si="64"/>
        <v>1</v>
      </c>
      <c r="O788" s="8" t="str">
        <f>IF(F788="","",IF($F$2=入力リスト!$H$25,ROUNDDOWN(INT(F788)+ROUNDDOWN((F788-INT(F788))*100,0)/60,2),F788))</f>
        <v/>
      </c>
      <c r="P788" s="7"/>
      <c r="Q788" s="7"/>
    </row>
    <row r="789" spans="1:17">
      <c r="A789" s="105"/>
      <c r="B789" s="2"/>
      <c r="C789" s="254"/>
      <c r="D789" s="254"/>
      <c r="E789" s="254"/>
      <c r="F789" s="255"/>
      <c r="G789" s="215" t="str">
        <f>IF(AND($B789="",OR(B789&lt;&gt;"",C789&lt;&gt;"",D789&lt;&gt;"",E789&lt;&gt;"",F789&lt;&gt;"")),入力リスト!$K$34,IF($I789=TRUE,入力リスト!$K$35,IF(J789=FALSE,"「毎月の固定給与額」","")&amp;IF(AND(J789=FALSE,OR(K789=FALSE,L789=FALSE,M789=FALSE)),",","")&amp;IF(K789=FALSE,"「賞与額等」","")&amp;IF(AND(K789=FALSE,OR(L789=FALSE,M789=FALSE)),",","")&amp;IF(L789=FALSE,"「残業手当」","")&amp;IF(AND(L789=FALSE,M789=FALSE),",","")&amp;IF(M789=FALSE,"「残業時間」","")&amp;IF(OR(J789=FALSE,K789=FALSE,L789=FALSE,M789=FALSE),入力リスト!$K$36,"")&amp;IF(N789,"",入力リスト!$K$37)))</f>
        <v/>
      </c>
      <c r="H789" s="215"/>
      <c r="I789" s="1" t="b">
        <f>IF(B789="",FALSE,COUNTIF('従業員情報(給与以外)'!$A$4:$A$1000000,$B789)=0)</f>
        <v>0</v>
      </c>
      <c r="J789" s="8" t="b">
        <f t="shared" si="60"/>
        <v>1</v>
      </c>
      <c r="K789" s="8" t="b">
        <f t="shared" si="61"/>
        <v>1</v>
      </c>
      <c r="L789" s="8" t="b">
        <f t="shared" si="62"/>
        <v>1</v>
      </c>
      <c r="M789" s="8" t="b">
        <f t="shared" si="63"/>
        <v>1</v>
      </c>
      <c r="N789" s="1" t="b">
        <f t="shared" si="64"/>
        <v>1</v>
      </c>
      <c r="O789" s="8" t="str">
        <f>IF(F789="","",IF($F$2=入力リスト!$H$25,ROUNDDOWN(INT(F789)+ROUNDDOWN((F789-INT(F789))*100,0)/60,2),F789))</f>
        <v/>
      </c>
      <c r="P789" s="7"/>
      <c r="Q789" s="7"/>
    </row>
    <row r="790" spans="1:17">
      <c r="A790" s="105"/>
      <c r="B790" s="2"/>
      <c r="C790" s="254"/>
      <c r="D790" s="254"/>
      <c r="E790" s="254"/>
      <c r="F790" s="255"/>
      <c r="G790" s="215" t="str">
        <f>IF(AND($B790="",OR(B790&lt;&gt;"",C790&lt;&gt;"",D790&lt;&gt;"",E790&lt;&gt;"",F790&lt;&gt;"")),入力リスト!$K$34,IF($I790=TRUE,入力リスト!$K$35,IF(J790=FALSE,"「毎月の固定給与額」","")&amp;IF(AND(J790=FALSE,OR(K790=FALSE,L790=FALSE,M790=FALSE)),",","")&amp;IF(K790=FALSE,"「賞与額等」","")&amp;IF(AND(K790=FALSE,OR(L790=FALSE,M790=FALSE)),",","")&amp;IF(L790=FALSE,"「残業手当」","")&amp;IF(AND(L790=FALSE,M790=FALSE),",","")&amp;IF(M790=FALSE,"「残業時間」","")&amp;IF(OR(J790=FALSE,K790=FALSE,L790=FALSE,M790=FALSE),入力リスト!$K$36,"")&amp;IF(N790,"",入力リスト!$K$37)))</f>
        <v/>
      </c>
      <c r="H790" s="215"/>
      <c r="I790" s="1" t="b">
        <f>IF(B790="",FALSE,COUNTIF('従業員情報(給与以外)'!$A$4:$A$1000000,$B790)=0)</f>
        <v>0</v>
      </c>
      <c r="J790" s="8" t="b">
        <f t="shared" si="60"/>
        <v>1</v>
      </c>
      <c r="K790" s="8" t="b">
        <f t="shared" si="61"/>
        <v>1</v>
      </c>
      <c r="L790" s="8" t="b">
        <f t="shared" si="62"/>
        <v>1</v>
      </c>
      <c r="M790" s="8" t="b">
        <f t="shared" si="63"/>
        <v>1</v>
      </c>
      <c r="N790" s="1" t="b">
        <f t="shared" si="64"/>
        <v>1</v>
      </c>
      <c r="O790" s="8" t="str">
        <f>IF(F790="","",IF($F$2=入力リスト!$H$25,ROUNDDOWN(INT(F790)+ROUNDDOWN((F790-INT(F790))*100,0)/60,2),F790))</f>
        <v/>
      </c>
      <c r="P790" s="7"/>
      <c r="Q790" s="7"/>
    </row>
    <row r="791" spans="1:17">
      <c r="A791" s="105"/>
      <c r="B791" s="2"/>
      <c r="C791" s="254"/>
      <c r="D791" s="254"/>
      <c r="E791" s="254"/>
      <c r="F791" s="255"/>
      <c r="G791" s="215" t="str">
        <f>IF(AND($B791="",OR(B791&lt;&gt;"",C791&lt;&gt;"",D791&lt;&gt;"",E791&lt;&gt;"",F791&lt;&gt;"")),入力リスト!$K$34,IF($I791=TRUE,入力リスト!$K$35,IF(J791=FALSE,"「毎月の固定給与額」","")&amp;IF(AND(J791=FALSE,OR(K791=FALSE,L791=FALSE,M791=FALSE)),",","")&amp;IF(K791=FALSE,"「賞与額等」","")&amp;IF(AND(K791=FALSE,OR(L791=FALSE,M791=FALSE)),",","")&amp;IF(L791=FALSE,"「残業手当」","")&amp;IF(AND(L791=FALSE,M791=FALSE),",","")&amp;IF(M791=FALSE,"「残業時間」","")&amp;IF(OR(J791=FALSE,K791=FALSE,L791=FALSE,M791=FALSE),入力リスト!$K$36,"")&amp;IF(N791,"",入力リスト!$K$37)))</f>
        <v/>
      </c>
      <c r="H791" s="215"/>
      <c r="I791" s="1" t="b">
        <f>IF(B791="",FALSE,COUNTIF('従業員情報(給与以外)'!$A$4:$A$1000000,$B791)=0)</f>
        <v>0</v>
      </c>
      <c r="J791" s="8" t="b">
        <f t="shared" si="60"/>
        <v>1</v>
      </c>
      <c r="K791" s="8" t="b">
        <f t="shared" si="61"/>
        <v>1</v>
      </c>
      <c r="L791" s="8" t="b">
        <f t="shared" si="62"/>
        <v>1</v>
      </c>
      <c r="M791" s="8" t="b">
        <f t="shared" si="63"/>
        <v>1</v>
      </c>
      <c r="N791" s="1" t="b">
        <f t="shared" si="64"/>
        <v>1</v>
      </c>
      <c r="O791" s="8" t="str">
        <f>IF(F791="","",IF($F$2=入力リスト!$H$25,ROUNDDOWN(INT(F791)+ROUNDDOWN((F791-INT(F791))*100,0)/60,2),F791))</f>
        <v/>
      </c>
      <c r="P791" s="7"/>
      <c r="Q791" s="7"/>
    </row>
    <row r="792" spans="1:17">
      <c r="A792" s="105"/>
      <c r="B792" s="2"/>
      <c r="C792" s="254"/>
      <c r="D792" s="254"/>
      <c r="E792" s="254"/>
      <c r="F792" s="255"/>
      <c r="G792" s="215" t="str">
        <f>IF(AND($B792="",OR(B792&lt;&gt;"",C792&lt;&gt;"",D792&lt;&gt;"",E792&lt;&gt;"",F792&lt;&gt;"")),入力リスト!$K$34,IF($I792=TRUE,入力リスト!$K$35,IF(J792=FALSE,"「毎月の固定給与額」","")&amp;IF(AND(J792=FALSE,OR(K792=FALSE,L792=FALSE,M792=FALSE)),",","")&amp;IF(K792=FALSE,"「賞与額等」","")&amp;IF(AND(K792=FALSE,OR(L792=FALSE,M792=FALSE)),",","")&amp;IF(L792=FALSE,"「残業手当」","")&amp;IF(AND(L792=FALSE,M792=FALSE),",","")&amp;IF(M792=FALSE,"「残業時間」","")&amp;IF(OR(J792=FALSE,K792=FALSE,L792=FALSE,M792=FALSE),入力リスト!$K$36,"")&amp;IF(N792,"",入力リスト!$K$37)))</f>
        <v/>
      </c>
      <c r="H792" s="215"/>
      <c r="I792" s="1" t="b">
        <f>IF(B792="",FALSE,COUNTIF('従業員情報(給与以外)'!$A$4:$A$1000000,$B792)=0)</f>
        <v>0</v>
      </c>
      <c r="J792" s="8" t="b">
        <f t="shared" si="60"/>
        <v>1</v>
      </c>
      <c r="K792" s="8" t="b">
        <f t="shared" si="61"/>
        <v>1</v>
      </c>
      <c r="L792" s="8" t="b">
        <f t="shared" si="62"/>
        <v>1</v>
      </c>
      <c r="M792" s="8" t="b">
        <f t="shared" si="63"/>
        <v>1</v>
      </c>
      <c r="N792" s="1" t="b">
        <f t="shared" si="64"/>
        <v>1</v>
      </c>
      <c r="O792" s="8" t="str">
        <f>IF(F792="","",IF($F$2=入力リスト!$H$25,ROUNDDOWN(INT(F792)+ROUNDDOWN((F792-INT(F792))*100,0)/60,2),F792))</f>
        <v/>
      </c>
      <c r="P792" s="7"/>
      <c r="Q792" s="7"/>
    </row>
    <row r="793" spans="1:17">
      <c r="A793" s="105"/>
      <c r="B793" s="2"/>
      <c r="C793" s="254"/>
      <c r="D793" s="254"/>
      <c r="E793" s="254"/>
      <c r="F793" s="255"/>
      <c r="G793" s="215" t="str">
        <f>IF(AND($B793="",OR(B793&lt;&gt;"",C793&lt;&gt;"",D793&lt;&gt;"",E793&lt;&gt;"",F793&lt;&gt;"")),入力リスト!$K$34,IF($I793=TRUE,入力リスト!$K$35,IF(J793=FALSE,"「毎月の固定給与額」","")&amp;IF(AND(J793=FALSE,OR(K793=FALSE,L793=FALSE,M793=FALSE)),",","")&amp;IF(K793=FALSE,"「賞与額等」","")&amp;IF(AND(K793=FALSE,OR(L793=FALSE,M793=FALSE)),",","")&amp;IF(L793=FALSE,"「残業手当」","")&amp;IF(AND(L793=FALSE,M793=FALSE),",","")&amp;IF(M793=FALSE,"「残業時間」","")&amp;IF(OR(J793=FALSE,K793=FALSE,L793=FALSE,M793=FALSE),入力リスト!$K$36,"")&amp;IF(N793,"",入力リスト!$K$37)))</f>
        <v/>
      </c>
      <c r="H793" s="215"/>
      <c r="I793" s="1" t="b">
        <f>IF(B793="",FALSE,COUNTIF('従業員情報(給与以外)'!$A$4:$A$1000000,$B793)=0)</f>
        <v>0</v>
      </c>
      <c r="J793" s="8" t="b">
        <f t="shared" si="60"/>
        <v>1</v>
      </c>
      <c r="K793" s="8" t="b">
        <f t="shared" si="61"/>
        <v>1</v>
      </c>
      <c r="L793" s="8" t="b">
        <f t="shared" si="62"/>
        <v>1</v>
      </c>
      <c r="M793" s="8" t="b">
        <f t="shared" si="63"/>
        <v>1</v>
      </c>
      <c r="N793" s="1" t="b">
        <f t="shared" si="64"/>
        <v>1</v>
      </c>
      <c r="O793" s="8" t="str">
        <f>IF(F793="","",IF($F$2=入力リスト!$H$25,ROUNDDOWN(INT(F793)+ROUNDDOWN((F793-INT(F793))*100,0)/60,2),F793))</f>
        <v/>
      </c>
      <c r="P793" s="7"/>
      <c r="Q793" s="7"/>
    </row>
    <row r="794" spans="1:17">
      <c r="A794" s="105"/>
      <c r="B794" s="2"/>
      <c r="C794" s="254"/>
      <c r="D794" s="254"/>
      <c r="E794" s="254"/>
      <c r="F794" s="255"/>
      <c r="G794" s="215" t="str">
        <f>IF(AND($B794="",OR(B794&lt;&gt;"",C794&lt;&gt;"",D794&lt;&gt;"",E794&lt;&gt;"",F794&lt;&gt;"")),入力リスト!$K$34,IF($I794=TRUE,入力リスト!$K$35,IF(J794=FALSE,"「毎月の固定給与額」","")&amp;IF(AND(J794=FALSE,OR(K794=FALSE,L794=FALSE,M794=FALSE)),",","")&amp;IF(K794=FALSE,"「賞与額等」","")&amp;IF(AND(K794=FALSE,OR(L794=FALSE,M794=FALSE)),",","")&amp;IF(L794=FALSE,"「残業手当」","")&amp;IF(AND(L794=FALSE,M794=FALSE),",","")&amp;IF(M794=FALSE,"「残業時間」","")&amp;IF(OR(J794=FALSE,K794=FALSE,L794=FALSE,M794=FALSE),入力リスト!$K$36,"")&amp;IF(N794,"",入力リスト!$K$37)))</f>
        <v/>
      </c>
      <c r="H794" s="215"/>
      <c r="I794" s="1" t="b">
        <f>IF(B794="",FALSE,COUNTIF('従業員情報(給与以外)'!$A$4:$A$1000000,$B794)=0)</f>
        <v>0</v>
      </c>
      <c r="J794" s="8" t="b">
        <f t="shared" si="60"/>
        <v>1</v>
      </c>
      <c r="K794" s="8" t="b">
        <f t="shared" si="61"/>
        <v>1</v>
      </c>
      <c r="L794" s="8" t="b">
        <f t="shared" si="62"/>
        <v>1</v>
      </c>
      <c r="M794" s="8" t="b">
        <f t="shared" si="63"/>
        <v>1</v>
      </c>
      <c r="N794" s="1" t="b">
        <f t="shared" si="64"/>
        <v>1</v>
      </c>
      <c r="O794" s="8" t="str">
        <f>IF(F794="","",IF($F$2=入力リスト!$H$25,ROUNDDOWN(INT(F794)+ROUNDDOWN((F794-INT(F794))*100,0)/60,2),F794))</f>
        <v/>
      </c>
      <c r="P794" s="7"/>
      <c r="Q794" s="7"/>
    </row>
    <row r="795" spans="1:17">
      <c r="A795" s="105"/>
      <c r="B795" s="2"/>
      <c r="C795" s="254"/>
      <c r="D795" s="254"/>
      <c r="E795" s="254"/>
      <c r="F795" s="255"/>
      <c r="G795" s="215" t="str">
        <f>IF(AND($B795="",OR(B795&lt;&gt;"",C795&lt;&gt;"",D795&lt;&gt;"",E795&lt;&gt;"",F795&lt;&gt;"")),入力リスト!$K$34,IF($I795=TRUE,入力リスト!$K$35,IF(J795=FALSE,"「毎月の固定給与額」","")&amp;IF(AND(J795=FALSE,OR(K795=FALSE,L795=FALSE,M795=FALSE)),",","")&amp;IF(K795=FALSE,"「賞与額等」","")&amp;IF(AND(K795=FALSE,OR(L795=FALSE,M795=FALSE)),",","")&amp;IF(L795=FALSE,"「残業手当」","")&amp;IF(AND(L795=FALSE,M795=FALSE),",","")&amp;IF(M795=FALSE,"「残業時間」","")&amp;IF(OR(J795=FALSE,K795=FALSE,L795=FALSE,M795=FALSE),入力リスト!$K$36,"")&amp;IF(N795,"",入力リスト!$K$37)))</f>
        <v/>
      </c>
      <c r="H795" s="215"/>
      <c r="I795" s="1" t="b">
        <f>IF(B795="",FALSE,COUNTIF('従業員情報(給与以外)'!$A$4:$A$1000000,$B795)=0)</f>
        <v>0</v>
      </c>
      <c r="J795" s="8" t="b">
        <f t="shared" si="60"/>
        <v>1</v>
      </c>
      <c r="K795" s="8" t="b">
        <f t="shared" si="61"/>
        <v>1</v>
      </c>
      <c r="L795" s="8" t="b">
        <f t="shared" si="62"/>
        <v>1</v>
      </c>
      <c r="M795" s="8" t="b">
        <f t="shared" si="63"/>
        <v>1</v>
      </c>
      <c r="N795" s="1" t="b">
        <f t="shared" si="64"/>
        <v>1</v>
      </c>
      <c r="O795" s="8" t="str">
        <f>IF(F795="","",IF($F$2=入力リスト!$H$25,ROUNDDOWN(INT(F795)+ROUNDDOWN((F795-INT(F795))*100,0)/60,2),F795))</f>
        <v/>
      </c>
      <c r="P795" s="7"/>
      <c r="Q795" s="7"/>
    </row>
    <row r="796" spans="1:17">
      <c r="A796" s="105"/>
      <c r="B796" s="2"/>
      <c r="C796" s="254"/>
      <c r="D796" s="254"/>
      <c r="E796" s="254"/>
      <c r="F796" s="255"/>
      <c r="G796" s="215" t="str">
        <f>IF(AND($B796="",OR(B796&lt;&gt;"",C796&lt;&gt;"",D796&lt;&gt;"",E796&lt;&gt;"",F796&lt;&gt;"")),入力リスト!$K$34,IF($I796=TRUE,入力リスト!$K$35,IF(J796=FALSE,"「毎月の固定給与額」","")&amp;IF(AND(J796=FALSE,OR(K796=FALSE,L796=FALSE,M796=FALSE)),",","")&amp;IF(K796=FALSE,"「賞与額等」","")&amp;IF(AND(K796=FALSE,OR(L796=FALSE,M796=FALSE)),",","")&amp;IF(L796=FALSE,"「残業手当」","")&amp;IF(AND(L796=FALSE,M796=FALSE),",","")&amp;IF(M796=FALSE,"「残業時間」","")&amp;IF(OR(J796=FALSE,K796=FALSE,L796=FALSE,M796=FALSE),入力リスト!$K$36,"")&amp;IF(N796,"",入力リスト!$K$37)))</f>
        <v/>
      </c>
      <c r="H796" s="215"/>
      <c r="I796" s="1" t="b">
        <f>IF(B796="",FALSE,COUNTIF('従業員情報(給与以外)'!$A$4:$A$1000000,$B796)=0)</f>
        <v>0</v>
      </c>
      <c r="J796" s="8" t="b">
        <f t="shared" si="60"/>
        <v>1</v>
      </c>
      <c r="K796" s="8" t="b">
        <f t="shared" si="61"/>
        <v>1</v>
      </c>
      <c r="L796" s="8" t="b">
        <f t="shared" si="62"/>
        <v>1</v>
      </c>
      <c r="M796" s="8" t="b">
        <f t="shared" si="63"/>
        <v>1</v>
      </c>
      <c r="N796" s="1" t="b">
        <f t="shared" si="64"/>
        <v>1</v>
      </c>
      <c r="O796" s="8" t="str">
        <f>IF(F796="","",IF($F$2=入力リスト!$H$25,ROUNDDOWN(INT(F796)+ROUNDDOWN((F796-INT(F796))*100,0)/60,2),F796))</f>
        <v/>
      </c>
      <c r="P796" s="7"/>
      <c r="Q796" s="7"/>
    </row>
    <row r="797" spans="1:17">
      <c r="A797" s="105"/>
      <c r="B797" s="2"/>
      <c r="C797" s="254"/>
      <c r="D797" s="254"/>
      <c r="E797" s="254"/>
      <c r="F797" s="255"/>
      <c r="G797" s="215" t="str">
        <f>IF(AND($B797="",OR(B797&lt;&gt;"",C797&lt;&gt;"",D797&lt;&gt;"",E797&lt;&gt;"",F797&lt;&gt;"")),入力リスト!$K$34,IF($I797=TRUE,入力リスト!$K$35,IF(J797=FALSE,"「毎月の固定給与額」","")&amp;IF(AND(J797=FALSE,OR(K797=FALSE,L797=FALSE,M797=FALSE)),",","")&amp;IF(K797=FALSE,"「賞与額等」","")&amp;IF(AND(K797=FALSE,OR(L797=FALSE,M797=FALSE)),",","")&amp;IF(L797=FALSE,"「残業手当」","")&amp;IF(AND(L797=FALSE,M797=FALSE),",","")&amp;IF(M797=FALSE,"「残業時間」","")&amp;IF(OR(J797=FALSE,K797=FALSE,L797=FALSE,M797=FALSE),入力リスト!$K$36,"")&amp;IF(N797,"",入力リスト!$K$37)))</f>
        <v/>
      </c>
      <c r="H797" s="215"/>
      <c r="I797" s="1" t="b">
        <f>IF(B797="",FALSE,COUNTIF('従業員情報(給与以外)'!$A$4:$A$1000000,$B797)=0)</f>
        <v>0</v>
      </c>
      <c r="J797" s="8" t="b">
        <f t="shared" si="60"/>
        <v>1</v>
      </c>
      <c r="K797" s="8" t="b">
        <f t="shared" si="61"/>
        <v>1</v>
      </c>
      <c r="L797" s="8" t="b">
        <f t="shared" si="62"/>
        <v>1</v>
      </c>
      <c r="M797" s="8" t="b">
        <f t="shared" si="63"/>
        <v>1</v>
      </c>
      <c r="N797" s="1" t="b">
        <f t="shared" si="64"/>
        <v>1</v>
      </c>
      <c r="O797" s="8" t="str">
        <f>IF(F797="","",IF($F$2=入力リスト!$H$25,ROUNDDOWN(INT(F797)+ROUNDDOWN((F797-INT(F797))*100,0)/60,2),F797))</f>
        <v/>
      </c>
      <c r="P797" s="7"/>
      <c r="Q797" s="7"/>
    </row>
    <row r="798" spans="1:17">
      <c r="A798" s="105"/>
      <c r="B798" s="2"/>
      <c r="C798" s="254"/>
      <c r="D798" s="254"/>
      <c r="E798" s="254"/>
      <c r="F798" s="255"/>
      <c r="G798" s="215" t="str">
        <f>IF(AND($B798="",OR(B798&lt;&gt;"",C798&lt;&gt;"",D798&lt;&gt;"",E798&lt;&gt;"",F798&lt;&gt;"")),入力リスト!$K$34,IF($I798=TRUE,入力リスト!$K$35,IF(J798=FALSE,"「毎月の固定給与額」","")&amp;IF(AND(J798=FALSE,OR(K798=FALSE,L798=FALSE,M798=FALSE)),",","")&amp;IF(K798=FALSE,"「賞与額等」","")&amp;IF(AND(K798=FALSE,OR(L798=FALSE,M798=FALSE)),",","")&amp;IF(L798=FALSE,"「残業手当」","")&amp;IF(AND(L798=FALSE,M798=FALSE),",","")&amp;IF(M798=FALSE,"「残業時間」","")&amp;IF(OR(J798=FALSE,K798=FALSE,L798=FALSE,M798=FALSE),入力リスト!$K$36,"")&amp;IF(N798,"",入力リスト!$K$37)))</f>
        <v/>
      </c>
      <c r="H798" s="215"/>
      <c r="I798" s="1" t="b">
        <f>IF(B798="",FALSE,COUNTIF('従業員情報(給与以外)'!$A$4:$A$1000000,$B798)=0)</f>
        <v>0</v>
      </c>
      <c r="J798" s="8" t="b">
        <f t="shared" si="60"/>
        <v>1</v>
      </c>
      <c r="K798" s="8" t="b">
        <f t="shared" si="61"/>
        <v>1</v>
      </c>
      <c r="L798" s="8" t="b">
        <f t="shared" si="62"/>
        <v>1</v>
      </c>
      <c r="M798" s="8" t="b">
        <f t="shared" si="63"/>
        <v>1</v>
      </c>
      <c r="N798" s="1" t="b">
        <f t="shared" si="64"/>
        <v>1</v>
      </c>
      <c r="O798" s="8" t="str">
        <f>IF(F798="","",IF($F$2=入力リスト!$H$25,ROUNDDOWN(INT(F798)+ROUNDDOWN((F798-INT(F798))*100,0)/60,2),F798))</f>
        <v/>
      </c>
      <c r="P798" s="7"/>
      <c r="Q798" s="7"/>
    </row>
    <row r="799" spans="1:17">
      <c r="A799" s="105"/>
      <c r="B799" s="2"/>
      <c r="C799" s="254"/>
      <c r="D799" s="254"/>
      <c r="E799" s="254"/>
      <c r="F799" s="255"/>
      <c r="G799" s="215" t="str">
        <f>IF(AND($B799="",OR(B799&lt;&gt;"",C799&lt;&gt;"",D799&lt;&gt;"",E799&lt;&gt;"",F799&lt;&gt;"")),入力リスト!$K$34,IF($I799=TRUE,入力リスト!$K$35,IF(J799=FALSE,"「毎月の固定給与額」","")&amp;IF(AND(J799=FALSE,OR(K799=FALSE,L799=FALSE,M799=FALSE)),",","")&amp;IF(K799=FALSE,"「賞与額等」","")&amp;IF(AND(K799=FALSE,OR(L799=FALSE,M799=FALSE)),",","")&amp;IF(L799=FALSE,"「残業手当」","")&amp;IF(AND(L799=FALSE,M799=FALSE),",","")&amp;IF(M799=FALSE,"「残業時間」","")&amp;IF(OR(J799=FALSE,K799=FALSE,L799=FALSE,M799=FALSE),入力リスト!$K$36,"")&amp;IF(N799,"",入力リスト!$K$37)))</f>
        <v/>
      </c>
      <c r="H799" s="215"/>
      <c r="I799" s="1" t="b">
        <f>IF(B799="",FALSE,COUNTIF('従業員情報(給与以外)'!$A$4:$A$1000000,$B799)=0)</f>
        <v>0</v>
      </c>
      <c r="J799" s="8" t="b">
        <f t="shared" si="60"/>
        <v>1</v>
      </c>
      <c r="K799" s="8" t="b">
        <f t="shared" si="61"/>
        <v>1</v>
      </c>
      <c r="L799" s="8" t="b">
        <f t="shared" si="62"/>
        <v>1</v>
      </c>
      <c r="M799" s="8" t="b">
        <f t="shared" si="63"/>
        <v>1</v>
      </c>
      <c r="N799" s="1" t="b">
        <f t="shared" si="64"/>
        <v>1</v>
      </c>
      <c r="O799" s="8" t="str">
        <f>IF(F799="","",IF($F$2=入力リスト!$H$25,ROUNDDOWN(INT(F799)+ROUNDDOWN((F799-INT(F799))*100,0)/60,2),F799))</f>
        <v/>
      </c>
      <c r="P799" s="7"/>
      <c r="Q799" s="7"/>
    </row>
    <row r="800" spans="1:17">
      <c r="A800" s="105"/>
      <c r="B800" s="2"/>
      <c r="C800" s="254"/>
      <c r="D800" s="254"/>
      <c r="E800" s="254"/>
      <c r="F800" s="255"/>
      <c r="G800" s="215" t="str">
        <f>IF(AND($B800="",OR(B800&lt;&gt;"",C800&lt;&gt;"",D800&lt;&gt;"",E800&lt;&gt;"",F800&lt;&gt;"")),入力リスト!$K$34,IF($I800=TRUE,入力リスト!$K$35,IF(J800=FALSE,"「毎月の固定給与額」","")&amp;IF(AND(J800=FALSE,OR(K800=FALSE,L800=FALSE,M800=FALSE)),",","")&amp;IF(K800=FALSE,"「賞与額等」","")&amp;IF(AND(K800=FALSE,OR(L800=FALSE,M800=FALSE)),",","")&amp;IF(L800=FALSE,"「残業手当」","")&amp;IF(AND(L800=FALSE,M800=FALSE),",","")&amp;IF(M800=FALSE,"「残業時間」","")&amp;IF(OR(J800=FALSE,K800=FALSE,L800=FALSE,M800=FALSE),入力リスト!$K$36,"")&amp;IF(N800,"",入力リスト!$K$37)))</f>
        <v/>
      </c>
      <c r="H800" s="215"/>
      <c r="I800" s="1" t="b">
        <f>IF(B800="",FALSE,COUNTIF('従業員情報(給与以外)'!$A$4:$A$1000000,$B800)=0)</f>
        <v>0</v>
      </c>
      <c r="J800" s="8" t="b">
        <f t="shared" si="60"/>
        <v>1</v>
      </c>
      <c r="K800" s="8" t="b">
        <f t="shared" si="61"/>
        <v>1</v>
      </c>
      <c r="L800" s="8" t="b">
        <f t="shared" si="62"/>
        <v>1</v>
      </c>
      <c r="M800" s="8" t="b">
        <f t="shared" si="63"/>
        <v>1</v>
      </c>
      <c r="N800" s="1" t="b">
        <f t="shared" si="64"/>
        <v>1</v>
      </c>
      <c r="O800" s="8" t="str">
        <f>IF(F800="","",IF($F$2=入力リスト!$H$25,ROUNDDOWN(INT(F800)+ROUNDDOWN((F800-INT(F800))*100,0)/60,2),F800))</f>
        <v/>
      </c>
      <c r="P800" s="7"/>
      <c r="Q800" s="7"/>
    </row>
    <row r="801" spans="1:17">
      <c r="A801" s="105"/>
      <c r="B801" s="2"/>
      <c r="C801" s="254"/>
      <c r="D801" s="254"/>
      <c r="E801" s="254"/>
      <c r="F801" s="255"/>
      <c r="G801" s="215" t="str">
        <f>IF(AND($B801="",OR(B801&lt;&gt;"",C801&lt;&gt;"",D801&lt;&gt;"",E801&lt;&gt;"",F801&lt;&gt;"")),入力リスト!$K$34,IF($I801=TRUE,入力リスト!$K$35,IF(J801=FALSE,"「毎月の固定給与額」","")&amp;IF(AND(J801=FALSE,OR(K801=FALSE,L801=FALSE,M801=FALSE)),",","")&amp;IF(K801=FALSE,"「賞与額等」","")&amp;IF(AND(K801=FALSE,OR(L801=FALSE,M801=FALSE)),",","")&amp;IF(L801=FALSE,"「残業手当」","")&amp;IF(AND(L801=FALSE,M801=FALSE),",","")&amp;IF(M801=FALSE,"「残業時間」","")&amp;IF(OR(J801=FALSE,K801=FALSE,L801=FALSE,M801=FALSE),入力リスト!$K$36,"")&amp;IF(N801,"",入力リスト!$K$37)))</f>
        <v/>
      </c>
      <c r="H801" s="215"/>
      <c r="I801" s="1" t="b">
        <f>IF(B801="",FALSE,COUNTIF('従業員情報(給与以外)'!$A$4:$A$1000000,$B801)=0)</f>
        <v>0</v>
      </c>
      <c r="J801" s="8" t="b">
        <f t="shared" si="60"/>
        <v>1</v>
      </c>
      <c r="K801" s="8" t="b">
        <f t="shared" si="61"/>
        <v>1</v>
      </c>
      <c r="L801" s="8" t="b">
        <f t="shared" si="62"/>
        <v>1</v>
      </c>
      <c r="M801" s="8" t="b">
        <f t="shared" si="63"/>
        <v>1</v>
      </c>
      <c r="N801" s="1" t="b">
        <f t="shared" si="64"/>
        <v>1</v>
      </c>
      <c r="O801" s="8" t="str">
        <f>IF(F801="","",IF($F$2=入力リスト!$H$25,ROUNDDOWN(INT(F801)+ROUNDDOWN((F801-INT(F801))*100,0)/60,2),F801))</f>
        <v/>
      </c>
      <c r="P801" s="7"/>
      <c r="Q801" s="7"/>
    </row>
    <row r="802" spans="1:17">
      <c r="A802" s="105"/>
      <c r="B802" s="2"/>
      <c r="C802" s="254"/>
      <c r="D802" s="254"/>
      <c r="E802" s="254"/>
      <c r="F802" s="255"/>
      <c r="G802" s="215" t="str">
        <f>IF(AND($B802="",OR(B802&lt;&gt;"",C802&lt;&gt;"",D802&lt;&gt;"",E802&lt;&gt;"",F802&lt;&gt;"")),入力リスト!$K$34,IF($I802=TRUE,入力リスト!$K$35,IF(J802=FALSE,"「毎月の固定給与額」","")&amp;IF(AND(J802=FALSE,OR(K802=FALSE,L802=FALSE,M802=FALSE)),",","")&amp;IF(K802=FALSE,"「賞与額等」","")&amp;IF(AND(K802=FALSE,OR(L802=FALSE,M802=FALSE)),",","")&amp;IF(L802=FALSE,"「残業手当」","")&amp;IF(AND(L802=FALSE,M802=FALSE),",","")&amp;IF(M802=FALSE,"「残業時間」","")&amp;IF(OR(J802=FALSE,K802=FALSE,L802=FALSE,M802=FALSE),入力リスト!$K$36,"")&amp;IF(N802,"",入力リスト!$K$37)))</f>
        <v/>
      </c>
      <c r="H802" s="215"/>
      <c r="I802" s="1" t="b">
        <f>IF(B802="",FALSE,COUNTIF('従業員情報(給与以外)'!$A$4:$A$1000000,$B802)=0)</f>
        <v>0</v>
      </c>
      <c r="J802" s="8" t="b">
        <f t="shared" si="60"/>
        <v>1</v>
      </c>
      <c r="K802" s="8" t="b">
        <f t="shared" si="61"/>
        <v>1</v>
      </c>
      <c r="L802" s="8" t="b">
        <f t="shared" si="62"/>
        <v>1</v>
      </c>
      <c r="M802" s="8" t="b">
        <f t="shared" si="63"/>
        <v>1</v>
      </c>
      <c r="N802" s="1" t="b">
        <f t="shared" si="64"/>
        <v>1</v>
      </c>
      <c r="O802" s="8" t="str">
        <f>IF(F802="","",IF($F$2=入力リスト!$H$25,ROUNDDOWN(INT(F802)+ROUNDDOWN((F802-INT(F802))*100,0)/60,2),F802))</f>
        <v/>
      </c>
      <c r="P802" s="7"/>
      <c r="Q802" s="7"/>
    </row>
    <row r="803" spans="1:17">
      <c r="A803" s="105"/>
      <c r="B803" s="2"/>
      <c r="C803" s="254"/>
      <c r="D803" s="254"/>
      <c r="E803" s="254"/>
      <c r="F803" s="255"/>
      <c r="G803" s="215" t="str">
        <f>IF(AND($B803="",OR(B803&lt;&gt;"",C803&lt;&gt;"",D803&lt;&gt;"",E803&lt;&gt;"",F803&lt;&gt;"")),入力リスト!$K$34,IF($I803=TRUE,入力リスト!$K$35,IF(J803=FALSE,"「毎月の固定給与額」","")&amp;IF(AND(J803=FALSE,OR(K803=FALSE,L803=FALSE,M803=FALSE)),",","")&amp;IF(K803=FALSE,"「賞与額等」","")&amp;IF(AND(K803=FALSE,OR(L803=FALSE,M803=FALSE)),",","")&amp;IF(L803=FALSE,"「残業手当」","")&amp;IF(AND(L803=FALSE,M803=FALSE),",","")&amp;IF(M803=FALSE,"「残業時間」","")&amp;IF(OR(J803=FALSE,K803=FALSE,L803=FALSE,M803=FALSE),入力リスト!$K$36,"")&amp;IF(N803,"",入力リスト!$K$37)))</f>
        <v/>
      </c>
      <c r="H803" s="215"/>
      <c r="I803" s="1" t="b">
        <f>IF(B803="",FALSE,COUNTIF('従業員情報(給与以外)'!$A$4:$A$1000000,$B803)=0)</f>
        <v>0</v>
      </c>
      <c r="J803" s="8" t="b">
        <f t="shared" si="60"/>
        <v>1</v>
      </c>
      <c r="K803" s="8" t="b">
        <f t="shared" si="61"/>
        <v>1</v>
      </c>
      <c r="L803" s="8" t="b">
        <f t="shared" si="62"/>
        <v>1</v>
      </c>
      <c r="M803" s="8" t="b">
        <f t="shared" si="63"/>
        <v>1</v>
      </c>
      <c r="N803" s="1" t="b">
        <f t="shared" si="64"/>
        <v>1</v>
      </c>
      <c r="O803" s="8" t="str">
        <f>IF(F803="","",IF($F$2=入力リスト!$H$25,ROUNDDOWN(INT(F803)+ROUNDDOWN((F803-INT(F803))*100,0)/60,2),F803))</f>
        <v/>
      </c>
      <c r="P803" s="7"/>
      <c r="Q803" s="7"/>
    </row>
    <row r="804" spans="1:17">
      <c r="A804" s="105"/>
      <c r="B804" s="2"/>
      <c r="C804" s="254"/>
      <c r="D804" s="254"/>
      <c r="E804" s="254"/>
      <c r="F804" s="255"/>
      <c r="G804" s="215" t="str">
        <f>IF(AND($B804="",OR(B804&lt;&gt;"",C804&lt;&gt;"",D804&lt;&gt;"",E804&lt;&gt;"",F804&lt;&gt;"")),入力リスト!$K$34,IF($I804=TRUE,入力リスト!$K$35,IF(J804=FALSE,"「毎月の固定給与額」","")&amp;IF(AND(J804=FALSE,OR(K804=FALSE,L804=FALSE,M804=FALSE)),",","")&amp;IF(K804=FALSE,"「賞与額等」","")&amp;IF(AND(K804=FALSE,OR(L804=FALSE,M804=FALSE)),",","")&amp;IF(L804=FALSE,"「残業手当」","")&amp;IF(AND(L804=FALSE,M804=FALSE),",","")&amp;IF(M804=FALSE,"「残業時間」","")&amp;IF(OR(J804=FALSE,K804=FALSE,L804=FALSE,M804=FALSE),入力リスト!$K$36,"")&amp;IF(N804,"",入力リスト!$K$37)))</f>
        <v/>
      </c>
      <c r="H804" s="215"/>
      <c r="I804" s="1" t="b">
        <f>IF(B804="",FALSE,COUNTIF('従業員情報(給与以外)'!$A$4:$A$1000000,$B804)=0)</f>
        <v>0</v>
      </c>
      <c r="J804" s="8" t="b">
        <f t="shared" si="60"/>
        <v>1</v>
      </c>
      <c r="K804" s="8" t="b">
        <f t="shared" si="61"/>
        <v>1</v>
      </c>
      <c r="L804" s="8" t="b">
        <f t="shared" si="62"/>
        <v>1</v>
      </c>
      <c r="M804" s="8" t="b">
        <f t="shared" si="63"/>
        <v>1</v>
      </c>
      <c r="N804" s="1" t="b">
        <f t="shared" si="64"/>
        <v>1</v>
      </c>
      <c r="O804" s="8" t="str">
        <f>IF(F804="","",IF($F$2=入力リスト!$H$25,ROUNDDOWN(INT(F804)+ROUNDDOWN((F804-INT(F804))*100,0)/60,2),F804))</f>
        <v/>
      </c>
      <c r="P804" s="7"/>
      <c r="Q804" s="7"/>
    </row>
    <row r="805" spans="1:17">
      <c r="A805" s="105"/>
      <c r="B805" s="2"/>
      <c r="C805" s="254"/>
      <c r="D805" s="254"/>
      <c r="E805" s="254"/>
      <c r="F805" s="255"/>
      <c r="G805" s="215" t="str">
        <f>IF(AND($B805="",OR(B805&lt;&gt;"",C805&lt;&gt;"",D805&lt;&gt;"",E805&lt;&gt;"",F805&lt;&gt;"")),入力リスト!$K$34,IF($I805=TRUE,入力リスト!$K$35,IF(J805=FALSE,"「毎月の固定給与額」","")&amp;IF(AND(J805=FALSE,OR(K805=FALSE,L805=FALSE,M805=FALSE)),",","")&amp;IF(K805=FALSE,"「賞与額等」","")&amp;IF(AND(K805=FALSE,OR(L805=FALSE,M805=FALSE)),",","")&amp;IF(L805=FALSE,"「残業手当」","")&amp;IF(AND(L805=FALSE,M805=FALSE),",","")&amp;IF(M805=FALSE,"「残業時間」","")&amp;IF(OR(J805=FALSE,K805=FALSE,L805=FALSE,M805=FALSE),入力リスト!$K$36,"")&amp;IF(N805,"",入力リスト!$K$37)))</f>
        <v/>
      </c>
      <c r="H805" s="215"/>
      <c r="I805" s="1" t="b">
        <f>IF(B805="",FALSE,COUNTIF('従業員情報(給与以外)'!$A$4:$A$1000000,$B805)=0)</f>
        <v>0</v>
      </c>
      <c r="J805" s="8" t="b">
        <f t="shared" si="60"/>
        <v>1</v>
      </c>
      <c r="K805" s="8" t="b">
        <f t="shared" si="61"/>
        <v>1</v>
      </c>
      <c r="L805" s="8" t="b">
        <f t="shared" si="62"/>
        <v>1</v>
      </c>
      <c r="M805" s="8" t="b">
        <f t="shared" si="63"/>
        <v>1</v>
      </c>
      <c r="N805" s="1" t="b">
        <f t="shared" si="64"/>
        <v>1</v>
      </c>
      <c r="O805" s="8" t="str">
        <f>IF(F805="","",IF($F$2=入力リスト!$H$25,ROUNDDOWN(INT(F805)+ROUNDDOWN((F805-INT(F805))*100,0)/60,2),F805))</f>
        <v/>
      </c>
      <c r="P805" s="7"/>
      <c r="Q805" s="7"/>
    </row>
    <row r="806" spans="1:17">
      <c r="A806" s="105"/>
      <c r="B806" s="2"/>
      <c r="C806" s="254"/>
      <c r="D806" s="254"/>
      <c r="E806" s="254"/>
      <c r="F806" s="255"/>
      <c r="G806" s="215" t="str">
        <f>IF(AND($B806="",OR(B806&lt;&gt;"",C806&lt;&gt;"",D806&lt;&gt;"",E806&lt;&gt;"",F806&lt;&gt;"")),入力リスト!$K$34,IF($I806=TRUE,入力リスト!$K$35,IF(J806=FALSE,"「毎月の固定給与額」","")&amp;IF(AND(J806=FALSE,OR(K806=FALSE,L806=FALSE,M806=FALSE)),",","")&amp;IF(K806=FALSE,"「賞与額等」","")&amp;IF(AND(K806=FALSE,OR(L806=FALSE,M806=FALSE)),",","")&amp;IF(L806=FALSE,"「残業手当」","")&amp;IF(AND(L806=FALSE,M806=FALSE),",","")&amp;IF(M806=FALSE,"「残業時間」","")&amp;IF(OR(J806=FALSE,K806=FALSE,L806=FALSE,M806=FALSE),入力リスト!$K$36,"")&amp;IF(N806,"",入力リスト!$K$37)))</f>
        <v/>
      </c>
      <c r="H806" s="215"/>
      <c r="I806" s="1" t="b">
        <f>IF(B806="",FALSE,COUNTIF('従業員情報(給与以外)'!$A$4:$A$1000000,$B806)=0)</f>
        <v>0</v>
      </c>
      <c r="J806" s="8" t="b">
        <f t="shared" si="60"/>
        <v>1</v>
      </c>
      <c r="K806" s="8" t="b">
        <f t="shared" si="61"/>
        <v>1</v>
      </c>
      <c r="L806" s="8" t="b">
        <f t="shared" si="62"/>
        <v>1</v>
      </c>
      <c r="M806" s="8" t="b">
        <f t="shared" si="63"/>
        <v>1</v>
      </c>
      <c r="N806" s="1" t="b">
        <f t="shared" si="64"/>
        <v>1</v>
      </c>
      <c r="O806" s="8" t="str">
        <f>IF(F806="","",IF($F$2=入力リスト!$H$25,ROUNDDOWN(INT(F806)+ROUNDDOWN((F806-INT(F806))*100,0)/60,2),F806))</f>
        <v/>
      </c>
      <c r="P806" s="7"/>
      <c r="Q806" s="7"/>
    </row>
    <row r="807" spans="1:17">
      <c r="A807" s="105"/>
      <c r="B807" s="2"/>
      <c r="C807" s="254"/>
      <c r="D807" s="254"/>
      <c r="E807" s="254"/>
      <c r="F807" s="255"/>
      <c r="G807" s="215" t="str">
        <f>IF(AND($B807="",OR(B807&lt;&gt;"",C807&lt;&gt;"",D807&lt;&gt;"",E807&lt;&gt;"",F807&lt;&gt;"")),入力リスト!$K$34,IF($I807=TRUE,入力リスト!$K$35,IF(J807=FALSE,"「毎月の固定給与額」","")&amp;IF(AND(J807=FALSE,OR(K807=FALSE,L807=FALSE,M807=FALSE)),",","")&amp;IF(K807=FALSE,"「賞与額等」","")&amp;IF(AND(K807=FALSE,OR(L807=FALSE,M807=FALSE)),",","")&amp;IF(L807=FALSE,"「残業手当」","")&amp;IF(AND(L807=FALSE,M807=FALSE),",","")&amp;IF(M807=FALSE,"「残業時間」","")&amp;IF(OR(J807=FALSE,K807=FALSE,L807=FALSE,M807=FALSE),入力リスト!$K$36,"")&amp;IF(N807,"",入力リスト!$K$37)))</f>
        <v/>
      </c>
      <c r="H807" s="215"/>
      <c r="I807" s="1" t="b">
        <f>IF(B807="",FALSE,COUNTIF('従業員情報(給与以外)'!$A$4:$A$1000000,$B807)=0)</f>
        <v>0</v>
      </c>
      <c r="J807" s="8" t="b">
        <f t="shared" si="60"/>
        <v>1</v>
      </c>
      <c r="K807" s="8" t="b">
        <f t="shared" si="61"/>
        <v>1</v>
      </c>
      <c r="L807" s="8" t="b">
        <f t="shared" si="62"/>
        <v>1</v>
      </c>
      <c r="M807" s="8" t="b">
        <f t="shared" si="63"/>
        <v>1</v>
      </c>
      <c r="N807" s="1" t="b">
        <f t="shared" si="64"/>
        <v>1</v>
      </c>
      <c r="O807" s="8" t="str">
        <f>IF(F807="","",IF($F$2=入力リスト!$H$25,ROUNDDOWN(INT(F807)+ROUNDDOWN((F807-INT(F807))*100,0)/60,2),F807))</f>
        <v/>
      </c>
      <c r="P807" s="7"/>
      <c r="Q807" s="7"/>
    </row>
    <row r="808" spans="1:17">
      <c r="A808" s="105"/>
      <c r="B808" s="2"/>
      <c r="C808" s="254"/>
      <c r="D808" s="254"/>
      <c r="E808" s="254"/>
      <c r="F808" s="255"/>
      <c r="G808" s="215" t="str">
        <f>IF(AND($B808="",OR(B808&lt;&gt;"",C808&lt;&gt;"",D808&lt;&gt;"",E808&lt;&gt;"",F808&lt;&gt;"")),入力リスト!$K$34,IF($I808=TRUE,入力リスト!$K$35,IF(J808=FALSE,"「毎月の固定給与額」","")&amp;IF(AND(J808=FALSE,OR(K808=FALSE,L808=FALSE,M808=FALSE)),",","")&amp;IF(K808=FALSE,"「賞与額等」","")&amp;IF(AND(K808=FALSE,OR(L808=FALSE,M808=FALSE)),",","")&amp;IF(L808=FALSE,"「残業手当」","")&amp;IF(AND(L808=FALSE,M808=FALSE),",","")&amp;IF(M808=FALSE,"「残業時間」","")&amp;IF(OR(J808=FALSE,K808=FALSE,L808=FALSE,M808=FALSE),入力リスト!$K$36,"")&amp;IF(N808,"",入力リスト!$K$37)))</f>
        <v/>
      </c>
      <c r="H808" s="215"/>
      <c r="I808" s="1" t="b">
        <f>IF(B808="",FALSE,COUNTIF('従業員情報(給与以外)'!$A$4:$A$1000000,$B808)=0)</f>
        <v>0</v>
      </c>
      <c r="J808" s="8" t="b">
        <f t="shared" si="60"/>
        <v>1</v>
      </c>
      <c r="K808" s="8" t="b">
        <f t="shared" si="61"/>
        <v>1</v>
      </c>
      <c r="L808" s="8" t="b">
        <f t="shared" si="62"/>
        <v>1</v>
      </c>
      <c r="M808" s="8" t="b">
        <f t="shared" si="63"/>
        <v>1</v>
      </c>
      <c r="N808" s="1" t="b">
        <f t="shared" si="64"/>
        <v>1</v>
      </c>
      <c r="O808" s="8" t="str">
        <f>IF(F808="","",IF($F$2=入力リスト!$H$25,ROUNDDOWN(INT(F808)+ROUNDDOWN((F808-INT(F808))*100,0)/60,2),F808))</f>
        <v/>
      </c>
      <c r="P808" s="7"/>
      <c r="Q808" s="7"/>
    </row>
    <row r="809" spans="1:17">
      <c r="A809" s="105"/>
      <c r="B809" s="2"/>
      <c r="C809" s="254"/>
      <c r="D809" s="254"/>
      <c r="E809" s="254"/>
      <c r="F809" s="255"/>
      <c r="G809" s="215" t="str">
        <f>IF(AND($B809="",OR(B809&lt;&gt;"",C809&lt;&gt;"",D809&lt;&gt;"",E809&lt;&gt;"",F809&lt;&gt;"")),入力リスト!$K$34,IF($I809=TRUE,入力リスト!$K$35,IF(J809=FALSE,"「毎月の固定給与額」","")&amp;IF(AND(J809=FALSE,OR(K809=FALSE,L809=FALSE,M809=FALSE)),",","")&amp;IF(K809=FALSE,"「賞与額等」","")&amp;IF(AND(K809=FALSE,OR(L809=FALSE,M809=FALSE)),",","")&amp;IF(L809=FALSE,"「残業手当」","")&amp;IF(AND(L809=FALSE,M809=FALSE),",","")&amp;IF(M809=FALSE,"「残業時間」","")&amp;IF(OR(J809=FALSE,K809=FALSE,L809=FALSE,M809=FALSE),入力リスト!$K$36,"")&amp;IF(N809,"",入力リスト!$K$37)))</f>
        <v/>
      </c>
      <c r="H809" s="215"/>
      <c r="I809" s="1" t="b">
        <f>IF(B809="",FALSE,COUNTIF('従業員情報(給与以外)'!$A$4:$A$1000000,$B809)=0)</f>
        <v>0</v>
      </c>
      <c r="J809" s="8" t="b">
        <f t="shared" si="60"/>
        <v>1</v>
      </c>
      <c r="K809" s="8" t="b">
        <f t="shared" si="61"/>
        <v>1</v>
      </c>
      <c r="L809" s="8" t="b">
        <f t="shared" si="62"/>
        <v>1</v>
      </c>
      <c r="M809" s="8" t="b">
        <f t="shared" si="63"/>
        <v>1</v>
      </c>
      <c r="N809" s="1" t="b">
        <f t="shared" si="64"/>
        <v>1</v>
      </c>
      <c r="O809" s="8" t="str">
        <f>IF(F809="","",IF($F$2=入力リスト!$H$25,ROUNDDOWN(INT(F809)+ROUNDDOWN((F809-INT(F809))*100,0)/60,2),F809))</f>
        <v/>
      </c>
      <c r="P809" s="7"/>
      <c r="Q809" s="7"/>
    </row>
    <row r="810" spans="1:17">
      <c r="A810" s="105"/>
      <c r="B810" s="2"/>
      <c r="C810" s="254"/>
      <c r="D810" s="254"/>
      <c r="E810" s="254"/>
      <c r="F810" s="255"/>
      <c r="G810" s="215" t="str">
        <f>IF(AND($B810="",OR(B810&lt;&gt;"",C810&lt;&gt;"",D810&lt;&gt;"",E810&lt;&gt;"",F810&lt;&gt;"")),入力リスト!$K$34,IF($I810=TRUE,入力リスト!$K$35,IF(J810=FALSE,"「毎月の固定給与額」","")&amp;IF(AND(J810=FALSE,OR(K810=FALSE,L810=FALSE,M810=FALSE)),",","")&amp;IF(K810=FALSE,"「賞与額等」","")&amp;IF(AND(K810=FALSE,OR(L810=FALSE,M810=FALSE)),",","")&amp;IF(L810=FALSE,"「残業手当」","")&amp;IF(AND(L810=FALSE,M810=FALSE),",","")&amp;IF(M810=FALSE,"「残業時間」","")&amp;IF(OR(J810=FALSE,K810=FALSE,L810=FALSE,M810=FALSE),入力リスト!$K$36,"")&amp;IF(N810,"",入力リスト!$K$37)))</f>
        <v/>
      </c>
      <c r="H810" s="215"/>
      <c r="I810" s="1" t="b">
        <f>IF(B810="",FALSE,COUNTIF('従業員情報(給与以外)'!$A$4:$A$1000000,$B810)=0)</f>
        <v>0</v>
      </c>
      <c r="J810" s="8" t="b">
        <f t="shared" si="60"/>
        <v>1</v>
      </c>
      <c r="K810" s="8" t="b">
        <f t="shared" si="61"/>
        <v>1</v>
      </c>
      <c r="L810" s="8" t="b">
        <f t="shared" si="62"/>
        <v>1</v>
      </c>
      <c r="M810" s="8" t="b">
        <f t="shared" si="63"/>
        <v>1</v>
      </c>
      <c r="N810" s="1" t="b">
        <f t="shared" si="64"/>
        <v>1</v>
      </c>
      <c r="O810" s="8" t="str">
        <f>IF(F810="","",IF($F$2=入力リスト!$H$25,ROUNDDOWN(INT(F810)+ROUNDDOWN((F810-INT(F810))*100,0)/60,2),F810))</f>
        <v/>
      </c>
      <c r="P810" s="7"/>
      <c r="Q810" s="7"/>
    </row>
    <row r="811" spans="1:17">
      <c r="A811" s="105"/>
      <c r="B811" s="2"/>
      <c r="C811" s="254"/>
      <c r="D811" s="254"/>
      <c r="E811" s="254"/>
      <c r="F811" s="255"/>
      <c r="G811" s="215" t="str">
        <f>IF(AND($B811="",OR(B811&lt;&gt;"",C811&lt;&gt;"",D811&lt;&gt;"",E811&lt;&gt;"",F811&lt;&gt;"")),入力リスト!$K$34,IF($I811=TRUE,入力リスト!$K$35,IF(J811=FALSE,"「毎月の固定給与額」","")&amp;IF(AND(J811=FALSE,OR(K811=FALSE,L811=FALSE,M811=FALSE)),",","")&amp;IF(K811=FALSE,"「賞与額等」","")&amp;IF(AND(K811=FALSE,OR(L811=FALSE,M811=FALSE)),",","")&amp;IF(L811=FALSE,"「残業手当」","")&amp;IF(AND(L811=FALSE,M811=FALSE),",","")&amp;IF(M811=FALSE,"「残業時間」","")&amp;IF(OR(J811=FALSE,K811=FALSE,L811=FALSE,M811=FALSE),入力リスト!$K$36,"")&amp;IF(N811,"",入力リスト!$K$37)))</f>
        <v/>
      </c>
      <c r="H811" s="215"/>
      <c r="I811" s="1" t="b">
        <f>IF(B811="",FALSE,COUNTIF('従業員情報(給与以外)'!$A$4:$A$1000000,$B811)=0)</f>
        <v>0</v>
      </c>
      <c r="J811" s="8" t="b">
        <f t="shared" si="60"/>
        <v>1</v>
      </c>
      <c r="K811" s="8" t="b">
        <f t="shared" si="61"/>
        <v>1</v>
      </c>
      <c r="L811" s="8" t="b">
        <f t="shared" si="62"/>
        <v>1</v>
      </c>
      <c r="M811" s="8" t="b">
        <f t="shared" si="63"/>
        <v>1</v>
      </c>
      <c r="N811" s="1" t="b">
        <f t="shared" si="64"/>
        <v>1</v>
      </c>
      <c r="O811" s="8" t="str">
        <f>IF(F811="","",IF($F$2=入力リスト!$H$25,ROUNDDOWN(INT(F811)+ROUNDDOWN((F811-INT(F811))*100,0)/60,2),F811))</f>
        <v/>
      </c>
      <c r="P811" s="7"/>
      <c r="Q811" s="7"/>
    </row>
    <row r="812" spans="1:17">
      <c r="A812" s="105"/>
      <c r="B812" s="2"/>
      <c r="C812" s="254"/>
      <c r="D812" s="254"/>
      <c r="E812" s="254"/>
      <c r="F812" s="255"/>
      <c r="G812" s="215" t="str">
        <f>IF(AND($B812="",OR(B812&lt;&gt;"",C812&lt;&gt;"",D812&lt;&gt;"",E812&lt;&gt;"",F812&lt;&gt;"")),入力リスト!$K$34,IF($I812=TRUE,入力リスト!$K$35,IF(J812=FALSE,"「毎月の固定給与額」","")&amp;IF(AND(J812=FALSE,OR(K812=FALSE,L812=FALSE,M812=FALSE)),",","")&amp;IF(K812=FALSE,"「賞与額等」","")&amp;IF(AND(K812=FALSE,OR(L812=FALSE,M812=FALSE)),",","")&amp;IF(L812=FALSE,"「残業手当」","")&amp;IF(AND(L812=FALSE,M812=FALSE),",","")&amp;IF(M812=FALSE,"「残業時間」","")&amp;IF(OR(J812=FALSE,K812=FALSE,L812=FALSE,M812=FALSE),入力リスト!$K$36,"")&amp;IF(N812,"",入力リスト!$K$37)))</f>
        <v/>
      </c>
      <c r="H812" s="215"/>
      <c r="I812" s="1" t="b">
        <f>IF(B812="",FALSE,COUNTIF('従業員情報(給与以外)'!$A$4:$A$1000000,$B812)=0)</f>
        <v>0</v>
      </c>
      <c r="J812" s="8" t="b">
        <f t="shared" si="60"/>
        <v>1</v>
      </c>
      <c r="K812" s="8" t="b">
        <f t="shared" si="61"/>
        <v>1</v>
      </c>
      <c r="L812" s="8" t="b">
        <f t="shared" si="62"/>
        <v>1</v>
      </c>
      <c r="M812" s="8" t="b">
        <f t="shared" si="63"/>
        <v>1</v>
      </c>
      <c r="N812" s="1" t="b">
        <f t="shared" si="64"/>
        <v>1</v>
      </c>
      <c r="O812" s="8" t="str">
        <f>IF(F812="","",IF($F$2=入力リスト!$H$25,ROUNDDOWN(INT(F812)+ROUNDDOWN((F812-INT(F812))*100,0)/60,2),F812))</f>
        <v/>
      </c>
      <c r="P812" s="7"/>
      <c r="Q812" s="7"/>
    </row>
    <row r="813" spans="1:17">
      <c r="A813" s="105"/>
      <c r="B813" s="2"/>
      <c r="C813" s="254"/>
      <c r="D813" s="254"/>
      <c r="E813" s="254"/>
      <c r="F813" s="255"/>
      <c r="G813" s="215" t="str">
        <f>IF(AND($B813="",OR(B813&lt;&gt;"",C813&lt;&gt;"",D813&lt;&gt;"",E813&lt;&gt;"",F813&lt;&gt;"")),入力リスト!$K$34,IF($I813=TRUE,入力リスト!$K$35,IF(J813=FALSE,"「毎月の固定給与額」","")&amp;IF(AND(J813=FALSE,OR(K813=FALSE,L813=FALSE,M813=FALSE)),",","")&amp;IF(K813=FALSE,"「賞与額等」","")&amp;IF(AND(K813=FALSE,OR(L813=FALSE,M813=FALSE)),",","")&amp;IF(L813=FALSE,"「残業手当」","")&amp;IF(AND(L813=FALSE,M813=FALSE),",","")&amp;IF(M813=FALSE,"「残業時間」","")&amp;IF(OR(J813=FALSE,K813=FALSE,L813=FALSE,M813=FALSE),入力リスト!$K$36,"")&amp;IF(N813,"",入力リスト!$K$37)))</f>
        <v/>
      </c>
      <c r="H813" s="215"/>
      <c r="I813" s="1" t="b">
        <f>IF(B813="",FALSE,COUNTIF('従業員情報(給与以外)'!$A$4:$A$1000000,$B813)=0)</f>
        <v>0</v>
      </c>
      <c r="J813" s="8" t="b">
        <f t="shared" si="60"/>
        <v>1</v>
      </c>
      <c r="K813" s="8" t="b">
        <f t="shared" si="61"/>
        <v>1</v>
      </c>
      <c r="L813" s="8" t="b">
        <f t="shared" si="62"/>
        <v>1</v>
      </c>
      <c r="M813" s="8" t="b">
        <f t="shared" si="63"/>
        <v>1</v>
      </c>
      <c r="N813" s="1" t="b">
        <f t="shared" si="64"/>
        <v>1</v>
      </c>
      <c r="O813" s="8" t="str">
        <f>IF(F813="","",IF($F$2=入力リスト!$H$25,ROUNDDOWN(INT(F813)+ROUNDDOWN((F813-INT(F813))*100,0)/60,2),F813))</f>
        <v/>
      </c>
      <c r="P813" s="7"/>
      <c r="Q813" s="7"/>
    </row>
    <row r="814" spans="1:17">
      <c r="A814" s="105"/>
      <c r="B814" s="2"/>
      <c r="C814" s="254"/>
      <c r="D814" s="254"/>
      <c r="E814" s="254"/>
      <c r="F814" s="255"/>
      <c r="G814" s="215" t="str">
        <f>IF(AND($B814="",OR(B814&lt;&gt;"",C814&lt;&gt;"",D814&lt;&gt;"",E814&lt;&gt;"",F814&lt;&gt;"")),入力リスト!$K$34,IF($I814=TRUE,入力リスト!$K$35,IF(J814=FALSE,"「毎月の固定給与額」","")&amp;IF(AND(J814=FALSE,OR(K814=FALSE,L814=FALSE,M814=FALSE)),",","")&amp;IF(K814=FALSE,"「賞与額等」","")&amp;IF(AND(K814=FALSE,OR(L814=FALSE,M814=FALSE)),",","")&amp;IF(L814=FALSE,"「残業手当」","")&amp;IF(AND(L814=FALSE,M814=FALSE),",","")&amp;IF(M814=FALSE,"「残業時間」","")&amp;IF(OR(J814=FALSE,K814=FALSE,L814=FALSE,M814=FALSE),入力リスト!$K$36,"")&amp;IF(N814,"",入力リスト!$K$37)))</f>
        <v/>
      </c>
      <c r="H814" s="215"/>
      <c r="I814" s="1" t="b">
        <f>IF(B814="",FALSE,COUNTIF('従業員情報(給与以外)'!$A$4:$A$1000000,$B814)=0)</f>
        <v>0</v>
      </c>
      <c r="J814" s="8" t="b">
        <f t="shared" si="60"/>
        <v>1</v>
      </c>
      <c r="K814" s="8" t="b">
        <f t="shared" si="61"/>
        <v>1</v>
      </c>
      <c r="L814" s="8" t="b">
        <f t="shared" si="62"/>
        <v>1</v>
      </c>
      <c r="M814" s="8" t="b">
        <f t="shared" si="63"/>
        <v>1</v>
      </c>
      <c r="N814" s="1" t="b">
        <f t="shared" si="64"/>
        <v>1</v>
      </c>
      <c r="O814" s="8" t="str">
        <f>IF(F814="","",IF($F$2=入力リスト!$H$25,ROUNDDOWN(INT(F814)+ROUNDDOWN((F814-INT(F814))*100,0)/60,2),F814))</f>
        <v/>
      </c>
      <c r="P814" s="7"/>
      <c r="Q814" s="7"/>
    </row>
    <row r="815" spans="1:17">
      <c r="A815" s="105"/>
      <c r="B815" s="2"/>
      <c r="C815" s="254"/>
      <c r="D815" s="254"/>
      <c r="E815" s="254"/>
      <c r="F815" s="255"/>
      <c r="G815" s="215" t="str">
        <f>IF(AND($B815="",OR(B815&lt;&gt;"",C815&lt;&gt;"",D815&lt;&gt;"",E815&lt;&gt;"",F815&lt;&gt;"")),入力リスト!$K$34,IF($I815=TRUE,入力リスト!$K$35,IF(J815=FALSE,"「毎月の固定給与額」","")&amp;IF(AND(J815=FALSE,OR(K815=FALSE,L815=FALSE,M815=FALSE)),",","")&amp;IF(K815=FALSE,"「賞与額等」","")&amp;IF(AND(K815=FALSE,OR(L815=FALSE,M815=FALSE)),",","")&amp;IF(L815=FALSE,"「残業手当」","")&amp;IF(AND(L815=FALSE,M815=FALSE),",","")&amp;IF(M815=FALSE,"「残業時間」","")&amp;IF(OR(J815=FALSE,K815=FALSE,L815=FALSE,M815=FALSE),入力リスト!$K$36,"")&amp;IF(N815,"",入力リスト!$K$37)))</f>
        <v/>
      </c>
      <c r="H815" s="215"/>
      <c r="I815" s="1" t="b">
        <f>IF(B815="",FALSE,COUNTIF('従業員情報(給与以外)'!$A$4:$A$1000000,$B815)=0)</f>
        <v>0</v>
      </c>
      <c r="J815" s="8" t="b">
        <f t="shared" si="60"/>
        <v>1</v>
      </c>
      <c r="K815" s="8" t="b">
        <f t="shared" si="61"/>
        <v>1</v>
      </c>
      <c r="L815" s="8" t="b">
        <f t="shared" si="62"/>
        <v>1</v>
      </c>
      <c r="M815" s="8" t="b">
        <f t="shared" si="63"/>
        <v>1</v>
      </c>
      <c r="N815" s="1" t="b">
        <f t="shared" si="64"/>
        <v>1</v>
      </c>
      <c r="O815" s="8" t="str">
        <f>IF(F815="","",IF($F$2=入力リスト!$H$25,ROUNDDOWN(INT(F815)+ROUNDDOWN((F815-INT(F815))*100,0)/60,2),F815))</f>
        <v/>
      </c>
      <c r="P815" s="7"/>
      <c r="Q815" s="7"/>
    </row>
    <row r="816" spans="1:17">
      <c r="A816" s="105"/>
      <c r="B816" s="2"/>
      <c r="C816" s="254"/>
      <c r="D816" s="254"/>
      <c r="E816" s="254"/>
      <c r="F816" s="255"/>
      <c r="G816" s="215" t="str">
        <f>IF(AND($B816="",OR(B816&lt;&gt;"",C816&lt;&gt;"",D816&lt;&gt;"",E816&lt;&gt;"",F816&lt;&gt;"")),入力リスト!$K$34,IF($I816=TRUE,入力リスト!$K$35,IF(J816=FALSE,"「毎月の固定給与額」","")&amp;IF(AND(J816=FALSE,OR(K816=FALSE,L816=FALSE,M816=FALSE)),",","")&amp;IF(K816=FALSE,"「賞与額等」","")&amp;IF(AND(K816=FALSE,OR(L816=FALSE,M816=FALSE)),",","")&amp;IF(L816=FALSE,"「残業手当」","")&amp;IF(AND(L816=FALSE,M816=FALSE),",","")&amp;IF(M816=FALSE,"「残業時間」","")&amp;IF(OR(J816=FALSE,K816=FALSE,L816=FALSE,M816=FALSE),入力リスト!$K$36,"")&amp;IF(N816,"",入力リスト!$K$37)))</f>
        <v/>
      </c>
      <c r="H816" s="215"/>
      <c r="I816" s="1" t="b">
        <f>IF(B816="",FALSE,COUNTIF('従業員情報(給与以外)'!$A$4:$A$1000000,$B816)=0)</f>
        <v>0</v>
      </c>
      <c r="J816" s="8" t="b">
        <f t="shared" si="60"/>
        <v>1</v>
      </c>
      <c r="K816" s="8" t="b">
        <f t="shared" si="61"/>
        <v>1</v>
      </c>
      <c r="L816" s="8" t="b">
        <f t="shared" si="62"/>
        <v>1</v>
      </c>
      <c r="M816" s="8" t="b">
        <f t="shared" si="63"/>
        <v>1</v>
      </c>
      <c r="N816" s="1" t="b">
        <f t="shared" si="64"/>
        <v>1</v>
      </c>
      <c r="O816" s="8" t="str">
        <f>IF(F816="","",IF($F$2=入力リスト!$H$25,ROUNDDOWN(INT(F816)+ROUNDDOWN((F816-INT(F816))*100,0)/60,2),F816))</f>
        <v/>
      </c>
      <c r="P816" s="7"/>
      <c r="Q816" s="7"/>
    </row>
    <row r="817" spans="1:17">
      <c r="A817" s="105"/>
      <c r="B817" s="2"/>
      <c r="C817" s="254"/>
      <c r="D817" s="254"/>
      <c r="E817" s="254"/>
      <c r="F817" s="255"/>
      <c r="G817" s="215" t="str">
        <f>IF(AND($B817="",OR(B817&lt;&gt;"",C817&lt;&gt;"",D817&lt;&gt;"",E817&lt;&gt;"",F817&lt;&gt;"")),入力リスト!$K$34,IF($I817=TRUE,入力リスト!$K$35,IF(J817=FALSE,"「毎月の固定給与額」","")&amp;IF(AND(J817=FALSE,OR(K817=FALSE,L817=FALSE,M817=FALSE)),",","")&amp;IF(K817=FALSE,"「賞与額等」","")&amp;IF(AND(K817=FALSE,OR(L817=FALSE,M817=FALSE)),",","")&amp;IF(L817=FALSE,"「残業手当」","")&amp;IF(AND(L817=FALSE,M817=FALSE),",","")&amp;IF(M817=FALSE,"「残業時間」","")&amp;IF(OR(J817=FALSE,K817=FALSE,L817=FALSE,M817=FALSE),入力リスト!$K$36,"")&amp;IF(N817,"",入力リスト!$K$37)))</f>
        <v/>
      </c>
      <c r="H817" s="215"/>
      <c r="I817" s="1" t="b">
        <f>IF(B817="",FALSE,COUNTIF('従業員情報(給与以外)'!$A$4:$A$1000000,$B817)=0)</f>
        <v>0</v>
      </c>
      <c r="J817" s="8" t="b">
        <f t="shared" si="60"/>
        <v>1</v>
      </c>
      <c r="K817" s="8" t="b">
        <f t="shared" si="61"/>
        <v>1</v>
      </c>
      <c r="L817" s="8" t="b">
        <f t="shared" si="62"/>
        <v>1</v>
      </c>
      <c r="M817" s="8" t="b">
        <f t="shared" si="63"/>
        <v>1</v>
      </c>
      <c r="N817" s="1" t="b">
        <f t="shared" si="64"/>
        <v>1</v>
      </c>
      <c r="O817" s="8" t="str">
        <f>IF(F817="","",IF($F$2=入力リスト!$H$25,ROUNDDOWN(INT(F817)+ROUNDDOWN((F817-INT(F817))*100,0)/60,2),F817))</f>
        <v/>
      </c>
      <c r="P817" s="7"/>
      <c r="Q817" s="7"/>
    </row>
    <row r="818" spans="1:17">
      <c r="A818" s="105"/>
      <c r="B818" s="2"/>
      <c r="C818" s="254"/>
      <c r="D818" s="254"/>
      <c r="E818" s="254"/>
      <c r="F818" s="255"/>
      <c r="G818" s="215" t="str">
        <f>IF(AND($B818="",OR(B818&lt;&gt;"",C818&lt;&gt;"",D818&lt;&gt;"",E818&lt;&gt;"",F818&lt;&gt;"")),入力リスト!$K$34,IF($I818=TRUE,入力リスト!$K$35,IF(J818=FALSE,"「毎月の固定給与額」","")&amp;IF(AND(J818=FALSE,OR(K818=FALSE,L818=FALSE,M818=FALSE)),",","")&amp;IF(K818=FALSE,"「賞与額等」","")&amp;IF(AND(K818=FALSE,OR(L818=FALSE,M818=FALSE)),",","")&amp;IF(L818=FALSE,"「残業手当」","")&amp;IF(AND(L818=FALSE,M818=FALSE),",","")&amp;IF(M818=FALSE,"「残業時間」","")&amp;IF(OR(J818=FALSE,K818=FALSE,L818=FALSE,M818=FALSE),入力リスト!$K$36,"")&amp;IF(N818,"",入力リスト!$K$37)))</f>
        <v/>
      </c>
      <c r="H818" s="215"/>
      <c r="I818" s="1" t="b">
        <f>IF(B818="",FALSE,COUNTIF('従業員情報(給与以外)'!$A$4:$A$1000000,$B818)=0)</f>
        <v>0</v>
      </c>
      <c r="J818" s="8" t="b">
        <f t="shared" si="60"/>
        <v>1</v>
      </c>
      <c r="K818" s="8" t="b">
        <f t="shared" si="61"/>
        <v>1</v>
      </c>
      <c r="L818" s="8" t="b">
        <f t="shared" si="62"/>
        <v>1</v>
      </c>
      <c r="M818" s="8" t="b">
        <f t="shared" si="63"/>
        <v>1</v>
      </c>
      <c r="N818" s="1" t="b">
        <f t="shared" si="64"/>
        <v>1</v>
      </c>
      <c r="O818" s="8" t="str">
        <f>IF(F818="","",IF($F$2=入力リスト!$H$25,ROUNDDOWN(INT(F818)+ROUNDDOWN((F818-INT(F818))*100,0)/60,2),F818))</f>
        <v/>
      </c>
      <c r="P818" s="7"/>
      <c r="Q818" s="7"/>
    </row>
    <row r="819" spans="1:17">
      <c r="A819" s="105"/>
      <c r="B819" s="2"/>
      <c r="C819" s="254"/>
      <c r="D819" s="254"/>
      <c r="E819" s="254"/>
      <c r="F819" s="255"/>
      <c r="G819" s="215" t="str">
        <f>IF(AND($B819="",OR(B819&lt;&gt;"",C819&lt;&gt;"",D819&lt;&gt;"",E819&lt;&gt;"",F819&lt;&gt;"")),入力リスト!$K$34,IF($I819=TRUE,入力リスト!$K$35,IF(J819=FALSE,"「毎月の固定給与額」","")&amp;IF(AND(J819=FALSE,OR(K819=FALSE,L819=FALSE,M819=FALSE)),",","")&amp;IF(K819=FALSE,"「賞与額等」","")&amp;IF(AND(K819=FALSE,OR(L819=FALSE,M819=FALSE)),",","")&amp;IF(L819=FALSE,"「残業手当」","")&amp;IF(AND(L819=FALSE,M819=FALSE),",","")&amp;IF(M819=FALSE,"「残業時間」","")&amp;IF(OR(J819=FALSE,K819=FALSE,L819=FALSE,M819=FALSE),入力リスト!$K$36,"")&amp;IF(N819,"",入力リスト!$K$37)))</f>
        <v/>
      </c>
      <c r="H819" s="215"/>
      <c r="I819" s="1" t="b">
        <f>IF(B819="",FALSE,COUNTIF('従業員情報(給与以外)'!$A$4:$A$1000000,$B819)=0)</f>
        <v>0</v>
      </c>
      <c r="J819" s="8" t="b">
        <f t="shared" si="60"/>
        <v>1</v>
      </c>
      <c r="K819" s="8" t="b">
        <f t="shared" si="61"/>
        <v>1</v>
      </c>
      <c r="L819" s="8" t="b">
        <f t="shared" si="62"/>
        <v>1</v>
      </c>
      <c r="M819" s="8" t="b">
        <f t="shared" si="63"/>
        <v>1</v>
      </c>
      <c r="N819" s="1" t="b">
        <f t="shared" si="64"/>
        <v>1</v>
      </c>
      <c r="O819" s="8" t="str">
        <f>IF(F819="","",IF($F$2=入力リスト!$H$25,ROUNDDOWN(INT(F819)+ROUNDDOWN((F819-INT(F819))*100,0)/60,2),F819))</f>
        <v/>
      </c>
      <c r="P819" s="7"/>
      <c r="Q819" s="7"/>
    </row>
    <row r="820" spans="1:17">
      <c r="A820" s="105"/>
      <c r="B820" s="2"/>
      <c r="C820" s="254"/>
      <c r="D820" s="254"/>
      <c r="E820" s="254"/>
      <c r="F820" s="255"/>
      <c r="G820" s="215" t="str">
        <f>IF(AND($B820="",OR(B820&lt;&gt;"",C820&lt;&gt;"",D820&lt;&gt;"",E820&lt;&gt;"",F820&lt;&gt;"")),入力リスト!$K$34,IF($I820=TRUE,入力リスト!$K$35,IF(J820=FALSE,"「毎月の固定給与額」","")&amp;IF(AND(J820=FALSE,OR(K820=FALSE,L820=FALSE,M820=FALSE)),",","")&amp;IF(K820=FALSE,"「賞与額等」","")&amp;IF(AND(K820=FALSE,OR(L820=FALSE,M820=FALSE)),",","")&amp;IF(L820=FALSE,"「残業手当」","")&amp;IF(AND(L820=FALSE,M820=FALSE),",","")&amp;IF(M820=FALSE,"「残業時間」","")&amp;IF(OR(J820=FALSE,K820=FALSE,L820=FALSE,M820=FALSE),入力リスト!$K$36,"")&amp;IF(N820,"",入力リスト!$K$37)))</f>
        <v/>
      </c>
      <c r="H820" s="215"/>
      <c r="I820" s="1" t="b">
        <f>IF(B820="",FALSE,COUNTIF('従業員情報(給与以外)'!$A$4:$A$1000000,$B820)=0)</f>
        <v>0</v>
      </c>
      <c r="J820" s="8" t="b">
        <f t="shared" si="60"/>
        <v>1</v>
      </c>
      <c r="K820" s="8" t="b">
        <f t="shared" si="61"/>
        <v>1</v>
      </c>
      <c r="L820" s="8" t="b">
        <f t="shared" si="62"/>
        <v>1</v>
      </c>
      <c r="M820" s="8" t="b">
        <f t="shared" si="63"/>
        <v>1</v>
      </c>
      <c r="N820" s="1" t="b">
        <f t="shared" si="64"/>
        <v>1</v>
      </c>
      <c r="O820" s="8" t="str">
        <f>IF(F820="","",IF($F$2=入力リスト!$H$25,ROUNDDOWN(INT(F820)+ROUNDDOWN((F820-INT(F820))*100,0)/60,2),F820))</f>
        <v/>
      </c>
      <c r="P820" s="7"/>
      <c r="Q820" s="7"/>
    </row>
    <row r="821" spans="1:17">
      <c r="A821" s="105"/>
      <c r="B821" s="2"/>
      <c r="C821" s="254"/>
      <c r="D821" s="254"/>
      <c r="E821" s="254"/>
      <c r="F821" s="255"/>
      <c r="G821" s="215" t="str">
        <f>IF(AND($B821="",OR(B821&lt;&gt;"",C821&lt;&gt;"",D821&lt;&gt;"",E821&lt;&gt;"",F821&lt;&gt;"")),入力リスト!$K$34,IF($I821=TRUE,入力リスト!$K$35,IF(J821=FALSE,"「毎月の固定給与額」","")&amp;IF(AND(J821=FALSE,OR(K821=FALSE,L821=FALSE,M821=FALSE)),",","")&amp;IF(K821=FALSE,"「賞与額等」","")&amp;IF(AND(K821=FALSE,OR(L821=FALSE,M821=FALSE)),",","")&amp;IF(L821=FALSE,"「残業手当」","")&amp;IF(AND(L821=FALSE,M821=FALSE),",","")&amp;IF(M821=FALSE,"「残業時間」","")&amp;IF(OR(J821=FALSE,K821=FALSE,L821=FALSE,M821=FALSE),入力リスト!$K$36,"")&amp;IF(N821,"",入力リスト!$K$37)))</f>
        <v/>
      </c>
      <c r="H821" s="215"/>
      <c r="I821" s="1" t="b">
        <f>IF(B821="",FALSE,COUNTIF('従業員情報(給与以外)'!$A$4:$A$1000000,$B821)=0)</f>
        <v>0</v>
      </c>
      <c r="J821" s="8" t="b">
        <f t="shared" si="60"/>
        <v>1</v>
      </c>
      <c r="K821" s="8" t="b">
        <f t="shared" si="61"/>
        <v>1</v>
      </c>
      <c r="L821" s="8" t="b">
        <f t="shared" si="62"/>
        <v>1</v>
      </c>
      <c r="M821" s="8" t="b">
        <f t="shared" si="63"/>
        <v>1</v>
      </c>
      <c r="N821" s="1" t="b">
        <f t="shared" si="64"/>
        <v>1</v>
      </c>
      <c r="O821" s="8" t="str">
        <f>IF(F821="","",IF($F$2=入力リスト!$H$25,ROUNDDOWN(INT(F821)+ROUNDDOWN((F821-INT(F821))*100,0)/60,2),F821))</f>
        <v/>
      </c>
      <c r="P821" s="7"/>
      <c r="Q821" s="7"/>
    </row>
    <row r="822" spans="1:17">
      <c r="A822" s="105"/>
      <c r="B822" s="2"/>
      <c r="C822" s="254"/>
      <c r="D822" s="254"/>
      <c r="E822" s="254"/>
      <c r="F822" s="255"/>
      <c r="G822" s="215" t="str">
        <f>IF(AND($B822="",OR(B822&lt;&gt;"",C822&lt;&gt;"",D822&lt;&gt;"",E822&lt;&gt;"",F822&lt;&gt;"")),入力リスト!$K$34,IF($I822=TRUE,入力リスト!$K$35,IF(J822=FALSE,"「毎月の固定給与額」","")&amp;IF(AND(J822=FALSE,OR(K822=FALSE,L822=FALSE,M822=FALSE)),",","")&amp;IF(K822=FALSE,"「賞与額等」","")&amp;IF(AND(K822=FALSE,OR(L822=FALSE,M822=FALSE)),",","")&amp;IF(L822=FALSE,"「残業手当」","")&amp;IF(AND(L822=FALSE,M822=FALSE),",","")&amp;IF(M822=FALSE,"「残業時間」","")&amp;IF(OR(J822=FALSE,K822=FALSE,L822=FALSE,M822=FALSE),入力リスト!$K$36,"")&amp;IF(N822,"",入力リスト!$K$37)))</f>
        <v/>
      </c>
      <c r="H822" s="215"/>
      <c r="I822" s="1" t="b">
        <f>IF(B822="",FALSE,COUNTIF('従業員情報(給与以外)'!$A$4:$A$1000000,$B822)=0)</f>
        <v>0</v>
      </c>
      <c r="J822" s="8" t="b">
        <f t="shared" si="60"/>
        <v>1</v>
      </c>
      <c r="K822" s="8" t="b">
        <f t="shared" si="61"/>
        <v>1</v>
      </c>
      <c r="L822" s="8" t="b">
        <f t="shared" si="62"/>
        <v>1</v>
      </c>
      <c r="M822" s="8" t="b">
        <f t="shared" si="63"/>
        <v>1</v>
      </c>
      <c r="N822" s="1" t="b">
        <f t="shared" si="64"/>
        <v>1</v>
      </c>
      <c r="O822" s="8" t="str">
        <f>IF(F822="","",IF($F$2=入力リスト!$H$25,ROUNDDOWN(INT(F822)+ROUNDDOWN((F822-INT(F822))*100,0)/60,2),F822))</f>
        <v/>
      </c>
      <c r="P822" s="7"/>
      <c r="Q822" s="7"/>
    </row>
    <row r="823" spans="1:17">
      <c r="A823" s="105"/>
      <c r="B823" s="2"/>
      <c r="C823" s="254"/>
      <c r="D823" s="254"/>
      <c r="E823" s="254"/>
      <c r="F823" s="255"/>
      <c r="G823" s="215" t="str">
        <f>IF(AND($B823="",OR(B823&lt;&gt;"",C823&lt;&gt;"",D823&lt;&gt;"",E823&lt;&gt;"",F823&lt;&gt;"")),入力リスト!$K$34,IF($I823=TRUE,入力リスト!$K$35,IF(J823=FALSE,"「毎月の固定給与額」","")&amp;IF(AND(J823=FALSE,OR(K823=FALSE,L823=FALSE,M823=FALSE)),",","")&amp;IF(K823=FALSE,"「賞与額等」","")&amp;IF(AND(K823=FALSE,OR(L823=FALSE,M823=FALSE)),",","")&amp;IF(L823=FALSE,"「残業手当」","")&amp;IF(AND(L823=FALSE,M823=FALSE),",","")&amp;IF(M823=FALSE,"「残業時間」","")&amp;IF(OR(J823=FALSE,K823=FALSE,L823=FALSE,M823=FALSE),入力リスト!$K$36,"")&amp;IF(N823,"",入力リスト!$K$37)))</f>
        <v/>
      </c>
      <c r="H823" s="215"/>
      <c r="I823" s="1" t="b">
        <f>IF(B823="",FALSE,COUNTIF('従業員情報(給与以外)'!$A$4:$A$1000000,$B823)=0)</f>
        <v>0</v>
      </c>
      <c r="J823" s="8" t="b">
        <f t="shared" si="60"/>
        <v>1</v>
      </c>
      <c r="K823" s="8" t="b">
        <f t="shared" si="61"/>
        <v>1</v>
      </c>
      <c r="L823" s="8" t="b">
        <f t="shared" si="62"/>
        <v>1</v>
      </c>
      <c r="M823" s="8" t="b">
        <f t="shared" si="63"/>
        <v>1</v>
      </c>
      <c r="N823" s="1" t="b">
        <f t="shared" si="64"/>
        <v>1</v>
      </c>
      <c r="O823" s="8" t="str">
        <f>IF(F823="","",IF($F$2=入力リスト!$H$25,ROUNDDOWN(INT(F823)+ROUNDDOWN((F823-INT(F823))*100,0)/60,2),F823))</f>
        <v/>
      </c>
      <c r="P823" s="7"/>
      <c r="Q823" s="7"/>
    </row>
    <row r="824" spans="1:17">
      <c r="A824" s="105"/>
      <c r="B824" s="2"/>
      <c r="C824" s="254"/>
      <c r="D824" s="254"/>
      <c r="E824" s="254"/>
      <c r="F824" s="255"/>
      <c r="G824" s="215" t="str">
        <f>IF(AND($B824="",OR(B824&lt;&gt;"",C824&lt;&gt;"",D824&lt;&gt;"",E824&lt;&gt;"",F824&lt;&gt;"")),入力リスト!$K$34,IF($I824=TRUE,入力リスト!$K$35,IF(J824=FALSE,"「毎月の固定給与額」","")&amp;IF(AND(J824=FALSE,OR(K824=FALSE,L824=FALSE,M824=FALSE)),",","")&amp;IF(K824=FALSE,"「賞与額等」","")&amp;IF(AND(K824=FALSE,OR(L824=FALSE,M824=FALSE)),",","")&amp;IF(L824=FALSE,"「残業手当」","")&amp;IF(AND(L824=FALSE,M824=FALSE),",","")&amp;IF(M824=FALSE,"「残業時間」","")&amp;IF(OR(J824=FALSE,K824=FALSE,L824=FALSE,M824=FALSE),入力リスト!$K$36,"")&amp;IF(N824,"",入力リスト!$K$37)))</f>
        <v/>
      </c>
      <c r="H824" s="215"/>
      <c r="I824" s="1" t="b">
        <f>IF(B824="",FALSE,COUNTIF('従業員情報(給与以外)'!$A$4:$A$1000000,$B824)=0)</f>
        <v>0</v>
      </c>
      <c r="J824" s="8" t="b">
        <f t="shared" si="60"/>
        <v>1</v>
      </c>
      <c r="K824" s="8" t="b">
        <f t="shared" si="61"/>
        <v>1</v>
      </c>
      <c r="L824" s="8" t="b">
        <f t="shared" si="62"/>
        <v>1</v>
      </c>
      <c r="M824" s="8" t="b">
        <f t="shared" si="63"/>
        <v>1</v>
      </c>
      <c r="N824" s="1" t="b">
        <f t="shared" si="64"/>
        <v>1</v>
      </c>
      <c r="O824" s="8" t="str">
        <f>IF(F824="","",IF($F$2=入力リスト!$H$25,ROUNDDOWN(INT(F824)+ROUNDDOWN((F824-INT(F824))*100,0)/60,2),F824))</f>
        <v/>
      </c>
      <c r="P824" s="7"/>
      <c r="Q824" s="7"/>
    </row>
    <row r="825" spans="1:17">
      <c r="A825" s="105"/>
      <c r="B825" s="2"/>
      <c r="C825" s="254"/>
      <c r="D825" s="254"/>
      <c r="E825" s="254"/>
      <c r="F825" s="255"/>
      <c r="G825" s="215" t="str">
        <f>IF(AND($B825="",OR(B825&lt;&gt;"",C825&lt;&gt;"",D825&lt;&gt;"",E825&lt;&gt;"",F825&lt;&gt;"")),入力リスト!$K$34,IF($I825=TRUE,入力リスト!$K$35,IF(J825=FALSE,"「毎月の固定給与額」","")&amp;IF(AND(J825=FALSE,OR(K825=FALSE,L825=FALSE,M825=FALSE)),",","")&amp;IF(K825=FALSE,"「賞与額等」","")&amp;IF(AND(K825=FALSE,OR(L825=FALSE,M825=FALSE)),",","")&amp;IF(L825=FALSE,"「残業手当」","")&amp;IF(AND(L825=FALSE,M825=FALSE),",","")&amp;IF(M825=FALSE,"「残業時間」","")&amp;IF(OR(J825=FALSE,K825=FALSE,L825=FALSE,M825=FALSE),入力リスト!$K$36,"")&amp;IF(N825,"",入力リスト!$K$37)))</f>
        <v/>
      </c>
      <c r="H825" s="215"/>
      <c r="I825" s="1" t="b">
        <f>IF(B825="",FALSE,COUNTIF('従業員情報(給与以外)'!$A$4:$A$1000000,$B825)=0)</f>
        <v>0</v>
      </c>
      <c r="J825" s="8" t="b">
        <f t="shared" si="60"/>
        <v>1</v>
      </c>
      <c r="K825" s="8" t="b">
        <f t="shared" si="61"/>
        <v>1</v>
      </c>
      <c r="L825" s="8" t="b">
        <f t="shared" si="62"/>
        <v>1</v>
      </c>
      <c r="M825" s="8" t="b">
        <f t="shared" si="63"/>
        <v>1</v>
      </c>
      <c r="N825" s="1" t="b">
        <f t="shared" si="64"/>
        <v>1</v>
      </c>
      <c r="O825" s="8" t="str">
        <f>IF(F825="","",IF($F$2=入力リスト!$H$25,ROUNDDOWN(INT(F825)+ROUNDDOWN((F825-INT(F825))*100,0)/60,2),F825))</f>
        <v/>
      </c>
      <c r="P825" s="7"/>
      <c r="Q825" s="7"/>
    </row>
    <row r="826" spans="1:17">
      <c r="A826" s="105"/>
      <c r="B826" s="2"/>
      <c r="C826" s="254"/>
      <c r="D826" s="254"/>
      <c r="E826" s="254"/>
      <c r="F826" s="255"/>
      <c r="G826" s="215" t="str">
        <f>IF(AND($B826="",OR(B826&lt;&gt;"",C826&lt;&gt;"",D826&lt;&gt;"",E826&lt;&gt;"",F826&lt;&gt;"")),入力リスト!$K$34,IF($I826=TRUE,入力リスト!$K$35,IF(J826=FALSE,"「毎月の固定給与額」","")&amp;IF(AND(J826=FALSE,OR(K826=FALSE,L826=FALSE,M826=FALSE)),",","")&amp;IF(K826=FALSE,"「賞与額等」","")&amp;IF(AND(K826=FALSE,OR(L826=FALSE,M826=FALSE)),",","")&amp;IF(L826=FALSE,"「残業手当」","")&amp;IF(AND(L826=FALSE,M826=FALSE),",","")&amp;IF(M826=FALSE,"「残業時間」","")&amp;IF(OR(J826=FALSE,K826=FALSE,L826=FALSE,M826=FALSE),入力リスト!$K$36,"")&amp;IF(N826,"",入力リスト!$K$37)))</f>
        <v/>
      </c>
      <c r="H826" s="215"/>
      <c r="I826" s="1" t="b">
        <f>IF(B826="",FALSE,COUNTIF('従業員情報(給与以外)'!$A$4:$A$1000000,$B826)=0)</f>
        <v>0</v>
      </c>
      <c r="J826" s="8" t="b">
        <f t="shared" si="60"/>
        <v>1</v>
      </c>
      <c r="K826" s="8" t="b">
        <f t="shared" si="61"/>
        <v>1</v>
      </c>
      <c r="L826" s="8" t="b">
        <f t="shared" si="62"/>
        <v>1</v>
      </c>
      <c r="M826" s="8" t="b">
        <f t="shared" si="63"/>
        <v>1</v>
      </c>
      <c r="N826" s="1" t="b">
        <f t="shared" si="64"/>
        <v>1</v>
      </c>
      <c r="O826" s="8" t="str">
        <f>IF(F826="","",IF($F$2=入力リスト!$H$25,ROUNDDOWN(INT(F826)+ROUNDDOWN((F826-INT(F826))*100,0)/60,2),F826))</f>
        <v/>
      </c>
      <c r="P826" s="7"/>
      <c r="Q826" s="7"/>
    </row>
    <row r="827" spans="1:17">
      <c r="A827" s="105"/>
      <c r="B827" s="2"/>
      <c r="C827" s="254"/>
      <c r="D827" s="254"/>
      <c r="E827" s="254"/>
      <c r="F827" s="255"/>
      <c r="G827" s="215" t="str">
        <f>IF(AND($B827="",OR(B827&lt;&gt;"",C827&lt;&gt;"",D827&lt;&gt;"",E827&lt;&gt;"",F827&lt;&gt;"")),入力リスト!$K$34,IF($I827=TRUE,入力リスト!$K$35,IF(J827=FALSE,"「毎月の固定給与額」","")&amp;IF(AND(J827=FALSE,OR(K827=FALSE,L827=FALSE,M827=FALSE)),",","")&amp;IF(K827=FALSE,"「賞与額等」","")&amp;IF(AND(K827=FALSE,OR(L827=FALSE,M827=FALSE)),",","")&amp;IF(L827=FALSE,"「残業手当」","")&amp;IF(AND(L827=FALSE,M827=FALSE),",","")&amp;IF(M827=FALSE,"「残業時間」","")&amp;IF(OR(J827=FALSE,K827=FALSE,L827=FALSE,M827=FALSE),入力リスト!$K$36,"")&amp;IF(N827,"",入力リスト!$K$37)))</f>
        <v/>
      </c>
      <c r="H827" s="215"/>
      <c r="I827" s="1" t="b">
        <f>IF(B827="",FALSE,COUNTIF('従業員情報(給与以外)'!$A$4:$A$1000000,$B827)=0)</f>
        <v>0</v>
      </c>
      <c r="J827" s="8" t="b">
        <f t="shared" si="60"/>
        <v>1</v>
      </c>
      <c r="K827" s="8" t="b">
        <f t="shared" si="61"/>
        <v>1</v>
      </c>
      <c r="L827" s="8" t="b">
        <f t="shared" si="62"/>
        <v>1</v>
      </c>
      <c r="M827" s="8" t="b">
        <f t="shared" si="63"/>
        <v>1</v>
      </c>
      <c r="N827" s="1" t="b">
        <f t="shared" si="64"/>
        <v>1</v>
      </c>
      <c r="O827" s="8" t="str">
        <f>IF(F827="","",IF($F$2=入力リスト!$H$25,ROUNDDOWN(INT(F827)+ROUNDDOWN((F827-INT(F827))*100,0)/60,2),F827))</f>
        <v/>
      </c>
      <c r="P827" s="7"/>
      <c r="Q827" s="7"/>
    </row>
    <row r="828" spans="1:17">
      <c r="A828" s="105"/>
      <c r="B828" s="2"/>
      <c r="C828" s="254"/>
      <c r="D828" s="254"/>
      <c r="E828" s="254"/>
      <c r="F828" s="255"/>
      <c r="G828" s="215" t="str">
        <f>IF(AND($B828="",OR(B828&lt;&gt;"",C828&lt;&gt;"",D828&lt;&gt;"",E828&lt;&gt;"",F828&lt;&gt;"")),入力リスト!$K$34,IF($I828=TRUE,入力リスト!$K$35,IF(J828=FALSE,"「毎月の固定給与額」","")&amp;IF(AND(J828=FALSE,OR(K828=FALSE,L828=FALSE,M828=FALSE)),",","")&amp;IF(K828=FALSE,"「賞与額等」","")&amp;IF(AND(K828=FALSE,OR(L828=FALSE,M828=FALSE)),",","")&amp;IF(L828=FALSE,"「残業手当」","")&amp;IF(AND(L828=FALSE,M828=FALSE),",","")&amp;IF(M828=FALSE,"「残業時間」","")&amp;IF(OR(J828=FALSE,K828=FALSE,L828=FALSE,M828=FALSE),入力リスト!$K$36,"")&amp;IF(N828,"",入力リスト!$K$37)))</f>
        <v/>
      </c>
      <c r="H828" s="215"/>
      <c r="I828" s="1" t="b">
        <f>IF(B828="",FALSE,COUNTIF('従業員情報(給与以外)'!$A$4:$A$1000000,$B828)=0)</f>
        <v>0</v>
      </c>
      <c r="J828" s="8" t="b">
        <f t="shared" si="60"/>
        <v>1</v>
      </c>
      <c r="K828" s="8" t="b">
        <f t="shared" si="61"/>
        <v>1</v>
      </c>
      <c r="L828" s="8" t="b">
        <f t="shared" si="62"/>
        <v>1</v>
      </c>
      <c r="M828" s="8" t="b">
        <f t="shared" si="63"/>
        <v>1</v>
      </c>
      <c r="N828" s="1" t="b">
        <f t="shared" si="64"/>
        <v>1</v>
      </c>
      <c r="O828" s="8" t="str">
        <f>IF(F828="","",IF($F$2=入力リスト!$H$25,ROUNDDOWN(INT(F828)+ROUNDDOWN((F828-INT(F828))*100,0)/60,2),F828))</f>
        <v/>
      </c>
      <c r="P828" s="7"/>
      <c r="Q828" s="7"/>
    </row>
    <row r="829" spans="1:17">
      <c r="A829" s="105"/>
      <c r="B829" s="2"/>
      <c r="C829" s="254"/>
      <c r="D829" s="254"/>
      <c r="E829" s="254"/>
      <c r="F829" s="255"/>
      <c r="G829" s="215" t="str">
        <f>IF(AND($B829="",OR(B829&lt;&gt;"",C829&lt;&gt;"",D829&lt;&gt;"",E829&lt;&gt;"",F829&lt;&gt;"")),入力リスト!$K$34,IF($I829=TRUE,入力リスト!$K$35,IF(J829=FALSE,"「毎月の固定給与額」","")&amp;IF(AND(J829=FALSE,OR(K829=FALSE,L829=FALSE,M829=FALSE)),",","")&amp;IF(K829=FALSE,"「賞与額等」","")&amp;IF(AND(K829=FALSE,OR(L829=FALSE,M829=FALSE)),",","")&amp;IF(L829=FALSE,"「残業手当」","")&amp;IF(AND(L829=FALSE,M829=FALSE),",","")&amp;IF(M829=FALSE,"「残業時間」","")&amp;IF(OR(J829=FALSE,K829=FALSE,L829=FALSE,M829=FALSE),入力リスト!$K$36,"")&amp;IF(N829,"",入力リスト!$K$37)))</f>
        <v/>
      </c>
      <c r="H829" s="215"/>
      <c r="I829" s="1" t="b">
        <f>IF(B829="",FALSE,COUNTIF('従業員情報(給与以外)'!$A$4:$A$1000000,$B829)=0)</f>
        <v>0</v>
      </c>
      <c r="J829" s="8" t="b">
        <f t="shared" si="60"/>
        <v>1</v>
      </c>
      <c r="K829" s="8" t="b">
        <f t="shared" si="61"/>
        <v>1</v>
      </c>
      <c r="L829" s="8" t="b">
        <f t="shared" si="62"/>
        <v>1</v>
      </c>
      <c r="M829" s="8" t="b">
        <f t="shared" si="63"/>
        <v>1</v>
      </c>
      <c r="N829" s="1" t="b">
        <f t="shared" si="64"/>
        <v>1</v>
      </c>
      <c r="O829" s="8" t="str">
        <f>IF(F829="","",IF($F$2=入力リスト!$H$25,ROUNDDOWN(INT(F829)+ROUNDDOWN((F829-INT(F829))*100,0)/60,2),F829))</f>
        <v/>
      </c>
      <c r="P829" s="7"/>
      <c r="Q829" s="7"/>
    </row>
    <row r="830" spans="1:17">
      <c r="A830" s="105"/>
      <c r="B830" s="2"/>
      <c r="C830" s="254"/>
      <c r="D830" s="254"/>
      <c r="E830" s="254"/>
      <c r="F830" s="255"/>
      <c r="G830" s="215" t="str">
        <f>IF(AND($B830="",OR(B830&lt;&gt;"",C830&lt;&gt;"",D830&lt;&gt;"",E830&lt;&gt;"",F830&lt;&gt;"")),入力リスト!$K$34,IF($I830=TRUE,入力リスト!$K$35,IF(J830=FALSE,"「毎月の固定給与額」","")&amp;IF(AND(J830=FALSE,OR(K830=FALSE,L830=FALSE,M830=FALSE)),",","")&amp;IF(K830=FALSE,"「賞与額等」","")&amp;IF(AND(K830=FALSE,OR(L830=FALSE,M830=FALSE)),",","")&amp;IF(L830=FALSE,"「残業手当」","")&amp;IF(AND(L830=FALSE,M830=FALSE),",","")&amp;IF(M830=FALSE,"「残業時間」","")&amp;IF(OR(J830=FALSE,K830=FALSE,L830=FALSE,M830=FALSE),入力リスト!$K$36,"")&amp;IF(N830,"",入力リスト!$K$37)))</f>
        <v/>
      </c>
      <c r="H830" s="215"/>
      <c r="I830" s="1" t="b">
        <f>IF(B830="",FALSE,COUNTIF('従業員情報(給与以外)'!$A$4:$A$1000000,$B830)=0)</f>
        <v>0</v>
      </c>
      <c r="J830" s="8" t="b">
        <f t="shared" si="60"/>
        <v>1</v>
      </c>
      <c r="K830" s="8" t="b">
        <f t="shared" si="61"/>
        <v>1</v>
      </c>
      <c r="L830" s="8" t="b">
        <f t="shared" si="62"/>
        <v>1</v>
      </c>
      <c r="M830" s="8" t="b">
        <f t="shared" si="63"/>
        <v>1</v>
      </c>
      <c r="N830" s="1" t="b">
        <f t="shared" si="64"/>
        <v>1</v>
      </c>
      <c r="O830" s="8" t="str">
        <f>IF(F830="","",IF($F$2=入力リスト!$H$25,ROUNDDOWN(INT(F830)+ROUNDDOWN((F830-INT(F830))*100,0)/60,2),F830))</f>
        <v/>
      </c>
      <c r="P830" s="7"/>
      <c r="Q830" s="7"/>
    </row>
    <row r="831" spans="1:17">
      <c r="A831" s="105"/>
      <c r="B831" s="2"/>
      <c r="C831" s="254"/>
      <c r="D831" s="254"/>
      <c r="E831" s="254"/>
      <c r="F831" s="255"/>
      <c r="G831" s="215" t="str">
        <f>IF(AND($B831="",OR(B831&lt;&gt;"",C831&lt;&gt;"",D831&lt;&gt;"",E831&lt;&gt;"",F831&lt;&gt;"")),入力リスト!$K$34,IF($I831=TRUE,入力リスト!$K$35,IF(J831=FALSE,"「毎月の固定給与額」","")&amp;IF(AND(J831=FALSE,OR(K831=FALSE,L831=FALSE,M831=FALSE)),",","")&amp;IF(K831=FALSE,"「賞与額等」","")&amp;IF(AND(K831=FALSE,OR(L831=FALSE,M831=FALSE)),",","")&amp;IF(L831=FALSE,"「残業手当」","")&amp;IF(AND(L831=FALSE,M831=FALSE),",","")&amp;IF(M831=FALSE,"「残業時間」","")&amp;IF(OR(J831=FALSE,K831=FALSE,L831=FALSE,M831=FALSE),入力リスト!$K$36,"")&amp;IF(N831,"",入力リスト!$K$37)))</f>
        <v/>
      </c>
      <c r="H831" s="215"/>
      <c r="I831" s="1" t="b">
        <f>IF(B831="",FALSE,COUNTIF('従業員情報(給与以外)'!$A$4:$A$1000000,$B831)=0)</f>
        <v>0</v>
      </c>
      <c r="J831" s="8" t="b">
        <f t="shared" si="60"/>
        <v>1</v>
      </c>
      <c r="K831" s="8" t="b">
        <f t="shared" si="61"/>
        <v>1</v>
      </c>
      <c r="L831" s="8" t="b">
        <f t="shared" si="62"/>
        <v>1</v>
      </c>
      <c r="M831" s="8" t="b">
        <f t="shared" si="63"/>
        <v>1</v>
      </c>
      <c r="N831" s="1" t="b">
        <f t="shared" si="64"/>
        <v>1</v>
      </c>
      <c r="O831" s="8" t="str">
        <f>IF(F831="","",IF($F$2=入力リスト!$H$25,ROUNDDOWN(INT(F831)+ROUNDDOWN((F831-INT(F831))*100,0)/60,2),F831))</f>
        <v/>
      </c>
      <c r="P831" s="7"/>
      <c r="Q831" s="7"/>
    </row>
    <row r="832" spans="1:17">
      <c r="A832" s="105"/>
      <c r="B832" s="2"/>
      <c r="C832" s="254"/>
      <c r="D832" s="254"/>
      <c r="E832" s="254"/>
      <c r="F832" s="255"/>
      <c r="G832" s="215" t="str">
        <f>IF(AND($B832="",OR(B832&lt;&gt;"",C832&lt;&gt;"",D832&lt;&gt;"",E832&lt;&gt;"",F832&lt;&gt;"")),入力リスト!$K$34,IF($I832=TRUE,入力リスト!$K$35,IF(J832=FALSE,"「毎月の固定給与額」","")&amp;IF(AND(J832=FALSE,OR(K832=FALSE,L832=FALSE,M832=FALSE)),",","")&amp;IF(K832=FALSE,"「賞与額等」","")&amp;IF(AND(K832=FALSE,OR(L832=FALSE,M832=FALSE)),",","")&amp;IF(L832=FALSE,"「残業手当」","")&amp;IF(AND(L832=FALSE,M832=FALSE),",","")&amp;IF(M832=FALSE,"「残業時間」","")&amp;IF(OR(J832=FALSE,K832=FALSE,L832=FALSE,M832=FALSE),入力リスト!$K$36,"")&amp;IF(N832,"",入力リスト!$K$37)))</f>
        <v/>
      </c>
      <c r="H832" s="215"/>
      <c r="I832" s="1" t="b">
        <f>IF(B832="",FALSE,COUNTIF('従業員情報(給与以外)'!$A$4:$A$1000000,$B832)=0)</f>
        <v>0</v>
      </c>
      <c r="J832" s="8" t="b">
        <f t="shared" si="60"/>
        <v>1</v>
      </c>
      <c r="K832" s="8" t="b">
        <f t="shared" si="61"/>
        <v>1</v>
      </c>
      <c r="L832" s="8" t="b">
        <f t="shared" si="62"/>
        <v>1</v>
      </c>
      <c r="M832" s="8" t="b">
        <f t="shared" si="63"/>
        <v>1</v>
      </c>
      <c r="N832" s="1" t="b">
        <f t="shared" si="64"/>
        <v>1</v>
      </c>
      <c r="O832" s="8" t="str">
        <f>IF(F832="","",IF($F$2=入力リスト!$H$25,ROUNDDOWN(INT(F832)+ROUNDDOWN((F832-INT(F832))*100,0)/60,2),F832))</f>
        <v/>
      </c>
      <c r="P832" s="7"/>
      <c r="Q832" s="7"/>
    </row>
    <row r="833" spans="1:17">
      <c r="A833" s="105"/>
      <c r="B833" s="2"/>
      <c r="C833" s="254"/>
      <c r="D833" s="254"/>
      <c r="E833" s="254"/>
      <c r="F833" s="255"/>
      <c r="G833" s="215" t="str">
        <f>IF(AND($B833="",OR(B833&lt;&gt;"",C833&lt;&gt;"",D833&lt;&gt;"",E833&lt;&gt;"",F833&lt;&gt;"")),入力リスト!$K$34,IF($I833=TRUE,入力リスト!$K$35,IF(J833=FALSE,"「毎月の固定給与額」","")&amp;IF(AND(J833=FALSE,OR(K833=FALSE,L833=FALSE,M833=FALSE)),",","")&amp;IF(K833=FALSE,"「賞与額等」","")&amp;IF(AND(K833=FALSE,OR(L833=FALSE,M833=FALSE)),",","")&amp;IF(L833=FALSE,"「残業手当」","")&amp;IF(AND(L833=FALSE,M833=FALSE),",","")&amp;IF(M833=FALSE,"「残業時間」","")&amp;IF(OR(J833=FALSE,K833=FALSE,L833=FALSE,M833=FALSE),入力リスト!$K$36,"")&amp;IF(N833,"",入力リスト!$K$37)))</f>
        <v/>
      </c>
      <c r="H833" s="215"/>
      <c r="I833" s="1" t="b">
        <f>IF(B833="",FALSE,COUNTIF('従業員情報(給与以外)'!$A$4:$A$1000000,$B833)=0)</f>
        <v>0</v>
      </c>
      <c r="J833" s="8" t="b">
        <f t="shared" si="60"/>
        <v>1</v>
      </c>
      <c r="K833" s="8" t="b">
        <f t="shared" si="61"/>
        <v>1</v>
      </c>
      <c r="L833" s="8" t="b">
        <f t="shared" si="62"/>
        <v>1</v>
      </c>
      <c r="M833" s="8" t="b">
        <f t="shared" si="63"/>
        <v>1</v>
      </c>
      <c r="N833" s="1" t="b">
        <f t="shared" si="64"/>
        <v>1</v>
      </c>
      <c r="O833" s="8" t="str">
        <f>IF(F833="","",IF($F$2=入力リスト!$H$25,ROUNDDOWN(INT(F833)+ROUNDDOWN((F833-INT(F833))*100,0)/60,2),F833))</f>
        <v/>
      </c>
      <c r="P833" s="7"/>
      <c r="Q833" s="7"/>
    </row>
    <row r="834" spans="1:17">
      <c r="A834" s="105"/>
      <c r="B834" s="2"/>
      <c r="C834" s="254"/>
      <c r="D834" s="254"/>
      <c r="E834" s="254"/>
      <c r="F834" s="255"/>
      <c r="G834" s="215" t="str">
        <f>IF(AND($B834="",OR(B834&lt;&gt;"",C834&lt;&gt;"",D834&lt;&gt;"",E834&lt;&gt;"",F834&lt;&gt;"")),入力リスト!$K$34,IF($I834=TRUE,入力リスト!$K$35,IF(J834=FALSE,"「毎月の固定給与額」","")&amp;IF(AND(J834=FALSE,OR(K834=FALSE,L834=FALSE,M834=FALSE)),",","")&amp;IF(K834=FALSE,"「賞与額等」","")&amp;IF(AND(K834=FALSE,OR(L834=FALSE,M834=FALSE)),",","")&amp;IF(L834=FALSE,"「残業手当」","")&amp;IF(AND(L834=FALSE,M834=FALSE),",","")&amp;IF(M834=FALSE,"「残業時間」","")&amp;IF(OR(J834=FALSE,K834=FALSE,L834=FALSE,M834=FALSE),入力リスト!$K$36,"")&amp;IF(N834,"",入力リスト!$K$37)))</f>
        <v/>
      </c>
      <c r="H834" s="215"/>
      <c r="I834" s="1" t="b">
        <f>IF(B834="",FALSE,COUNTIF('従業員情報(給与以外)'!$A$4:$A$1000000,$B834)=0)</f>
        <v>0</v>
      </c>
      <c r="J834" s="8" t="b">
        <f t="shared" si="60"/>
        <v>1</v>
      </c>
      <c r="K834" s="8" t="b">
        <f t="shared" si="61"/>
        <v>1</v>
      </c>
      <c r="L834" s="8" t="b">
        <f t="shared" si="62"/>
        <v>1</v>
      </c>
      <c r="M834" s="8" t="b">
        <f t="shared" si="63"/>
        <v>1</v>
      </c>
      <c r="N834" s="1" t="b">
        <f t="shared" si="64"/>
        <v>1</v>
      </c>
      <c r="O834" s="8" t="str">
        <f>IF(F834="","",IF($F$2=入力リスト!$H$25,ROUNDDOWN(INT(F834)+ROUNDDOWN((F834-INT(F834))*100,0)/60,2),F834))</f>
        <v/>
      </c>
      <c r="P834" s="7"/>
      <c r="Q834" s="7"/>
    </row>
    <row r="835" spans="1:17">
      <c r="A835" s="105"/>
      <c r="B835" s="2"/>
      <c r="C835" s="254"/>
      <c r="D835" s="254"/>
      <c r="E835" s="254"/>
      <c r="F835" s="255"/>
      <c r="G835" s="215" t="str">
        <f>IF(AND($B835="",OR(B835&lt;&gt;"",C835&lt;&gt;"",D835&lt;&gt;"",E835&lt;&gt;"",F835&lt;&gt;"")),入力リスト!$K$34,IF($I835=TRUE,入力リスト!$K$35,IF(J835=FALSE,"「毎月の固定給与額」","")&amp;IF(AND(J835=FALSE,OR(K835=FALSE,L835=FALSE,M835=FALSE)),",","")&amp;IF(K835=FALSE,"「賞与額等」","")&amp;IF(AND(K835=FALSE,OR(L835=FALSE,M835=FALSE)),",","")&amp;IF(L835=FALSE,"「残業手当」","")&amp;IF(AND(L835=FALSE,M835=FALSE),",","")&amp;IF(M835=FALSE,"「残業時間」","")&amp;IF(OR(J835=FALSE,K835=FALSE,L835=FALSE,M835=FALSE),入力リスト!$K$36,"")&amp;IF(N835,"",入力リスト!$K$37)))</f>
        <v/>
      </c>
      <c r="H835" s="215"/>
      <c r="I835" s="1" t="b">
        <f>IF(B835="",FALSE,COUNTIF('従業員情報(給与以外)'!$A$4:$A$1000000,$B835)=0)</f>
        <v>0</v>
      </c>
      <c r="J835" s="8" t="b">
        <f t="shared" si="60"/>
        <v>1</v>
      </c>
      <c r="K835" s="8" t="b">
        <f t="shared" si="61"/>
        <v>1</v>
      </c>
      <c r="L835" s="8" t="b">
        <f t="shared" si="62"/>
        <v>1</v>
      </c>
      <c r="M835" s="8" t="b">
        <f t="shared" si="63"/>
        <v>1</v>
      </c>
      <c r="N835" s="1" t="b">
        <f t="shared" si="64"/>
        <v>1</v>
      </c>
      <c r="O835" s="8" t="str">
        <f>IF(F835="","",IF($F$2=入力リスト!$H$25,ROUNDDOWN(INT(F835)+ROUNDDOWN((F835-INT(F835))*100,0)/60,2),F835))</f>
        <v/>
      </c>
      <c r="P835" s="7"/>
      <c r="Q835" s="7"/>
    </row>
    <row r="836" spans="1:17">
      <c r="A836" s="105"/>
      <c r="B836" s="2"/>
      <c r="C836" s="254"/>
      <c r="D836" s="254"/>
      <c r="E836" s="254"/>
      <c r="F836" s="255"/>
      <c r="G836" s="215" t="str">
        <f>IF(AND($B836="",OR(B836&lt;&gt;"",C836&lt;&gt;"",D836&lt;&gt;"",E836&lt;&gt;"",F836&lt;&gt;"")),入力リスト!$K$34,IF($I836=TRUE,入力リスト!$K$35,IF(J836=FALSE,"「毎月の固定給与額」","")&amp;IF(AND(J836=FALSE,OR(K836=FALSE,L836=FALSE,M836=FALSE)),",","")&amp;IF(K836=FALSE,"「賞与額等」","")&amp;IF(AND(K836=FALSE,OR(L836=FALSE,M836=FALSE)),",","")&amp;IF(L836=FALSE,"「残業手当」","")&amp;IF(AND(L836=FALSE,M836=FALSE),",","")&amp;IF(M836=FALSE,"「残業時間」","")&amp;IF(OR(J836=FALSE,K836=FALSE,L836=FALSE,M836=FALSE),入力リスト!$K$36,"")&amp;IF(N836,"",入力リスト!$K$37)))</f>
        <v/>
      </c>
      <c r="H836" s="215"/>
      <c r="I836" s="1" t="b">
        <f>IF(B836="",FALSE,COUNTIF('従業員情報(給与以外)'!$A$4:$A$1000000,$B836)=0)</f>
        <v>0</v>
      </c>
      <c r="J836" s="8" t="b">
        <f t="shared" si="60"/>
        <v>1</v>
      </c>
      <c r="K836" s="8" t="b">
        <f t="shared" si="61"/>
        <v>1</v>
      </c>
      <c r="L836" s="8" t="b">
        <f t="shared" si="62"/>
        <v>1</v>
      </c>
      <c r="M836" s="8" t="b">
        <f t="shared" si="63"/>
        <v>1</v>
      </c>
      <c r="N836" s="1" t="b">
        <f t="shared" si="64"/>
        <v>1</v>
      </c>
      <c r="O836" s="8" t="str">
        <f>IF(F836="","",IF($F$2=入力リスト!$H$25,ROUNDDOWN(INT(F836)+ROUNDDOWN((F836-INT(F836))*100,0)/60,2),F836))</f>
        <v/>
      </c>
      <c r="P836" s="7"/>
      <c r="Q836" s="7"/>
    </row>
    <row r="837" spans="1:17">
      <c r="A837" s="105"/>
      <c r="B837" s="2"/>
      <c r="C837" s="254"/>
      <c r="D837" s="254"/>
      <c r="E837" s="254"/>
      <c r="F837" s="255"/>
      <c r="G837" s="215" t="str">
        <f>IF(AND($B837="",OR(B837&lt;&gt;"",C837&lt;&gt;"",D837&lt;&gt;"",E837&lt;&gt;"",F837&lt;&gt;"")),入力リスト!$K$34,IF($I837=TRUE,入力リスト!$K$35,IF(J837=FALSE,"「毎月の固定給与額」","")&amp;IF(AND(J837=FALSE,OR(K837=FALSE,L837=FALSE,M837=FALSE)),",","")&amp;IF(K837=FALSE,"「賞与額等」","")&amp;IF(AND(K837=FALSE,OR(L837=FALSE,M837=FALSE)),",","")&amp;IF(L837=FALSE,"「残業手当」","")&amp;IF(AND(L837=FALSE,M837=FALSE),",","")&amp;IF(M837=FALSE,"「残業時間」","")&amp;IF(OR(J837=FALSE,K837=FALSE,L837=FALSE,M837=FALSE),入力リスト!$K$36,"")&amp;IF(N837,"",入力リスト!$K$37)))</f>
        <v/>
      </c>
      <c r="H837" s="215"/>
      <c r="I837" s="1" t="b">
        <f>IF(B837="",FALSE,COUNTIF('従業員情報(給与以外)'!$A$4:$A$1000000,$B837)=0)</f>
        <v>0</v>
      </c>
      <c r="J837" s="8" t="b">
        <f t="shared" ref="J837:J900" si="65">OR(C837="",ISNUMBER(C837))</f>
        <v>1</v>
      </c>
      <c r="K837" s="8" t="b">
        <f t="shared" ref="K837:K900" si="66">OR(D837="",ISNUMBER(D837))</f>
        <v>1</v>
      </c>
      <c r="L837" s="8" t="b">
        <f t="shared" ref="L837:L900" si="67">OR(E837="",ISNUMBER(E837))</f>
        <v>1</v>
      </c>
      <c r="M837" s="8" t="b">
        <f t="shared" ref="M837:M900" si="68">OR(F837="",ISNUMBER(F837))</f>
        <v>1</v>
      </c>
      <c r="N837" s="1" t="b">
        <f t="shared" ref="N837:N900" si="69">IF($N$1,TRUE,IF($N$2,IF(F837-INT(F837)&lt;0.6,TRUE,FALSE),TRUE))</f>
        <v>1</v>
      </c>
      <c r="O837" s="8" t="str">
        <f>IF(F837="","",IF($F$2=入力リスト!$H$25,ROUNDDOWN(INT(F837)+ROUNDDOWN((F837-INT(F837))*100,0)/60,2),F837))</f>
        <v/>
      </c>
      <c r="P837" s="7"/>
      <c r="Q837" s="7"/>
    </row>
    <row r="838" spans="1:17">
      <c r="A838" s="105"/>
      <c r="B838" s="2"/>
      <c r="C838" s="254"/>
      <c r="D838" s="254"/>
      <c r="E838" s="254"/>
      <c r="F838" s="255"/>
      <c r="G838" s="215" t="str">
        <f>IF(AND($B838="",OR(B838&lt;&gt;"",C838&lt;&gt;"",D838&lt;&gt;"",E838&lt;&gt;"",F838&lt;&gt;"")),入力リスト!$K$34,IF($I838=TRUE,入力リスト!$K$35,IF(J838=FALSE,"「毎月の固定給与額」","")&amp;IF(AND(J838=FALSE,OR(K838=FALSE,L838=FALSE,M838=FALSE)),",","")&amp;IF(K838=FALSE,"「賞与額等」","")&amp;IF(AND(K838=FALSE,OR(L838=FALSE,M838=FALSE)),",","")&amp;IF(L838=FALSE,"「残業手当」","")&amp;IF(AND(L838=FALSE,M838=FALSE),",","")&amp;IF(M838=FALSE,"「残業時間」","")&amp;IF(OR(J838=FALSE,K838=FALSE,L838=FALSE,M838=FALSE),入力リスト!$K$36,"")&amp;IF(N838,"",入力リスト!$K$37)))</f>
        <v/>
      </c>
      <c r="H838" s="215"/>
      <c r="I838" s="1" t="b">
        <f>IF(B838="",FALSE,COUNTIF('従業員情報(給与以外)'!$A$4:$A$1000000,$B838)=0)</f>
        <v>0</v>
      </c>
      <c r="J838" s="8" t="b">
        <f t="shared" si="65"/>
        <v>1</v>
      </c>
      <c r="K838" s="8" t="b">
        <f t="shared" si="66"/>
        <v>1</v>
      </c>
      <c r="L838" s="8" t="b">
        <f t="shared" si="67"/>
        <v>1</v>
      </c>
      <c r="M838" s="8" t="b">
        <f t="shared" si="68"/>
        <v>1</v>
      </c>
      <c r="N838" s="1" t="b">
        <f t="shared" si="69"/>
        <v>1</v>
      </c>
      <c r="O838" s="8" t="str">
        <f>IF(F838="","",IF($F$2=入力リスト!$H$25,ROUNDDOWN(INT(F838)+ROUNDDOWN((F838-INT(F838))*100,0)/60,2),F838))</f>
        <v/>
      </c>
      <c r="P838" s="7"/>
      <c r="Q838" s="7"/>
    </row>
    <row r="839" spans="1:17">
      <c r="A839" s="105"/>
      <c r="B839" s="2"/>
      <c r="C839" s="254"/>
      <c r="D839" s="254"/>
      <c r="E839" s="254"/>
      <c r="F839" s="255"/>
      <c r="G839" s="215" t="str">
        <f>IF(AND($B839="",OR(B839&lt;&gt;"",C839&lt;&gt;"",D839&lt;&gt;"",E839&lt;&gt;"",F839&lt;&gt;"")),入力リスト!$K$34,IF($I839=TRUE,入力リスト!$K$35,IF(J839=FALSE,"「毎月の固定給与額」","")&amp;IF(AND(J839=FALSE,OR(K839=FALSE,L839=FALSE,M839=FALSE)),",","")&amp;IF(K839=FALSE,"「賞与額等」","")&amp;IF(AND(K839=FALSE,OR(L839=FALSE,M839=FALSE)),",","")&amp;IF(L839=FALSE,"「残業手当」","")&amp;IF(AND(L839=FALSE,M839=FALSE),",","")&amp;IF(M839=FALSE,"「残業時間」","")&amp;IF(OR(J839=FALSE,K839=FALSE,L839=FALSE,M839=FALSE),入力リスト!$K$36,"")&amp;IF(N839,"",入力リスト!$K$37)))</f>
        <v/>
      </c>
      <c r="H839" s="215"/>
      <c r="I839" s="1" t="b">
        <f>IF(B839="",FALSE,COUNTIF('従業員情報(給与以外)'!$A$4:$A$1000000,$B839)=0)</f>
        <v>0</v>
      </c>
      <c r="J839" s="8" t="b">
        <f t="shared" si="65"/>
        <v>1</v>
      </c>
      <c r="K839" s="8" t="b">
        <f t="shared" si="66"/>
        <v>1</v>
      </c>
      <c r="L839" s="8" t="b">
        <f t="shared" si="67"/>
        <v>1</v>
      </c>
      <c r="M839" s="8" t="b">
        <f t="shared" si="68"/>
        <v>1</v>
      </c>
      <c r="N839" s="1" t="b">
        <f t="shared" si="69"/>
        <v>1</v>
      </c>
      <c r="O839" s="8" t="str">
        <f>IF(F839="","",IF($F$2=入力リスト!$H$25,ROUNDDOWN(INT(F839)+ROUNDDOWN((F839-INT(F839))*100,0)/60,2),F839))</f>
        <v/>
      </c>
      <c r="P839" s="7"/>
      <c r="Q839" s="7"/>
    </row>
    <row r="840" spans="1:17">
      <c r="A840" s="105"/>
      <c r="B840" s="2"/>
      <c r="C840" s="254"/>
      <c r="D840" s="254"/>
      <c r="E840" s="254"/>
      <c r="F840" s="255"/>
      <c r="G840" s="215" t="str">
        <f>IF(AND($B840="",OR(B840&lt;&gt;"",C840&lt;&gt;"",D840&lt;&gt;"",E840&lt;&gt;"",F840&lt;&gt;"")),入力リスト!$K$34,IF($I840=TRUE,入力リスト!$K$35,IF(J840=FALSE,"「毎月の固定給与額」","")&amp;IF(AND(J840=FALSE,OR(K840=FALSE,L840=FALSE,M840=FALSE)),",","")&amp;IF(K840=FALSE,"「賞与額等」","")&amp;IF(AND(K840=FALSE,OR(L840=FALSE,M840=FALSE)),",","")&amp;IF(L840=FALSE,"「残業手当」","")&amp;IF(AND(L840=FALSE,M840=FALSE),",","")&amp;IF(M840=FALSE,"「残業時間」","")&amp;IF(OR(J840=FALSE,K840=FALSE,L840=FALSE,M840=FALSE),入力リスト!$K$36,"")&amp;IF(N840,"",入力リスト!$K$37)))</f>
        <v/>
      </c>
      <c r="H840" s="215"/>
      <c r="I840" s="1" t="b">
        <f>IF(B840="",FALSE,COUNTIF('従業員情報(給与以外)'!$A$4:$A$1000000,$B840)=0)</f>
        <v>0</v>
      </c>
      <c r="J840" s="8" t="b">
        <f t="shared" si="65"/>
        <v>1</v>
      </c>
      <c r="K840" s="8" t="b">
        <f t="shared" si="66"/>
        <v>1</v>
      </c>
      <c r="L840" s="8" t="b">
        <f t="shared" si="67"/>
        <v>1</v>
      </c>
      <c r="M840" s="8" t="b">
        <f t="shared" si="68"/>
        <v>1</v>
      </c>
      <c r="N840" s="1" t="b">
        <f t="shared" si="69"/>
        <v>1</v>
      </c>
      <c r="O840" s="8" t="str">
        <f>IF(F840="","",IF($F$2=入力リスト!$H$25,ROUNDDOWN(INT(F840)+ROUNDDOWN((F840-INT(F840))*100,0)/60,2),F840))</f>
        <v/>
      </c>
      <c r="P840" s="7"/>
      <c r="Q840" s="7"/>
    </row>
    <row r="841" spans="1:17">
      <c r="A841" s="105"/>
      <c r="B841" s="2"/>
      <c r="C841" s="254"/>
      <c r="D841" s="254"/>
      <c r="E841" s="254"/>
      <c r="F841" s="255"/>
      <c r="G841" s="215" t="str">
        <f>IF(AND($B841="",OR(B841&lt;&gt;"",C841&lt;&gt;"",D841&lt;&gt;"",E841&lt;&gt;"",F841&lt;&gt;"")),入力リスト!$K$34,IF($I841=TRUE,入力リスト!$K$35,IF(J841=FALSE,"「毎月の固定給与額」","")&amp;IF(AND(J841=FALSE,OR(K841=FALSE,L841=FALSE,M841=FALSE)),",","")&amp;IF(K841=FALSE,"「賞与額等」","")&amp;IF(AND(K841=FALSE,OR(L841=FALSE,M841=FALSE)),",","")&amp;IF(L841=FALSE,"「残業手当」","")&amp;IF(AND(L841=FALSE,M841=FALSE),",","")&amp;IF(M841=FALSE,"「残業時間」","")&amp;IF(OR(J841=FALSE,K841=FALSE,L841=FALSE,M841=FALSE),入力リスト!$K$36,"")&amp;IF(N841,"",入力リスト!$K$37)))</f>
        <v/>
      </c>
      <c r="H841" s="215"/>
      <c r="I841" s="1" t="b">
        <f>IF(B841="",FALSE,COUNTIF('従業員情報(給与以外)'!$A$4:$A$1000000,$B841)=0)</f>
        <v>0</v>
      </c>
      <c r="J841" s="8" t="b">
        <f t="shared" si="65"/>
        <v>1</v>
      </c>
      <c r="K841" s="8" t="b">
        <f t="shared" si="66"/>
        <v>1</v>
      </c>
      <c r="L841" s="8" t="b">
        <f t="shared" si="67"/>
        <v>1</v>
      </c>
      <c r="M841" s="8" t="b">
        <f t="shared" si="68"/>
        <v>1</v>
      </c>
      <c r="N841" s="1" t="b">
        <f t="shared" si="69"/>
        <v>1</v>
      </c>
      <c r="O841" s="8" t="str">
        <f>IF(F841="","",IF($F$2=入力リスト!$H$25,ROUNDDOWN(INT(F841)+ROUNDDOWN((F841-INT(F841))*100,0)/60,2),F841))</f>
        <v/>
      </c>
      <c r="P841" s="7"/>
      <c r="Q841" s="7"/>
    </row>
    <row r="842" spans="1:17">
      <c r="A842" s="105"/>
      <c r="B842" s="2"/>
      <c r="C842" s="254"/>
      <c r="D842" s="254"/>
      <c r="E842" s="254"/>
      <c r="F842" s="255"/>
      <c r="G842" s="215" t="str">
        <f>IF(AND($B842="",OR(B842&lt;&gt;"",C842&lt;&gt;"",D842&lt;&gt;"",E842&lt;&gt;"",F842&lt;&gt;"")),入力リスト!$K$34,IF($I842=TRUE,入力リスト!$K$35,IF(J842=FALSE,"「毎月の固定給与額」","")&amp;IF(AND(J842=FALSE,OR(K842=FALSE,L842=FALSE,M842=FALSE)),",","")&amp;IF(K842=FALSE,"「賞与額等」","")&amp;IF(AND(K842=FALSE,OR(L842=FALSE,M842=FALSE)),",","")&amp;IF(L842=FALSE,"「残業手当」","")&amp;IF(AND(L842=FALSE,M842=FALSE),",","")&amp;IF(M842=FALSE,"「残業時間」","")&amp;IF(OR(J842=FALSE,K842=FALSE,L842=FALSE,M842=FALSE),入力リスト!$K$36,"")&amp;IF(N842,"",入力リスト!$K$37)))</f>
        <v/>
      </c>
      <c r="H842" s="215"/>
      <c r="I842" s="1" t="b">
        <f>IF(B842="",FALSE,COUNTIF('従業員情報(給与以外)'!$A$4:$A$1000000,$B842)=0)</f>
        <v>0</v>
      </c>
      <c r="J842" s="8" t="b">
        <f t="shared" si="65"/>
        <v>1</v>
      </c>
      <c r="K842" s="8" t="b">
        <f t="shared" si="66"/>
        <v>1</v>
      </c>
      <c r="L842" s="8" t="b">
        <f t="shared" si="67"/>
        <v>1</v>
      </c>
      <c r="M842" s="8" t="b">
        <f t="shared" si="68"/>
        <v>1</v>
      </c>
      <c r="N842" s="1" t="b">
        <f t="shared" si="69"/>
        <v>1</v>
      </c>
      <c r="O842" s="8" t="str">
        <f>IF(F842="","",IF($F$2=入力リスト!$H$25,ROUNDDOWN(INT(F842)+ROUNDDOWN((F842-INT(F842))*100,0)/60,2),F842))</f>
        <v/>
      </c>
      <c r="P842" s="7"/>
      <c r="Q842" s="7"/>
    </row>
    <row r="843" spans="1:17">
      <c r="A843" s="105"/>
      <c r="B843" s="2"/>
      <c r="C843" s="254"/>
      <c r="D843" s="254"/>
      <c r="E843" s="254"/>
      <c r="F843" s="255"/>
      <c r="G843" s="215" t="str">
        <f>IF(AND($B843="",OR(B843&lt;&gt;"",C843&lt;&gt;"",D843&lt;&gt;"",E843&lt;&gt;"",F843&lt;&gt;"")),入力リスト!$K$34,IF($I843=TRUE,入力リスト!$K$35,IF(J843=FALSE,"「毎月の固定給与額」","")&amp;IF(AND(J843=FALSE,OR(K843=FALSE,L843=FALSE,M843=FALSE)),",","")&amp;IF(K843=FALSE,"「賞与額等」","")&amp;IF(AND(K843=FALSE,OR(L843=FALSE,M843=FALSE)),",","")&amp;IF(L843=FALSE,"「残業手当」","")&amp;IF(AND(L843=FALSE,M843=FALSE),",","")&amp;IF(M843=FALSE,"「残業時間」","")&amp;IF(OR(J843=FALSE,K843=FALSE,L843=FALSE,M843=FALSE),入力リスト!$K$36,"")&amp;IF(N843,"",入力リスト!$K$37)))</f>
        <v/>
      </c>
      <c r="H843" s="215"/>
      <c r="I843" s="1" t="b">
        <f>IF(B843="",FALSE,COUNTIF('従業員情報(給与以外)'!$A$4:$A$1000000,$B843)=0)</f>
        <v>0</v>
      </c>
      <c r="J843" s="8" t="b">
        <f t="shared" si="65"/>
        <v>1</v>
      </c>
      <c r="K843" s="8" t="b">
        <f t="shared" si="66"/>
        <v>1</v>
      </c>
      <c r="L843" s="8" t="b">
        <f t="shared" si="67"/>
        <v>1</v>
      </c>
      <c r="M843" s="8" t="b">
        <f t="shared" si="68"/>
        <v>1</v>
      </c>
      <c r="N843" s="1" t="b">
        <f t="shared" si="69"/>
        <v>1</v>
      </c>
      <c r="O843" s="8" t="str">
        <f>IF(F843="","",IF($F$2=入力リスト!$H$25,ROUNDDOWN(INT(F843)+ROUNDDOWN((F843-INT(F843))*100,0)/60,2),F843))</f>
        <v/>
      </c>
      <c r="P843" s="7"/>
      <c r="Q843" s="7"/>
    </row>
    <row r="844" spans="1:17">
      <c r="A844" s="105"/>
      <c r="B844" s="2"/>
      <c r="C844" s="254"/>
      <c r="D844" s="254"/>
      <c r="E844" s="254"/>
      <c r="F844" s="255"/>
      <c r="G844" s="215" t="str">
        <f>IF(AND($B844="",OR(B844&lt;&gt;"",C844&lt;&gt;"",D844&lt;&gt;"",E844&lt;&gt;"",F844&lt;&gt;"")),入力リスト!$K$34,IF($I844=TRUE,入力リスト!$K$35,IF(J844=FALSE,"「毎月の固定給与額」","")&amp;IF(AND(J844=FALSE,OR(K844=FALSE,L844=FALSE,M844=FALSE)),",","")&amp;IF(K844=FALSE,"「賞与額等」","")&amp;IF(AND(K844=FALSE,OR(L844=FALSE,M844=FALSE)),",","")&amp;IF(L844=FALSE,"「残業手当」","")&amp;IF(AND(L844=FALSE,M844=FALSE),",","")&amp;IF(M844=FALSE,"「残業時間」","")&amp;IF(OR(J844=FALSE,K844=FALSE,L844=FALSE,M844=FALSE),入力リスト!$K$36,"")&amp;IF(N844,"",入力リスト!$K$37)))</f>
        <v/>
      </c>
      <c r="H844" s="215"/>
      <c r="I844" s="1" t="b">
        <f>IF(B844="",FALSE,COUNTIF('従業員情報(給与以外)'!$A$4:$A$1000000,$B844)=0)</f>
        <v>0</v>
      </c>
      <c r="J844" s="8" t="b">
        <f t="shared" si="65"/>
        <v>1</v>
      </c>
      <c r="K844" s="8" t="b">
        <f t="shared" si="66"/>
        <v>1</v>
      </c>
      <c r="L844" s="8" t="b">
        <f t="shared" si="67"/>
        <v>1</v>
      </c>
      <c r="M844" s="8" t="b">
        <f t="shared" si="68"/>
        <v>1</v>
      </c>
      <c r="N844" s="1" t="b">
        <f t="shared" si="69"/>
        <v>1</v>
      </c>
      <c r="O844" s="8" t="str">
        <f>IF(F844="","",IF($F$2=入力リスト!$H$25,ROUNDDOWN(INT(F844)+ROUNDDOWN((F844-INT(F844))*100,0)/60,2),F844))</f>
        <v/>
      </c>
      <c r="P844" s="7"/>
      <c r="Q844" s="7"/>
    </row>
    <row r="845" spans="1:17">
      <c r="A845" s="105"/>
      <c r="B845" s="2"/>
      <c r="C845" s="254"/>
      <c r="D845" s="254"/>
      <c r="E845" s="254"/>
      <c r="F845" s="255"/>
      <c r="G845" s="215" t="str">
        <f>IF(AND($B845="",OR(B845&lt;&gt;"",C845&lt;&gt;"",D845&lt;&gt;"",E845&lt;&gt;"",F845&lt;&gt;"")),入力リスト!$K$34,IF($I845=TRUE,入力リスト!$K$35,IF(J845=FALSE,"「毎月の固定給与額」","")&amp;IF(AND(J845=FALSE,OR(K845=FALSE,L845=FALSE,M845=FALSE)),",","")&amp;IF(K845=FALSE,"「賞与額等」","")&amp;IF(AND(K845=FALSE,OR(L845=FALSE,M845=FALSE)),",","")&amp;IF(L845=FALSE,"「残業手当」","")&amp;IF(AND(L845=FALSE,M845=FALSE),",","")&amp;IF(M845=FALSE,"「残業時間」","")&amp;IF(OR(J845=FALSE,K845=FALSE,L845=FALSE,M845=FALSE),入力リスト!$K$36,"")&amp;IF(N845,"",入力リスト!$K$37)))</f>
        <v/>
      </c>
      <c r="H845" s="215"/>
      <c r="I845" s="1" t="b">
        <f>IF(B845="",FALSE,COUNTIF('従業員情報(給与以外)'!$A$4:$A$1000000,$B845)=0)</f>
        <v>0</v>
      </c>
      <c r="J845" s="8" t="b">
        <f t="shared" si="65"/>
        <v>1</v>
      </c>
      <c r="K845" s="8" t="b">
        <f t="shared" si="66"/>
        <v>1</v>
      </c>
      <c r="L845" s="8" t="b">
        <f t="shared" si="67"/>
        <v>1</v>
      </c>
      <c r="M845" s="8" t="b">
        <f t="shared" si="68"/>
        <v>1</v>
      </c>
      <c r="N845" s="1" t="b">
        <f t="shared" si="69"/>
        <v>1</v>
      </c>
      <c r="O845" s="8" t="str">
        <f>IF(F845="","",IF($F$2=入力リスト!$H$25,ROUNDDOWN(INT(F845)+ROUNDDOWN((F845-INT(F845))*100,0)/60,2),F845))</f>
        <v/>
      </c>
      <c r="P845" s="7"/>
      <c r="Q845" s="7"/>
    </row>
    <row r="846" spans="1:17">
      <c r="A846" s="105"/>
      <c r="B846" s="2"/>
      <c r="C846" s="254"/>
      <c r="D846" s="254"/>
      <c r="E846" s="254"/>
      <c r="F846" s="255"/>
      <c r="G846" s="215" t="str">
        <f>IF(AND($B846="",OR(B846&lt;&gt;"",C846&lt;&gt;"",D846&lt;&gt;"",E846&lt;&gt;"",F846&lt;&gt;"")),入力リスト!$K$34,IF($I846=TRUE,入力リスト!$K$35,IF(J846=FALSE,"「毎月の固定給与額」","")&amp;IF(AND(J846=FALSE,OR(K846=FALSE,L846=FALSE,M846=FALSE)),",","")&amp;IF(K846=FALSE,"「賞与額等」","")&amp;IF(AND(K846=FALSE,OR(L846=FALSE,M846=FALSE)),",","")&amp;IF(L846=FALSE,"「残業手当」","")&amp;IF(AND(L846=FALSE,M846=FALSE),",","")&amp;IF(M846=FALSE,"「残業時間」","")&amp;IF(OR(J846=FALSE,K846=FALSE,L846=FALSE,M846=FALSE),入力リスト!$K$36,"")&amp;IF(N846,"",入力リスト!$K$37)))</f>
        <v/>
      </c>
      <c r="H846" s="215"/>
      <c r="I846" s="1" t="b">
        <f>IF(B846="",FALSE,COUNTIF('従業員情報(給与以外)'!$A$4:$A$1000000,$B846)=0)</f>
        <v>0</v>
      </c>
      <c r="J846" s="8" t="b">
        <f t="shared" si="65"/>
        <v>1</v>
      </c>
      <c r="K846" s="8" t="b">
        <f t="shared" si="66"/>
        <v>1</v>
      </c>
      <c r="L846" s="8" t="b">
        <f t="shared" si="67"/>
        <v>1</v>
      </c>
      <c r="M846" s="8" t="b">
        <f t="shared" si="68"/>
        <v>1</v>
      </c>
      <c r="N846" s="1" t="b">
        <f t="shared" si="69"/>
        <v>1</v>
      </c>
      <c r="O846" s="8" t="str">
        <f>IF(F846="","",IF($F$2=入力リスト!$H$25,ROUNDDOWN(INT(F846)+ROUNDDOWN((F846-INT(F846))*100,0)/60,2),F846))</f>
        <v/>
      </c>
      <c r="P846" s="7"/>
      <c r="Q846" s="7"/>
    </row>
    <row r="847" spans="1:17">
      <c r="A847" s="105"/>
      <c r="B847" s="2"/>
      <c r="C847" s="254"/>
      <c r="D847" s="254"/>
      <c r="E847" s="254"/>
      <c r="F847" s="255"/>
      <c r="G847" s="215" t="str">
        <f>IF(AND($B847="",OR(B847&lt;&gt;"",C847&lt;&gt;"",D847&lt;&gt;"",E847&lt;&gt;"",F847&lt;&gt;"")),入力リスト!$K$34,IF($I847=TRUE,入力リスト!$K$35,IF(J847=FALSE,"「毎月の固定給与額」","")&amp;IF(AND(J847=FALSE,OR(K847=FALSE,L847=FALSE,M847=FALSE)),",","")&amp;IF(K847=FALSE,"「賞与額等」","")&amp;IF(AND(K847=FALSE,OR(L847=FALSE,M847=FALSE)),",","")&amp;IF(L847=FALSE,"「残業手当」","")&amp;IF(AND(L847=FALSE,M847=FALSE),",","")&amp;IF(M847=FALSE,"「残業時間」","")&amp;IF(OR(J847=FALSE,K847=FALSE,L847=FALSE,M847=FALSE),入力リスト!$K$36,"")&amp;IF(N847,"",入力リスト!$K$37)))</f>
        <v/>
      </c>
      <c r="H847" s="215"/>
      <c r="I847" s="1" t="b">
        <f>IF(B847="",FALSE,COUNTIF('従業員情報(給与以外)'!$A$4:$A$1000000,$B847)=0)</f>
        <v>0</v>
      </c>
      <c r="J847" s="8" t="b">
        <f t="shared" si="65"/>
        <v>1</v>
      </c>
      <c r="K847" s="8" t="b">
        <f t="shared" si="66"/>
        <v>1</v>
      </c>
      <c r="L847" s="8" t="b">
        <f t="shared" si="67"/>
        <v>1</v>
      </c>
      <c r="M847" s="8" t="b">
        <f t="shared" si="68"/>
        <v>1</v>
      </c>
      <c r="N847" s="1" t="b">
        <f t="shared" si="69"/>
        <v>1</v>
      </c>
      <c r="O847" s="8" t="str">
        <f>IF(F847="","",IF($F$2=入力リスト!$H$25,ROUNDDOWN(INT(F847)+ROUNDDOWN((F847-INT(F847))*100,0)/60,2),F847))</f>
        <v/>
      </c>
      <c r="P847" s="7"/>
      <c r="Q847" s="7"/>
    </row>
    <row r="848" spans="1:17">
      <c r="A848" s="105"/>
      <c r="B848" s="2"/>
      <c r="C848" s="254"/>
      <c r="D848" s="254"/>
      <c r="E848" s="254"/>
      <c r="F848" s="255"/>
      <c r="G848" s="215" t="str">
        <f>IF(AND($B848="",OR(B848&lt;&gt;"",C848&lt;&gt;"",D848&lt;&gt;"",E848&lt;&gt;"",F848&lt;&gt;"")),入力リスト!$K$34,IF($I848=TRUE,入力リスト!$K$35,IF(J848=FALSE,"「毎月の固定給与額」","")&amp;IF(AND(J848=FALSE,OR(K848=FALSE,L848=FALSE,M848=FALSE)),",","")&amp;IF(K848=FALSE,"「賞与額等」","")&amp;IF(AND(K848=FALSE,OR(L848=FALSE,M848=FALSE)),",","")&amp;IF(L848=FALSE,"「残業手当」","")&amp;IF(AND(L848=FALSE,M848=FALSE),",","")&amp;IF(M848=FALSE,"「残業時間」","")&amp;IF(OR(J848=FALSE,K848=FALSE,L848=FALSE,M848=FALSE),入力リスト!$K$36,"")&amp;IF(N848,"",入力リスト!$K$37)))</f>
        <v/>
      </c>
      <c r="H848" s="215"/>
      <c r="I848" s="1" t="b">
        <f>IF(B848="",FALSE,COUNTIF('従業員情報(給与以外)'!$A$4:$A$1000000,$B848)=0)</f>
        <v>0</v>
      </c>
      <c r="J848" s="8" t="b">
        <f t="shared" si="65"/>
        <v>1</v>
      </c>
      <c r="K848" s="8" t="b">
        <f t="shared" si="66"/>
        <v>1</v>
      </c>
      <c r="L848" s="8" t="b">
        <f t="shared" si="67"/>
        <v>1</v>
      </c>
      <c r="M848" s="8" t="b">
        <f t="shared" si="68"/>
        <v>1</v>
      </c>
      <c r="N848" s="1" t="b">
        <f t="shared" si="69"/>
        <v>1</v>
      </c>
      <c r="O848" s="8" t="str">
        <f>IF(F848="","",IF($F$2=入力リスト!$H$25,ROUNDDOWN(INT(F848)+ROUNDDOWN((F848-INT(F848))*100,0)/60,2),F848))</f>
        <v/>
      </c>
      <c r="P848" s="7"/>
      <c r="Q848" s="7"/>
    </row>
    <row r="849" spans="1:17">
      <c r="A849" s="105"/>
      <c r="B849" s="2"/>
      <c r="C849" s="254"/>
      <c r="D849" s="254"/>
      <c r="E849" s="254"/>
      <c r="F849" s="255"/>
      <c r="G849" s="215" t="str">
        <f>IF(AND($B849="",OR(B849&lt;&gt;"",C849&lt;&gt;"",D849&lt;&gt;"",E849&lt;&gt;"",F849&lt;&gt;"")),入力リスト!$K$34,IF($I849=TRUE,入力リスト!$K$35,IF(J849=FALSE,"「毎月の固定給与額」","")&amp;IF(AND(J849=FALSE,OR(K849=FALSE,L849=FALSE,M849=FALSE)),",","")&amp;IF(K849=FALSE,"「賞与額等」","")&amp;IF(AND(K849=FALSE,OR(L849=FALSE,M849=FALSE)),",","")&amp;IF(L849=FALSE,"「残業手当」","")&amp;IF(AND(L849=FALSE,M849=FALSE),",","")&amp;IF(M849=FALSE,"「残業時間」","")&amp;IF(OR(J849=FALSE,K849=FALSE,L849=FALSE,M849=FALSE),入力リスト!$K$36,"")&amp;IF(N849,"",入力リスト!$K$37)))</f>
        <v/>
      </c>
      <c r="H849" s="215"/>
      <c r="I849" s="1" t="b">
        <f>IF(B849="",FALSE,COUNTIF('従業員情報(給与以外)'!$A$4:$A$1000000,$B849)=0)</f>
        <v>0</v>
      </c>
      <c r="J849" s="8" t="b">
        <f t="shared" si="65"/>
        <v>1</v>
      </c>
      <c r="K849" s="8" t="b">
        <f t="shared" si="66"/>
        <v>1</v>
      </c>
      <c r="L849" s="8" t="b">
        <f t="shared" si="67"/>
        <v>1</v>
      </c>
      <c r="M849" s="8" t="b">
        <f t="shared" si="68"/>
        <v>1</v>
      </c>
      <c r="N849" s="1" t="b">
        <f t="shared" si="69"/>
        <v>1</v>
      </c>
      <c r="O849" s="8" t="str">
        <f>IF(F849="","",IF($F$2=入力リスト!$H$25,ROUNDDOWN(INT(F849)+ROUNDDOWN((F849-INT(F849))*100,0)/60,2),F849))</f>
        <v/>
      </c>
      <c r="P849" s="7"/>
      <c r="Q849" s="7"/>
    </row>
    <row r="850" spans="1:17">
      <c r="A850" s="105"/>
      <c r="B850" s="2"/>
      <c r="C850" s="254"/>
      <c r="D850" s="254"/>
      <c r="E850" s="254"/>
      <c r="F850" s="255"/>
      <c r="G850" s="215" t="str">
        <f>IF(AND($B850="",OR(B850&lt;&gt;"",C850&lt;&gt;"",D850&lt;&gt;"",E850&lt;&gt;"",F850&lt;&gt;"")),入力リスト!$K$34,IF($I850=TRUE,入力リスト!$K$35,IF(J850=FALSE,"「毎月の固定給与額」","")&amp;IF(AND(J850=FALSE,OR(K850=FALSE,L850=FALSE,M850=FALSE)),",","")&amp;IF(K850=FALSE,"「賞与額等」","")&amp;IF(AND(K850=FALSE,OR(L850=FALSE,M850=FALSE)),",","")&amp;IF(L850=FALSE,"「残業手当」","")&amp;IF(AND(L850=FALSE,M850=FALSE),",","")&amp;IF(M850=FALSE,"「残業時間」","")&amp;IF(OR(J850=FALSE,K850=FALSE,L850=FALSE,M850=FALSE),入力リスト!$K$36,"")&amp;IF(N850,"",入力リスト!$K$37)))</f>
        <v/>
      </c>
      <c r="H850" s="215"/>
      <c r="I850" s="1" t="b">
        <f>IF(B850="",FALSE,COUNTIF('従業員情報(給与以外)'!$A$4:$A$1000000,$B850)=0)</f>
        <v>0</v>
      </c>
      <c r="J850" s="8" t="b">
        <f t="shared" si="65"/>
        <v>1</v>
      </c>
      <c r="K850" s="8" t="b">
        <f t="shared" si="66"/>
        <v>1</v>
      </c>
      <c r="L850" s="8" t="b">
        <f t="shared" si="67"/>
        <v>1</v>
      </c>
      <c r="M850" s="8" t="b">
        <f t="shared" si="68"/>
        <v>1</v>
      </c>
      <c r="N850" s="1" t="b">
        <f t="shared" si="69"/>
        <v>1</v>
      </c>
      <c r="O850" s="8" t="str">
        <f>IF(F850="","",IF($F$2=入力リスト!$H$25,ROUNDDOWN(INT(F850)+ROUNDDOWN((F850-INT(F850))*100,0)/60,2),F850))</f>
        <v/>
      </c>
      <c r="P850" s="7"/>
      <c r="Q850" s="7"/>
    </row>
    <row r="851" spans="1:17">
      <c r="A851" s="105"/>
      <c r="B851" s="2"/>
      <c r="C851" s="254"/>
      <c r="D851" s="254"/>
      <c r="E851" s="254"/>
      <c r="F851" s="255"/>
      <c r="G851" s="215" t="str">
        <f>IF(AND($B851="",OR(B851&lt;&gt;"",C851&lt;&gt;"",D851&lt;&gt;"",E851&lt;&gt;"",F851&lt;&gt;"")),入力リスト!$K$34,IF($I851=TRUE,入力リスト!$K$35,IF(J851=FALSE,"「毎月の固定給与額」","")&amp;IF(AND(J851=FALSE,OR(K851=FALSE,L851=FALSE,M851=FALSE)),",","")&amp;IF(K851=FALSE,"「賞与額等」","")&amp;IF(AND(K851=FALSE,OR(L851=FALSE,M851=FALSE)),",","")&amp;IF(L851=FALSE,"「残業手当」","")&amp;IF(AND(L851=FALSE,M851=FALSE),",","")&amp;IF(M851=FALSE,"「残業時間」","")&amp;IF(OR(J851=FALSE,K851=FALSE,L851=FALSE,M851=FALSE),入力リスト!$K$36,"")&amp;IF(N851,"",入力リスト!$K$37)))</f>
        <v/>
      </c>
      <c r="H851" s="215"/>
      <c r="I851" s="1" t="b">
        <f>IF(B851="",FALSE,COUNTIF('従業員情報(給与以外)'!$A$4:$A$1000000,$B851)=0)</f>
        <v>0</v>
      </c>
      <c r="J851" s="8" t="b">
        <f t="shared" si="65"/>
        <v>1</v>
      </c>
      <c r="K851" s="8" t="b">
        <f t="shared" si="66"/>
        <v>1</v>
      </c>
      <c r="L851" s="8" t="b">
        <f t="shared" si="67"/>
        <v>1</v>
      </c>
      <c r="M851" s="8" t="b">
        <f t="shared" si="68"/>
        <v>1</v>
      </c>
      <c r="N851" s="1" t="b">
        <f t="shared" si="69"/>
        <v>1</v>
      </c>
      <c r="O851" s="8" t="str">
        <f>IF(F851="","",IF($F$2=入力リスト!$H$25,ROUNDDOWN(INT(F851)+ROUNDDOWN((F851-INT(F851))*100,0)/60,2),F851))</f>
        <v/>
      </c>
      <c r="P851" s="7"/>
      <c r="Q851" s="7"/>
    </row>
    <row r="852" spans="1:17">
      <c r="A852" s="105"/>
      <c r="B852" s="2"/>
      <c r="C852" s="254"/>
      <c r="D852" s="254"/>
      <c r="E852" s="254"/>
      <c r="F852" s="255"/>
      <c r="G852" s="215" t="str">
        <f>IF(AND($B852="",OR(B852&lt;&gt;"",C852&lt;&gt;"",D852&lt;&gt;"",E852&lt;&gt;"",F852&lt;&gt;"")),入力リスト!$K$34,IF($I852=TRUE,入力リスト!$K$35,IF(J852=FALSE,"「毎月の固定給与額」","")&amp;IF(AND(J852=FALSE,OR(K852=FALSE,L852=FALSE,M852=FALSE)),",","")&amp;IF(K852=FALSE,"「賞与額等」","")&amp;IF(AND(K852=FALSE,OR(L852=FALSE,M852=FALSE)),",","")&amp;IF(L852=FALSE,"「残業手当」","")&amp;IF(AND(L852=FALSE,M852=FALSE),",","")&amp;IF(M852=FALSE,"「残業時間」","")&amp;IF(OR(J852=FALSE,K852=FALSE,L852=FALSE,M852=FALSE),入力リスト!$K$36,"")&amp;IF(N852,"",入力リスト!$K$37)))</f>
        <v/>
      </c>
      <c r="H852" s="215"/>
      <c r="I852" s="1" t="b">
        <f>IF(B852="",FALSE,COUNTIF('従業員情報(給与以外)'!$A$4:$A$1000000,$B852)=0)</f>
        <v>0</v>
      </c>
      <c r="J852" s="8" t="b">
        <f t="shared" si="65"/>
        <v>1</v>
      </c>
      <c r="K852" s="8" t="b">
        <f t="shared" si="66"/>
        <v>1</v>
      </c>
      <c r="L852" s="8" t="b">
        <f t="shared" si="67"/>
        <v>1</v>
      </c>
      <c r="M852" s="8" t="b">
        <f t="shared" si="68"/>
        <v>1</v>
      </c>
      <c r="N852" s="1" t="b">
        <f t="shared" si="69"/>
        <v>1</v>
      </c>
      <c r="O852" s="8" t="str">
        <f>IF(F852="","",IF($F$2=入力リスト!$H$25,ROUNDDOWN(INT(F852)+ROUNDDOWN((F852-INT(F852))*100,0)/60,2),F852))</f>
        <v/>
      </c>
      <c r="P852" s="7"/>
      <c r="Q852" s="7"/>
    </row>
    <row r="853" spans="1:17">
      <c r="A853" s="105"/>
      <c r="B853" s="2"/>
      <c r="C853" s="254"/>
      <c r="D853" s="254"/>
      <c r="E853" s="254"/>
      <c r="F853" s="255"/>
      <c r="G853" s="215" t="str">
        <f>IF(AND($B853="",OR(B853&lt;&gt;"",C853&lt;&gt;"",D853&lt;&gt;"",E853&lt;&gt;"",F853&lt;&gt;"")),入力リスト!$K$34,IF($I853=TRUE,入力リスト!$K$35,IF(J853=FALSE,"「毎月の固定給与額」","")&amp;IF(AND(J853=FALSE,OR(K853=FALSE,L853=FALSE,M853=FALSE)),",","")&amp;IF(K853=FALSE,"「賞与額等」","")&amp;IF(AND(K853=FALSE,OR(L853=FALSE,M853=FALSE)),",","")&amp;IF(L853=FALSE,"「残業手当」","")&amp;IF(AND(L853=FALSE,M853=FALSE),",","")&amp;IF(M853=FALSE,"「残業時間」","")&amp;IF(OR(J853=FALSE,K853=FALSE,L853=FALSE,M853=FALSE),入力リスト!$K$36,"")&amp;IF(N853,"",入力リスト!$K$37)))</f>
        <v/>
      </c>
      <c r="H853" s="215"/>
      <c r="I853" s="1" t="b">
        <f>IF(B853="",FALSE,COUNTIF('従業員情報(給与以外)'!$A$4:$A$1000000,$B853)=0)</f>
        <v>0</v>
      </c>
      <c r="J853" s="8" t="b">
        <f t="shared" si="65"/>
        <v>1</v>
      </c>
      <c r="K853" s="8" t="b">
        <f t="shared" si="66"/>
        <v>1</v>
      </c>
      <c r="L853" s="8" t="b">
        <f t="shared" si="67"/>
        <v>1</v>
      </c>
      <c r="M853" s="8" t="b">
        <f t="shared" si="68"/>
        <v>1</v>
      </c>
      <c r="N853" s="1" t="b">
        <f t="shared" si="69"/>
        <v>1</v>
      </c>
      <c r="O853" s="8" t="str">
        <f>IF(F853="","",IF($F$2=入力リスト!$H$25,ROUNDDOWN(INT(F853)+ROUNDDOWN((F853-INT(F853))*100,0)/60,2),F853))</f>
        <v/>
      </c>
      <c r="P853" s="7"/>
      <c r="Q853" s="7"/>
    </row>
    <row r="854" spans="1:17">
      <c r="A854" s="105"/>
      <c r="B854" s="2"/>
      <c r="C854" s="254"/>
      <c r="D854" s="254"/>
      <c r="E854" s="254"/>
      <c r="F854" s="255"/>
      <c r="G854" s="215" t="str">
        <f>IF(AND($B854="",OR(B854&lt;&gt;"",C854&lt;&gt;"",D854&lt;&gt;"",E854&lt;&gt;"",F854&lt;&gt;"")),入力リスト!$K$34,IF($I854=TRUE,入力リスト!$K$35,IF(J854=FALSE,"「毎月の固定給与額」","")&amp;IF(AND(J854=FALSE,OR(K854=FALSE,L854=FALSE,M854=FALSE)),",","")&amp;IF(K854=FALSE,"「賞与額等」","")&amp;IF(AND(K854=FALSE,OR(L854=FALSE,M854=FALSE)),",","")&amp;IF(L854=FALSE,"「残業手当」","")&amp;IF(AND(L854=FALSE,M854=FALSE),",","")&amp;IF(M854=FALSE,"「残業時間」","")&amp;IF(OR(J854=FALSE,K854=FALSE,L854=FALSE,M854=FALSE),入力リスト!$K$36,"")&amp;IF(N854,"",入力リスト!$K$37)))</f>
        <v/>
      </c>
      <c r="H854" s="215"/>
      <c r="I854" s="1" t="b">
        <f>IF(B854="",FALSE,COUNTIF('従業員情報(給与以外)'!$A$4:$A$1000000,$B854)=0)</f>
        <v>0</v>
      </c>
      <c r="J854" s="8" t="b">
        <f t="shared" si="65"/>
        <v>1</v>
      </c>
      <c r="K854" s="8" t="b">
        <f t="shared" si="66"/>
        <v>1</v>
      </c>
      <c r="L854" s="8" t="b">
        <f t="shared" si="67"/>
        <v>1</v>
      </c>
      <c r="M854" s="8" t="b">
        <f t="shared" si="68"/>
        <v>1</v>
      </c>
      <c r="N854" s="1" t="b">
        <f t="shared" si="69"/>
        <v>1</v>
      </c>
      <c r="O854" s="8" t="str">
        <f>IF(F854="","",IF($F$2=入力リスト!$H$25,ROUNDDOWN(INT(F854)+ROUNDDOWN((F854-INT(F854))*100,0)/60,2),F854))</f>
        <v/>
      </c>
      <c r="P854" s="7"/>
      <c r="Q854" s="7"/>
    </row>
    <row r="855" spans="1:17">
      <c r="A855" s="105"/>
      <c r="B855" s="2"/>
      <c r="C855" s="254"/>
      <c r="D855" s="254"/>
      <c r="E855" s="254"/>
      <c r="F855" s="255"/>
      <c r="G855" s="215" t="str">
        <f>IF(AND($B855="",OR(B855&lt;&gt;"",C855&lt;&gt;"",D855&lt;&gt;"",E855&lt;&gt;"",F855&lt;&gt;"")),入力リスト!$K$34,IF($I855=TRUE,入力リスト!$K$35,IF(J855=FALSE,"「毎月の固定給与額」","")&amp;IF(AND(J855=FALSE,OR(K855=FALSE,L855=FALSE,M855=FALSE)),",","")&amp;IF(K855=FALSE,"「賞与額等」","")&amp;IF(AND(K855=FALSE,OR(L855=FALSE,M855=FALSE)),",","")&amp;IF(L855=FALSE,"「残業手当」","")&amp;IF(AND(L855=FALSE,M855=FALSE),",","")&amp;IF(M855=FALSE,"「残業時間」","")&amp;IF(OR(J855=FALSE,K855=FALSE,L855=FALSE,M855=FALSE),入力リスト!$K$36,"")&amp;IF(N855,"",入力リスト!$K$37)))</f>
        <v/>
      </c>
      <c r="H855" s="215"/>
      <c r="I855" s="1" t="b">
        <f>IF(B855="",FALSE,COUNTIF('従業員情報(給与以外)'!$A$4:$A$1000000,$B855)=0)</f>
        <v>0</v>
      </c>
      <c r="J855" s="8" t="b">
        <f t="shared" si="65"/>
        <v>1</v>
      </c>
      <c r="K855" s="8" t="b">
        <f t="shared" si="66"/>
        <v>1</v>
      </c>
      <c r="L855" s="8" t="b">
        <f t="shared" si="67"/>
        <v>1</v>
      </c>
      <c r="M855" s="8" t="b">
        <f t="shared" si="68"/>
        <v>1</v>
      </c>
      <c r="N855" s="1" t="b">
        <f t="shared" si="69"/>
        <v>1</v>
      </c>
      <c r="O855" s="8" t="str">
        <f>IF(F855="","",IF($F$2=入力リスト!$H$25,ROUNDDOWN(INT(F855)+ROUNDDOWN((F855-INT(F855))*100,0)/60,2),F855))</f>
        <v/>
      </c>
      <c r="P855" s="7"/>
      <c r="Q855" s="7"/>
    </row>
    <row r="856" spans="1:17">
      <c r="A856" s="105"/>
      <c r="B856" s="2"/>
      <c r="C856" s="254"/>
      <c r="D856" s="254"/>
      <c r="E856" s="254"/>
      <c r="F856" s="255"/>
      <c r="G856" s="215" t="str">
        <f>IF(AND($B856="",OR(B856&lt;&gt;"",C856&lt;&gt;"",D856&lt;&gt;"",E856&lt;&gt;"",F856&lt;&gt;"")),入力リスト!$K$34,IF($I856=TRUE,入力リスト!$K$35,IF(J856=FALSE,"「毎月の固定給与額」","")&amp;IF(AND(J856=FALSE,OR(K856=FALSE,L856=FALSE,M856=FALSE)),",","")&amp;IF(K856=FALSE,"「賞与額等」","")&amp;IF(AND(K856=FALSE,OR(L856=FALSE,M856=FALSE)),",","")&amp;IF(L856=FALSE,"「残業手当」","")&amp;IF(AND(L856=FALSE,M856=FALSE),",","")&amp;IF(M856=FALSE,"「残業時間」","")&amp;IF(OR(J856=FALSE,K856=FALSE,L856=FALSE,M856=FALSE),入力リスト!$K$36,"")&amp;IF(N856,"",入力リスト!$K$37)))</f>
        <v/>
      </c>
      <c r="H856" s="215"/>
      <c r="I856" s="1" t="b">
        <f>IF(B856="",FALSE,COUNTIF('従業員情報(給与以外)'!$A$4:$A$1000000,$B856)=0)</f>
        <v>0</v>
      </c>
      <c r="J856" s="8" t="b">
        <f t="shared" si="65"/>
        <v>1</v>
      </c>
      <c r="K856" s="8" t="b">
        <f t="shared" si="66"/>
        <v>1</v>
      </c>
      <c r="L856" s="8" t="b">
        <f t="shared" si="67"/>
        <v>1</v>
      </c>
      <c r="M856" s="8" t="b">
        <f t="shared" si="68"/>
        <v>1</v>
      </c>
      <c r="N856" s="1" t="b">
        <f t="shared" si="69"/>
        <v>1</v>
      </c>
      <c r="O856" s="8" t="str">
        <f>IF(F856="","",IF($F$2=入力リスト!$H$25,ROUNDDOWN(INT(F856)+ROUNDDOWN((F856-INT(F856))*100,0)/60,2),F856))</f>
        <v/>
      </c>
      <c r="P856" s="7"/>
      <c r="Q856" s="7"/>
    </row>
    <row r="857" spans="1:17">
      <c r="A857" s="105"/>
      <c r="B857" s="2"/>
      <c r="C857" s="254"/>
      <c r="D857" s="254"/>
      <c r="E857" s="254"/>
      <c r="F857" s="255"/>
      <c r="G857" s="215" t="str">
        <f>IF(AND($B857="",OR(B857&lt;&gt;"",C857&lt;&gt;"",D857&lt;&gt;"",E857&lt;&gt;"",F857&lt;&gt;"")),入力リスト!$K$34,IF($I857=TRUE,入力リスト!$K$35,IF(J857=FALSE,"「毎月の固定給与額」","")&amp;IF(AND(J857=FALSE,OR(K857=FALSE,L857=FALSE,M857=FALSE)),",","")&amp;IF(K857=FALSE,"「賞与額等」","")&amp;IF(AND(K857=FALSE,OR(L857=FALSE,M857=FALSE)),",","")&amp;IF(L857=FALSE,"「残業手当」","")&amp;IF(AND(L857=FALSE,M857=FALSE),",","")&amp;IF(M857=FALSE,"「残業時間」","")&amp;IF(OR(J857=FALSE,K857=FALSE,L857=FALSE,M857=FALSE),入力リスト!$K$36,"")&amp;IF(N857,"",入力リスト!$K$37)))</f>
        <v/>
      </c>
      <c r="H857" s="215"/>
      <c r="I857" s="1" t="b">
        <f>IF(B857="",FALSE,COUNTIF('従業員情報(給与以外)'!$A$4:$A$1000000,$B857)=0)</f>
        <v>0</v>
      </c>
      <c r="J857" s="8" t="b">
        <f t="shared" si="65"/>
        <v>1</v>
      </c>
      <c r="K857" s="8" t="b">
        <f t="shared" si="66"/>
        <v>1</v>
      </c>
      <c r="L857" s="8" t="b">
        <f t="shared" si="67"/>
        <v>1</v>
      </c>
      <c r="M857" s="8" t="b">
        <f t="shared" si="68"/>
        <v>1</v>
      </c>
      <c r="N857" s="1" t="b">
        <f t="shared" si="69"/>
        <v>1</v>
      </c>
      <c r="O857" s="8" t="str">
        <f>IF(F857="","",IF($F$2=入力リスト!$H$25,ROUNDDOWN(INT(F857)+ROUNDDOWN((F857-INT(F857))*100,0)/60,2),F857))</f>
        <v/>
      </c>
      <c r="P857" s="7"/>
      <c r="Q857" s="7"/>
    </row>
    <row r="858" spans="1:17">
      <c r="A858" s="105"/>
      <c r="B858" s="2"/>
      <c r="C858" s="254"/>
      <c r="D858" s="254"/>
      <c r="E858" s="254"/>
      <c r="F858" s="255"/>
      <c r="G858" s="215" t="str">
        <f>IF(AND($B858="",OR(B858&lt;&gt;"",C858&lt;&gt;"",D858&lt;&gt;"",E858&lt;&gt;"",F858&lt;&gt;"")),入力リスト!$K$34,IF($I858=TRUE,入力リスト!$K$35,IF(J858=FALSE,"「毎月の固定給与額」","")&amp;IF(AND(J858=FALSE,OR(K858=FALSE,L858=FALSE,M858=FALSE)),",","")&amp;IF(K858=FALSE,"「賞与額等」","")&amp;IF(AND(K858=FALSE,OR(L858=FALSE,M858=FALSE)),",","")&amp;IF(L858=FALSE,"「残業手当」","")&amp;IF(AND(L858=FALSE,M858=FALSE),",","")&amp;IF(M858=FALSE,"「残業時間」","")&amp;IF(OR(J858=FALSE,K858=FALSE,L858=FALSE,M858=FALSE),入力リスト!$K$36,"")&amp;IF(N858,"",入力リスト!$K$37)))</f>
        <v/>
      </c>
      <c r="H858" s="215"/>
      <c r="I858" s="1" t="b">
        <f>IF(B858="",FALSE,COUNTIF('従業員情報(給与以外)'!$A$4:$A$1000000,$B858)=0)</f>
        <v>0</v>
      </c>
      <c r="J858" s="8" t="b">
        <f t="shared" si="65"/>
        <v>1</v>
      </c>
      <c r="K858" s="8" t="b">
        <f t="shared" si="66"/>
        <v>1</v>
      </c>
      <c r="L858" s="8" t="b">
        <f t="shared" si="67"/>
        <v>1</v>
      </c>
      <c r="M858" s="8" t="b">
        <f t="shared" si="68"/>
        <v>1</v>
      </c>
      <c r="N858" s="1" t="b">
        <f t="shared" si="69"/>
        <v>1</v>
      </c>
      <c r="O858" s="8" t="str">
        <f>IF(F858="","",IF($F$2=入力リスト!$H$25,ROUNDDOWN(INT(F858)+ROUNDDOWN((F858-INT(F858))*100,0)/60,2),F858))</f>
        <v/>
      </c>
      <c r="P858" s="7"/>
      <c r="Q858" s="7"/>
    </row>
    <row r="859" spans="1:17">
      <c r="A859" s="105"/>
      <c r="B859" s="2"/>
      <c r="C859" s="254"/>
      <c r="D859" s="254"/>
      <c r="E859" s="254"/>
      <c r="F859" s="255"/>
      <c r="G859" s="215" t="str">
        <f>IF(AND($B859="",OR(B859&lt;&gt;"",C859&lt;&gt;"",D859&lt;&gt;"",E859&lt;&gt;"",F859&lt;&gt;"")),入力リスト!$K$34,IF($I859=TRUE,入力リスト!$K$35,IF(J859=FALSE,"「毎月の固定給与額」","")&amp;IF(AND(J859=FALSE,OR(K859=FALSE,L859=FALSE,M859=FALSE)),",","")&amp;IF(K859=FALSE,"「賞与額等」","")&amp;IF(AND(K859=FALSE,OR(L859=FALSE,M859=FALSE)),",","")&amp;IF(L859=FALSE,"「残業手当」","")&amp;IF(AND(L859=FALSE,M859=FALSE),",","")&amp;IF(M859=FALSE,"「残業時間」","")&amp;IF(OR(J859=FALSE,K859=FALSE,L859=FALSE,M859=FALSE),入力リスト!$K$36,"")&amp;IF(N859,"",入力リスト!$K$37)))</f>
        <v/>
      </c>
      <c r="H859" s="215"/>
      <c r="I859" s="1" t="b">
        <f>IF(B859="",FALSE,COUNTIF('従業員情報(給与以外)'!$A$4:$A$1000000,$B859)=0)</f>
        <v>0</v>
      </c>
      <c r="J859" s="8" t="b">
        <f t="shared" si="65"/>
        <v>1</v>
      </c>
      <c r="K859" s="8" t="b">
        <f t="shared" si="66"/>
        <v>1</v>
      </c>
      <c r="L859" s="8" t="b">
        <f t="shared" si="67"/>
        <v>1</v>
      </c>
      <c r="M859" s="8" t="b">
        <f t="shared" si="68"/>
        <v>1</v>
      </c>
      <c r="N859" s="1" t="b">
        <f t="shared" si="69"/>
        <v>1</v>
      </c>
      <c r="O859" s="8" t="str">
        <f>IF(F859="","",IF($F$2=入力リスト!$H$25,ROUNDDOWN(INT(F859)+ROUNDDOWN((F859-INT(F859))*100,0)/60,2),F859))</f>
        <v/>
      </c>
      <c r="P859" s="7"/>
      <c r="Q859" s="7"/>
    </row>
    <row r="860" spans="1:17">
      <c r="A860" s="105"/>
      <c r="B860" s="2"/>
      <c r="C860" s="254"/>
      <c r="D860" s="254"/>
      <c r="E860" s="254"/>
      <c r="F860" s="255"/>
      <c r="G860" s="215" t="str">
        <f>IF(AND($B860="",OR(B860&lt;&gt;"",C860&lt;&gt;"",D860&lt;&gt;"",E860&lt;&gt;"",F860&lt;&gt;"")),入力リスト!$K$34,IF($I860=TRUE,入力リスト!$K$35,IF(J860=FALSE,"「毎月の固定給与額」","")&amp;IF(AND(J860=FALSE,OR(K860=FALSE,L860=FALSE,M860=FALSE)),",","")&amp;IF(K860=FALSE,"「賞与額等」","")&amp;IF(AND(K860=FALSE,OR(L860=FALSE,M860=FALSE)),",","")&amp;IF(L860=FALSE,"「残業手当」","")&amp;IF(AND(L860=FALSE,M860=FALSE),",","")&amp;IF(M860=FALSE,"「残業時間」","")&amp;IF(OR(J860=FALSE,K860=FALSE,L860=FALSE,M860=FALSE),入力リスト!$K$36,"")&amp;IF(N860,"",入力リスト!$K$37)))</f>
        <v/>
      </c>
      <c r="H860" s="215"/>
      <c r="I860" s="1" t="b">
        <f>IF(B860="",FALSE,COUNTIF('従業員情報(給与以外)'!$A$4:$A$1000000,$B860)=0)</f>
        <v>0</v>
      </c>
      <c r="J860" s="8" t="b">
        <f t="shared" si="65"/>
        <v>1</v>
      </c>
      <c r="K860" s="8" t="b">
        <f t="shared" si="66"/>
        <v>1</v>
      </c>
      <c r="L860" s="8" t="b">
        <f t="shared" si="67"/>
        <v>1</v>
      </c>
      <c r="M860" s="8" t="b">
        <f t="shared" si="68"/>
        <v>1</v>
      </c>
      <c r="N860" s="1" t="b">
        <f t="shared" si="69"/>
        <v>1</v>
      </c>
      <c r="O860" s="8" t="str">
        <f>IF(F860="","",IF($F$2=入力リスト!$H$25,ROUNDDOWN(INT(F860)+ROUNDDOWN((F860-INT(F860))*100,0)/60,2),F860))</f>
        <v/>
      </c>
      <c r="P860" s="7"/>
      <c r="Q860" s="7"/>
    </row>
    <row r="861" spans="1:17">
      <c r="A861" s="105"/>
      <c r="B861" s="2"/>
      <c r="C861" s="254"/>
      <c r="D861" s="254"/>
      <c r="E861" s="254"/>
      <c r="F861" s="255"/>
      <c r="G861" s="215" t="str">
        <f>IF(AND($B861="",OR(B861&lt;&gt;"",C861&lt;&gt;"",D861&lt;&gt;"",E861&lt;&gt;"",F861&lt;&gt;"")),入力リスト!$K$34,IF($I861=TRUE,入力リスト!$K$35,IF(J861=FALSE,"「毎月の固定給与額」","")&amp;IF(AND(J861=FALSE,OR(K861=FALSE,L861=FALSE,M861=FALSE)),",","")&amp;IF(K861=FALSE,"「賞与額等」","")&amp;IF(AND(K861=FALSE,OR(L861=FALSE,M861=FALSE)),",","")&amp;IF(L861=FALSE,"「残業手当」","")&amp;IF(AND(L861=FALSE,M861=FALSE),",","")&amp;IF(M861=FALSE,"「残業時間」","")&amp;IF(OR(J861=FALSE,K861=FALSE,L861=FALSE,M861=FALSE),入力リスト!$K$36,"")&amp;IF(N861,"",入力リスト!$K$37)))</f>
        <v/>
      </c>
      <c r="H861" s="215"/>
      <c r="I861" s="1" t="b">
        <f>IF(B861="",FALSE,COUNTIF('従業員情報(給与以外)'!$A$4:$A$1000000,$B861)=0)</f>
        <v>0</v>
      </c>
      <c r="J861" s="8" t="b">
        <f t="shared" si="65"/>
        <v>1</v>
      </c>
      <c r="K861" s="8" t="b">
        <f t="shared" si="66"/>
        <v>1</v>
      </c>
      <c r="L861" s="8" t="b">
        <f t="shared" si="67"/>
        <v>1</v>
      </c>
      <c r="M861" s="8" t="b">
        <f t="shared" si="68"/>
        <v>1</v>
      </c>
      <c r="N861" s="1" t="b">
        <f t="shared" si="69"/>
        <v>1</v>
      </c>
      <c r="O861" s="8" t="str">
        <f>IF(F861="","",IF($F$2=入力リスト!$H$25,ROUNDDOWN(INT(F861)+ROUNDDOWN((F861-INT(F861))*100,0)/60,2),F861))</f>
        <v/>
      </c>
      <c r="P861" s="7"/>
      <c r="Q861" s="7"/>
    </row>
    <row r="862" spans="1:17">
      <c r="A862" s="105"/>
      <c r="B862" s="2"/>
      <c r="C862" s="254"/>
      <c r="D862" s="254"/>
      <c r="E862" s="254"/>
      <c r="F862" s="255"/>
      <c r="G862" s="215" t="str">
        <f>IF(AND($B862="",OR(B862&lt;&gt;"",C862&lt;&gt;"",D862&lt;&gt;"",E862&lt;&gt;"",F862&lt;&gt;"")),入力リスト!$K$34,IF($I862=TRUE,入力リスト!$K$35,IF(J862=FALSE,"「毎月の固定給与額」","")&amp;IF(AND(J862=FALSE,OR(K862=FALSE,L862=FALSE,M862=FALSE)),",","")&amp;IF(K862=FALSE,"「賞与額等」","")&amp;IF(AND(K862=FALSE,OR(L862=FALSE,M862=FALSE)),",","")&amp;IF(L862=FALSE,"「残業手当」","")&amp;IF(AND(L862=FALSE,M862=FALSE),",","")&amp;IF(M862=FALSE,"「残業時間」","")&amp;IF(OR(J862=FALSE,K862=FALSE,L862=FALSE,M862=FALSE),入力リスト!$K$36,"")&amp;IF(N862,"",入力リスト!$K$37)))</f>
        <v/>
      </c>
      <c r="H862" s="215"/>
      <c r="I862" s="1" t="b">
        <f>IF(B862="",FALSE,COUNTIF('従業員情報(給与以外)'!$A$4:$A$1000000,$B862)=0)</f>
        <v>0</v>
      </c>
      <c r="J862" s="8" t="b">
        <f t="shared" si="65"/>
        <v>1</v>
      </c>
      <c r="K862" s="8" t="b">
        <f t="shared" si="66"/>
        <v>1</v>
      </c>
      <c r="L862" s="8" t="b">
        <f t="shared" si="67"/>
        <v>1</v>
      </c>
      <c r="M862" s="8" t="b">
        <f t="shared" si="68"/>
        <v>1</v>
      </c>
      <c r="N862" s="1" t="b">
        <f t="shared" si="69"/>
        <v>1</v>
      </c>
      <c r="O862" s="8" t="str">
        <f>IF(F862="","",IF($F$2=入力リスト!$H$25,ROUNDDOWN(INT(F862)+ROUNDDOWN((F862-INT(F862))*100,0)/60,2),F862))</f>
        <v/>
      </c>
      <c r="P862" s="7"/>
      <c r="Q862" s="7"/>
    </row>
    <row r="863" spans="1:17">
      <c r="A863" s="105"/>
      <c r="B863" s="2"/>
      <c r="C863" s="254"/>
      <c r="D863" s="254"/>
      <c r="E863" s="254"/>
      <c r="F863" s="255"/>
      <c r="G863" s="215" t="str">
        <f>IF(AND($B863="",OR(B863&lt;&gt;"",C863&lt;&gt;"",D863&lt;&gt;"",E863&lt;&gt;"",F863&lt;&gt;"")),入力リスト!$K$34,IF($I863=TRUE,入力リスト!$K$35,IF(J863=FALSE,"「毎月の固定給与額」","")&amp;IF(AND(J863=FALSE,OR(K863=FALSE,L863=FALSE,M863=FALSE)),",","")&amp;IF(K863=FALSE,"「賞与額等」","")&amp;IF(AND(K863=FALSE,OR(L863=FALSE,M863=FALSE)),",","")&amp;IF(L863=FALSE,"「残業手当」","")&amp;IF(AND(L863=FALSE,M863=FALSE),",","")&amp;IF(M863=FALSE,"「残業時間」","")&amp;IF(OR(J863=FALSE,K863=FALSE,L863=FALSE,M863=FALSE),入力リスト!$K$36,"")&amp;IF(N863,"",入力リスト!$K$37)))</f>
        <v/>
      </c>
      <c r="H863" s="215"/>
      <c r="I863" s="1" t="b">
        <f>IF(B863="",FALSE,COUNTIF('従業員情報(給与以外)'!$A$4:$A$1000000,$B863)=0)</f>
        <v>0</v>
      </c>
      <c r="J863" s="8" t="b">
        <f t="shared" si="65"/>
        <v>1</v>
      </c>
      <c r="K863" s="8" t="b">
        <f t="shared" si="66"/>
        <v>1</v>
      </c>
      <c r="L863" s="8" t="b">
        <f t="shared" si="67"/>
        <v>1</v>
      </c>
      <c r="M863" s="8" t="b">
        <f t="shared" si="68"/>
        <v>1</v>
      </c>
      <c r="N863" s="1" t="b">
        <f t="shared" si="69"/>
        <v>1</v>
      </c>
      <c r="O863" s="8" t="str">
        <f>IF(F863="","",IF($F$2=入力リスト!$H$25,ROUNDDOWN(INT(F863)+ROUNDDOWN((F863-INT(F863))*100,0)/60,2),F863))</f>
        <v/>
      </c>
      <c r="P863" s="7"/>
      <c r="Q863" s="7"/>
    </row>
    <row r="864" spans="1:17">
      <c r="A864" s="105"/>
      <c r="B864" s="2"/>
      <c r="C864" s="254"/>
      <c r="D864" s="254"/>
      <c r="E864" s="254"/>
      <c r="F864" s="255"/>
      <c r="G864" s="215" t="str">
        <f>IF(AND($B864="",OR(B864&lt;&gt;"",C864&lt;&gt;"",D864&lt;&gt;"",E864&lt;&gt;"",F864&lt;&gt;"")),入力リスト!$K$34,IF($I864=TRUE,入力リスト!$K$35,IF(J864=FALSE,"「毎月の固定給与額」","")&amp;IF(AND(J864=FALSE,OR(K864=FALSE,L864=FALSE,M864=FALSE)),",","")&amp;IF(K864=FALSE,"「賞与額等」","")&amp;IF(AND(K864=FALSE,OR(L864=FALSE,M864=FALSE)),",","")&amp;IF(L864=FALSE,"「残業手当」","")&amp;IF(AND(L864=FALSE,M864=FALSE),",","")&amp;IF(M864=FALSE,"「残業時間」","")&amp;IF(OR(J864=FALSE,K864=FALSE,L864=FALSE,M864=FALSE),入力リスト!$K$36,"")&amp;IF(N864,"",入力リスト!$K$37)))</f>
        <v/>
      </c>
      <c r="H864" s="215"/>
      <c r="I864" s="1" t="b">
        <f>IF(B864="",FALSE,COUNTIF('従業員情報(給与以外)'!$A$4:$A$1000000,$B864)=0)</f>
        <v>0</v>
      </c>
      <c r="J864" s="8" t="b">
        <f t="shared" si="65"/>
        <v>1</v>
      </c>
      <c r="K864" s="8" t="b">
        <f t="shared" si="66"/>
        <v>1</v>
      </c>
      <c r="L864" s="8" t="b">
        <f t="shared" si="67"/>
        <v>1</v>
      </c>
      <c r="M864" s="8" t="b">
        <f t="shared" si="68"/>
        <v>1</v>
      </c>
      <c r="N864" s="1" t="b">
        <f t="shared" si="69"/>
        <v>1</v>
      </c>
      <c r="O864" s="8" t="str">
        <f>IF(F864="","",IF($F$2=入力リスト!$H$25,ROUNDDOWN(INT(F864)+ROUNDDOWN((F864-INT(F864))*100,0)/60,2),F864))</f>
        <v/>
      </c>
      <c r="P864" s="7"/>
      <c r="Q864" s="7"/>
    </row>
    <row r="865" spans="1:17">
      <c r="A865" s="105"/>
      <c r="B865" s="2"/>
      <c r="C865" s="254"/>
      <c r="D865" s="254"/>
      <c r="E865" s="254"/>
      <c r="F865" s="255"/>
      <c r="G865" s="215" t="str">
        <f>IF(AND($B865="",OR(B865&lt;&gt;"",C865&lt;&gt;"",D865&lt;&gt;"",E865&lt;&gt;"",F865&lt;&gt;"")),入力リスト!$K$34,IF($I865=TRUE,入力リスト!$K$35,IF(J865=FALSE,"「毎月の固定給与額」","")&amp;IF(AND(J865=FALSE,OR(K865=FALSE,L865=FALSE,M865=FALSE)),",","")&amp;IF(K865=FALSE,"「賞与額等」","")&amp;IF(AND(K865=FALSE,OR(L865=FALSE,M865=FALSE)),",","")&amp;IF(L865=FALSE,"「残業手当」","")&amp;IF(AND(L865=FALSE,M865=FALSE),",","")&amp;IF(M865=FALSE,"「残業時間」","")&amp;IF(OR(J865=FALSE,K865=FALSE,L865=FALSE,M865=FALSE),入力リスト!$K$36,"")&amp;IF(N865,"",入力リスト!$K$37)))</f>
        <v/>
      </c>
      <c r="H865" s="215"/>
      <c r="I865" s="1" t="b">
        <f>IF(B865="",FALSE,COUNTIF('従業員情報(給与以外)'!$A$4:$A$1000000,$B865)=0)</f>
        <v>0</v>
      </c>
      <c r="J865" s="8" t="b">
        <f t="shared" si="65"/>
        <v>1</v>
      </c>
      <c r="K865" s="8" t="b">
        <f t="shared" si="66"/>
        <v>1</v>
      </c>
      <c r="L865" s="8" t="b">
        <f t="shared" si="67"/>
        <v>1</v>
      </c>
      <c r="M865" s="8" t="b">
        <f t="shared" si="68"/>
        <v>1</v>
      </c>
      <c r="N865" s="1" t="b">
        <f t="shared" si="69"/>
        <v>1</v>
      </c>
      <c r="O865" s="8" t="str">
        <f>IF(F865="","",IF($F$2=入力リスト!$H$25,ROUNDDOWN(INT(F865)+ROUNDDOWN((F865-INT(F865))*100,0)/60,2),F865))</f>
        <v/>
      </c>
      <c r="P865" s="7"/>
      <c r="Q865" s="7"/>
    </row>
    <row r="866" spans="1:17">
      <c r="A866" s="105"/>
      <c r="B866" s="2"/>
      <c r="C866" s="254"/>
      <c r="D866" s="254"/>
      <c r="E866" s="254"/>
      <c r="F866" s="255"/>
      <c r="G866" s="215" t="str">
        <f>IF(AND($B866="",OR(B866&lt;&gt;"",C866&lt;&gt;"",D866&lt;&gt;"",E866&lt;&gt;"",F866&lt;&gt;"")),入力リスト!$K$34,IF($I866=TRUE,入力リスト!$K$35,IF(J866=FALSE,"「毎月の固定給与額」","")&amp;IF(AND(J866=FALSE,OR(K866=FALSE,L866=FALSE,M866=FALSE)),",","")&amp;IF(K866=FALSE,"「賞与額等」","")&amp;IF(AND(K866=FALSE,OR(L866=FALSE,M866=FALSE)),",","")&amp;IF(L866=FALSE,"「残業手当」","")&amp;IF(AND(L866=FALSE,M866=FALSE),",","")&amp;IF(M866=FALSE,"「残業時間」","")&amp;IF(OR(J866=FALSE,K866=FALSE,L866=FALSE,M866=FALSE),入力リスト!$K$36,"")&amp;IF(N866,"",入力リスト!$K$37)))</f>
        <v/>
      </c>
      <c r="H866" s="215"/>
      <c r="I866" s="1" t="b">
        <f>IF(B866="",FALSE,COUNTIF('従業員情報(給与以外)'!$A$4:$A$1000000,$B866)=0)</f>
        <v>0</v>
      </c>
      <c r="J866" s="8" t="b">
        <f t="shared" si="65"/>
        <v>1</v>
      </c>
      <c r="K866" s="8" t="b">
        <f t="shared" si="66"/>
        <v>1</v>
      </c>
      <c r="L866" s="8" t="b">
        <f t="shared" si="67"/>
        <v>1</v>
      </c>
      <c r="M866" s="8" t="b">
        <f t="shared" si="68"/>
        <v>1</v>
      </c>
      <c r="N866" s="1" t="b">
        <f t="shared" si="69"/>
        <v>1</v>
      </c>
      <c r="O866" s="8" t="str">
        <f>IF(F866="","",IF($F$2=入力リスト!$H$25,ROUNDDOWN(INT(F866)+ROUNDDOWN((F866-INT(F866))*100,0)/60,2),F866))</f>
        <v/>
      </c>
      <c r="P866" s="7"/>
      <c r="Q866" s="7"/>
    </row>
    <row r="867" spans="1:17">
      <c r="A867" s="105"/>
      <c r="B867" s="2"/>
      <c r="C867" s="254"/>
      <c r="D867" s="254"/>
      <c r="E867" s="254"/>
      <c r="F867" s="255"/>
      <c r="G867" s="215" t="str">
        <f>IF(AND($B867="",OR(B867&lt;&gt;"",C867&lt;&gt;"",D867&lt;&gt;"",E867&lt;&gt;"",F867&lt;&gt;"")),入力リスト!$K$34,IF($I867=TRUE,入力リスト!$K$35,IF(J867=FALSE,"「毎月の固定給与額」","")&amp;IF(AND(J867=FALSE,OR(K867=FALSE,L867=FALSE,M867=FALSE)),",","")&amp;IF(K867=FALSE,"「賞与額等」","")&amp;IF(AND(K867=FALSE,OR(L867=FALSE,M867=FALSE)),",","")&amp;IF(L867=FALSE,"「残業手当」","")&amp;IF(AND(L867=FALSE,M867=FALSE),",","")&amp;IF(M867=FALSE,"「残業時間」","")&amp;IF(OR(J867=FALSE,K867=FALSE,L867=FALSE,M867=FALSE),入力リスト!$K$36,"")&amp;IF(N867,"",入力リスト!$K$37)))</f>
        <v/>
      </c>
      <c r="H867" s="215"/>
      <c r="I867" s="1" t="b">
        <f>IF(B867="",FALSE,COUNTIF('従業員情報(給与以外)'!$A$4:$A$1000000,$B867)=0)</f>
        <v>0</v>
      </c>
      <c r="J867" s="8" t="b">
        <f t="shared" si="65"/>
        <v>1</v>
      </c>
      <c r="K867" s="8" t="b">
        <f t="shared" si="66"/>
        <v>1</v>
      </c>
      <c r="L867" s="8" t="b">
        <f t="shared" si="67"/>
        <v>1</v>
      </c>
      <c r="M867" s="8" t="b">
        <f t="shared" si="68"/>
        <v>1</v>
      </c>
      <c r="N867" s="1" t="b">
        <f t="shared" si="69"/>
        <v>1</v>
      </c>
      <c r="O867" s="8" t="str">
        <f>IF(F867="","",IF($F$2=入力リスト!$H$25,ROUNDDOWN(INT(F867)+ROUNDDOWN((F867-INT(F867))*100,0)/60,2),F867))</f>
        <v/>
      </c>
      <c r="P867" s="7"/>
      <c r="Q867" s="7"/>
    </row>
    <row r="868" spans="1:17">
      <c r="A868" s="105"/>
      <c r="B868" s="2"/>
      <c r="C868" s="254"/>
      <c r="D868" s="254"/>
      <c r="E868" s="254"/>
      <c r="F868" s="255"/>
      <c r="G868" s="215" t="str">
        <f>IF(AND($B868="",OR(B868&lt;&gt;"",C868&lt;&gt;"",D868&lt;&gt;"",E868&lt;&gt;"",F868&lt;&gt;"")),入力リスト!$K$34,IF($I868=TRUE,入力リスト!$K$35,IF(J868=FALSE,"「毎月の固定給与額」","")&amp;IF(AND(J868=FALSE,OR(K868=FALSE,L868=FALSE,M868=FALSE)),",","")&amp;IF(K868=FALSE,"「賞与額等」","")&amp;IF(AND(K868=FALSE,OR(L868=FALSE,M868=FALSE)),",","")&amp;IF(L868=FALSE,"「残業手当」","")&amp;IF(AND(L868=FALSE,M868=FALSE),",","")&amp;IF(M868=FALSE,"「残業時間」","")&amp;IF(OR(J868=FALSE,K868=FALSE,L868=FALSE,M868=FALSE),入力リスト!$K$36,"")&amp;IF(N868,"",入力リスト!$K$37)))</f>
        <v/>
      </c>
      <c r="H868" s="215"/>
      <c r="I868" s="1" t="b">
        <f>IF(B868="",FALSE,COUNTIF('従業員情報(給与以外)'!$A$4:$A$1000000,$B868)=0)</f>
        <v>0</v>
      </c>
      <c r="J868" s="8" t="b">
        <f t="shared" si="65"/>
        <v>1</v>
      </c>
      <c r="K868" s="8" t="b">
        <f t="shared" si="66"/>
        <v>1</v>
      </c>
      <c r="L868" s="8" t="b">
        <f t="shared" si="67"/>
        <v>1</v>
      </c>
      <c r="M868" s="8" t="b">
        <f t="shared" si="68"/>
        <v>1</v>
      </c>
      <c r="N868" s="1" t="b">
        <f t="shared" si="69"/>
        <v>1</v>
      </c>
      <c r="O868" s="8" t="str">
        <f>IF(F868="","",IF($F$2=入力リスト!$H$25,ROUNDDOWN(INT(F868)+ROUNDDOWN((F868-INT(F868))*100,0)/60,2),F868))</f>
        <v/>
      </c>
      <c r="P868" s="7"/>
      <c r="Q868" s="7"/>
    </row>
    <row r="869" spans="1:17">
      <c r="A869" s="105"/>
      <c r="B869" s="2"/>
      <c r="C869" s="254"/>
      <c r="D869" s="254"/>
      <c r="E869" s="254"/>
      <c r="F869" s="255"/>
      <c r="G869" s="215" t="str">
        <f>IF(AND($B869="",OR(B869&lt;&gt;"",C869&lt;&gt;"",D869&lt;&gt;"",E869&lt;&gt;"",F869&lt;&gt;"")),入力リスト!$K$34,IF($I869=TRUE,入力リスト!$K$35,IF(J869=FALSE,"「毎月の固定給与額」","")&amp;IF(AND(J869=FALSE,OR(K869=FALSE,L869=FALSE,M869=FALSE)),",","")&amp;IF(K869=FALSE,"「賞与額等」","")&amp;IF(AND(K869=FALSE,OR(L869=FALSE,M869=FALSE)),",","")&amp;IF(L869=FALSE,"「残業手当」","")&amp;IF(AND(L869=FALSE,M869=FALSE),",","")&amp;IF(M869=FALSE,"「残業時間」","")&amp;IF(OR(J869=FALSE,K869=FALSE,L869=FALSE,M869=FALSE),入力リスト!$K$36,"")&amp;IF(N869,"",入力リスト!$K$37)))</f>
        <v/>
      </c>
      <c r="H869" s="215"/>
      <c r="I869" s="1" t="b">
        <f>IF(B869="",FALSE,COUNTIF('従業員情報(給与以外)'!$A$4:$A$1000000,$B869)=0)</f>
        <v>0</v>
      </c>
      <c r="J869" s="8" t="b">
        <f t="shared" si="65"/>
        <v>1</v>
      </c>
      <c r="K869" s="8" t="b">
        <f t="shared" si="66"/>
        <v>1</v>
      </c>
      <c r="L869" s="8" t="b">
        <f t="shared" si="67"/>
        <v>1</v>
      </c>
      <c r="M869" s="8" t="b">
        <f t="shared" si="68"/>
        <v>1</v>
      </c>
      <c r="N869" s="1" t="b">
        <f t="shared" si="69"/>
        <v>1</v>
      </c>
      <c r="O869" s="8" t="str">
        <f>IF(F869="","",IF($F$2=入力リスト!$H$25,ROUNDDOWN(INT(F869)+ROUNDDOWN((F869-INT(F869))*100,0)/60,2),F869))</f>
        <v/>
      </c>
      <c r="P869" s="7"/>
      <c r="Q869" s="7"/>
    </row>
    <row r="870" spans="1:17">
      <c r="A870" s="105"/>
      <c r="B870" s="2"/>
      <c r="C870" s="254"/>
      <c r="D870" s="254"/>
      <c r="E870" s="254"/>
      <c r="F870" s="255"/>
      <c r="G870" s="215" t="str">
        <f>IF(AND($B870="",OR(B870&lt;&gt;"",C870&lt;&gt;"",D870&lt;&gt;"",E870&lt;&gt;"",F870&lt;&gt;"")),入力リスト!$K$34,IF($I870=TRUE,入力リスト!$K$35,IF(J870=FALSE,"「毎月の固定給与額」","")&amp;IF(AND(J870=FALSE,OR(K870=FALSE,L870=FALSE,M870=FALSE)),",","")&amp;IF(K870=FALSE,"「賞与額等」","")&amp;IF(AND(K870=FALSE,OR(L870=FALSE,M870=FALSE)),",","")&amp;IF(L870=FALSE,"「残業手当」","")&amp;IF(AND(L870=FALSE,M870=FALSE),",","")&amp;IF(M870=FALSE,"「残業時間」","")&amp;IF(OR(J870=FALSE,K870=FALSE,L870=FALSE,M870=FALSE),入力リスト!$K$36,"")&amp;IF(N870,"",入力リスト!$K$37)))</f>
        <v/>
      </c>
      <c r="H870" s="215"/>
      <c r="I870" s="1" t="b">
        <f>IF(B870="",FALSE,COUNTIF('従業員情報(給与以外)'!$A$4:$A$1000000,$B870)=0)</f>
        <v>0</v>
      </c>
      <c r="J870" s="8" t="b">
        <f t="shared" si="65"/>
        <v>1</v>
      </c>
      <c r="K870" s="8" t="b">
        <f t="shared" si="66"/>
        <v>1</v>
      </c>
      <c r="L870" s="8" t="b">
        <f t="shared" si="67"/>
        <v>1</v>
      </c>
      <c r="M870" s="8" t="b">
        <f t="shared" si="68"/>
        <v>1</v>
      </c>
      <c r="N870" s="1" t="b">
        <f t="shared" si="69"/>
        <v>1</v>
      </c>
      <c r="O870" s="8" t="str">
        <f>IF(F870="","",IF($F$2=入力リスト!$H$25,ROUNDDOWN(INT(F870)+ROUNDDOWN((F870-INT(F870))*100,0)/60,2),F870))</f>
        <v/>
      </c>
      <c r="P870" s="7"/>
      <c r="Q870" s="7"/>
    </row>
    <row r="871" spans="1:17">
      <c r="A871" s="105"/>
      <c r="B871" s="2"/>
      <c r="C871" s="3"/>
      <c r="D871" s="3"/>
      <c r="E871" s="3"/>
      <c r="F871" s="8"/>
      <c r="G871" s="215" t="str">
        <f>IF(AND($B871="",OR(B871&lt;&gt;"",C871&lt;&gt;"",D871&lt;&gt;"",E871&lt;&gt;"",F871&lt;&gt;"")),入力リスト!$K$34,IF($I871=TRUE,入力リスト!$K$35,IF(J871=FALSE,"「毎月の固定給与額」","")&amp;IF(AND(J871=FALSE,OR(K871=FALSE,L871=FALSE,M871=FALSE)),",","")&amp;IF(K871=FALSE,"「賞与額等」","")&amp;IF(AND(K871=FALSE,OR(L871=FALSE,M871=FALSE)),",","")&amp;IF(L871=FALSE,"「残業手当」","")&amp;IF(AND(L871=FALSE,M871=FALSE),",","")&amp;IF(M871=FALSE,"「残業時間」","")&amp;IF(OR(J871=FALSE,K871=FALSE,L871=FALSE,M871=FALSE),入力リスト!$K$36,"")&amp;IF(N871,"",入力リスト!$K$37)))</f>
        <v/>
      </c>
      <c r="H871" s="215"/>
      <c r="I871" s="1" t="b">
        <f>IF(B871="",FALSE,COUNTIF('従業員情報(給与以外)'!$A$4:$A$1000000,$B871)=0)</f>
        <v>0</v>
      </c>
      <c r="J871" s="8" t="b">
        <f t="shared" si="65"/>
        <v>1</v>
      </c>
      <c r="K871" s="8" t="b">
        <f t="shared" si="66"/>
        <v>1</v>
      </c>
      <c r="L871" s="8" t="b">
        <f t="shared" si="67"/>
        <v>1</v>
      </c>
      <c r="M871" s="8" t="b">
        <f t="shared" si="68"/>
        <v>1</v>
      </c>
      <c r="N871" s="1" t="b">
        <f t="shared" si="69"/>
        <v>1</v>
      </c>
      <c r="O871" s="8" t="str">
        <f>IF(F871="","",IF($F$2=入力リスト!$H$25,ROUNDDOWN(INT(F871)+ROUNDDOWN((F871-INT(F871))*100,0)/60,2),F871))</f>
        <v/>
      </c>
      <c r="P871" s="7"/>
      <c r="Q871" s="7"/>
    </row>
    <row r="872" spans="1:17">
      <c r="A872" s="105"/>
      <c r="B872" s="2"/>
      <c r="C872" s="3"/>
      <c r="D872" s="3"/>
      <c r="E872" s="3"/>
      <c r="F872" s="8"/>
      <c r="G872" s="215" t="str">
        <f>IF(AND($B872="",OR(B872&lt;&gt;"",C872&lt;&gt;"",D872&lt;&gt;"",E872&lt;&gt;"",F872&lt;&gt;"")),入力リスト!$K$34,IF($I872=TRUE,入力リスト!$K$35,IF(J872=FALSE,"「毎月の固定給与額」","")&amp;IF(AND(J872=FALSE,OR(K872=FALSE,L872=FALSE,M872=FALSE)),",","")&amp;IF(K872=FALSE,"「賞与額等」","")&amp;IF(AND(K872=FALSE,OR(L872=FALSE,M872=FALSE)),",","")&amp;IF(L872=FALSE,"「残業手当」","")&amp;IF(AND(L872=FALSE,M872=FALSE),",","")&amp;IF(M872=FALSE,"「残業時間」","")&amp;IF(OR(J872=FALSE,K872=FALSE,L872=FALSE,M872=FALSE),入力リスト!$K$36,"")&amp;IF(N872,"",入力リスト!$K$37)))</f>
        <v/>
      </c>
      <c r="H872" s="215"/>
      <c r="I872" s="1" t="b">
        <f>IF(B872="",FALSE,COUNTIF('従業員情報(給与以外)'!$A$4:$A$1000000,$B872)=0)</f>
        <v>0</v>
      </c>
      <c r="J872" s="8" t="b">
        <f t="shared" si="65"/>
        <v>1</v>
      </c>
      <c r="K872" s="8" t="b">
        <f t="shared" si="66"/>
        <v>1</v>
      </c>
      <c r="L872" s="8" t="b">
        <f t="shared" si="67"/>
        <v>1</v>
      </c>
      <c r="M872" s="8" t="b">
        <f t="shared" si="68"/>
        <v>1</v>
      </c>
      <c r="N872" s="1" t="b">
        <f t="shared" si="69"/>
        <v>1</v>
      </c>
      <c r="O872" s="8" t="str">
        <f>IF(F872="","",IF($F$2=入力リスト!$H$25,ROUNDDOWN(INT(F872)+ROUNDDOWN((F872-INT(F872))*100,0)/60,2),F872))</f>
        <v/>
      </c>
      <c r="P872" s="7"/>
      <c r="Q872" s="7"/>
    </row>
    <row r="873" spans="1:17">
      <c r="A873" s="105"/>
      <c r="B873" s="2"/>
      <c r="C873" s="3"/>
      <c r="D873" s="3"/>
      <c r="E873" s="3"/>
      <c r="F873" s="8"/>
      <c r="G873" s="215" t="str">
        <f>IF(AND($B873="",OR(B873&lt;&gt;"",C873&lt;&gt;"",D873&lt;&gt;"",E873&lt;&gt;"",F873&lt;&gt;"")),入力リスト!$K$34,IF($I873=TRUE,入力リスト!$K$35,IF(J873=FALSE,"「毎月の固定給与額」","")&amp;IF(AND(J873=FALSE,OR(K873=FALSE,L873=FALSE,M873=FALSE)),",","")&amp;IF(K873=FALSE,"「賞与額等」","")&amp;IF(AND(K873=FALSE,OR(L873=FALSE,M873=FALSE)),",","")&amp;IF(L873=FALSE,"「残業手当」","")&amp;IF(AND(L873=FALSE,M873=FALSE),",","")&amp;IF(M873=FALSE,"「残業時間」","")&amp;IF(OR(J873=FALSE,K873=FALSE,L873=FALSE,M873=FALSE),入力リスト!$K$36,"")&amp;IF(N873,"",入力リスト!$K$37)))</f>
        <v/>
      </c>
      <c r="H873" s="215"/>
      <c r="I873" s="1" t="b">
        <f>IF(B873="",FALSE,COUNTIF('従業員情報(給与以外)'!$A$4:$A$1000000,$B873)=0)</f>
        <v>0</v>
      </c>
      <c r="J873" s="8" t="b">
        <f t="shared" si="65"/>
        <v>1</v>
      </c>
      <c r="K873" s="8" t="b">
        <f t="shared" si="66"/>
        <v>1</v>
      </c>
      <c r="L873" s="8" t="b">
        <f t="shared" si="67"/>
        <v>1</v>
      </c>
      <c r="M873" s="8" t="b">
        <f t="shared" si="68"/>
        <v>1</v>
      </c>
      <c r="N873" s="1" t="b">
        <f t="shared" si="69"/>
        <v>1</v>
      </c>
      <c r="O873" s="8" t="str">
        <f>IF(F873="","",IF($F$2=入力リスト!$H$25,ROUNDDOWN(INT(F873)+ROUNDDOWN((F873-INT(F873))*100,0)/60,2),F873))</f>
        <v/>
      </c>
      <c r="P873" s="7"/>
      <c r="Q873" s="7"/>
    </row>
    <row r="874" spans="1:17">
      <c r="A874" s="105"/>
      <c r="B874" s="2"/>
      <c r="C874" s="3"/>
      <c r="D874" s="3"/>
      <c r="E874" s="3"/>
      <c r="F874" s="8"/>
      <c r="G874" s="215" t="str">
        <f>IF(AND($B874="",OR(B874&lt;&gt;"",C874&lt;&gt;"",D874&lt;&gt;"",E874&lt;&gt;"",F874&lt;&gt;"")),入力リスト!$K$34,IF($I874=TRUE,入力リスト!$K$35,IF(J874=FALSE,"「毎月の固定給与額」","")&amp;IF(AND(J874=FALSE,OR(K874=FALSE,L874=FALSE,M874=FALSE)),",","")&amp;IF(K874=FALSE,"「賞与額等」","")&amp;IF(AND(K874=FALSE,OR(L874=FALSE,M874=FALSE)),",","")&amp;IF(L874=FALSE,"「残業手当」","")&amp;IF(AND(L874=FALSE,M874=FALSE),",","")&amp;IF(M874=FALSE,"「残業時間」","")&amp;IF(OR(J874=FALSE,K874=FALSE,L874=FALSE,M874=FALSE),入力リスト!$K$36,"")&amp;IF(N874,"",入力リスト!$K$37)))</f>
        <v/>
      </c>
      <c r="H874" s="215"/>
      <c r="I874" s="1" t="b">
        <f>IF(B874="",FALSE,COUNTIF('従業員情報(給与以外)'!$A$4:$A$1000000,$B874)=0)</f>
        <v>0</v>
      </c>
      <c r="J874" s="8" t="b">
        <f t="shared" si="65"/>
        <v>1</v>
      </c>
      <c r="K874" s="8" t="b">
        <f t="shared" si="66"/>
        <v>1</v>
      </c>
      <c r="L874" s="8" t="b">
        <f t="shared" si="67"/>
        <v>1</v>
      </c>
      <c r="M874" s="8" t="b">
        <f t="shared" si="68"/>
        <v>1</v>
      </c>
      <c r="N874" s="1" t="b">
        <f t="shared" si="69"/>
        <v>1</v>
      </c>
      <c r="O874" s="8" t="str">
        <f>IF(F874="","",IF($F$2=入力リスト!$H$25,ROUNDDOWN(INT(F874)+ROUNDDOWN((F874-INT(F874))*100,0)/60,2),F874))</f>
        <v/>
      </c>
      <c r="P874" s="7"/>
      <c r="Q874" s="7"/>
    </row>
    <row r="875" spans="1:17">
      <c r="A875" s="105"/>
      <c r="B875" s="2"/>
      <c r="C875" s="3"/>
      <c r="D875" s="3"/>
      <c r="E875" s="3"/>
      <c r="F875" s="8"/>
      <c r="G875" s="215" t="str">
        <f>IF(AND($B875="",OR(B875&lt;&gt;"",C875&lt;&gt;"",D875&lt;&gt;"",E875&lt;&gt;"",F875&lt;&gt;"")),入力リスト!$K$34,IF($I875=TRUE,入力リスト!$K$35,IF(J875=FALSE,"「毎月の固定給与額」","")&amp;IF(AND(J875=FALSE,OR(K875=FALSE,L875=FALSE,M875=FALSE)),",","")&amp;IF(K875=FALSE,"「賞与額等」","")&amp;IF(AND(K875=FALSE,OR(L875=FALSE,M875=FALSE)),",","")&amp;IF(L875=FALSE,"「残業手当」","")&amp;IF(AND(L875=FALSE,M875=FALSE),",","")&amp;IF(M875=FALSE,"「残業時間」","")&amp;IF(OR(J875=FALSE,K875=FALSE,L875=FALSE,M875=FALSE),入力リスト!$K$36,"")&amp;IF(N875,"",入力リスト!$K$37)))</f>
        <v/>
      </c>
      <c r="H875" s="215"/>
      <c r="I875" s="1" t="b">
        <f>IF(B875="",FALSE,COUNTIF('従業員情報(給与以外)'!$A$4:$A$1000000,$B875)=0)</f>
        <v>0</v>
      </c>
      <c r="J875" s="8" t="b">
        <f t="shared" si="65"/>
        <v>1</v>
      </c>
      <c r="K875" s="8" t="b">
        <f t="shared" si="66"/>
        <v>1</v>
      </c>
      <c r="L875" s="8" t="b">
        <f t="shared" si="67"/>
        <v>1</v>
      </c>
      <c r="M875" s="8" t="b">
        <f t="shared" si="68"/>
        <v>1</v>
      </c>
      <c r="N875" s="1" t="b">
        <f t="shared" si="69"/>
        <v>1</v>
      </c>
      <c r="O875" s="8" t="str">
        <f>IF(F875="","",IF($F$2=入力リスト!$H$25,ROUNDDOWN(INT(F875)+ROUNDDOWN((F875-INT(F875))*100,0)/60,2),F875))</f>
        <v/>
      </c>
      <c r="P875" s="7"/>
      <c r="Q875" s="7"/>
    </row>
    <row r="876" spans="1:17">
      <c r="A876" s="105"/>
      <c r="B876" s="2"/>
      <c r="C876" s="3"/>
      <c r="D876" s="3"/>
      <c r="E876" s="3"/>
      <c r="F876" s="8"/>
      <c r="G876" s="215" t="str">
        <f>IF(AND($B876="",OR(B876&lt;&gt;"",C876&lt;&gt;"",D876&lt;&gt;"",E876&lt;&gt;"",F876&lt;&gt;"")),入力リスト!$K$34,IF($I876=TRUE,入力リスト!$K$35,IF(J876=FALSE,"「毎月の固定給与額」","")&amp;IF(AND(J876=FALSE,OR(K876=FALSE,L876=FALSE,M876=FALSE)),",","")&amp;IF(K876=FALSE,"「賞与額等」","")&amp;IF(AND(K876=FALSE,OR(L876=FALSE,M876=FALSE)),",","")&amp;IF(L876=FALSE,"「残業手当」","")&amp;IF(AND(L876=FALSE,M876=FALSE),",","")&amp;IF(M876=FALSE,"「残業時間」","")&amp;IF(OR(J876=FALSE,K876=FALSE,L876=FALSE,M876=FALSE),入力リスト!$K$36,"")&amp;IF(N876,"",入力リスト!$K$37)))</f>
        <v/>
      </c>
      <c r="H876" s="215"/>
      <c r="I876" s="1" t="b">
        <f>IF(B876="",FALSE,COUNTIF('従業員情報(給与以外)'!$A$4:$A$1000000,$B876)=0)</f>
        <v>0</v>
      </c>
      <c r="J876" s="8" t="b">
        <f t="shared" si="65"/>
        <v>1</v>
      </c>
      <c r="K876" s="8" t="b">
        <f t="shared" si="66"/>
        <v>1</v>
      </c>
      <c r="L876" s="8" t="b">
        <f t="shared" si="67"/>
        <v>1</v>
      </c>
      <c r="M876" s="8" t="b">
        <f t="shared" si="68"/>
        <v>1</v>
      </c>
      <c r="N876" s="1" t="b">
        <f t="shared" si="69"/>
        <v>1</v>
      </c>
      <c r="O876" s="8" t="str">
        <f>IF(F876="","",IF($F$2=入力リスト!$H$25,ROUNDDOWN(INT(F876)+ROUNDDOWN((F876-INT(F876))*100,0)/60,2),F876))</f>
        <v/>
      </c>
      <c r="P876" s="7"/>
      <c r="Q876" s="7"/>
    </row>
    <row r="877" spans="1:17">
      <c r="A877" s="105"/>
      <c r="B877" s="2"/>
      <c r="C877" s="3"/>
      <c r="D877" s="3"/>
      <c r="E877" s="3"/>
      <c r="F877" s="8"/>
      <c r="G877" s="215" t="str">
        <f>IF(AND($B877="",OR(B877&lt;&gt;"",C877&lt;&gt;"",D877&lt;&gt;"",E877&lt;&gt;"",F877&lt;&gt;"")),入力リスト!$K$34,IF($I877=TRUE,入力リスト!$K$35,IF(J877=FALSE,"「毎月の固定給与額」","")&amp;IF(AND(J877=FALSE,OR(K877=FALSE,L877=FALSE,M877=FALSE)),",","")&amp;IF(K877=FALSE,"「賞与額等」","")&amp;IF(AND(K877=FALSE,OR(L877=FALSE,M877=FALSE)),",","")&amp;IF(L877=FALSE,"「残業手当」","")&amp;IF(AND(L877=FALSE,M877=FALSE),",","")&amp;IF(M877=FALSE,"「残業時間」","")&amp;IF(OR(J877=FALSE,K877=FALSE,L877=FALSE,M877=FALSE),入力リスト!$K$36,"")&amp;IF(N877,"",入力リスト!$K$37)))</f>
        <v/>
      </c>
      <c r="H877" s="215"/>
      <c r="I877" s="1" t="b">
        <f>IF(B877="",FALSE,COUNTIF('従業員情報(給与以外)'!$A$4:$A$1000000,$B877)=0)</f>
        <v>0</v>
      </c>
      <c r="J877" s="8" t="b">
        <f t="shared" si="65"/>
        <v>1</v>
      </c>
      <c r="K877" s="8" t="b">
        <f t="shared" si="66"/>
        <v>1</v>
      </c>
      <c r="L877" s="8" t="b">
        <f t="shared" si="67"/>
        <v>1</v>
      </c>
      <c r="M877" s="8" t="b">
        <f t="shared" si="68"/>
        <v>1</v>
      </c>
      <c r="N877" s="1" t="b">
        <f t="shared" si="69"/>
        <v>1</v>
      </c>
      <c r="O877" s="8" t="str">
        <f>IF(F877="","",IF($F$2=入力リスト!$H$25,ROUNDDOWN(INT(F877)+ROUNDDOWN((F877-INT(F877))*100,0)/60,2),F877))</f>
        <v/>
      </c>
      <c r="P877" s="7"/>
      <c r="Q877" s="7"/>
    </row>
    <row r="878" spans="1:17">
      <c r="A878" s="105"/>
      <c r="B878" s="2"/>
      <c r="C878" s="3"/>
      <c r="D878" s="3"/>
      <c r="E878" s="3"/>
      <c r="F878" s="8"/>
      <c r="G878" s="215" t="str">
        <f>IF(AND($B878="",OR(B878&lt;&gt;"",C878&lt;&gt;"",D878&lt;&gt;"",E878&lt;&gt;"",F878&lt;&gt;"")),入力リスト!$K$34,IF($I878=TRUE,入力リスト!$K$35,IF(J878=FALSE,"「毎月の固定給与額」","")&amp;IF(AND(J878=FALSE,OR(K878=FALSE,L878=FALSE,M878=FALSE)),",","")&amp;IF(K878=FALSE,"「賞与額等」","")&amp;IF(AND(K878=FALSE,OR(L878=FALSE,M878=FALSE)),",","")&amp;IF(L878=FALSE,"「残業手当」","")&amp;IF(AND(L878=FALSE,M878=FALSE),",","")&amp;IF(M878=FALSE,"「残業時間」","")&amp;IF(OR(J878=FALSE,K878=FALSE,L878=FALSE,M878=FALSE),入力リスト!$K$36,"")&amp;IF(N878,"",入力リスト!$K$37)))</f>
        <v/>
      </c>
      <c r="H878" s="215"/>
      <c r="I878" s="1" t="b">
        <f>IF(B878="",FALSE,COUNTIF('従業員情報(給与以外)'!$A$4:$A$1000000,$B878)=0)</f>
        <v>0</v>
      </c>
      <c r="J878" s="8" t="b">
        <f t="shared" si="65"/>
        <v>1</v>
      </c>
      <c r="K878" s="8" t="b">
        <f t="shared" si="66"/>
        <v>1</v>
      </c>
      <c r="L878" s="8" t="b">
        <f t="shared" si="67"/>
        <v>1</v>
      </c>
      <c r="M878" s="8" t="b">
        <f t="shared" si="68"/>
        <v>1</v>
      </c>
      <c r="N878" s="1" t="b">
        <f t="shared" si="69"/>
        <v>1</v>
      </c>
      <c r="O878" s="8" t="str">
        <f>IF(F878="","",IF($F$2=入力リスト!$H$25,ROUNDDOWN(INT(F878)+ROUNDDOWN((F878-INT(F878))*100,0)/60,2),F878))</f>
        <v/>
      </c>
      <c r="P878" s="7"/>
      <c r="Q878" s="7"/>
    </row>
    <row r="879" spans="1:17">
      <c r="A879" s="105"/>
      <c r="B879" s="2"/>
      <c r="C879" s="3"/>
      <c r="D879" s="3"/>
      <c r="E879" s="3"/>
      <c r="F879" s="8"/>
      <c r="G879" s="215" t="str">
        <f>IF(AND($B879="",OR(B879&lt;&gt;"",C879&lt;&gt;"",D879&lt;&gt;"",E879&lt;&gt;"",F879&lt;&gt;"")),入力リスト!$K$34,IF($I879=TRUE,入力リスト!$K$35,IF(J879=FALSE,"「毎月の固定給与額」","")&amp;IF(AND(J879=FALSE,OR(K879=FALSE,L879=FALSE,M879=FALSE)),",","")&amp;IF(K879=FALSE,"「賞与額等」","")&amp;IF(AND(K879=FALSE,OR(L879=FALSE,M879=FALSE)),",","")&amp;IF(L879=FALSE,"「残業手当」","")&amp;IF(AND(L879=FALSE,M879=FALSE),",","")&amp;IF(M879=FALSE,"「残業時間」","")&amp;IF(OR(J879=FALSE,K879=FALSE,L879=FALSE,M879=FALSE),入力リスト!$K$36,"")&amp;IF(N879,"",入力リスト!$K$37)))</f>
        <v/>
      </c>
      <c r="H879" s="215"/>
      <c r="I879" s="1" t="b">
        <f>IF(B879="",FALSE,COUNTIF('従業員情報(給与以外)'!$A$4:$A$1000000,$B879)=0)</f>
        <v>0</v>
      </c>
      <c r="J879" s="8" t="b">
        <f t="shared" si="65"/>
        <v>1</v>
      </c>
      <c r="K879" s="8" t="b">
        <f t="shared" si="66"/>
        <v>1</v>
      </c>
      <c r="L879" s="8" t="b">
        <f t="shared" si="67"/>
        <v>1</v>
      </c>
      <c r="M879" s="8" t="b">
        <f t="shared" si="68"/>
        <v>1</v>
      </c>
      <c r="N879" s="1" t="b">
        <f t="shared" si="69"/>
        <v>1</v>
      </c>
      <c r="O879" s="8" t="str">
        <f>IF(F879="","",IF($F$2=入力リスト!$H$25,ROUNDDOWN(INT(F879)+ROUNDDOWN((F879-INT(F879))*100,0)/60,2),F879))</f>
        <v/>
      </c>
      <c r="P879" s="7"/>
      <c r="Q879" s="7"/>
    </row>
    <row r="880" spans="1:17">
      <c r="A880" s="105"/>
      <c r="B880" s="2"/>
      <c r="C880" s="3"/>
      <c r="D880" s="3"/>
      <c r="E880" s="3"/>
      <c r="F880" s="8"/>
      <c r="G880" s="215" t="str">
        <f>IF(AND($B880="",OR(B880&lt;&gt;"",C880&lt;&gt;"",D880&lt;&gt;"",E880&lt;&gt;"",F880&lt;&gt;"")),入力リスト!$K$34,IF($I880=TRUE,入力リスト!$K$35,IF(J880=FALSE,"「毎月の固定給与額」","")&amp;IF(AND(J880=FALSE,OR(K880=FALSE,L880=FALSE,M880=FALSE)),",","")&amp;IF(K880=FALSE,"「賞与額等」","")&amp;IF(AND(K880=FALSE,OR(L880=FALSE,M880=FALSE)),",","")&amp;IF(L880=FALSE,"「残業手当」","")&amp;IF(AND(L880=FALSE,M880=FALSE),",","")&amp;IF(M880=FALSE,"「残業時間」","")&amp;IF(OR(J880=FALSE,K880=FALSE,L880=FALSE,M880=FALSE),入力リスト!$K$36,"")&amp;IF(N880,"",入力リスト!$K$37)))</f>
        <v/>
      </c>
      <c r="H880" s="215"/>
      <c r="I880" s="1" t="b">
        <f>IF(B880="",FALSE,COUNTIF('従業員情報(給与以外)'!$A$4:$A$1000000,$B880)=0)</f>
        <v>0</v>
      </c>
      <c r="J880" s="8" t="b">
        <f t="shared" si="65"/>
        <v>1</v>
      </c>
      <c r="K880" s="8" t="b">
        <f t="shared" si="66"/>
        <v>1</v>
      </c>
      <c r="L880" s="8" t="b">
        <f t="shared" si="67"/>
        <v>1</v>
      </c>
      <c r="M880" s="8" t="b">
        <f t="shared" si="68"/>
        <v>1</v>
      </c>
      <c r="N880" s="1" t="b">
        <f t="shared" si="69"/>
        <v>1</v>
      </c>
      <c r="O880" s="8" t="str">
        <f>IF(F880="","",IF($F$2=入力リスト!$H$25,ROUNDDOWN(INT(F880)+ROUNDDOWN((F880-INT(F880))*100,0)/60,2),F880))</f>
        <v/>
      </c>
      <c r="P880" s="7"/>
      <c r="Q880" s="7"/>
    </row>
    <row r="881" spans="1:17">
      <c r="A881" s="105"/>
      <c r="B881" s="2"/>
      <c r="C881" s="3"/>
      <c r="D881" s="3"/>
      <c r="E881" s="3"/>
      <c r="F881" s="8"/>
      <c r="G881" s="215" t="str">
        <f>IF(AND($B881="",OR(B881&lt;&gt;"",C881&lt;&gt;"",D881&lt;&gt;"",E881&lt;&gt;"",F881&lt;&gt;"")),入力リスト!$K$34,IF($I881=TRUE,入力リスト!$K$35,IF(J881=FALSE,"「毎月の固定給与額」","")&amp;IF(AND(J881=FALSE,OR(K881=FALSE,L881=FALSE,M881=FALSE)),",","")&amp;IF(K881=FALSE,"「賞与額等」","")&amp;IF(AND(K881=FALSE,OR(L881=FALSE,M881=FALSE)),",","")&amp;IF(L881=FALSE,"「残業手当」","")&amp;IF(AND(L881=FALSE,M881=FALSE),",","")&amp;IF(M881=FALSE,"「残業時間」","")&amp;IF(OR(J881=FALSE,K881=FALSE,L881=FALSE,M881=FALSE),入力リスト!$K$36,"")&amp;IF(N881,"",入力リスト!$K$37)))</f>
        <v/>
      </c>
      <c r="H881" s="215"/>
      <c r="I881" s="1" t="b">
        <f>IF(B881="",FALSE,COUNTIF('従業員情報(給与以外)'!$A$4:$A$1000000,$B881)=0)</f>
        <v>0</v>
      </c>
      <c r="J881" s="8" t="b">
        <f t="shared" si="65"/>
        <v>1</v>
      </c>
      <c r="K881" s="8" t="b">
        <f t="shared" si="66"/>
        <v>1</v>
      </c>
      <c r="L881" s="8" t="b">
        <f t="shared" si="67"/>
        <v>1</v>
      </c>
      <c r="M881" s="8" t="b">
        <f t="shared" si="68"/>
        <v>1</v>
      </c>
      <c r="N881" s="1" t="b">
        <f t="shared" si="69"/>
        <v>1</v>
      </c>
      <c r="O881" s="8" t="str">
        <f>IF(F881="","",IF($F$2=入力リスト!$H$25,ROUNDDOWN(INT(F881)+ROUNDDOWN((F881-INT(F881))*100,0)/60,2),F881))</f>
        <v/>
      </c>
      <c r="P881" s="7"/>
      <c r="Q881" s="7"/>
    </row>
    <row r="882" spans="1:17">
      <c r="A882" s="105"/>
      <c r="B882" s="2"/>
      <c r="C882" s="3"/>
      <c r="D882" s="3"/>
      <c r="E882" s="3"/>
      <c r="F882" s="8"/>
      <c r="G882" s="215" t="str">
        <f>IF(AND($B882="",OR(B882&lt;&gt;"",C882&lt;&gt;"",D882&lt;&gt;"",E882&lt;&gt;"",F882&lt;&gt;"")),入力リスト!$K$34,IF($I882=TRUE,入力リスト!$K$35,IF(J882=FALSE,"「毎月の固定給与額」","")&amp;IF(AND(J882=FALSE,OR(K882=FALSE,L882=FALSE,M882=FALSE)),",","")&amp;IF(K882=FALSE,"「賞与額等」","")&amp;IF(AND(K882=FALSE,OR(L882=FALSE,M882=FALSE)),",","")&amp;IF(L882=FALSE,"「残業手当」","")&amp;IF(AND(L882=FALSE,M882=FALSE),",","")&amp;IF(M882=FALSE,"「残業時間」","")&amp;IF(OR(J882=FALSE,K882=FALSE,L882=FALSE,M882=FALSE),入力リスト!$K$36,"")&amp;IF(N882,"",入力リスト!$K$37)))</f>
        <v/>
      </c>
      <c r="H882" s="215"/>
      <c r="I882" s="1" t="b">
        <f>IF(B882="",FALSE,COUNTIF('従業員情報(給与以外)'!$A$4:$A$1000000,$B882)=0)</f>
        <v>0</v>
      </c>
      <c r="J882" s="8" t="b">
        <f t="shared" si="65"/>
        <v>1</v>
      </c>
      <c r="K882" s="8" t="b">
        <f t="shared" si="66"/>
        <v>1</v>
      </c>
      <c r="L882" s="8" t="b">
        <f t="shared" si="67"/>
        <v>1</v>
      </c>
      <c r="M882" s="8" t="b">
        <f t="shared" si="68"/>
        <v>1</v>
      </c>
      <c r="N882" s="1" t="b">
        <f t="shared" si="69"/>
        <v>1</v>
      </c>
      <c r="O882" s="8" t="str">
        <f>IF(F882="","",IF($F$2=入力リスト!$H$25,ROUNDDOWN(INT(F882)+ROUNDDOWN((F882-INT(F882))*100,0)/60,2),F882))</f>
        <v/>
      </c>
      <c r="P882" s="7"/>
      <c r="Q882" s="7"/>
    </row>
    <row r="883" spans="1:17">
      <c r="A883" s="105"/>
      <c r="B883" s="2"/>
      <c r="C883" s="3"/>
      <c r="D883" s="3"/>
      <c r="E883" s="3"/>
      <c r="F883" s="8"/>
      <c r="G883" s="215" t="str">
        <f>IF(AND($B883="",OR(B883&lt;&gt;"",C883&lt;&gt;"",D883&lt;&gt;"",E883&lt;&gt;"",F883&lt;&gt;"")),入力リスト!$K$34,IF($I883=TRUE,入力リスト!$K$35,IF(J883=FALSE,"「毎月の固定給与額」","")&amp;IF(AND(J883=FALSE,OR(K883=FALSE,L883=FALSE,M883=FALSE)),",","")&amp;IF(K883=FALSE,"「賞与額等」","")&amp;IF(AND(K883=FALSE,OR(L883=FALSE,M883=FALSE)),",","")&amp;IF(L883=FALSE,"「残業手当」","")&amp;IF(AND(L883=FALSE,M883=FALSE),",","")&amp;IF(M883=FALSE,"「残業時間」","")&amp;IF(OR(J883=FALSE,K883=FALSE,L883=FALSE,M883=FALSE),入力リスト!$K$36,"")&amp;IF(N883,"",入力リスト!$K$37)))</f>
        <v/>
      </c>
      <c r="H883" s="215"/>
      <c r="I883" s="1" t="b">
        <f>IF(B883="",FALSE,COUNTIF('従業員情報(給与以外)'!$A$4:$A$1000000,$B883)=0)</f>
        <v>0</v>
      </c>
      <c r="J883" s="8" t="b">
        <f t="shared" si="65"/>
        <v>1</v>
      </c>
      <c r="K883" s="8" t="b">
        <f t="shared" si="66"/>
        <v>1</v>
      </c>
      <c r="L883" s="8" t="b">
        <f t="shared" si="67"/>
        <v>1</v>
      </c>
      <c r="M883" s="8" t="b">
        <f t="shared" si="68"/>
        <v>1</v>
      </c>
      <c r="N883" s="1" t="b">
        <f t="shared" si="69"/>
        <v>1</v>
      </c>
      <c r="O883" s="8" t="str">
        <f>IF(F883="","",IF($F$2=入力リスト!$H$25,ROUNDDOWN(INT(F883)+ROUNDDOWN((F883-INT(F883))*100,0)/60,2),F883))</f>
        <v/>
      </c>
      <c r="P883" s="7"/>
      <c r="Q883" s="7"/>
    </row>
    <row r="884" spans="1:17">
      <c r="A884" s="105"/>
      <c r="B884" s="2"/>
      <c r="C884" s="3"/>
      <c r="D884" s="3"/>
      <c r="E884" s="3"/>
      <c r="F884" s="8"/>
      <c r="G884" s="215" t="str">
        <f>IF(AND($B884="",OR(B884&lt;&gt;"",C884&lt;&gt;"",D884&lt;&gt;"",E884&lt;&gt;"",F884&lt;&gt;"")),入力リスト!$K$34,IF($I884=TRUE,入力リスト!$K$35,IF(J884=FALSE,"「毎月の固定給与額」","")&amp;IF(AND(J884=FALSE,OR(K884=FALSE,L884=FALSE,M884=FALSE)),",","")&amp;IF(K884=FALSE,"「賞与額等」","")&amp;IF(AND(K884=FALSE,OR(L884=FALSE,M884=FALSE)),",","")&amp;IF(L884=FALSE,"「残業手当」","")&amp;IF(AND(L884=FALSE,M884=FALSE),",","")&amp;IF(M884=FALSE,"「残業時間」","")&amp;IF(OR(J884=FALSE,K884=FALSE,L884=FALSE,M884=FALSE),入力リスト!$K$36,"")&amp;IF(N884,"",入力リスト!$K$37)))</f>
        <v/>
      </c>
      <c r="H884" s="215"/>
      <c r="I884" s="1" t="b">
        <f>IF(B884="",FALSE,COUNTIF('従業員情報(給与以外)'!$A$4:$A$1000000,$B884)=0)</f>
        <v>0</v>
      </c>
      <c r="J884" s="8" t="b">
        <f t="shared" si="65"/>
        <v>1</v>
      </c>
      <c r="K884" s="8" t="b">
        <f t="shared" si="66"/>
        <v>1</v>
      </c>
      <c r="L884" s="8" t="b">
        <f t="shared" si="67"/>
        <v>1</v>
      </c>
      <c r="M884" s="8" t="b">
        <f t="shared" si="68"/>
        <v>1</v>
      </c>
      <c r="N884" s="1" t="b">
        <f t="shared" si="69"/>
        <v>1</v>
      </c>
      <c r="O884" s="8" t="str">
        <f>IF(F884="","",IF($F$2=入力リスト!$H$25,ROUNDDOWN(INT(F884)+ROUNDDOWN((F884-INT(F884))*100,0)/60,2),F884))</f>
        <v/>
      </c>
      <c r="P884" s="7"/>
      <c r="Q884" s="7"/>
    </row>
    <row r="885" spans="1:17">
      <c r="A885" s="105"/>
      <c r="B885" s="2"/>
      <c r="C885" s="3"/>
      <c r="D885" s="3"/>
      <c r="E885" s="3"/>
      <c r="F885" s="8"/>
      <c r="G885" s="215" t="str">
        <f>IF(AND($B885="",OR(B885&lt;&gt;"",C885&lt;&gt;"",D885&lt;&gt;"",E885&lt;&gt;"",F885&lt;&gt;"")),入力リスト!$K$34,IF($I885=TRUE,入力リスト!$K$35,IF(J885=FALSE,"「毎月の固定給与額」","")&amp;IF(AND(J885=FALSE,OR(K885=FALSE,L885=FALSE,M885=FALSE)),",","")&amp;IF(K885=FALSE,"「賞与額等」","")&amp;IF(AND(K885=FALSE,OR(L885=FALSE,M885=FALSE)),",","")&amp;IF(L885=FALSE,"「残業手当」","")&amp;IF(AND(L885=FALSE,M885=FALSE),",","")&amp;IF(M885=FALSE,"「残業時間」","")&amp;IF(OR(J885=FALSE,K885=FALSE,L885=FALSE,M885=FALSE),入力リスト!$K$36,"")&amp;IF(N885,"",入力リスト!$K$37)))</f>
        <v/>
      </c>
      <c r="H885" s="215"/>
      <c r="I885" s="1" t="b">
        <f>IF(B885="",FALSE,COUNTIF('従業員情報(給与以外)'!$A$4:$A$1000000,$B885)=0)</f>
        <v>0</v>
      </c>
      <c r="J885" s="8" t="b">
        <f t="shared" si="65"/>
        <v>1</v>
      </c>
      <c r="K885" s="8" t="b">
        <f t="shared" si="66"/>
        <v>1</v>
      </c>
      <c r="L885" s="8" t="b">
        <f t="shared" si="67"/>
        <v>1</v>
      </c>
      <c r="M885" s="8" t="b">
        <f t="shared" si="68"/>
        <v>1</v>
      </c>
      <c r="N885" s="1" t="b">
        <f t="shared" si="69"/>
        <v>1</v>
      </c>
      <c r="O885" s="8" t="str">
        <f>IF(F885="","",IF($F$2=入力リスト!$H$25,ROUNDDOWN(INT(F885)+ROUNDDOWN((F885-INT(F885))*100,0)/60,2),F885))</f>
        <v/>
      </c>
      <c r="P885" s="7"/>
      <c r="Q885" s="7"/>
    </row>
    <row r="886" spans="1:17">
      <c r="A886" s="105"/>
      <c r="B886" s="2"/>
      <c r="C886" s="3"/>
      <c r="D886" s="3"/>
      <c r="E886" s="3"/>
      <c r="F886" s="8"/>
      <c r="G886" s="215" t="str">
        <f>IF(AND($B886="",OR(B886&lt;&gt;"",C886&lt;&gt;"",D886&lt;&gt;"",E886&lt;&gt;"",F886&lt;&gt;"")),入力リスト!$K$34,IF($I886=TRUE,入力リスト!$K$35,IF(J886=FALSE,"「毎月の固定給与額」","")&amp;IF(AND(J886=FALSE,OR(K886=FALSE,L886=FALSE,M886=FALSE)),",","")&amp;IF(K886=FALSE,"「賞与額等」","")&amp;IF(AND(K886=FALSE,OR(L886=FALSE,M886=FALSE)),",","")&amp;IF(L886=FALSE,"「残業手当」","")&amp;IF(AND(L886=FALSE,M886=FALSE),",","")&amp;IF(M886=FALSE,"「残業時間」","")&amp;IF(OR(J886=FALSE,K886=FALSE,L886=FALSE,M886=FALSE),入力リスト!$K$36,"")&amp;IF(N886,"",入力リスト!$K$37)))</f>
        <v/>
      </c>
      <c r="H886" s="215"/>
      <c r="I886" s="1" t="b">
        <f>IF(B886="",FALSE,COUNTIF('従業員情報(給与以外)'!$A$4:$A$1000000,$B886)=0)</f>
        <v>0</v>
      </c>
      <c r="J886" s="8" t="b">
        <f t="shared" si="65"/>
        <v>1</v>
      </c>
      <c r="K886" s="8" t="b">
        <f t="shared" si="66"/>
        <v>1</v>
      </c>
      <c r="L886" s="8" t="b">
        <f t="shared" si="67"/>
        <v>1</v>
      </c>
      <c r="M886" s="8" t="b">
        <f t="shared" si="68"/>
        <v>1</v>
      </c>
      <c r="N886" s="1" t="b">
        <f t="shared" si="69"/>
        <v>1</v>
      </c>
      <c r="O886" s="8" t="str">
        <f>IF(F886="","",IF($F$2=入力リスト!$H$25,ROUNDDOWN(INT(F886)+ROUNDDOWN((F886-INT(F886))*100,0)/60,2),F886))</f>
        <v/>
      </c>
      <c r="P886" s="7"/>
      <c r="Q886" s="7"/>
    </row>
    <row r="887" spans="1:17">
      <c r="A887" s="105"/>
      <c r="B887" s="2"/>
      <c r="C887" s="3"/>
      <c r="D887" s="3"/>
      <c r="E887" s="3"/>
      <c r="F887" s="8"/>
      <c r="G887" s="215" t="str">
        <f>IF(AND($B887="",OR(B887&lt;&gt;"",C887&lt;&gt;"",D887&lt;&gt;"",E887&lt;&gt;"",F887&lt;&gt;"")),入力リスト!$K$34,IF($I887=TRUE,入力リスト!$K$35,IF(J887=FALSE,"「毎月の固定給与額」","")&amp;IF(AND(J887=FALSE,OR(K887=FALSE,L887=FALSE,M887=FALSE)),",","")&amp;IF(K887=FALSE,"「賞与額等」","")&amp;IF(AND(K887=FALSE,OR(L887=FALSE,M887=FALSE)),",","")&amp;IF(L887=FALSE,"「残業手当」","")&amp;IF(AND(L887=FALSE,M887=FALSE),",","")&amp;IF(M887=FALSE,"「残業時間」","")&amp;IF(OR(J887=FALSE,K887=FALSE,L887=FALSE,M887=FALSE),入力リスト!$K$36,"")&amp;IF(N887,"",入力リスト!$K$37)))</f>
        <v/>
      </c>
      <c r="H887" s="215"/>
      <c r="I887" s="1" t="b">
        <f>IF(B887="",FALSE,COUNTIF('従業員情報(給与以外)'!$A$4:$A$1000000,$B887)=0)</f>
        <v>0</v>
      </c>
      <c r="J887" s="8" t="b">
        <f t="shared" si="65"/>
        <v>1</v>
      </c>
      <c r="K887" s="8" t="b">
        <f t="shared" si="66"/>
        <v>1</v>
      </c>
      <c r="L887" s="8" t="b">
        <f t="shared" si="67"/>
        <v>1</v>
      </c>
      <c r="M887" s="8" t="b">
        <f t="shared" si="68"/>
        <v>1</v>
      </c>
      <c r="N887" s="1" t="b">
        <f t="shared" si="69"/>
        <v>1</v>
      </c>
      <c r="O887" s="8" t="str">
        <f>IF(F887="","",IF($F$2=入力リスト!$H$25,ROUNDDOWN(INT(F887)+ROUNDDOWN((F887-INT(F887))*100,0)/60,2),F887))</f>
        <v/>
      </c>
      <c r="P887" s="7"/>
      <c r="Q887" s="7"/>
    </row>
    <row r="888" spans="1:17">
      <c r="A888" s="105"/>
      <c r="B888" s="2"/>
      <c r="C888" s="3"/>
      <c r="D888" s="3"/>
      <c r="E888" s="3"/>
      <c r="F888" s="8"/>
      <c r="G888" s="215" t="str">
        <f>IF(AND($B888="",OR(B888&lt;&gt;"",C888&lt;&gt;"",D888&lt;&gt;"",E888&lt;&gt;"",F888&lt;&gt;"")),入力リスト!$K$34,IF($I888=TRUE,入力リスト!$K$35,IF(J888=FALSE,"「毎月の固定給与額」","")&amp;IF(AND(J888=FALSE,OR(K888=FALSE,L888=FALSE,M888=FALSE)),",","")&amp;IF(K888=FALSE,"「賞与額等」","")&amp;IF(AND(K888=FALSE,OR(L888=FALSE,M888=FALSE)),",","")&amp;IF(L888=FALSE,"「残業手当」","")&amp;IF(AND(L888=FALSE,M888=FALSE),",","")&amp;IF(M888=FALSE,"「残業時間」","")&amp;IF(OR(J888=FALSE,K888=FALSE,L888=FALSE,M888=FALSE),入力リスト!$K$36,"")&amp;IF(N888,"",入力リスト!$K$37)))</f>
        <v/>
      </c>
      <c r="H888" s="215"/>
      <c r="I888" s="1" t="b">
        <f>IF(B888="",FALSE,COUNTIF('従業員情報(給与以外)'!$A$4:$A$1000000,$B888)=0)</f>
        <v>0</v>
      </c>
      <c r="J888" s="8" t="b">
        <f t="shared" si="65"/>
        <v>1</v>
      </c>
      <c r="K888" s="8" t="b">
        <f t="shared" si="66"/>
        <v>1</v>
      </c>
      <c r="L888" s="8" t="b">
        <f t="shared" si="67"/>
        <v>1</v>
      </c>
      <c r="M888" s="8" t="b">
        <f t="shared" si="68"/>
        <v>1</v>
      </c>
      <c r="N888" s="1" t="b">
        <f t="shared" si="69"/>
        <v>1</v>
      </c>
      <c r="O888" s="8" t="str">
        <f>IF(F888="","",IF($F$2=入力リスト!$H$25,ROUNDDOWN(INT(F888)+ROUNDDOWN((F888-INT(F888))*100,0)/60,2),F888))</f>
        <v/>
      </c>
      <c r="P888" s="7"/>
      <c r="Q888" s="7"/>
    </row>
    <row r="889" spans="1:17">
      <c r="A889" s="105"/>
      <c r="B889" s="2"/>
      <c r="C889" s="3"/>
      <c r="D889" s="3"/>
      <c r="E889" s="3"/>
      <c r="F889" s="8"/>
      <c r="G889" s="215" t="str">
        <f>IF(AND($B889="",OR(B889&lt;&gt;"",C889&lt;&gt;"",D889&lt;&gt;"",E889&lt;&gt;"",F889&lt;&gt;"")),入力リスト!$K$34,IF($I889=TRUE,入力リスト!$K$35,IF(J889=FALSE,"「毎月の固定給与額」","")&amp;IF(AND(J889=FALSE,OR(K889=FALSE,L889=FALSE,M889=FALSE)),",","")&amp;IF(K889=FALSE,"「賞与額等」","")&amp;IF(AND(K889=FALSE,OR(L889=FALSE,M889=FALSE)),",","")&amp;IF(L889=FALSE,"「残業手当」","")&amp;IF(AND(L889=FALSE,M889=FALSE),",","")&amp;IF(M889=FALSE,"「残業時間」","")&amp;IF(OR(J889=FALSE,K889=FALSE,L889=FALSE,M889=FALSE),入力リスト!$K$36,"")&amp;IF(N889,"",入力リスト!$K$37)))</f>
        <v/>
      </c>
      <c r="H889" s="215"/>
      <c r="I889" s="1" t="b">
        <f>IF(B889="",FALSE,COUNTIF('従業員情報(給与以外)'!$A$4:$A$1000000,$B889)=0)</f>
        <v>0</v>
      </c>
      <c r="J889" s="8" t="b">
        <f t="shared" si="65"/>
        <v>1</v>
      </c>
      <c r="K889" s="8" t="b">
        <f t="shared" si="66"/>
        <v>1</v>
      </c>
      <c r="L889" s="8" t="b">
        <f t="shared" si="67"/>
        <v>1</v>
      </c>
      <c r="M889" s="8" t="b">
        <f t="shared" si="68"/>
        <v>1</v>
      </c>
      <c r="N889" s="1" t="b">
        <f t="shared" si="69"/>
        <v>1</v>
      </c>
      <c r="O889" s="8" t="str">
        <f>IF(F889="","",IF($F$2=入力リスト!$H$25,ROUNDDOWN(INT(F889)+ROUNDDOWN((F889-INT(F889))*100,0)/60,2),F889))</f>
        <v/>
      </c>
      <c r="P889" s="7"/>
      <c r="Q889" s="7"/>
    </row>
    <row r="890" spans="1:17">
      <c r="A890" s="105"/>
      <c r="B890" s="2"/>
      <c r="C890" s="3"/>
      <c r="D890" s="3"/>
      <c r="E890" s="3"/>
      <c r="F890" s="8"/>
      <c r="G890" s="215" t="str">
        <f>IF(AND($B890="",OR(B890&lt;&gt;"",C890&lt;&gt;"",D890&lt;&gt;"",E890&lt;&gt;"",F890&lt;&gt;"")),入力リスト!$K$34,IF($I890=TRUE,入力リスト!$K$35,IF(J890=FALSE,"「毎月の固定給与額」","")&amp;IF(AND(J890=FALSE,OR(K890=FALSE,L890=FALSE,M890=FALSE)),",","")&amp;IF(K890=FALSE,"「賞与額等」","")&amp;IF(AND(K890=FALSE,OR(L890=FALSE,M890=FALSE)),",","")&amp;IF(L890=FALSE,"「残業手当」","")&amp;IF(AND(L890=FALSE,M890=FALSE),",","")&amp;IF(M890=FALSE,"「残業時間」","")&amp;IF(OR(J890=FALSE,K890=FALSE,L890=FALSE,M890=FALSE),入力リスト!$K$36,"")&amp;IF(N890,"",入力リスト!$K$37)))</f>
        <v/>
      </c>
      <c r="H890" s="215"/>
      <c r="I890" s="1" t="b">
        <f>IF(B890="",FALSE,COUNTIF('従業員情報(給与以外)'!$A$4:$A$1000000,$B890)=0)</f>
        <v>0</v>
      </c>
      <c r="J890" s="8" t="b">
        <f t="shared" si="65"/>
        <v>1</v>
      </c>
      <c r="K890" s="8" t="b">
        <f t="shared" si="66"/>
        <v>1</v>
      </c>
      <c r="L890" s="8" t="b">
        <f t="shared" si="67"/>
        <v>1</v>
      </c>
      <c r="M890" s="8" t="b">
        <f t="shared" si="68"/>
        <v>1</v>
      </c>
      <c r="N890" s="1" t="b">
        <f t="shared" si="69"/>
        <v>1</v>
      </c>
      <c r="O890" s="8" t="str">
        <f>IF(F890="","",IF($F$2=入力リスト!$H$25,ROUNDDOWN(INT(F890)+ROUNDDOWN((F890-INT(F890))*100,0)/60,2),F890))</f>
        <v/>
      </c>
      <c r="P890" s="7"/>
      <c r="Q890" s="7"/>
    </row>
    <row r="891" spans="1:17">
      <c r="A891" s="105"/>
      <c r="B891" s="2"/>
      <c r="C891" s="3"/>
      <c r="D891" s="3"/>
      <c r="E891" s="3"/>
      <c r="F891" s="8"/>
      <c r="G891" s="215" t="str">
        <f>IF(AND($B891="",OR(B891&lt;&gt;"",C891&lt;&gt;"",D891&lt;&gt;"",E891&lt;&gt;"",F891&lt;&gt;"")),入力リスト!$K$34,IF($I891=TRUE,入力リスト!$K$35,IF(J891=FALSE,"「毎月の固定給与額」","")&amp;IF(AND(J891=FALSE,OR(K891=FALSE,L891=FALSE,M891=FALSE)),",","")&amp;IF(K891=FALSE,"「賞与額等」","")&amp;IF(AND(K891=FALSE,OR(L891=FALSE,M891=FALSE)),",","")&amp;IF(L891=FALSE,"「残業手当」","")&amp;IF(AND(L891=FALSE,M891=FALSE),",","")&amp;IF(M891=FALSE,"「残業時間」","")&amp;IF(OR(J891=FALSE,K891=FALSE,L891=FALSE,M891=FALSE),入力リスト!$K$36,"")&amp;IF(N891,"",入力リスト!$K$37)))</f>
        <v/>
      </c>
      <c r="H891" s="215"/>
      <c r="I891" s="1" t="b">
        <f>IF(B891="",FALSE,COUNTIF('従業員情報(給与以外)'!$A$4:$A$1000000,$B891)=0)</f>
        <v>0</v>
      </c>
      <c r="J891" s="8" t="b">
        <f t="shared" si="65"/>
        <v>1</v>
      </c>
      <c r="K891" s="8" t="b">
        <f t="shared" si="66"/>
        <v>1</v>
      </c>
      <c r="L891" s="8" t="b">
        <f t="shared" si="67"/>
        <v>1</v>
      </c>
      <c r="M891" s="8" t="b">
        <f t="shared" si="68"/>
        <v>1</v>
      </c>
      <c r="N891" s="1" t="b">
        <f t="shared" si="69"/>
        <v>1</v>
      </c>
      <c r="O891" s="8" t="str">
        <f>IF(F891="","",IF($F$2=入力リスト!$H$25,ROUNDDOWN(INT(F891)+ROUNDDOWN((F891-INT(F891))*100,0)/60,2),F891))</f>
        <v/>
      </c>
      <c r="P891" s="7"/>
      <c r="Q891" s="7"/>
    </row>
    <row r="892" spans="1:17">
      <c r="A892" s="105"/>
      <c r="B892" s="2"/>
      <c r="C892" s="3"/>
      <c r="D892" s="3"/>
      <c r="E892" s="3"/>
      <c r="F892" s="8"/>
      <c r="G892" s="215" t="str">
        <f>IF(AND($B892="",OR(B892&lt;&gt;"",C892&lt;&gt;"",D892&lt;&gt;"",E892&lt;&gt;"",F892&lt;&gt;"")),入力リスト!$K$34,IF($I892=TRUE,入力リスト!$K$35,IF(J892=FALSE,"「毎月の固定給与額」","")&amp;IF(AND(J892=FALSE,OR(K892=FALSE,L892=FALSE,M892=FALSE)),",","")&amp;IF(K892=FALSE,"「賞与額等」","")&amp;IF(AND(K892=FALSE,OR(L892=FALSE,M892=FALSE)),",","")&amp;IF(L892=FALSE,"「残業手当」","")&amp;IF(AND(L892=FALSE,M892=FALSE),",","")&amp;IF(M892=FALSE,"「残業時間」","")&amp;IF(OR(J892=FALSE,K892=FALSE,L892=FALSE,M892=FALSE),入力リスト!$K$36,"")&amp;IF(N892,"",入力リスト!$K$37)))</f>
        <v/>
      </c>
      <c r="H892" s="215"/>
      <c r="I892" s="1" t="b">
        <f>IF(B892="",FALSE,COUNTIF('従業員情報(給与以外)'!$A$4:$A$1000000,$B892)=0)</f>
        <v>0</v>
      </c>
      <c r="J892" s="8" t="b">
        <f t="shared" si="65"/>
        <v>1</v>
      </c>
      <c r="K892" s="8" t="b">
        <f t="shared" si="66"/>
        <v>1</v>
      </c>
      <c r="L892" s="8" t="b">
        <f t="shared" si="67"/>
        <v>1</v>
      </c>
      <c r="M892" s="8" t="b">
        <f t="shared" si="68"/>
        <v>1</v>
      </c>
      <c r="N892" s="1" t="b">
        <f t="shared" si="69"/>
        <v>1</v>
      </c>
      <c r="O892" s="8" t="str">
        <f>IF(F892="","",IF($F$2=入力リスト!$H$25,ROUNDDOWN(INT(F892)+ROUNDDOWN((F892-INT(F892))*100,0)/60,2),F892))</f>
        <v/>
      </c>
      <c r="P892" s="7"/>
      <c r="Q892" s="7"/>
    </row>
    <row r="893" spans="1:17">
      <c r="A893" s="105"/>
      <c r="B893" s="2"/>
      <c r="C893" s="3"/>
      <c r="D893" s="3"/>
      <c r="E893" s="3"/>
      <c r="F893" s="8"/>
      <c r="G893" s="215" t="str">
        <f>IF(AND($B893="",OR(B893&lt;&gt;"",C893&lt;&gt;"",D893&lt;&gt;"",E893&lt;&gt;"",F893&lt;&gt;"")),入力リスト!$K$34,IF($I893=TRUE,入力リスト!$K$35,IF(J893=FALSE,"「毎月の固定給与額」","")&amp;IF(AND(J893=FALSE,OR(K893=FALSE,L893=FALSE,M893=FALSE)),",","")&amp;IF(K893=FALSE,"「賞与額等」","")&amp;IF(AND(K893=FALSE,OR(L893=FALSE,M893=FALSE)),",","")&amp;IF(L893=FALSE,"「残業手当」","")&amp;IF(AND(L893=FALSE,M893=FALSE),",","")&amp;IF(M893=FALSE,"「残業時間」","")&amp;IF(OR(J893=FALSE,K893=FALSE,L893=FALSE,M893=FALSE),入力リスト!$K$36,"")&amp;IF(N893,"",入力リスト!$K$37)))</f>
        <v/>
      </c>
      <c r="H893" s="215"/>
      <c r="I893" s="1" t="b">
        <f>IF(B893="",FALSE,COUNTIF('従業員情報(給与以外)'!$A$4:$A$1000000,$B893)=0)</f>
        <v>0</v>
      </c>
      <c r="J893" s="8" t="b">
        <f t="shared" si="65"/>
        <v>1</v>
      </c>
      <c r="K893" s="8" t="b">
        <f t="shared" si="66"/>
        <v>1</v>
      </c>
      <c r="L893" s="8" t="b">
        <f t="shared" si="67"/>
        <v>1</v>
      </c>
      <c r="M893" s="8" t="b">
        <f t="shared" si="68"/>
        <v>1</v>
      </c>
      <c r="N893" s="1" t="b">
        <f t="shared" si="69"/>
        <v>1</v>
      </c>
      <c r="O893" s="8" t="str">
        <f>IF(F893="","",IF($F$2=入力リスト!$H$25,ROUNDDOWN(INT(F893)+ROUNDDOWN((F893-INT(F893))*100,0)/60,2),F893))</f>
        <v/>
      </c>
      <c r="P893" s="7"/>
      <c r="Q893" s="7"/>
    </row>
    <row r="894" spans="1:17">
      <c r="A894" s="105"/>
      <c r="B894" s="2"/>
      <c r="C894" s="3"/>
      <c r="D894" s="3"/>
      <c r="E894" s="3"/>
      <c r="F894" s="8"/>
      <c r="G894" s="215" t="str">
        <f>IF(AND($B894="",OR(B894&lt;&gt;"",C894&lt;&gt;"",D894&lt;&gt;"",E894&lt;&gt;"",F894&lt;&gt;"")),入力リスト!$K$34,IF($I894=TRUE,入力リスト!$K$35,IF(J894=FALSE,"「毎月の固定給与額」","")&amp;IF(AND(J894=FALSE,OR(K894=FALSE,L894=FALSE,M894=FALSE)),",","")&amp;IF(K894=FALSE,"「賞与額等」","")&amp;IF(AND(K894=FALSE,OR(L894=FALSE,M894=FALSE)),",","")&amp;IF(L894=FALSE,"「残業手当」","")&amp;IF(AND(L894=FALSE,M894=FALSE),",","")&amp;IF(M894=FALSE,"「残業時間」","")&amp;IF(OR(J894=FALSE,K894=FALSE,L894=FALSE,M894=FALSE),入力リスト!$K$36,"")&amp;IF(N894,"",入力リスト!$K$37)))</f>
        <v/>
      </c>
      <c r="H894" s="215"/>
      <c r="I894" s="1" t="b">
        <f>IF(B894="",FALSE,COUNTIF('従業員情報(給与以外)'!$A$4:$A$1000000,$B894)=0)</f>
        <v>0</v>
      </c>
      <c r="J894" s="8" t="b">
        <f t="shared" si="65"/>
        <v>1</v>
      </c>
      <c r="K894" s="8" t="b">
        <f t="shared" si="66"/>
        <v>1</v>
      </c>
      <c r="L894" s="8" t="b">
        <f t="shared" si="67"/>
        <v>1</v>
      </c>
      <c r="M894" s="8" t="b">
        <f t="shared" si="68"/>
        <v>1</v>
      </c>
      <c r="N894" s="1" t="b">
        <f t="shared" si="69"/>
        <v>1</v>
      </c>
      <c r="O894" s="8" t="str">
        <f>IF(F894="","",IF($F$2=入力リスト!$H$25,ROUNDDOWN(INT(F894)+ROUNDDOWN((F894-INT(F894))*100,0)/60,2),F894))</f>
        <v/>
      </c>
      <c r="P894" s="7"/>
      <c r="Q894" s="7"/>
    </row>
    <row r="895" spans="1:17">
      <c r="A895" s="105"/>
      <c r="B895" s="2"/>
      <c r="C895" s="3"/>
      <c r="D895" s="3"/>
      <c r="E895" s="3"/>
      <c r="F895" s="8"/>
      <c r="G895" s="215" t="str">
        <f>IF(AND($B895="",OR(B895&lt;&gt;"",C895&lt;&gt;"",D895&lt;&gt;"",E895&lt;&gt;"",F895&lt;&gt;"")),入力リスト!$K$34,IF($I895=TRUE,入力リスト!$K$35,IF(J895=FALSE,"「毎月の固定給与額」","")&amp;IF(AND(J895=FALSE,OR(K895=FALSE,L895=FALSE,M895=FALSE)),",","")&amp;IF(K895=FALSE,"「賞与額等」","")&amp;IF(AND(K895=FALSE,OR(L895=FALSE,M895=FALSE)),",","")&amp;IF(L895=FALSE,"「残業手当」","")&amp;IF(AND(L895=FALSE,M895=FALSE),",","")&amp;IF(M895=FALSE,"「残業時間」","")&amp;IF(OR(J895=FALSE,K895=FALSE,L895=FALSE,M895=FALSE),入力リスト!$K$36,"")&amp;IF(N895,"",入力リスト!$K$37)))</f>
        <v/>
      </c>
      <c r="H895" s="215"/>
      <c r="I895" s="1" t="b">
        <f>IF(B895="",FALSE,COUNTIF('従業員情報(給与以外)'!$A$4:$A$1000000,$B895)=0)</f>
        <v>0</v>
      </c>
      <c r="J895" s="8" t="b">
        <f t="shared" si="65"/>
        <v>1</v>
      </c>
      <c r="K895" s="8" t="b">
        <f t="shared" si="66"/>
        <v>1</v>
      </c>
      <c r="L895" s="8" t="b">
        <f t="shared" si="67"/>
        <v>1</v>
      </c>
      <c r="M895" s="8" t="b">
        <f t="shared" si="68"/>
        <v>1</v>
      </c>
      <c r="N895" s="1" t="b">
        <f t="shared" si="69"/>
        <v>1</v>
      </c>
      <c r="O895" s="8" t="str">
        <f>IF(F895="","",IF($F$2=入力リスト!$H$25,ROUNDDOWN(INT(F895)+ROUNDDOWN((F895-INT(F895))*100,0)/60,2),F895))</f>
        <v/>
      </c>
      <c r="P895" s="7"/>
      <c r="Q895" s="7"/>
    </row>
    <row r="896" spans="1:17">
      <c r="A896" s="105"/>
      <c r="B896" s="2"/>
      <c r="C896" s="3"/>
      <c r="D896" s="3"/>
      <c r="E896" s="3"/>
      <c r="F896" s="8"/>
      <c r="G896" s="215" t="str">
        <f>IF(AND($B896="",OR(B896&lt;&gt;"",C896&lt;&gt;"",D896&lt;&gt;"",E896&lt;&gt;"",F896&lt;&gt;"")),入力リスト!$K$34,IF($I896=TRUE,入力リスト!$K$35,IF(J896=FALSE,"「毎月の固定給与額」","")&amp;IF(AND(J896=FALSE,OR(K896=FALSE,L896=FALSE,M896=FALSE)),",","")&amp;IF(K896=FALSE,"「賞与額等」","")&amp;IF(AND(K896=FALSE,OR(L896=FALSE,M896=FALSE)),",","")&amp;IF(L896=FALSE,"「残業手当」","")&amp;IF(AND(L896=FALSE,M896=FALSE),",","")&amp;IF(M896=FALSE,"「残業時間」","")&amp;IF(OR(J896=FALSE,K896=FALSE,L896=FALSE,M896=FALSE),入力リスト!$K$36,"")&amp;IF(N896,"",入力リスト!$K$37)))</f>
        <v/>
      </c>
      <c r="H896" s="215"/>
      <c r="I896" s="1" t="b">
        <f>IF(B896="",FALSE,COUNTIF('従業員情報(給与以外)'!$A$4:$A$1000000,$B896)=0)</f>
        <v>0</v>
      </c>
      <c r="J896" s="8" t="b">
        <f t="shared" si="65"/>
        <v>1</v>
      </c>
      <c r="K896" s="8" t="b">
        <f t="shared" si="66"/>
        <v>1</v>
      </c>
      <c r="L896" s="8" t="b">
        <f t="shared" si="67"/>
        <v>1</v>
      </c>
      <c r="M896" s="8" t="b">
        <f t="shared" si="68"/>
        <v>1</v>
      </c>
      <c r="N896" s="1" t="b">
        <f t="shared" si="69"/>
        <v>1</v>
      </c>
      <c r="O896" s="8" t="str">
        <f>IF(F896="","",IF($F$2=入力リスト!$H$25,ROUNDDOWN(INT(F896)+ROUNDDOWN((F896-INT(F896))*100,0)/60,2),F896))</f>
        <v/>
      </c>
      <c r="P896" s="7"/>
      <c r="Q896" s="7"/>
    </row>
    <row r="897" spans="1:17">
      <c r="A897" s="105"/>
      <c r="B897" s="2"/>
      <c r="C897" s="3"/>
      <c r="D897" s="3"/>
      <c r="E897" s="3"/>
      <c r="F897" s="8"/>
      <c r="G897" s="215" t="str">
        <f>IF(AND($B897="",OR(B897&lt;&gt;"",C897&lt;&gt;"",D897&lt;&gt;"",E897&lt;&gt;"",F897&lt;&gt;"")),入力リスト!$K$34,IF($I897=TRUE,入力リスト!$K$35,IF(J897=FALSE,"「毎月の固定給与額」","")&amp;IF(AND(J897=FALSE,OR(K897=FALSE,L897=FALSE,M897=FALSE)),",","")&amp;IF(K897=FALSE,"「賞与額等」","")&amp;IF(AND(K897=FALSE,OR(L897=FALSE,M897=FALSE)),",","")&amp;IF(L897=FALSE,"「残業手当」","")&amp;IF(AND(L897=FALSE,M897=FALSE),",","")&amp;IF(M897=FALSE,"「残業時間」","")&amp;IF(OR(J897=FALSE,K897=FALSE,L897=FALSE,M897=FALSE),入力リスト!$K$36,"")&amp;IF(N897,"",入力リスト!$K$37)))</f>
        <v/>
      </c>
      <c r="H897" s="215"/>
      <c r="I897" s="1" t="b">
        <f>IF(B897="",FALSE,COUNTIF('従業員情報(給与以外)'!$A$4:$A$1000000,$B897)=0)</f>
        <v>0</v>
      </c>
      <c r="J897" s="8" t="b">
        <f t="shared" si="65"/>
        <v>1</v>
      </c>
      <c r="K897" s="8" t="b">
        <f t="shared" si="66"/>
        <v>1</v>
      </c>
      <c r="L897" s="8" t="b">
        <f t="shared" si="67"/>
        <v>1</v>
      </c>
      <c r="M897" s="8" t="b">
        <f t="shared" si="68"/>
        <v>1</v>
      </c>
      <c r="N897" s="1" t="b">
        <f t="shared" si="69"/>
        <v>1</v>
      </c>
      <c r="O897" s="8" t="str">
        <f>IF(F897="","",IF($F$2=入力リスト!$H$25,ROUNDDOWN(INT(F897)+ROUNDDOWN((F897-INT(F897))*100,0)/60,2),F897))</f>
        <v/>
      </c>
      <c r="P897" s="7"/>
      <c r="Q897" s="7"/>
    </row>
    <row r="898" spans="1:17">
      <c r="A898" s="105"/>
      <c r="B898" s="2"/>
      <c r="C898" s="3"/>
      <c r="D898" s="3"/>
      <c r="E898" s="3"/>
      <c r="F898" s="8"/>
      <c r="G898" s="215" t="str">
        <f>IF(AND($B898="",OR(B898&lt;&gt;"",C898&lt;&gt;"",D898&lt;&gt;"",E898&lt;&gt;"",F898&lt;&gt;"")),入力リスト!$K$34,IF($I898=TRUE,入力リスト!$K$35,IF(J898=FALSE,"「毎月の固定給与額」","")&amp;IF(AND(J898=FALSE,OR(K898=FALSE,L898=FALSE,M898=FALSE)),",","")&amp;IF(K898=FALSE,"「賞与額等」","")&amp;IF(AND(K898=FALSE,OR(L898=FALSE,M898=FALSE)),",","")&amp;IF(L898=FALSE,"「残業手当」","")&amp;IF(AND(L898=FALSE,M898=FALSE),",","")&amp;IF(M898=FALSE,"「残業時間」","")&amp;IF(OR(J898=FALSE,K898=FALSE,L898=FALSE,M898=FALSE),入力リスト!$K$36,"")&amp;IF(N898,"",入力リスト!$K$37)))</f>
        <v/>
      </c>
      <c r="H898" s="215"/>
      <c r="I898" s="1" t="b">
        <f>IF(B898="",FALSE,COUNTIF('従業員情報(給与以外)'!$A$4:$A$1000000,$B898)=0)</f>
        <v>0</v>
      </c>
      <c r="J898" s="8" t="b">
        <f t="shared" si="65"/>
        <v>1</v>
      </c>
      <c r="K898" s="8" t="b">
        <f t="shared" si="66"/>
        <v>1</v>
      </c>
      <c r="L898" s="8" t="b">
        <f t="shared" si="67"/>
        <v>1</v>
      </c>
      <c r="M898" s="8" t="b">
        <f t="shared" si="68"/>
        <v>1</v>
      </c>
      <c r="N898" s="1" t="b">
        <f t="shared" si="69"/>
        <v>1</v>
      </c>
      <c r="O898" s="8" t="str">
        <f>IF(F898="","",IF($F$2=入力リスト!$H$25,ROUNDDOWN(INT(F898)+ROUNDDOWN((F898-INT(F898))*100,0)/60,2),F898))</f>
        <v/>
      </c>
      <c r="P898" s="7"/>
      <c r="Q898" s="7"/>
    </row>
    <row r="899" spans="1:17">
      <c r="A899" s="105"/>
      <c r="B899" s="2"/>
      <c r="C899" s="3"/>
      <c r="D899" s="3"/>
      <c r="E899" s="3"/>
      <c r="F899" s="8"/>
      <c r="G899" s="215" t="str">
        <f>IF(AND($B899="",OR(B899&lt;&gt;"",C899&lt;&gt;"",D899&lt;&gt;"",E899&lt;&gt;"",F899&lt;&gt;"")),入力リスト!$K$34,IF($I899=TRUE,入力リスト!$K$35,IF(J899=FALSE,"「毎月の固定給与額」","")&amp;IF(AND(J899=FALSE,OR(K899=FALSE,L899=FALSE,M899=FALSE)),",","")&amp;IF(K899=FALSE,"「賞与額等」","")&amp;IF(AND(K899=FALSE,OR(L899=FALSE,M899=FALSE)),",","")&amp;IF(L899=FALSE,"「残業手当」","")&amp;IF(AND(L899=FALSE,M899=FALSE),",","")&amp;IF(M899=FALSE,"「残業時間」","")&amp;IF(OR(J899=FALSE,K899=FALSE,L899=FALSE,M899=FALSE),入力リスト!$K$36,"")&amp;IF(N899,"",入力リスト!$K$37)))</f>
        <v/>
      </c>
      <c r="H899" s="215"/>
      <c r="I899" s="1" t="b">
        <f>IF(B899="",FALSE,COUNTIF('従業員情報(給与以外)'!$A$4:$A$1000000,$B899)=0)</f>
        <v>0</v>
      </c>
      <c r="J899" s="8" t="b">
        <f t="shared" si="65"/>
        <v>1</v>
      </c>
      <c r="K899" s="8" t="b">
        <f t="shared" si="66"/>
        <v>1</v>
      </c>
      <c r="L899" s="8" t="b">
        <f t="shared" si="67"/>
        <v>1</v>
      </c>
      <c r="M899" s="8" t="b">
        <f t="shared" si="68"/>
        <v>1</v>
      </c>
      <c r="N899" s="1" t="b">
        <f t="shared" si="69"/>
        <v>1</v>
      </c>
      <c r="O899" s="8" t="str">
        <f>IF(F899="","",IF($F$2=入力リスト!$H$25,ROUNDDOWN(INT(F899)+ROUNDDOWN((F899-INT(F899))*100,0)/60,2),F899))</f>
        <v/>
      </c>
      <c r="P899" s="7"/>
      <c r="Q899" s="7"/>
    </row>
    <row r="900" spans="1:17">
      <c r="A900" s="105"/>
      <c r="B900" s="2"/>
      <c r="C900" s="3"/>
      <c r="D900" s="3"/>
      <c r="E900" s="3"/>
      <c r="F900" s="8"/>
      <c r="G900" s="215" t="str">
        <f>IF(AND($B900="",OR(B900&lt;&gt;"",C900&lt;&gt;"",D900&lt;&gt;"",E900&lt;&gt;"",F900&lt;&gt;"")),入力リスト!$K$34,IF($I900=TRUE,入力リスト!$K$35,IF(J900=FALSE,"「毎月の固定給与額」","")&amp;IF(AND(J900=FALSE,OR(K900=FALSE,L900=FALSE,M900=FALSE)),",","")&amp;IF(K900=FALSE,"「賞与額等」","")&amp;IF(AND(K900=FALSE,OR(L900=FALSE,M900=FALSE)),",","")&amp;IF(L900=FALSE,"「残業手当」","")&amp;IF(AND(L900=FALSE,M900=FALSE),",","")&amp;IF(M900=FALSE,"「残業時間」","")&amp;IF(OR(J900=FALSE,K900=FALSE,L900=FALSE,M900=FALSE),入力リスト!$K$36,"")&amp;IF(N900,"",入力リスト!$K$37)))</f>
        <v/>
      </c>
      <c r="H900" s="215"/>
      <c r="I900" s="1" t="b">
        <f>IF(B900="",FALSE,COUNTIF('従業員情報(給与以外)'!$A$4:$A$1000000,$B900)=0)</f>
        <v>0</v>
      </c>
      <c r="J900" s="8" t="b">
        <f t="shared" si="65"/>
        <v>1</v>
      </c>
      <c r="K900" s="8" t="b">
        <f t="shared" si="66"/>
        <v>1</v>
      </c>
      <c r="L900" s="8" t="b">
        <f t="shared" si="67"/>
        <v>1</v>
      </c>
      <c r="M900" s="8" t="b">
        <f t="shared" si="68"/>
        <v>1</v>
      </c>
      <c r="N900" s="1" t="b">
        <f t="shared" si="69"/>
        <v>1</v>
      </c>
      <c r="O900" s="8" t="str">
        <f>IF(F900="","",IF($F$2=入力リスト!$H$25,ROUNDDOWN(INT(F900)+ROUNDDOWN((F900-INT(F900))*100,0)/60,2),F900))</f>
        <v/>
      </c>
      <c r="P900" s="7"/>
      <c r="Q900" s="7"/>
    </row>
    <row r="901" spans="1:17">
      <c r="A901" s="105"/>
      <c r="B901" s="2"/>
      <c r="C901" s="3"/>
      <c r="D901" s="3"/>
      <c r="E901" s="3"/>
      <c r="F901" s="8"/>
      <c r="G901" s="215" t="str">
        <f>IF(AND($B901="",OR(B901&lt;&gt;"",C901&lt;&gt;"",D901&lt;&gt;"",E901&lt;&gt;"",F901&lt;&gt;"")),入力リスト!$K$34,IF($I901=TRUE,入力リスト!$K$35,IF(J901=FALSE,"「毎月の固定給与額」","")&amp;IF(AND(J901=FALSE,OR(K901=FALSE,L901=FALSE,M901=FALSE)),",","")&amp;IF(K901=FALSE,"「賞与額等」","")&amp;IF(AND(K901=FALSE,OR(L901=FALSE,M901=FALSE)),",","")&amp;IF(L901=FALSE,"「残業手当」","")&amp;IF(AND(L901=FALSE,M901=FALSE),",","")&amp;IF(M901=FALSE,"「残業時間」","")&amp;IF(OR(J901=FALSE,K901=FALSE,L901=FALSE,M901=FALSE),入力リスト!$K$36,"")&amp;IF(N901,"",入力リスト!$K$37)))</f>
        <v/>
      </c>
      <c r="H901" s="215"/>
      <c r="I901" s="1" t="b">
        <f>IF(B901="",FALSE,COUNTIF('従業員情報(給与以外)'!$A$4:$A$1000000,$B901)=0)</f>
        <v>0</v>
      </c>
      <c r="J901" s="8" t="b">
        <f t="shared" ref="J901:J964" si="70">OR(C901="",ISNUMBER(C901))</f>
        <v>1</v>
      </c>
      <c r="K901" s="8" t="b">
        <f t="shared" ref="K901:K964" si="71">OR(D901="",ISNUMBER(D901))</f>
        <v>1</v>
      </c>
      <c r="L901" s="8" t="b">
        <f t="shared" ref="L901:L964" si="72">OR(E901="",ISNUMBER(E901))</f>
        <v>1</v>
      </c>
      <c r="M901" s="8" t="b">
        <f t="shared" ref="M901:M964" si="73">OR(F901="",ISNUMBER(F901))</f>
        <v>1</v>
      </c>
      <c r="N901" s="1" t="b">
        <f t="shared" ref="N901:N964" si="74">IF($N$1,TRUE,IF($N$2,IF(F901-INT(F901)&lt;0.6,TRUE,FALSE),TRUE))</f>
        <v>1</v>
      </c>
      <c r="O901" s="8" t="str">
        <f>IF(F901="","",IF($F$2=入力リスト!$H$25,ROUNDDOWN(INT(F901)+ROUNDDOWN((F901-INT(F901))*100,0)/60,2),F901))</f>
        <v/>
      </c>
      <c r="P901" s="7"/>
      <c r="Q901" s="7"/>
    </row>
    <row r="902" spans="1:17">
      <c r="A902" s="105"/>
      <c r="B902" s="2"/>
      <c r="C902" s="3"/>
      <c r="D902" s="3"/>
      <c r="E902" s="3"/>
      <c r="F902" s="8"/>
      <c r="G902" s="215" t="str">
        <f>IF(AND($B902="",OR(B902&lt;&gt;"",C902&lt;&gt;"",D902&lt;&gt;"",E902&lt;&gt;"",F902&lt;&gt;"")),入力リスト!$K$34,IF($I902=TRUE,入力リスト!$K$35,IF(J902=FALSE,"「毎月の固定給与額」","")&amp;IF(AND(J902=FALSE,OR(K902=FALSE,L902=FALSE,M902=FALSE)),",","")&amp;IF(K902=FALSE,"「賞与額等」","")&amp;IF(AND(K902=FALSE,OR(L902=FALSE,M902=FALSE)),",","")&amp;IF(L902=FALSE,"「残業手当」","")&amp;IF(AND(L902=FALSE,M902=FALSE),",","")&amp;IF(M902=FALSE,"「残業時間」","")&amp;IF(OR(J902=FALSE,K902=FALSE,L902=FALSE,M902=FALSE),入力リスト!$K$36,"")&amp;IF(N902,"",入力リスト!$K$37)))</f>
        <v/>
      </c>
      <c r="H902" s="215"/>
      <c r="I902" s="1" t="b">
        <f>IF(B902="",FALSE,COUNTIF('従業員情報(給与以外)'!$A$4:$A$1000000,$B902)=0)</f>
        <v>0</v>
      </c>
      <c r="J902" s="8" t="b">
        <f t="shared" si="70"/>
        <v>1</v>
      </c>
      <c r="K902" s="8" t="b">
        <f t="shared" si="71"/>
        <v>1</v>
      </c>
      <c r="L902" s="8" t="b">
        <f t="shared" si="72"/>
        <v>1</v>
      </c>
      <c r="M902" s="8" t="b">
        <f t="shared" si="73"/>
        <v>1</v>
      </c>
      <c r="N902" s="1" t="b">
        <f t="shared" si="74"/>
        <v>1</v>
      </c>
      <c r="O902" s="8" t="str">
        <f>IF(F902="","",IF($F$2=入力リスト!$H$25,ROUNDDOWN(INT(F902)+ROUNDDOWN((F902-INT(F902))*100,0)/60,2),F902))</f>
        <v/>
      </c>
      <c r="P902" s="7"/>
      <c r="Q902" s="7"/>
    </row>
    <row r="903" spans="1:17">
      <c r="A903" s="105"/>
      <c r="B903" s="2"/>
      <c r="C903" s="3"/>
      <c r="D903" s="3"/>
      <c r="E903" s="3"/>
      <c r="F903" s="8"/>
      <c r="G903" s="215" t="str">
        <f>IF(AND($B903="",OR(B903&lt;&gt;"",C903&lt;&gt;"",D903&lt;&gt;"",E903&lt;&gt;"",F903&lt;&gt;"")),入力リスト!$K$34,IF($I903=TRUE,入力リスト!$K$35,IF(J903=FALSE,"「毎月の固定給与額」","")&amp;IF(AND(J903=FALSE,OR(K903=FALSE,L903=FALSE,M903=FALSE)),",","")&amp;IF(K903=FALSE,"「賞与額等」","")&amp;IF(AND(K903=FALSE,OR(L903=FALSE,M903=FALSE)),",","")&amp;IF(L903=FALSE,"「残業手当」","")&amp;IF(AND(L903=FALSE,M903=FALSE),",","")&amp;IF(M903=FALSE,"「残業時間」","")&amp;IF(OR(J903=FALSE,K903=FALSE,L903=FALSE,M903=FALSE),入力リスト!$K$36,"")&amp;IF(N903,"",入力リスト!$K$37)))</f>
        <v/>
      </c>
      <c r="H903" s="215"/>
      <c r="I903" s="1" t="b">
        <f>IF(B903="",FALSE,COUNTIF('従業員情報(給与以外)'!$A$4:$A$1000000,$B903)=0)</f>
        <v>0</v>
      </c>
      <c r="J903" s="8" t="b">
        <f t="shared" si="70"/>
        <v>1</v>
      </c>
      <c r="K903" s="8" t="b">
        <f t="shared" si="71"/>
        <v>1</v>
      </c>
      <c r="L903" s="8" t="b">
        <f t="shared" si="72"/>
        <v>1</v>
      </c>
      <c r="M903" s="8" t="b">
        <f t="shared" si="73"/>
        <v>1</v>
      </c>
      <c r="N903" s="1" t="b">
        <f t="shared" si="74"/>
        <v>1</v>
      </c>
      <c r="O903" s="8" t="str">
        <f>IF(F903="","",IF($F$2=入力リスト!$H$25,ROUNDDOWN(INT(F903)+ROUNDDOWN((F903-INT(F903))*100,0)/60,2),F903))</f>
        <v/>
      </c>
      <c r="P903" s="7"/>
      <c r="Q903" s="7"/>
    </row>
    <row r="904" spans="1:17">
      <c r="A904" s="105"/>
      <c r="B904" s="2"/>
      <c r="C904" s="3"/>
      <c r="D904" s="3"/>
      <c r="E904" s="3"/>
      <c r="F904" s="8"/>
      <c r="G904" s="215" t="str">
        <f>IF(AND($B904="",OR(B904&lt;&gt;"",C904&lt;&gt;"",D904&lt;&gt;"",E904&lt;&gt;"",F904&lt;&gt;"")),入力リスト!$K$34,IF($I904=TRUE,入力リスト!$K$35,IF(J904=FALSE,"「毎月の固定給与額」","")&amp;IF(AND(J904=FALSE,OR(K904=FALSE,L904=FALSE,M904=FALSE)),",","")&amp;IF(K904=FALSE,"「賞与額等」","")&amp;IF(AND(K904=FALSE,OR(L904=FALSE,M904=FALSE)),",","")&amp;IF(L904=FALSE,"「残業手当」","")&amp;IF(AND(L904=FALSE,M904=FALSE),",","")&amp;IF(M904=FALSE,"「残業時間」","")&amp;IF(OR(J904=FALSE,K904=FALSE,L904=FALSE,M904=FALSE),入力リスト!$K$36,"")&amp;IF(N904,"",入力リスト!$K$37)))</f>
        <v/>
      </c>
      <c r="H904" s="215"/>
      <c r="I904" s="1" t="b">
        <f>IF(B904="",FALSE,COUNTIF('従業員情報(給与以外)'!$A$4:$A$1000000,$B904)=0)</f>
        <v>0</v>
      </c>
      <c r="J904" s="8" t="b">
        <f t="shared" si="70"/>
        <v>1</v>
      </c>
      <c r="K904" s="8" t="b">
        <f t="shared" si="71"/>
        <v>1</v>
      </c>
      <c r="L904" s="8" t="b">
        <f t="shared" si="72"/>
        <v>1</v>
      </c>
      <c r="M904" s="8" t="b">
        <f t="shared" si="73"/>
        <v>1</v>
      </c>
      <c r="N904" s="1" t="b">
        <f t="shared" si="74"/>
        <v>1</v>
      </c>
      <c r="O904" s="8" t="str">
        <f>IF(F904="","",IF($F$2=入力リスト!$H$25,ROUNDDOWN(INT(F904)+ROUNDDOWN((F904-INT(F904))*100,0)/60,2),F904))</f>
        <v/>
      </c>
      <c r="P904" s="7"/>
      <c r="Q904" s="7"/>
    </row>
    <row r="905" spans="1:17">
      <c r="A905" s="105"/>
      <c r="B905" s="2"/>
      <c r="C905" s="3"/>
      <c r="D905" s="3"/>
      <c r="E905" s="3"/>
      <c r="F905" s="8"/>
      <c r="G905" s="215" t="str">
        <f>IF(AND($B905="",OR(B905&lt;&gt;"",C905&lt;&gt;"",D905&lt;&gt;"",E905&lt;&gt;"",F905&lt;&gt;"")),入力リスト!$K$34,IF($I905=TRUE,入力リスト!$K$35,IF(J905=FALSE,"「毎月の固定給与額」","")&amp;IF(AND(J905=FALSE,OR(K905=FALSE,L905=FALSE,M905=FALSE)),",","")&amp;IF(K905=FALSE,"「賞与額等」","")&amp;IF(AND(K905=FALSE,OR(L905=FALSE,M905=FALSE)),",","")&amp;IF(L905=FALSE,"「残業手当」","")&amp;IF(AND(L905=FALSE,M905=FALSE),",","")&amp;IF(M905=FALSE,"「残業時間」","")&amp;IF(OR(J905=FALSE,K905=FALSE,L905=FALSE,M905=FALSE),入力リスト!$K$36,"")&amp;IF(N905,"",入力リスト!$K$37)))</f>
        <v/>
      </c>
      <c r="H905" s="215"/>
      <c r="I905" s="1" t="b">
        <f>IF(B905="",FALSE,COUNTIF('従業員情報(給与以外)'!$A$4:$A$1000000,$B905)=0)</f>
        <v>0</v>
      </c>
      <c r="J905" s="8" t="b">
        <f t="shared" si="70"/>
        <v>1</v>
      </c>
      <c r="K905" s="8" t="b">
        <f t="shared" si="71"/>
        <v>1</v>
      </c>
      <c r="L905" s="8" t="b">
        <f t="shared" si="72"/>
        <v>1</v>
      </c>
      <c r="M905" s="8" t="b">
        <f t="shared" si="73"/>
        <v>1</v>
      </c>
      <c r="N905" s="1" t="b">
        <f t="shared" si="74"/>
        <v>1</v>
      </c>
      <c r="O905" s="8" t="str">
        <f>IF(F905="","",IF($F$2=入力リスト!$H$25,ROUNDDOWN(INT(F905)+ROUNDDOWN((F905-INT(F905))*100,0)/60,2),F905))</f>
        <v/>
      </c>
      <c r="P905" s="7"/>
      <c r="Q905" s="7"/>
    </row>
    <row r="906" spans="1:17">
      <c r="A906" s="105"/>
      <c r="B906" s="2"/>
      <c r="C906" s="3"/>
      <c r="D906" s="3"/>
      <c r="E906" s="3"/>
      <c r="F906" s="8"/>
      <c r="G906" s="215" t="str">
        <f>IF(AND($B906="",OR(B906&lt;&gt;"",C906&lt;&gt;"",D906&lt;&gt;"",E906&lt;&gt;"",F906&lt;&gt;"")),入力リスト!$K$34,IF($I906=TRUE,入力リスト!$K$35,IF(J906=FALSE,"「毎月の固定給与額」","")&amp;IF(AND(J906=FALSE,OR(K906=FALSE,L906=FALSE,M906=FALSE)),",","")&amp;IF(K906=FALSE,"「賞与額等」","")&amp;IF(AND(K906=FALSE,OR(L906=FALSE,M906=FALSE)),",","")&amp;IF(L906=FALSE,"「残業手当」","")&amp;IF(AND(L906=FALSE,M906=FALSE),",","")&amp;IF(M906=FALSE,"「残業時間」","")&amp;IF(OR(J906=FALSE,K906=FALSE,L906=FALSE,M906=FALSE),入力リスト!$K$36,"")&amp;IF(N906,"",入力リスト!$K$37)))</f>
        <v/>
      </c>
      <c r="H906" s="215"/>
      <c r="I906" s="1" t="b">
        <f>IF(B906="",FALSE,COUNTIF('従業員情報(給与以外)'!$A$4:$A$1000000,$B906)=0)</f>
        <v>0</v>
      </c>
      <c r="J906" s="8" t="b">
        <f t="shared" si="70"/>
        <v>1</v>
      </c>
      <c r="K906" s="8" t="b">
        <f t="shared" si="71"/>
        <v>1</v>
      </c>
      <c r="L906" s="8" t="b">
        <f t="shared" si="72"/>
        <v>1</v>
      </c>
      <c r="M906" s="8" t="b">
        <f t="shared" si="73"/>
        <v>1</v>
      </c>
      <c r="N906" s="1" t="b">
        <f t="shared" si="74"/>
        <v>1</v>
      </c>
      <c r="O906" s="8" t="str">
        <f>IF(F906="","",IF($F$2=入力リスト!$H$25,ROUNDDOWN(INT(F906)+ROUNDDOWN((F906-INT(F906))*100,0)/60,2),F906))</f>
        <v/>
      </c>
      <c r="P906" s="7"/>
      <c r="Q906" s="7"/>
    </row>
    <row r="907" spans="1:17">
      <c r="A907" s="105"/>
      <c r="B907" s="2"/>
      <c r="C907" s="3"/>
      <c r="D907" s="3"/>
      <c r="E907" s="3"/>
      <c r="F907" s="8"/>
      <c r="G907" s="215" t="str">
        <f>IF(AND($B907="",OR(B907&lt;&gt;"",C907&lt;&gt;"",D907&lt;&gt;"",E907&lt;&gt;"",F907&lt;&gt;"")),入力リスト!$K$34,IF($I907=TRUE,入力リスト!$K$35,IF(J907=FALSE,"「毎月の固定給与額」","")&amp;IF(AND(J907=FALSE,OR(K907=FALSE,L907=FALSE,M907=FALSE)),",","")&amp;IF(K907=FALSE,"「賞与額等」","")&amp;IF(AND(K907=FALSE,OR(L907=FALSE,M907=FALSE)),",","")&amp;IF(L907=FALSE,"「残業手当」","")&amp;IF(AND(L907=FALSE,M907=FALSE),",","")&amp;IF(M907=FALSE,"「残業時間」","")&amp;IF(OR(J907=FALSE,K907=FALSE,L907=FALSE,M907=FALSE),入力リスト!$K$36,"")&amp;IF(N907,"",入力リスト!$K$37)))</f>
        <v/>
      </c>
      <c r="H907" s="215"/>
      <c r="I907" s="1" t="b">
        <f>IF(B907="",FALSE,COUNTIF('従業員情報(給与以外)'!$A$4:$A$1000000,$B907)=0)</f>
        <v>0</v>
      </c>
      <c r="J907" s="8" t="b">
        <f t="shared" si="70"/>
        <v>1</v>
      </c>
      <c r="K907" s="8" t="b">
        <f t="shared" si="71"/>
        <v>1</v>
      </c>
      <c r="L907" s="8" t="b">
        <f t="shared" si="72"/>
        <v>1</v>
      </c>
      <c r="M907" s="8" t="b">
        <f t="shared" si="73"/>
        <v>1</v>
      </c>
      <c r="N907" s="1" t="b">
        <f t="shared" si="74"/>
        <v>1</v>
      </c>
      <c r="O907" s="8" t="str">
        <f>IF(F907="","",IF($F$2=入力リスト!$H$25,ROUNDDOWN(INT(F907)+ROUNDDOWN((F907-INT(F907))*100,0)/60,2),F907))</f>
        <v/>
      </c>
      <c r="P907" s="7"/>
      <c r="Q907" s="7"/>
    </row>
    <row r="908" spans="1:17">
      <c r="A908" s="105"/>
      <c r="B908" s="2"/>
      <c r="C908" s="3"/>
      <c r="D908" s="3"/>
      <c r="E908" s="3"/>
      <c r="F908" s="8"/>
      <c r="G908" s="215" t="str">
        <f>IF(AND($B908="",OR(B908&lt;&gt;"",C908&lt;&gt;"",D908&lt;&gt;"",E908&lt;&gt;"",F908&lt;&gt;"")),入力リスト!$K$34,IF($I908=TRUE,入力リスト!$K$35,IF(J908=FALSE,"「毎月の固定給与額」","")&amp;IF(AND(J908=FALSE,OR(K908=FALSE,L908=FALSE,M908=FALSE)),",","")&amp;IF(K908=FALSE,"「賞与額等」","")&amp;IF(AND(K908=FALSE,OR(L908=FALSE,M908=FALSE)),",","")&amp;IF(L908=FALSE,"「残業手当」","")&amp;IF(AND(L908=FALSE,M908=FALSE),",","")&amp;IF(M908=FALSE,"「残業時間」","")&amp;IF(OR(J908=FALSE,K908=FALSE,L908=FALSE,M908=FALSE),入力リスト!$K$36,"")&amp;IF(N908,"",入力リスト!$K$37)))</f>
        <v/>
      </c>
      <c r="H908" s="215"/>
      <c r="I908" s="1" t="b">
        <f>IF(B908="",FALSE,COUNTIF('従業員情報(給与以外)'!$A$4:$A$1000000,$B908)=0)</f>
        <v>0</v>
      </c>
      <c r="J908" s="8" t="b">
        <f t="shared" si="70"/>
        <v>1</v>
      </c>
      <c r="K908" s="8" t="b">
        <f t="shared" si="71"/>
        <v>1</v>
      </c>
      <c r="L908" s="8" t="b">
        <f t="shared" si="72"/>
        <v>1</v>
      </c>
      <c r="M908" s="8" t="b">
        <f t="shared" si="73"/>
        <v>1</v>
      </c>
      <c r="N908" s="1" t="b">
        <f t="shared" si="74"/>
        <v>1</v>
      </c>
      <c r="O908" s="8" t="str">
        <f>IF(F908="","",IF($F$2=入力リスト!$H$25,ROUNDDOWN(INT(F908)+ROUNDDOWN((F908-INT(F908))*100,0)/60,2),F908))</f>
        <v/>
      </c>
      <c r="P908" s="7"/>
      <c r="Q908" s="7"/>
    </row>
    <row r="909" spans="1:17">
      <c r="A909" s="105"/>
      <c r="B909" s="2"/>
      <c r="C909" s="3"/>
      <c r="D909" s="3"/>
      <c r="E909" s="3"/>
      <c r="F909" s="8"/>
      <c r="G909" s="215" t="str">
        <f>IF(AND($B909="",OR(B909&lt;&gt;"",C909&lt;&gt;"",D909&lt;&gt;"",E909&lt;&gt;"",F909&lt;&gt;"")),入力リスト!$K$34,IF($I909=TRUE,入力リスト!$K$35,IF(J909=FALSE,"「毎月の固定給与額」","")&amp;IF(AND(J909=FALSE,OR(K909=FALSE,L909=FALSE,M909=FALSE)),",","")&amp;IF(K909=FALSE,"「賞与額等」","")&amp;IF(AND(K909=FALSE,OR(L909=FALSE,M909=FALSE)),",","")&amp;IF(L909=FALSE,"「残業手当」","")&amp;IF(AND(L909=FALSE,M909=FALSE),",","")&amp;IF(M909=FALSE,"「残業時間」","")&amp;IF(OR(J909=FALSE,K909=FALSE,L909=FALSE,M909=FALSE),入力リスト!$K$36,"")&amp;IF(N909,"",入力リスト!$K$37)))</f>
        <v/>
      </c>
      <c r="H909" s="215"/>
      <c r="I909" s="1" t="b">
        <f>IF(B909="",FALSE,COUNTIF('従業員情報(給与以外)'!$A$4:$A$1000000,$B909)=0)</f>
        <v>0</v>
      </c>
      <c r="J909" s="8" t="b">
        <f t="shared" si="70"/>
        <v>1</v>
      </c>
      <c r="K909" s="8" t="b">
        <f t="shared" si="71"/>
        <v>1</v>
      </c>
      <c r="L909" s="8" t="b">
        <f t="shared" si="72"/>
        <v>1</v>
      </c>
      <c r="M909" s="8" t="b">
        <f t="shared" si="73"/>
        <v>1</v>
      </c>
      <c r="N909" s="1" t="b">
        <f t="shared" si="74"/>
        <v>1</v>
      </c>
      <c r="O909" s="8" t="str">
        <f>IF(F909="","",IF($F$2=入力リスト!$H$25,ROUNDDOWN(INT(F909)+ROUNDDOWN((F909-INT(F909))*100,0)/60,2),F909))</f>
        <v/>
      </c>
      <c r="P909" s="7"/>
      <c r="Q909" s="7"/>
    </row>
    <row r="910" spans="1:17">
      <c r="A910" s="105"/>
      <c r="B910" s="2"/>
      <c r="C910" s="3"/>
      <c r="D910" s="3"/>
      <c r="E910" s="3"/>
      <c r="F910" s="8"/>
      <c r="G910" s="215" t="str">
        <f>IF(AND($B910="",OR(B910&lt;&gt;"",C910&lt;&gt;"",D910&lt;&gt;"",E910&lt;&gt;"",F910&lt;&gt;"")),入力リスト!$K$34,IF($I910=TRUE,入力リスト!$K$35,IF(J910=FALSE,"「毎月の固定給与額」","")&amp;IF(AND(J910=FALSE,OR(K910=FALSE,L910=FALSE,M910=FALSE)),",","")&amp;IF(K910=FALSE,"「賞与額等」","")&amp;IF(AND(K910=FALSE,OR(L910=FALSE,M910=FALSE)),",","")&amp;IF(L910=FALSE,"「残業手当」","")&amp;IF(AND(L910=FALSE,M910=FALSE),",","")&amp;IF(M910=FALSE,"「残業時間」","")&amp;IF(OR(J910=FALSE,K910=FALSE,L910=FALSE,M910=FALSE),入力リスト!$K$36,"")&amp;IF(N910,"",入力リスト!$K$37)))</f>
        <v/>
      </c>
      <c r="H910" s="215"/>
      <c r="I910" s="1" t="b">
        <f>IF(B910="",FALSE,COUNTIF('従業員情報(給与以外)'!$A$4:$A$1000000,$B910)=0)</f>
        <v>0</v>
      </c>
      <c r="J910" s="8" t="b">
        <f t="shared" si="70"/>
        <v>1</v>
      </c>
      <c r="K910" s="8" t="b">
        <f t="shared" si="71"/>
        <v>1</v>
      </c>
      <c r="L910" s="8" t="b">
        <f t="shared" si="72"/>
        <v>1</v>
      </c>
      <c r="M910" s="8" t="b">
        <f t="shared" si="73"/>
        <v>1</v>
      </c>
      <c r="N910" s="1" t="b">
        <f t="shared" si="74"/>
        <v>1</v>
      </c>
      <c r="O910" s="8" t="str">
        <f>IF(F910="","",IF($F$2=入力リスト!$H$25,ROUNDDOWN(INT(F910)+ROUNDDOWN((F910-INT(F910))*100,0)/60,2),F910))</f>
        <v/>
      </c>
      <c r="P910" s="7"/>
      <c r="Q910" s="7"/>
    </row>
    <row r="911" spans="1:17">
      <c r="A911" s="105"/>
      <c r="B911" s="2"/>
      <c r="C911" s="3"/>
      <c r="D911" s="3"/>
      <c r="E911" s="3"/>
      <c r="F911" s="8"/>
      <c r="G911" s="215" t="str">
        <f>IF(AND($B911="",OR(B911&lt;&gt;"",C911&lt;&gt;"",D911&lt;&gt;"",E911&lt;&gt;"",F911&lt;&gt;"")),入力リスト!$K$34,IF($I911=TRUE,入力リスト!$K$35,IF(J911=FALSE,"「毎月の固定給与額」","")&amp;IF(AND(J911=FALSE,OR(K911=FALSE,L911=FALSE,M911=FALSE)),",","")&amp;IF(K911=FALSE,"「賞与額等」","")&amp;IF(AND(K911=FALSE,OR(L911=FALSE,M911=FALSE)),",","")&amp;IF(L911=FALSE,"「残業手当」","")&amp;IF(AND(L911=FALSE,M911=FALSE),",","")&amp;IF(M911=FALSE,"「残業時間」","")&amp;IF(OR(J911=FALSE,K911=FALSE,L911=FALSE,M911=FALSE),入力リスト!$K$36,"")&amp;IF(N911,"",入力リスト!$K$37)))</f>
        <v/>
      </c>
      <c r="H911" s="215"/>
      <c r="I911" s="1" t="b">
        <f>IF(B911="",FALSE,COUNTIF('従業員情報(給与以外)'!$A$4:$A$1000000,$B911)=0)</f>
        <v>0</v>
      </c>
      <c r="J911" s="8" t="b">
        <f t="shared" si="70"/>
        <v>1</v>
      </c>
      <c r="K911" s="8" t="b">
        <f t="shared" si="71"/>
        <v>1</v>
      </c>
      <c r="L911" s="8" t="b">
        <f t="shared" si="72"/>
        <v>1</v>
      </c>
      <c r="M911" s="8" t="b">
        <f t="shared" si="73"/>
        <v>1</v>
      </c>
      <c r="N911" s="1" t="b">
        <f t="shared" si="74"/>
        <v>1</v>
      </c>
      <c r="O911" s="8" t="str">
        <f>IF(F911="","",IF($F$2=入力リスト!$H$25,ROUNDDOWN(INT(F911)+ROUNDDOWN((F911-INT(F911))*100,0)/60,2),F911))</f>
        <v/>
      </c>
      <c r="P911" s="7"/>
      <c r="Q911" s="7"/>
    </row>
    <row r="912" spans="1:17">
      <c r="A912" s="105"/>
      <c r="B912" s="2"/>
      <c r="C912" s="3"/>
      <c r="D912" s="3"/>
      <c r="E912" s="3"/>
      <c r="F912" s="8"/>
      <c r="G912" s="215" t="str">
        <f>IF(AND($B912="",OR(B912&lt;&gt;"",C912&lt;&gt;"",D912&lt;&gt;"",E912&lt;&gt;"",F912&lt;&gt;"")),入力リスト!$K$34,IF($I912=TRUE,入力リスト!$K$35,IF(J912=FALSE,"「毎月の固定給与額」","")&amp;IF(AND(J912=FALSE,OR(K912=FALSE,L912=FALSE,M912=FALSE)),",","")&amp;IF(K912=FALSE,"「賞与額等」","")&amp;IF(AND(K912=FALSE,OR(L912=FALSE,M912=FALSE)),",","")&amp;IF(L912=FALSE,"「残業手当」","")&amp;IF(AND(L912=FALSE,M912=FALSE),",","")&amp;IF(M912=FALSE,"「残業時間」","")&amp;IF(OR(J912=FALSE,K912=FALSE,L912=FALSE,M912=FALSE),入力リスト!$K$36,"")&amp;IF(N912,"",入力リスト!$K$37)))</f>
        <v/>
      </c>
      <c r="H912" s="215"/>
      <c r="I912" s="1" t="b">
        <f>IF(B912="",FALSE,COUNTIF('従業員情報(給与以外)'!$A$4:$A$1000000,$B912)=0)</f>
        <v>0</v>
      </c>
      <c r="J912" s="8" t="b">
        <f t="shared" si="70"/>
        <v>1</v>
      </c>
      <c r="K912" s="8" t="b">
        <f t="shared" si="71"/>
        <v>1</v>
      </c>
      <c r="L912" s="8" t="b">
        <f t="shared" si="72"/>
        <v>1</v>
      </c>
      <c r="M912" s="8" t="b">
        <f t="shared" si="73"/>
        <v>1</v>
      </c>
      <c r="N912" s="1" t="b">
        <f t="shared" si="74"/>
        <v>1</v>
      </c>
      <c r="O912" s="8" t="str">
        <f>IF(F912="","",IF($F$2=入力リスト!$H$25,ROUNDDOWN(INT(F912)+ROUNDDOWN((F912-INT(F912))*100,0)/60,2),F912))</f>
        <v/>
      </c>
      <c r="P912" s="7"/>
      <c r="Q912" s="7"/>
    </row>
    <row r="913" spans="1:17">
      <c r="A913" s="105"/>
      <c r="B913" s="2"/>
      <c r="C913" s="3"/>
      <c r="D913" s="3"/>
      <c r="E913" s="3"/>
      <c r="F913" s="8"/>
      <c r="G913" s="215" t="str">
        <f>IF(AND($B913="",OR(B913&lt;&gt;"",C913&lt;&gt;"",D913&lt;&gt;"",E913&lt;&gt;"",F913&lt;&gt;"")),入力リスト!$K$34,IF($I913=TRUE,入力リスト!$K$35,IF(J913=FALSE,"「毎月の固定給与額」","")&amp;IF(AND(J913=FALSE,OR(K913=FALSE,L913=FALSE,M913=FALSE)),",","")&amp;IF(K913=FALSE,"「賞与額等」","")&amp;IF(AND(K913=FALSE,OR(L913=FALSE,M913=FALSE)),",","")&amp;IF(L913=FALSE,"「残業手当」","")&amp;IF(AND(L913=FALSE,M913=FALSE),",","")&amp;IF(M913=FALSE,"「残業時間」","")&amp;IF(OR(J913=FALSE,K913=FALSE,L913=FALSE,M913=FALSE),入力リスト!$K$36,"")&amp;IF(N913,"",入力リスト!$K$37)))</f>
        <v/>
      </c>
      <c r="H913" s="215"/>
      <c r="I913" s="1" t="b">
        <f>IF(B913="",FALSE,COUNTIF('従業員情報(給与以外)'!$A$4:$A$1000000,$B913)=0)</f>
        <v>0</v>
      </c>
      <c r="J913" s="8" t="b">
        <f t="shared" si="70"/>
        <v>1</v>
      </c>
      <c r="K913" s="8" t="b">
        <f t="shared" si="71"/>
        <v>1</v>
      </c>
      <c r="L913" s="8" t="b">
        <f t="shared" si="72"/>
        <v>1</v>
      </c>
      <c r="M913" s="8" t="b">
        <f t="shared" si="73"/>
        <v>1</v>
      </c>
      <c r="N913" s="1" t="b">
        <f t="shared" si="74"/>
        <v>1</v>
      </c>
      <c r="O913" s="8" t="str">
        <f>IF(F913="","",IF($F$2=入力リスト!$H$25,ROUNDDOWN(INT(F913)+ROUNDDOWN((F913-INT(F913))*100,0)/60,2),F913))</f>
        <v/>
      </c>
      <c r="P913" s="7"/>
      <c r="Q913" s="7"/>
    </row>
    <row r="914" spans="1:17">
      <c r="A914" s="105"/>
      <c r="B914" s="2"/>
      <c r="C914" s="3"/>
      <c r="D914" s="3"/>
      <c r="E914" s="3"/>
      <c r="F914" s="8"/>
      <c r="G914" s="215" t="str">
        <f>IF(AND($B914="",OR(B914&lt;&gt;"",C914&lt;&gt;"",D914&lt;&gt;"",E914&lt;&gt;"",F914&lt;&gt;"")),入力リスト!$K$34,IF($I914=TRUE,入力リスト!$K$35,IF(J914=FALSE,"「毎月の固定給与額」","")&amp;IF(AND(J914=FALSE,OR(K914=FALSE,L914=FALSE,M914=FALSE)),",","")&amp;IF(K914=FALSE,"「賞与額等」","")&amp;IF(AND(K914=FALSE,OR(L914=FALSE,M914=FALSE)),",","")&amp;IF(L914=FALSE,"「残業手当」","")&amp;IF(AND(L914=FALSE,M914=FALSE),",","")&amp;IF(M914=FALSE,"「残業時間」","")&amp;IF(OR(J914=FALSE,K914=FALSE,L914=FALSE,M914=FALSE),入力リスト!$K$36,"")&amp;IF(N914,"",入力リスト!$K$37)))</f>
        <v/>
      </c>
      <c r="H914" s="215"/>
      <c r="I914" s="1" t="b">
        <f>IF(B914="",FALSE,COUNTIF('従業員情報(給与以外)'!$A$4:$A$1000000,$B914)=0)</f>
        <v>0</v>
      </c>
      <c r="J914" s="8" t="b">
        <f t="shared" si="70"/>
        <v>1</v>
      </c>
      <c r="K914" s="8" t="b">
        <f t="shared" si="71"/>
        <v>1</v>
      </c>
      <c r="L914" s="8" t="b">
        <f t="shared" si="72"/>
        <v>1</v>
      </c>
      <c r="M914" s="8" t="b">
        <f t="shared" si="73"/>
        <v>1</v>
      </c>
      <c r="N914" s="1" t="b">
        <f t="shared" si="74"/>
        <v>1</v>
      </c>
      <c r="O914" s="8" t="str">
        <f>IF(F914="","",IF($F$2=入力リスト!$H$25,ROUNDDOWN(INT(F914)+ROUNDDOWN((F914-INT(F914))*100,0)/60,2),F914))</f>
        <v/>
      </c>
      <c r="P914" s="7"/>
      <c r="Q914" s="7"/>
    </row>
    <row r="915" spans="1:17">
      <c r="A915" s="105"/>
      <c r="B915" s="2"/>
      <c r="C915" s="3"/>
      <c r="D915" s="3"/>
      <c r="E915" s="3"/>
      <c r="F915" s="8"/>
      <c r="G915" s="215" t="str">
        <f>IF(AND($B915="",OR(B915&lt;&gt;"",C915&lt;&gt;"",D915&lt;&gt;"",E915&lt;&gt;"",F915&lt;&gt;"")),入力リスト!$K$34,IF($I915=TRUE,入力リスト!$K$35,IF(J915=FALSE,"「毎月の固定給与額」","")&amp;IF(AND(J915=FALSE,OR(K915=FALSE,L915=FALSE,M915=FALSE)),",","")&amp;IF(K915=FALSE,"「賞与額等」","")&amp;IF(AND(K915=FALSE,OR(L915=FALSE,M915=FALSE)),",","")&amp;IF(L915=FALSE,"「残業手当」","")&amp;IF(AND(L915=FALSE,M915=FALSE),",","")&amp;IF(M915=FALSE,"「残業時間」","")&amp;IF(OR(J915=FALSE,K915=FALSE,L915=FALSE,M915=FALSE),入力リスト!$K$36,"")&amp;IF(N915,"",入力リスト!$K$37)))</f>
        <v/>
      </c>
      <c r="H915" s="215"/>
      <c r="I915" s="1" t="b">
        <f>IF(B915="",FALSE,COUNTIF('従業員情報(給与以外)'!$A$4:$A$1000000,$B915)=0)</f>
        <v>0</v>
      </c>
      <c r="J915" s="8" t="b">
        <f t="shared" si="70"/>
        <v>1</v>
      </c>
      <c r="K915" s="8" t="b">
        <f t="shared" si="71"/>
        <v>1</v>
      </c>
      <c r="L915" s="8" t="b">
        <f t="shared" si="72"/>
        <v>1</v>
      </c>
      <c r="M915" s="8" t="b">
        <f t="shared" si="73"/>
        <v>1</v>
      </c>
      <c r="N915" s="1" t="b">
        <f t="shared" si="74"/>
        <v>1</v>
      </c>
      <c r="O915" s="8" t="str">
        <f>IF(F915="","",IF($F$2=入力リスト!$H$25,ROUNDDOWN(INT(F915)+ROUNDDOWN((F915-INT(F915))*100,0)/60,2),F915))</f>
        <v/>
      </c>
      <c r="P915" s="7"/>
      <c r="Q915" s="7"/>
    </row>
    <row r="916" spans="1:17">
      <c r="A916" s="105"/>
      <c r="B916" s="2"/>
      <c r="C916" s="3"/>
      <c r="D916" s="3"/>
      <c r="E916" s="3"/>
      <c r="F916" s="8"/>
      <c r="G916" s="215" t="str">
        <f>IF(AND($B916="",OR(B916&lt;&gt;"",C916&lt;&gt;"",D916&lt;&gt;"",E916&lt;&gt;"",F916&lt;&gt;"")),入力リスト!$K$34,IF($I916=TRUE,入力リスト!$K$35,IF(J916=FALSE,"「毎月の固定給与額」","")&amp;IF(AND(J916=FALSE,OR(K916=FALSE,L916=FALSE,M916=FALSE)),",","")&amp;IF(K916=FALSE,"「賞与額等」","")&amp;IF(AND(K916=FALSE,OR(L916=FALSE,M916=FALSE)),",","")&amp;IF(L916=FALSE,"「残業手当」","")&amp;IF(AND(L916=FALSE,M916=FALSE),",","")&amp;IF(M916=FALSE,"「残業時間」","")&amp;IF(OR(J916=FALSE,K916=FALSE,L916=FALSE,M916=FALSE),入力リスト!$K$36,"")&amp;IF(N916,"",入力リスト!$K$37)))</f>
        <v/>
      </c>
      <c r="H916" s="215"/>
      <c r="I916" s="1" t="b">
        <f>IF(B916="",FALSE,COUNTIF('従業員情報(給与以外)'!$A$4:$A$1000000,$B916)=0)</f>
        <v>0</v>
      </c>
      <c r="J916" s="8" t="b">
        <f t="shared" si="70"/>
        <v>1</v>
      </c>
      <c r="K916" s="8" t="b">
        <f t="shared" si="71"/>
        <v>1</v>
      </c>
      <c r="L916" s="8" t="b">
        <f t="shared" si="72"/>
        <v>1</v>
      </c>
      <c r="M916" s="8" t="b">
        <f t="shared" si="73"/>
        <v>1</v>
      </c>
      <c r="N916" s="1" t="b">
        <f t="shared" si="74"/>
        <v>1</v>
      </c>
      <c r="O916" s="8" t="str">
        <f>IF(F916="","",IF($F$2=入力リスト!$H$25,ROUNDDOWN(INT(F916)+ROUNDDOWN((F916-INT(F916))*100,0)/60,2),F916))</f>
        <v/>
      </c>
      <c r="P916" s="7"/>
      <c r="Q916" s="7"/>
    </row>
    <row r="917" spans="1:17">
      <c r="A917" s="105"/>
      <c r="B917" s="2"/>
      <c r="C917" s="3"/>
      <c r="D917" s="3"/>
      <c r="E917" s="3"/>
      <c r="F917" s="8"/>
      <c r="G917" s="215" t="str">
        <f>IF(AND($B917="",OR(B917&lt;&gt;"",C917&lt;&gt;"",D917&lt;&gt;"",E917&lt;&gt;"",F917&lt;&gt;"")),入力リスト!$K$34,IF($I917=TRUE,入力リスト!$K$35,IF(J917=FALSE,"「毎月の固定給与額」","")&amp;IF(AND(J917=FALSE,OR(K917=FALSE,L917=FALSE,M917=FALSE)),",","")&amp;IF(K917=FALSE,"「賞与額等」","")&amp;IF(AND(K917=FALSE,OR(L917=FALSE,M917=FALSE)),",","")&amp;IF(L917=FALSE,"「残業手当」","")&amp;IF(AND(L917=FALSE,M917=FALSE),",","")&amp;IF(M917=FALSE,"「残業時間」","")&amp;IF(OR(J917=FALSE,K917=FALSE,L917=FALSE,M917=FALSE),入力リスト!$K$36,"")&amp;IF(N917,"",入力リスト!$K$37)))</f>
        <v/>
      </c>
      <c r="H917" s="215"/>
      <c r="I917" s="1" t="b">
        <f>IF(B917="",FALSE,COUNTIF('従業員情報(給与以外)'!$A$4:$A$1000000,$B917)=0)</f>
        <v>0</v>
      </c>
      <c r="J917" s="8" t="b">
        <f t="shared" si="70"/>
        <v>1</v>
      </c>
      <c r="K917" s="8" t="b">
        <f t="shared" si="71"/>
        <v>1</v>
      </c>
      <c r="L917" s="8" t="b">
        <f t="shared" si="72"/>
        <v>1</v>
      </c>
      <c r="M917" s="8" t="b">
        <f t="shared" si="73"/>
        <v>1</v>
      </c>
      <c r="N917" s="1" t="b">
        <f t="shared" si="74"/>
        <v>1</v>
      </c>
      <c r="O917" s="8" t="str">
        <f>IF(F917="","",IF($F$2=入力リスト!$H$25,ROUNDDOWN(INT(F917)+ROUNDDOWN((F917-INT(F917))*100,0)/60,2),F917))</f>
        <v/>
      </c>
      <c r="P917" s="7"/>
      <c r="Q917" s="7"/>
    </row>
    <row r="918" spans="1:17">
      <c r="A918" s="105"/>
      <c r="B918" s="2"/>
      <c r="C918" s="3"/>
      <c r="D918" s="3"/>
      <c r="E918" s="3"/>
      <c r="F918" s="8"/>
      <c r="G918" s="215" t="str">
        <f>IF(AND($B918="",OR(B918&lt;&gt;"",C918&lt;&gt;"",D918&lt;&gt;"",E918&lt;&gt;"",F918&lt;&gt;"")),入力リスト!$K$34,IF($I918=TRUE,入力リスト!$K$35,IF(J918=FALSE,"「毎月の固定給与額」","")&amp;IF(AND(J918=FALSE,OR(K918=FALSE,L918=FALSE,M918=FALSE)),",","")&amp;IF(K918=FALSE,"「賞与額等」","")&amp;IF(AND(K918=FALSE,OR(L918=FALSE,M918=FALSE)),",","")&amp;IF(L918=FALSE,"「残業手当」","")&amp;IF(AND(L918=FALSE,M918=FALSE),",","")&amp;IF(M918=FALSE,"「残業時間」","")&amp;IF(OR(J918=FALSE,K918=FALSE,L918=FALSE,M918=FALSE),入力リスト!$K$36,"")&amp;IF(N918,"",入力リスト!$K$37)))</f>
        <v/>
      </c>
      <c r="H918" s="215"/>
      <c r="I918" s="1" t="b">
        <f>IF(B918="",FALSE,COUNTIF('従業員情報(給与以外)'!$A$4:$A$1000000,$B918)=0)</f>
        <v>0</v>
      </c>
      <c r="J918" s="8" t="b">
        <f t="shared" si="70"/>
        <v>1</v>
      </c>
      <c r="K918" s="8" t="b">
        <f t="shared" si="71"/>
        <v>1</v>
      </c>
      <c r="L918" s="8" t="b">
        <f t="shared" si="72"/>
        <v>1</v>
      </c>
      <c r="M918" s="8" t="b">
        <f t="shared" si="73"/>
        <v>1</v>
      </c>
      <c r="N918" s="1" t="b">
        <f t="shared" si="74"/>
        <v>1</v>
      </c>
      <c r="O918" s="8" t="str">
        <f>IF(F918="","",IF($F$2=入力リスト!$H$25,ROUNDDOWN(INT(F918)+ROUNDDOWN((F918-INT(F918))*100,0)/60,2),F918))</f>
        <v/>
      </c>
      <c r="P918" s="7"/>
      <c r="Q918" s="7"/>
    </row>
    <row r="919" spans="1:17">
      <c r="A919" s="105"/>
      <c r="B919" s="2"/>
      <c r="C919" s="3"/>
      <c r="D919" s="3"/>
      <c r="E919" s="3"/>
      <c r="F919" s="8"/>
      <c r="G919" s="215" t="str">
        <f>IF(AND($B919="",OR(B919&lt;&gt;"",C919&lt;&gt;"",D919&lt;&gt;"",E919&lt;&gt;"",F919&lt;&gt;"")),入力リスト!$K$34,IF($I919=TRUE,入力リスト!$K$35,IF(J919=FALSE,"「毎月の固定給与額」","")&amp;IF(AND(J919=FALSE,OR(K919=FALSE,L919=FALSE,M919=FALSE)),",","")&amp;IF(K919=FALSE,"「賞与額等」","")&amp;IF(AND(K919=FALSE,OR(L919=FALSE,M919=FALSE)),",","")&amp;IF(L919=FALSE,"「残業手当」","")&amp;IF(AND(L919=FALSE,M919=FALSE),",","")&amp;IF(M919=FALSE,"「残業時間」","")&amp;IF(OR(J919=FALSE,K919=FALSE,L919=FALSE,M919=FALSE),入力リスト!$K$36,"")&amp;IF(N919,"",入力リスト!$K$37)))</f>
        <v/>
      </c>
      <c r="H919" s="215"/>
      <c r="I919" s="1" t="b">
        <f>IF(B919="",FALSE,COUNTIF('従業員情報(給与以外)'!$A$4:$A$1000000,$B919)=0)</f>
        <v>0</v>
      </c>
      <c r="J919" s="8" t="b">
        <f t="shared" si="70"/>
        <v>1</v>
      </c>
      <c r="K919" s="8" t="b">
        <f t="shared" si="71"/>
        <v>1</v>
      </c>
      <c r="L919" s="8" t="b">
        <f t="shared" si="72"/>
        <v>1</v>
      </c>
      <c r="M919" s="8" t="b">
        <f t="shared" si="73"/>
        <v>1</v>
      </c>
      <c r="N919" s="1" t="b">
        <f t="shared" si="74"/>
        <v>1</v>
      </c>
      <c r="O919" s="8" t="str">
        <f>IF(F919="","",IF($F$2=入力リスト!$H$25,ROUNDDOWN(INT(F919)+ROUNDDOWN((F919-INT(F919))*100,0)/60,2),F919))</f>
        <v/>
      </c>
      <c r="P919" s="7"/>
      <c r="Q919" s="7"/>
    </row>
    <row r="920" spans="1:17">
      <c r="A920" s="105"/>
      <c r="B920" s="2"/>
      <c r="C920" s="3"/>
      <c r="D920" s="3"/>
      <c r="E920" s="3"/>
      <c r="F920" s="8"/>
      <c r="G920" s="215" t="str">
        <f>IF(AND($B920="",OR(B920&lt;&gt;"",C920&lt;&gt;"",D920&lt;&gt;"",E920&lt;&gt;"",F920&lt;&gt;"")),入力リスト!$K$34,IF($I920=TRUE,入力リスト!$K$35,IF(J920=FALSE,"「毎月の固定給与額」","")&amp;IF(AND(J920=FALSE,OR(K920=FALSE,L920=FALSE,M920=FALSE)),",","")&amp;IF(K920=FALSE,"「賞与額等」","")&amp;IF(AND(K920=FALSE,OR(L920=FALSE,M920=FALSE)),",","")&amp;IF(L920=FALSE,"「残業手当」","")&amp;IF(AND(L920=FALSE,M920=FALSE),",","")&amp;IF(M920=FALSE,"「残業時間」","")&amp;IF(OR(J920=FALSE,K920=FALSE,L920=FALSE,M920=FALSE),入力リスト!$K$36,"")&amp;IF(N920,"",入力リスト!$K$37)))</f>
        <v/>
      </c>
      <c r="H920" s="215"/>
      <c r="I920" s="1" t="b">
        <f>IF(B920="",FALSE,COUNTIF('従業員情報(給与以外)'!$A$4:$A$1000000,$B920)=0)</f>
        <v>0</v>
      </c>
      <c r="J920" s="8" t="b">
        <f t="shared" si="70"/>
        <v>1</v>
      </c>
      <c r="K920" s="8" t="b">
        <f t="shared" si="71"/>
        <v>1</v>
      </c>
      <c r="L920" s="8" t="b">
        <f t="shared" si="72"/>
        <v>1</v>
      </c>
      <c r="M920" s="8" t="b">
        <f t="shared" si="73"/>
        <v>1</v>
      </c>
      <c r="N920" s="1" t="b">
        <f t="shared" si="74"/>
        <v>1</v>
      </c>
      <c r="O920" s="8" t="str">
        <f>IF(F920="","",IF($F$2=入力リスト!$H$25,ROUNDDOWN(INT(F920)+ROUNDDOWN((F920-INT(F920))*100,0)/60,2),F920))</f>
        <v/>
      </c>
      <c r="P920" s="7"/>
      <c r="Q920" s="7"/>
    </row>
    <row r="921" spans="1:17">
      <c r="A921" s="105"/>
      <c r="B921" s="2"/>
      <c r="C921" s="3"/>
      <c r="D921" s="3"/>
      <c r="E921" s="3"/>
      <c r="F921" s="8"/>
      <c r="G921" s="215" t="str">
        <f>IF(AND($B921="",OR(B921&lt;&gt;"",C921&lt;&gt;"",D921&lt;&gt;"",E921&lt;&gt;"",F921&lt;&gt;"")),入力リスト!$K$34,IF($I921=TRUE,入力リスト!$K$35,IF(J921=FALSE,"「毎月の固定給与額」","")&amp;IF(AND(J921=FALSE,OR(K921=FALSE,L921=FALSE,M921=FALSE)),",","")&amp;IF(K921=FALSE,"「賞与額等」","")&amp;IF(AND(K921=FALSE,OR(L921=FALSE,M921=FALSE)),",","")&amp;IF(L921=FALSE,"「残業手当」","")&amp;IF(AND(L921=FALSE,M921=FALSE),",","")&amp;IF(M921=FALSE,"「残業時間」","")&amp;IF(OR(J921=FALSE,K921=FALSE,L921=FALSE,M921=FALSE),入力リスト!$K$36,"")&amp;IF(N921,"",入力リスト!$K$37)))</f>
        <v/>
      </c>
      <c r="H921" s="215"/>
      <c r="I921" s="1" t="b">
        <f>IF(B921="",FALSE,COUNTIF('従業員情報(給与以外)'!$A$4:$A$1000000,$B921)=0)</f>
        <v>0</v>
      </c>
      <c r="J921" s="8" t="b">
        <f t="shared" si="70"/>
        <v>1</v>
      </c>
      <c r="K921" s="8" t="b">
        <f t="shared" si="71"/>
        <v>1</v>
      </c>
      <c r="L921" s="8" t="b">
        <f t="shared" si="72"/>
        <v>1</v>
      </c>
      <c r="M921" s="8" t="b">
        <f t="shared" si="73"/>
        <v>1</v>
      </c>
      <c r="N921" s="1" t="b">
        <f t="shared" si="74"/>
        <v>1</v>
      </c>
      <c r="O921" s="8" t="str">
        <f>IF(F921="","",IF($F$2=入力リスト!$H$25,ROUNDDOWN(INT(F921)+ROUNDDOWN((F921-INT(F921))*100,0)/60,2),F921))</f>
        <v/>
      </c>
      <c r="P921" s="7"/>
      <c r="Q921" s="7"/>
    </row>
    <row r="922" spans="1:17">
      <c r="A922" s="105"/>
      <c r="B922" s="2"/>
      <c r="C922" s="3"/>
      <c r="D922" s="3"/>
      <c r="E922" s="3"/>
      <c r="F922" s="8"/>
      <c r="G922" s="215" t="str">
        <f>IF(AND($B922="",OR(B922&lt;&gt;"",C922&lt;&gt;"",D922&lt;&gt;"",E922&lt;&gt;"",F922&lt;&gt;"")),入力リスト!$K$34,IF($I922=TRUE,入力リスト!$K$35,IF(J922=FALSE,"「毎月の固定給与額」","")&amp;IF(AND(J922=FALSE,OR(K922=FALSE,L922=FALSE,M922=FALSE)),",","")&amp;IF(K922=FALSE,"「賞与額等」","")&amp;IF(AND(K922=FALSE,OR(L922=FALSE,M922=FALSE)),",","")&amp;IF(L922=FALSE,"「残業手当」","")&amp;IF(AND(L922=FALSE,M922=FALSE),",","")&amp;IF(M922=FALSE,"「残業時間」","")&amp;IF(OR(J922=FALSE,K922=FALSE,L922=FALSE,M922=FALSE),入力リスト!$K$36,"")&amp;IF(N922,"",入力リスト!$K$37)))</f>
        <v/>
      </c>
      <c r="H922" s="215"/>
      <c r="I922" s="1" t="b">
        <f>IF(B922="",FALSE,COUNTIF('従業員情報(給与以外)'!$A$4:$A$1000000,$B922)=0)</f>
        <v>0</v>
      </c>
      <c r="J922" s="8" t="b">
        <f t="shared" si="70"/>
        <v>1</v>
      </c>
      <c r="K922" s="8" t="b">
        <f t="shared" si="71"/>
        <v>1</v>
      </c>
      <c r="L922" s="8" t="b">
        <f t="shared" si="72"/>
        <v>1</v>
      </c>
      <c r="M922" s="8" t="b">
        <f t="shared" si="73"/>
        <v>1</v>
      </c>
      <c r="N922" s="1" t="b">
        <f t="shared" si="74"/>
        <v>1</v>
      </c>
      <c r="O922" s="8" t="str">
        <f>IF(F922="","",IF($F$2=入力リスト!$H$25,ROUNDDOWN(INT(F922)+ROUNDDOWN((F922-INT(F922))*100,0)/60,2),F922))</f>
        <v/>
      </c>
      <c r="P922" s="7"/>
      <c r="Q922" s="7"/>
    </row>
    <row r="923" spans="1:17">
      <c r="A923" s="105"/>
      <c r="B923" s="2"/>
      <c r="C923" s="3"/>
      <c r="D923" s="3"/>
      <c r="E923" s="3"/>
      <c r="F923" s="8"/>
      <c r="G923" s="215" t="str">
        <f>IF(AND($B923="",OR(B923&lt;&gt;"",C923&lt;&gt;"",D923&lt;&gt;"",E923&lt;&gt;"",F923&lt;&gt;"")),入力リスト!$K$34,IF($I923=TRUE,入力リスト!$K$35,IF(J923=FALSE,"「毎月の固定給与額」","")&amp;IF(AND(J923=FALSE,OR(K923=FALSE,L923=FALSE,M923=FALSE)),",","")&amp;IF(K923=FALSE,"「賞与額等」","")&amp;IF(AND(K923=FALSE,OR(L923=FALSE,M923=FALSE)),",","")&amp;IF(L923=FALSE,"「残業手当」","")&amp;IF(AND(L923=FALSE,M923=FALSE),",","")&amp;IF(M923=FALSE,"「残業時間」","")&amp;IF(OR(J923=FALSE,K923=FALSE,L923=FALSE,M923=FALSE),入力リスト!$K$36,"")&amp;IF(N923,"",入力リスト!$K$37)))</f>
        <v/>
      </c>
      <c r="H923" s="215"/>
      <c r="I923" s="1" t="b">
        <f>IF(B923="",FALSE,COUNTIF('従業員情報(給与以外)'!$A$4:$A$1000000,$B923)=0)</f>
        <v>0</v>
      </c>
      <c r="J923" s="8" t="b">
        <f t="shared" si="70"/>
        <v>1</v>
      </c>
      <c r="K923" s="8" t="b">
        <f t="shared" si="71"/>
        <v>1</v>
      </c>
      <c r="L923" s="8" t="b">
        <f t="shared" si="72"/>
        <v>1</v>
      </c>
      <c r="M923" s="8" t="b">
        <f t="shared" si="73"/>
        <v>1</v>
      </c>
      <c r="N923" s="1" t="b">
        <f t="shared" si="74"/>
        <v>1</v>
      </c>
      <c r="O923" s="8" t="str">
        <f>IF(F923="","",IF($F$2=入力リスト!$H$25,ROUNDDOWN(INT(F923)+ROUNDDOWN((F923-INT(F923))*100,0)/60,2),F923))</f>
        <v/>
      </c>
      <c r="P923" s="7"/>
      <c r="Q923" s="7"/>
    </row>
    <row r="924" spans="1:17">
      <c r="A924" s="105"/>
      <c r="B924" s="2"/>
      <c r="C924" s="3"/>
      <c r="D924" s="3"/>
      <c r="E924" s="3"/>
      <c r="F924" s="8"/>
      <c r="G924" s="215" t="str">
        <f>IF(AND($B924="",OR(B924&lt;&gt;"",C924&lt;&gt;"",D924&lt;&gt;"",E924&lt;&gt;"",F924&lt;&gt;"")),入力リスト!$K$34,IF($I924=TRUE,入力リスト!$K$35,IF(J924=FALSE,"「毎月の固定給与額」","")&amp;IF(AND(J924=FALSE,OR(K924=FALSE,L924=FALSE,M924=FALSE)),",","")&amp;IF(K924=FALSE,"「賞与額等」","")&amp;IF(AND(K924=FALSE,OR(L924=FALSE,M924=FALSE)),",","")&amp;IF(L924=FALSE,"「残業手当」","")&amp;IF(AND(L924=FALSE,M924=FALSE),",","")&amp;IF(M924=FALSE,"「残業時間」","")&amp;IF(OR(J924=FALSE,K924=FALSE,L924=FALSE,M924=FALSE),入力リスト!$K$36,"")&amp;IF(N924,"",入力リスト!$K$37)))</f>
        <v/>
      </c>
      <c r="H924" s="215"/>
      <c r="I924" s="1" t="b">
        <f>IF(B924="",FALSE,COUNTIF('従業員情報(給与以外)'!$A$4:$A$1000000,$B924)=0)</f>
        <v>0</v>
      </c>
      <c r="J924" s="8" t="b">
        <f t="shared" si="70"/>
        <v>1</v>
      </c>
      <c r="K924" s="8" t="b">
        <f t="shared" si="71"/>
        <v>1</v>
      </c>
      <c r="L924" s="8" t="b">
        <f t="shared" si="72"/>
        <v>1</v>
      </c>
      <c r="M924" s="8" t="b">
        <f t="shared" si="73"/>
        <v>1</v>
      </c>
      <c r="N924" s="1" t="b">
        <f t="shared" si="74"/>
        <v>1</v>
      </c>
      <c r="O924" s="8" t="str">
        <f>IF(F924="","",IF($F$2=入力リスト!$H$25,ROUNDDOWN(INT(F924)+ROUNDDOWN((F924-INT(F924))*100,0)/60,2),F924))</f>
        <v/>
      </c>
      <c r="P924" s="7"/>
      <c r="Q924" s="7"/>
    </row>
    <row r="925" spans="1:17">
      <c r="A925" s="105"/>
      <c r="B925" s="2"/>
      <c r="C925" s="3"/>
      <c r="D925" s="3"/>
      <c r="E925" s="3"/>
      <c r="F925" s="8"/>
      <c r="G925" s="215" t="str">
        <f>IF(AND($B925="",OR(B925&lt;&gt;"",C925&lt;&gt;"",D925&lt;&gt;"",E925&lt;&gt;"",F925&lt;&gt;"")),入力リスト!$K$34,IF($I925=TRUE,入力リスト!$K$35,IF(J925=FALSE,"「毎月の固定給与額」","")&amp;IF(AND(J925=FALSE,OR(K925=FALSE,L925=FALSE,M925=FALSE)),",","")&amp;IF(K925=FALSE,"「賞与額等」","")&amp;IF(AND(K925=FALSE,OR(L925=FALSE,M925=FALSE)),",","")&amp;IF(L925=FALSE,"「残業手当」","")&amp;IF(AND(L925=FALSE,M925=FALSE),",","")&amp;IF(M925=FALSE,"「残業時間」","")&amp;IF(OR(J925=FALSE,K925=FALSE,L925=FALSE,M925=FALSE),入力リスト!$K$36,"")&amp;IF(N925,"",入力リスト!$K$37)))</f>
        <v/>
      </c>
      <c r="H925" s="215"/>
      <c r="I925" s="1" t="b">
        <f>IF(B925="",FALSE,COUNTIF('従業員情報(給与以外)'!$A$4:$A$1000000,$B925)=0)</f>
        <v>0</v>
      </c>
      <c r="J925" s="8" t="b">
        <f t="shared" si="70"/>
        <v>1</v>
      </c>
      <c r="K925" s="8" t="b">
        <f t="shared" si="71"/>
        <v>1</v>
      </c>
      <c r="L925" s="8" t="b">
        <f t="shared" si="72"/>
        <v>1</v>
      </c>
      <c r="M925" s="8" t="b">
        <f t="shared" si="73"/>
        <v>1</v>
      </c>
      <c r="N925" s="1" t="b">
        <f t="shared" si="74"/>
        <v>1</v>
      </c>
      <c r="O925" s="8" t="str">
        <f>IF(F925="","",IF($F$2=入力リスト!$H$25,ROUNDDOWN(INT(F925)+ROUNDDOWN((F925-INT(F925))*100,0)/60,2),F925))</f>
        <v/>
      </c>
      <c r="P925" s="7"/>
      <c r="Q925" s="7"/>
    </row>
    <row r="926" spans="1:17">
      <c r="A926" s="105"/>
      <c r="B926" s="2"/>
      <c r="C926" s="3"/>
      <c r="D926" s="3"/>
      <c r="E926" s="3"/>
      <c r="F926" s="8"/>
      <c r="G926" s="215" t="str">
        <f>IF(AND($B926="",OR(B926&lt;&gt;"",C926&lt;&gt;"",D926&lt;&gt;"",E926&lt;&gt;"",F926&lt;&gt;"")),入力リスト!$K$34,IF($I926=TRUE,入力リスト!$K$35,IF(J926=FALSE,"「毎月の固定給与額」","")&amp;IF(AND(J926=FALSE,OR(K926=FALSE,L926=FALSE,M926=FALSE)),",","")&amp;IF(K926=FALSE,"「賞与額等」","")&amp;IF(AND(K926=FALSE,OR(L926=FALSE,M926=FALSE)),",","")&amp;IF(L926=FALSE,"「残業手当」","")&amp;IF(AND(L926=FALSE,M926=FALSE),",","")&amp;IF(M926=FALSE,"「残業時間」","")&amp;IF(OR(J926=FALSE,K926=FALSE,L926=FALSE,M926=FALSE),入力リスト!$K$36,"")&amp;IF(N926,"",入力リスト!$K$37)))</f>
        <v/>
      </c>
      <c r="H926" s="215"/>
      <c r="I926" s="1" t="b">
        <f>IF(B926="",FALSE,COUNTIF('従業員情報(給与以外)'!$A$4:$A$1000000,$B926)=0)</f>
        <v>0</v>
      </c>
      <c r="J926" s="8" t="b">
        <f t="shared" si="70"/>
        <v>1</v>
      </c>
      <c r="K926" s="8" t="b">
        <f t="shared" si="71"/>
        <v>1</v>
      </c>
      <c r="L926" s="8" t="b">
        <f t="shared" si="72"/>
        <v>1</v>
      </c>
      <c r="M926" s="8" t="b">
        <f t="shared" si="73"/>
        <v>1</v>
      </c>
      <c r="N926" s="1" t="b">
        <f t="shared" si="74"/>
        <v>1</v>
      </c>
      <c r="O926" s="8" t="str">
        <f>IF(F926="","",IF($F$2=入力リスト!$H$25,ROUNDDOWN(INT(F926)+ROUNDDOWN((F926-INT(F926))*100,0)/60,2),F926))</f>
        <v/>
      </c>
      <c r="P926" s="7"/>
      <c r="Q926" s="7"/>
    </row>
    <row r="927" spans="1:17">
      <c r="A927" s="105"/>
      <c r="B927" s="2"/>
      <c r="C927" s="3"/>
      <c r="D927" s="3"/>
      <c r="E927" s="3"/>
      <c r="F927" s="8"/>
      <c r="G927" s="215" t="str">
        <f>IF(AND($B927="",OR(B927&lt;&gt;"",C927&lt;&gt;"",D927&lt;&gt;"",E927&lt;&gt;"",F927&lt;&gt;"")),入力リスト!$K$34,IF($I927=TRUE,入力リスト!$K$35,IF(J927=FALSE,"「毎月の固定給与額」","")&amp;IF(AND(J927=FALSE,OR(K927=FALSE,L927=FALSE,M927=FALSE)),",","")&amp;IF(K927=FALSE,"「賞与額等」","")&amp;IF(AND(K927=FALSE,OR(L927=FALSE,M927=FALSE)),",","")&amp;IF(L927=FALSE,"「残業手当」","")&amp;IF(AND(L927=FALSE,M927=FALSE),",","")&amp;IF(M927=FALSE,"「残業時間」","")&amp;IF(OR(J927=FALSE,K927=FALSE,L927=FALSE,M927=FALSE),入力リスト!$K$36,"")&amp;IF(N927,"",入力リスト!$K$37)))</f>
        <v/>
      </c>
      <c r="H927" s="215"/>
      <c r="I927" s="1" t="b">
        <f>IF(B927="",FALSE,COUNTIF('従業員情報(給与以外)'!$A$4:$A$1000000,$B927)=0)</f>
        <v>0</v>
      </c>
      <c r="J927" s="8" t="b">
        <f t="shared" si="70"/>
        <v>1</v>
      </c>
      <c r="K927" s="8" t="b">
        <f t="shared" si="71"/>
        <v>1</v>
      </c>
      <c r="L927" s="8" t="b">
        <f t="shared" si="72"/>
        <v>1</v>
      </c>
      <c r="M927" s="8" t="b">
        <f t="shared" si="73"/>
        <v>1</v>
      </c>
      <c r="N927" s="1" t="b">
        <f t="shared" si="74"/>
        <v>1</v>
      </c>
      <c r="O927" s="8" t="str">
        <f>IF(F927="","",IF($F$2=入力リスト!$H$25,ROUNDDOWN(INT(F927)+ROUNDDOWN((F927-INT(F927))*100,0)/60,2),F927))</f>
        <v/>
      </c>
      <c r="P927" s="7"/>
      <c r="Q927" s="7"/>
    </row>
    <row r="928" spans="1:17">
      <c r="A928" s="105"/>
      <c r="B928" s="2"/>
      <c r="C928" s="3"/>
      <c r="D928" s="3"/>
      <c r="E928" s="3"/>
      <c r="F928" s="8"/>
      <c r="G928" s="215" t="str">
        <f>IF(AND($B928="",OR(B928&lt;&gt;"",C928&lt;&gt;"",D928&lt;&gt;"",E928&lt;&gt;"",F928&lt;&gt;"")),入力リスト!$K$34,IF($I928=TRUE,入力リスト!$K$35,IF(J928=FALSE,"「毎月の固定給与額」","")&amp;IF(AND(J928=FALSE,OR(K928=FALSE,L928=FALSE,M928=FALSE)),",","")&amp;IF(K928=FALSE,"「賞与額等」","")&amp;IF(AND(K928=FALSE,OR(L928=FALSE,M928=FALSE)),",","")&amp;IF(L928=FALSE,"「残業手当」","")&amp;IF(AND(L928=FALSE,M928=FALSE),",","")&amp;IF(M928=FALSE,"「残業時間」","")&amp;IF(OR(J928=FALSE,K928=FALSE,L928=FALSE,M928=FALSE),入力リスト!$K$36,"")&amp;IF(N928,"",入力リスト!$K$37)))</f>
        <v/>
      </c>
      <c r="H928" s="215"/>
      <c r="I928" s="1" t="b">
        <f>IF(B928="",FALSE,COUNTIF('従業員情報(給与以外)'!$A$4:$A$1000000,$B928)=0)</f>
        <v>0</v>
      </c>
      <c r="J928" s="8" t="b">
        <f t="shared" si="70"/>
        <v>1</v>
      </c>
      <c r="K928" s="8" t="b">
        <f t="shared" si="71"/>
        <v>1</v>
      </c>
      <c r="L928" s="8" t="b">
        <f t="shared" si="72"/>
        <v>1</v>
      </c>
      <c r="M928" s="8" t="b">
        <f t="shared" si="73"/>
        <v>1</v>
      </c>
      <c r="N928" s="1" t="b">
        <f t="shared" si="74"/>
        <v>1</v>
      </c>
      <c r="O928" s="8" t="str">
        <f>IF(F928="","",IF($F$2=入力リスト!$H$25,ROUNDDOWN(INT(F928)+ROUNDDOWN((F928-INT(F928))*100,0)/60,2),F928))</f>
        <v/>
      </c>
      <c r="P928" s="7"/>
      <c r="Q928" s="7"/>
    </row>
    <row r="929" spans="1:17">
      <c r="A929" s="105"/>
      <c r="B929" s="2"/>
      <c r="C929" s="3"/>
      <c r="D929" s="3"/>
      <c r="E929" s="3"/>
      <c r="F929" s="8"/>
      <c r="G929" s="215" t="str">
        <f>IF(AND($B929="",OR(B929&lt;&gt;"",C929&lt;&gt;"",D929&lt;&gt;"",E929&lt;&gt;"",F929&lt;&gt;"")),入力リスト!$K$34,IF($I929=TRUE,入力リスト!$K$35,IF(J929=FALSE,"「毎月の固定給与額」","")&amp;IF(AND(J929=FALSE,OR(K929=FALSE,L929=FALSE,M929=FALSE)),",","")&amp;IF(K929=FALSE,"「賞与額等」","")&amp;IF(AND(K929=FALSE,OR(L929=FALSE,M929=FALSE)),",","")&amp;IF(L929=FALSE,"「残業手当」","")&amp;IF(AND(L929=FALSE,M929=FALSE),",","")&amp;IF(M929=FALSE,"「残業時間」","")&amp;IF(OR(J929=FALSE,K929=FALSE,L929=FALSE,M929=FALSE),入力リスト!$K$36,"")&amp;IF(N929,"",入力リスト!$K$37)))</f>
        <v/>
      </c>
      <c r="H929" s="215"/>
      <c r="I929" s="1" t="b">
        <f>IF(B929="",FALSE,COUNTIF('従業員情報(給与以外)'!$A$4:$A$1000000,$B929)=0)</f>
        <v>0</v>
      </c>
      <c r="J929" s="8" t="b">
        <f t="shared" si="70"/>
        <v>1</v>
      </c>
      <c r="K929" s="8" t="b">
        <f t="shared" si="71"/>
        <v>1</v>
      </c>
      <c r="L929" s="8" t="b">
        <f t="shared" si="72"/>
        <v>1</v>
      </c>
      <c r="M929" s="8" t="b">
        <f t="shared" si="73"/>
        <v>1</v>
      </c>
      <c r="N929" s="1" t="b">
        <f t="shared" si="74"/>
        <v>1</v>
      </c>
      <c r="O929" s="8" t="str">
        <f>IF(F929="","",IF($F$2=入力リスト!$H$25,ROUNDDOWN(INT(F929)+ROUNDDOWN((F929-INT(F929))*100,0)/60,2),F929))</f>
        <v/>
      </c>
      <c r="P929" s="7"/>
      <c r="Q929" s="7"/>
    </row>
    <row r="930" spans="1:17">
      <c r="A930" s="105"/>
      <c r="B930" s="2"/>
      <c r="C930" s="3"/>
      <c r="D930" s="3"/>
      <c r="E930" s="3"/>
      <c r="F930" s="8"/>
      <c r="G930" s="215" t="str">
        <f>IF(AND($B930="",OR(B930&lt;&gt;"",C930&lt;&gt;"",D930&lt;&gt;"",E930&lt;&gt;"",F930&lt;&gt;"")),入力リスト!$K$34,IF($I930=TRUE,入力リスト!$K$35,IF(J930=FALSE,"「毎月の固定給与額」","")&amp;IF(AND(J930=FALSE,OR(K930=FALSE,L930=FALSE,M930=FALSE)),",","")&amp;IF(K930=FALSE,"「賞与額等」","")&amp;IF(AND(K930=FALSE,OR(L930=FALSE,M930=FALSE)),",","")&amp;IF(L930=FALSE,"「残業手当」","")&amp;IF(AND(L930=FALSE,M930=FALSE),",","")&amp;IF(M930=FALSE,"「残業時間」","")&amp;IF(OR(J930=FALSE,K930=FALSE,L930=FALSE,M930=FALSE),入力リスト!$K$36,"")&amp;IF(N930,"",入力リスト!$K$37)))</f>
        <v/>
      </c>
      <c r="H930" s="215"/>
      <c r="I930" s="1" t="b">
        <f>IF(B930="",FALSE,COUNTIF('従業員情報(給与以外)'!$A$4:$A$1000000,$B930)=0)</f>
        <v>0</v>
      </c>
      <c r="J930" s="8" t="b">
        <f t="shared" si="70"/>
        <v>1</v>
      </c>
      <c r="K930" s="8" t="b">
        <f t="shared" si="71"/>
        <v>1</v>
      </c>
      <c r="L930" s="8" t="b">
        <f t="shared" si="72"/>
        <v>1</v>
      </c>
      <c r="M930" s="8" t="b">
        <f t="shared" si="73"/>
        <v>1</v>
      </c>
      <c r="N930" s="1" t="b">
        <f t="shared" si="74"/>
        <v>1</v>
      </c>
      <c r="O930" s="8" t="str">
        <f>IF(F930="","",IF($F$2=入力リスト!$H$25,ROUNDDOWN(INT(F930)+ROUNDDOWN((F930-INT(F930))*100,0)/60,2),F930))</f>
        <v/>
      </c>
      <c r="P930" s="7"/>
      <c r="Q930" s="7"/>
    </row>
    <row r="931" spans="1:17">
      <c r="A931" s="105"/>
      <c r="B931" s="2"/>
      <c r="C931" s="3"/>
      <c r="D931" s="3"/>
      <c r="E931" s="3"/>
      <c r="F931" s="8"/>
      <c r="G931" s="215" t="str">
        <f>IF(AND($B931="",OR(B931&lt;&gt;"",C931&lt;&gt;"",D931&lt;&gt;"",E931&lt;&gt;"",F931&lt;&gt;"")),入力リスト!$K$34,IF($I931=TRUE,入力リスト!$K$35,IF(J931=FALSE,"「毎月の固定給与額」","")&amp;IF(AND(J931=FALSE,OR(K931=FALSE,L931=FALSE,M931=FALSE)),",","")&amp;IF(K931=FALSE,"「賞与額等」","")&amp;IF(AND(K931=FALSE,OR(L931=FALSE,M931=FALSE)),",","")&amp;IF(L931=FALSE,"「残業手当」","")&amp;IF(AND(L931=FALSE,M931=FALSE),",","")&amp;IF(M931=FALSE,"「残業時間」","")&amp;IF(OR(J931=FALSE,K931=FALSE,L931=FALSE,M931=FALSE),入力リスト!$K$36,"")&amp;IF(N931,"",入力リスト!$K$37)))</f>
        <v/>
      </c>
      <c r="H931" s="215"/>
      <c r="I931" s="1" t="b">
        <f>IF(B931="",FALSE,COUNTIF('従業員情報(給与以外)'!$A$4:$A$1000000,$B931)=0)</f>
        <v>0</v>
      </c>
      <c r="J931" s="8" t="b">
        <f t="shared" si="70"/>
        <v>1</v>
      </c>
      <c r="K931" s="8" t="b">
        <f t="shared" si="71"/>
        <v>1</v>
      </c>
      <c r="L931" s="8" t="b">
        <f t="shared" si="72"/>
        <v>1</v>
      </c>
      <c r="M931" s="8" t="b">
        <f t="shared" si="73"/>
        <v>1</v>
      </c>
      <c r="N931" s="1" t="b">
        <f t="shared" si="74"/>
        <v>1</v>
      </c>
      <c r="O931" s="8" t="str">
        <f>IF(F931="","",IF($F$2=入力リスト!$H$25,ROUNDDOWN(INT(F931)+ROUNDDOWN((F931-INT(F931))*100,0)/60,2),F931))</f>
        <v/>
      </c>
      <c r="P931" s="7"/>
      <c r="Q931" s="7"/>
    </row>
    <row r="932" spans="1:17">
      <c r="A932" s="105"/>
      <c r="B932" s="2"/>
      <c r="C932" s="3"/>
      <c r="D932" s="3"/>
      <c r="E932" s="3"/>
      <c r="F932" s="8"/>
      <c r="G932" s="215" t="str">
        <f>IF(AND($B932="",OR(B932&lt;&gt;"",C932&lt;&gt;"",D932&lt;&gt;"",E932&lt;&gt;"",F932&lt;&gt;"")),入力リスト!$K$34,IF($I932=TRUE,入力リスト!$K$35,IF(J932=FALSE,"「毎月の固定給与額」","")&amp;IF(AND(J932=FALSE,OR(K932=FALSE,L932=FALSE,M932=FALSE)),",","")&amp;IF(K932=FALSE,"「賞与額等」","")&amp;IF(AND(K932=FALSE,OR(L932=FALSE,M932=FALSE)),",","")&amp;IF(L932=FALSE,"「残業手当」","")&amp;IF(AND(L932=FALSE,M932=FALSE),",","")&amp;IF(M932=FALSE,"「残業時間」","")&amp;IF(OR(J932=FALSE,K932=FALSE,L932=FALSE,M932=FALSE),入力リスト!$K$36,"")&amp;IF(N932,"",入力リスト!$K$37)))</f>
        <v/>
      </c>
      <c r="H932" s="215"/>
      <c r="I932" s="1" t="b">
        <f>IF(B932="",FALSE,COUNTIF('従業員情報(給与以外)'!$A$4:$A$1000000,$B932)=0)</f>
        <v>0</v>
      </c>
      <c r="J932" s="8" t="b">
        <f t="shared" si="70"/>
        <v>1</v>
      </c>
      <c r="K932" s="8" t="b">
        <f t="shared" si="71"/>
        <v>1</v>
      </c>
      <c r="L932" s="8" t="b">
        <f t="shared" si="72"/>
        <v>1</v>
      </c>
      <c r="M932" s="8" t="b">
        <f t="shared" si="73"/>
        <v>1</v>
      </c>
      <c r="N932" s="1" t="b">
        <f t="shared" si="74"/>
        <v>1</v>
      </c>
      <c r="O932" s="8" t="str">
        <f>IF(F932="","",IF($F$2=入力リスト!$H$25,ROUNDDOWN(INT(F932)+ROUNDDOWN((F932-INT(F932))*100,0)/60,2),F932))</f>
        <v/>
      </c>
      <c r="P932" s="7"/>
      <c r="Q932" s="7"/>
    </row>
    <row r="933" spans="1:17">
      <c r="A933" s="105"/>
      <c r="B933" s="2"/>
      <c r="C933" s="3"/>
      <c r="D933" s="3"/>
      <c r="E933" s="3"/>
      <c r="F933" s="8"/>
      <c r="G933" s="215" t="str">
        <f>IF(AND($B933="",OR(B933&lt;&gt;"",C933&lt;&gt;"",D933&lt;&gt;"",E933&lt;&gt;"",F933&lt;&gt;"")),入力リスト!$K$34,IF($I933=TRUE,入力リスト!$K$35,IF(J933=FALSE,"「毎月の固定給与額」","")&amp;IF(AND(J933=FALSE,OR(K933=FALSE,L933=FALSE,M933=FALSE)),",","")&amp;IF(K933=FALSE,"「賞与額等」","")&amp;IF(AND(K933=FALSE,OR(L933=FALSE,M933=FALSE)),",","")&amp;IF(L933=FALSE,"「残業手当」","")&amp;IF(AND(L933=FALSE,M933=FALSE),",","")&amp;IF(M933=FALSE,"「残業時間」","")&amp;IF(OR(J933=FALSE,K933=FALSE,L933=FALSE,M933=FALSE),入力リスト!$K$36,"")&amp;IF(N933,"",入力リスト!$K$37)))</f>
        <v/>
      </c>
      <c r="H933" s="215"/>
      <c r="I933" s="1" t="b">
        <f>IF(B933="",FALSE,COUNTIF('従業員情報(給与以外)'!$A$4:$A$1000000,$B933)=0)</f>
        <v>0</v>
      </c>
      <c r="J933" s="8" t="b">
        <f t="shared" si="70"/>
        <v>1</v>
      </c>
      <c r="K933" s="8" t="b">
        <f t="shared" si="71"/>
        <v>1</v>
      </c>
      <c r="L933" s="8" t="b">
        <f t="shared" si="72"/>
        <v>1</v>
      </c>
      <c r="M933" s="8" t="b">
        <f t="shared" si="73"/>
        <v>1</v>
      </c>
      <c r="N933" s="1" t="b">
        <f t="shared" si="74"/>
        <v>1</v>
      </c>
      <c r="O933" s="8" t="str">
        <f>IF(F933="","",IF($F$2=入力リスト!$H$25,ROUNDDOWN(INT(F933)+ROUNDDOWN((F933-INT(F933))*100,0)/60,2),F933))</f>
        <v/>
      </c>
      <c r="P933" s="7"/>
      <c r="Q933" s="7"/>
    </row>
    <row r="934" spans="1:17">
      <c r="A934" s="105"/>
      <c r="B934" s="2"/>
      <c r="C934" s="3"/>
      <c r="D934" s="3"/>
      <c r="E934" s="3"/>
      <c r="F934" s="8"/>
      <c r="G934" s="215" t="str">
        <f>IF(AND($B934="",OR(B934&lt;&gt;"",C934&lt;&gt;"",D934&lt;&gt;"",E934&lt;&gt;"",F934&lt;&gt;"")),入力リスト!$K$34,IF($I934=TRUE,入力リスト!$K$35,IF(J934=FALSE,"「毎月の固定給与額」","")&amp;IF(AND(J934=FALSE,OR(K934=FALSE,L934=FALSE,M934=FALSE)),",","")&amp;IF(K934=FALSE,"「賞与額等」","")&amp;IF(AND(K934=FALSE,OR(L934=FALSE,M934=FALSE)),",","")&amp;IF(L934=FALSE,"「残業手当」","")&amp;IF(AND(L934=FALSE,M934=FALSE),",","")&amp;IF(M934=FALSE,"「残業時間」","")&amp;IF(OR(J934=FALSE,K934=FALSE,L934=FALSE,M934=FALSE),入力リスト!$K$36,"")&amp;IF(N934,"",入力リスト!$K$37)))</f>
        <v/>
      </c>
      <c r="H934" s="215"/>
      <c r="I934" s="1" t="b">
        <f>IF(B934="",FALSE,COUNTIF('従業員情報(給与以外)'!$A$4:$A$1000000,$B934)=0)</f>
        <v>0</v>
      </c>
      <c r="J934" s="8" t="b">
        <f t="shared" si="70"/>
        <v>1</v>
      </c>
      <c r="K934" s="8" t="b">
        <f t="shared" si="71"/>
        <v>1</v>
      </c>
      <c r="L934" s="8" t="b">
        <f t="shared" si="72"/>
        <v>1</v>
      </c>
      <c r="M934" s="8" t="b">
        <f t="shared" si="73"/>
        <v>1</v>
      </c>
      <c r="N934" s="1" t="b">
        <f t="shared" si="74"/>
        <v>1</v>
      </c>
      <c r="O934" s="8" t="str">
        <f>IF(F934="","",IF($F$2=入力リスト!$H$25,ROUNDDOWN(INT(F934)+ROUNDDOWN((F934-INT(F934))*100,0)/60,2),F934))</f>
        <v/>
      </c>
      <c r="P934" s="7"/>
      <c r="Q934" s="7"/>
    </row>
    <row r="935" spans="1:17">
      <c r="A935" s="105"/>
      <c r="B935" s="2"/>
      <c r="C935" s="3"/>
      <c r="D935" s="3"/>
      <c r="E935" s="3"/>
      <c r="F935" s="8"/>
      <c r="G935" s="215" t="str">
        <f>IF(AND($B935="",OR(B935&lt;&gt;"",C935&lt;&gt;"",D935&lt;&gt;"",E935&lt;&gt;"",F935&lt;&gt;"")),入力リスト!$K$34,IF($I935=TRUE,入力リスト!$K$35,IF(J935=FALSE,"「毎月の固定給与額」","")&amp;IF(AND(J935=FALSE,OR(K935=FALSE,L935=FALSE,M935=FALSE)),",","")&amp;IF(K935=FALSE,"「賞与額等」","")&amp;IF(AND(K935=FALSE,OR(L935=FALSE,M935=FALSE)),",","")&amp;IF(L935=FALSE,"「残業手当」","")&amp;IF(AND(L935=FALSE,M935=FALSE),",","")&amp;IF(M935=FALSE,"「残業時間」","")&amp;IF(OR(J935=FALSE,K935=FALSE,L935=FALSE,M935=FALSE),入力リスト!$K$36,"")&amp;IF(N935,"",入力リスト!$K$37)))</f>
        <v/>
      </c>
      <c r="H935" s="215"/>
      <c r="I935" s="1" t="b">
        <f>IF(B935="",FALSE,COUNTIF('従業員情報(給与以外)'!$A$4:$A$1000000,$B935)=0)</f>
        <v>0</v>
      </c>
      <c r="J935" s="8" t="b">
        <f t="shared" si="70"/>
        <v>1</v>
      </c>
      <c r="K935" s="8" t="b">
        <f t="shared" si="71"/>
        <v>1</v>
      </c>
      <c r="L935" s="8" t="b">
        <f t="shared" si="72"/>
        <v>1</v>
      </c>
      <c r="M935" s="8" t="b">
        <f t="shared" si="73"/>
        <v>1</v>
      </c>
      <c r="N935" s="1" t="b">
        <f t="shared" si="74"/>
        <v>1</v>
      </c>
      <c r="O935" s="8" t="str">
        <f>IF(F935="","",IF($F$2=入力リスト!$H$25,ROUNDDOWN(INT(F935)+ROUNDDOWN((F935-INT(F935))*100,0)/60,2),F935))</f>
        <v/>
      </c>
      <c r="P935" s="7"/>
      <c r="Q935" s="7"/>
    </row>
    <row r="936" spans="1:17">
      <c r="A936" s="105"/>
      <c r="B936" s="2"/>
      <c r="C936" s="3"/>
      <c r="D936" s="3"/>
      <c r="E936" s="3"/>
      <c r="F936" s="8"/>
      <c r="G936" s="215" t="str">
        <f>IF(AND($B936="",OR(B936&lt;&gt;"",C936&lt;&gt;"",D936&lt;&gt;"",E936&lt;&gt;"",F936&lt;&gt;"")),入力リスト!$K$34,IF($I936=TRUE,入力リスト!$K$35,IF(J936=FALSE,"「毎月の固定給与額」","")&amp;IF(AND(J936=FALSE,OR(K936=FALSE,L936=FALSE,M936=FALSE)),",","")&amp;IF(K936=FALSE,"「賞与額等」","")&amp;IF(AND(K936=FALSE,OR(L936=FALSE,M936=FALSE)),",","")&amp;IF(L936=FALSE,"「残業手当」","")&amp;IF(AND(L936=FALSE,M936=FALSE),",","")&amp;IF(M936=FALSE,"「残業時間」","")&amp;IF(OR(J936=FALSE,K936=FALSE,L936=FALSE,M936=FALSE),入力リスト!$K$36,"")&amp;IF(N936,"",入力リスト!$K$37)))</f>
        <v/>
      </c>
      <c r="H936" s="215"/>
      <c r="I936" s="1" t="b">
        <f>IF(B936="",FALSE,COUNTIF('従業員情報(給与以外)'!$A$4:$A$1000000,$B936)=0)</f>
        <v>0</v>
      </c>
      <c r="J936" s="8" t="b">
        <f t="shared" si="70"/>
        <v>1</v>
      </c>
      <c r="K936" s="8" t="b">
        <f t="shared" si="71"/>
        <v>1</v>
      </c>
      <c r="L936" s="8" t="b">
        <f t="shared" si="72"/>
        <v>1</v>
      </c>
      <c r="M936" s="8" t="b">
        <f t="shared" si="73"/>
        <v>1</v>
      </c>
      <c r="N936" s="1" t="b">
        <f t="shared" si="74"/>
        <v>1</v>
      </c>
      <c r="O936" s="8" t="str">
        <f>IF(F936="","",IF($F$2=入力リスト!$H$25,ROUNDDOWN(INT(F936)+ROUNDDOWN((F936-INT(F936))*100,0)/60,2),F936))</f>
        <v/>
      </c>
      <c r="P936" s="7"/>
      <c r="Q936" s="7"/>
    </row>
    <row r="937" spans="1:17">
      <c r="A937" s="105"/>
      <c r="B937" s="2"/>
      <c r="C937" s="3"/>
      <c r="D937" s="3"/>
      <c r="E937" s="3"/>
      <c r="F937" s="8"/>
      <c r="G937" s="215" t="str">
        <f>IF(AND($B937="",OR(B937&lt;&gt;"",C937&lt;&gt;"",D937&lt;&gt;"",E937&lt;&gt;"",F937&lt;&gt;"")),入力リスト!$K$34,IF($I937=TRUE,入力リスト!$K$35,IF(J937=FALSE,"「毎月の固定給与額」","")&amp;IF(AND(J937=FALSE,OR(K937=FALSE,L937=FALSE,M937=FALSE)),",","")&amp;IF(K937=FALSE,"「賞与額等」","")&amp;IF(AND(K937=FALSE,OR(L937=FALSE,M937=FALSE)),",","")&amp;IF(L937=FALSE,"「残業手当」","")&amp;IF(AND(L937=FALSE,M937=FALSE),",","")&amp;IF(M937=FALSE,"「残業時間」","")&amp;IF(OR(J937=FALSE,K937=FALSE,L937=FALSE,M937=FALSE),入力リスト!$K$36,"")&amp;IF(N937,"",入力リスト!$K$37)))</f>
        <v/>
      </c>
      <c r="H937" s="215"/>
      <c r="I937" s="1" t="b">
        <f>IF(B937="",FALSE,COUNTIF('従業員情報(給与以外)'!$A$4:$A$1000000,$B937)=0)</f>
        <v>0</v>
      </c>
      <c r="J937" s="8" t="b">
        <f t="shared" si="70"/>
        <v>1</v>
      </c>
      <c r="K937" s="8" t="b">
        <f t="shared" si="71"/>
        <v>1</v>
      </c>
      <c r="L937" s="8" t="b">
        <f t="shared" si="72"/>
        <v>1</v>
      </c>
      <c r="M937" s="8" t="b">
        <f t="shared" si="73"/>
        <v>1</v>
      </c>
      <c r="N937" s="1" t="b">
        <f t="shared" si="74"/>
        <v>1</v>
      </c>
      <c r="O937" s="8" t="str">
        <f>IF(F937="","",IF($F$2=入力リスト!$H$25,ROUNDDOWN(INT(F937)+ROUNDDOWN((F937-INT(F937))*100,0)/60,2),F937))</f>
        <v/>
      </c>
      <c r="P937" s="7"/>
      <c r="Q937" s="7"/>
    </row>
    <row r="938" spans="1:17">
      <c r="A938" s="105"/>
      <c r="B938" s="2"/>
      <c r="C938" s="3"/>
      <c r="D938" s="3"/>
      <c r="E938" s="3"/>
      <c r="F938" s="8"/>
      <c r="G938" s="215" t="str">
        <f>IF(AND($B938="",OR(B938&lt;&gt;"",C938&lt;&gt;"",D938&lt;&gt;"",E938&lt;&gt;"",F938&lt;&gt;"")),入力リスト!$K$34,IF($I938=TRUE,入力リスト!$K$35,IF(J938=FALSE,"「毎月の固定給与額」","")&amp;IF(AND(J938=FALSE,OR(K938=FALSE,L938=FALSE,M938=FALSE)),",","")&amp;IF(K938=FALSE,"「賞与額等」","")&amp;IF(AND(K938=FALSE,OR(L938=FALSE,M938=FALSE)),",","")&amp;IF(L938=FALSE,"「残業手当」","")&amp;IF(AND(L938=FALSE,M938=FALSE),",","")&amp;IF(M938=FALSE,"「残業時間」","")&amp;IF(OR(J938=FALSE,K938=FALSE,L938=FALSE,M938=FALSE),入力リスト!$K$36,"")&amp;IF(N938,"",入力リスト!$K$37)))</f>
        <v/>
      </c>
      <c r="H938" s="215"/>
      <c r="I938" s="1" t="b">
        <f>IF(B938="",FALSE,COUNTIF('従業員情報(給与以外)'!$A$4:$A$1000000,$B938)=0)</f>
        <v>0</v>
      </c>
      <c r="J938" s="8" t="b">
        <f t="shared" si="70"/>
        <v>1</v>
      </c>
      <c r="K938" s="8" t="b">
        <f t="shared" si="71"/>
        <v>1</v>
      </c>
      <c r="L938" s="8" t="b">
        <f t="shared" si="72"/>
        <v>1</v>
      </c>
      <c r="M938" s="8" t="b">
        <f t="shared" si="73"/>
        <v>1</v>
      </c>
      <c r="N938" s="1" t="b">
        <f t="shared" si="74"/>
        <v>1</v>
      </c>
      <c r="O938" s="8" t="str">
        <f>IF(F938="","",IF($F$2=入力リスト!$H$25,ROUNDDOWN(INT(F938)+ROUNDDOWN((F938-INT(F938))*100,0)/60,2),F938))</f>
        <v/>
      </c>
      <c r="P938" s="7"/>
      <c r="Q938" s="7"/>
    </row>
    <row r="939" spans="1:17">
      <c r="A939" s="105"/>
      <c r="B939" s="2"/>
      <c r="C939" s="3"/>
      <c r="D939" s="3"/>
      <c r="E939" s="3"/>
      <c r="F939" s="8"/>
      <c r="G939" s="215" t="str">
        <f>IF(AND($B939="",OR(B939&lt;&gt;"",C939&lt;&gt;"",D939&lt;&gt;"",E939&lt;&gt;"",F939&lt;&gt;"")),入力リスト!$K$34,IF($I939=TRUE,入力リスト!$K$35,IF(J939=FALSE,"「毎月の固定給与額」","")&amp;IF(AND(J939=FALSE,OR(K939=FALSE,L939=FALSE,M939=FALSE)),",","")&amp;IF(K939=FALSE,"「賞与額等」","")&amp;IF(AND(K939=FALSE,OR(L939=FALSE,M939=FALSE)),",","")&amp;IF(L939=FALSE,"「残業手当」","")&amp;IF(AND(L939=FALSE,M939=FALSE),",","")&amp;IF(M939=FALSE,"「残業時間」","")&amp;IF(OR(J939=FALSE,K939=FALSE,L939=FALSE,M939=FALSE),入力リスト!$K$36,"")&amp;IF(N939,"",入力リスト!$K$37)))</f>
        <v/>
      </c>
      <c r="H939" s="215"/>
      <c r="I939" s="1" t="b">
        <f>IF(B939="",FALSE,COUNTIF('従業員情報(給与以外)'!$A$4:$A$1000000,$B939)=0)</f>
        <v>0</v>
      </c>
      <c r="J939" s="8" t="b">
        <f t="shared" si="70"/>
        <v>1</v>
      </c>
      <c r="K939" s="8" t="b">
        <f t="shared" si="71"/>
        <v>1</v>
      </c>
      <c r="L939" s="8" t="b">
        <f t="shared" si="72"/>
        <v>1</v>
      </c>
      <c r="M939" s="8" t="b">
        <f t="shared" si="73"/>
        <v>1</v>
      </c>
      <c r="N939" s="1" t="b">
        <f t="shared" si="74"/>
        <v>1</v>
      </c>
      <c r="O939" s="8" t="str">
        <f>IF(F939="","",IF($F$2=入力リスト!$H$25,ROUNDDOWN(INT(F939)+ROUNDDOWN((F939-INT(F939))*100,0)/60,2),F939))</f>
        <v/>
      </c>
      <c r="P939" s="7"/>
      <c r="Q939" s="7"/>
    </row>
    <row r="940" spans="1:17">
      <c r="A940" s="105"/>
      <c r="B940" s="2"/>
      <c r="C940" s="3"/>
      <c r="D940" s="3"/>
      <c r="E940" s="3"/>
      <c r="F940" s="8"/>
      <c r="G940" s="215" t="str">
        <f>IF(AND($B940="",OR(B940&lt;&gt;"",C940&lt;&gt;"",D940&lt;&gt;"",E940&lt;&gt;"",F940&lt;&gt;"")),入力リスト!$K$34,IF($I940=TRUE,入力リスト!$K$35,IF(J940=FALSE,"「毎月の固定給与額」","")&amp;IF(AND(J940=FALSE,OR(K940=FALSE,L940=FALSE,M940=FALSE)),",","")&amp;IF(K940=FALSE,"「賞与額等」","")&amp;IF(AND(K940=FALSE,OR(L940=FALSE,M940=FALSE)),",","")&amp;IF(L940=FALSE,"「残業手当」","")&amp;IF(AND(L940=FALSE,M940=FALSE),",","")&amp;IF(M940=FALSE,"「残業時間」","")&amp;IF(OR(J940=FALSE,K940=FALSE,L940=FALSE,M940=FALSE),入力リスト!$K$36,"")&amp;IF(N940,"",入力リスト!$K$37)))</f>
        <v/>
      </c>
      <c r="H940" s="215"/>
      <c r="I940" s="1" t="b">
        <f>IF(B940="",FALSE,COUNTIF('従業員情報(給与以外)'!$A$4:$A$1000000,$B940)=0)</f>
        <v>0</v>
      </c>
      <c r="J940" s="8" t="b">
        <f t="shared" si="70"/>
        <v>1</v>
      </c>
      <c r="K940" s="8" t="b">
        <f t="shared" si="71"/>
        <v>1</v>
      </c>
      <c r="L940" s="8" t="b">
        <f t="shared" si="72"/>
        <v>1</v>
      </c>
      <c r="M940" s="8" t="b">
        <f t="shared" si="73"/>
        <v>1</v>
      </c>
      <c r="N940" s="1" t="b">
        <f t="shared" si="74"/>
        <v>1</v>
      </c>
      <c r="O940" s="8" t="str">
        <f>IF(F940="","",IF($F$2=入力リスト!$H$25,ROUNDDOWN(INT(F940)+ROUNDDOWN((F940-INT(F940))*100,0)/60,2),F940))</f>
        <v/>
      </c>
      <c r="P940" s="7"/>
      <c r="Q940" s="7"/>
    </row>
    <row r="941" spans="1:17">
      <c r="A941" s="105"/>
      <c r="B941" s="2"/>
      <c r="C941" s="3"/>
      <c r="D941" s="3"/>
      <c r="E941" s="3"/>
      <c r="F941" s="8"/>
      <c r="G941" s="215" t="str">
        <f>IF(AND($B941="",OR(B941&lt;&gt;"",C941&lt;&gt;"",D941&lt;&gt;"",E941&lt;&gt;"",F941&lt;&gt;"")),入力リスト!$K$34,IF($I941=TRUE,入力リスト!$K$35,IF(J941=FALSE,"「毎月の固定給与額」","")&amp;IF(AND(J941=FALSE,OR(K941=FALSE,L941=FALSE,M941=FALSE)),",","")&amp;IF(K941=FALSE,"「賞与額等」","")&amp;IF(AND(K941=FALSE,OR(L941=FALSE,M941=FALSE)),",","")&amp;IF(L941=FALSE,"「残業手当」","")&amp;IF(AND(L941=FALSE,M941=FALSE),",","")&amp;IF(M941=FALSE,"「残業時間」","")&amp;IF(OR(J941=FALSE,K941=FALSE,L941=FALSE,M941=FALSE),入力リスト!$K$36,"")&amp;IF(N941,"",入力リスト!$K$37)))</f>
        <v/>
      </c>
      <c r="H941" s="215"/>
      <c r="I941" s="1" t="b">
        <f>IF(B941="",FALSE,COUNTIF('従業員情報(給与以外)'!$A$4:$A$1000000,$B941)=0)</f>
        <v>0</v>
      </c>
      <c r="J941" s="8" t="b">
        <f t="shared" si="70"/>
        <v>1</v>
      </c>
      <c r="K941" s="8" t="b">
        <f t="shared" si="71"/>
        <v>1</v>
      </c>
      <c r="L941" s="8" t="b">
        <f t="shared" si="72"/>
        <v>1</v>
      </c>
      <c r="M941" s="8" t="b">
        <f t="shared" si="73"/>
        <v>1</v>
      </c>
      <c r="N941" s="1" t="b">
        <f t="shared" si="74"/>
        <v>1</v>
      </c>
      <c r="O941" s="8" t="str">
        <f>IF(F941="","",IF($F$2=入力リスト!$H$25,ROUNDDOWN(INT(F941)+ROUNDDOWN((F941-INT(F941))*100,0)/60,2),F941))</f>
        <v/>
      </c>
      <c r="P941" s="7"/>
      <c r="Q941" s="7"/>
    </row>
    <row r="942" spans="1:17">
      <c r="A942" s="105"/>
      <c r="B942" s="2"/>
      <c r="C942" s="3"/>
      <c r="D942" s="3"/>
      <c r="E942" s="3"/>
      <c r="F942" s="8"/>
      <c r="G942" s="215" t="str">
        <f>IF(AND($B942="",OR(B942&lt;&gt;"",C942&lt;&gt;"",D942&lt;&gt;"",E942&lt;&gt;"",F942&lt;&gt;"")),入力リスト!$K$34,IF($I942=TRUE,入力リスト!$K$35,IF(J942=FALSE,"「毎月の固定給与額」","")&amp;IF(AND(J942=FALSE,OR(K942=FALSE,L942=FALSE,M942=FALSE)),",","")&amp;IF(K942=FALSE,"「賞与額等」","")&amp;IF(AND(K942=FALSE,OR(L942=FALSE,M942=FALSE)),",","")&amp;IF(L942=FALSE,"「残業手当」","")&amp;IF(AND(L942=FALSE,M942=FALSE),",","")&amp;IF(M942=FALSE,"「残業時間」","")&amp;IF(OR(J942=FALSE,K942=FALSE,L942=FALSE,M942=FALSE),入力リスト!$K$36,"")&amp;IF(N942,"",入力リスト!$K$37)))</f>
        <v/>
      </c>
      <c r="H942" s="215"/>
      <c r="I942" s="1" t="b">
        <f>IF(B942="",FALSE,COUNTIF('従業員情報(給与以外)'!$A$4:$A$1000000,$B942)=0)</f>
        <v>0</v>
      </c>
      <c r="J942" s="8" t="b">
        <f t="shared" si="70"/>
        <v>1</v>
      </c>
      <c r="K942" s="8" t="b">
        <f t="shared" si="71"/>
        <v>1</v>
      </c>
      <c r="L942" s="8" t="b">
        <f t="shared" si="72"/>
        <v>1</v>
      </c>
      <c r="M942" s="8" t="b">
        <f t="shared" si="73"/>
        <v>1</v>
      </c>
      <c r="N942" s="1" t="b">
        <f t="shared" si="74"/>
        <v>1</v>
      </c>
      <c r="O942" s="8" t="str">
        <f>IF(F942="","",IF($F$2=入力リスト!$H$25,ROUNDDOWN(INT(F942)+ROUNDDOWN((F942-INT(F942))*100,0)/60,2),F942))</f>
        <v/>
      </c>
      <c r="P942" s="7"/>
      <c r="Q942" s="7"/>
    </row>
    <row r="943" spans="1:17">
      <c r="A943" s="105"/>
      <c r="B943" s="2"/>
      <c r="C943" s="3"/>
      <c r="D943" s="3"/>
      <c r="E943" s="3"/>
      <c r="F943" s="8"/>
      <c r="G943" s="215" t="str">
        <f>IF(AND($B943="",OR(B943&lt;&gt;"",C943&lt;&gt;"",D943&lt;&gt;"",E943&lt;&gt;"",F943&lt;&gt;"")),入力リスト!$K$34,IF($I943=TRUE,入力リスト!$K$35,IF(J943=FALSE,"「毎月の固定給与額」","")&amp;IF(AND(J943=FALSE,OR(K943=FALSE,L943=FALSE,M943=FALSE)),",","")&amp;IF(K943=FALSE,"「賞与額等」","")&amp;IF(AND(K943=FALSE,OR(L943=FALSE,M943=FALSE)),",","")&amp;IF(L943=FALSE,"「残業手当」","")&amp;IF(AND(L943=FALSE,M943=FALSE),",","")&amp;IF(M943=FALSE,"「残業時間」","")&amp;IF(OR(J943=FALSE,K943=FALSE,L943=FALSE,M943=FALSE),入力リスト!$K$36,"")&amp;IF(N943,"",入力リスト!$K$37)))</f>
        <v/>
      </c>
      <c r="H943" s="215"/>
      <c r="I943" s="1" t="b">
        <f>IF(B943="",FALSE,COUNTIF('従業員情報(給与以外)'!$A$4:$A$1000000,$B943)=0)</f>
        <v>0</v>
      </c>
      <c r="J943" s="8" t="b">
        <f t="shared" si="70"/>
        <v>1</v>
      </c>
      <c r="K943" s="8" t="b">
        <f t="shared" si="71"/>
        <v>1</v>
      </c>
      <c r="L943" s="8" t="b">
        <f t="shared" si="72"/>
        <v>1</v>
      </c>
      <c r="M943" s="8" t="b">
        <f t="shared" si="73"/>
        <v>1</v>
      </c>
      <c r="N943" s="1" t="b">
        <f t="shared" si="74"/>
        <v>1</v>
      </c>
      <c r="O943" s="8" t="str">
        <f>IF(F943="","",IF($F$2=入力リスト!$H$25,ROUNDDOWN(INT(F943)+ROUNDDOWN((F943-INT(F943))*100,0)/60,2),F943))</f>
        <v/>
      </c>
      <c r="P943" s="7"/>
      <c r="Q943" s="7"/>
    </row>
    <row r="944" spans="1:17">
      <c r="A944" s="105"/>
      <c r="B944" s="2"/>
      <c r="C944" s="3"/>
      <c r="D944" s="3"/>
      <c r="E944" s="3"/>
      <c r="F944" s="8"/>
      <c r="G944" s="215" t="str">
        <f>IF(AND($B944="",OR(B944&lt;&gt;"",C944&lt;&gt;"",D944&lt;&gt;"",E944&lt;&gt;"",F944&lt;&gt;"")),入力リスト!$K$34,IF($I944=TRUE,入力リスト!$K$35,IF(J944=FALSE,"「毎月の固定給与額」","")&amp;IF(AND(J944=FALSE,OR(K944=FALSE,L944=FALSE,M944=FALSE)),",","")&amp;IF(K944=FALSE,"「賞与額等」","")&amp;IF(AND(K944=FALSE,OR(L944=FALSE,M944=FALSE)),",","")&amp;IF(L944=FALSE,"「残業手当」","")&amp;IF(AND(L944=FALSE,M944=FALSE),",","")&amp;IF(M944=FALSE,"「残業時間」","")&amp;IF(OR(J944=FALSE,K944=FALSE,L944=FALSE,M944=FALSE),入力リスト!$K$36,"")&amp;IF(N944,"",入力リスト!$K$37)))</f>
        <v/>
      </c>
      <c r="H944" s="215"/>
      <c r="I944" s="1" t="b">
        <f>IF(B944="",FALSE,COUNTIF('従業員情報(給与以外)'!$A$4:$A$1000000,$B944)=0)</f>
        <v>0</v>
      </c>
      <c r="J944" s="8" t="b">
        <f t="shared" si="70"/>
        <v>1</v>
      </c>
      <c r="K944" s="8" t="b">
        <f t="shared" si="71"/>
        <v>1</v>
      </c>
      <c r="L944" s="8" t="b">
        <f t="shared" si="72"/>
        <v>1</v>
      </c>
      <c r="M944" s="8" t="b">
        <f t="shared" si="73"/>
        <v>1</v>
      </c>
      <c r="N944" s="1" t="b">
        <f t="shared" si="74"/>
        <v>1</v>
      </c>
      <c r="O944" s="8" t="str">
        <f>IF(F944="","",IF($F$2=入力リスト!$H$25,ROUNDDOWN(INT(F944)+ROUNDDOWN((F944-INT(F944))*100,0)/60,2),F944))</f>
        <v/>
      </c>
      <c r="P944" s="7"/>
      <c r="Q944" s="7"/>
    </row>
    <row r="945" spans="1:17">
      <c r="A945" s="105"/>
      <c r="B945" s="2"/>
      <c r="C945" s="3"/>
      <c r="D945" s="3"/>
      <c r="E945" s="3"/>
      <c r="F945" s="8"/>
      <c r="G945" s="215" t="str">
        <f>IF(AND($B945="",OR(B945&lt;&gt;"",C945&lt;&gt;"",D945&lt;&gt;"",E945&lt;&gt;"",F945&lt;&gt;"")),入力リスト!$K$34,IF($I945=TRUE,入力リスト!$K$35,IF(J945=FALSE,"「毎月の固定給与額」","")&amp;IF(AND(J945=FALSE,OR(K945=FALSE,L945=FALSE,M945=FALSE)),",","")&amp;IF(K945=FALSE,"「賞与額等」","")&amp;IF(AND(K945=FALSE,OR(L945=FALSE,M945=FALSE)),",","")&amp;IF(L945=FALSE,"「残業手当」","")&amp;IF(AND(L945=FALSE,M945=FALSE),",","")&amp;IF(M945=FALSE,"「残業時間」","")&amp;IF(OR(J945=FALSE,K945=FALSE,L945=FALSE,M945=FALSE),入力リスト!$K$36,"")&amp;IF(N945,"",入力リスト!$K$37)))</f>
        <v/>
      </c>
      <c r="H945" s="215"/>
      <c r="I945" s="1" t="b">
        <f>IF(B945="",FALSE,COUNTIF('従業員情報(給与以外)'!$A$4:$A$1000000,$B945)=0)</f>
        <v>0</v>
      </c>
      <c r="J945" s="8" t="b">
        <f t="shared" si="70"/>
        <v>1</v>
      </c>
      <c r="K945" s="8" t="b">
        <f t="shared" si="71"/>
        <v>1</v>
      </c>
      <c r="L945" s="8" t="b">
        <f t="shared" si="72"/>
        <v>1</v>
      </c>
      <c r="M945" s="8" t="b">
        <f t="shared" si="73"/>
        <v>1</v>
      </c>
      <c r="N945" s="1" t="b">
        <f t="shared" si="74"/>
        <v>1</v>
      </c>
      <c r="O945" s="8" t="str">
        <f>IF(F945="","",IF($F$2=入力リスト!$H$25,ROUNDDOWN(INT(F945)+ROUNDDOWN((F945-INT(F945))*100,0)/60,2),F945))</f>
        <v/>
      </c>
      <c r="P945" s="7"/>
      <c r="Q945" s="7"/>
    </row>
    <row r="946" spans="1:17">
      <c r="A946" s="105"/>
      <c r="B946" s="2"/>
      <c r="C946" s="3"/>
      <c r="D946" s="3"/>
      <c r="E946" s="3"/>
      <c r="F946" s="8"/>
      <c r="G946" s="215" t="str">
        <f>IF(AND($B946="",OR(B946&lt;&gt;"",C946&lt;&gt;"",D946&lt;&gt;"",E946&lt;&gt;"",F946&lt;&gt;"")),入力リスト!$K$34,IF($I946=TRUE,入力リスト!$K$35,IF(J946=FALSE,"「毎月の固定給与額」","")&amp;IF(AND(J946=FALSE,OR(K946=FALSE,L946=FALSE,M946=FALSE)),",","")&amp;IF(K946=FALSE,"「賞与額等」","")&amp;IF(AND(K946=FALSE,OR(L946=FALSE,M946=FALSE)),",","")&amp;IF(L946=FALSE,"「残業手当」","")&amp;IF(AND(L946=FALSE,M946=FALSE),",","")&amp;IF(M946=FALSE,"「残業時間」","")&amp;IF(OR(J946=FALSE,K946=FALSE,L946=FALSE,M946=FALSE),入力リスト!$K$36,"")&amp;IF(N946,"",入力リスト!$K$37)))</f>
        <v/>
      </c>
      <c r="H946" s="215"/>
      <c r="I946" s="1" t="b">
        <f>IF(B946="",FALSE,COUNTIF('従業員情報(給与以外)'!$A$4:$A$1000000,$B946)=0)</f>
        <v>0</v>
      </c>
      <c r="J946" s="8" t="b">
        <f t="shared" si="70"/>
        <v>1</v>
      </c>
      <c r="K946" s="8" t="b">
        <f t="shared" si="71"/>
        <v>1</v>
      </c>
      <c r="L946" s="8" t="b">
        <f t="shared" si="72"/>
        <v>1</v>
      </c>
      <c r="M946" s="8" t="b">
        <f t="shared" si="73"/>
        <v>1</v>
      </c>
      <c r="N946" s="1" t="b">
        <f t="shared" si="74"/>
        <v>1</v>
      </c>
      <c r="O946" s="8" t="str">
        <f>IF(F946="","",IF($F$2=入力リスト!$H$25,ROUNDDOWN(INT(F946)+ROUNDDOWN((F946-INT(F946))*100,0)/60,2),F946))</f>
        <v/>
      </c>
      <c r="P946" s="7"/>
      <c r="Q946" s="7"/>
    </row>
    <row r="947" spans="1:17">
      <c r="A947" s="105"/>
      <c r="B947" s="2"/>
      <c r="C947" s="3"/>
      <c r="D947" s="3"/>
      <c r="E947" s="3"/>
      <c r="F947" s="8"/>
      <c r="G947" s="215" t="str">
        <f>IF(AND($B947="",OR(B947&lt;&gt;"",C947&lt;&gt;"",D947&lt;&gt;"",E947&lt;&gt;"",F947&lt;&gt;"")),入力リスト!$K$34,IF($I947=TRUE,入力リスト!$K$35,IF(J947=FALSE,"「毎月の固定給与額」","")&amp;IF(AND(J947=FALSE,OR(K947=FALSE,L947=FALSE,M947=FALSE)),",","")&amp;IF(K947=FALSE,"「賞与額等」","")&amp;IF(AND(K947=FALSE,OR(L947=FALSE,M947=FALSE)),",","")&amp;IF(L947=FALSE,"「残業手当」","")&amp;IF(AND(L947=FALSE,M947=FALSE),",","")&amp;IF(M947=FALSE,"「残業時間」","")&amp;IF(OR(J947=FALSE,K947=FALSE,L947=FALSE,M947=FALSE),入力リスト!$K$36,"")&amp;IF(N947,"",入力リスト!$K$37)))</f>
        <v/>
      </c>
      <c r="H947" s="215"/>
      <c r="I947" s="1" t="b">
        <f>IF(B947="",FALSE,COUNTIF('従業員情報(給与以外)'!$A$4:$A$1000000,$B947)=0)</f>
        <v>0</v>
      </c>
      <c r="J947" s="8" t="b">
        <f t="shared" si="70"/>
        <v>1</v>
      </c>
      <c r="K947" s="8" t="b">
        <f t="shared" si="71"/>
        <v>1</v>
      </c>
      <c r="L947" s="8" t="b">
        <f t="shared" si="72"/>
        <v>1</v>
      </c>
      <c r="M947" s="8" t="b">
        <f t="shared" si="73"/>
        <v>1</v>
      </c>
      <c r="N947" s="1" t="b">
        <f t="shared" si="74"/>
        <v>1</v>
      </c>
      <c r="O947" s="8" t="str">
        <f>IF(F947="","",IF($F$2=入力リスト!$H$25,ROUNDDOWN(INT(F947)+ROUNDDOWN((F947-INT(F947))*100,0)/60,2),F947))</f>
        <v/>
      </c>
      <c r="P947" s="7"/>
      <c r="Q947" s="7"/>
    </row>
    <row r="948" spans="1:17">
      <c r="A948" s="105"/>
      <c r="B948" s="2"/>
      <c r="C948" s="3"/>
      <c r="D948" s="3"/>
      <c r="E948" s="3"/>
      <c r="F948" s="8"/>
      <c r="G948" s="215" t="str">
        <f>IF(AND($B948="",OR(B948&lt;&gt;"",C948&lt;&gt;"",D948&lt;&gt;"",E948&lt;&gt;"",F948&lt;&gt;"")),入力リスト!$K$34,IF($I948=TRUE,入力リスト!$K$35,IF(J948=FALSE,"「毎月の固定給与額」","")&amp;IF(AND(J948=FALSE,OR(K948=FALSE,L948=FALSE,M948=FALSE)),",","")&amp;IF(K948=FALSE,"「賞与額等」","")&amp;IF(AND(K948=FALSE,OR(L948=FALSE,M948=FALSE)),",","")&amp;IF(L948=FALSE,"「残業手当」","")&amp;IF(AND(L948=FALSE,M948=FALSE),",","")&amp;IF(M948=FALSE,"「残業時間」","")&amp;IF(OR(J948=FALSE,K948=FALSE,L948=FALSE,M948=FALSE),入力リスト!$K$36,"")&amp;IF(N948,"",入力リスト!$K$37)))</f>
        <v/>
      </c>
      <c r="H948" s="215"/>
      <c r="I948" s="1" t="b">
        <f>IF(B948="",FALSE,COUNTIF('従業員情報(給与以外)'!$A$4:$A$1000000,$B948)=0)</f>
        <v>0</v>
      </c>
      <c r="J948" s="8" t="b">
        <f t="shared" si="70"/>
        <v>1</v>
      </c>
      <c r="K948" s="8" t="b">
        <f t="shared" si="71"/>
        <v>1</v>
      </c>
      <c r="L948" s="8" t="b">
        <f t="shared" si="72"/>
        <v>1</v>
      </c>
      <c r="M948" s="8" t="b">
        <f t="shared" si="73"/>
        <v>1</v>
      </c>
      <c r="N948" s="1" t="b">
        <f t="shared" si="74"/>
        <v>1</v>
      </c>
      <c r="O948" s="8" t="str">
        <f>IF(F948="","",IF($F$2=入力リスト!$H$25,ROUNDDOWN(INT(F948)+ROUNDDOWN((F948-INT(F948))*100,0)/60,2),F948))</f>
        <v/>
      </c>
      <c r="P948" s="7"/>
      <c r="Q948" s="7"/>
    </row>
    <row r="949" spans="1:17">
      <c r="A949" s="105"/>
      <c r="B949" s="2"/>
      <c r="C949" s="3"/>
      <c r="D949" s="3"/>
      <c r="E949" s="3"/>
      <c r="F949" s="8"/>
      <c r="G949" s="215" t="str">
        <f>IF(AND($B949="",OR(B949&lt;&gt;"",C949&lt;&gt;"",D949&lt;&gt;"",E949&lt;&gt;"",F949&lt;&gt;"")),入力リスト!$K$34,IF($I949=TRUE,入力リスト!$K$35,IF(J949=FALSE,"「毎月の固定給与額」","")&amp;IF(AND(J949=FALSE,OR(K949=FALSE,L949=FALSE,M949=FALSE)),",","")&amp;IF(K949=FALSE,"「賞与額等」","")&amp;IF(AND(K949=FALSE,OR(L949=FALSE,M949=FALSE)),",","")&amp;IF(L949=FALSE,"「残業手当」","")&amp;IF(AND(L949=FALSE,M949=FALSE),",","")&amp;IF(M949=FALSE,"「残業時間」","")&amp;IF(OR(J949=FALSE,K949=FALSE,L949=FALSE,M949=FALSE),入力リスト!$K$36,"")&amp;IF(N949,"",入力リスト!$K$37)))</f>
        <v/>
      </c>
      <c r="H949" s="215"/>
      <c r="I949" s="1" t="b">
        <f>IF(B949="",FALSE,COUNTIF('従業員情報(給与以外)'!$A$4:$A$1000000,$B949)=0)</f>
        <v>0</v>
      </c>
      <c r="J949" s="8" t="b">
        <f t="shared" si="70"/>
        <v>1</v>
      </c>
      <c r="K949" s="8" t="b">
        <f t="shared" si="71"/>
        <v>1</v>
      </c>
      <c r="L949" s="8" t="b">
        <f t="shared" si="72"/>
        <v>1</v>
      </c>
      <c r="M949" s="8" t="b">
        <f t="shared" si="73"/>
        <v>1</v>
      </c>
      <c r="N949" s="1" t="b">
        <f t="shared" si="74"/>
        <v>1</v>
      </c>
      <c r="O949" s="8" t="str">
        <f>IF(F949="","",IF($F$2=入力リスト!$H$25,ROUNDDOWN(INT(F949)+ROUNDDOWN((F949-INT(F949))*100,0)/60,2),F949))</f>
        <v/>
      </c>
      <c r="P949" s="7"/>
      <c r="Q949" s="7"/>
    </row>
    <row r="950" spans="1:17">
      <c r="A950" s="105"/>
      <c r="B950" s="2"/>
      <c r="C950" s="3"/>
      <c r="D950" s="3"/>
      <c r="E950" s="3"/>
      <c r="F950" s="8"/>
      <c r="G950" s="215" t="str">
        <f>IF(AND($B950="",OR(B950&lt;&gt;"",C950&lt;&gt;"",D950&lt;&gt;"",E950&lt;&gt;"",F950&lt;&gt;"")),入力リスト!$K$34,IF($I950=TRUE,入力リスト!$K$35,IF(J950=FALSE,"「毎月の固定給与額」","")&amp;IF(AND(J950=FALSE,OR(K950=FALSE,L950=FALSE,M950=FALSE)),",","")&amp;IF(K950=FALSE,"「賞与額等」","")&amp;IF(AND(K950=FALSE,OR(L950=FALSE,M950=FALSE)),",","")&amp;IF(L950=FALSE,"「残業手当」","")&amp;IF(AND(L950=FALSE,M950=FALSE),",","")&amp;IF(M950=FALSE,"「残業時間」","")&amp;IF(OR(J950=FALSE,K950=FALSE,L950=FALSE,M950=FALSE),入力リスト!$K$36,"")&amp;IF(N950,"",入力リスト!$K$37)))</f>
        <v/>
      </c>
      <c r="H950" s="215"/>
      <c r="I950" s="1" t="b">
        <f>IF(B950="",FALSE,COUNTIF('従業員情報(給与以外)'!$A$4:$A$1000000,$B950)=0)</f>
        <v>0</v>
      </c>
      <c r="J950" s="8" t="b">
        <f t="shared" si="70"/>
        <v>1</v>
      </c>
      <c r="K950" s="8" t="b">
        <f t="shared" si="71"/>
        <v>1</v>
      </c>
      <c r="L950" s="8" t="b">
        <f t="shared" si="72"/>
        <v>1</v>
      </c>
      <c r="M950" s="8" t="b">
        <f t="shared" si="73"/>
        <v>1</v>
      </c>
      <c r="N950" s="1" t="b">
        <f t="shared" si="74"/>
        <v>1</v>
      </c>
      <c r="O950" s="8" t="str">
        <f>IF(F950="","",IF($F$2=入力リスト!$H$25,ROUNDDOWN(INT(F950)+ROUNDDOWN((F950-INT(F950))*100,0)/60,2),F950))</f>
        <v/>
      </c>
      <c r="P950" s="7"/>
      <c r="Q950" s="7"/>
    </row>
    <row r="951" spans="1:17">
      <c r="A951" s="105"/>
      <c r="B951" s="2"/>
      <c r="C951" s="3"/>
      <c r="D951" s="3"/>
      <c r="E951" s="3"/>
      <c r="F951" s="8"/>
      <c r="G951" s="215" t="str">
        <f>IF(AND($B951="",OR(B951&lt;&gt;"",C951&lt;&gt;"",D951&lt;&gt;"",E951&lt;&gt;"",F951&lt;&gt;"")),入力リスト!$K$34,IF($I951=TRUE,入力リスト!$K$35,IF(J951=FALSE,"「毎月の固定給与額」","")&amp;IF(AND(J951=FALSE,OR(K951=FALSE,L951=FALSE,M951=FALSE)),",","")&amp;IF(K951=FALSE,"「賞与額等」","")&amp;IF(AND(K951=FALSE,OR(L951=FALSE,M951=FALSE)),",","")&amp;IF(L951=FALSE,"「残業手当」","")&amp;IF(AND(L951=FALSE,M951=FALSE),",","")&amp;IF(M951=FALSE,"「残業時間」","")&amp;IF(OR(J951=FALSE,K951=FALSE,L951=FALSE,M951=FALSE),入力リスト!$K$36,"")&amp;IF(N951,"",入力リスト!$K$37)))</f>
        <v/>
      </c>
      <c r="H951" s="215"/>
      <c r="I951" s="1" t="b">
        <f>IF(B951="",FALSE,COUNTIF('従業員情報(給与以外)'!$A$4:$A$1000000,$B951)=0)</f>
        <v>0</v>
      </c>
      <c r="J951" s="8" t="b">
        <f t="shared" si="70"/>
        <v>1</v>
      </c>
      <c r="K951" s="8" t="b">
        <f t="shared" si="71"/>
        <v>1</v>
      </c>
      <c r="L951" s="8" t="b">
        <f t="shared" si="72"/>
        <v>1</v>
      </c>
      <c r="M951" s="8" t="b">
        <f t="shared" si="73"/>
        <v>1</v>
      </c>
      <c r="N951" s="1" t="b">
        <f t="shared" si="74"/>
        <v>1</v>
      </c>
      <c r="O951" s="8" t="str">
        <f>IF(F951="","",IF($F$2=入力リスト!$H$25,ROUNDDOWN(INT(F951)+ROUNDDOWN((F951-INT(F951))*100,0)/60,2),F951))</f>
        <v/>
      </c>
      <c r="P951" s="7"/>
      <c r="Q951" s="7"/>
    </row>
    <row r="952" spans="1:17">
      <c r="A952" s="105"/>
      <c r="B952" s="2"/>
      <c r="C952" s="3"/>
      <c r="D952" s="3"/>
      <c r="E952" s="3"/>
      <c r="F952" s="8"/>
      <c r="G952" s="215" t="str">
        <f>IF(AND($B952="",OR(B952&lt;&gt;"",C952&lt;&gt;"",D952&lt;&gt;"",E952&lt;&gt;"",F952&lt;&gt;"")),入力リスト!$K$34,IF($I952=TRUE,入力リスト!$K$35,IF(J952=FALSE,"「毎月の固定給与額」","")&amp;IF(AND(J952=FALSE,OR(K952=FALSE,L952=FALSE,M952=FALSE)),",","")&amp;IF(K952=FALSE,"「賞与額等」","")&amp;IF(AND(K952=FALSE,OR(L952=FALSE,M952=FALSE)),",","")&amp;IF(L952=FALSE,"「残業手当」","")&amp;IF(AND(L952=FALSE,M952=FALSE),",","")&amp;IF(M952=FALSE,"「残業時間」","")&amp;IF(OR(J952=FALSE,K952=FALSE,L952=FALSE,M952=FALSE),入力リスト!$K$36,"")&amp;IF(N952,"",入力リスト!$K$37)))</f>
        <v/>
      </c>
      <c r="H952" s="215"/>
      <c r="I952" s="1" t="b">
        <f>IF(B952="",FALSE,COUNTIF('従業員情報(給与以外)'!$A$4:$A$1000000,$B952)=0)</f>
        <v>0</v>
      </c>
      <c r="J952" s="8" t="b">
        <f t="shared" si="70"/>
        <v>1</v>
      </c>
      <c r="K952" s="8" t="b">
        <f t="shared" si="71"/>
        <v>1</v>
      </c>
      <c r="L952" s="8" t="b">
        <f t="shared" si="72"/>
        <v>1</v>
      </c>
      <c r="M952" s="8" t="b">
        <f t="shared" si="73"/>
        <v>1</v>
      </c>
      <c r="N952" s="1" t="b">
        <f t="shared" si="74"/>
        <v>1</v>
      </c>
      <c r="O952" s="8" t="str">
        <f>IF(F952="","",IF($F$2=入力リスト!$H$25,ROUNDDOWN(INT(F952)+ROUNDDOWN((F952-INT(F952))*100,0)/60,2),F952))</f>
        <v/>
      </c>
      <c r="P952" s="7"/>
      <c r="Q952" s="7"/>
    </row>
    <row r="953" spans="1:17">
      <c r="A953" s="105"/>
      <c r="B953" s="2"/>
      <c r="C953" s="3"/>
      <c r="D953" s="3"/>
      <c r="E953" s="3"/>
      <c r="F953" s="8"/>
      <c r="G953" s="215" t="str">
        <f>IF(AND($B953="",OR(B953&lt;&gt;"",C953&lt;&gt;"",D953&lt;&gt;"",E953&lt;&gt;"",F953&lt;&gt;"")),入力リスト!$K$34,IF($I953=TRUE,入力リスト!$K$35,IF(J953=FALSE,"「毎月の固定給与額」","")&amp;IF(AND(J953=FALSE,OR(K953=FALSE,L953=FALSE,M953=FALSE)),",","")&amp;IF(K953=FALSE,"「賞与額等」","")&amp;IF(AND(K953=FALSE,OR(L953=FALSE,M953=FALSE)),",","")&amp;IF(L953=FALSE,"「残業手当」","")&amp;IF(AND(L953=FALSE,M953=FALSE),",","")&amp;IF(M953=FALSE,"「残業時間」","")&amp;IF(OR(J953=FALSE,K953=FALSE,L953=FALSE,M953=FALSE),入力リスト!$K$36,"")&amp;IF(N953,"",入力リスト!$K$37)))</f>
        <v/>
      </c>
      <c r="H953" s="215"/>
      <c r="I953" s="1" t="b">
        <f>IF(B953="",FALSE,COUNTIF('従業員情報(給与以外)'!$A$4:$A$1000000,$B953)=0)</f>
        <v>0</v>
      </c>
      <c r="J953" s="8" t="b">
        <f t="shared" si="70"/>
        <v>1</v>
      </c>
      <c r="K953" s="8" t="b">
        <f t="shared" si="71"/>
        <v>1</v>
      </c>
      <c r="L953" s="8" t="b">
        <f t="shared" si="72"/>
        <v>1</v>
      </c>
      <c r="M953" s="8" t="b">
        <f t="shared" si="73"/>
        <v>1</v>
      </c>
      <c r="N953" s="1" t="b">
        <f t="shared" si="74"/>
        <v>1</v>
      </c>
      <c r="O953" s="8" t="str">
        <f>IF(F953="","",IF($F$2=入力リスト!$H$25,ROUNDDOWN(INT(F953)+ROUNDDOWN((F953-INT(F953))*100,0)/60,2),F953))</f>
        <v/>
      </c>
      <c r="P953" s="7"/>
      <c r="Q953" s="7"/>
    </row>
    <row r="954" spans="1:17">
      <c r="A954" s="105"/>
      <c r="B954" s="2"/>
      <c r="C954" s="3"/>
      <c r="D954" s="3"/>
      <c r="E954" s="3"/>
      <c r="F954" s="8"/>
      <c r="G954" s="215" t="str">
        <f>IF(AND($B954="",OR(B954&lt;&gt;"",C954&lt;&gt;"",D954&lt;&gt;"",E954&lt;&gt;"",F954&lt;&gt;"")),入力リスト!$K$34,IF($I954=TRUE,入力リスト!$K$35,IF(J954=FALSE,"「毎月の固定給与額」","")&amp;IF(AND(J954=FALSE,OR(K954=FALSE,L954=FALSE,M954=FALSE)),",","")&amp;IF(K954=FALSE,"「賞与額等」","")&amp;IF(AND(K954=FALSE,OR(L954=FALSE,M954=FALSE)),",","")&amp;IF(L954=FALSE,"「残業手当」","")&amp;IF(AND(L954=FALSE,M954=FALSE),",","")&amp;IF(M954=FALSE,"「残業時間」","")&amp;IF(OR(J954=FALSE,K954=FALSE,L954=FALSE,M954=FALSE),入力リスト!$K$36,"")&amp;IF(N954,"",入力リスト!$K$37)))</f>
        <v/>
      </c>
      <c r="H954" s="215"/>
      <c r="I954" s="1" t="b">
        <f>IF(B954="",FALSE,COUNTIF('従業員情報(給与以外)'!$A$4:$A$1000000,$B954)=0)</f>
        <v>0</v>
      </c>
      <c r="J954" s="8" t="b">
        <f t="shared" si="70"/>
        <v>1</v>
      </c>
      <c r="K954" s="8" t="b">
        <f t="shared" si="71"/>
        <v>1</v>
      </c>
      <c r="L954" s="8" t="b">
        <f t="shared" si="72"/>
        <v>1</v>
      </c>
      <c r="M954" s="8" t="b">
        <f t="shared" si="73"/>
        <v>1</v>
      </c>
      <c r="N954" s="1" t="b">
        <f t="shared" si="74"/>
        <v>1</v>
      </c>
      <c r="O954" s="8" t="str">
        <f>IF(F954="","",IF($F$2=入力リスト!$H$25,ROUNDDOWN(INT(F954)+ROUNDDOWN((F954-INT(F954))*100,0)/60,2),F954))</f>
        <v/>
      </c>
      <c r="P954" s="7"/>
      <c r="Q954" s="7"/>
    </row>
    <row r="955" spans="1:17">
      <c r="A955" s="105"/>
      <c r="B955" s="2"/>
      <c r="C955" s="3"/>
      <c r="D955" s="3"/>
      <c r="E955" s="3"/>
      <c r="F955" s="8"/>
      <c r="G955" s="215" t="str">
        <f>IF(AND($B955="",OR(B955&lt;&gt;"",C955&lt;&gt;"",D955&lt;&gt;"",E955&lt;&gt;"",F955&lt;&gt;"")),入力リスト!$K$34,IF($I955=TRUE,入力リスト!$K$35,IF(J955=FALSE,"「毎月の固定給与額」","")&amp;IF(AND(J955=FALSE,OR(K955=FALSE,L955=FALSE,M955=FALSE)),",","")&amp;IF(K955=FALSE,"「賞与額等」","")&amp;IF(AND(K955=FALSE,OR(L955=FALSE,M955=FALSE)),",","")&amp;IF(L955=FALSE,"「残業手当」","")&amp;IF(AND(L955=FALSE,M955=FALSE),",","")&amp;IF(M955=FALSE,"「残業時間」","")&amp;IF(OR(J955=FALSE,K955=FALSE,L955=FALSE,M955=FALSE),入力リスト!$K$36,"")&amp;IF(N955,"",入力リスト!$K$37)))</f>
        <v/>
      </c>
      <c r="H955" s="215"/>
      <c r="I955" s="1" t="b">
        <f>IF(B955="",FALSE,COUNTIF('従業員情報(給与以外)'!$A$4:$A$1000000,$B955)=0)</f>
        <v>0</v>
      </c>
      <c r="J955" s="8" t="b">
        <f t="shared" si="70"/>
        <v>1</v>
      </c>
      <c r="K955" s="8" t="b">
        <f t="shared" si="71"/>
        <v>1</v>
      </c>
      <c r="L955" s="8" t="b">
        <f t="shared" si="72"/>
        <v>1</v>
      </c>
      <c r="M955" s="8" t="b">
        <f t="shared" si="73"/>
        <v>1</v>
      </c>
      <c r="N955" s="1" t="b">
        <f t="shared" si="74"/>
        <v>1</v>
      </c>
      <c r="O955" s="8" t="str">
        <f>IF(F955="","",IF($F$2=入力リスト!$H$25,ROUNDDOWN(INT(F955)+ROUNDDOWN((F955-INT(F955))*100,0)/60,2),F955))</f>
        <v/>
      </c>
      <c r="P955" s="7"/>
      <c r="Q955" s="7"/>
    </row>
    <row r="956" spans="1:17">
      <c r="A956" s="105"/>
      <c r="B956" s="2"/>
      <c r="C956" s="3"/>
      <c r="D956" s="3"/>
      <c r="E956" s="3"/>
      <c r="F956" s="8"/>
      <c r="G956" s="215" t="str">
        <f>IF(AND($B956="",OR(B956&lt;&gt;"",C956&lt;&gt;"",D956&lt;&gt;"",E956&lt;&gt;"",F956&lt;&gt;"")),入力リスト!$K$34,IF($I956=TRUE,入力リスト!$K$35,IF(J956=FALSE,"「毎月の固定給与額」","")&amp;IF(AND(J956=FALSE,OR(K956=FALSE,L956=FALSE,M956=FALSE)),",","")&amp;IF(K956=FALSE,"「賞与額等」","")&amp;IF(AND(K956=FALSE,OR(L956=FALSE,M956=FALSE)),",","")&amp;IF(L956=FALSE,"「残業手当」","")&amp;IF(AND(L956=FALSE,M956=FALSE),",","")&amp;IF(M956=FALSE,"「残業時間」","")&amp;IF(OR(J956=FALSE,K956=FALSE,L956=FALSE,M956=FALSE),入力リスト!$K$36,"")&amp;IF(N956,"",入力リスト!$K$37)))</f>
        <v/>
      </c>
      <c r="H956" s="215"/>
      <c r="I956" s="1" t="b">
        <f>IF(B956="",FALSE,COUNTIF('従業員情報(給与以外)'!$A$4:$A$1000000,$B956)=0)</f>
        <v>0</v>
      </c>
      <c r="J956" s="8" t="b">
        <f t="shared" si="70"/>
        <v>1</v>
      </c>
      <c r="K956" s="8" t="b">
        <f t="shared" si="71"/>
        <v>1</v>
      </c>
      <c r="L956" s="8" t="b">
        <f t="shared" si="72"/>
        <v>1</v>
      </c>
      <c r="M956" s="8" t="b">
        <f t="shared" si="73"/>
        <v>1</v>
      </c>
      <c r="N956" s="1" t="b">
        <f t="shared" si="74"/>
        <v>1</v>
      </c>
      <c r="O956" s="8" t="str">
        <f>IF(F956="","",IF($F$2=入力リスト!$H$25,ROUNDDOWN(INT(F956)+ROUNDDOWN((F956-INT(F956))*100,0)/60,2),F956))</f>
        <v/>
      </c>
      <c r="P956" s="7"/>
      <c r="Q956" s="7"/>
    </row>
    <row r="957" spans="1:17">
      <c r="A957" s="105"/>
      <c r="B957" s="2"/>
      <c r="C957" s="3"/>
      <c r="D957" s="3"/>
      <c r="E957" s="3"/>
      <c r="F957" s="8"/>
      <c r="G957" s="215" t="str">
        <f>IF(AND($B957="",OR(B957&lt;&gt;"",C957&lt;&gt;"",D957&lt;&gt;"",E957&lt;&gt;"",F957&lt;&gt;"")),入力リスト!$K$34,IF($I957=TRUE,入力リスト!$K$35,IF(J957=FALSE,"「毎月の固定給与額」","")&amp;IF(AND(J957=FALSE,OR(K957=FALSE,L957=FALSE,M957=FALSE)),",","")&amp;IF(K957=FALSE,"「賞与額等」","")&amp;IF(AND(K957=FALSE,OR(L957=FALSE,M957=FALSE)),",","")&amp;IF(L957=FALSE,"「残業手当」","")&amp;IF(AND(L957=FALSE,M957=FALSE),",","")&amp;IF(M957=FALSE,"「残業時間」","")&amp;IF(OR(J957=FALSE,K957=FALSE,L957=FALSE,M957=FALSE),入力リスト!$K$36,"")&amp;IF(N957,"",入力リスト!$K$37)))</f>
        <v/>
      </c>
      <c r="H957" s="215"/>
      <c r="I957" s="1" t="b">
        <f>IF(B957="",FALSE,COUNTIF('従業員情報(給与以外)'!$A$4:$A$1000000,$B957)=0)</f>
        <v>0</v>
      </c>
      <c r="J957" s="8" t="b">
        <f t="shared" si="70"/>
        <v>1</v>
      </c>
      <c r="K957" s="8" t="b">
        <f t="shared" si="71"/>
        <v>1</v>
      </c>
      <c r="L957" s="8" t="b">
        <f t="shared" si="72"/>
        <v>1</v>
      </c>
      <c r="M957" s="8" t="b">
        <f t="shared" si="73"/>
        <v>1</v>
      </c>
      <c r="N957" s="1" t="b">
        <f t="shared" si="74"/>
        <v>1</v>
      </c>
      <c r="O957" s="8" t="str">
        <f>IF(F957="","",IF($F$2=入力リスト!$H$25,ROUNDDOWN(INT(F957)+ROUNDDOWN((F957-INT(F957))*100,0)/60,2),F957))</f>
        <v/>
      </c>
      <c r="P957" s="7"/>
      <c r="Q957" s="7"/>
    </row>
    <row r="958" spans="1:17">
      <c r="A958" s="105"/>
      <c r="B958" s="2"/>
      <c r="C958" s="3"/>
      <c r="D958" s="3"/>
      <c r="E958" s="3"/>
      <c r="F958" s="8"/>
      <c r="G958" s="215" t="str">
        <f>IF(AND($B958="",OR(B958&lt;&gt;"",C958&lt;&gt;"",D958&lt;&gt;"",E958&lt;&gt;"",F958&lt;&gt;"")),入力リスト!$K$34,IF($I958=TRUE,入力リスト!$K$35,IF(J958=FALSE,"「毎月の固定給与額」","")&amp;IF(AND(J958=FALSE,OR(K958=FALSE,L958=FALSE,M958=FALSE)),",","")&amp;IF(K958=FALSE,"「賞与額等」","")&amp;IF(AND(K958=FALSE,OR(L958=FALSE,M958=FALSE)),",","")&amp;IF(L958=FALSE,"「残業手当」","")&amp;IF(AND(L958=FALSE,M958=FALSE),",","")&amp;IF(M958=FALSE,"「残業時間」","")&amp;IF(OR(J958=FALSE,K958=FALSE,L958=FALSE,M958=FALSE),入力リスト!$K$36,"")&amp;IF(N958,"",入力リスト!$K$37)))</f>
        <v/>
      </c>
      <c r="H958" s="215"/>
      <c r="I958" s="1" t="b">
        <f>IF(B958="",FALSE,COUNTIF('従業員情報(給与以外)'!$A$4:$A$1000000,$B958)=0)</f>
        <v>0</v>
      </c>
      <c r="J958" s="8" t="b">
        <f t="shared" si="70"/>
        <v>1</v>
      </c>
      <c r="K958" s="8" t="b">
        <f t="shared" si="71"/>
        <v>1</v>
      </c>
      <c r="L958" s="8" t="b">
        <f t="shared" si="72"/>
        <v>1</v>
      </c>
      <c r="M958" s="8" t="b">
        <f t="shared" si="73"/>
        <v>1</v>
      </c>
      <c r="N958" s="1" t="b">
        <f t="shared" si="74"/>
        <v>1</v>
      </c>
      <c r="O958" s="8" t="str">
        <f>IF(F958="","",IF($F$2=入力リスト!$H$25,ROUNDDOWN(INT(F958)+ROUNDDOWN((F958-INT(F958))*100,0)/60,2),F958))</f>
        <v/>
      </c>
      <c r="P958" s="7"/>
      <c r="Q958" s="7"/>
    </row>
    <row r="959" spans="1:17">
      <c r="A959" s="105"/>
      <c r="B959" s="2"/>
      <c r="C959" s="3"/>
      <c r="D959" s="3"/>
      <c r="E959" s="3"/>
      <c r="F959" s="8"/>
      <c r="G959" s="215" t="str">
        <f>IF(AND($B959="",OR(B959&lt;&gt;"",C959&lt;&gt;"",D959&lt;&gt;"",E959&lt;&gt;"",F959&lt;&gt;"")),入力リスト!$K$34,IF($I959=TRUE,入力リスト!$K$35,IF(J959=FALSE,"「毎月の固定給与額」","")&amp;IF(AND(J959=FALSE,OR(K959=FALSE,L959=FALSE,M959=FALSE)),",","")&amp;IF(K959=FALSE,"「賞与額等」","")&amp;IF(AND(K959=FALSE,OR(L959=FALSE,M959=FALSE)),",","")&amp;IF(L959=FALSE,"「残業手当」","")&amp;IF(AND(L959=FALSE,M959=FALSE),",","")&amp;IF(M959=FALSE,"「残業時間」","")&amp;IF(OR(J959=FALSE,K959=FALSE,L959=FALSE,M959=FALSE),入力リスト!$K$36,"")&amp;IF(N959,"",入力リスト!$K$37)))</f>
        <v/>
      </c>
      <c r="H959" s="215"/>
      <c r="I959" s="1" t="b">
        <f>IF(B959="",FALSE,COUNTIF('従業員情報(給与以外)'!$A$4:$A$1000000,$B959)=0)</f>
        <v>0</v>
      </c>
      <c r="J959" s="8" t="b">
        <f t="shared" si="70"/>
        <v>1</v>
      </c>
      <c r="K959" s="8" t="b">
        <f t="shared" si="71"/>
        <v>1</v>
      </c>
      <c r="L959" s="8" t="b">
        <f t="shared" si="72"/>
        <v>1</v>
      </c>
      <c r="M959" s="8" t="b">
        <f t="shared" si="73"/>
        <v>1</v>
      </c>
      <c r="N959" s="1" t="b">
        <f t="shared" si="74"/>
        <v>1</v>
      </c>
      <c r="O959" s="8" t="str">
        <f>IF(F959="","",IF($F$2=入力リスト!$H$25,ROUNDDOWN(INT(F959)+ROUNDDOWN((F959-INT(F959))*100,0)/60,2),F959))</f>
        <v/>
      </c>
      <c r="P959" s="7"/>
      <c r="Q959" s="7"/>
    </row>
    <row r="960" spans="1:17">
      <c r="A960" s="105"/>
      <c r="B960" s="2"/>
      <c r="C960" s="3"/>
      <c r="D960" s="3"/>
      <c r="E960" s="3"/>
      <c r="F960" s="8"/>
      <c r="G960" s="215" t="str">
        <f>IF(AND($B960="",OR(B960&lt;&gt;"",C960&lt;&gt;"",D960&lt;&gt;"",E960&lt;&gt;"",F960&lt;&gt;"")),入力リスト!$K$34,IF($I960=TRUE,入力リスト!$K$35,IF(J960=FALSE,"「毎月の固定給与額」","")&amp;IF(AND(J960=FALSE,OR(K960=FALSE,L960=FALSE,M960=FALSE)),",","")&amp;IF(K960=FALSE,"「賞与額等」","")&amp;IF(AND(K960=FALSE,OR(L960=FALSE,M960=FALSE)),",","")&amp;IF(L960=FALSE,"「残業手当」","")&amp;IF(AND(L960=FALSE,M960=FALSE),",","")&amp;IF(M960=FALSE,"「残業時間」","")&amp;IF(OR(J960=FALSE,K960=FALSE,L960=FALSE,M960=FALSE),入力リスト!$K$36,"")&amp;IF(N960,"",入力リスト!$K$37)))</f>
        <v/>
      </c>
      <c r="H960" s="215"/>
      <c r="I960" s="1" t="b">
        <f>IF(B960="",FALSE,COUNTIF('従業員情報(給与以外)'!$A$4:$A$1000000,$B960)=0)</f>
        <v>0</v>
      </c>
      <c r="J960" s="8" t="b">
        <f t="shared" si="70"/>
        <v>1</v>
      </c>
      <c r="K960" s="8" t="b">
        <f t="shared" si="71"/>
        <v>1</v>
      </c>
      <c r="L960" s="8" t="b">
        <f t="shared" si="72"/>
        <v>1</v>
      </c>
      <c r="M960" s="8" t="b">
        <f t="shared" si="73"/>
        <v>1</v>
      </c>
      <c r="N960" s="1" t="b">
        <f t="shared" si="74"/>
        <v>1</v>
      </c>
      <c r="O960" s="8" t="str">
        <f>IF(F960="","",IF($F$2=入力リスト!$H$25,ROUNDDOWN(INT(F960)+ROUNDDOWN((F960-INT(F960))*100,0)/60,2),F960))</f>
        <v/>
      </c>
      <c r="P960" s="7"/>
      <c r="Q960" s="7"/>
    </row>
    <row r="961" spans="1:17">
      <c r="A961" s="105"/>
      <c r="B961" s="2"/>
      <c r="C961" s="3"/>
      <c r="D961" s="3"/>
      <c r="E961" s="3"/>
      <c r="F961" s="8"/>
      <c r="G961" s="215" t="str">
        <f>IF(AND($B961="",OR(B961&lt;&gt;"",C961&lt;&gt;"",D961&lt;&gt;"",E961&lt;&gt;"",F961&lt;&gt;"")),入力リスト!$K$34,IF($I961=TRUE,入力リスト!$K$35,IF(J961=FALSE,"「毎月の固定給与額」","")&amp;IF(AND(J961=FALSE,OR(K961=FALSE,L961=FALSE,M961=FALSE)),",","")&amp;IF(K961=FALSE,"「賞与額等」","")&amp;IF(AND(K961=FALSE,OR(L961=FALSE,M961=FALSE)),",","")&amp;IF(L961=FALSE,"「残業手当」","")&amp;IF(AND(L961=FALSE,M961=FALSE),",","")&amp;IF(M961=FALSE,"「残業時間」","")&amp;IF(OR(J961=FALSE,K961=FALSE,L961=FALSE,M961=FALSE),入力リスト!$K$36,"")&amp;IF(N961,"",入力リスト!$K$37)))</f>
        <v/>
      </c>
      <c r="H961" s="215"/>
      <c r="I961" s="1" t="b">
        <f>IF(B961="",FALSE,COUNTIF('従業員情報(給与以外)'!$A$4:$A$1000000,$B961)=0)</f>
        <v>0</v>
      </c>
      <c r="J961" s="8" t="b">
        <f t="shared" si="70"/>
        <v>1</v>
      </c>
      <c r="K961" s="8" t="b">
        <f t="shared" si="71"/>
        <v>1</v>
      </c>
      <c r="L961" s="8" t="b">
        <f t="shared" si="72"/>
        <v>1</v>
      </c>
      <c r="M961" s="8" t="b">
        <f t="shared" si="73"/>
        <v>1</v>
      </c>
      <c r="N961" s="1" t="b">
        <f t="shared" si="74"/>
        <v>1</v>
      </c>
      <c r="O961" s="8" t="str">
        <f>IF(F961="","",IF($F$2=入力リスト!$H$25,ROUNDDOWN(INT(F961)+ROUNDDOWN((F961-INT(F961))*100,0)/60,2),F961))</f>
        <v/>
      </c>
      <c r="P961" s="7"/>
      <c r="Q961" s="7"/>
    </row>
    <row r="962" spans="1:17">
      <c r="A962" s="105"/>
      <c r="B962" s="2"/>
      <c r="C962" s="3"/>
      <c r="D962" s="3"/>
      <c r="E962" s="3"/>
      <c r="F962" s="8"/>
      <c r="G962" s="215" t="str">
        <f>IF(AND($B962="",OR(B962&lt;&gt;"",C962&lt;&gt;"",D962&lt;&gt;"",E962&lt;&gt;"",F962&lt;&gt;"")),入力リスト!$K$34,IF($I962=TRUE,入力リスト!$K$35,IF(J962=FALSE,"「毎月の固定給与額」","")&amp;IF(AND(J962=FALSE,OR(K962=FALSE,L962=FALSE,M962=FALSE)),",","")&amp;IF(K962=FALSE,"「賞与額等」","")&amp;IF(AND(K962=FALSE,OR(L962=FALSE,M962=FALSE)),",","")&amp;IF(L962=FALSE,"「残業手当」","")&amp;IF(AND(L962=FALSE,M962=FALSE),",","")&amp;IF(M962=FALSE,"「残業時間」","")&amp;IF(OR(J962=FALSE,K962=FALSE,L962=FALSE,M962=FALSE),入力リスト!$K$36,"")&amp;IF(N962,"",入力リスト!$K$37)))</f>
        <v/>
      </c>
      <c r="H962" s="215"/>
      <c r="I962" s="1" t="b">
        <f>IF(B962="",FALSE,COUNTIF('従業員情報(給与以外)'!$A$4:$A$1000000,$B962)=0)</f>
        <v>0</v>
      </c>
      <c r="J962" s="8" t="b">
        <f t="shared" si="70"/>
        <v>1</v>
      </c>
      <c r="K962" s="8" t="b">
        <f t="shared" si="71"/>
        <v>1</v>
      </c>
      <c r="L962" s="8" t="b">
        <f t="shared" si="72"/>
        <v>1</v>
      </c>
      <c r="M962" s="8" t="b">
        <f t="shared" si="73"/>
        <v>1</v>
      </c>
      <c r="N962" s="1" t="b">
        <f t="shared" si="74"/>
        <v>1</v>
      </c>
      <c r="O962" s="8" t="str">
        <f>IF(F962="","",IF($F$2=入力リスト!$H$25,ROUNDDOWN(INT(F962)+ROUNDDOWN((F962-INT(F962))*100,0)/60,2),F962))</f>
        <v/>
      </c>
      <c r="P962" s="7"/>
      <c r="Q962" s="7"/>
    </row>
    <row r="963" spans="1:17">
      <c r="A963" s="105"/>
      <c r="B963" s="2"/>
      <c r="C963" s="3"/>
      <c r="D963" s="3"/>
      <c r="E963" s="3"/>
      <c r="F963" s="8"/>
      <c r="G963" s="215" t="str">
        <f>IF(AND($B963="",OR(B963&lt;&gt;"",C963&lt;&gt;"",D963&lt;&gt;"",E963&lt;&gt;"",F963&lt;&gt;"")),入力リスト!$K$34,IF($I963=TRUE,入力リスト!$K$35,IF(J963=FALSE,"「毎月の固定給与額」","")&amp;IF(AND(J963=FALSE,OR(K963=FALSE,L963=FALSE,M963=FALSE)),",","")&amp;IF(K963=FALSE,"「賞与額等」","")&amp;IF(AND(K963=FALSE,OR(L963=FALSE,M963=FALSE)),",","")&amp;IF(L963=FALSE,"「残業手当」","")&amp;IF(AND(L963=FALSE,M963=FALSE),",","")&amp;IF(M963=FALSE,"「残業時間」","")&amp;IF(OR(J963=FALSE,K963=FALSE,L963=FALSE,M963=FALSE),入力リスト!$K$36,"")&amp;IF(N963,"",入力リスト!$K$37)))</f>
        <v/>
      </c>
      <c r="H963" s="215"/>
      <c r="I963" s="1" t="b">
        <f>IF(B963="",FALSE,COUNTIF('従業員情報(給与以外)'!$A$4:$A$1000000,$B963)=0)</f>
        <v>0</v>
      </c>
      <c r="J963" s="8" t="b">
        <f t="shared" si="70"/>
        <v>1</v>
      </c>
      <c r="K963" s="8" t="b">
        <f t="shared" si="71"/>
        <v>1</v>
      </c>
      <c r="L963" s="8" t="b">
        <f t="shared" si="72"/>
        <v>1</v>
      </c>
      <c r="M963" s="8" t="b">
        <f t="shared" si="73"/>
        <v>1</v>
      </c>
      <c r="N963" s="1" t="b">
        <f t="shared" si="74"/>
        <v>1</v>
      </c>
      <c r="O963" s="8" t="str">
        <f>IF(F963="","",IF($F$2=入力リスト!$H$25,ROUNDDOWN(INT(F963)+ROUNDDOWN((F963-INT(F963))*100,0)/60,2),F963))</f>
        <v/>
      </c>
      <c r="P963" s="7"/>
      <c r="Q963" s="7"/>
    </row>
    <row r="964" spans="1:17">
      <c r="A964" s="105"/>
      <c r="B964" s="2"/>
      <c r="C964" s="3"/>
      <c r="D964" s="3"/>
      <c r="E964" s="3"/>
      <c r="F964" s="8"/>
      <c r="G964" s="215" t="str">
        <f>IF(AND($B964="",OR(B964&lt;&gt;"",C964&lt;&gt;"",D964&lt;&gt;"",E964&lt;&gt;"",F964&lt;&gt;"")),入力リスト!$K$34,IF($I964=TRUE,入力リスト!$K$35,IF(J964=FALSE,"「毎月の固定給与額」","")&amp;IF(AND(J964=FALSE,OR(K964=FALSE,L964=FALSE,M964=FALSE)),",","")&amp;IF(K964=FALSE,"「賞与額等」","")&amp;IF(AND(K964=FALSE,OR(L964=FALSE,M964=FALSE)),",","")&amp;IF(L964=FALSE,"「残業手当」","")&amp;IF(AND(L964=FALSE,M964=FALSE),",","")&amp;IF(M964=FALSE,"「残業時間」","")&amp;IF(OR(J964=FALSE,K964=FALSE,L964=FALSE,M964=FALSE),入力リスト!$K$36,"")&amp;IF(N964,"",入力リスト!$K$37)))</f>
        <v/>
      </c>
      <c r="H964" s="215"/>
      <c r="I964" s="1" t="b">
        <f>IF(B964="",FALSE,COUNTIF('従業員情報(給与以外)'!$A$4:$A$1000000,$B964)=0)</f>
        <v>0</v>
      </c>
      <c r="J964" s="8" t="b">
        <f t="shared" si="70"/>
        <v>1</v>
      </c>
      <c r="K964" s="8" t="b">
        <f t="shared" si="71"/>
        <v>1</v>
      </c>
      <c r="L964" s="8" t="b">
        <f t="shared" si="72"/>
        <v>1</v>
      </c>
      <c r="M964" s="8" t="b">
        <f t="shared" si="73"/>
        <v>1</v>
      </c>
      <c r="N964" s="1" t="b">
        <f t="shared" si="74"/>
        <v>1</v>
      </c>
      <c r="O964" s="8" t="str">
        <f>IF(F964="","",IF($F$2=入力リスト!$H$25,ROUNDDOWN(INT(F964)+ROUNDDOWN((F964-INT(F964))*100,0)/60,2),F964))</f>
        <v/>
      </c>
      <c r="P964" s="7"/>
      <c r="Q964" s="7"/>
    </row>
    <row r="965" spans="1:17">
      <c r="A965" s="105"/>
      <c r="B965" s="2"/>
      <c r="C965" s="3"/>
      <c r="D965" s="3"/>
      <c r="E965" s="3"/>
      <c r="F965" s="8"/>
      <c r="G965" s="215" t="str">
        <f>IF(AND($B965="",OR(B965&lt;&gt;"",C965&lt;&gt;"",D965&lt;&gt;"",E965&lt;&gt;"",F965&lt;&gt;"")),入力リスト!$K$34,IF($I965=TRUE,入力リスト!$K$35,IF(J965=FALSE,"「毎月の固定給与額」","")&amp;IF(AND(J965=FALSE,OR(K965=FALSE,L965=FALSE,M965=FALSE)),",","")&amp;IF(K965=FALSE,"「賞与額等」","")&amp;IF(AND(K965=FALSE,OR(L965=FALSE,M965=FALSE)),",","")&amp;IF(L965=FALSE,"「残業手当」","")&amp;IF(AND(L965=FALSE,M965=FALSE),",","")&amp;IF(M965=FALSE,"「残業時間」","")&amp;IF(OR(J965=FALSE,K965=FALSE,L965=FALSE,M965=FALSE),入力リスト!$K$36,"")&amp;IF(N965,"",入力リスト!$K$37)))</f>
        <v/>
      </c>
      <c r="H965" s="215"/>
      <c r="I965" s="1" t="b">
        <f>IF(B965="",FALSE,COUNTIF('従業員情報(給与以外)'!$A$4:$A$1000000,$B965)=0)</f>
        <v>0</v>
      </c>
      <c r="J965" s="8" t="b">
        <f t="shared" ref="J965:J1028" si="75">OR(C965="",ISNUMBER(C965))</f>
        <v>1</v>
      </c>
      <c r="K965" s="8" t="b">
        <f t="shared" ref="K965:K1028" si="76">OR(D965="",ISNUMBER(D965))</f>
        <v>1</v>
      </c>
      <c r="L965" s="8" t="b">
        <f t="shared" ref="L965:L1028" si="77">OR(E965="",ISNUMBER(E965))</f>
        <v>1</v>
      </c>
      <c r="M965" s="8" t="b">
        <f t="shared" ref="M965:M1028" si="78">OR(F965="",ISNUMBER(F965))</f>
        <v>1</v>
      </c>
      <c r="N965" s="1" t="b">
        <f t="shared" ref="N965:N1028" si="79">IF($N$1,TRUE,IF($N$2,IF(F965-INT(F965)&lt;0.6,TRUE,FALSE),TRUE))</f>
        <v>1</v>
      </c>
      <c r="O965" s="8" t="str">
        <f>IF(F965="","",IF($F$2=入力リスト!$H$25,ROUNDDOWN(INT(F965)+ROUNDDOWN((F965-INT(F965))*100,0)/60,2),F965))</f>
        <v/>
      </c>
      <c r="P965" s="7"/>
      <c r="Q965" s="7"/>
    </row>
    <row r="966" spans="1:17">
      <c r="A966" s="105"/>
      <c r="B966" s="2"/>
      <c r="C966" s="3"/>
      <c r="D966" s="3"/>
      <c r="E966" s="3"/>
      <c r="F966" s="8"/>
      <c r="G966" s="215" t="str">
        <f>IF(AND($B966="",OR(B966&lt;&gt;"",C966&lt;&gt;"",D966&lt;&gt;"",E966&lt;&gt;"",F966&lt;&gt;"")),入力リスト!$K$34,IF($I966=TRUE,入力リスト!$K$35,IF(J966=FALSE,"「毎月の固定給与額」","")&amp;IF(AND(J966=FALSE,OR(K966=FALSE,L966=FALSE,M966=FALSE)),",","")&amp;IF(K966=FALSE,"「賞与額等」","")&amp;IF(AND(K966=FALSE,OR(L966=FALSE,M966=FALSE)),",","")&amp;IF(L966=FALSE,"「残業手当」","")&amp;IF(AND(L966=FALSE,M966=FALSE),",","")&amp;IF(M966=FALSE,"「残業時間」","")&amp;IF(OR(J966=FALSE,K966=FALSE,L966=FALSE,M966=FALSE),入力リスト!$K$36,"")&amp;IF(N966,"",入力リスト!$K$37)))</f>
        <v/>
      </c>
      <c r="H966" s="215"/>
      <c r="I966" s="1" t="b">
        <f>IF(B966="",FALSE,COUNTIF('従業員情報(給与以外)'!$A$4:$A$1000000,$B966)=0)</f>
        <v>0</v>
      </c>
      <c r="J966" s="8" t="b">
        <f t="shared" si="75"/>
        <v>1</v>
      </c>
      <c r="K966" s="8" t="b">
        <f t="shared" si="76"/>
        <v>1</v>
      </c>
      <c r="L966" s="8" t="b">
        <f t="shared" si="77"/>
        <v>1</v>
      </c>
      <c r="M966" s="8" t="b">
        <f t="shared" si="78"/>
        <v>1</v>
      </c>
      <c r="N966" s="1" t="b">
        <f t="shared" si="79"/>
        <v>1</v>
      </c>
      <c r="O966" s="8" t="str">
        <f>IF(F966="","",IF($F$2=入力リスト!$H$25,ROUNDDOWN(INT(F966)+ROUNDDOWN((F966-INT(F966))*100,0)/60,2),F966))</f>
        <v/>
      </c>
      <c r="P966" s="7"/>
      <c r="Q966" s="7"/>
    </row>
    <row r="967" spans="1:17">
      <c r="A967" s="105"/>
      <c r="B967" s="2"/>
      <c r="C967" s="3"/>
      <c r="D967" s="3"/>
      <c r="E967" s="3"/>
      <c r="F967" s="8"/>
      <c r="G967" s="215" t="str">
        <f>IF(AND($B967="",OR(B967&lt;&gt;"",C967&lt;&gt;"",D967&lt;&gt;"",E967&lt;&gt;"",F967&lt;&gt;"")),入力リスト!$K$34,IF($I967=TRUE,入力リスト!$K$35,IF(J967=FALSE,"「毎月の固定給与額」","")&amp;IF(AND(J967=FALSE,OR(K967=FALSE,L967=FALSE,M967=FALSE)),",","")&amp;IF(K967=FALSE,"「賞与額等」","")&amp;IF(AND(K967=FALSE,OR(L967=FALSE,M967=FALSE)),",","")&amp;IF(L967=FALSE,"「残業手当」","")&amp;IF(AND(L967=FALSE,M967=FALSE),",","")&amp;IF(M967=FALSE,"「残業時間」","")&amp;IF(OR(J967=FALSE,K967=FALSE,L967=FALSE,M967=FALSE),入力リスト!$K$36,"")&amp;IF(N967,"",入力リスト!$K$37)))</f>
        <v/>
      </c>
      <c r="H967" s="215"/>
      <c r="I967" s="1" t="b">
        <f>IF(B967="",FALSE,COUNTIF('従業員情報(給与以外)'!$A$4:$A$1000000,$B967)=0)</f>
        <v>0</v>
      </c>
      <c r="J967" s="8" t="b">
        <f t="shared" si="75"/>
        <v>1</v>
      </c>
      <c r="K967" s="8" t="b">
        <f t="shared" si="76"/>
        <v>1</v>
      </c>
      <c r="L967" s="8" t="b">
        <f t="shared" si="77"/>
        <v>1</v>
      </c>
      <c r="M967" s="8" t="b">
        <f t="shared" si="78"/>
        <v>1</v>
      </c>
      <c r="N967" s="1" t="b">
        <f t="shared" si="79"/>
        <v>1</v>
      </c>
      <c r="O967" s="8" t="str">
        <f>IF(F967="","",IF($F$2=入力リスト!$H$25,ROUNDDOWN(INT(F967)+ROUNDDOWN((F967-INT(F967))*100,0)/60,2),F967))</f>
        <v/>
      </c>
      <c r="P967" s="7"/>
      <c r="Q967" s="7"/>
    </row>
    <row r="968" spans="1:17">
      <c r="A968" s="105"/>
      <c r="B968" s="2"/>
      <c r="C968" s="3"/>
      <c r="D968" s="3"/>
      <c r="E968" s="3"/>
      <c r="F968" s="8"/>
      <c r="G968" s="215" t="str">
        <f>IF(AND($B968="",OR(B968&lt;&gt;"",C968&lt;&gt;"",D968&lt;&gt;"",E968&lt;&gt;"",F968&lt;&gt;"")),入力リスト!$K$34,IF($I968=TRUE,入力リスト!$K$35,IF(J968=FALSE,"「毎月の固定給与額」","")&amp;IF(AND(J968=FALSE,OR(K968=FALSE,L968=FALSE,M968=FALSE)),",","")&amp;IF(K968=FALSE,"「賞与額等」","")&amp;IF(AND(K968=FALSE,OR(L968=FALSE,M968=FALSE)),",","")&amp;IF(L968=FALSE,"「残業手当」","")&amp;IF(AND(L968=FALSE,M968=FALSE),",","")&amp;IF(M968=FALSE,"「残業時間」","")&amp;IF(OR(J968=FALSE,K968=FALSE,L968=FALSE,M968=FALSE),入力リスト!$K$36,"")&amp;IF(N968,"",入力リスト!$K$37)))</f>
        <v/>
      </c>
      <c r="H968" s="215"/>
      <c r="I968" s="1" t="b">
        <f>IF(B968="",FALSE,COUNTIF('従業員情報(給与以外)'!$A$4:$A$1000000,$B968)=0)</f>
        <v>0</v>
      </c>
      <c r="J968" s="8" t="b">
        <f t="shared" si="75"/>
        <v>1</v>
      </c>
      <c r="K968" s="8" t="b">
        <f t="shared" si="76"/>
        <v>1</v>
      </c>
      <c r="L968" s="8" t="b">
        <f t="shared" si="77"/>
        <v>1</v>
      </c>
      <c r="M968" s="8" t="b">
        <f t="shared" si="78"/>
        <v>1</v>
      </c>
      <c r="N968" s="1" t="b">
        <f t="shared" si="79"/>
        <v>1</v>
      </c>
      <c r="O968" s="8" t="str">
        <f>IF(F968="","",IF($F$2=入力リスト!$H$25,ROUNDDOWN(INT(F968)+ROUNDDOWN((F968-INT(F968))*100,0)/60,2),F968))</f>
        <v/>
      </c>
      <c r="P968" s="7"/>
      <c r="Q968" s="7"/>
    </row>
    <row r="969" spans="1:17">
      <c r="A969" s="105"/>
      <c r="B969" s="2"/>
      <c r="C969" s="3"/>
      <c r="D969" s="3"/>
      <c r="E969" s="3"/>
      <c r="F969" s="8"/>
      <c r="G969" s="215" t="str">
        <f>IF(AND($B969="",OR(B969&lt;&gt;"",C969&lt;&gt;"",D969&lt;&gt;"",E969&lt;&gt;"",F969&lt;&gt;"")),入力リスト!$K$34,IF($I969=TRUE,入力リスト!$K$35,IF(J969=FALSE,"「毎月の固定給与額」","")&amp;IF(AND(J969=FALSE,OR(K969=FALSE,L969=FALSE,M969=FALSE)),",","")&amp;IF(K969=FALSE,"「賞与額等」","")&amp;IF(AND(K969=FALSE,OR(L969=FALSE,M969=FALSE)),",","")&amp;IF(L969=FALSE,"「残業手当」","")&amp;IF(AND(L969=FALSE,M969=FALSE),",","")&amp;IF(M969=FALSE,"「残業時間」","")&amp;IF(OR(J969=FALSE,K969=FALSE,L969=FALSE,M969=FALSE),入力リスト!$K$36,"")&amp;IF(N969,"",入力リスト!$K$37)))</f>
        <v/>
      </c>
      <c r="H969" s="215"/>
      <c r="I969" s="1" t="b">
        <f>IF(B969="",FALSE,COUNTIF('従業員情報(給与以外)'!$A$4:$A$1000000,$B969)=0)</f>
        <v>0</v>
      </c>
      <c r="J969" s="8" t="b">
        <f t="shared" si="75"/>
        <v>1</v>
      </c>
      <c r="K969" s="8" t="b">
        <f t="shared" si="76"/>
        <v>1</v>
      </c>
      <c r="L969" s="8" t="b">
        <f t="shared" si="77"/>
        <v>1</v>
      </c>
      <c r="M969" s="8" t="b">
        <f t="shared" si="78"/>
        <v>1</v>
      </c>
      <c r="N969" s="1" t="b">
        <f t="shared" si="79"/>
        <v>1</v>
      </c>
      <c r="O969" s="8" t="str">
        <f>IF(F969="","",IF($F$2=入力リスト!$H$25,ROUNDDOWN(INT(F969)+ROUNDDOWN((F969-INT(F969))*100,0)/60,2),F969))</f>
        <v/>
      </c>
      <c r="P969" s="7"/>
      <c r="Q969" s="7"/>
    </row>
    <row r="970" spans="1:17">
      <c r="A970" s="105"/>
      <c r="B970" s="2"/>
      <c r="C970" s="3"/>
      <c r="D970" s="3"/>
      <c r="E970" s="3"/>
      <c r="F970" s="8"/>
      <c r="G970" s="215" t="str">
        <f>IF(AND($B970="",OR(B970&lt;&gt;"",C970&lt;&gt;"",D970&lt;&gt;"",E970&lt;&gt;"",F970&lt;&gt;"")),入力リスト!$K$34,IF($I970=TRUE,入力リスト!$K$35,IF(J970=FALSE,"「毎月の固定給与額」","")&amp;IF(AND(J970=FALSE,OR(K970=FALSE,L970=FALSE,M970=FALSE)),",","")&amp;IF(K970=FALSE,"「賞与額等」","")&amp;IF(AND(K970=FALSE,OR(L970=FALSE,M970=FALSE)),",","")&amp;IF(L970=FALSE,"「残業手当」","")&amp;IF(AND(L970=FALSE,M970=FALSE),",","")&amp;IF(M970=FALSE,"「残業時間」","")&amp;IF(OR(J970=FALSE,K970=FALSE,L970=FALSE,M970=FALSE),入力リスト!$K$36,"")&amp;IF(N970,"",入力リスト!$K$37)))</f>
        <v/>
      </c>
      <c r="H970" s="215"/>
      <c r="I970" s="1" t="b">
        <f>IF(B970="",FALSE,COUNTIF('従業員情報(給与以外)'!$A$4:$A$1000000,$B970)=0)</f>
        <v>0</v>
      </c>
      <c r="J970" s="8" t="b">
        <f t="shared" si="75"/>
        <v>1</v>
      </c>
      <c r="K970" s="8" t="b">
        <f t="shared" si="76"/>
        <v>1</v>
      </c>
      <c r="L970" s="8" t="b">
        <f t="shared" si="77"/>
        <v>1</v>
      </c>
      <c r="M970" s="8" t="b">
        <f t="shared" si="78"/>
        <v>1</v>
      </c>
      <c r="N970" s="1" t="b">
        <f t="shared" si="79"/>
        <v>1</v>
      </c>
      <c r="O970" s="8" t="str">
        <f>IF(F970="","",IF($F$2=入力リスト!$H$25,ROUNDDOWN(INT(F970)+ROUNDDOWN((F970-INT(F970))*100,0)/60,2),F970))</f>
        <v/>
      </c>
      <c r="P970" s="7"/>
      <c r="Q970" s="7"/>
    </row>
    <row r="971" spans="1:17">
      <c r="A971" s="105"/>
      <c r="B971" s="2"/>
      <c r="C971" s="3"/>
      <c r="D971" s="3"/>
      <c r="E971" s="3"/>
      <c r="F971" s="8"/>
      <c r="G971" s="215" t="str">
        <f>IF(AND($B971="",OR(B971&lt;&gt;"",C971&lt;&gt;"",D971&lt;&gt;"",E971&lt;&gt;"",F971&lt;&gt;"")),入力リスト!$K$34,IF($I971=TRUE,入力リスト!$K$35,IF(J971=FALSE,"「毎月の固定給与額」","")&amp;IF(AND(J971=FALSE,OR(K971=FALSE,L971=FALSE,M971=FALSE)),",","")&amp;IF(K971=FALSE,"「賞与額等」","")&amp;IF(AND(K971=FALSE,OR(L971=FALSE,M971=FALSE)),",","")&amp;IF(L971=FALSE,"「残業手当」","")&amp;IF(AND(L971=FALSE,M971=FALSE),",","")&amp;IF(M971=FALSE,"「残業時間」","")&amp;IF(OR(J971=FALSE,K971=FALSE,L971=FALSE,M971=FALSE),入力リスト!$K$36,"")&amp;IF(N971,"",入力リスト!$K$37)))</f>
        <v/>
      </c>
      <c r="H971" s="215"/>
      <c r="I971" s="1" t="b">
        <f>IF(B971="",FALSE,COUNTIF('従業員情報(給与以外)'!$A$4:$A$1000000,$B971)=0)</f>
        <v>0</v>
      </c>
      <c r="J971" s="8" t="b">
        <f t="shared" si="75"/>
        <v>1</v>
      </c>
      <c r="K971" s="8" t="b">
        <f t="shared" si="76"/>
        <v>1</v>
      </c>
      <c r="L971" s="8" t="b">
        <f t="shared" si="77"/>
        <v>1</v>
      </c>
      <c r="M971" s="8" t="b">
        <f t="shared" si="78"/>
        <v>1</v>
      </c>
      <c r="N971" s="1" t="b">
        <f t="shared" si="79"/>
        <v>1</v>
      </c>
      <c r="O971" s="8" t="str">
        <f>IF(F971="","",IF($F$2=入力リスト!$H$25,ROUNDDOWN(INT(F971)+ROUNDDOWN((F971-INT(F971))*100,0)/60,2),F971))</f>
        <v/>
      </c>
      <c r="P971" s="7"/>
      <c r="Q971" s="7"/>
    </row>
    <row r="972" spans="1:17">
      <c r="A972" s="105"/>
      <c r="B972" s="2"/>
      <c r="C972" s="3"/>
      <c r="D972" s="3"/>
      <c r="E972" s="3"/>
      <c r="F972" s="8"/>
      <c r="G972" s="215" t="str">
        <f>IF(AND($B972="",OR(B972&lt;&gt;"",C972&lt;&gt;"",D972&lt;&gt;"",E972&lt;&gt;"",F972&lt;&gt;"")),入力リスト!$K$34,IF($I972=TRUE,入力リスト!$K$35,IF(J972=FALSE,"「毎月の固定給与額」","")&amp;IF(AND(J972=FALSE,OR(K972=FALSE,L972=FALSE,M972=FALSE)),",","")&amp;IF(K972=FALSE,"「賞与額等」","")&amp;IF(AND(K972=FALSE,OR(L972=FALSE,M972=FALSE)),",","")&amp;IF(L972=FALSE,"「残業手当」","")&amp;IF(AND(L972=FALSE,M972=FALSE),",","")&amp;IF(M972=FALSE,"「残業時間」","")&amp;IF(OR(J972=FALSE,K972=FALSE,L972=FALSE,M972=FALSE),入力リスト!$K$36,"")&amp;IF(N972,"",入力リスト!$K$37)))</f>
        <v/>
      </c>
      <c r="H972" s="215"/>
      <c r="I972" s="1" t="b">
        <f>IF(B972="",FALSE,COUNTIF('従業員情報(給与以外)'!$A$4:$A$1000000,$B972)=0)</f>
        <v>0</v>
      </c>
      <c r="J972" s="8" t="b">
        <f t="shared" si="75"/>
        <v>1</v>
      </c>
      <c r="K972" s="8" t="b">
        <f t="shared" si="76"/>
        <v>1</v>
      </c>
      <c r="L972" s="8" t="b">
        <f t="shared" si="77"/>
        <v>1</v>
      </c>
      <c r="M972" s="8" t="b">
        <f t="shared" si="78"/>
        <v>1</v>
      </c>
      <c r="N972" s="1" t="b">
        <f t="shared" si="79"/>
        <v>1</v>
      </c>
      <c r="O972" s="8" t="str">
        <f>IF(F972="","",IF($F$2=入力リスト!$H$25,ROUNDDOWN(INT(F972)+ROUNDDOWN((F972-INT(F972))*100,0)/60,2),F972))</f>
        <v/>
      </c>
      <c r="P972" s="7"/>
      <c r="Q972" s="7"/>
    </row>
    <row r="973" spans="1:17">
      <c r="A973" s="105"/>
      <c r="B973" s="2"/>
      <c r="C973" s="3"/>
      <c r="D973" s="3"/>
      <c r="E973" s="3"/>
      <c r="F973" s="8"/>
      <c r="G973" s="215" t="str">
        <f>IF(AND($B973="",OR(B973&lt;&gt;"",C973&lt;&gt;"",D973&lt;&gt;"",E973&lt;&gt;"",F973&lt;&gt;"")),入力リスト!$K$34,IF($I973=TRUE,入力リスト!$K$35,IF(J973=FALSE,"「毎月の固定給与額」","")&amp;IF(AND(J973=FALSE,OR(K973=FALSE,L973=FALSE,M973=FALSE)),",","")&amp;IF(K973=FALSE,"「賞与額等」","")&amp;IF(AND(K973=FALSE,OR(L973=FALSE,M973=FALSE)),",","")&amp;IF(L973=FALSE,"「残業手当」","")&amp;IF(AND(L973=FALSE,M973=FALSE),",","")&amp;IF(M973=FALSE,"「残業時間」","")&amp;IF(OR(J973=FALSE,K973=FALSE,L973=FALSE,M973=FALSE),入力リスト!$K$36,"")&amp;IF(N973,"",入力リスト!$K$37)))</f>
        <v/>
      </c>
      <c r="H973" s="215"/>
      <c r="I973" s="1" t="b">
        <f>IF(B973="",FALSE,COUNTIF('従業員情報(給与以外)'!$A$4:$A$1000000,$B973)=0)</f>
        <v>0</v>
      </c>
      <c r="J973" s="8" t="b">
        <f t="shared" si="75"/>
        <v>1</v>
      </c>
      <c r="K973" s="8" t="b">
        <f t="shared" si="76"/>
        <v>1</v>
      </c>
      <c r="L973" s="8" t="b">
        <f t="shared" si="77"/>
        <v>1</v>
      </c>
      <c r="M973" s="8" t="b">
        <f t="shared" si="78"/>
        <v>1</v>
      </c>
      <c r="N973" s="1" t="b">
        <f t="shared" si="79"/>
        <v>1</v>
      </c>
      <c r="O973" s="8" t="str">
        <f>IF(F973="","",IF($F$2=入力リスト!$H$25,ROUNDDOWN(INT(F973)+ROUNDDOWN((F973-INT(F973))*100,0)/60,2),F973))</f>
        <v/>
      </c>
      <c r="P973" s="7"/>
      <c r="Q973" s="7"/>
    </row>
    <row r="974" spans="1:17">
      <c r="A974" s="105"/>
      <c r="B974" s="2"/>
      <c r="C974" s="3"/>
      <c r="D974" s="3"/>
      <c r="E974" s="3"/>
      <c r="F974" s="8"/>
      <c r="G974" s="215" t="str">
        <f>IF(AND($B974="",OR(B974&lt;&gt;"",C974&lt;&gt;"",D974&lt;&gt;"",E974&lt;&gt;"",F974&lt;&gt;"")),入力リスト!$K$34,IF($I974=TRUE,入力リスト!$K$35,IF(J974=FALSE,"「毎月の固定給与額」","")&amp;IF(AND(J974=FALSE,OR(K974=FALSE,L974=FALSE,M974=FALSE)),",","")&amp;IF(K974=FALSE,"「賞与額等」","")&amp;IF(AND(K974=FALSE,OR(L974=FALSE,M974=FALSE)),",","")&amp;IF(L974=FALSE,"「残業手当」","")&amp;IF(AND(L974=FALSE,M974=FALSE),",","")&amp;IF(M974=FALSE,"「残業時間」","")&amp;IF(OR(J974=FALSE,K974=FALSE,L974=FALSE,M974=FALSE),入力リスト!$K$36,"")&amp;IF(N974,"",入力リスト!$K$37)))</f>
        <v/>
      </c>
      <c r="H974" s="215"/>
      <c r="I974" s="1" t="b">
        <f>IF(B974="",FALSE,COUNTIF('従業員情報(給与以外)'!$A$4:$A$1000000,$B974)=0)</f>
        <v>0</v>
      </c>
      <c r="J974" s="8" t="b">
        <f t="shared" si="75"/>
        <v>1</v>
      </c>
      <c r="K974" s="8" t="b">
        <f t="shared" si="76"/>
        <v>1</v>
      </c>
      <c r="L974" s="8" t="b">
        <f t="shared" si="77"/>
        <v>1</v>
      </c>
      <c r="M974" s="8" t="b">
        <f t="shared" si="78"/>
        <v>1</v>
      </c>
      <c r="N974" s="1" t="b">
        <f t="shared" si="79"/>
        <v>1</v>
      </c>
      <c r="O974" s="8" t="str">
        <f>IF(F974="","",IF($F$2=入力リスト!$H$25,ROUNDDOWN(INT(F974)+ROUNDDOWN((F974-INT(F974))*100,0)/60,2),F974))</f>
        <v/>
      </c>
      <c r="P974" s="7"/>
      <c r="Q974" s="7"/>
    </row>
    <row r="975" spans="1:17">
      <c r="A975" s="105"/>
      <c r="B975" s="2"/>
      <c r="C975" s="3"/>
      <c r="D975" s="3"/>
      <c r="E975" s="3"/>
      <c r="F975" s="8"/>
      <c r="G975" s="215" t="str">
        <f>IF(AND($B975="",OR(B975&lt;&gt;"",C975&lt;&gt;"",D975&lt;&gt;"",E975&lt;&gt;"",F975&lt;&gt;"")),入力リスト!$K$34,IF($I975=TRUE,入力リスト!$K$35,IF(J975=FALSE,"「毎月の固定給与額」","")&amp;IF(AND(J975=FALSE,OR(K975=FALSE,L975=FALSE,M975=FALSE)),",","")&amp;IF(K975=FALSE,"「賞与額等」","")&amp;IF(AND(K975=FALSE,OR(L975=FALSE,M975=FALSE)),",","")&amp;IF(L975=FALSE,"「残業手当」","")&amp;IF(AND(L975=FALSE,M975=FALSE),",","")&amp;IF(M975=FALSE,"「残業時間」","")&amp;IF(OR(J975=FALSE,K975=FALSE,L975=FALSE,M975=FALSE),入力リスト!$K$36,"")&amp;IF(N975,"",入力リスト!$K$37)))</f>
        <v/>
      </c>
      <c r="H975" s="215"/>
      <c r="I975" s="1" t="b">
        <f>IF(B975="",FALSE,COUNTIF('従業員情報(給与以外)'!$A$4:$A$1000000,$B975)=0)</f>
        <v>0</v>
      </c>
      <c r="J975" s="8" t="b">
        <f t="shared" si="75"/>
        <v>1</v>
      </c>
      <c r="K975" s="8" t="b">
        <f t="shared" si="76"/>
        <v>1</v>
      </c>
      <c r="L975" s="8" t="b">
        <f t="shared" si="77"/>
        <v>1</v>
      </c>
      <c r="M975" s="8" t="b">
        <f t="shared" si="78"/>
        <v>1</v>
      </c>
      <c r="N975" s="1" t="b">
        <f t="shared" si="79"/>
        <v>1</v>
      </c>
      <c r="O975" s="8" t="str">
        <f>IF(F975="","",IF($F$2=入力リスト!$H$25,ROUNDDOWN(INT(F975)+ROUNDDOWN((F975-INT(F975))*100,0)/60,2),F975))</f>
        <v/>
      </c>
      <c r="P975" s="7"/>
      <c r="Q975" s="7"/>
    </row>
    <row r="976" spans="1:17">
      <c r="A976" s="105"/>
      <c r="B976" s="2"/>
      <c r="C976" s="3"/>
      <c r="D976" s="3"/>
      <c r="E976" s="3"/>
      <c r="F976" s="8"/>
      <c r="G976" s="215" t="str">
        <f>IF(AND($B976="",OR(B976&lt;&gt;"",C976&lt;&gt;"",D976&lt;&gt;"",E976&lt;&gt;"",F976&lt;&gt;"")),入力リスト!$K$34,IF($I976=TRUE,入力リスト!$K$35,IF(J976=FALSE,"「毎月の固定給与額」","")&amp;IF(AND(J976=FALSE,OR(K976=FALSE,L976=FALSE,M976=FALSE)),",","")&amp;IF(K976=FALSE,"「賞与額等」","")&amp;IF(AND(K976=FALSE,OR(L976=FALSE,M976=FALSE)),",","")&amp;IF(L976=FALSE,"「残業手当」","")&amp;IF(AND(L976=FALSE,M976=FALSE),",","")&amp;IF(M976=FALSE,"「残業時間」","")&amp;IF(OR(J976=FALSE,K976=FALSE,L976=FALSE,M976=FALSE),入力リスト!$K$36,"")&amp;IF(N976,"",入力リスト!$K$37)))</f>
        <v/>
      </c>
      <c r="H976" s="215"/>
      <c r="I976" s="1" t="b">
        <f>IF(B976="",FALSE,COUNTIF('従業員情報(給与以外)'!$A$4:$A$1000000,$B976)=0)</f>
        <v>0</v>
      </c>
      <c r="J976" s="8" t="b">
        <f t="shared" si="75"/>
        <v>1</v>
      </c>
      <c r="K976" s="8" t="b">
        <f t="shared" si="76"/>
        <v>1</v>
      </c>
      <c r="L976" s="8" t="b">
        <f t="shared" si="77"/>
        <v>1</v>
      </c>
      <c r="M976" s="8" t="b">
        <f t="shared" si="78"/>
        <v>1</v>
      </c>
      <c r="N976" s="1" t="b">
        <f t="shared" si="79"/>
        <v>1</v>
      </c>
      <c r="O976" s="8" t="str">
        <f>IF(F976="","",IF($F$2=入力リスト!$H$25,ROUNDDOWN(INT(F976)+ROUNDDOWN((F976-INT(F976))*100,0)/60,2),F976))</f>
        <v/>
      </c>
      <c r="P976" s="7"/>
      <c r="Q976" s="7"/>
    </row>
    <row r="977" spans="1:17">
      <c r="A977" s="105"/>
      <c r="B977" s="2"/>
      <c r="C977" s="3"/>
      <c r="D977" s="3"/>
      <c r="E977" s="3"/>
      <c r="F977" s="8"/>
      <c r="G977" s="215" t="str">
        <f>IF(AND($B977="",OR(B977&lt;&gt;"",C977&lt;&gt;"",D977&lt;&gt;"",E977&lt;&gt;"",F977&lt;&gt;"")),入力リスト!$K$34,IF($I977=TRUE,入力リスト!$K$35,IF(J977=FALSE,"「毎月の固定給与額」","")&amp;IF(AND(J977=FALSE,OR(K977=FALSE,L977=FALSE,M977=FALSE)),",","")&amp;IF(K977=FALSE,"「賞与額等」","")&amp;IF(AND(K977=FALSE,OR(L977=FALSE,M977=FALSE)),",","")&amp;IF(L977=FALSE,"「残業手当」","")&amp;IF(AND(L977=FALSE,M977=FALSE),",","")&amp;IF(M977=FALSE,"「残業時間」","")&amp;IF(OR(J977=FALSE,K977=FALSE,L977=FALSE,M977=FALSE),入力リスト!$K$36,"")&amp;IF(N977,"",入力リスト!$K$37)))</f>
        <v/>
      </c>
      <c r="H977" s="215"/>
      <c r="I977" s="1" t="b">
        <f>IF(B977="",FALSE,COUNTIF('従業員情報(給与以外)'!$A$4:$A$1000000,$B977)=0)</f>
        <v>0</v>
      </c>
      <c r="J977" s="8" t="b">
        <f t="shared" si="75"/>
        <v>1</v>
      </c>
      <c r="K977" s="8" t="b">
        <f t="shared" si="76"/>
        <v>1</v>
      </c>
      <c r="L977" s="8" t="b">
        <f t="shared" si="77"/>
        <v>1</v>
      </c>
      <c r="M977" s="8" t="b">
        <f t="shared" si="78"/>
        <v>1</v>
      </c>
      <c r="N977" s="1" t="b">
        <f t="shared" si="79"/>
        <v>1</v>
      </c>
      <c r="O977" s="8" t="str">
        <f>IF(F977="","",IF($F$2=入力リスト!$H$25,ROUNDDOWN(INT(F977)+ROUNDDOWN((F977-INT(F977))*100,0)/60,2),F977))</f>
        <v/>
      </c>
      <c r="P977" s="7"/>
      <c r="Q977" s="7"/>
    </row>
    <row r="978" spans="1:17">
      <c r="A978" s="105"/>
      <c r="B978" s="2"/>
      <c r="C978" s="3"/>
      <c r="D978" s="3"/>
      <c r="E978" s="3"/>
      <c r="F978" s="8"/>
      <c r="G978" s="215" t="str">
        <f>IF(AND($B978="",OR(B978&lt;&gt;"",C978&lt;&gt;"",D978&lt;&gt;"",E978&lt;&gt;"",F978&lt;&gt;"")),入力リスト!$K$34,IF($I978=TRUE,入力リスト!$K$35,IF(J978=FALSE,"「毎月の固定給与額」","")&amp;IF(AND(J978=FALSE,OR(K978=FALSE,L978=FALSE,M978=FALSE)),",","")&amp;IF(K978=FALSE,"「賞与額等」","")&amp;IF(AND(K978=FALSE,OR(L978=FALSE,M978=FALSE)),",","")&amp;IF(L978=FALSE,"「残業手当」","")&amp;IF(AND(L978=FALSE,M978=FALSE),",","")&amp;IF(M978=FALSE,"「残業時間」","")&amp;IF(OR(J978=FALSE,K978=FALSE,L978=FALSE,M978=FALSE),入力リスト!$K$36,"")&amp;IF(N978,"",入力リスト!$K$37)))</f>
        <v/>
      </c>
      <c r="H978" s="215"/>
      <c r="I978" s="1" t="b">
        <f>IF(B978="",FALSE,COUNTIF('従業員情報(給与以外)'!$A$4:$A$1000000,$B978)=0)</f>
        <v>0</v>
      </c>
      <c r="J978" s="8" t="b">
        <f t="shared" si="75"/>
        <v>1</v>
      </c>
      <c r="K978" s="8" t="b">
        <f t="shared" si="76"/>
        <v>1</v>
      </c>
      <c r="L978" s="8" t="b">
        <f t="shared" si="77"/>
        <v>1</v>
      </c>
      <c r="M978" s="8" t="b">
        <f t="shared" si="78"/>
        <v>1</v>
      </c>
      <c r="N978" s="1" t="b">
        <f t="shared" si="79"/>
        <v>1</v>
      </c>
      <c r="O978" s="8" t="str">
        <f>IF(F978="","",IF($F$2=入力リスト!$H$25,ROUNDDOWN(INT(F978)+ROUNDDOWN((F978-INT(F978))*100,0)/60,2),F978))</f>
        <v/>
      </c>
      <c r="P978" s="7"/>
      <c r="Q978" s="7"/>
    </row>
    <row r="979" spans="1:17">
      <c r="A979" s="105"/>
      <c r="B979" s="2"/>
      <c r="C979" s="3"/>
      <c r="D979" s="3"/>
      <c r="E979" s="3"/>
      <c r="F979" s="8"/>
      <c r="G979" s="215" t="str">
        <f>IF(AND($B979="",OR(B979&lt;&gt;"",C979&lt;&gt;"",D979&lt;&gt;"",E979&lt;&gt;"",F979&lt;&gt;"")),入力リスト!$K$34,IF($I979=TRUE,入力リスト!$K$35,IF(J979=FALSE,"「毎月の固定給与額」","")&amp;IF(AND(J979=FALSE,OR(K979=FALSE,L979=FALSE,M979=FALSE)),",","")&amp;IF(K979=FALSE,"「賞与額等」","")&amp;IF(AND(K979=FALSE,OR(L979=FALSE,M979=FALSE)),",","")&amp;IF(L979=FALSE,"「残業手当」","")&amp;IF(AND(L979=FALSE,M979=FALSE),",","")&amp;IF(M979=FALSE,"「残業時間」","")&amp;IF(OR(J979=FALSE,K979=FALSE,L979=FALSE,M979=FALSE),入力リスト!$K$36,"")&amp;IF(N979,"",入力リスト!$K$37)))</f>
        <v/>
      </c>
      <c r="H979" s="215"/>
      <c r="I979" s="1" t="b">
        <f>IF(B979="",FALSE,COUNTIF('従業員情報(給与以外)'!$A$4:$A$1000000,$B979)=0)</f>
        <v>0</v>
      </c>
      <c r="J979" s="8" t="b">
        <f t="shared" si="75"/>
        <v>1</v>
      </c>
      <c r="K979" s="8" t="b">
        <f t="shared" si="76"/>
        <v>1</v>
      </c>
      <c r="L979" s="8" t="b">
        <f t="shared" si="77"/>
        <v>1</v>
      </c>
      <c r="M979" s="8" t="b">
        <f t="shared" si="78"/>
        <v>1</v>
      </c>
      <c r="N979" s="1" t="b">
        <f t="shared" si="79"/>
        <v>1</v>
      </c>
      <c r="O979" s="8" t="str">
        <f>IF(F979="","",IF($F$2=入力リスト!$H$25,ROUNDDOWN(INT(F979)+ROUNDDOWN((F979-INT(F979))*100,0)/60,2),F979))</f>
        <v/>
      </c>
      <c r="P979" s="7"/>
      <c r="Q979" s="7"/>
    </row>
    <row r="980" spans="1:17">
      <c r="A980" s="105"/>
      <c r="B980" s="2"/>
      <c r="C980" s="3"/>
      <c r="D980" s="3"/>
      <c r="E980" s="3"/>
      <c r="F980" s="8"/>
      <c r="G980" s="215" t="str">
        <f>IF(AND($B980="",OR(B980&lt;&gt;"",C980&lt;&gt;"",D980&lt;&gt;"",E980&lt;&gt;"",F980&lt;&gt;"")),入力リスト!$K$34,IF($I980=TRUE,入力リスト!$K$35,IF(J980=FALSE,"「毎月の固定給与額」","")&amp;IF(AND(J980=FALSE,OR(K980=FALSE,L980=FALSE,M980=FALSE)),",","")&amp;IF(K980=FALSE,"「賞与額等」","")&amp;IF(AND(K980=FALSE,OR(L980=FALSE,M980=FALSE)),",","")&amp;IF(L980=FALSE,"「残業手当」","")&amp;IF(AND(L980=FALSE,M980=FALSE),",","")&amp;IF(M980=FALSE,"「残業時間」","")&amp;IF(OR(J980=FALSE,K980=FALSE,L980=FALSE,M980=FALSE),入力リスト!$K$36,"")&amp;IF(N980,"",入力リスト!$K$37)))</f>
        <v/>
      </c>
      <c r="H980" s="215"/>
      <c r="I980" s="1" t="b">
        <f>IF(B980="",FALSE,COUNTIF('従業員情報(給与以外)'!$A$4:$A$1000000,$B980)=0)</f>
        <v>0</v>
      </c>
      <c r="J980" s="8" t="b">
        <f t="shared" si="75"/>
        <v>1</v>
      </c>
      <c r="K980" s="8" t="b">
        <f t="shared" si="76"/>
        <v>1</v>
      </c>
      <c r="L980" s="8" t="b">
        <f t="shared" si="77"/>
        <v>1</v>
      </c>
      <c r="M980" s="8" t="b">
        <f t="shared" si="78"/>
        <v>1</v>
      </c>
      <c r="N980" s="1" t="b">
        <f t="shared" si="79"/>
        <v>1</v>
      </c>
      <c r="O980" s="8" t="str">
        <f>IF(F980="","",IF($F$2=入力リスト!$H$25,ROUNDDOWN(INT(F980)+ROUNDDOWN((F980-INT(F980))*100,0)/60,2),F980))</f>
        <v/>
      </c>
      <c r="P980" s="7"/>
      <c r="Q980" s="7"/>
    </row>
    <row r="981" spans="1:17">
      <c r="A981" s="105"/>
      <c r="B981" s="2"/>
      <c r="C981" s="3"/>
      <c r="D981" s="3"/>
      <c r="E981" s="3"/>
      <c r="F981" s="8"/>
      <c r="G981" s="215" t="str">
        <f>IF(AND($B981="",OR(B981&lt;&gt;"",C981&lt;&gt;"",D981&lt;&gt;"",E981&lt;&gt;"",F981&lt;&gt;"")),入力リスト!$K$34,IF($I981=TRUE,入力リスト!$K$35,IF(J981=FALSE,"「毎月の固定給与額」","")&amp;IF(AND(J981=FALSE,OR(K981=FALSE,L981=FALSE,M981=FALSE)),",","")&amp;IF(K981=FALSE,"「賞与額等」","")&amp;IF(AND(K981=FALSE,OR(L981=FALSE,M981=FALSE)),",","")&amp;IF(L981=FALSE,"「残業手当」","")&amp;IF(AND(L981=FALSE,M981=FALSE),",","")&amp;IF(M981=FALSE,"「残業時間」","")&amp;IF(OR(J981=FALSE,K981=FALSE,L981=FALSE,M981=FALSE),入力リスト!$K$36,"")&amp;IF(N981,"",入力リスト!$K$37)))</f>
        <v/>
      </c>
      <c r="H981" s="215"/>
      <c r="I981" s="1" t="b">
        <f>IF(B981="",FALSE,COUNTIF('従業員情報(給与以外)'!$A$4:$A$1000000,$B981)=0)</f>
        <v>0</v>
      </c>
      <c r="J981" s="8" t="b">
        <f t="shared" si="75"/>
        <v>1</v>
      </c>
      <c r="K981" s="8" t="b">
        <f t="shared" si="76"/>
        <v>1</v>
      </c>
      <c r="L981" s="8" t="b">
        <f t="shared" si="77"/>
        <v>1</v>
      </c>
      <c r="M981" s="8" t="b">
        <f t="shared" si="78"/>
        <v>1</v>
      </c>
      <c r="N981" s="1" t="b">
        <f t="shared" si="79"/>
        <v>1</v>
      </c>
      <c r="O981" s="8" t="str">
        <f>IF(F981="","",IF($F$2=入力リスト!$H$25,ROUNDDOWN(INT(F981)+ROUNDDOWN((F981-INT(F981))*100,0)/60,2),F981))</f>
        <v/>
      </c>
      <c r="P981" s="7"/>
      <c r="Q981" s="7"/>
    </row>
    <row r="982" spans="1:17">
      <c r="A982" s="105"/>
      <c r="B982" s="2"/>
      <c r="C982" s="3"/>
      <c r="D982" s="3"/>
      <c r="E982" s="3"/>
      <c r="F982" s="8"/>
      <c r="G982" s="215" t="str">
        <f>IF(AND($B982="",OR(B982&lt;&gt;"",C982&lt;&gt;"",D982&lt;&gt;"",E982&lt;&gt;"",F982&lt;&gt;"")),入力リスト!$K$34,IF($I982=TRUE,入力リスト!$K$35,IF(J982=FALSE,"「毎月の固定給与額」","")&amp;IF(AND(J982=FALSE,OR(K982=FALSE,L982=FALSE,M982=FALSE)),",","")&amp;IF(K982=FALSE,"「賞与額等」","")&amp;IF(AND(K982=FALSE,OR(L982=FALSE,M982=FALSE)),",","")&amp;IF(L982=FALSE,"「残業手当」","")&amp;IF(AND(L982=FALSE,M982=FALSE),",","")&amp;IF(M982=FALSE,"「残業時間」","")&amp;IF(OR(J982=FALSE,K982=FALSE,L982=FALSE,M982=FALSE),入力リスト!$K$36,"")&amp;IF(N982,"",入力リスト!$K$37)))</f>
        <v/>
      </c>
      <c r="H982" s="215"/>
      <c r="I982" s="1" t="b">
        <f>IF(B982="",FALSE,COUNTIF('従業員情報(給与以外)'!$A$4:$A$1000000,$B982)=0)</f>
        <v>0</v>
      </c>
      <c r="J982" s="8" t="b">
        <f t="shared" si="75"/>
        <v>1</v>
      </c>
      <c r="K982" s="8" t="b">
        <f t="shared" si="76"/>
        <v>1</v>
      </c>
      <c r="L982" s="8" t="b">
        <f t="shared" si="77"/>
        <v>1</v>
      </c>
      <c r="M982" s="8" t="b">
        <f t="shared" si="78"/>
        <v>1</v>
      </c>
      <c r="N982" s="1" t="b">
        <f t="shared" si="79"/>
        <v>1</v>
      </c>
      <c r="O982" s="8" t="str">
        <f>IF(F982="","",IF($F$2=入力リスト!$H$25,ROUNDDOWN(INT(F982)+ROUNDDOWN((F982-INT(F982))*100,0)/60,2),F982))</f>
        <v/>
      </c>
      <c r="P982" s="7"/>
      <c r="Q982" s="7"/>
    </row>
    <row r="983" spans="1:17">
      <c r="A983" s="105"/>
      <c r="B983" s="2"/>
      <c r="C983" s="3"/>
      <c r="D983" s="3"/>
      <c r="E983" s="3"/>
      <c r="F983" s="8"/>
      <c r="G983" s="215" t="str">
        <f>IF(AND($B983="",OR(B983&lt;&gt;"",C983&lt;&gt;"",D983&lt;&gt;"",E983&lt;&gt;"",F983&lt;&gt;"")),入力リスト!$K$34,IF($I983=TRUE,入力リスト!$K$35,IF(J983=FALSE,"「毎月の固定給与額」","")&amp;IF(AND(J983=FALSE,OR(K983=FALSE,L983=FALSE,M983=FALSE)),",","")&amp;IF(K983=FALSE,"「賞与額等」","")&amp;IF(AND(K983=FALSE,OR(L983=FALSE,M983=FALSE)),",","")&amp;IF(L983=FALSE,"「残業手当」","")&amp;IF(AND(L983=FALSE,M983=FALSE),",","")&amp;IF(M983=FALSE,"「残業時間」","")&amp;IF(OR(J983=FALSE,K983=FALSE,L983=FALSE,M983=FALSE),入力リスト!$K$36,"")&amp;IF(N983,"",入力リスト!$K$37)))</f>
        <v/>
      </c>
      <c r="H983" s="215"/>
      <c r="I983" s="1" t="b">
        <f>IF(B983="",FALSE,COUNTIF('従業員情報(給与以外)'!$A$4:$A$1000000,$B983)=0)</f>
        <v>0</v>
      </c>
      <c r="J983" s="8" t="b">
        <f t="shared" si="75"/>
        <v>1</v>
      </c>
      <c r="K983" s="8" t="b">
        <f t="shared" si="76"/>
        <v>1</v>
      </c>
      <c r="L983" s="8" t="b">
        <f t="shared" si="77"/>
        <v>1</v>
      </c>
      <c r="M983" s="8" t="b">
        <f t="shared" si="78"/>
        <v>1</v>
      </c>
      <c r="N983" s="1" t="b">
        <f t="shared" si="79"/>
        <v>1</v>
      </c>
      <c r="O983" s="8" t="str">
        <f>IF(F983="","",IF($F$2=入力リスト!$H$25,ROUNDDOWN(INT(F983)+ROUNDDOWN((F983-INT(F983))*100,0)/60,2),F983))</f>
        <v/>
      </c>
      <c r="P983" s="7"/>
      <c r="Q983" s="7"/>
    </row>
    <row r="984" spans="1:17">
      <c r="A984" s="105"/>
      <c r="B984" s="2"/>
      <c r="C984" s="3"/>
      <c r="D984" s="3"/>
      <c r="E984" s="3"/>
      <c r="F984" s="8"/>
      <c r="G984" s="215" t="str">
        <f>IF(AND($B984="",OR(B984&lt;&gt;"",C984&lt;&gt;"",D984&lt;&gt;"",E984&lt;&gt;"",F984&lt;&gt;"")),入力リスト!$K$34,IF($I984=TRUE,入力リスト!$K$35,IF(J984=FALSE,"「毎月の固定給与額」","")&amp;IF(AND(J984=FALSE,OR(K984=FALSE,L984=FALSE,M984=FALSE)),",","")&amp;IF(K984=FALSE,"「賞与額等」","")&amp;IF(AND(K984=FALSE,OR(L984=FALSE,M984=FALSE)),",","")&amp;IF(L984=FALSE,"「残業手当」","")&amp;IF(AND(L984=FALSE,M984=FALSE),",","")&amp;IF(M984=FALSE,"「残業時間」","")&amp;IF(OR(J984=FALSE,K984=FALSE,L984=FALSE,M984=FALSE),入力リスト!$K$36,"")&amp;IF(N984,"",入力リスト!$K$37)))</f>
        <v/>
      </c>
      <c r="H984" s="215"/>
      <c r="I984" s="1" t="b">
        <f>IF(B984="",FALSE,COUNTIF('従業員情報(給与以外)'!$A$4:$A$1000000,$B984)=0)</f>
        <v>0</v>
      </c>
      <c r="J984" s="8" t="b">
        <f t="shared" si="75"/>
        <v>1</v>
      </c>
      <c r="K984" s="8" t="b">
        <f t="shared" si="76"/>
        <v>1</v>
      </c>
      <c r="L984" s="8" t="b">
        <f t="shared" si="77"/>
        <v>1</v>
      </c>
      <c r="M984" s="8" t="b">
        <f t="shared" si="78"/>
        <v>1</v>
      </c>
      <c r="N984" s="1" t="b">
        <f t="shared" si="79"/>
        <v>1</v>
      </c>
      <c r="O984" s="8" t="str">
        <f>IF(F984="","",IF($F$2=入力リスト!$H$25,ROUNDDOWN(INT(F984)+ROUNDDOWN((F984-INT(F984))*100,0)/60,2),F984))</f>
        <v/>
      </c>
      <c r="P984" s="7"/>
      <c r="Q984" s="7"/>
    </row>
    <row r="985" spans="1:17">
      <c r="A985" s="105"/>
      <c r="B985" s="2"/>
      <c r="C985" s="3"/>
      <c r="D985" s="3"/>
      <c r="E985" s="3"/>
      <c r="F985" s="8"/>
      <c r="G985" s="215" t="str">
        <f>IF(AND($B985="",OR(B985&lt;&gt;"",C985&lt;&gt;"",D985&lt;&gt;"",E985&lt;&gt;"",F985&lt;&gt;"")),入力リスト!$K$34,IF($I985=TRUE,入力リスト!$K$35,IF(J985=FALSE,"「毎月の固定給与額」","")&amp;IF(AND(J985=FALSE,OR(K985=FALSE,L985=FALSE,M985=FALSE)),",","")&amp;IF(K985=FALSE,"「賞与額等」","")&amp;IF(AND(K985=FALSE,OR(L985=FALSE,M985=FALSE)),",","")&amp;IF(L985=FALSE,"「残業手当」","")&amp;IF(AND(L985=FALSE,M985=FALSE),",","")&amp;IF(M985=FALSE,"「残業時間」","")&amp;IF(OR(J985=FALSE,K985=FALSE,L985=FALSE,M985=FALSE),入力リスト!$K$36,"")&amp;IF(N985,"",入力リスト!$K$37)))</f>
        <v/>
      </c>
      <c r="H985" s="215"/>
      <c r="I985" s="1" t="b">
        <f>IF(B985="",FALSE,COUNTIF('従業員情報(給与以外)'!$A$4:$A$1000000,$B985)=0)</f>
        <v>0</v>
      </c>
      <c r="J985" s="8" t="b">
        <f t="shared" si="75"/>
        <v>1</v>
      </c>
      <c r="K985" s="8" t="b">
        <f t="shared" si="76"/>
        <v>1</v>
      </c>
      <c r="L985" s="8" t="b">
        <f t="shared" si="77"/>
        <v>1</v>
      </c>
      <c r="M985" s="8" t="b">
        <f t="shared" si="78"/>
        <v>1</v>
      </c>
      <c r="N985" s="1" t="b">
        <f t="shared" si="79"/>
        <v>1</v>
      </c>
      <c r="O985" s="8" t="str">
        <f>IF(F985="","",IF($F$2=入力リスト!$H$25,ROUNDDOWN(INT(F985)+ROUNDDOWN((F985-INT(F985))*100,0)/60,2),F985))</f>
        <v/>
      </c>
      <c r="P985" s="7"/>
      <c r="Q985" s="7"/>
    </row>
    <row r="986" spans="1:17">
      <c r="A986" s="105"/>
      <c r="B986" s="2"/>
      <c r="C986" s="3"/>
      <c r="D986" s="3"/>
      <c r="E986" s="3"/>
      <c r="F986" s="8"/>
      <c r="G986" s="215" t="str">
        <f>IF(AND($B986="",OR(B986&lt;&gt;"",C986&lt;&gt;"",D986&lt;&gt;"",E986&lt;&gt;"",F986&lt;&gt;"")),入力リスト!$K$34,IF($I986=TRUE,入力リスト!$K$35,IF(J986=FALSE,"「毎月の固定給与額」","")&amp;IF(AND(J986=FALSE,OR(K986=FALSE,L986=FALSE,M986=FALSE)),",","")&amp;IF(K986=FALSE,"「賞与額等」","")&amp;IF(AND(K986=FALSE,OR(L986=FALSE,M986=FALSE)),",","")&amp;IF(L986=FALSE,"「残業手当」","")&amp;IF(AND(L986=FALSE,M986=FALSE),",","")&amp;IF(M986=FALSE,"「残業時間」","")&amp;IF(OR(J986=FALSE,K986=FALSE,L986=FALSE,M986=FALSE),入力リスト!$K$36,"")&amp;IF(N986,"",入力リスト!$K$37)))</f>
        <v/>
      </c>
      <c r="H986" s="215"/>
      <c r="I986" s="1" t="b">
        <f>IF(B986="",FALSE,COUNTIF('従業員情報(給与以外)'!$A$4:$A$1000000,$B986)=0)</f>
        <v>0</v>
      </c>
      <c r="J986" s="8" t="b">
        <f t="shared" si="75"/>
        <v>1</v>
      </c>
      <c r="K986" s="8" t="b">
        <f t="shared" si="76"/>
        <v>1</v>
      </c>
      <c r="L986" s="8" t="b">
        <f t="shared" si="77"/>
        <v>1</v>
      </c>
      <c r="M986" s="8" t="b">
        <f t="shared" si="78"/>
        <v>1</v>
      </c>
      <c r="N986" s="1" t="b">
        <f t="shared" si="79"/>
        <v>1</v>
      </c>
      <c r="O986" s="8" t="str">
        <f>IF(F986="","",IF($F$2=入力リスト!$H$25,ROUNDDOWN(INT(F986)+ROUNDDOWN((F986-INT(F986))*100,0)/60,2),F986))</f>
        <v/>
      </c>
      <c r="P986" s="7"/>
      <c r="Q986" s="7"/>
    </row>
    <row r="987" spans="1:17">
      <c r="A987" s="105"/>
      <c r="B987" s="2"/>
      <c r="C987" s="3"/>
      <c r="D987" s="3"/>
      <c r="E987" s="3"/>
      <c r="F987" s="8"/>
      <c r="G987" s="215" t="str">
        <f>IF(AND($B987="",OR(B987&lt;&gt;"",C987&lt;&gt;"",D987&lt;&gt;"",E987&lt;&gt;"",F987&lt;&gt;"")),入力リスト!$K$34,IF($I987=TRUE,入力リスト!$K$35,IF(J987=FALSE,"「毎月の固定給与額」","")&amp;IF(AND(J987=FALSE,OR(K987=FALSE,L987=FALSE,M987=FALSE)),",","")&amp;IF(K987=FALSE,"「賞与額等」","")&amp;IF(AND(K987=FALSE,OR(L987=FALSE,M987=FALSE)),",","")&amp;IF(L987=FALSE,"「残業手当」","")&amp;IF(AND(L987=FALSE,M987=FALSE),",","")&amp;IF(M987=FALSE,"「残業時間」","")&amp;IF(OR(J987=FALSE,K987=FALSE,L987=FALSE,M987=FALSE),入力リスト!$K$36,"")&amp;IF(N987,"",入力リスト!$K$37)))</f>
        <v/>
      </c>
      <c r="H987" s="215"/>
      <c r="I987" s="1" t="b">
        <f>IF(B987="",FALSE,COUNTIF('従業員情報(給与以外)'!$A$4:$A$1000000,$B987)=0)</f>
        <v>0</v>
      </c>
      <c r="J987" s="8" t="b">
        <f t="shared" si="75"/>
        <v>1</v>
      </c>
      <c r="K987" s="8" t="b">
        <f t="shared" si="76"/>
        <v>1</v>
      </c>
      <c r="L987" s="8" t="b">
        <f t="shared" si="77"/>
        <v>1</v>
      </c>
      <c r="M987" s="8" t="b">
        <f t="shared" si="78"/>
        <v>1</v>
      </c>
      <c r="N987" s="1" t="b">
        <f t="shared" si="79"/>
        <v>1</v>
      </c>
      <c r="O987" s="8" t="str">
        <f>IF(F987="","",IF($F$2=入力リスト!$H$25,ROUNDDOWN(INT(F987)+ROUNDDOWN((F987-INT(F987))*100,0)/60,2),F987))</f>
        <v/>
      </c>
      <c r="P987" s="7"/>
      <c r="Q987" s="7"/>
    </row>
    <row r="988" spans="1:17">
      <c r="A988" s="105"/>
      <c r="B988" s="2"/>
      <c r="C988" s="3"/>
      <c r="D988" s="3"/>
      <c r="E988" s="3"/>
      <c r="F988" s="8"/>
      <c r="G988" s="215" t="str">
        <f>IF(AND($B988="",OR(B988&lt;&gt;"",C988&lt;&gt;"",D988&lt;&gt;"",E988&lt;&gt;"",F988&lt;&gt;"")),入力リスト!$K$34,IF($I988=TRUE,入力リスト!$K$35,IF(J988=FALSE,"「毎月の固定給与額」","")&amp;IF(AND(J988=FALSE,OR(K988=FALSE,L988=FALSE,M988=FALSE)),",","")&amp;IF(K988=FALSE,"「賞与額等」","")&amp;IF(AND(K988=FALSE,OR(L988=FALSE,M988=FALSE)),",","")&amp;IF(L988=FALSE,"「残業手当」","")&amp;IF(AND(L988=FALSE,M988=FALSE),",","")&amp;IF(M988=FALSE,"「残業時間」","")&amp;IF(OR(J988=FALSE,K988=FALSE,L988=FALSE,M988=FALSE),入力リスト!$K$36,"")&amp;IF(N988,"",入力リスト!$K$37)))</f>
        <v/>
      </c>
      <c r="H988" s="215"/>
      <c r="I988" s="1" t="b">
        <f>IF(B988="",FALSE,COUNTIF('従業員情報(給与以外)'!$A$4:$A$1000000,$B988)=0)</f>
        <v>0</v>
      </c>
      <c r="J988" s="8" t="b">
        <f t="shared" si="75"/>
        <v>1</v>
      </c>
      <c r="K988" s="8" t="b">
        <f t="shared" si="76"/>
        <v>1</v>
      </c>
      <c r="L988" s="8" t="b">
        <f t="shared" si="77"/>
        <v>1</v>
      </c>
      <c r="M988" s="8" t="b">
        <f t="shared" si="78"/>
        <v>1</v>
      </c>
      <c r="N988" s="1" t="b">
        <f t="shared" si="79"/>
        <v>1</v>
      </c>
      <c r="O988" s="8" t="str">
        <f>IF(F988="","",IF($F$2=入力リスト!$H$25,ROUNDDOWN(INT(F988)+ROUNDDOWN((F988-INT(F988))*100,0)/60,2),F988))</f>
        <v/>
      </c>
      <c r="P988" s="7"/>
      <c r="Q988" s="7"/>
    </row>
    <row r="989" spans="1:17">
      <c r="A989" s="105"/>
      <c r="B989" s="2"/>
      <c r="C989" s="3"/>
      <c r="D989" s="3"/>
      <c r="E989" s="3"/>
      <c r="F989" s="8"/>
      <c r="G989" s="215" t="str">
        <f>IF(AND($B989="",OR(B989&lt;&gt;"",C989&lt;&gt;"",D989&lt;&gt;"",E989&lt;&gt;"",F989&lt;&gt;"")),入力リスト!$K$34,IF($I989=TRUE,入力リスト!$K$35,IF(J989=FALSE,"「毎月の固定給与額」","")&amp;IF(AND(J989=FALSE,OR(K989=FALSE,L989=FALSE,M989=FALSE)),",","")&amp;IF(K989=FALSE,"「賞与額等」","")&amp;IF(AND(K989=FALSE,OR(L989=FALSE,M989=FALSE)),",","")&amp;IF(L989=FALSE,"「残業手当」","")&amp;IF(AND(L989=FALSE,M989=FALSE),",","")&amp;IF(M989=FALSE,"「残業時間」","")&amp;IF(OR(J989=FALSE,K989=FALSE,L989=FALSE,M989=FALSE),入力リスト!$K$36,"")&amp;IF(N989,"",入力リスト!$K$37)))</f>
        <v/>
      </c>
      <c r="H989" s="215"/>
      <c r="I989" s="1" t="b">
        <f>IF(B989="",FALSE,COUNTIF('従業員情報(給与以外)'!$A$4:$A$1000000,$B989)=0)</f>
        <v>0</v>
      </c>
      <c r="J989" s="8" t="b">
        <f t="shared" si="75"/>
        <v>1</v>
      </c>
      <c r="K989" s="8" t="b">
        <f t="shared" si="76"/>
        <v>1</v>
      </c>
      <c r="L989" s="8" t="b">
        <f t="shared" si="77"/>
        <v>1</v>
      </c>
      <c r="M989" s="8" t="b">
        <f t="shared" si="78"/>
        <v>1</v>
      </c>
      <c r="N989" s="1" t="b">
        <f t="shared" si="79"/>
        <v>1</v>
      </c>
      <c r="O989" s="8" t="str">
        <f>IF(F989="","",IF($F$2=入力リスト!$H$25,ROUNDDOWN(INT(F989)+ROUNDDOWN((F989-INT(F989))*100,0)/60,2),F989))</f>
        <v/>
      </c>
      <c r="P989" s="7"/>
      <c r="Q989" s="7"/>
    </row>
    <row r="990" spans="1:17">
      <c r="A990" s="105"/>
      <c r="B990" s="2"/>
      <c r="C990" s="3"/>
      <c r="D990" s="3"/>
      <c r="E990" s="3"/>
      <c r="F990" s="8"/>
      <c r="G990" s="215" t="str">
        <f>IF(AND($B990="",OR(B990&lt;&gt;"",C990&lt;&gt;"",D990&lt;&gt;"",E990&lt;&gt;"",F990&lt;&gt;"")),入力リスト!$K$34,IF($I990=TRUE,入力リスト!$K$35,IF(J990=FALSE,"「毎月の固定給与額」","")&amp;IF(AND(J990=FALSE,OR(K990=FALSE,L990=FALSE,M990=FALSE)),",","")&amp;IF(K990=FALSE,"「賞与額等」","")&amp;IF(AND(K990=FALSE,OR(L990=FALSE,M990=FALSE)),",","")&amp;IF(L990=FALSE,"「残業手当」","")&amp;IF(AND(L990=FALSE,M990=FALSE),",","")&amp;IF(M990=FALSE,"「残業時間」","")&amp;IF(OR(J990=FALSE,K990=FALSE,L990=FALSE,M990=FALSE),入力リスト!$K$36,"")&amp;IF(N990,"",入力リスト!$K$37)))</f>
        <v/>
      </c>
      <c r="H990" s="215"/>
      <c r="I990" s="1" t="b">
        <f>IF(B990="",FALSE,COUNTIF('従業員情報(給与以外)'!$A$4:$A$1000000,$B990)=0)</f>
        <v>0</v>
      </c>
      <c r="J990" s="8" t="b">
        <f t="shared" si="75"/>
        <v>1</v>
      </c>
      <c r="K990" s="8" t="b">
        <f t="shared" si="76"/>
        <v>1</v>
      </c>
      <c r="L990" s="8" t="b">
        <f t="shared" si="77"/>
        <v>1</v>
      </c>
      <c r="M990" s="8" t="b">
        <f t="shared" si="78"/>
        <v>1</v>
      </c>
      <c r="N990" s="1" t="b">
        <f t="shared" si="79"/>
        <v>1</v>
      </c>
      <c r="O990" s="8" t="str">
        <f>IF(F990="","",IF($F$2=入力リスト!$H$25,ROUNDDOWN(INT(F990)+ROUNDDOWN((F990-INT(F990))*100,0)/60,2),F990))</f>
        <v/>
      </c>
      <c r="P990" s="7"/>
      <c r="Q990" s="7"/>
    </row>
    <row r="991" spans="1:17">
      <c r="A991" s="105"/>
      <c r="B991" s="2"/>
      <c r="C991" s="3"/>
      <c r="D991" s="3"/>
      <c r="E991" s="3"/>
      <c r="F991" s="8"/>
      <c r="G991" s="215" t="str">
        <f>IF(AND($B991="",OR(B991&lt;&gt;"",C991&lt;&gt;"",D991&lt;&gt;"",E991&lt;&gt;"",F991&lt;&gt;"")),入力リスト!$K$34,IF($I991=TRUE,入力リスト!$K$35,IF(J991=FALSE,"「毎月の固定給与額」","")&amp;IF(AND(J991=FALSE,OR(K991=FALSE,L991=FALSE,M991=FALSE)),",","")&amp;IF(K991=FALSE,"「賞与額等」","")&amp;IF(AND(K991=FALSE,OR(L991=FALSE,M991=FALSE)),",","")&amp;IF(L991=FALSE,"「残業手当」","")&amp;IF(AND(L991=FALSE,M991=FALSE),",","")&amp;IF(M991=FALSE,"「残業時間」","")&amp;IF(OR(J991=FALSE,K991=FALSE,L991=FALSE,M991=FALSE),入力リスト!$K$36,"")&amp;IF(N991,"",入力リスト!$K$37)))</f>
        <v/>
      </c>
      <c r="H991" s="215"/>
      <c r="I991" s="1" t="b">
        <f>IF(B991="",FALSE,COUNTIF('従業員情報(給与以外)'!$A$4:$A$1000000,$B991)=0)</f>
        <v>0</v>
      </c>
      <c r="J991" s="8" t="b">
        <f t="shared" si="75"/>
        <v>1</v>
      </c>
      <c r="K991" s="8" t="b">
        <f t="shared" si="76"/>
        <v>1</v>
      </c>
      <c r="L991" s="8" t="b">
        <f t="shared" si="77"/>
        <v>1</v>
      </c>
      <c r="M991" s="8" t="b">
        <f t="shared" si="78"/>
        <v>1</v>
      </c>
      <c r="N991" s="1" t="b">
        <f t="shared" si="79"/>
        <v>1</v>
      </c>
      <c r="O991" s="8" t="str">
        <f>IF(F991="","",IF($F$2=入力リスト!$H$25,ROUNDDOWN(INT(F991)+ROUNDDOWN((F991-INT(F991))*100,0)/60,2),F991))</f>
        <v/>
      </c>
      <c r="P991" s="7"/>
      <c r="Q991" s="7"/>
    </row>
    <row r="992" spans="1:17">
      <c r="A992" s="105"/>
      <c r="B992" s="2"/>
      <c r="C992" s="3"/>
      <c r="D992" s="3"/>
      <c r="E992" s="3"/>
      <c r="F992" s="8"/>
      <c r="G992" s="215" t="str">
        <f>IF(AND($B992="",OR(B992&lt;&gt;"",C992&lt;&gt;"",D992&lt;&gt;"",E992&lt;&gt;"",F992&lt;&gt;"")),入力リスト!$K$34,IF($I992=TRUE,入力リスト!$K$35,IF(J992=FALSE,"「毎月の固定給与額」","")&amp;IF(AND(J992=FALSE,OR(K992=FALSE,L992=FALSE,M992=FALSE)),",","")&amp;IF(K992=FALSE,"「賞与額等」","")&amp;IF(AND(K992=FALSE,OR(L992=FALSE,M992=FALSE)),",","")&amp;IF(L992=FALSE,"「残業手当」","")&amp;IF(AND(L992=FALSE,M992=FALSE),",","")&amp;IF(M992=FALSE,"「残業時間」","")&amp;IF(OR(J992=FALSE,K992=FALSE,L992=FALSE,M992=FALSE),入力リスト!$K$36,"")&amp;IF(N992,"",入力リスト!$K$37)))</f>
        <v/>
      </c>
      <c r="H992" s="215"/>
      <c r="I992" s="1" t="b">
        <f>IF(B992="",FALSE,COUNTIF('従業員情報(給与以外)'!$A$4:$A$1000000,$B992)=0)</f>
        <v>0</v>
      </c>
      <c r="J992" s="8" t="b">
        <f t="shared" si="75"/>
        <v>1</v>
      </c>
      <c r="K992" s="8" t="b">
        <f t="shared" si="76"/>
        <v>1</v>
      </c>
      <c r="L992" s="8" t="b">
        <f t="shared" si="77"/>
        <v>1</v>
      </c>
      <c r="M992" s="8" t="b">
        <f t="shared" si="78"/>
        <v>1</v>
      </c>
      <c r="N992" s="1" t="b">
        <f t="shared" si="79"/>
        <v>1</v>
      </c>
      <c r="O992" s="8" t="str">
        <f>IF(F992="","",IF($F$2=入力リスト!$H$25,ROUNDDOWN(INT(F992)+ROUNDDOWN((F992-INT(F992))*100,0)/60,2),F992))</f>
        <v/>
      </c>
      <c r="P992" s="7"/>
      <c r="Q992" s="7"/>
    </row>
    <row r="993" spans="1:17">
      <c r="A993" s="105"/>
      <c r="B993" s="2"/>
      <c r="C993" s="3"/>
      <c r="D993" s="3"/>
      <c r="E993" s="3"/>
      <c r="F993" s="8"/>
      <c r="G993" s="215" t="str">
        <f>IF(AND($B993="",OR(B993&lt;&gt;"",C993&lt;&gt;"",D993&lt;&gt;"",E993&lt;&gt;"",F993&lt;&gt;"")),入力リスト!$K$34,IF($I993=TRUE,入力リスト!$K$35,IF(J993=FALSE,"「毎月の固定給与額」","")&amp;IF(AND(J993=FALSE,OR(K993=FALSE,L993=FALSE,M993=FALSE)),",","")&amp;IF(K993=FALSE,"「賞与額等」","")&amp;IF(AND(K993=FALSE,OR(L993=FALSE,M993=FALSE)),",","")&amp;IF(L993=FALSE,"「残業手当」","")&amp;IF(AND(L993=FALSE,M993=FALSE),",","")&amp;IF(M993=FALSE,"「残業時間」","")&amp;IF(OR(J993=FALSE,K993=FALSE,L993=FALSE,M993=FALSE),入力リスト!$K$36,"")&amp;IF(N993,"",入力リスト!$K$37)))</f>
        <v/>
      </c>
      <c r="H993" s="215"/>
      <c r="I993" s="1" t="b">
        <f>IF(B993="",FALSE,COUNTIF('従業員情報(給与以外)'!$A$4:$A$1000000,$B993)=0)</f>
        <v>0</v>
      </c>
      <c r="J993" s="8" t="b">
        <f t="shared" si="75"/>
        <v>1</v>
      </c>
      <c r="K993" s="8" t="b">
        <f t="shared" si="76"/>
        <v>1</v>
      </c>
      <c r="L993" s="8" t="b">
        <f t="shared" si="77"/>
        <v>1</v>
      </c>
      <c r="M993" s="8" t="b">
        <f t="shared" si="78"/>
        <v>1</v>
      </c>
      <c r="N993" s="1" t="b">
        <f t="shared" si="79"/>
        <v>1</v>
      </c>
      <c r="O993" s="8" t="str">
        <f>IF(F993="","",IF($F$2=入力リスト!$H$25,ROUNDDOWN(INT(F993)+ROUNDDOWN((F993-INT(F993))*100,0)/60,2),F993))</f>
        <v/>
      </c>
      <c r="P993" s="7"/>
      <c r="Q993" s="7"/>
    </row>
    <row r="994" spans="1:17">
      <c r="A994" s="105"/>
      <c r="B994" s="2"/>
      <c r="C994" s="3"/>
      <c r="D994" s="3"/>
      <c r="E994" s="3"/>
      <c r="F994" s="8"/>
      <c r="G994" s="215" t="str">
        <f>IF(AND($B994="",OR(B994&lt;&gt;"",C994&lt;&gt;"",D994&lt;&gt;"",E994&lt;&gt;"",F994&lt;&gt;"")),入力リスト!$K$34,IF($I994=TRUE,入力リスト!$K$35,IF(J994=FALSE,"「毎月の固定給与額」","")&amp;IF(AND(J994=FALSE,OR(K994=FALSE,L994=FALSE,M994=FALSE)),",","")&amp;IF(K994=FALSE,"「賞与額等」","")&amp;IF(AND(K994=FALSE,OR(L994=FALSE,M994=FALSE)),",","")&amp;IF(L994=FALSE,"「残業手当」","")&amp;IF(AND(L994=FALSE,M994=FALSE),",","")&amp;IF(M994=FALSE,"「残業時間」","")&amp;IF(OR(J994=FALSE,K994=FALSE,L994=FALSE,M994=FALSE),入力リスト!$K$36,"")&amp;IF(N994,"",入力リスト!$K$37)))</f>
        <v/>
      </c>
      <c r="H994" s="215"/>
      <c r="I994" s="1" t="b">
        <f>IF(B994="",FALSE,COUNTIF('従業員情報(給与以外)'!$A$4:$A$1000000,$B994)=0)</f>
        <v>0</v>
      </c>
      <c r="J994" s="8" t="b">
        <f t="shared" si="75"/>
        <v>1</v>
      </c>
      <c r="K994" s="8" t="b">
        <f t="shared" si="76"/>
        <v>1</v>
      </c>
      <c r="L994" s="8" t="b">
        <f t="shared" si="77"/>
        <v>1</v>
      </c>
      <c r="M994" s="8" t="b">
        <f t="shared" si="78"/>
        <v>1</v>
      </c>
      <c r="N994" s="1" t="b">
        <f t="shared" si="79"/>
        <v>1</v>
      </c>
      <c r="O994" s="8" t="str">
        <f>IF(F994="","",IF($F$2=入力リスト!$H$25,ROUNDDOWN(INT(F994)+ROUNDDOWN((F994-INT(F994))*100,0)/60,2),F994))</f>
        <v/>
      </c>
      <c r="P994" s="7"/>
      <c r="Q994" s="7"/>
    </row>
    <row r="995" spans="1:17">
      <c r="A995" s="105"/>
      <c r="B995" s="2"/>
      <c r="C995" s="3"/>
      <c r="D995" s="3"/>
      <c r="E995" s="3"/>
      <c r="F995" s="8"/>
      <c r="G995" s="215" t="str">
        <f>IF(AND($B995="",OR(B995&lt;&gt;"",C995&lt;&gt;"",D995&lt;&gt;"",E995&lt;&gt;"",F995&lt;&gt;"")),入力リスト!$K$34,IF($I995=TRUE,入力リスト!$K$35,IF(J995=FALSE,"「毎月の固定給与額」","")&amp;IF(AND(J995=FALSE,OR(K995=FALSE,L995=FALSE,M995=FALSE)),",","")&amp;IF(K995=FALSE,"「賞与額等」","")&amp;IF(AND(K995=FALSE,OR(L995=FALSE,M995=FALSE)),",","")&amp;IF(L995=FALSE,"「残業手当」","")&amp;IF(AND(L995=FALSE,M995=FALSE),",","")&amp;IF(M995=FALSE,"「残業時間」","")&amp;IF(OR(J995=FALSE,K995=FALSE,L995=FALSE,M995=FALSE),入力リスト!$K$36,"")&amp;IF(N995,"",入力リスト!$K$37)))</f>
        <v/>
      </c>
      <c r="H995" s="215"/>
      <c r="I995" s="1" t="b">
        <f>IF(B995="",FALSE,COUNTIF('従業員情報(給与以外)'!$A$4:$A$1000000,$B995)=0)</f>
        <v>0</v>
      </c>
      <c r="J995" s="8" t="b">
        <f t="shared" si="75"/>
        <v>1</v>
      </c>
      <c r="K995" s="8" t="b">
        <f t="shared" si="76"/>
        <v>1</v>
      </c>
      <c r="L995" s="8" t="b">
        <f t="shared" si="77"/>
        <v>1</v>
      </c>
      <c r="M995" s="8" t="b">
        <f t="shared" si="78"/>
        <v>1</v>
      </c>
      <c r="N995" s="1" t="b">
        <f t="shared" si="79"/>
        <v>1</v>
      </c>
      <c r="O995" s="8" t="str">
        <f>IF(F995="","",IF($F$2=入力リスト!$H$25,ROUNDDOWN(INT(F995)+ROUNDDOWN((F995-INT(F995))*100,0)/60,2),F995))</f>
        <v/>
      </c>
      <c r="P995" s="7"/>
      <c r="Q995" s="7"/>
    </row>
    <row r="996" spans="1:17">
      <c r="A996" s="105"/>
      <c r="B996" s="2"/>
      <c r="C996" s="3"/>
      <c r="D996" s="3"/>
      <c r="E996" s="3"/>
      <c r="F996" s="8"/>
      <c r="G996" s="215" t="str">
        <f>IF(AND($B996="",OR(B996&lt;&gt;"",C996&lt;&gt;"",D996&lt;&gt;"",E996&lt;&gt;"",F996&lt;&gt;"")),入力リスト!$K$34,IF($I996=TRUE,入力リスト!$K$35,IF(J996=FALSE,"「毎月の固定給与額」","")&amp;IF(AND(J996=FALSE,OR(K996=FALSE,L996=FALSE,M996=FALSE)),",","")&amp;IF(K996=FALSE,"「賞与額等」","")&amp;IF(AND(K996=FALSE,OR(L996=FALSE,M996=FALSE)),",","")&amp;IF(L996=FALSE,"「残業手当」","")&amp;IF(AND(L996=FALSE,M996=FALSE),",","")&amp;IF(M996=FALSE,"「残業時間」","")&amp;IF(OR(J996=FALSE,K996=FALSE,L996=FALSE,M996=FALSE),入力リスト!$K$36,"")&amp;IF(N996,"",入力リスト!$K$37)))</f>
        <v/>
      </c>
      <c r="H996" s="215"/>
      <c r="I996" s="1" t="b">
        <f>IF(B996="",FALSE,COUNTIF('従業員情報(給与以外)'!$A$4:$A$1000000,$B996)=0)</f>
        <v>0</v>
      </c>
      <c r="J996" s="8" t="b">
        <f t="shared" si="75"/>
        <v>1</v>
      </c>
      <c r="K996" s="8" t="b">
        <f t="shared" si="76"/>
        <v>1</v>
      </c>
      <c r="L996" s="8" t="b">
        <f t="shared" si="77"/>
        <v>1</v>
      </c>
      <c r="M996" s="8" t="b">
        <f t="shared" si="78"/>
        <v>1</v>
      </c>
      <c r="N996" s="1" t="b">
        <f t="shared" si="79"/>
        <v>1</v>
      </c>
      <c r="O996" s="8" t="str">
        <f>IF(F996="","",IF($F$2=入力リスト!$H$25,ROUNDDOWN(INT(F996)+ROUNDDOWN((F996-INT(F996))*100,0)/60,2),F996))</f>
        <v/>
      </c>
      <c r="P996" s="7"/>
      <c r="Q996" s="7"/>
    </row>
    <row r="997" spans="1:17">
      <c r="A997" s="105"/>
      <c r="B997" s="2"/>
      <c r="C997" s="3"/>
      <c r="D997" s="3"/>
      <c r="E997" s="3"/>
      <c r="F997" s="8"/>
      <c r="G997" s="215" t="str">
        <f>IF(AND($B997="",OR(B997&lt;&gt;"",C997&lt;&gt;"",D997&lt;&gt;"",E997&lt;&gt;"",F997&lt;&gt;"")),入力リスト!$K$34,IF($I997=TRUE,入力リスト!$K$35,IF(J997=FALSE,"「毎月の固定給与額」","")&amp;IF(AND(J997=FALSE,OR(K997=FALSE,L997=FALSE,M997=FALSE)),",","")&amp;IF(K997=FALSE,"「賞与額等」","")&amp;IF(AND(K997=FALSE,OR(L997=FALSE,M997=FALSE)),",","")&amp;IF(L997=FALSE,"「残業手当」","")&amp;IF(AND(L997=FALSE,M997=FALSE),",","")&amp;IF(M997=FALSE,"「残業時間」","")&amp;IF(OR(J997=FALSE,K997=FALSE,L997=FALSE,M997=FALSE),入力リスト!$K$36,"")&amp;IF(N997,"",入力リスト!$K$37)))</f>
        <v/>
      </c>
      <c r="H997" s="215"/>
      <c r="I997" s="1" t="b">
        <f>IF(B997="",FALSE,COUNTIF('従業員情報(給与以外)'!$A$4:$A$1000000,$B997)=0)</f>
        <v>0</v>
      </c>
      <c r="J997" s="8" t="b">
        <f t="shared" si="75"/>
        <v>1</v>
      </c>
      <c r="K997" s="8" t="b">
        <f t="shared" si="76"/>
        <v>1</v>
      </c>
      <c r="L997" s="8" t="b">
        <f t="shared" si="77"/>
        <v>1</v>
      </c>
      <c r="M997" s="8" t="b">
        <f t="shared" si="78"/>
        <v>1</v>
      </c>
      <c r="N997" s="1" t="b">
        <f t="shared" si="79"/>
        <v>1</v>
      </c>
      <c r="O997" s="8" t="str">
        <f>IF(F997="","",IF($F$2=入力リスト!$H$25,ROUNDDOWN(INT(F997)+ROUNDDOWN((F997-INT(F997))*100,0)/60,2),F997))</f>
        <v/>
      </c>
      <c r="P997" s="7"/>
      <c r="Q997" s="7"/>
    </row>
    <row r="998" spans="1:17">
      <c r="A998" s="105"/>
      <c r="B998" s="2"/>
      <c r="C998" s="3"/>
      <c r="D998" s="3"/>
      <c r="E998" s="3"/>
      <c r="F998" s="8"/>
      <c r="G998" s="215" t="str">
        <f>IF(AND($B998="",OR(B998&lt;&gt;"",C998&lt;&gt;"",D998&lt;&gt;"",E998&lt;&gt;"",F998&lt;&gt;"")),入力リスト!$K$34,IF($I998=TRUE,入力リスト!$K$35,IF(J998=FALSE,"「毎月の固定給与額」","")&amp;IF(AND(J998=FALSE,OR(K998=FALSE,L998=FALSE,M998=FALSE)),",","")&amp;IF(K998=FALSE,"「賞与額等」","")&amp;IF(AND(K998=FALSE,OR(L998=FALSE,M998=FALSE)),",","")&amp;IF(L998=FALSE,"「残業手当」","")&amp;IF(AND(L998=FALSE,M998=FALSE),",","")&amp;IF(M998=FALSE,"「残業時間」","")&amp;IF(OR(J998=FALSE,K998=FALSE,L998=FALSE,M998=FALSE),入力リスト!$K$36,"")&amp;IF(N998,"",入力リスト!$K$37)))</f>
        <v/>
      </c>
      <c r="H998" s="215"/>
      <c r="I998" s="1" t="b">
        <f>IF(B998="",FALSE,COUNTIF('従業員情報(給与以外)'!$A$4:$A$1000000,$B998)=0)</f>
        <v>0</v>
      </c>
      <c r="J998" s="8" t="b">
        <f t="shared" si="75"/>
        <v>1</v>
      </c>
      <c r="K998" s="8" t="b">
        <f t="shared" si="76"/>
        <v>1</v>
      </c>
      <c r="L998" s="8" t="b">
        <f t="shared" si="77"/>
        <v>1</v>
      </c>
      <c r="M998" s="8" t="b">
        <f t="shared" si="78"/>
        <v>1</v>
      </c>
      <c r="N998" s="1" t="b">
        <f t="shared" si="79"/>
        <v>1</v>
      </c>
      <c r="O998" s="8" t="str">
        <f>IF(F998="","",IF($F$2=入力リスト!$H$25,ROUNDDOWN(INT(F998)+ROUNDDOWN((F998-INT(F998))*100,0)/60,2),F998))</f>
        <v/>
      </c>
      <c r="P998" s="7"/>
      <c r="Q998" s="7"/>
    </row>
    <row r="999" spans="1:17">
      <c r="A999" s="105"/>
      <c r="B999" s="2"/>
      <c r="C999" s="3"/>
      <c r="D999" s="3"/>
      <c r="E999" s="3"/>
      <c r="F999" s="8"/>
      <c r="G999" s="215" t="str">
        <f>IF(AND($B999="",OR(B999&lt;&gt;"",C999&lt;&gt;"",D999&lt;&gt;"",E999&lt;&gt;"",F999&lt;&gt;"")),入力リスト!$K$34,IF($I999=TRUE,入力リスト!$K$35,IF(J999=FALSE,"「毎月の固定給与額」","")&amp;IF(AND(J999=FALSE,OR(K999=FALSE,L999=FALSE,M999=FALSE)),",","")&amp;IF(K999=FALSE,"「賞与額等」","")&amp;IF(AND(K999=FALSE,OR(L999=FALSE,M999=FALSE)),",","")&amp;IF(L999=FALSE,"「残業手当」","")&amp;IF(AND(L999=FALSE,M999=FALSE),",","")&amp;IF(M999=FALSE,"「残業時間」","")&amp;IF(OR(J999=FALSE,K999=FALSE,L999=FALSE,M999=FALSE),入力リスト!$K$36,"")&amp;IF(N999,"",入力リスト!$K$37)))</f>
        <v/>
      </c>
      <c r="H999" s="215"/>
      <c r="I999" s="1" t="b">
        <f>IF(B999="",FALSE,COUNTIF('従業員情報(給与以外)'!$A$4:$A$1000000,$B999)=0)</f>
        <v>0</v>
      </c>
      <c r="J999" s="8" t="b">
        <f t="shared" si="75"/>
        <v>1</v>
      </c>
      <c r="K999" s="8" t="b">
        <f t="shared" si="76"/>
        <v>1</v>
      </c>
      <c r="L999" s="8" t="b">
        <f t="shared" si="77"/>
        <v>1</v>
      </c>
      <c r="M999" s="8" t="b">
        <f t="shared" si="78"/>
        <v>1</v>
      </c>
      <c r="N999" s="1" t="b">
        <f t="shared" si="79"/>
        <v>1</v>
      </c>
      <c r="O999" s="8" t="str">
        <f>IF(F999="","",IF($F$2=入力リスト!$H$25,ROUNDDOWN(INT(F999)+ROUNDDOWN((F999-INT(F999))*100,0)/60,2),F999))</f>
        <v/>
      </c>
      <c r="P999" s="7"/>
      <c r="Q999" s="7"/>
    </row>
    <row r="1000" spans="1:17">
      <c r="A1000" s="105"/>
      <c r="B1000" s="2"/>
      <c r="C1000" s="3"/>
      <c r="D1000" s="3"/>
      <c r="E1000" s="3"/>
      <c r="F1000" s="8"/>
      <c r="G1000" s="215" t="str">
        <f>IF(AND($B1000="",OR(B1000&lt;&gt;"",C1000&lt;&gt;"",D1000&lt;&gt;"",E1000&lt;&gt;"",F1000&lt;&gt;"")),入力リスト!$K$34,IF($I1000=TRUE,入力リスト!$K$35,IF(J1000=FALSE,"「毎月の固定給与額」","")&amp;IF(AND(J1000=FALSE,OR(K1000=FALSE,L1000=FALSE,M1000=FALSE)),",","")&amp;IF(K1000=FALSE,"「賞与額等」","")&amp;IF(AND(K1000=FALSE,OR(L1000=FALSE,M1000=FALSE)),",","")&amp;IF(L1000=FALSE,"「残業手当」","")&amp;IF(AND(L1000=FALSE,M1000=FALSE),",","")&amp;IF(M1000=FALSE,"「残業時間」","")&amp;IF(OR(J1000=FALSE,K1000=FALSE,L1000=FALSE,M1000=FALSE),入力リスト!$K$36,"")&amp;IF(N1000,"",入力リスト!$K$37)))</f>
        <v/>
      </c>
      <c r="H1000" s="215"/>
      <c r="I1000" s="1" t="b">
        <f>IF(B1000="",FALSE,COUNTIF('従業員情報(給与以外)'!$A$4:$A$1000000,$B1000)=0)</f>
        <v>0</v>
      </c>
      <c r="J1000" s="8" t="b">
        <f t="shared" si="75"/>
        <v>1</v>
      </c>
      <c r="K1000" s="8" t="b">
        <f t="shared" si="76"/>
        <v>1</v>
      </c>
      <c r="L1000" s="8" t="b">
        <f t="shared" si="77"/>
        <v>1</v>
      </c>
      <c r="M1000" s="8" t="b">
        <f t="shared" si="78"/>
        <v>1</v>
      </c>
      <c r="N1000" s="1" t="b">
        <f t="shared" si="79"/>
        <v>1</v>
      </c>
      <c r="O1000" s="8" t="str">
        <f>IF(F1000="","",IF($F$2=入力リスト!$H$25,ROUNDDOWN(INT(F1000)+ROUNDDOWN((F1000-INT(F1000))*100,0)/60,2),F1000))</f>
        <v/>
      </c>
      <c r="P1000" s="7"/>
      <c r="Q1000" s="7"/>
    </row>
    <row r="1001" spans="1:17">
      <c r="A1001" s="105"/>
      <c r="B1001" s="2"/>
      <c r="C1001" s="3"/>
      <c r="D1001" s="3"/>
      <c r="E1001" s="3"/>
      <c r="F1001" s="8"/>
      <c r="G1001" s="215" t="str">
        <f>IF(AND($B1001="",OR(B1001&lt;&gt;"",C1001&lt;&gt;"",D1001&lt;&gt;"",E1001&lt;&gt;"",F1001&lt;&gt;"")),入力リスト!$K$34,IF($I1001=TRUE,入力リスト!$K$35,IF(J1001=FALSE,"「毎月の固定給与額」","")&amp;IF(AND(J1001=FALSE,OR(K1001=FALSE,L1001=FALSE,M1001=FALSE)),",","")&amp;IF(K1001=FALSE,"「賞与額等」","")&amp;IF(AND(K1001=FALSE,OR(L1001=FALSE,M1001=FALSE)),",","")&amp;IF(L1001=FALSE,"「残業手当」","")&amp;IF(AND(L1001=FALSE,M1001=FALSE),",","")&amp;IF(M1001=FALSE,"「残業時間」","")&amp;IF(OR(J1001=FALSE,K1001=FALSE,L1001=FALSE,M1001=FALSE),入力リスト!$K$36,"")&amp;IF(N1001,"",入力リスト!$K$37)))</f>
        <v/>
      </c>
      <c r="H1001" s="215"/>
      <c r="I1001" s="1" t="b">
        <f>IF(B1001="",FALSE,COUNTIF('従業員情報(給与以外)'!$A$4:$A$1000000,$B1001)=0)</f>
        <v>0</v>
      </c>
      <c r="J1001" s="8" t="b">
        <f t="shared" si="75"/>
        <v>1</v>
      </c>
      <c r="K1001" s="8" t="b">
        <f t="shared" si="76"/>
        <v>1</v>
      </c>
      <c r="L1001" s="8" t="b">
        <f t="shared" si="77"/>
        <v>1</v>
      </c>
      <c r="M1001" s="8" t="b">
        <f t="shared" si="78"/>
        <v>1</v>
      </c>
      <c r="N1001" s="1" t="b">
        <f t="shared" si="79"/>
        <v>1</v>
      </c>
      <c r="O1001" s="8" t="str">
        <f>IF(F1001="","",IF($F$2=入力リスト!$H$25,ROUNDDOWN(INT(F1001)+ROUNDDOWN((F1001-INT(F1001))*100,0)/60,2),F1001))</f>
        <v/>
      </c>
      <c r="P1001" s="7"/>
      <c r="Q1001" s="7"/>
    </row>
    <row r="1002" spans="1:17">
      <c r="A1002" s="105"/>
      <c r="B1002" s="2"/>
      <c r="C1002" s="3"/>
      <c r="D1002" s="3"/>
      <c r="E1002" s="3"/>
      <c r="F1002" s="8"/>
      <c r="G1002" s="215" t="str">
        <f>IF(AND($B1002="",OR(B1002&lt;&gt;"",C1002&lt;&gt;"",D1002&lt;&gt;"",E1002&lt;&gt;"",F1002&lt;&gt;"")),入力リスト!$K$34,IF($I1002=TRUE,入力リスト!$K$35,IF(J1002=FALSE,"「毎月の固定給与額」","")&amp;IF(AND(J1002=FALSE,OR(K1002=FALSE,L1002=FALSE,M1002=FALSE)),",","")&amp;IF(K1002=FALSE,"「賞与額等」","")&amp;IF(AND(K1002=FALSE,OR(L1002=FALSE,M1002=FALSE)),",","")&amp;IF(L1002=FALSE,"「残業手当」","")&amp;IF(AND(L1002=FALSE,M1002=FALSE),",","")&amp;IF(M1002=FALSE,"「残業時間」","")&amp;IF(OR(J1002=FALSE,K1002=FALSE,L1002=FALSE,M1002=FALSE),入力リスト!$K$36,"")&amp;IF(N1002,"",入力リスト!$K$37)))</f>
        <v/>
      </c>
      <c r="H1002" s="215"/>
      <c r="I1002" s="1" t="b">
        <f>IF(B1002="",FALSE,COUNTIF('従業員情報(給与以外)'!$A$4:$A$1000000,$B1002)=0)</f>
        <v>0</v>
      </c>
      <c r="J1002" s="8" t="b">
        <f t="shared" si="75"/>
        <v>1</v>
      </c>
      <c r="K1002" s="8" t="b">
        <f t="shared" si="76"/>
        <v>1</v>
      </c>
      <c r="L1002" s="8" t="b">
        <f t="shared" si="77"/>
        <v>1</v>
      </c>
      <c r="M1002" s="8" t="b">
        <f t="shared" si="78"/>
        <v>1</v>
      </c>
      <c r="N1002" s="1" t="b">
        <f t="shared" si="79"/>
        <v>1</v>
      </c>
      <c r="O1002" s="8" t="str">
        <f>IF(F1002="","",IF($F$2=入力リスト!$H$25,ROUNDDOWN(INT(F1002)+ROUNDDOWN((F1002-INT(F1002))*100,0)/60,2),F1002))</f>
        <v/>
      </c>
      <c r="P1002" s="7"/>
      <c r="Q1002" s="7"/>
    </row>
    <row r="1003" spans="1:17">
      <c r="A1003" s="105"/>
      <c r="B1003" s="2"/>
      <c r="C1003" s="3"/>
      <c r="D1003" s="3"/>
      <c r="E1003" s="3"/>
      <c r="F1003" s="8"/>
      <c r="G1003" s="215" t="str">
        <f>IF(AND($B1003="",OR(B1003&lt;&gt;"",C1003&lt;&gt;"",D1003&lt;&gt;"",E1003&lt;&gt;"",F1003&lt;&gt;"")),入力リスト!$K$34,IF($I1003=TRUE,入力リスト!$K$35,IF(J1003=FALSE,"「毎月の固定給与額」","")&amp;IF(AND(J1003=FALSE,OR(K1003=FALSE,L1003=FALSE,M1003=FALSE)),",","")&amp;IF(K1003=FALSE,"「賞与額等」","")&amp;IF(AND(K1003=FALSE,OR(L1003=FALSE,M1003=FALSE)),",","")&amp;IF(L1003=FALSE,"「残業手当」","")&amp;IF(AND(L1003=FALSE,M1003=FALSE),",","")&amp;IF(M1003=FALSE,"「残業時間」","")&amp;IF(OR(J1003=FALSE,K1003=FALSE,L1003=FALSE,M1003=FALSE),入力リスト!$K$36,"")&amp;IF(N1003,"",入力リスト!$K$37)))</f>
        <v/>
      </c>
      <c r="H1003" s="215"/>
      <c r="I1003" s="1" t="b">
        <f>IF(B1003="",FALSE,COUNTIF('従業員情報(給与以外)'!$A$4:$A$1000000,$B1003)=0)</f>
        <v>0</v>
      </c>
      <c r="J1003" s="8" t="b">
        <f t="shared" si="75"/>
        <v>1</v>
      </c>
      <c r="K1003" s="8" t="b">
        <f t="shared" si="76"/>
        <v>1</v>
      </c>
      <c r="L1003" s="8" t="b">
        <f t="shared" si="77"/>
        <v>1</v>
      </c>
      <c r="M1003" s="8" t="b">
        <f t="shared" si="78"/>
        <v>1</v>
      </c>
      <c r="N1003" s="1" t="b">
        <f t="shared" si="79"/>
        <v>1</v>
      </c>
      <c r="O1003" s="8" t="str">
        <f>IF(F1003="","",IF($F$2=入力リスト!$H$25,ROUNDDOWN(INT(F1003)+ROUNDDOWN((F1003-INT(F1003))*100,0)/60,2),F1003))</f>
        <v/>
      </c>
      <c r="P1003" s="7"/>
      <c r="Q1003" s="7"/>
    </row>
    <row r="1004" spans="1:17">
      <c r="A1004" s="105"/>
      <c r="B1004" s="2"/>
      <c r="C1004" s="3"/>
      <c r="D1004" s="3"/>
      <c r="E1004" s="3"/>
      <c r="F1004" s="8"/>
      <c r="G1004" s="215" t="str">
        <f>IF(AND($B1004="",OR(B1004&lt;&gt;"",C1004&lt;&gt;"",D1004&lt;&gt;"",E1004&lt;&gt;"",F1004&lt;&gt;"")),入力リスト!$K$34,IF($I1004=TRUE,入力リスト!$K$35,IF(J1004=FALSE,"「毎月の固定給与額」","")&amp;IF(AND(J1004=FALSE,OR(K1004=FALSE,L1004=FALSE,M1004=FALSE)),",","")&amp;IF(K1004=FALSE,"「賞与額等」","")&amp;IF(AND(K1004=FALSE,OR(L1004=FALSE,M1004=FALSE)),",","")&amp;IF(L1004=FALSE,"「残業手当」","")&amp;IF(AND(L1004=FALSE,M1004=FALSE),",","")&amp;IF(M1004=FALSE,"「残業時間」","")&amp;IF(OR(J1004=FALSE,K1004=FALSE,L1004=FALSE,M1004=FALSE),入力リスト!$K$36,"")&amp;IF(N1004,"",入力リスト!$K$37)))</f>
        <v/>
      </c>
      <c r="H1004" s="215"/>
      <c r="I1004" s="1" t="b">
        <f>IF(B1004="",FALSE,COUNTIF('従業員情報(給与以外)'!$A$4:$A$1000000,$B1004)=0)</f>
        <v>0</v>
      </c>
      <c r="J1004" s="8" t="b">
        <f t="shared" si="75"/>
        <v>1</v>
      </c>
      <c r="K1004" s="8" t="b">
        <f t="shared" si="76"/>
        <v>1</v>
      </c>
      <c r="L1004" s="8" t="b">
        <f t="shared" si="77"/>
        <v>1</v>
      </c>
      <c r="M1004" s="8" t="b">
        <f t="shared" si="78"/>
        <v>1</v>
      </c>
      <c r="N1004" s="1" t="b">
        <f t="shared" si="79"/>
        <v>1</v>
      </c>
      <c r="O1004" s="8" t="str">
        <f>IF(F1004="","",IF($F$2=入力リスト!$H$25,ROUNDDOWN(INT(F1004)+ROUNDDOWN((F1004-INT(F1004))*100,0)/60,2),F1004))</f>
        <v/>
      </c>
      <c r="P1004" s="7"/>
      <c r="Q1004" s="7"/>
    </row>
    <row r="1005" spans="1:17">
      <c r="A1005" s="105"/>
      <c r="B1005" s="2"/>
      <c r="C1005" s="3"/>
      <c r="D1005" s="3"/>
      <c r="E1005" s="3"/>
      <c r="F1005" s="8"/>
      <c r="G1005" s="215" t="str">
        <f>IF(AND($B1005="",OR(B1005&lt;&gt;"",C1005&lt;&gt;"",D1005&lt;&gt;"",E1005&lt;&gt;"",F1005&lt;&gt;"")),入力リスト!$K$34,IF($I1005=TRUE,入力リスト!$K$35,IF(J1005=FALSE,"「毎月の固定給与額」","")&amp;IF(AND(J1005=FALSE,OR(K1005=FALSE,L1005=FALSE,M1005=FALSE)),",","")&amp;IF(K1005=FALSE,"「賞与額等」","")&amp;IF(AND(K1005=FALSE,OR(L1005=FALSE,M1005=FALSE)),",","")&amp;IF(L1005=FALSE,"「残業手当」","")&amp;IF(AND(L1005=FALSE,M1005=FALSE),",","")&amp;IF(M1005=FALSE,"「残業時間」","")&amp;IF(OR(J1005=FALSE,K1005=FALSE,L1005=FALSE,M1005=FALSE),入力リスト!$K$36,"")&amp;IF(N1005,"",入力リスト!$K$37)))</f>
        <v/>
      </c>
      <c r="H1005" s="215"/>
      <c r="I1005" s="1" t="b">
        <f>IF(B1005="",FALSE,COUNTIF('従業員情報(給与以外)'!$A$4:$A$1000000,$B1005)=0)</f>
        <v>0</v>
      </c>
      <c r="J1005" s="8" t="b">
        <f t="shared" si="75"/>
        <v>1</v>
      </c>
      <c r="K1005" s="8" t="b">
        <f t="shared" si="76"/>
        <v>1</v>
      </c>
      <c r="L1005" s="8" t="b">
        <f t="shared" si="77"/>
        <v>1</v>
      </c>
      <c r="M1005" s="8" t="b">
        <f t="shared" si="78"/>
        <v>1</v>
      </c>
      <c r="N1005" s="1" t="b">
        <f t="shared" si="79"/>
        <v>1</v>
      </c>
      <c r="O1005" s="8" t="str">
        <f>IF(F1005="","",IF($F$2=入力リスト!$H$25,ROUNDDOWN(INT(F1005)+ROUNDDOWN((F1005-INT(F1005))*100,0)/60,2),F1005))</f>
        <v/>
      </c>
      <c r="P1005" s="7"/>
      <c r="Q1005" s="7"/>
    </row>
    <row r="1006" spans="1:17">
      <c r="A1006" s="105"/>
      <c r="B1006" s="2"/>
      <c r="C1006" s="3"/>
      <c r="D1006" s="3"/>
      <c r="E1006" s="3"/>
      <c r="F1006" s="8"/>
      <c r="G1006" s="215" t="str">
        <f>IF(AND($B1006="",OR(B1006&lt;&gt;"",C1006&lt;&gt;"",D1006&lt;&gt;"",E1006&lt;&gt;"",F1006&lt;&gt;"")),入力リスト!$K$34,IF($I1006=TRUE,入力リスト!$K$35,IF(J1006=FALSE,"「毎月の固定給与額」","")&amp;IF(AND(J1006=FALSE,OR(K1006=FALSE,L1006=FALSE,M1006=FALSE)),",","")&amp;IF(K1006=FALSE,"「賞与額等」","")&amp;IF(AND(K1006=FALSE,OR(L1006=FALSE,M1006=FALSE)),",","")&amp;IF(L1006=FALSE,"「残業手当」","")&amp;IF(AND(L1006=FALSE,M1006=FALSE),",","")&amp;IF(M1006=FALSE,"「残業時間」","")&amp;IF(OR(J1006=FALSE,K1006=FALSE,L1006=FALSE,M1006=FALSE),入力リスト!$K$36,"")&amp;IF(N1006,"",入力リスト!$K$37)))</f>
        <v/>
      </c>
      <c r="H1006" s="215"/>
      <c r="I1006" s="1" t="b">
        <f>IF(B1006="",FALSE,COUNTIF('従業員情報(給与以外)'!$A$4:$A$1000000,$B1006)=0)</f>
        <v>0</v>
      </c>
      <c r="J1006" s="8" t="b">
        <f t="shared" si="75"/>
        <v>1</v>
      </c>
      <c r="K1006" s="8" t="b">
        <f t="shared" si="76"/>
        <v>1</v>
      </c>
      <c r="L1006" s="8" t="b">
        <f t="shared" si="77"/>
        <v>1</v>
      </c>
      <c r="M1006" s="8" t="b">
        <f t="shared" si="78"/>
        <v>1</v>
      </c>
      <c r="N1006" s="1" t="b">
        <f t="shared" si="79"/>
        <v>1</v>
      </c>
      <c r="O1006" s="8" t="str">
        <f>IF(F1006="","",IF($F$2=入力リスト!$H$25,ROUNDDOWN(INT(F1006)+ROUNDDOWN((F1006-INT(F1006))*100,0)/60,2),F1006))</f>
        <v/>
      </c>
      <c r="P1006" s="7"/>
      <c r="Q1006" s="7"/>
    </row>
    <row r="1007" spans="1:17">
      <c r="A1007" s="105"/>
      <c r="B1007" s="2"/>
      <c r="C1007" s="3"/>
      <c r="D1007" s="3"/>
      <c r="E1007" s="3"/>
      <c r="F1007" s="8"/>
      <c r="G1007" s="215" t="str">
        <f>IF(AND($B1007="",OR(B1007&lt;&gt;"",C1007&lt;&gt;"",D1007&lt;&gt;"",E1007&lt;&gt;"",F1007&lt;&gt;"")),入力リスト!$K$34,IF($I1007=TRUE,入力リスト!$K$35,IF(J1007=FALSE,"「毎月の固定給与額」","")&amp;IF(AND(J1007=FALSE,OR(K1007=FALSE,L1007=FALSE,M1007=FALSE)),",","")&amp;IF(K1007=FALSE,"「賞与額等」","")&amp;IF(AND(K1007=FALSE,OR(L1007=FALSE,M1007=FALSE)),",","")&amp;IF(L1007=FALSE,"「残業手当」","")&amp;IF(AND(L1007=FALSE,M1007=FALSE),",","")&amp;IF(M1007=FALSE,"「残業時間」","")&amp;IF(OR(J1007=FALSE,K1007=FALSE,L1007=FALSE,M1007=FALSE),入力リスト!$K$36,"")&amp;IF(N1007,"",入力リスト!$K$37)))</f>
        <v/>
      </c>
      <c r="H1007" s="215"/>
      <c r="I1007" s="1" t="b">
        <f>IF(B1007="",FALSE,COUNTIF('従業員情報(給与以外)'!$A$4:$A$1000000,$B1007)=0)</f>
        <v>0</v>
      </c>
      <c r="J1007" s="8" t="b">
        <f t="shared" si="75"/>
        <v>1</v>
      </c>
      <c r="K1007" s="8" t="b">
        <f t="shared" si="76"/>
        <v>1</v>
      </c>
      <c r="L1007" s="8" t="b">
        <f t="shared" si="77"/>
        <v>1</v>
      </c>
      <c r="M1007" s="8" t="b">
        <f t="shared" si="78"/>
        <v>1</v>
      </c>
      <c r="N1007" s="1" t="b">
        <f t="shared" si="79"/>
        <v>1</v>
      </c>
      <c r="O1007" s="8" t="str">
        <f>IF(F1007="","",IF($F$2=入力リスト!$H$25,ROUNDDOWN(INT(F1007)+ROUNDDOWN((F1007-INT(F1007))*100,0)/60,2),F1007))</f>
        <v/>
      </c>
      <c r="P1007" s="7"/>
      <c r="Q1007" s="7"/>
    </row>
    <row r="1008" spans="1:17">
      <c r="A1008" s="105"/>
      <c r="B1008" s="2"/>
      <c r="C1008" s="3"/>
      <c r="D1008" s="3"/>
      <c r="E1008" s="3"/>
      <c r="F1008" s="8"/>
      <c r="G1008" s="215" t="str">
        <f>IF(AND($B1008="",OR(B1008&lt;&gt;"",C1008&lt;&gt;"",D1008&lt;&gt;"",E1008&lt;&gt;"",F1008&lt;&gt;"")),入力リスト!$K$34,IF($I1008=TRUE,入力リスト!$K$35,IF(J1008=FALSE,"「毎月の固定給与額」","")&amp;IF(AND(J1008=FALSE,OR(K1008=FALSE,L1008=FALSE,M1008=FALSE)),",","")&amp;IF(K1008=FALSE,"「賞与額等」","")&amp;IF(AND(K1008=FALSE,OR(L1008=FALSE,M1008=FALSE)),",","")&amp;IF(L1008=FALSE,"「残業手当」","")&amp;IF(AND(L1008=FALSE,M1008=FALSE),",","")&amp;IF(M1008=FALSE,"「残業時間」","")&amp;IF(OR(J1008=FALSE,K1008=FALSE,L1008=FALSE,M1008=FALSE),入力リスト!$K$36,"")&amp;IF(N1008,"",入力リスト!$K$37)))</f>
        <v/>
      </c>
      <c r="H1008" s="215"/>
      <c r="I1008" s="1" t="b">
        <f>IF(B1008="",FALSE,COUNTIF('従業員情報(給与以外)'!$A$4:$A$1000000,$B1008)=0)</f>
        <v>0</v>
      </c>
      <c r="J1008" s="8" t="b">
        <f t="shared" si="75"/>
        <v>1</v>
      </c>
      <c r="K1008" s="8" t="b">
        <f t="shared" si="76"/>
        <v>1</v>
      </c>
      <c r="L1008" s="8" t="b">
        <f t="shared" si="77"/>
        <v>1</v>
      </c>
      <c r="M1008" s="8" t="b">
        <f t="shared" si="78"/>
        <v>1</v>
      </c>
      <c r="N1008" s="1" t="b">
        <f t="shared" si="79"/>
        <v>1</v>
      </c>
      <c r="O1008" s="8" t="str">
        <f>IF(F1008="","",IF($F$2=入力リスト!$H$25,ROUNDDOWN(INT(F1008)+ROUNDDOWN((F1008-INT(F1008))*100,0)/60,2),F1008))</f>
        <v/>
      </c>
      <c r="P1008" s="7"/>
      <c r="Q1008" s="7"/>
    </row>
    <row r="1009" spans="1:17">
      <c r="A1009" s="105"/>
      <c r="B1009" s="2"/>
      <c r="C1009" s="3"/>
      <c r="D1009" s="3"/>
      <c r="E1009" s="3"/>
      <c r="F1009" s="8"/>
      <c r="G1009" s="215" t="str">
        <f>IF(AND($B1009="",OR(B1009&lt;&gt;"",C1009&lt;&gt;"",D1009&lt;&gt;"",E1009&lt;&gt;"",F1009&lt;&gt;"")),入力リスト!$K$34,IF($I1009=TRUE,入力リスト!$K$35,IF(J1009=FALSE,"「毎月の固定給与額」","")&amp;IF(AND(J1009=FALSE,OR(K1009=FALSE,L1009=FALSE,M1009=FALSE)),",","")&amp;IF(K1009=FALSE,"「賞与額等」","")&amp;IF(AND(K1009=FALSE,OR(L1009=FALSE,M1009=FALSE)),",","")&amp;IF(L1009=FALSE,"「残業手当」","")&amp;IF(AND(L1009=FALSE,M1009=FALSE),",","")&amp;IF(M1009=FALSE,"「残業時間」","")&amp;IF(OR(J1009=FALSE,K1009=FALSE,L1009=FALSE,M1009=FALSE),入力リスト!$K$36,"")&amp;IF(N1009,"",入力リスト!$K$37)))</f>
        <v/>
      </c>
      <c r="H1009" s="215"/>
      <c r="I1009" s="1" t="b">
        <f>IF(B1009="",FALSE,COUNTIF('従業員情報(給与以外)'!$A$4:$A$1000000,$B1009)=0)</f>
        <v>0</v>
      </c>
      <c r="J1009" s="8" t="b">
        <f t="shared" si="75"/>
        <v>1</v>
      </c>
      <c r="K1009" s="8" t="b">
        <f t="shared" si="76"/>
        <v>1</v>
      </c>
      <c r="L1009" s="8" t="b">
        <f t="shared" si="77"/>
        <v>1</v>
      </c>
      <c r="M1009" s="8" t="b">
        <f t="shared" si="78"/>
        <v>1</v>
      </c>
      <c r="N1009" s="1" t="b">
        <f t="shared" si="79"/>
        <v>1</v>
      </c>
      <c r="O1009" s="8" t="str">
        <f>IF(F1009="","",IF($F$2=入力リスト!$H$25,ROUNDDOWN(INT(F1009)+ROUNDDOWN((F1009-INT(F1009))*100,0)/60,2),F1009))</f>
        <v/>
      </c>
      <c r="P1009" s="7"/>
      <c r="Q1009" s="7"/>
    </row>
    <row r="1010" spans="1:17">
      <c r="A1010" s="105"/>
      <c r="B1010" s="2"/>
      <c r="C1010" s="3"/>
      <c r="D1010" s="3"/>
      <c r="E1010" s="3"/>
      <c r="F1010" s="8"/>
      <c r="G1010" s="215" t="str">
        <f>IF(AND($B1010="",OR(B1010&lt;&gt;"",C1010&lt;&gt;"",D1010&lt;&gt;"",E1010&lt;&gt;"",F1010&lt;&gt;"")),入力リスト!$K$34,IF($I1010=TRUE,入力リスト!$K$35,IF(J1010=FALSE,"「毎月の固定給与額」","")&amp;IF(AND(J1010=FALSE,OR(K1010=FALSE,L1010=FALSE,M1010=FALSE)),",","")&amp;IF(K1010=FALSE,"「賞与額等」","")&amp;IF(AND(K1010=FALSE,OR(L1010=FALSE,M1010=FALSE)),",","")&amp;IF(L1010=FALSE,"「残業手当」","")&amp;IF(AND(L1010=FALSE,M1010=FALSE),",","")&amp;IF(M1010=FALSE,"「残業時間」","")&amp;IF(OR(J1010=FALSE,K1010=FALSE,L1010=FALSE,M1010=FALSE),入力リスト!$K$36,"")&amp;IF(N1010,"",入力リスト!$K$37)))</f>
        <v/>
      </c>
      <c r="H1010" s="215"/>
      <c r="I1010" s="1" t="b">
        <f>IF(B1010="",FALSE,COUNTIF('従業員情報(給与以外)'!$A$4:$A$1000000,$B1010)=0)</f>
        <v>0</v>
      </c>
      <c r="J1010" s="8" t="b">
        <f t="shared" si="75"/>
        <v>1</v>
      </c>
      <c r="K1010" s="8" t="b">
        <f t="shared" si="76"/>
        <v>1</v>
      </c>
      <c r="L1010" s="8" t="b">
        <f t="shared" si="77"/>
        <v>1</v>
      </c>
      <c r="M1010" s="8" t="b">
        <f t="shared" si="78"/>
        <v>1</v>
      </c>
      <c r="N1010" s="1" t="b">
        <f t="shared" si="79"/>
        <v>1</v>
      </c>
      <c r="O1010" s="8" t="str">
        <f>IF(F1010="","",IF($F$2=入力リスト!$H$25,ROUNDDOWN(INT(F1010)+ROUNDDOWN((F1010-INT(F1010))*100,0)/60,2),F1010))</f>
        <v/>
      </c>
      <c r="P1010" s="7"/>
      <c r="Q1010" s="7"/>
    </row>
    <row r="1011" spans="1:17">
      <c r="A1011" s="105"/>
      <c r="B1011" s="2"/>
      <c r="C1011" s="3"/>
      <c r="D1011" s="3"/>
      <c r="E1011" s="3"/>
      <c r="F1011" s="8"/>
      <c r="G1011" s="215" t="str">
        <f>IF(AND($B1011="",OR(B1011&lt;&gt;"",C1011&lt;&gt;"",D1011&lt;&gt;"",E1011&lt;&gt;"",F1011&lt;&gt;"")),入力リスト!$K$34,IF($I1011=TRUE,入力リスト!$K$35,IF(J1011=FALSE,"「毎月の固定給与額」","")&amp;IF(AND(J1011=FALSE,OR(K1011=FALSE,L1011=FALSE,M1011=FALSE)),",","")&amp;IF(K1011=FALSE,"「賞与額等」","")&amp;IF(AND(K1011=FALSE,OR(L1011=FALSE,M1011=FALSE)),",","")&amp;IF(L1011=FALSE,"「残業手当」","")&amp;IF(AND(L1011=FALSE,M1011=FALSE),",","")&amp;IF(M1011=FALSE,"「残業時間」","")&amp;IF(OR(J1011=FALSE,K1011=FALSE,L1011=FALSE,M1011=FALSE),入力リスト!$K$36,"")&amp;IF(N1011,"",入力リスト!$K$37)))</f>
        <v/>
      </c>
      <c r="H1011" s="215"/>
      <c r="I1011" s="1" t="b">
        <f>IF(B1011="",FALSE,COUNTIF('従業員情報(給与以外)'!$A$4:$A$1000000,$B1011)=0)</f>
        <v>0</v>
      </c>
      <c r="J1011" s="8" t="b">
        <f t="shared" si="75"/>
        <v>1</v>
      </c>
      <c r="K1011" s="8" t="b">
        <f t="shared" si="76"/>
        <v>1</v>
      </c>
      <c r="L1011" s="8" t="b">
        <f t="shared" si="77"/>
        <v>1</v>
      </c>
      <c r="M1011" s="8" t="b">
        <f t="shared" si="78"/>
        <v>1</v>
      </c>
      <c r="N1011" s="1" t="b">
        <f t="shared" si="79"/>
        <v>1</v>
      </c>
      <c r="O1011" s="8" t="str">
        <f>IF(F1011="","",IF($F$2=入力リスト!$H$25,ROUNDDOWN(INT(F1011)+ROUNDDOWN((F1011-INT(F1011))*100,0)/60,2),F1011))</f>
        <v/>
      </c>
      <c r="P1011" s="7"/>
      <c r="Q1011" s="7"/>
    </row>
    <row r="1012" spans="1:17">
      <c r="A1012" s="105"/>
      <c r="B1012" s="2"/>
      <c r="C1012" s="3"/>
      <c r="D1012" s="3"/>
      <c r="E1012" s="3"/>
      <c r="F1012" s="8"/>
      <c r="G1012" s="215" t="str">
        <f>IF(AND($B1012="",OR(B1012&lt;&gt;"",C1012&lt;&gt;"",D1012&lt;&gt;"",E1012&lt;&gt;"",F1012&lt;&gt;"")),入力リスト!$K$34,IF($I1012=TRUE,入力リスト!$K$35,IF(J1012=FALSE,"「毎月の固定給与額」","")&amp;IF(AND(J1012=FALSE,OR(K1012=FALSE,L1012=FALSE,M1012=FALSE)),",","")&amp;IF(K1012=FALSE,"「賞与額等」","")&amp;IF(AND(K1012=FALSE,OR(L1012=FALSE,M1012=FALSE)),",","")&amp;IF(L1012=FALSE,"「残業手当」","")&amp;IF(AND(L1012=FALSE,M1012=FALSE),",","")&amp;IF(M1012=FALSE,"「残業時間」","")&amp;IF(OR(J1012=FALSE,K1012=FALSE,L1012=FALSE,M1012=FALSE),入力リスト!$K$36,"")&amp;IF(N1012,"",入力リスト!$K$37)))</f>
        <v/>
      </c>
      <c r="H1012" s="215"/>
      <c r="I1012" s="1" t="b">
        <f>IF(B1012="",FALSE,COUNTIF('従業員情報(給与以外)'!$A$4:$A$1000000,$B1012)=0)</f>
        <v>0</v>
      </c>
      <c r="J1012" s="8" t="b">
        <f t="shared" si="75"/>
        <v>1</v>
      </c>
      <c r="K1012" s="8" t="b">
        <f t="shared" si="76"/>
        <v>1</v>
      </c>
      <c r="L1012" s="8" t="b">
        <f t="shared" si="77"/>
        <v>1</v>
      </c>
      <c r="M1012" s="8" t="b">
        <f t="shared" si="78"/>
        <v>1</v>
      </c>
      <c r="N1012" s="1" t="b">
        <f t="shared" si="79"/>
        <v>1</v>
      </c>
      <c r="O1012" s="8" t="str">
        <f>IF(F1012="","",IF($F$2=入力リスト!$H$25,ROUNDDOWN(INT(F1012)+ROUNDDOWN((F1012-INT(F1012))*100,0)/60,2),F1012))</f>
        <v/>
      </c>
      <c r="P1012" s="7"/>
      <c r="Q1012" s="7"/>
    </row>
    <row r="1013" spans="1:17">
      <c r="A1013" s="105"/>
      <c r="B1013" s="2"/>
      <c r="C1013" s="3"/>
      <c r="D1013" s="3"/>
      <c r="E1013" s="3"/>
      <c r="F1013" s="8"/>
      <c r="G1013" s="215" t="str">
        <f>IF(AND($B1013="",OR(B1013&lt;&gt;"",C1013&lt;&gt;"",D1013&lt;&gt;"",E1013&lt;&gt;"",F1013&lt;&gt;"")),入力リスト!$K$34,IF($I1013=TRUE,入力リスト!$K$35,IF(J1013=FALSE,"「毎月の固定給与額」","")&amp;IF(AND(J1013=FALSE,OR(K1013=FALSE,L1013=FALSE,M1013=FALSE)),",","")&amp;IF(K1013=FALSE,"「賞与額等」","")&amp;IF(AND(K1013=FALSE,OR(L1013=FALSE,M1013=FALSE)),",","")&amp;IF(L1013=FALSE,"「残業手当」","")&amp;IF(AND(L1013=FALSE,M1013=FALSE),",","")&amp;IF(M1013=FALSE,"「残業時間」","")&amp;IF(OR(J1013=FALSE,K1013=FALSE,L1013=FALSE,M1013=FALSE),入力リスト!$K$36,"")&amp;IF(N1013,"",入力リスト!$K$37)))</f>
        <v/>
      </c>
      <c r="H1013" s="215"/>
      <c r="I1013" s="1" t="b">
        <f>IF(B1013="",FALSE,COUNTIF('従業員情報(給与以外)'!$A$4:$A$1000000,$B1013)=0)</f>
        <v>0</v>
      </c>
      <c r="J1013" s="8" t="b">
        <f t="shared" si="75"/>
        <v>1</v>
      </c>
      <c r="K1013" s="8" t="b">
        <f t="shared" si="76"/>
        <v>1</v>
      </c>
      <c r="L1013" s="8" t="b">
        <f t="shared" si="77"/>
        <v>1</v>
      </c>
      <c r="M1013" s="8" t="b">
        <f t="shared" si="78"/>
        <v>1</v>
      </c>
      <c r="N1013" s="1" t="b">
        <f t="shared" si="79"/>
        <v>1</v>
      </c>
      <c r="O1013" s="8" t="str">
        <f>IF(F1013="","",IF($F$2=入力リスト!$H$25,ROUNDDOWN(INT(F1013)+ROUNDDOWN((F1013-INT(F1013))*100,0)/60,2),F1013))</f>
        <v/>
      </c>
      <c r="P1013" s="7"/>
      <c r="Q1013" s="7"/>
    </row>
    <row r="1014" spans="1:17">
      <c r="A1014" s="105"/>
      <c r="B1014" s="2"/>
      <c r="C1014" s="3"/>
      <c r="D1014" s="3"/>
      <c r="E1014" s="3"/>
      <c r="F1014" s="8"/>
      <c r="G1014" s="215" t="str">
        <f>IF(AND($B1014="",OR(B1014&lt;&gt;"",C1014&lt;&gt;"",D1014&lt;&gt;"",E1014&lt;&gt;"",F1014&lt;&gt;"")),入力リスト!$K$34,IF($I1014=TRUE,入力リスト!$K$35,IF(J1014=FALSE,"「毎月の固定給与額」","")&amp;IF(AND(J1014=FALSE,OR(K1014=FALSE,L1014=FALSE,M1014=FALSE)),",","")&amp;IF(K1014=FALSE,"「賞与額等」","")&amp;IF(AND(K1014=FALSE,OR(L1014=FALSE,M1014=FALSE)),",","")&amp;IF(L1014=FALSE,"「残業手当」","")&amp;IF(AND(L1014=FALSE,M1014=FALSE),",","")&amp;IF(M1014=FALSE,"「残業時間」","")&amp;IF(OR(J1014=FALSE,K1014=FALSE,L1014=FALSE,M1014=FALSE),入力リスト!$K$36,"")&amp;IF(N1014,"",入力リスト!$K$37)))</f>
        <v/>
      </c>
      <c r="H1014" s="215"/>
      <c r="I1014" s="1" t="b">
        <f>IF(B1014="",FALSE,COUNTIF('従業員情報(給与以外)'!$A$4:$A$1000000,$B1014)=0)</f>
        <v>0</v>
      </c>
      <c r="J1014" s="8" t="b">
        <f t="shared" si="75"/>
        <v>1</v>
      </c>
      <c r="K1014" s="8" t="b">
        <f t="shared" si="76"/>
        <v>1</v>
      </c>
      <c r="L1014" s="8" t="b">
        <f t="shared" si="77"/>
        <v>1</v>
      </c>
      <c r="M1014" s="8" t="b">
        <f t="shared" si="78"/>
        <v>1</v>
      </c>
      <c r="N1014" s="1" t="b">
        <f t="shared" si="79"/>
        <v>1</v>
      </c>
      <c r="O1014" s="8" t="str">
        <f>IF(F1014="","",IF($F$2=入力リスト!$H$25,ROUNDDOWN(INT(F1014)+ROUNDDOWN((F1014-INT(F1014))*100,0)/60,2),F1014))</f>
        <v/>
      </c>
      <c r="P1014" s="7"/>
      <c r="Q1014" s="7"/>
    </row>
    <row r="1015" spans="1:17">
      <c r="A1015" s="105"/>
      <c r="B1015" s="2"/>
      <c r="C1015" s="3"/>
      <c r="D1015" s="3"/>
      <c r="E1015" s="3"/>
      <c r="F1015" s="8"/>
      <c r="G1015" s="215" t="str">
        <f>IF(AND($B1015="",OR(B1015&lt;&gt;"",C1015&lt;&gt;"",D1015&lt;&gt;"",E1015&lt;&gt;"",F1015&lt;&gt;"")),入力リスト!$K$34,IF($I1015=TRUE,入力リスト!$K$35,IF(J1015=FALSE,"「毎月の固定給与額」","")&amp;IF(AND(J1015=FALSE,OR(K1015=FALSE,L1015=FALSE,M1015=FALSE)),",","")&amp;IF(K1015=FALSE,"「賞与額等」","")&amp;IF(AND(K1015=FALSE,OR(L1015=FALSE,M1015=FALSE)),",","")&amp;IF(L1015=FALSE,"「残業手当」","")&amp;IF(AND(L1015=FALSE,M1015=FALSE),",","")&amp;IF(M1015=FALSE,"「残業時間」","")&amp;IF(OR(J1015=FALSE,K1015=FALSE,L1015=FALSE,M1015=FALSE),入力リスト!$K$36,"")&amp;IF(N1015,"",入力リスト!$K$37)))</f>
        <v/>
      </c>
      <c r="H1015" s="215"/>
      <c r="I1015" s="1" t="b">
        <f>IF(B1015="",FALSE,COUNTIF('従業員情報(給与以外)'!$A$4:$A$1000000,$B1015)=0)</f>
        <v>0</v>
      </c>
      <c r="J1015" s="8" t="b">
        <f t="shared" si="75"/>
        <v>1</v>
      </c>
      <c r="K1015" s="8" t="b">
        <f t="shared" si="76"/>
        <v>1</v>
      </c>
      <c r="L1015" s="8" t="b">
        <f t="shared" si="77"/>
        <v>1</v>
      </c>
      <c r="M1015" s="8" t="b">
        <f t="shared" si="78"/>
        <v>1</v>
      </c>
      <c r="N1015" s="1" t="b">
        <f t="shared" si="79"/>
        <v>1</v>
      </c>
      <c r="O1015" s="8" t="str">
        <f>IF(F1015="","",IF($F$2=入力リスト!$H$25,ROUNDDOWN(INT(F1015)+ROUNDDOWN((F1015-INT(F1015))*100,0)/60,2),F1015))</f>
        <v/>
      </c>
      <c r="P1015" s="7"/>
      <c r="Q1015" s="7"/>
    </row>
    <row r="1016" spans="1:17">
      <c r="A1016" s="105"/>
      <c r="B1016" s="2"/>
      <c r="C1016" s="3"/>
      <c r="D1016" s="3"/>
      <c r="E1016" s="3"/>
      <c r="F1016" s="8"/>
      <c r="G1016" s="215" t="str">
        <f>IF(AND($B1016="",OR(B1016&lt;&gt;"",C1016&lt;&gt;"",D1016&lt;&gt;"",E1016&lt;&gt;"",F1016&lt;&gt;"")),入力リスト!$K$34,IF($I1016=TRUE,入力リスト!$K$35,IF(J1016=FALSE,"「毎月の固定給与額」","")&amp;IF(AND(J1016=FALSE,OR(K1016=FALSE,L1016=FALSE,M1016=FALSE)),",","")&amp;IF(K1016=FALSE,"「賞与額等」","")&amp;IF(AND(K1016=FALSE,OR(L1016=FALSE,M1016=FALSE)),",","")&amp;IF(L1016=FALSE,"「残業手当」","")&amp;IF(AND(L1016=FALSE,M1016=FALSE),",","")&amp;IF(M1016=FALSE,"「残業時間」","")&amp;IF(OR(J1016=FALSE,K1016=FALSE,L1016=FALSE,M1016=FALSE),入力リスト!$K$36,"")&amp;IF(N1016,"",入力リスト!$K$37)))</f>
        <v/>
      </c>
      <c r="H1016" s="215"/>
      <c r="I1016" s="1" t="b">
        <f>IF(B1016="",FALSE,COUNTIF('従業員情報(給与以外)'!$A$4:$A$1000000,$B1016)=0)</f>
        <v>0</v>
      </c>
      <c r="J1016" s="8" t="b">
        <f t="shared" si="75"/>
        <v>1</v>
      </c>
      <c r="K1016" s="8" t="b">
        <f t="shared" si="76"/>
        <v>1</v>
      </c>
      <c r="L1016" s="8" t="b">
        <f t="shared" si="77"/>
        <v>1</v>
      </c>
      <c r="M1016" s="8" t="b">
        <f t="shared" si="78"/>
        <v>1</v>
      </c>
      <c r="N1016" s="1" t="b">
        <f t="shared" si="79"/>
        <v>1</v>
      </c>
      <c r="O1016" s="8" t="str">
        <f>IF(F1016="","",IF($F$2=入力リスト!$H$25,ROUNDDOWN(INT(F1016)+ROUNDDOWN((F1016-INT(F1016))*100,0)/60,2),F1016))</f>
        <v/>
      </c>
      <c r="P1016" s="7"/>
      <c r="Q1016" s="7"/>
    </row>
    <row r="1017" spans="1:17">
      <c r="A1017" s="105"/>
      <c r="B1017" s="2"/>
      <c r="C1017" s="3"/>
      <c r="D1017" s="3"/>
      <c r="E1017" s="3"/>
      <c r="F1017" s="8"/>
      <c r="G1017" s="215" t="str">
        <f>IF(AND($B1017="",OR(B1017&lt;&gt;"",C1017&lt;&gt;"",D1017&lt;&gt;"",E1017&lt;&gt;"",F1017&lt;&gt;"")),入力リスト!$K$34,IF($I1017=TRUE,入力リスト!$K$35,IF(J1017=FALSE,"「毎月の固定給与額」","")&amp;IF(AND(J1017=FALSE,OR(K1017=FALSE,L1017=FALSE,M1017=FALSE)),",","")&amp;IF(K1017=FALSE,"「賞与額等」","")&amp;IF(AND(K1017=FALSE,OR(L1017=FALSE,M1017=FALSE)),",","")&amp;IF(L1017=FALSE,"「残業手当」","")&amp;IF(AND(L1017=FALSE,M1017=FALSE),",","")&amp;IF(M1017=FALSE,"「残業時間」","")&amp;IF(OR(J1017=FALSE,K1017=FALSE,L1017=FALSE,M1017=FALSE),入力リスト!$K$36,"")&amp;IF(N1017,"",入力リスト!$K$37)))</f>
        <v/>
      </c>
      <c r="H1017" s="215"/>
      <c r="I1017" s="1" t="b">
        <f>IF(B1017="",FALSE,COUNTIF('従業員情報(給与以外)'!$A$4:$A$1000000,$B1017)=0)</f>
        <v>0</v>
      </c>
      <c r="J1017" s="8" t="b">
        <f t="shared" si="75"/>
        <v>1</v>
      </c>
      <c r="K1017" s="8" t="b">
        <f t="shared" si="76"/>
        <v>1</v>
      </c>
      <c r="L1017" s="8" t="b">
        <f t="shared" si="77"/>
        <v>1</v>
      </c>
      <c r="M1017" s="8" t="b">
        <f t="shared" si="78"/>
        <v>1</v>
      </c>
      <c r="N1017" s="1" t="b">
        <f t="shared" si="79"/>
        <v>1</v>
      </c>
      <c r="O1017" s="8" t="str">
        <f>IF(F1017="","",IF($F$2=入力リスト!$H$25,ROUNDDOWN(INT(F1017)+ROUNDDOWN((F1017-INT(F1017))*100,0)/60,2),F1017))</f>
        <v/>
      </c>
      <c r="P1017" s="7"/>
      <c r="Q1017" s="7"/>
    </row>
    <row r="1018" spans="1:17">
      <c r="A1018" s="105"/>
      <c r="B1018" s="2"/>
      <c r="C1018" s="3"/>
      <c r="D1018" s="3"/>
      <c r="E1018" s="3"/>
      <c r="F1018" s="8"/>
      <c r="G1018" s="215" t="str">
        <f>IF(AND($B1018="",OR(B1018&lt;&gt;"",C1018&lt;&gt;"",D1018&lt;&gt;"",E1018&lt;&gt;"",F1018&lt;&gt;"")),入力リスト!$K$34,IF($I1018=TRUE,入力リスト!$K$35,IF(J1018=FALSE,"「毎月の固定給与額」","")&amp;IF(AND(J1018=FALSE,OR(K1018=FALSE,L1018=FALSE,M1018=FALSE)),",","")&amp;IF(K1018=FALSE,"「賞与額等」","")&amp;IF(AND(K1018=FALSE,OR(L1018=FALSE,M1018=FALSE)),",","")&amp;IF(L1018=FALSE,"「残業手当」","")&amp;IF(AND(L1018=FALSE,M1018=FALSE),",","")&amp;IF(M1018=FALSE,"「残業時間」","")&amp;IF(OR(J1018=FALSE,K1018=FALSE,L1018=FALSE,M1018=FALSE),入力リスト!$K$36,"")&amp;IF(N1018,"",入力リスト!$K$37)))</f>
        <v/>
      </c>
      <c r="H1018" s="215"/>
      <c r="I1018" s="1" t="b">
        <f>IF(B1018="",FALSE,COUNTIF('従業員情報(給与以外)'!$A$4:$A$1000000,$B1018)=0)</f>
        <v>0</v>
      </c>
      <c r="J1018" s="8" t="b">
        <f t="shared" si="75"/>
        <v>1</v>
      </c>
      <c r="K1018" s="8" t="b">
        <f t="shared" si="76"/>
        <v>1</v>
      </c>
      <c r="L1018" s="8" t="b">
        <f t="shared" si="77"/>
        <v>1</v>
      </c>
      <c r="M1018" s="8" t="b">
        <f t="shared" si="78"/>
        <v>1</v>
      </c>
      <c r="N1018" s="1" t="b">
        <f t="shared" si="79"/>
        <v>1</v>
      </c>
      <c r="O1018" s="8" t="str">
        <f>IF(F1018="","",IF($F$2=入力リスト!$H$25,ROUNDDOWN(INT(F1018)+ROUNDDOWN((F1018-INT(F1018))*100,0)/60,2),F1018))</f>
        <v/>
      </c>
      <c r="P1018" s="7"/>
      <c r="Q1018" s="7"/>
    </row>
    <row r="1019" spans="1:17">
      <c r="A1019" s="105"/>
      <c r="B1019" s="2"/>
      <c r="C1019" s="3"/>
      <c r="D1019" s="3"/>
      <c r="E1019" s="3"/>
      <c r="F1019" s="8"/>
      <c r="G1019" s="215" t="str">
        <f>IF(AND($B1019="",OR(B1019&lt;&gt;"",C1019&lt;&gt;"",D1019&lt;&gt;"",E1019&lt;&gt;"",F1019&lt;&gt;"")),入力リスト!$K$34,IF($I1019=TRUE,入力リスト!$K$35,IF(J1019=FALSE,"「毎月の固定給与額」","")&amp;IF(AND(J1019=FALSE,OR(K1019=FALSE,L1019=FALSE,M1019=FALSE)),",","")&amp;IF(K1019=FALSE,"「賞与額等」","")&amp;IF(AND(K1019=FALSE,OR(L1019=FALSE,M1019=FALSE)),",","")&amp;IF(L1019=FALSE,"「残業手当」","")&amp;IF(AND(L1019=FALSE,M1019=FALSE),",","")&amp;IF(M1019=FALSE,"「残業時間」","")&amp;IF(OR(J1019=FALSE,K1019=FALSE,L1019=FALSE,M1019=FALSE),入力リスト!$K$36,"")&amp;IF(N1019,"",入力リスト!$K$37)))</f>
        <v/>
      </c>
      <c r="H1019" s="215"/>
      <c r="I1019" s="1" t="b">
        <f>IF(B1019="",FALSE,COUNTIF('従業員情報(給与以外)'!$A$4:$A$1000000,$B1019)=0)</f>
        <v>0</v>
      </c>
      <c r="J1019" s="8" t="b">
        <f t="shared" si="75"/>
        <v>1</v>
      </c>
      <c r="K1019" s="8" t="b">
        <f t="shared" si="76"/>
        <v>1</v>
      </c>
      <c r="L1019" s="8" t="b">
        <f t="shared" si="77"/>
        <v>1</v>
      </c>
      <c r="M1019" s="8" t="b">
        <f t="shared" si="78"/>
        <v>1</v>
      </c>
      <c r="N1019" s="1" t="b">
        <f t="shared" si="79"/>
        <v>1</v>
      </c>
      <c r="O1019" s="8" t="str">
        <f>IF(F1019="","",IF($F$2=入力リスト!$H$25,ROUNDDOWN(INT(F1019)+ROUNDDOWN((F1019-INT(F1019))*100,0)/60,2),F1019))</f>
        <v/>
      </c>
      <c r="P1019" s="7"/>
      <c r="Q1019" s="7"/>
    </row>
    <row r="1020" spans="1:17">
      <c r="A1020" s="105"/>
      <c r="B1020" s="2"/>
      <c r="C1020" s="3"/>
      <c r="D1020" s="3"/>
      <c r="E1020" s="3"/>
      <c r="F1020" s="8"/>
      <c r="G1020" s="215" t="str">
        <f>IF(AND($B1020="",OR(B1020&lt;&gt;"",C1020&lt;&gt;"",D1020&lt;&gt;"",E1020&lt;&gt;"",F1020&lt;&gt;"")),入力リスト!$K$34,IF($I1020=TRUE,入力リスト!$K$35,IF(J1020=FALSE,"「毎月の固定給与額」","")&amp;IF(AND(J1020=FALSE,OR(K1020=FALSE,L1020=FALSE,M1020=FALSE)),",","")&amp;IF(K1020=FALSE,"「賞与額等」","")&amp;IF(AND(K1020=FALSE,OR(L1020=FALSE,M1020=FALSE)),",","")&amp;IF(L1020=FALSE,"「残業手当」","")&amp;IF(AND(L1020=FALSE,M1020=FALSE),",","")&amp;IF(M1020=FALSE,"「残業時間」","")&amp;IF(OR(J1020=FALSE,K1020=FALSE,L1020=FALSE,M1020=FALSE),入力リスト!$K$36,"")&amp;IF(N1020,"",入力リスト!$K$37)))</f>
        <v/>
      </c>
      <c r="H1020" s="215"/>
      <c r="I1020" s="1" t="b">
        <f>IF(B1020="",FALSE,COUNTIF('従業員情報(給与以外)'!$A$4:$A$1000000,$B1020)=0)</f>
        <v>0</v>
      </c>
      <c r="J1020" s="8" t="b">
        <f t="shared" si="75"/>
        <v>1</v>
      </c>
      <c r="K1020" s="8" t="b">
        <f t="shared" si="76"/>
        <v>1</v>
      </c>
      <c r="L1020" s="8" t="b">
        <f t="shared" si="77"/>
        <v>1</v>
      </c>
      <c r="M1020" s="8" t="b">
        <f t="shared" si="78"/>
        <v>1</v>
      </c>
      <c r="N1020" s="1" t="b">
        <f t="shared" si="79"/>
        <v>1</v>
      </c>
      <c r="O1020" s="8" t="str">
        <f>IF(F1020="","",IF($F$2=入力リスト!$H$25,ROUNDDOWN(INT(F1020)+ROUNDDOWN((F1020-INT(F1020))*100,0)/60,2),F1020))</f>
        <v/>
      </c>
      <c r="P1020" s="7"/>
      <c r="Q1020" s="7"/>
    </row>
    <row r="1021" spans="1:17">
      <c r="A1021" s="105"/>
      <c r="B1021" s="2"/>
      <c r="C1021" s="3"/>
      <c r="D1021" s="3"/>
      <c r="E1021" s="3"/>
      <c r="F1021" s="8"/>
      <c r="G1021" s="215" t="str">
        <f>IF(AND($B1021="",OR(B1021&lt;&gt;"",C1021&lt;&gt;"",D1021&lt;&gt;"",E1021&lt;&gt;"",F1021&lt;&gt;"")),入力リスト!$K$34,IF($I1021=TRUE,入力リスト!$K$35,IF(J1021=FALSE,"「毎月の固定給与額」","")&amp;IF(AND(J1021=FALSE,OR(K1021=FALSE,L1021=FALSE,M1021=FALSE)),",","")&amp;IF(K1021=FALSE,"「賞与額等」","")&amp;IF(AND(K1021=FALSE,OR(L1021=FALSE,M1021=FALSE)),",","")&amp;IF(L1021=FALSE,"「残業手当」","")&amp;IF(AND(L1021=FALSE,M1021=FALSE),",","")&amp;IF(M1021=FALSE,"「残業時間」","")&amp;IF(OR(J1021=FALSE,K1021=FALSE,L1021=FALSE,M1021=FALSE),入力リスト!$K$36,"")&amp;IF(N1021,"",入力リスト!$K$37)))</f>
        <v/>
      </c>
      <c r="H1021" s="215"/>
      <c r="I1021" s="1" t="b">
        <f>IF(B1021="",FALSE,COUNTIF('従業員情報(給与以外)'!$A$4:$A$1000000,$B1021)=0)</f>
        <v>0</v>
      </c>
      <c r="J1021" s="8" t="b">
        <f t="shared" si="75"/>
        <v>1</v>
      </c>
      <c r="K1021" s="8" t="b">
        <f t="shared" si="76"/>
        <v>1</v>
      </c>
      <c r="L1021" s="8" t="b">
        <f t="shared" si="77"/>
        <v>1</v>
      </c>
      <c r="M1021" s="8" t="b">
        <f t="shared" si="78"/>
        <v>1</v>
      </c>
      <c r="N1021" s="1" t="b">
        <f t="shared" si="79"/>
        <v>1</v>
      </c>
      <c r="O1021" s="8" t="str">
        <f>IF(F1021="","",IF($F$2=入力リスト!$H$25,ROUNDDOWN(INT(F1021)+ROUNDDOWN((F1021-INT(F1021))*100,0)/60,2),F1021))</f>
        <v/>
      </c>
      <c r="P1021" s="7"/>
      <c r="Q1021" s="7"/>
    </row>
    <row r="1022" spans="1:17">
      <c r="A1022" s="105"/>
      <c r="B1022" s="2"/>
      <c r="C1022" s="3"/>
      <c r="D1022" s="3"/>
      <c r="E1022" s="3"/>
      <c r="F1022" s="8"/>
      <c r="G1022" s="215" t="str">
        <f>IF(AND($B1022="",OR(B1022&lt;&gt;"",C1022&lt;&gt;"",D1022&lt;&gt;"",E1022&lt;&gt;"",F1022&lt;&gt;"")),入力リスト!$K$34,IF($I1022=TRUE,入力リスト!$K$35,IF(J1022=FALSE,"「毎月の固定給与額」","")&amp;IF(AND(J1022=FALSE,OR(K1022=FALSE,L1022=FALSE,M1022=FALSE)),",","")&amp;IF(K1022=FALSE,"「賞与額等」","")&amp;IF(AND(K1022=FALSE,OR(L1022=FALSE,M1022=FALSE)),",","")&amp;IF(L1022=FALSE,"「残業手当」","")&amp;IF(AND(L1022=FALSE,M1022=FALSE),",","")&amp;IF(M1022=FALSE,"「残業時間」","")&amp;IF(OR(J1022=FALSE,K1022=FALSE,L1022=FALSE,M1022=FALSE),入力リスト!$K$36,"")&amp;IF(N1022,"",入力リスト!$K$37)))</f>
        <v/>
      </c>
      <c r="H1022" s="215"/>
      <c r="I1022" s="1" t="b">
        <f>IF(B1022="",FALSE,COUNTIF('従業員情報(給与以外)'!$A$4:$A$1000000,$B1022)=0)</f>
        <v>0</v>
      </c>
      <c r="J1022" s="8" t="b">
        <f t="shared" si="75"/>
        <v>1</v>
      </c>
      <c r="K1022" s="8" t="b">
        <f t="shared" si="76"/>
        <v>1</v>
      </c>
      <c r="L1022" s="8" t="b">
        <f t="shared" si="77"/>
        <v>1</v>
      </c>
      <c r="M1022" s="8" t="b">
        <f t="shared" si="78"/>
        <v>1</v>
      </c>
      <c r="N1022" s="1" t="b">
        <f t="shared" si="79"/>
        <v>1</v>
      </c>
      <c r="O1022" s="8" t="str">
        <f>IF(F1022="","",IF($F$2=入力リスト!$H$25,ROUNDDOWN(INT(F1022)+ROUNDDOWN((F1022-INT(F1022))*100,0)/60,2),F1022))</f>
        <v/>
      </c>
      <c r="P1022" s="7"/>
      <c r="Q1022" s="7"/>
    </row>
    <row r="1023" spans="1:17">
      <c r="A1023" s="105"/>
      <c r="B1023" s="2"/>
      <c r="C1023" s="3"/>
      <c r="D1023" s="3"/>
      <c r="E1023" s="3"/>
      <c r="F1023" s="8"/>
      <c r="G1023" s="215" t="str">
        <f>IF(AND($B1023="",OR(B1023&lt;&gt;"",C1023&lt;&gt;"",D1023&lt;&gt;"",E1023&lt;&gt;"",F1023&lt;&gt;"")),入力リスト!$K$34,IF($I1023=TRUE,入力リスト!$K$35,IF(J1023=FALSE,"「毎月の固定給与額」","")&amp;IF(AND(J1023=FALSE,OR(K1023=FALSE,L1023=FALSE,M1023=FALSE)),",","")&amp;IF(K1023=FALSE,"「賞与額等」","")&amp;IF(AND(K1023=FALSE,OR(L1023=FALSE,M1023=FALSE)),",","")&amp;IF(L1023=FALSE,"「残業手当」","")&amp;IF(AND(L1023=FALSE,M1023=FALSE),",","")&amp;IF(M1023=FALSE,"「残業時間」","")&amp;IF(OR(J1023=FALSE,K1023=FALSE,L1023=FALSE,M1023=FALSE),入力リスト!$K$36,"")&amp;IF(N1023,"",入力リスト!$K$37)))</f>
        <v/>
      </c>
      <c r="H1023" s="215"/>
      <c r="I1023" s="1" t="b">
        <f>IF(B1023="",FALSE,COUNTIF('従業員情報(給与以外)'!$A$4:$A$1000000,$B1023)=0)</f>
        <v>0</v>
      </c>
      <c r="J1023" s="8" t="b">
        <f t="shared" si="75"/>
        <v>1</v>
      </c>
      <c r="K1023" s="8" t="b">
        <f t="shared" si="76"/>
        <v>1</v>
      </c>
      <c r="L1023" s="8" t="b">
        <f t="shared" si="77"/>
        <v>1</v>
      </c>
      <c r="M1023" s="8" t="b">
        <f t="shared" si="78"/>
        <v>1</v>
      </c>
      <c r="N1023" s="1" t="b">
        <f t="shared" si="79"/>
        <v>1</v>
      </c>
      <c r="O1023" s="8" t="str">
        <f>IF(F1023="","",IF($F$2=入力リスト!$H$25,ROUNDDOWN(INT(F1023)+ROUNDDOWN((F1023-INT(F1023))*100,0)/60,2),F1023))</f>
        <v/>
      </c>
      <c r="P1023" s="7"/>
      <c r="Q1023" s="7"/>
    </row>
    <row r="1024" spans="1:17">
      <c r="A1024" s="105"/>
      <c r="B1024" s="2"/>
      <c r="C1024" s="3"/>
      <c r="D1024" s="3"/>
      <c r="E1024" s="3"/>
      <c r="F1024" s="8"/>
      <c r="G1024" s="215" t="str">
        <f>IF(AND($B1024="",OR(B1024&lt;&gt;"",C1024&lt;&gt;"",D1024&lt;&gt;"",E1024&lt;&gt;"",F1024&lt;&gt;"")),入力リスト!$K$34,IF($I1024=TRUE,入力リスト!$K$35,IF(J1024=FALSE,"「毎月の固定給与額」","")&amp;IF(AND(J1024=FALSE,OR(K1024=FALSE,L1024=FALSE,M1024=FALSE)),",","")&amp;IF(K1024=FALSE,"「賞与額等」","")&amp;IF(AND(K1024=FALSE,OR(L1024=FALSE,M1024=FALSE)),",","")&amp;IF(L1024=FALSE,"「残業手当」","")&amp;IF(AND(L1024=FALSE,M1024=FALSE),",","")&amp;IF(M1024=FALSE,"「残業時間」","")&amp;IF(OR(J1024=FALSE,K1024=FALSE,L1024=FALSE,M1024=FALSE),入力リスト!$K$36,"")&amp;IF(N1024,"",入力リスト!$K$37)))</f>
        <v/>
      </c>
      <c r="H1024" s="215"/>
      <c r="I1024" s="1" t="b">
        <f>IF(B1024="",FALSE,COUNTIF('従業員情報(給与以外)'!$A$4:$A$1000000,$B1024)=0)</f>
        <v>0</v>
      </c>
      <c r="J1024" s="8" t="b">
        <f t="shared" si="75"/>
        <v>1</v>
      </c>
      <c r="K1024" s="8" t="b">
        <f t="shared" si="76"/>
        <v>1</v>
      </c>
      <c r="L1024" s="8" t="b">
        <f t="shared" si="77"/>
        <v>1</v>
      </c>
      <c r="M1024" s="8" t="b">
        <f t="shared" si="78"/>
        <v>1</v>
      </c>
      <c r="N1024" s="1" t="b">
        <f t="shared" si="79"/>
        <v>1</v>
      </c>
      <c r="O1024" s="8" t="str">
        <f>IF(F1024="","",IF($F$2=入力リスト!$H$25,ROUNDDOWN(INT(F1024)+ROUNDDOWN((F1024-INT(F1024))*100,0)/60,2),F1024))</f>
        <v/>
      </c>
      <c r="P1024" s="7"/>
      <c r="Q1024" s="7"/>
    </row>
    <row r="1025" spans="1:17">
      <c r="A1025" s="105"/>
      <c r="B1025" s="2"/>
      <c r="C1025" s="3"/>
      <c r="D1025" s="3"/>
      <c r="E1025" s="3"/>
      <c r="F1025" s="8"/>
      <c r="G1025" s="215" t="str">
        <f>IF(AND($B1025="",OR(B1025&lt;&gt;"",C1025&lt;&gt;"",D1025&lt;&gt;"",E1025&lt;&gt;"",F1025&lt;&gt;"")),入力リスト!$K$34,IF($I1025=TRUE,入力リスト!$K$35,IF(J1025=FALSE,"「毎月の固定給与額」","")&amp;IF(AND(J1025=FALSE,OR(K1025=FALSE,L1025=FALSE,M1025=FALSE)),",","")&amp;IF(K1025=FALSE,"「賞与額等」","")&amp;IF(AND(K1025=FALSE,OR(L1025=FALSE,M1025=FALSE)),",","")&amp;IF(L1025=FALSE,"「残業手当」","")&amp;IF(AND(L1025=FALSE,M1025=FALSE),",","")&amp;IF(M1025=FALSE,"「残業時間」","")&amp;IF(OR(J1025=FALSE,K1025=FALSE,L1025=FALSE,M1025=FALSE),入力リスト!$K$36,"")&amp;IF(N1025,"",入力リスト!$K$37)))</f>
        <v/>
      </c>
      <c r="H1025" s="215"/>
      <c r="I1025" s="1" t="b">
        <f>IF(B1025="",FALSE,COUNTIF('従業員情報(給与以外)'!$A$4:$A$1000000,$B1025)=0)</f>
        <v>0</v>
      </c>
      <c r="J1025" s="8" t="b">
        <f t="shared" si="75"/>
        <v>1</v>
      </c>
      <c r="K1025" s="8" t="b">
        <f t="shared" si="76"/>
        <v>1</v>
      </c>
      <c r="L1025" s="8" t="b">
        <f t="shared" si="77"/>
        <v>1</v>
      </c>
      <c r="M1025" s="8" t="b">
        <f t="shared" si="78"/>
        <v>1</v>
      </c>
      <c r="N1025" s="1" t="b">
        <f t="shared" si="79"/>
        <v>1</v>
      </c>
      <c r="O1025" s="8" t="str">
        <f>IF(F1025="","",IF($F$2=入力リスト!$H$25,ROUNDDOWN(INT(F1025)+ROUNDDOWN((F1025-INT(F1025))*100,0)/60,2),F1025))</f>
        <v/>
      </c>
      <c r="P1025" s="7"/>
      <c r="Q1025" s="7"/>
    </row>
    <row r="1026" spans="1:17">
      <c r="A1026" s="105"/>
      <c r="B1026" s="2"/>
      <c r="C1026" s="3"/>
      <c r="D1026" s="3"/>
      <c r="E1026" s="3"/>
      <c r="F1026" s="8"/>
      <c r="G1026" s="215" t="str">
        <f>IF(AND($B1026="",OR(B1026&lt;&gt;"",C1026&lt;&gt;"",D1026&lt;&gt;"",E1026&lt;&gt;"",F1026&lt;&gt;"")),入力リスト!$K$34,IF($I1026=TRUE,入力リスト!$K$35,IF(J1026=FALSE,"「毎月の固定給与額」","")&amp;IF(AND(J1026=FALSE,OR(K1026=FALSE,L1026=FALSE,M1026=FALSE)),",","")&amp;IF(K1026=FALSE,"「賞与額等」","")&amp;IF(AND(K1026=FALSE,OR(L1026=FALSE,M1026=FALSE)),",","")&amp;IF(L1026=FALSE,"「残業手当」","")&amp;IF(AND(L1026=FALSE,M1026=FALSE),",","")&amp;IF(M1026=FALSE,"「残業時間」","")&amp;IF(OR(J1026=FALSE,K1026=FALSE,L1026=FALSE,M1026=FALSE),入力リスト!$K$36,"")&amp;IF(N1026,"",入力リスト!$K$37)))</f>
        <v/>
      </c>
      <c r="H1026" s="215"/>
      <c r="I1026" s="1" t="b">
        <f>IF(B1026="",FALSE,COUNTIF('従業員情報(給与以外)'!$A$4:$A$1000000,$B1026)=0)</f>
        <v>0</v>
      </c>
      <c r="J1026" s="8" t="b">
        <f t="shared" si="75"/>
        <v>1</v>
      </c>
      <c r="K1026" s="8" t="b">
        <f t="shared" si="76"/>
        <v>1</v>
      </c>
      <c r="L1026" s="8" t="b">
        <f t="shared" si="77"/>
        <v>1</v>
      </c>
      <c r="M1026" s="8" t="b">
        <f t="shared" si="78"/>
        <v>1</v>
      </c>
      <c r="N1026" s="1" t="b">
        <f t="shared" si="79"/>
        <v>1</v>
      </c>
      <c r="O1026" s="8" t="str">
        <f>IF(F1026="","",IF($F$2=入力リスト!$H$25,ROUNDDOWN(INT(F1026)+ROUNDDOWN((F1026-INT(F1026))*100,0)/60,2),F1026))</f>
        <v/>
      </c>
      <c r="P1026" s="7"/>
      <c r="Q1026" s="7"/>
    </row>
    <row r="1027" spans="1:17">
      <c r="A1027" s="105"/>
      <c r="B1027" s="2"/>
      <c r="C1027" s="3"/>
      <c r="D1027" s="3"/>
      <c r="E1027" s="3"/>
      <c r="F1027" s="8"/>
      <c r="G1027" s="215" t="str">
        <f>IF(AND($B1027="",OR(B1027&lt;&gt;"",C1027&lt;&gt;"",D1027&lt;&gt;"",E1027&lt;&gt;"",F1027&lt;&gt;"")),入力リスト!$K$34,IF($I1027=TRUE,入力リスト!$K$35,IF(J1027=FALSE,"「毎月の固定給与額」","")&amp;IF(AND(J1027=FALSE,OR(K1027=FALSE,L1027=FALSE,M1027=FALSE)),",","")&amp;IF(K1027=FALSE,"「賞与額等」","")&amp;IF(AND(K1027=FALSE,OR(L1027=FALSE,M1027=FALSE)),",","")&amp;IF(L1027=FALSE,"「残業手当」","")&amp;IF(AND(L1027=FALSE,M1027=FALSE),",","")&amp;IF(M1027=FALSE,"「残業時間」","")&amp;IF(OR(J1027=FALSE,K1027=FALSE,L1027=FALSE,M1027=FALSE),入力リスト!$K$36,"")&amp;IF(N1027,"",入力リスト!$K$37)))</f>
        <v/>
      </c>
      <c r="H1027" s="215"/>
      <c r="I1027" s="1" t="b">
        <f>IF(B1027="",FALSE,COUNTIF('従業員情報(給与以外)'!$A$4:$A$1000000,$B1027)=0)</f>
        <v>0</v>
      </c>
      <c r="J1027" s="8" t="b">
        <f t="shared" si="75"/>
        <v>1</v>
      </c>
      <c r="K1027" s="8" t="b">
        <f t="shared" si="76"/>
        <v>1</v>
      </c>
      <c r="L1027" s="8" t="b">
        <f t="shared" si="77"/>
        <v>1</v>
      </c>
      <c r="M1027" s="8" t="b">
        <f t="shared" si="78"/>
        <v>1</v>
      </c>
      <c r="N1027" s="1" t="b">
        <f t="shared" si="79"/>
        <v>1</v>
      </c>
      <c r="O1027" s="8" t="str">
        <f>IF(F1027="","",IF($F$2=入力リスト!$H$25,ROUNDDOWN(INT(F1027)+ROUNDDOWN((F1027-INT(F1027))*100,0)/60,2),F1027))</f>
        <v/>
      </c>
      <c r="P1027" s="7"/>
      <c r="Q1027" s="7"/>
    </row>
    <row r="1028" spans="1:17">
      <c r="A1028" s="105"/>
      <c r="B1028" s="2"/>
      <c r="C1028" s="3"/>
      <c r="D1028" s="3"/>
      <c r="E1028" s="3"/>
      <c r="F1028" s="8"/>
      <c r="G1028" s="215" t="str">
        <f>IF(AND($B1028="",OR(B1028&lt;&gt;"",C1028&lt;&gt;"",D1028&lt;&gt;"",E1028&lt;&gt;"",F1028&lt;&gt;"")),入力リスト!$K$34,IF($I1028=TRUE,入力リスト!$K$35,IF(J1028=FALSE,"「毎月の固定給与額」","")&amp;IF(AND(J1028=FALSE,OR(K1028=FALSE,L1028=FALSE,M1028=FALSE)),",","")&amp;IF(K1028=FALSE,"「賞与額等」","")&amp;IF(AND(K1028=FALSE,OR(L1028=FALSE,M1028=FALSE)),",","")&amp;IF(L1028=FALSE,"「残業手当」","")&amp;IF(AND(L1028=FALSE,M1028=FALSE),",","")&amp;IF(M1028=FALSE,"「残業時間」","")&amp;IF(OR(J1028=FALSE,K1028=FALSE,L1028=FALSE,M1028=FALSE),入力リスト!$K$36,"")&amp;IF(N1028,"",入力リスト!$K$37)))</f>
        <v/>
      </c>
      <c r="H1028" s="215"/>
      <c r="I1028" s="1" t="b">
        <f>IF(B1028="",FALSE,COUNTIF('従業員情報(給与以外)'!$A$4:$A$1000000,$B1028)=0)</f>
        <v>0</v>
      </c>
      <c r="J1028" s="8" t="b">
        <f t="shared" si="75"/>
        <v>1</v>
      </c>
      <c r="K1028" s="8" t="b">
        <f t="shared" si="76"/>
        <v>1</v>
      </c>
      <c r="L1028" s="8" t="b">
        <f t="shared" si="77"/>
        <v>1</v>
      </c>
      <c r="M1028" s="8" t="b">
        <f t="shared" si="78"/>
        <v>1</v>
      </c>
      <c r="N1028" s="1" t="b">
        <f t="shared" si="79"/>
        <v>1</v>
      </c>
      <c r="O1028" s="8" t="str">
        <f>IF(F1028="","",IF($F$2=入力リスト!$H$25,ROUNDDOWN(INT(F1028)+ROUNDDOWN((F1028-INT(F1028))*100,0)/60,2),F1028))</f>
        <v/>
      </c>
      <c r="P1028" s="7"/>
      <c r="Q1028" s="7"/>
    </row>
    <row r="1029" spans="1:17">
      <c r="A1029" s="105"/>
      <c r="B1029" s="2"/>
      <c r="C1029" s="3"/>
      <c r="D1029" s="3"/>
      <c r="E1029" s="3"/>
      <c r="F1029" s="8"/>
      <c r="G1029" s="215" t="str">
        <f>IF(AND($B1029="",OR(B1029&lt;&gt;"",C1029&lt;&gt;"",D1029&lt;&gt;"",E1029&lt;&gt;"",F1029&lt;&gt;"")),入力リスト!$K$34,IF($I1029=TRUE,入力リスト!$K$35,IF(J1029=FALSE,"「毎月の固定給与額」","")&amp;IF(AND(J1029=FALSE,OR(K1029=FALSE,L1029=FALSE,M1029=FALSE)),",","")&amp;IF(K1029=FALSE,"「賞与額等」","")&amp;IF(AND(K1029=FALSE,OR(L1029=FALSE,M1029=FALSE)),",","")&amp;IF(L1029=FALSE,"「残業手当」","")&amp;IF(AND(L1029=FALSE,M1029=FALSE),",","")&amp;IF(M1029=FALSE,"「残業時間」","")&amp;IF(OR(J1029=FALSE,K1029=FALSE,L1029=FALSE,M1029=FALSE),入力リスト!$K$36,"")&amp;IF(N1029,"",入力リスト!$K$37)))</f>
        <v/>
      </c>
      <c r="H1029" s="215"/>
      <c r="I1029" s="1" t="b">
        <f>IF(B1029="",FALSE,COUNTIF('従業員情報(給与以外)'!$A$4:$A$1000000,$B1029)=0)</f>
        <v>0</v>
      </c>
      <c r="J1029" s="8" t="b">
        <f t="shared" ref="J1029:J1092" si="80">OR(C1029="",ISNUMBER(C1029))</f>
        <v>1</v>
      </c>
      <c r="K1029" s="8" t="b">
        <f t="shared" ref="K1029:K1092" si="81">OR(D1029="",ISNUMBER(D1029))</f>
        <v>1</v>
      </c>
      <c r="L1029" s="8" t="b">
        <f t="shared" ref="L1029:L1092" si="82">OR(E1029="",ISNUMBER(E1029))</f>
        <v>1</v>
      </c>
      <c r="M1029" s="8" t="b">
        <f t="shared" ref="M1029:M1092" si="83">OR(F1029="",ISNUMBER(F1029))</f>
        <v>1</v>
      </c>
      <c r="N1029" s="1" t="b">
        <f t="shared" ref="N1029:N1092" si="84">IF($N$1,TRUE,IF($N$2,IF(F1029-INT(F1029)&lt;0.6,TRUE,FALSE),TRUE))</f>
        <v>1</v>
      </c>
      <c r="O1029" s="8" t="str">
        <f>IF(F1029="","",IF($F$2=入力リスト!$H$25,ROUNDDOWN(INT(F1029)+ROUNDDOWN((F1029-INT(F1029))*100,0)/60,2),F1029))</f>
        <v/>
      </c>
      <c r="P1029" s="7"/>
      <c r="Q1029" s="7"/>
    </row>
    <row r="1030" spans="1:17">
      <c r="A1030" s="105"/>
      <c r="B1030" s="2"/>
      <c r="C1030" s="3"/>
      <c r="D1030" s="3"/>
      <c r="E1030" s="3"/>
      <c r="F1030" s="8"/>
      <c r="G1030" s="215" t="str">
        <f>IF(AND($B1030="",OR(B1030&lt;&gt;"",C1030&lt;&gt;"",D1030&lt;&gt;"",E1030&lt;&gt;"",F1030&lt;&gt;"")),入力リスト!$K$34,IF($I1030=TRUE,入力リスト!$K$35,IF(J1030=FALSE,"「毎月の固定給与額」","")&amp;IF(AND(J1030=FALSE,OR(K1030=FALSE,L1030=FALSE,M1030=FALSE)),",","")&amp;IF(K1030=FALSE,"「賞与額等」","")&amp;IF(AND(K1030=FALSE,OR(L1030=FALSE,M1030=FALSE)),",","")&amp;IF(L1030=FALSE,"「残業手当」","")&amp;IF(AND(L1030=FALSE,M1030=FALSE),",","")&amp;IF(M1030=FALSE,"「残業時間」","")&amp;IF(OR(J1030=FALSE,K1030=FALSE,L1030=FALSE,M1030=FALSE),入力リスト!$K$36,"")&amp;IF(N1030,"",入力リスト!$K$37)))</f>
        <v/>
      </c>
      <c r="H1030" s="215"/>
      <c r="I1030" s="1" t="b">
        <f>IF(B1030="",FALSE,COUNTIF('従業員情報(給与以外)'!$A$4:$A$1000000,$B1030)=0)</f>
        <v>0</v>
      </c>
      <c r="J1030" s="8" t="b">
        <f t="shared" si="80"/>
        <v>1</v>
      </c>
      <c r="K1030" s="8" t="b">
        <f t="shared" si="81"/>
        <v>1</v>
      </c>
      <c r="L1030" s="8" t="b">
        <f t="shared" si="82"/>
        <v>1</v>
      </c>
      <c r="M1030" s="8" t="b">
        <f t="shared" si="83"/>
        <v>1</v>
      </c>
      <c r="N1030" s="1" t="b">
        <f t="shared" si="84"/>
        <v>1</v>
      </c>
      <c r="O1030" s="8" t="str">
        <f>IF(F1030="","",IF($F$2=入力リスト!$H$25,ROUNDDOWN(INT(F1030)+ROUNDDOWN((F1030-INT(F1030))*100,0)/60,2),F1030))</f>
        <v/>
      </c>
      <c r="P1030" s="7"/>
      <c r="Q1030" s="7"/>
    </row>
    <row r="1031" spans="1:17">
      <c r="A1031" s="105"/>
      <c r="B1031" s="2"/>
      <c r="C1031" s="3"/>
      <c r="D1031" s="3"/>
      <c r="E1031" s="3"/>
      <c r="F1031" s="8"/>
      <c r="G1031" s="215" t="str">
        <f>IF(AND($B1031="",OR(B1031&lt;&gt;"",C1031&lt;&gt;"",D1031&lt;&gt;"",E1031&lt;&gt;"",F1031&lt;&gt;"")),入力リスト!$K$34,IF($I1031=TRUE,入力リスト!$K$35,IF(J1031=FALSE,"「毎月の固定給与額」","")&amp;IF(AND(J1031=FALSE,OR(K1031=FALSE,L1031=FALSE,M1031=FALSE)),",","")&amp;IF(K1031=FALSE,"「賞与額等」","")&amp;IF(AND(K1031=FALSE,OR(L1031=FALSE,M1031=FALSE)),",","")&amp;IF(L1031=FALSE,"「残業手当」","")&amp;IF(AND(L1031=FALSE,M1031=FALSE),",","")&amp;IF(M1031=FALSE,"「残業時間」","")&amp;IF(OR(J1031=FALSE,K1031=FALSE,L1031=FALSE,M1031=FALSE),入力リスト!$K$36,"")&amp;IF(N1031,"",入力リスト!$K$37)))</f>
        <v/>
      </c>
      <c r="H1031" s="215"/>
      <c r="I1031" s="1" t="b">
        <f>IF(B1031="",FALSE,COUNTIF('従業員情報(給与以外)'!$A$4:$A$1000000,$B1031)=0)</f>
        <v>0</v>
      </c>
      <c r="J1031" s="8" t="b">
        <f t="shared" si="80"/>
        <v>1</v>
      </c>
      <c r="K1031" s="8" t="b">
        <f t="shared" si="81"/>
        <v>1</v>
      </c>
      <c r="L1031" s="8" t="b">
        <f t="shared" si="82"/>
        <v>1</v>
      </c>
      <c r="M1031" s="8" t="b">
        <f t="shared" si="83"/>
        <v>1</v>
      </c>
      <c r="N1031" s="1" t="b">
        <f t="shared" si="84"/>
        <v>1</v>
      </c>
      <c r="O1031" s="8" t="str">
        <f>IF(F1031="","",IF($F$2=入力リスト!$H$25,ROUNDDOWN(INT(F1031)+ROUNDDOWN((F1031-INT(F1031))*100,0)/60,2),F1031))</f>
        <v/>
      </c>
      <c r="P1031" s="7"/>
      <c r="Q1031" s="7"/>
    </row>
    <row r="1032" spans="1:17">
      <c r="A1032" s="105"/>
      <c r="B1032" s="2"/>
      <c r="C1032" s="3"/>
      <c r="D1032" s="3"/>
      <c r="E1032" s="3"/>
      <c r="F1032" s="8"/>
      <c r="G1032" s="215" t="str">
        <f>IF(AND($B1032="",OR(B1032&lt;&gt;"",C1032&lt;&gt;"",D1032&lt;&gt;"",E1032&lt;&gt;"",F1032&lt;&gt;"")),入力リスト!$K$34,IF($I1032=TRUE,入力リスト!$K$35,IF(J1032=FALSE,"「毎月の固定給与額」","")&amp;IF(AND(J1032=FALSE,OR(K1032=FALSE,L1032=FALSE,M1032=FALSE)),",","")&amp;IF(K1032=FALSE,"「賞与額等」","")&amp;IF(AND(K1032=FALSE,OR(L1032=FALSE,M1032=FALSE)),",","")&amp;IF(L1032=FALSE,"「残業手当」","")&amp;IF(AND(L1032=FALSE,M1032=FALSE),",","")&amp;IF(M1032=FALSE,"「残業時間」","")&amp;IF(OR(J1032=FALSE,K1032=FALSE,L1032=FALSE,M1032=FALSE),入力リスト!$K$36,"")&amp;IF(N1032,"",入力リスト!$K$37)))</f>
        <v/>
      </c>
      <c r="H1032" s="215"/>
      <c r="I1032" s="1" t="b">
        <f>IF(B1032="",FALSE,COUNTIF('従業員情報(給与以外)'!$A$4:$A$1000000,$B1032)=0)</f>
        <v>0</v>
      </c>
      <c r="J1032" s="8" t="b">
        <f t="shared" si="80"/>
        <v>1</v>
      </c>
      <c r="K1032" s="8" t="b">
        <f t="shared" si="81"/>
        <v>1</v>
      </c>
      <c r="L1032" s="8" t="b">
        <f t="shared" si="82"/>
        <v>1</v>
      </c>
      <c r="M1032" s="8" t="b">
        <f t="shared" si="83"/>
        <v>1</v>
      </c>
      <c r="N1032" s="1" t="b">
        <f t="shared" si="84"/>
        <v>1</v>
      </c>
      <c r="O1032" s="8" t="str">
        <f>IF(F1032="","",IF($F$2=入力リスト!$H$25,ROUNDDOWN(INT(F1032)+ROUNDDOWN((F1032-INT(F1032))*100,0)/60,2),F1032))</f>
        <v/>
      </c>
      <c r="P1032" s="7"/>
      <c r="Q1032" s="7"/>
    </row>
    <row r="1033" spans="1:17">
      <c r="A1033" s="105"/>
      <c r="B1033" s="2"/>
      <c r="C1033" s="3"/>
      <c r="D1033" s="3"/>
      <c r="E1033" s="3"/>
      <c r="F1033" s="8"/>
      <c r="G1033" s="215" t="str">
        <f>IF(AND($B1033="",OR(B1033&lt;&gt;"",C1033&lt;&gt;"",D1033&lt;&gt;"",E1033&lt;&gt;"",F1033&lt;&gt;"")),入力リスト!$K$34,IF($I1033=TRUE,入力リスト!$K$35,IF(J1033=FALSE,"「毎月の固定給与額」","")&amp;IF(AND(J1033=FALSE,OR(K1033=FALSE,L1033=FALSE,M1033=FALSE)),",","")&amp;IF(K1033=FALSE,"「賞与額等」","")&amp;IF(AND(K1033=FALSE,OR(L1033=FALSE,M1033=FALSE)),",","")&amp;IF(L1033=FALSE,"「残業手当」","")&amp;IF(AND(L1033=FALSE,M1033=FALSE),",","")&amp;IF(M1033=FALSE,"「残業時間」","")&amp;IF(OR(J1033=FALSE,K1033=FALSE,L1033=FALSE,M1033=FALSE),入力リスト!$K$36,"")&amp;IF(N1033,"",入力リスト!$K$37)))</f>
        <v/>
      </c>
      <c r="H1033" s="215"/>
      <c r="I1033" s="1" t="b">
        <f>IF(B1033="",FALSE,COUNTIF('従業員情報(給与以外)'!$A$4:$A$1000000,$B1033)=0)</f>
        <v>0</v>
      </c>
      <c r="J1033" s="8" t="b">
        <f t="shared" si="80"/>
        <v>1</v>
      </c>
      <c r="K1033" s="8" t="b">
        <f t="shared" si="81"/>
        <v>1</v>
      </c>
      <c r="L1033" s="8" t="b">
        <f t="shared" si="82"/>
        <v>1</v>
      </c>
      <c r="M1033" s="8" t="b">
        <f t="shared" si="83"/>
        <v>1</v>
      </c>
      <c r="N1033" s="1" t="b">
        <f t="shared" si="84"/>
        <v>1</v>
      </c>
      <c r="O1033" s="8" t="str">
        <f>IF(F1033="","",IF($F$2=入力リスト!$H$25,ROUNDDOWN(INT(F1033)+ROUNDDOWN((F1033-INT(F1033))*100,0)/60,2),F1033))</f>
        <v/>
      </c>
      <c r="P1033" s="7"/>
      <c r="Q1033" s="7"/>
    </row>
    <row r="1034" spans="1:17">
      <c r="A1034" s="105"/>
      <c r="B1034" s="2"/>
      <c r="C1034" s="3"/>
      <c r="D1034" s="3"/>
      <c r="E1034" s="3"/>
      <c r="F1034" s="8"/>
      <c r="G1034" s="215" t="str">
        <f>IF(AND($B1034="",OR(B1034&lt;&gt;"",C1034&lt;&gt;"",D1034&lt;&gt;"",E1034&lt;&gt;"",F1034&lt;&gt;"")),入力リスト!$K$34,IF($I1034=TRUE,入力リスト!$K$35,IF(J1034=FALSE,"「毎月の固定給与額」","")&amp;IF(AND(J1034=FALSE,OR(K1034=FALSE,L1034=FALSE,M1034=FALSE)),",","")&amp;IF(K1034=FALSE,"「賞与額等」","")&amp;IF(AND(K1034=FALSE,OR(L1034=FALSE,M1034=FALSE)),",","")&amp;IF(L1034=FALSE,"「残業手当」","")&amp;IF(AND(L1034=FALSE,M1034=FALSE),",","")&amp;IF(M1034=FALSE,"「残業時間」","")&amp;IF(OR(J1034=FALSE,K1034=FALSE,L1034=FALSE,M1034=FALSE),入力リスト!$K$36,"")&amp;IF(N1034,"",入力リスト!$K$37)))</f>
        <v/>
      </c>
      <c r="H1034" s="215"/>
      <c r="I1034" s="1" t="b">
        <f>IF(B1034="",FALSE,COUNTIF('従業員情報(給与以外)'!$A$4:$A$1000000,$B1034)=0)</f>
        <v>0</v>
      </c>
      <c r="J1034" s="8" t="b">
        <f t="shared" si="80"/>
        <v>1</v>
      </c>
      <c r="K1034" s="8" t="b">
        <f t="shared" si="81"/>
        <v>1</v>
      </c>
      <c r="L1034" s="8" t="b">
        <f t="shared" si="82"/>
        <v>1</v>
      </c>
      <c r="M1034" s="8" t="b">
        <f t="shared" si="83"/>
        <v>1</v>
      </c>
      <c r="N1034" s="1" t="b">
        <f t="shared" si="84"/>
        <v>1</v>
      </c>
      <c r="O1034" s="8" t="str">
        <f>IF(F1034="","",IF($F$2=入力リスト!$H$25,ROUNDDOWN(INT(F1034)+ROUNDDOWN((F1034-INT(F1034))*100,0)/60,2),F1034))</f>
        <v/>
      </c>
      <c r="P1034" s="7"/>
      <c r="Q1034" s="7"/>
    </row>
    <row r="1035" spans="1:17">
      <c r="A1035" s="105"/>
      <c r="B1035" s="2"/>
      <c r="C1035" s="3"/>
      <c r="D1035" s="3"/>
      <c r="E1035" s="3"/>
      <c r="F1035" s="8"/>
      <c r="G1035" s="215" t="str">
        <f>IF(AND($B1035="",OR(B1035&lt;&gt;"",C1035&lt;&gt;"",D1035&lt;&gt;"",E1035&lt;&gt;"",F1035&lt;&gt;"")),入力リスト!$K$34,IF($I1035=TRUE,入力リスト!$K$35,IF(J1035=FALSE,"「毎月の固定給与額」","")&amp;IF(AND(J1035=FALSE,OR(K1035=FALSE,L1035=FALSE,M1035=FALSE)),",","")&amp;IF(K1035=FALSE,"「賞与額等」","")&amp;IF(AND(K1035=FALSE,OR(L1035=FALSE,M1035=FALSE)),",","")&amp;IF(L1035=FALSE,"「残業手当」","")&amp;IF(AND(L1035=FALSE,M1035=FALSE),",","")&amp;IF(M1035=FALSE,"「残業時間」","")&amp;IF(OR(J1035=FALSE,K1035=FALSE,L1035=FALSE,M1035=FALSE),入力リスト!$K$36,"")&amp;IF(N1035,"",入力リスト!$K$37)))</f>
        <v/>
      </c>
      <c r="H1035" s="215"/>
      <c r="I1035" s="1" t="b">
        <f>IF(B1035="",FALSE,COUNTIF('従業員情報(給与以外)'!$A$4:$A$1000000,$B1035)=0)</f>
        <v>0</v>
      </c>
      <c r="J1035" s="8" t="b">
        <f t="shared" si="80"/>
        <v>1</v>
      </c>
      <c r="K1035" s="8" t="b">
        <f t="shared" si="81"/>
        <v>1</v>
      </c>
      <c r="L1035" s="8" t="b">
        <f t="shared" si="82"/>
        <v>1</v>
      </c>
      <c r="M1035" s="8" t="b">
        <f t="shared" si="83"/>
        <v>1</v>
      </c>
      <c r="N1035" s="1" t="b">
        <f t="shared" si="84"/>
        <v>1</v>
      </c>
      <c r="O1035" s="8" t="str">
        <f>IF(F1035="","",IF($F$2=入力リスト!$H$25,ROUNDDOWN(INT(F1035)+ROUNDDOWN((F1035-INT(F1035))*100,0)/60,2),F1035))</f>
        <v/>
      </c>
      <c r="P1035" s="7"/>
      <c r="Q1035" s="7"/>
    </row>
    <row r="1036" spans="1:17">
      <c r="A1036" s="105"/>
      <c r="B1036" s="2"/>
      <c r="C1036" s="3"/>
      <c r="D1036" s="3"/>
      <c r="E1036" s="3"/>
      <c r="F1036" s="8"/>
      <c r="G1036" s="215" t="str">
        <f>IF(AND($B1036="",OR(B1036&lt;&gt;"",C1036&lt;&gt;"",D1036&lt;&gt;"",E1036&lt;&gt;"",F1036&lt;&gt;"")),入力リスト!$K$34,IF($I1036=TRUE,入力リスト!$K$35,IF(J1036=FALSE,"「毎月の固定給与額」","")&amp;IF(AND(J1036=FALSE,OR(K1036=FALSE,L1036=FALSE,M1036=FALSE)),",","")&amp;IF(K1036=FALSE,"「賞与額等」","")&amp;IF(AND(K1036=FALSE,OR(L1036=FALSE,M1036=FALSE)),",","")&amp;IF(L1036=FALSE,"「残業手当」","")&amp;IF(AND(L1036=FALSE,M1036=FALSE),",","")&amp;IF(M1036=FALSE,"「残業時間」","")&amp;IF(OR(J1036=FALSE,K1036=FALSE,L1036=FALSE,M1036=FALSE),入力リスト!$K$36,"")&amp;IF(N1036,"",入力リスト!$K$37)))</f>
        <v/>
      </c>
      <c r="H1036" s="215"/>
      <c r="I1036" s="1" t="b">
        <f>IF(B1036="",FALSE,COUNTIF('従業員情報(給与以外)'!$A$4:$A$1000000,$B1036)=0)</f>
        <v>0</v>
      </c>
      <c r="J1036" s="8" t="b">
        <f t="shared" si="80"/>
        <v>1</v>
      </c>
      <c r="K1036" s="8" t="b">
        <f t="shared" si="81"/>
        <v>1</v>
      </c>
      <c r="L1036" s="8" t="b">
        <f t="shared" si="82"/>
        <v>1</v>
      </c>
      <c r="M1036" s="8" t="b">
        <f t="shared" si="83"/>
        <v>1</v>
      </c>
      <c r="N1036" s="1" t="b">
        <f t="shared" si="84"/>
        <v>1</v>
      </c>
      <c r="O1036" s="8" t="str">
        <f>IF(F1036="","",IF($F$2=入力リスト!$H$25,ROUNDDOWN(INT(F1036)+ROUNDDOWN((F1036-INT(F1036))*100,0)/60,2),F1036))</f>
        <v/>
      </c>
      <c r="P1036" s="7"/>
      <c r="Q1036" s="7"/>
    </row>
    <row r="1037" spans="1:17">
      <c r="A1037" s="105"/>
      <c r="B1037" s="2"/>
      <c r="C1037" s="3"/>
      <c r="D1037" s="3"/>
      <c r="E1037" s="3"/>
      <c r="F1037" s="8"/>
      <c r="G1037" s="215" t="str">
        <f>IF(AND($B1037="",OR(B1037&lt;&gt;"",C1037&lt;&gt;"",D1037&lt;&gt;"",E1037&lt;&gt;"",F1037&lt;&gt;"")),入力リスト!$K$34,IF($I1037=TRUE,入力リスト!$K$35,IF(J1037=FALSE,"「毎月の固定給与額」","")&amp;IF(AND(J1037=FALSE,OR(K1037=FALSE,L1037=FALSE,M1037=FALSE)),",","")&amp;IF(K1037=FALSE,"「賞与額等」","")&amp;IF(AND(K1037=FALSE,OR(L1037=FALSE,M1037=FALSE)),",","")&amp;IF(L1037=FALSE,"「残業手当」","")&amp;IF(AND(L1037=FALSE,M1037=FALSE),",","")&amp;IF(M1037=FALSE,"「残業時間」","")&amp;IF(OR(J1037=FALSE,K1037=FALSE,L1037=FALSE,M1037=FALSE),入力リスト!$K$36,"")&amp;IF(N1037,"",入力リスト!$K$37)))</f>
        <v/>
      </c>
      <c r="H1037" s="215"/>
      <c r="I1037" s="1" t="b">
        <f>IF(B1037="",FALSE,COUNTIF('従業員情報(給与以外)'!$A$4:$A$1000000,$B1037)=0)</f>
        <v>0</v>
      </c>
      <c r="J1037" s="8" t="b">
        <f t="shared" si="80"/>
        <v>1</v>
      </c>
      <c r="K1037" s="8" t="b">
        <f t="shared" si="81"/>
        <v>1</v>
      </c>
      <c r="L1037" s="8" t="b">
        <f t="shared" si="82"/>
        <v>1</v>
      </c>
      <c r="M1037" s="8" t="b">
        <f t="shared" si="83"/>
        <v>1</v>
      </c>
      <c r="N1037" s="1" t="b">
        <f t="shared" si="84"/>
        <v>1</v>
      </c>
      <c r="O1037" s="8" t="str">
        <f>IF(F1037="","",IF($F$2=入力リスト!$H$25,ROUNDDOWN(INT(F1037)+ROUNDDOWN((F1037-INT(F1037))*100,0)/60,2),F1037))</f>
        <v/>
      </c>
      <c r="P1037" s="7"/>
      <c r="Q1037" s="7"/>
    </row>
    <row r="1038" spans="1:17">
      <c r="A1038" s="105"/>
      <c r="B1038" s="2"/>
      <c r="C1038" s="3"/>
      <c r="D1038" s="3"/>
      <c r="E1038" s="3"/>
      <c r="F1038" s="8"/>
      <c r="G1038" s="215" t="str">
        <f>IF(AND($B1038="",OR(B1038&lt;&gt;"",C1038&lt;&gt;"",D1038&lt;&gt;"",E1038&lt;&gt;"",F1038&lt;&gt;"")),入力リスト!$K$34,IF($I1038=TRUE,入力リスト!$K$35,IF(J1038=FALSE,"「毎月の固定給与額」","")&amp;IF(AND(J1038=FALSE,OR(K1038=FALSE,L1038=FALSE,M1038=FALSE)),",","")&amp;IF(K1038=FALSE,"「賞与額等」","")&amp;IF(AND(K1038=FALSE,OR(L1038=FALSE,M1038=FALSE)),",","")&amp;IF(L1038=FALSE,"「残業手当」","")&amp;IF(AND(L1038=FALSE,M1038=FALSE),",","")&amp;IF(M1038=FALSE,"「残業時間」","")&amp;IF(OR(J1038=FALSE,K1038=FALSE,L1038=FALSE,M1038=FALSE),入力リスト!$K$36,"")&amp;IF(N1038,"",入力リスト!$K$37)))</f>
        <v/>
      </c>
      <c r="H1038" s="215"/>
      <c r="I1038" s="1" t="b">
        <f>IF(B1038="",FALSE,COUNTIF('従業員情報(給与以外)'!$A$4:$A$1000000,$B1038)=0)</f>
        <v>0</v>
      </c>
      <c r="J1038" s="8" t="b">
        <f t="shared" si="80"/>
        <v>1</v>
      </c>
      <c r="K1038" s="8" t="b">
        <f t="shared" si="81"/>
        <v>1</v>
      </c>
      <c r="L1038" s="8" t="b">
        <f t="shared" si="82"/>
        <v>1</v>
      </c>
      <c r="M1038" s="8" t="b">
        <f t="shared" si="83"/>
        <v>1</v>
      </c>
      <c r="N1038" s="1" t="b">
        <f t="shared" si="84"/>
        <v>1</v>
      </c>
      <c r="O1038" s="8" t="str">
        <f>IF(F1038="","",IF($F$2=入力リスト!$H$25,ROUNDDOWN(INT(F1038)+ROUNDDOWN((F1038-INT(F1038))*100,0)/60,2),F1038))</f>
        <v/>
      </c>
      <c r="P1038" s="7"/>
      <c r="Q1038" s="7"/>
    </row>
    <row r="1039" spans="1:17">
      <c r="A1039" s="105"/>
      <c r="B1039" s="2"/>
      <c r="C1039" s="3"/>
      <c r="D1039" s="3"/>
      <c r="E1039" s="3"/>
      <c r="F1039" s="8"/>
      <c r="G1039" s="215" t="str">
        <f>IF(AND($B1039="",OR(B1039&lt;&gt;"",C1039&lt;&gt;"",D1039&lt;&gt;"",E1039&lt;&gt;"",F1039&lt;&gt;"")),入力リスト!$K$34,IF($I1039=TRUE,入力リスト!$K$35,IF(J1039=FALSE,"「毎月の固定給与額」","")&amp;IF(AND(J1039=FALSE,OR(K1039=FALSE,L1039=FALSE,M1039=FALSE)),",","")&amp;IF(K1039=FALSE,"「賞与額等」","")&amp;IF(AND(K1039=FALSE,OR(L1039=FALSE,M1039=FALSE)),",","")&amp;IF(L1039=FALSE,"「残業手当」","")&amp;IF(AND(L1039=FALSE,M1039=FALSE),",","")&amp;IF(M1039=FALSE,"「残業時間」","")&amp;IF(OR(J1039=FALSE,K1039=FALSE,L1039=FALSE,M1039=FALSE),入力リスト!$K$36,"")&amp;IF(N1039,"",入力リスト!$K$37)))</f>
        <v/>
      </c>
      <c r="H1039" s="215"/>
      <c r="I1039" s="1" t="b">
        <f>IF(B1039="",FALSE,COUNTIF('従業員情報(給与以外)'!$A$4:$A$1000000,$B1039)=0)</f>
        <v>0</v>
      </c>
      <c r="J1039" s="8" t="b">
        <f t="shared" si="80"/>
        <v>1</v>
      </c>
      <c r="K1039" s="8" t="b">
        <f t="shared" si="81"/>
        <v>1</v>
      </c>
      <c r="L1039" s="8" t="b">
        <f t="shared" si="82"/>
        <v>1</v>
      </c>
      <c r="M1039" s="8" t="b">
        <f t="shared" si="83"/>
        <v>1</v>
      </c>
      <c r="N1039" s="1" t="b">
        <f t="shared" si="84"/>
        <v>1</v>
      </c>
      <c r="O1039" s="8" t="str">
        <f>IF(F1039="","",IF($F$2=入力リスト!$H$25,ROUNDDOWN(INT(F1039)+ROUNDDOWN((F1039-INT(F1039))*100,0)/60,2),F1039))</f>
        <v/>
      </c>
      <c r="P1039" s="7"/>
      <c r="Q1039" s="7"/>
    </row>
    <row r="1040" spans="1:17">
      <c r="A1040" s="105"/>
      <c r="B1040" s="2"/>
      <c r="C1040" s="3"/>
      <c r="D1040" s="3"/>
      <c r="E1040" s="3"/>
      <c r="F1040" s="8"/>
      <c r="G1040" s="215" t="str">
        <f>IF(AND($B1040="",OR(B1040&lt;&gt;"",C1040&lt;&gt;"",D1040&lt;&gt;"",E1040&lt;&gt;"",F1040&lt;&gt;"")),入力リスト!$K$34,IF($I1040=TRUE,入力リスト!$K$35,IF(J1040=FALSE,"「毎月の固定給与額」","")&amp;IF(AND(J1040=FALSE,OR(K1040=FALSE,L1040=FALSE,M1040=FALSE)),",","")&amp;IF(K1040=FALSE,"「賞与額等」","")&amp;IF(AND(K1040=FALSE,OR(L1040=FALSE,M1040=FALSE)),",","")&amp;IF(L1040=FALSE,"「残業手当」","")&amp;IF(AND(L1040=FALSE,M1040=FALSE),",","")&amp;IF(M1040=FALSE,"「残業時間」","")&amp;IF(OR(J1040=FALSE,K1040=FALSE,L1040=FALSE,M1040=FALSE),入力リスト!$K$36,"")&amp;IF(N1040,"",入力リスト!$K$37)))</f>
        <v/>
      </c>
      <c r="H1040" s="215"/>
      <c r="I1040" s="1" t="b">
        <f>IF(B1040="",FALSE,COUNTIF('従業員情報(給与以外)'!$A$4:$A$1000000,$B1040)=0)</f>
        <v>0</v>
      </c>
      <c r="J1040" s="8" t="b">
        <f t="shared" si="80"/>
        <v>1</v>
      </c>
      <c r="K1040" s="8" t="b">
        <f t="shared" si="81"/>
        <v>1</v>
      </c>
      <c r="L1040" s="8" t="b">
        <f t="shared" si="82"/>
        <v>1</v>
      </c>
      <c r="M1040" s="8" t="b">
        <f t="shared" si="83"/>
        <v>1</v>
      </c>
      <c r="N1040" s="1" t="b">
        <f t="shared" si="84"/>
        <v>1</v>
      </c>
      <c r="O1040" s="8" t="str">
        <f>IF(F1040="","",IF($F$2=入力リスト!$H$25,ROUNDDOWN(INT(F1040)+ROUNDDOWN((F1040-INT(F1040))*100,0)/60,2),F1040))</f>
        <v/>
      </c>
      <c r="P1040" s="7"/>
      <c r="Q1040" s="7"/>
    </row>
    <row r="1041" spans="1:17">
      <c r="A1041" s="105"/>
      <c r="B1041" s="2"/>
      <c r="C1041" s="3"/>
      <c r="D1041" s="3"/>
      <c r="E1041" s="3"/>
      <c r="F1041" s="8"/>
      <c r="G1041" s="215" t="str">
        <f>IF(AND($B1041="",OR(B1041&lt;&gt;"",C1041&lt;&gt;"",D1041&lt;&gt;"",E1041&lt;&gt;"",F1041&lt;&gt;"")),入力リスト!$K$34,IF($I1041=TRUE,入力リスト!$K$35,IF(J1041=FALSE,"「毎月の固定給与額」","")&amp;IF(AND(J1041=FALSE,OR(K1041=FALSE,L1041=FALSE,M1041=FALSE)),",","")&amp;IF(K1041=FALSE,"「賞与額等」","")&amp;IF(AND(K1041=FALSE,OR(L1041=FALSE,M1041=FALSE)),",","")&amp;IF(L1041=FALSE,"「残業手当」","")&amp;IF(AND(L1041=FALSE,M1041=FALSE),",","")&amp;IF(M1041=FALSE,"「残業時間」","")&amp;IF(OR(J1041=FALSE,K1041=FALSE,L1041=FALSE,M1041=FALSE),入力リスト!$K$36,"")&amp;IF(N1041,"",入力リスト!$K$37)))</f>
        <v/>
      </c>
      <c r="H1041" s="215"/>
      <c r="I1041" s="1" t="b">
        <f>IF(B1041="",FALSE,COUNTIF('従業員情報(給与以外)'!$A$4:$A$1000000,$B1041)=0)</f>
        <v>0</v>
      </c>
      <c r="J1041" s="8" t="b">
        <f t="shared" si="80"/>
        <v>1</v>
      </c>
      <c r="K1041" s="8" t="b">
        <f t="shared" si="81"/>
        <v>1</v>
      </c>
      <c r="L1041" s="8" t="b">
        <f t="shared" si="82"/>
        <v>1</v>
      </c>
      <c r="M1041" s="8" t="b">
        <f t="shared" si="83"/>
        <v>1</v>
      </c>
      <c r="N1041" s="1" t="b">
        <f t="shared" si="84"/>
        <v>1</v>
      </c>
      <c r="O1041" s="8" t="str">
        <f>IF(F1041="","",IF($F$2=入力リスト!$H$25,ROUNDDOWN(INT(F1041)+ROUNDDOWN((F1041-INT(F1041))*100,0)/60,2),F1041))</f>
        <v/>
      </c>
      <c r="P1041" s="7"/>
      <c r="Q1041" s="7"/>
    </row>
    <row r="1042" spans="1:17">
      <c r="A1042" s="105"/>
      <c r="B1042" s="2"/>
      <c r="C1042" s="3"/>
      <c r="D1042" s="3"/>
      <c r="E1042" s="3"/>
      <c r="F1042" s="8"/>
      <c r="G1042" s="215" t="str">
        <f>IF(AND($B1042="",OR(B1042&lt;&gt;"",C1042&lt;&gt;"",D1042&lt;&gt;"",E1042&lt;&gt;"",F1042&lt;&gt;"")),入力リスト!$K$34,IF($I1042=TRUE,入力リスト!$K$35,IF(J1042=FALSE,"「毎月の固定給与額」","")&amp;IF(AND(J1042=FALSE,OR(K1042=FALSE,L1042=FALSE,M1042=FALSE)),",","")&amp;IF(K1042=FALSE,"「賞与額等」","")&amp;IF(AND(K1042=FALSE,OR(L1042=FALSE,M1042=FALSE)),",","")&amp;IF(L1042=FALSE,"「残業手当」","")&amp;IF(AND(L1042=FALSE,M1042=FALSE),",","")&amp;IF(M1042=FALSE,"「残業時間」","")&amp;IF(OR(J1042=FALSE,K1042=FALSE,L1042=FALSE,M1042=FALSE),入力リスト!$K$36,"")&amp;IF(N1042,"",入力リスト!$K$37)))</f>
        <v/>
      </c>
      <c r="H1042" s="215"/>
      <c r="I1042" s="1" t="b">
        <f>IF(B1042="",FALSE,COUNTIF('従業員情報(給与以外)'!$A$4:$A$1000000,$B1042)=0)</f>
        <v>0</v>
      </c>
      <c r="J1042" s="8" t="b">
        <f t="shared" si="80"/>
        <v>1</v>
      </c>
      <c r="K1042" s="8" t="b">
        <f t="shared" si="81"/>
        <v>1</v>
      </c>
      <c r="L1042" s="8" t="b">
        <f t="shared" si="82"/>
        <v>1</v>
      </c>
      <c r="M1042" s="8" t="b">
        <f t="shared" si="83"/>
        <v>1</v>
      </c>
      <c r="N1042" s="1" t="b">
        <f t="shared" si="84"/>
        <v>1</v>
      </c>
      <c r="O1042" s="8" t="str">
        <f>IF(F1042="","",IF($F$2=入力リスト!$H$25,ROUNDDOWN(INT(F1042)+ROUNDDOWN((F1042-INT(F1042))*100,0)/60,2),F1042))</f>
        <v/>
      </c>
      <c r="P1042" s="7"/>
      <c r="Q1042" s="7"/>
    </row>
    <row r="1043" spans="1:17">
      <c r="A1043" s="105"/>
      <c r="B1043" s="2"/>
      <c r="C1043" s="3"/>
      <c r="D1043" s="3"/>
      <c r="E1043" s="3"/>
      <c r="F1043" s="8"/>
      <c r="G1043" s="215" t="str">
        <f>IF(AND($B1043="",OR(B1043&lt;&gt;"",C1043&lt;&gt;"",D1043&lt;&gt;"",E1043&lt;&gt;"",F1043&lt;&gt;"")),入力リスト!$K$34,IF($I1043=TRUE,入力リスト!$K$35,IF(J1043=FALSE,"「毎月の固定給与額」","")&amp;IF(AND(J1043=FALSE,OR(K1043=FALSE,L1043=FALSE,M1043=FALSE)),",","")&amp;IF(K1043=FALSE,"「賞与額等」","")&amp;IF(AND(K1043=FALSE,OR(L1043=FALSE,M1043=FALSE)),",","")&amp;IF(L1043=FALSE,"「残業手当」","")&amp;IF(AND(L1043=FALSE,M1043=FALSE),",","")&amp;IF(M1043=FALSE,"「残業時間」","")&amp;IF(OR(J1043=FALSE,K1043=FALSE,L1043=FALSE,M1043=FALSE),入力リスト!$K$36,"")&amp;IF(N1043,"",入力リスト!$K$37)))</f>
        <v/>
      </c>
      <c r="H1043" s="215"/>
      <c r="I1043" s="1" t="b">
        <f>IF(B1043="",FALSE,COUNTIF('従業員情報(給与以外)'!$A$4:$A$1000000,$B1043)=0)</f>
        <v>0</v>
      </c>
      <c r="J1043" s="8" t="b">
        <f t="shared" si="80"/>
        <v>1</v>
      </c>
      <c r="K1043" s="8" t="b">
        <f t="shared" si="81"/>
        <v>1</v>
      </c>
      <c r="L1043" s="8" t="b">
        <f t="shared" si="82"/>
        <v>1</v>
      </c>
      <c r="M1043" s="8" t="b">
        <f t="shared" si="83"/>
        <v>1</v>
      </c>
      <c r="N1043" s="1" t="b">
        <f t="shared" si="84"/>
        <v>1</v>
      </c>
      <c r="O1043" s="8" t="str">
        <f>IF(F1043="","",IF($F$2=入力リスト!$H$25,ROUNDDOWN(INT(F1043)+ROUNDDOWN((F1043-INT(F1043))*100,0)/60,2),F1043))</f>
        <v/>
      </c>
      <c r="P1043" s="7"/>
      <c r="Q1043" s="7"/>
    </row>
    <row r="1044" spans="1:17">
      <c r="A1044" s="105"/>
      <c r="B1044" s="2"/>
      <c r="C1044" s="3"/>
      <c r="D1044" s="3"/>
      <c r="E1044" s="3"/>
      <c r="F1044" s="8"/>
      <c r="G1044" s="215" t="str">
        <f>IF(AND($B1044="",OR(B1044&lt;&gt;"",C1044&lt;&gt;"",D1044&lt;&gt;"",E1044&lt;&gt;"",F1044&lt;&gt;"")),入力リスト!$K$34,IF($I1044=TRUE,入力リスト!$K$35,IF(J1044=FALSE,"「毎月の固定給与額」","")&amp;IF(AND(J1044=FALSE,OR(K1044=FALSE,L1044=FALSE,M1044=FALSE)),",","")&amp;IF(K1044=FALSE,"「賞与額等」","")&amp;IF(AND(K1044=FALSE,OR(L1044=FALSE,M1044=FALSE)),",","")&amp;IF(L1044=FALSE,"「残業手当」","")&amp;IF(AND(L1044=FALSE,M1044=FALSE),",","")&amp;IF(M1044=FALSE,"「残業時間」","")&amp;IF(OR(J1044=FALSE,K1044=FALSE,L1044=FALSE,M1044=FALSE),入力リスト!$K$36,"")&amp;IF(N1044,"",入力リスト!$K$37)))</f>
        <v/>
      </c>
      <c r="H1044" s="215"/>
      <c r="I1044" s="1" t="b">
        <f>IF(B1044="",FALSE,COUNTIF('従業員情報(給与以外)'!$A$4:$A$1000000,$B1044)=0)</f>
        <v>0</v>
      </c>
      <c r="J1044" s="8" t="b">
        <f t="shared" si="80"/>
        <v>1</v>
      </c>
      <c r="K1044" s="8" t="b">
        <f t="shared" si="81"/>
        <v>1</v>
      </c>
      <c r="L1044" s="8" t="b">
        <f t="shared" si="82"/>
        <v>1</v>
      </c>
      <c r="M1044" s="8" t="b">
        <f t="shared" si="83"/>
        <v>1</v>
      </c>
      <c r="N1044" s="1" t="b">
        <f t="shared" si="84"/>
        <v>1</v>
      </c>
      <c r="O1044" s="8" t="str">
        <f>IF(F1044="","",IF($F$2=入力リスト!$H$25,ROUNDDOWN(INT(F1044)+ROUNDDOWN((F1044-INT(F1044))*100,0)/60,2),F1044))</f>
        <v/>
      </c>
      <c r="P1044" s="7"/>
      <c r="Q1044" s="7"/>
    </row>
    <row r="1045" spans="1:17">
      <c r="A1045" s="105"/>
      <c r="B1045" s="2"/>
      <c r="C1045" s="3"/>
      <c r="D1045" s="3"/>
      <c r="E1045" s="3"/>
      <c r="F1045" s="8"/>
      <c r="G1045" s="215" t="str">
        <f>IF(AND($B1045="",OR(B1045&lt;&gt;"",C1045&lt;&gt;"",D1045&lt;&gt;"",E1045&lt;&gt;"",F1045&lt;&gt;"")),入力リスト!$K$34,IF($I1045=TRUE,入力リスト!$K$35,IF(J1045=FALSE,"「毎月の固定給与額」","")&amp;IF(AND(J1045=FALSE,OR(K1045=FALSE,L1045=FALSE,M1045=FALSE)),",","")&amp;IF(K1045=FALSE,"「賞与額等」","")&amp;IF(AND(K1045=FALSE,OR(L1045=FALSE,M1045=FALSE)),",","")&amp;IF(L1045=FALSE,"「残業手当」","")&amp;IF(AND(L1045=FALSE,M1045=FALSE),",","")&amp;IF(M1045=FALSE,"「残業時間」","")&amp;IF(OR(J1045=FALSE,K1045=FALSE,L1045=FALSE,M1045=FALSE),入力リスト!$K$36,"")&amp;IF(N1045,"",入力リスト!$K$37)))</f>
        <v/>
      </c>
      <c r="H1045" s="215"/>
      <c r="I1045" s="1" t="b">
        <f>IF(B1045="",FALSE,COUNTIF('従業員情報(給与以外)'!$A$4:$A$1000000,$B1045)=0)</f>
        <v>0</v>
      </c>
      <c r="J1045" s="8" t="b">
        <f t="shared" si="80"/>
        <v>1</v>
      </c>
      <c r="K1045" s="8" t="b">
        <f t="shared" si="81"/>
        <v>1</v>
      </c>
      <c r="L1045" s="8" t="b">
        <f t="shared" si="82"/>
        <v>1</v>
      </c>
      <c r="M1045" s="8" t="b">
        <f t="shared" si="83"/>
        <v>1</v>
      </c>
      <c r="N1045" s="1" t="b">
        <f t="shared" si="84"/>
        <v>1</v>
      </c>
      <c r="O1045" s="8" t="str">
        <f>IF(F1045="","",IF($F$2=入力リスト!$H$25,ROUNDDOWN(INT(F1045)+ROUNDDOWN((F1045-INT(F1045))*100,0)/60,2),F1045))</f>
        <v/>
      </c>
      <c r="P1045" s="7"/>
      <c r="Q1045" s="7"/>
    </row>
    <row r="1046" spans="1:17">
      <c r="A1046" s="105"/>
      <c r="B1046" s="2"/>
      <c r="C1046" s="3"/>
      <c r="D1046" s="3"/>
      <c r="E1046" s="3"/>
      <c r="F1046" s="8"/>
      <c r="G1046" s="215" t="str">
        <f>IF(AND($B1046="",OR(B1046&lt;&gt;"",C1046&lt;&gt;"",D1046&lt;&gt;"",E1046&lt;&gt;"",F1046&lt;&gt;"")),入力リスト!$K$34,IF($I1046=TRUE,入力リスト!$K$35,IF(J1046=FALSE,"「毎月の固定給与額」","")&amp;IF(AND(J1046=FALSE,OR(K1046=FALSE,L1046=FALSE,M1046=FALSE)),",","")&amp;IF(K1046=FALSE,"「賞与額等」","")&amp;IF(AND(K1046=FALSE,OR(L1046=FALSE,M1046=FALSE)),",","")&amp;IF(L1046=FALSE,"「残業手当」","")&amp;IF(AND(L1046=FALSE,M1046=FALSE),",","")&amp;IF(M1046=FALSE,"「残業時間」","")&amp;IF(OR(J1046=FALSE,K1046=FALSE,L1046=FALSE,M1046=FALSE),入力リスト!$K$36,"")&amp;IF(N1046,"",入力リスト!$K$37)))</f>
        <v/>
      </c>
      <c r="H1046" s="215"/>
      <c r="I1046" s="1" t="b">
        <f>IF(B1046="",FALSE,COUNTIF('従業員情報(給与以外)'!$A$4:$A$1000000,$B1046)=0)</f>
        <v>0</v>
      </c>
      <c r="J1046" s="8" t="b">
        <f t="shared" si="80"/>
        <v>1</v>
      </c>
      <c r="K1046" s="8" t="b">
        <f t="shared" si="81"/>
        <v>1</v>
      </c>
      <c r="L1046" s="8" t="b">
        <f t="shared" si="82"/>
        <v>1</v>
      </c>
      <c r="M1046" s="8" t="b">
        <f t="shared" si="83"/>
        <v>1</v>
      </c>
      <c r="N1046" s="1" t="b">
        <f t="shared" si="84"/>
        <v>1</v>
      </c>
      <c r="O1046" s="8" t="str">
        <f>IF(F1046="","",IF($F$2=入力リスト!$H$25,ROUNDDOWN(INT(F1046)+ROUNDDOWN((F1046-INT(F1046))*100,0)/60,2),F1046))</f>
        <v/>
      </c>
      <c r="P1046" s="7"/>
      <c r="Q1046" s="7"/>
    </row>
    <row r="1047" spans="1:17">
      <c r="A1047" s="105"/>
      <c r="B1047" s="2"/>
      <c r="C1047" s="3"/>
      <c r="D1047" s="3"/>
      <c r="E1047" s="3"/>
      <c r="F1047" s="8"/>
      <c r="G1047" s="215" t="str">
        <f>IF(AND($B1047="",OR(B1047&lt;&gt;"",C1047&lt;&gt;"",D1047&lt;&gt;"",E1047&lt;&gt;"",F1047&lt;&gt;"")),入力リスト!$K$34,IF($I1047=TRUE,入力リスト!$K$35,IF(J1047=FALSE,"「毎月の固定給与額」","")&amp;IF(AND(J1047=FALSE,OR(K1047=FALSE,L1047=FALSE,M1047=FALSE)),",","")&amp;IF(K1047=FALSE,"「賞与額等」","")&amp;IF(AND(K1047=FALSE,OR(L1047=FALSE,M1047=FALSE)),",","")&amp;IF(L1047=FALSE,"「残業手当」","")&amp;IF(AND(L1047=FALSE,M1047=FALSE),",","")&amp;IF(M1047=FALSE,"「残業時間」","")&amp;IF(OR(J1047=FALSE,K1047=FALSE,L1047=FALSE,M1047=FALSE),入力リスト!$K$36,"")&amp;IF(N1047,"",入力リスト!$K$37)))</f>
        <v/>
      </c>
      <c r="H1047" s="215"/>
      <c r="I1047" s="1" t="b">
        <f>IF(B1047="",FALSE,COUNTIF('従業員情報(給与以外)'!$A$4:$A$1000000,$B1047)=0)</f>
        <v>0</v>
      </c>
      <c r="J1047" s="8" t="b">
        <f t="shared" si="80"/>
        <v>1</v>
      </c>
      <c r="K1047" s="8" t="b">
        <f t="shared" si="81"/>
        <v>1</v>
      </c>
      <c r="L1047" s="8" t="b">
        <f t="shared" si="82"/>
        <v>1</v>
      </c>
      <c r="M1047" s="8" t="b">
        <f t="shared" si="83"/>
        <v>1</v>
      </c>
      <c r="N1047" s="1" t="b">
        <f t="shared" si="84"/>
        <v>1</v>
      </c>
      <c r="O1047" s="8" t="str">
        <f>IF(F1047="","",IF($F$2=入力リスト!$H$25,ROUNDDOWN(INT(F1047)+ROUNDDOWN((F1047-INT(F1047))*100,0)/60,2),F1047))</f>
        <v/>
      </c>
      <c r="P1047" s="7"/>
      <c r="Q1047" s="7"/>
    </row>
    <row r="1048" spans="1:17">
      <c r="A1048" s="105"/>
      <c r="B1048" s="2"/>
      <c r="C1048" s="3"/>
      <c r="D1048" s="3"/>
      <c r="E1048" s="3"/>
      <c r="F1048" s="8"/>
      <c r="G1048" s="215" t="str">
        <f>IF(AND($B1048="",OR(B1048&lt;&gt;"",C1048&lt;&gt;"",D1048&lt;&gt;"",E1048&lt;&gt;"",F1048&lt;&gt;"")),入力リスト!$K$34,IF($I1048=TRUE,入力リスト!$K$35,IF(J1048=FALSE,"「毎月の固定給与額」","")&amp;IF(AND(J1048=FALSE,OR(K1048=FALSE,L1048=FALSE,M1048=FALSE)),",","")&amp;IF(K1048=FALSE,"「賞与額等」","")&amp;IF(AND(K1048=FALSE,OR(L1048=FALSE,M1048=FALSE)),",","")&amp;IF(L1048=FALSE,"「残業手当」","")&amp;IF(AND(L1048=FALSE,M1048=FALSE),",","")&amp;IF(M1048=FALSE,"「残業時間」","")&amp;IF(OR(J1048=FALSE,K1048=FALSE,L1048=FALSE,M1048=FALSE),入力リスト!$K$36,"")&amp;IF(N1048,"",入力リスト!$K$37)))</f>
        <v/>
      </c>
      <c r="H1048" s="215"/>
      <c r="I1048" s="1" t="b">
        <f>IF(B1048="",FALSE,COUNTIF('従業員情報(給与以外)'!$A$4:$A$1000000,$B1048)=0)</f>
        <v>0</v>
      </c>
      <c r="J1048" s="8" t="b">
        <f t="shared" si="80"/>
        <v>1</v>
      </c>
      <c r="K1048" s="8" t="b">
        <f t="shared" si="81"/>
        <v>1</v>
      </c>
      <c r="L1048" s="8" t="b">
        <f t="shared" si="82"/>
        <v>1</v>
      </c>
      <c r="M1048" s="8" t="b">
        <f t="shared" si="83"/>
        <v>1</v>
      </c>
      <c r="N1048" s="1" t="b">
        <f t="shared" si="84"/>
        <v>1</v>
      </c>
      <c r="O1048" s="8" t="str">
        <f>IF(F1048="","",IF($F$2=入力リスト!$H$25,ROUNDDOWN(INT(F1048)+ROUNDDOWN((F1048-INT(F1048))*100,0)/60,2),F1048))</f>
        <v/>
      </c>
      <c r="P1048" s="7"/>
      <c r="Q1048" s="7"/>
    </row>
    <row r="1049" spans="1:17">
      <c r="A1049" s="105"/>
      <c r="B1049" s="2"/>
      <c r="C1049" s="3"/>
      <c r="D1049" s="3"/>
      <c r="E1049" s="3"/>
      <c r="F1049" s="8"/>
      <c r="G1049" s="215" t="str">
        <f>IF(AND($B1049="",OR(B1049&lt;&gt;"",C1049&lt;&gt;"",D1049&lt;&gt;"",E1049&lt;&gt;"",F1049&lt;&gt;"")),入力リスト!$K$34,IF($I1049=TRUE,入力リスト!$K$35,IF(J1049=FALSE,"「毎月の固定給与額」","")&amp;IF(AND(J1049=FALSE,OR(K1049=FALSE,L1049=FALSE,M1049=FALSE)),",","")&amp;IF(K1049=FALSE,"「賞与額等」","")&amp;IF(AND(K1049=FALSE,OR(L1049=FALSE,M1049=FALSE)),",","")&amp;IF(L1049=FALSE,"「残業手当」","")&amp;IF(AND(L1049=FALSE,M1049=FALSE),",","")&amp;IF(M1049=FALSE,"「残業時間」","")&amp;IF(OR(J1049=FALSE,K1049=FALSE,L1049=FALSE,M1049=FALSE),入力リスト!$K$36,"")&amp;IF(N1049,"",入力リスト!$K$37)))</f>
        <v/>
      </c>
      <c r="H1049" s="215"/>
      <c r="I1049" s="1" t="b">
        <f>IF(B1049="",FALSE,COUNTIF('従業員情報(給与以外)'!$A$4:$A$1000000,$B1049)=0)</f>
        <v>0</v>
      </c>
      <c r="J1049" s="8" t="b">
        <f t="shared" si="80"/>
        <v>1</v>
      </c>
      <c r="K1049" s="8" t="b">
        <f t="shared" si="81"/>
        <v>1</v>
      </c>
      <c r="L1049" s="8" t="b">
        <f t="shared" si="82"/>
        <v>1</v>
      </c>
      <c r="M1049" s="8" t="b">
        <f t="shared" si="83"/>
        <v>1</v>
      </c>
      <c r="N1049" s="1" t="b">
        <f t="shared" si="84"/>
        <v>1</v>
      </c>
      <c r="O1049" s="8" t="str">
        <f>IF(F1049="","",IF($F$2=入力リスト!$H$25,ROUNDDOWN(INT(F1049)+ROUNDDOWN((F1049-INT(F1049))*100,0)/60,2),F1049))</f>
        <v/>
      </c>
      <c r="P1049" s="7"/>
      <c r="Q1049" s="7"/>
    </row>
    <row r="1050" spans="1:17">
      <c r="A1050" s="105"/>
      <c r="B1050" s="2"/>
      <c r="C1050" s="3"/>
      <c r="D1050" s="3"/>
      <c r="E1050" s="3"/>
      <c r="F1050" s="8"/>
      <c r="G1050" s="215" t="str">
        <f>IF(AND($B1050="",OR(B1050&lt;&gt;"",C1050&lt;&gt;"",D1050&lt;&gt;"",E1050&lt;&gt;"",F1050&lt;&gt;"")),入力リスト!$K$34,IF($I1050=TRUE,入力リスト!$K$35,IF(J1050=FALSE,"「毎月の固定給与額」","")&amp;IF(AND(J1050=FALSE,OR(K1050=FALSE,L1050=FALSE,M1050=FALSE)),",","")&amp;IF(K1050=FALSE,"「賞与額等」","")&amp;IF(AND(K1050=FALSE,OR(L1050=FALSE,M1050=FALSE)),",","")&amp;IF(L1050=FALSE,"「残業手当」","")&amp;IF(AND(L1050=FALSE,M1050=FALSE),",","")&amp;IF(M1050=FALSE,"「残業時間」","")&amp;IF(OR(J1050=FALSE,K1050=FALSE,L1050=FALSE,M1050=FALSE),入力リスト!$K$36,"")&amp;IF(N1050,"",入力リスト!$K$37)))</f>
        <v/>
      </c>
      <c r="H1050" s="215"/>
      <c r="I1050" s="1" t="b">
        <f>IF(B1050="",FALSE,COUNTIF('従業員情報(給与以外)'!$A$4:$A$1000000,$B1050)=0)</f>
        <v>0</v>
      </c>
      <c r="J1050" s="8" t="b">
        <f t="shared" si="80"/>
        <v>1</v>
      </c>
      <c r="K1050" s="8" t="b">
        <f t="shared" si="81"/>
        <v>1</v>
      </c>
      <c r="L1050" s="8" t="b">
        <f t="shared" si="82"/>
        <v>1</v>
      </c>
      <c r="M1050" s="8" t="b">
        <f t="shared" si="83"/>
        <v>1</v>
      </c>
      <c r="N1050" s="1" t="b">
        <f t="shared" si="84"/>
        <v>1</v>
      </c>
      <c r="O1050" s="8" t="str">
        <f>IF(F1050="","",IF($F$2=入力リスト!$H$25,ROUNDDOWN(INT(F1050)+ROUNDDOWN((F1050-INT(F1050))*100,0)/60,2),F1050))</f>
        <v/>
      </c>
      <c r="P1050" s="7"/>
      <c r="Q1050" s="7"/>
    </row>
    <row r="1051" spans="1:17">
      <c r="A1051" s="105"/>
      <c r="B1051" s="2"/>
      <c r="C1051" s="3"/>
      <c r="D1051" s="3"/>
      <c r="E1051" s="3"/>
      <c r="F1051" s="8"/>
      <c r="G1051" s="215" t="str">
        <f>IF(AND($B1051="",OR(B1051&lt;&gt;"",C1051&lt;&gt;"",D1051&lt;&gt;"",E1051&lt;&gt;"",F1051&lt;&gt;"")),入力リスト!$K$34,IF($I1051=TRUE,入力リスト!$K$35,IF(J1051=FALSE,"「毎月の固定給与額」","")&amp;IF(AND(J1051=FALSE,OR(K1051=FALSE,L1051=FALSE,M1051=FALSE)),",","")&amp;IF(K1051=FALSE,"「賞与額等」","")&amp;IF(AND(K1051=FALSE,OR(L1051=FALSE,M1051=FALSE)),",","")&amp;IF(L1051=FALSE,"「残業手当」","")&amp;IF(AND(L1051=FALSE,M1051=FALSE),",","")&amp;IF(M1051=FALSE,"「残業時間」","")&amp;IF(OR(J1051=FALSE,K1051=FALSE,L1051=FALSE,M1051=FALSE),入力リスト!$K$36,"")&amp;IF(N1051,"",入力リスト!$K$37)))</f>
        <v/>
      </c>
      <c r="H1051" s="215"/>
      <c r="I1051" s="1" t="b">
        <f>IF(B1051="",FALSE,COUNTIF('従業員情報(給与以外)'!$A$4:$A$1000000,$B1051)=0)</f>
        <v>0</v>
      </c>
      <c r="J1051" s="8" t="b">
        <f t="shared" si="80"/>
        <v>1</v>
      </c>
      <c r="K1051" s="8" t="b">
        <f t="shared" si="81"/>
        <v>1</v>
      </c>
      <c r="L1051" s="8" t="b">
        <f t="shared" si="82"/>
        <v>1</v>
      </c>
      <c r="M1051" s="8" t="b">
        <f t="shared" si="83"/>
        <v>1</v>
      </c>
      <c r="N1051" s="1" t="b">
        <f t="shared" si="84"/>
        <v>1</v>
      </c>
      <c r="O1051" s="8" t="str">
        <f>IF(F1051="","",IF($F$2=入力リスト!$H$25,ROUNDDOWN(INT(F1051)+ROUNDDOWN((F1051-INT(F1051))*100,0)/60,2),F1051))</f>
        <v/>
      </c>
      <c r="P1051" s="7"/>
      <c r="Q1051" s="7"/>
    </row>
    <row r="1052" spans="1:17">
      <c r="A1052" s="105"/>
      <c r="B1052" s="2"/>
      <c r="C1052" s="3"/>
      <c r="D1052" s="3"/>
      <c r="E1052" s="3"/>
      <c r="F1052" s="8"/>
      <c r="G1052" s="215" t="str">
        <f>IF(AND($B1052="",OR(B1052&lt;&gt;"",C1052&lt;&gt;"",D1052&lt;&gt;"",E1052&lt;&gt;"",F1052&lt;&gt;"")),入力リスト!$K$34,IF($I1052=TRUE,入力リスト!$K$35,IF(J1052=FALSE,"「毎月の固定給与額」","")&amp;IF(AND(J1052=FALSE,OR(K1052=FALSE,L1052=FALSE,M1052=FALSE)),",","")&amp;IF(K1052=FALSE,"「賞与額等」","")&amp;IF(AND(K1052=FALSE,OR(L1052=FALSE,M1052=FALSE)),",","")&amp;IF(L1052=FALSE,"「残業手当」","")&amp;IF(AND(L1052=FALSE,M1052=FALSE),",","")&amp;IF(M1052=FALSE,"「残業時間」","")&amp;IF(OR(J1052=FALSE,K1052=FALSE,L1052=FALSE,M1052=FALSE),入力リスト!$K$36,"")&amp;IF(N1052,"",入力リスト!$K$37)))</f>
        <v/>
      </c>
      <c r="H1052" s="215"/>
      <c r="I1052" s="1" t="b">
        <f>IF(B1052="",FALSE,COUNTIF('従業員情報(給与以外)'!$A$4:$A$1000000,$B1052)=0)</f>
        <v>0</v>
      </c>
      <c r="J1052" s="8" t="b">
        <f t="shared" si="80"/>
        <v>1</v>
      </c>
      <c r="K1052" s="8" t="b">
        <f t="shared" si="81"/>
        <v>1</v>
      </c>
      <c r="L1052" s="8" t="b">
        <f t="shared" si="82"/>
        <v>1</v>
      </c>
      <c r="M1052" s="8" t="b">
        <f t="shared" si="83"/>
        <v>1</v>
      </c>
      <c r="N1052" s="1" t="b">
        <f t="shared" si="84"/>
        <v>1</v>
      </c>
      <c r="O1052" s="8" t="str">
        <f>IF(F1052="","",IF($F$2=入力リスト!$H$25,ROUNDDOWN(INT(F1052)+ROUNDDOWN((F1052-INT(F1052))*100,0)/60,2),F1052))</f>
        <v/>
      </c>
      <c r="P1052" s="7"/>
      <c r="Q1052" s="7"/>
    </row>
    <row r="1053" spans="1:17">
      <c r="A1053" s="105"/>
      <c r="B1053" s="2"/>
      <c r="C1053" s="3"/>
      <c r="D1053" s="3"/>
      <c r="E1053" s="3"/>
      <c r="F1053" s="8"/>
      <c r="G1053" s="215" t="str">
        <f>IF(AND($B1053="",OR(B1053&lt;&gt;"",C1053&lt;&gt;"",D1053&lt;&gt;"",E1053&lt;&gt;"",F1053&lt;&gt;"")),入力リスト!$K$34,IF($I1053=TRUE,入力リスト!$K$35,IF(J1053=FALSE,"「毎月の固定給与額」","")&amp;IF(AND(J1053=FALSE,OR(K1053=FALSE,L1053=FALSE,M1053=FALSE)),",","")&amp;IF(K1053=FALSE,"「賞与額等」","")&amp;IF(AND(K1053=FALSE,OR(L1053=FALSE,M1053=FALSE)),",","")&amp;IF(L1053=FALSE,"「残業手当」","")&amp;IF(AND(L1053=FALSE,M1053=FALSE),",","")&amp;IF(M1053=FALSE,"「残業時間」","")&amp;IF(OR(J1053=FALSE,K1053=FALSE,L1053=FALSE,M1053=FALSE),入力リスト!$K$36,"")&amp;IF(N1053,"",入力リスト!$K$37)))</f>
        <v/>
      </c>
      <c r="H1053" s="215"/>
      <c r="I1053" s="1" t="b">
        <f>IF(B1053="",FALSE,COUNTIF('従業員情報(給与以外)'!$A$4:$A$1000000,$B1053)=0)</f>
        <v>0</v>
      </c>
      <c r="J1053" s="8" t="b">
        <f t="shared" si="80"/>
        <v>1</v>
      </c>
      <c r="K1053" s="8" t="b">
        <f t="shared" si="81"/>
        <v>1</v>
      </c>
      <c r="L1053" s="8" t="b">
        <f t="shared" si="82"/>
        <v>1</v>
      </c>
      <c r="M1053" s="8" t="b">
        <f t="shared" si="83"/>
        <v>1</v>
      </c>
      <c r="N1053" s="1" t="b">
        <f t="shared" si="84"/>
        <v>1</v>
      </c>
      <c r="O1053" s="8" t="str">
        <f>IF(F1053="","",IF($F$2=入力リスト!$H$25,ROUNDDOWN(INT(F1053)+ROUNDDOWN((F1053-INT(F1053))*100,0)/60,2),F1053))</f>
        <v/>
      </c>
      <c r="P1053" s="7"/>
      <c r="Q1053" s="7"/>
    </row>
    <row r="1054" spans="1:17">
      <c r="A1054" s="105"/>
      <c r="B1054" s="2"/>
      <c r="C1054" s="3"/>
      <c r="D1054" s="3"/>
      <c r="E1054" s="3"/>
      <c r="F1054" s="8"/>
      <c r="G1054" s="215" t="str">
        <f>IF(AND($B1054="",OR(B1054&lt;&gt;"",C1054&lt;&gt;"",D1054&lt;&gt;"",E1054&lt;&gt;"",F1054&lt;&gt;"")),入力リスト!$K$34,IF($I1054=TRUE,入力リスト!$K$35,IF(J1054=FALSE,"「毎月の固定給与額」","")&amp;IF(AND(J1054=FALSE,OR(K1054=FALSE,L1054=FALSE,M1054=FALSE)),",","")&amp;IF(K1054=FALSE,"「賞与額等」","")&amp;IF(AND(K1054=FALSE,OR(L1054=FALSE,M1054=FALSE)),",","")&amp;IF(L1054=FALSE,"「残業手当」","")&amp;IF(AND(L1054=FALSE,M1054=FALSE),",","")&amp;IF(M1054=FALSE,"「残業時間」","")&amp;IF(OR(J1054=FALSE,K1054=FALSE,L1054=FALSE,M1054=FALSE),入力リスト!$K$36,"")&amp;IF(N1054,"",入力リスト!$K$37)))</f>
        <v/>
      </c>
      <c r="H1054" s="215"/>
      <c r="I1054" s="1" t="b">
        <f>IF(B1054="",FALSE,COUNTIF('従業員情報(給与以外)'!$A$4:$A$1000000,$B1054)=0)</f>
        <v>0</v>
      </c>
      <c r="J1054" s="8" t="b">
        <f t="shared" si="80"/>
        <v>1</v>
      </c>
      <c r="K1054" s="8" t="b">
        <f t="shared" si="81"/>
        <v>1</v>
      </c>
      <c r="L1054" s="8" t="b">
        <f t="shared" si="82"/>
        <v>1</v>
      </c>
      <c r="M1054" s="8" t="b">
        <f t="shared" si="83"/>
        <v>1</v>
      </c>
      <c r="N1054" s="1" t="b">
        <f t="shared" si="84"/>
        <v>1</v>
      </c>
      <c r="O1054" s="8" t="str">
        <f>IF(F1054="","",IF($F$2=入力リスト!$H$25,ROUNDDOWN(INT(F1054)+ROUNDDOWN((F1054-INT(F1054))*100,0)/60,2),F1054))</f>
        <v/>
      </c>
      <c r="P1054" s="7"/>
      <c r="Q1054" s="7"/>
    </row>
    <row r="1055" spans="1:17">
      <c r="A1055" s="105"/>
      <c r="B1055" s="2"/>
      <c r="C1055" s="3"/>
      <c r="D1055" s="3"/>
      <c r="E1055" s="3"/>
      <c r="F1055" s="8"/>
      <c r="G1055" s="215" t="str">
        <f>IF(AND($B1055="",OR(B1055&lt;&gt;"",C1055&lt;&gt;"",D1055&lt;&gt;"",E1055&lt;&gt;"",F1055&lt;&gt;"")),入力リスト!$K$34,IF($I1055=TRUE,入力リスト!$K$35,IF(J1055=FALSE,"「毎月の固定給与額」","")&amp;IF(AND(J1055=FALSE,OR(K1055=FALSE,L1055=FALSE,M1055=FALSE)),",","")&amp;IF(K1055=FALSE,"「賞与額等」","")&amp;IF(AND(K1055=FALSE,OR(L1055=FALSE,M1055=FALSE)),",","")&amp;IF(L1055=FALSE,"「残業手当」","")&amp;IF(AND(L1055=FALSE,M1055=FALSE),",","")&amp;IF(M1055=FALSE,"「残業時間」","")&amp;IF(OR(J1055=FALSE,K1055=FALSE,L1055=FALSE,M1055=FALSE),入力リスト!$K$36,"")&amp;IF(N1055,"",入力リスト!$K$37)))</f>
        <v/>
      </c>
      <c r="H1055" s="215"/>
      <c r="I1055" s="1" t="b">
        <f>IF(B1055="",FALSE,COUNTIF('従業員情報(給与以外)'!$A$4:$A$1000000,$B1055)=0)</f>
        <v>0</v>
      </c>
      <c r="J1055" s="8" t="b">
        <f t="shared" si="80"/>
        <v>1</v>
      </c>
      <c r="K1055" s="8" t="b">
        <f t="shared" si="81"/>
        <v>1</v>
      </c>
      <c r="L1055" s="8" t="b">
        <f t="shared" si="82"/>
        <v>1</v>
      </c>
      <c r="M1055" s="8" t="b">
        <f t="shared" si="83"/>
        <v>1</v>
      </c>
      <c r="N1055" s="1" t="b">
        <f t="shared" si="84"/>
        <v>1</v>
      </c>
      <c r="O1055" s="8" t="str">
        <f>IF(F1055="","",IF($F$2=入力リスト!$H$25,ROUNDDOWN(INT(F1055)+ROUNDDOWN((F1055-INT(F1055))*100,0)/60,2),F1055))</f>
        <v/>
      </c>
      <c r="P1055" s="7"/>
      <c r="Q1055" s="7"/>
    </row>
    <row r="1056" spans="1:17">
      <c r="A1056" s="105"/>
      <c r="B1056" s="2"/>
      <c r="C1056" s="3"/>
      <c r="D1056" s="3"/>
      <c r="E1056" s="3"/>
      <c r="F1056" s="8"/>
      <c r="G1056" s="215" t="str">
        <f>IF(AND($B1056="",OR(B1056&lt;&gt;"",C1056&lt;&gt;"",D1056&lt;&gt;"",E1056&lt;&gt;"",F1056&lt;&gt;"")),入力リスト!$K$34,IF($I1056=TRUE,入力リスト!$K$35,IF(J1056=FALSE,"「毎月の固定給与額」","")&amp;IF(AND(J1056=FALSE,OR(K1056=FALSE,L1056=FALSE,M1056=FALSE)),",","")&amp;IF(K1056=FALSE,"「賞与額等」","")&amp;IF(AND(K1056=FALSE,OR(L1056=FALSE,M1056=FALSE)),",","")&amp;IF(L1056=FALSE,"「残業手当」","")&amp;IF(AND(L1056=FALSE,M1056=FALSE),",","")&amp;IF(M1056=FALSE,"「残業時間」","")&amp;IF(OR(J1056=FALSE,K1056=FALSE,L1056=FALSE,M1056=FALSE),入力リスト!$K$36,"")&amp;IF(N1056,"",入力リスト!$K$37)))</f>
        <v/>
      </c>
      <c r="H1056" s="215"/>
      <c r="I1056" s="1" t="b">
        <f>IF(B1056="",FALSE,COUNTIF('従業員情報(給与以外)'!$A$4:$A$1000000,$B1056)=0)</f>
        <v>0</v>
      </c>
      <c r="J1056" s="8" t="b">
        <f t="shared" si="80"/>
        <v>1</v>
      </c>
      <c r="K1056" s="8" t="b">
        <f t="shared" si="81"/>
        <v>1</v>
      </c>
      <c r="L1056" s="8" t="b">
        <f t="shared" si="82"/>
        <v>1</v>
      </c>
      <c r="M1056" s="8" t="b">
        <f t="shared" si="83"/>
        <v>1</v>
      </c>
      <c r="N1056" s="1" t="b">
        <f t="shared" si="84"/>
        <v>1</v>
      </c>
      <c r="O1056" s="8" t="str">
        <f>IF(F1056="","",IF($F$2=入力リスト!$H$25,ROUNDDOWN(INT(F1056)+ROUNDDOWN((F1056-INT(F1056))*100,0)/60,2),F1056))</f>
        <v/>
      </c>
      <c r="P1056" s="7"/>
      <c r="Q1056" s="7"/>
    </row>
    <row r="1057" spans="1:17">
      <c r="A1057" s="105"/>
      <c r="B1057" s="2"/>
      <c r="C1057" s="3"/>
      <c r="D1057" s="3"/>
      <c r="E1057" s="3"/>
      <c r="F1057" s="8"/>
      <c r="G1057" s="215" t="str">
        <f>IF(AND($B1057="",OR(B1057&lt;&gt;"",C1057&lt;&gt;"",D1057&lt;&gt;"",E1057&lt;&gt;"",F1057&lt;&gt;"")),入力リスト!$K$34,IF($I1057=TRUE,入力リスト!$K$35,IF(J1057=FALSE,"「毎月の固定給与額」","")&amp;IF(AND(J1057=FALSE,OR(K1057=FALSE,L1057=FALSE,M1057=FALSE)),",","")&amp;IF(K1057=FALSE,"「賞与額等」","")&amp;IF(AND(K1057=FALSE,OR(L1057=FALSE,M1057=FALSE)),",","")&amp;IF(L1057=FALSE,"「残業手当」","")&amp;IF(AND(L1057=FALSE,M1057=FALSE),",","")&amp;IF(M1057=FALSE,"「残業時間」","")&amp;IF(OR(J1057=FALSE,K1057=FALSE,L1057=FALSE,M1057=FALSE),入力リスト!$K$36,"")&amp;IF(N1057,"",入力リスト!$K$37)))</f>
        <v/>
      </c>
      <c r="H1057" s="215"/>
      <c r="I1057" s="1" t="b">
        <f>IF(B1057="",FALSE,COUNTIF('従業員情報(給与以外)'!$A$4:$A$1000000,$B1057)=0)</f>
        <v>0</v>
      </c>
      <c r="J1057" s="8" t="b">
        <f t="shared" si="80"/>
        <v>1</v>
      </c>
      <c r="K1057" s="8" t="b">
        <f t="shared" si="81"/>
        <v>1</v>
      </c>
      <c r="L1057" s="8" t="b">
        <f t="shared" si="82"/>
        <v>1</v>
      </c>
      <c r="M1057" s="8" t="b">
        <f t="shared" si="83"/>
        <v>1</v>
      </c>
      <c r="N1057" s="1" t="b">
        <f t="shared" si="84"/>
        <v>1</v>
      </c>
      <c r="O1057" s="8" t="str">
        <f>IF(F1057="","",IF($F$2=入力リスト!$H$25,ROUNDDOWN(INT(F1057)+ROUNDDOWN((F1057-INT(F1057))*100,0)/60,2),F1057))</f>
        <v/>
      </c>
      <c r="P1057" s="7"/>
      <c r="Q1057" s="7"/>
    </row>
    <row r="1058" spans="1:17">
      <c r="A1058" s="105"/>
      <c r="B1058" s="2"/>
      <c r="C1058" s="3"/>
      <c r="D1058" s="3"/>
      <c r="E1058" s="3"/>
      <c r="F1058" s="8"/>
      <c r="G1058" s="215" t="str">
        <f>IF(AND($B1058="",OR(B1058&lt;&gt;"",C1058&lt;&gt;"",D1058&lt;&gt;"",E1058&lt;&gt;"",F1058&lt;&gt;"")),入力リスト!$K$34,IF($I1058=TRUE,入力リスト!$K$35,IF(J1058=FALSE,"「毎月の固定給与額」","")&amp;IF(AND(J1058=FALSE,OR(K1058=FALSE,L1058=FALSE,M1058=FALSE)),",","")&amp;IF(K1058=FALSE,"「賞与額等」","")&amp;IF(AND(K1058=FALSE,OR(L1058=FALSE,M1058=FALSE)),",","")&amp;IF(L1058=FALSE,"「残業手当」","")&amp;IF(AND(L1058=FALSE,M1058=FALSE),",","")&amp;IF(M1058=FALSE,"「残業時間」","")&amp;IF(OR(J1058=FALSE,K1058=FALSE,L1058=FALSE,M1058=FALSE),入力リスト!$K$36,"")&amp;IF(N1058,"",入力リスト!$K$37)))</f>
        <v/>
      </c>
      <c r="H1058" s="215"/>
      <c r="I1058" s="1" t="b">
        <f>IF(B1058="",FALSE,COUNTIF('従業員情報(給与以外)'!$A$4:$A$1000000,$B1058)=0)</f>
        <v>0</v>
      </c>
      <c r="J1058" s="8" t="b">
        <f t="shared" si="80"/>
        <v>1</v>
      </c>
      <c r="K1058" s="8" t="b">
        <f t="shared" si="81"/>
        <v>1</v>
      </c>
      <c r="L1058" s="8" t="b">
        <f t="shared" si="82"/>
        <v>1</v>
      </c>
      <c r="M1058" s="8" t="b">
        <f t="shared" si="83"/>
        <v>1</v>
      </c>
      <c r="N1058" s="1" t="b">
        <f t="shared" si="84"/>
        <v>1</v>
      </c>
      <c r="O1058" s="8" t="str">
        <f>IF(F1058="","",IF($F$2=入力リスト!$H$25,ROUNDDOWN(INT(F1058)+ROUNDDOWN((F1058-INT(F1058))*100,0)/60,2),F1058))</f>
        <v/>
      </c>
      <c r="P1058" s="7"/>
      <c r="Q1058" s="7"/>
    </row>
    <row r="1059" spans="1:17">
      <c r="A1059" s="105"/>
      <c r="B1059" s="2"/>
      <c r="C1059" s="3"/>
      <c r="D1059" s="3"/>
      <c r="E1059" s="3"/>
      <c r="F1059" s="8"/>
      <c r="G1059" s="215" t="str">
        <f>IF(AND($B1059="",OR(B1059&lt;&gt;"",C1059&lt;&gt;"",D1059&lt;&gt;"",E1059&lt;&gt;"",F1059&lt;&gt;"")),入力リスト!$K$34,IF($I1059=TRUE,入力リスト!$K$35,IF(J1059=FALSE,"「毎月の固定給与額」","")&amp;IF(AND(J1059=FALSE,OR(K1059=FALSE,L1059=FALSE,M1059=FALSE)),",","")&amp;IF(K1059=FALSE,"「賞与額等」","")&amp;IF(AND(K1059=FALSE,OR(L1059=FALSE,M1059=FALSE)),",","")&amp;IF(L1059=FALSE,"「残業手当」","")&amp;IF(AND(L1059=FALSE,M1059=FALSE),",","")&amp;IF(M1059=FALSE,"「残業時間」","")&amp;IF(OR(J1059=FALSE,K1059=FALSE,L1059=FALSE,M1059=FALSE),入力リスト!$K$36,"")&amp;IF(N1059,"",入力リスト!$K$37)))</f>
        <v/>
      </c>
      <c r="H1059" s="215"/>
      <c r="I1059" s="1" t="b">
        <f>IF(B1059="",FALSE,COUNTIF('従業員情報(給与以外)'!$A$4:$A$1000000,$B1059)=0)</f>
        <v>0</v>
      </c>
      <c r="J1059" s="8" t="b">
        <f t="shared" si="80"/>
        <v>1</v>
      </c>
      <c r="K1059" s="8" t="b">
        <f t="shared" si="81"/>
        <v>1</v>
      </c>
      <c r="L1059" s="8" t="b">
        <f t="shared" si="82"/>
        <v>1</v>
      </c>
      <c r="M1059" s="8" t="b">
        <f t="shared" si="83"/>
        <v>1</v>
      </c>
      <c r="N1059" s="1" t="b">
        <f t="shared" si="84"/>
        <v>1</v>
      </c>
      <c r="O1059" s="8" t="str">
        <f>IF(F1059="","",IF($F$2=入力リスト!$H$25,ROUNDDOWN(INT(F1059)+ROUNDDOWN((F1059-INT(F1059))*100,0)/60,2),F1059))</f>
        <v/>
      </c>
      <c r="P1059" s="7"/>
      <c r="Q1059" s="7"/>
    </row>
    <row r="1060" spans="1:17">
      <c r="A1060" s="105"/>
      <c r="B1060" s="2"/>
      <c r="C1060" s="3"/>
      <c r="D1060" s="3"/>
      <c r="E1060" s="3"/>
      <c r="F1060" s="8"/>
      <c r="G1060" s="215" t="str">
        <f>IF(AND($B1060="",OR(B1060&lt;&gt;"",C1060&lt;&gt;"",D1060&lt;&gt;"",E1060&lt;&gt;"",F1060&lt;&gt;"")),入力リスト!$K$34,IF($I1060=TRUE,入力リスト!$K$35,IF(J1060=FALSE,"「毎月の固定給与額」","")&amp;IF(AND(J1060=FALSE,OR(K1060=FALSE,L1060=FALSE,M1060=FALSE)),",","")&amp;IF(K1060=FALSE,"「賞与額等」","")&amp;IF(AND(K1060=FALSE,OR(L1060=FALSE,M1060=FALSE)),",","")&amp;IF(L1060=FALSE,"「残業手当」","")&amp;IF(AND(L1060=FALSE,M1060=FALSE),",","")&amp;IF(M1060=FALSE,"「残業時間」","")&amp;IF(OR(J1060=FALSE,K1060=FALSE,L1060=FALSE,M1060=FALSE),入力リスト!$K$36,"")&amp;IF(N1060,"",入力リスト!$K$37)))</f>
        <v/>
      </c>
      <c r="H1060" s="215"/>
      <c r="I1060" s="1" t="b">
        <f>IF(B1060="",FALSE,COUNTIF('従業員情報(給与以外)'!$A$4:$A$1000000,$B1060)=0)</f>
        <v>0</v>
      </c>
      <c r="J1060" s="8" t="b">
        <f t="shared" si="80"/>
        <v>1</v>
      </c>
      <c r="K1060" s="8" t="b">
        <f t="shared" si="81"/>
        <v>1</v>
      </c>
      <c r="L1060" s="8" t="b">
        <f t="shared" si="82"/>
        <v>1</v>
      </c>
      <c r="M1060" s="8" t="b">
        <f t="shared" si="83"/>
        <v>1</v>
      </c>
      <c r="N1060" s="1" t="b">
        <f t="shared" si="84"/>
        <v>1</v>
      </c>
      <c r="O1060" s="8" t="str">
        <f>IF(F1060="","",IF($F$2=入力リスト!$H$25,ROUNDDOWN(INT(F1060)+ROUNDDOWN((F1060-INT(F1060))*100,0)/60,2),F1060))</f>
        <v/>
      </c>
      <c r="P1060" s="7"/>
      <c r="Q1060" s="7"/>
    </row>
    <row r="1061" spans="1:17">
      <c r="A1061" s="105"/>
      <c r="B1061" s="2"/>
      <c r="C1061" s="3"/>
      <c r="D1061" s="3"/>
      <c r="E1061" s="3"/>
      <c r="F1061" s="8"/>
      <c r="G1061" s="215" t="str">
        <f>IF(AND($B1061="",OR(B1061&lt;&gt;"",C1061&lt;&gt;"",D1061&lt;&gt;"",E1061&lt;&gt;"",F1061&lt;&gt;"")),入力リスト!$K$34,IF($I1061=TRUE,入力リスト!$K$35,IF(J1061=FALSE,"「毎月の固定給与額」","")&amp;IF(AND(J1061=FALSE,OR(K1061=FALSE,L1061=FALSE,M1061=FALSE)),",","")&amp;IF(K1061=FALSE,"「賞与額等」","")&amp;IF(AND(K1061=FALSE,OR(L1061=FALSE,M1061=FALSE)),",","")&amp;IF(L1061=FALSE,"「残業手当」","")&amp;IF(AND(L1061=FALSE,M1061=FALSE),",","")&amp;IF(M1061=FALSE,"「残業時間」","")&amp;IF(OR(J1061=FALSE,K1061=FALSE,L1061=FALSE,M1061=FALSE),入力リスト!$K$36,"")&amp;IF(N1061,"",入力リスト!$K$37)))</f>
        <v/>
      </c>
      <c r="H1061" s="215"/>
      <c r="I1061" s="1" t="b">
        <f>IF(B1061="",FALSE,COUNTIF('従業員情報(給与以外)'!$A$4:$A$1000000,$B1061)=0)</f>
        <v>0</v>
      </c>
      <c r="J1061" s="8" t="b">
        <f t="shared" si="80"/>
        <v>1</v>
      </c>
      <c r="K1061" s="8" t="b">
        <f t="shared" si="81"/>
        <v>1</v>
      </c>
      <c r="L1061" s="8" t="b">
        <f t="shared" si="82"/>
        <v>1</v>
      </c>
      <c r="M1061" s="8" t="b">
        <f t="shared" si="83"/>
        <v>1</v>
      </c>
      <c r="N1061" s="1" t="b">
        <f t="shared" si="84"/>
        <v>1</v>
      </c>
      <c r="O1061" s="8" t="str">
        <f>IF(F1061="","",IF($F$2=入力リスト!$H$25,ROUNDDOWN(INT(F1061)+ROUNDDOWN((F1061-INT(F1061))*100,0)/60,2),F1061))</f>
        <v/>
      </c>
      <c r="P1061" s="7"/>
      <c r="Q1061" s="7"/>
    </row>
    <row r="1062" spans="1:17">
      <c r="A1062" s="105"/>
      <c r="B1062" s="2"/>
      <c r="C1062" s="3"/>
      <c r="D1062" s="3"/>
      <c r="E1062" s="3"/>
      <c r="F1062" s="8"/>
      <c r="G1062" s="215" t="str">
        <f>IF(AND($B1062="",OR(B1062&lt;&gt;"",C1062&lt;&gt;"",D1062&lt;&gt;"",E1062&lt;&gt;"",F1062&lt;&gt;"")),入力リスト!$K$34,IF($I1062=TRUE,入力リスト!$K$35,IF(J1062=FALSE,"「毎月の固定給与額」","")&amp;IF(AND(J1062=FALSE,OR(K1062=FALSE,L1062=FALSE,M1062=FALSE)),",","")&amp;IF(K1062=FALSE,"「賞与額等」","")&amp;IF(AND(K1062=FALSE,OR(L1062=FALSE,M1062=FALSE)),",","")&amp;IF(L1062=FALSE,"「残業手当」","")&amp;IF(AND(L1062=FALSE,M1062=FALSE),",","")&amp;IF(M1062=FALSE,"「残業時間」","")&amp;IF(OR(J1062=FALSE,K1062=FALSE,L1062=FALSE,M1062=FALSE),入力リスト!$K$36,"")&amp;IF(N1062,"",入力リスト!$K$37)))</f>
        <v/>
      </c>
      <c r="H1062" s="215"/>
      <c r="I1062" s="1" t="b">
        <f>IF(B1062="",FALSE,COUNTIF('従業員情報(給与以外)'!$A$4:$A$1000000,$B1062)=0)</f>
        <v>0</v>
      </c>
      <c r="J1062" s="8" t="b">
        <f t="shared" si="80"/>
        <v>1</v>
      </c>
      <c r="K1062" s="8" t="b">
        <f t="shared" si="81"/>
        <v>1</v>
      </c>
      <c r="L1062" s="8" t="b">
        <f t="shared" si="82"/>
        <v>1</v>
      </c>
      <c r="M1062" s="8" t="b">
        <f t="shared" si="83"/>
        <v>1</v>
      </c>
      <c r="N1062" s="1" t="b">
        <f t="shared" si="84"/>
        <v>1</v>
      </c>
      <c r="O1062" s="8" t="str">
        <f>IF(F1062="","",IF($F$2=入力リスト!$H$25,ROUNDDOWN(INT(F1062)+ROUNDDOWN((F1062-INT(F1062))*100,0)/60,2),F1062))</f>
        <v/>
      </c>
      <c r="P1062" s="7"/>
      <c r="Q1062" s="7"/>
    </row>
    <row r="1063" spans="1:17">
      <c r="A1063" s="105"/>
      <c r="B1063" s="2"/>
      <c r="C1063" s="3"/>
      <c r="D1063" s="3"/>
      <c r="E1063" s="3"/>
      <c r="F1063" s="8"/>
      <c r="G1063" s="215" t="str">
        <f>IF(AND($B1063="",OR(B1063&lt;&gt;"",C1063&lt;&gt;"",D1063&lt;&gt;"",E1063&lt;&gt;"",F1063&lt;&gt;"")),入力リスト!$K$34,IF($I1063=TRUE,入力リスト!$K$35,IF(J1063=FALSE,"「毎月の固定給与額」","")&amp;IF(AND(J1063=FALSE,OR(K1063=FALSE,L1063=FALSE,M1063=FALSE)),",","")&amp;IF(K1063=FALSE,"「賞与額等」","")&amp;IF(AND(K1063=FALSE,OR(L1063=FALSE,M1063=FALSE)),",","")&amp;IF(L1063=FALSE,"「残業手当」","")&amp;IF(AND(L1063=FALSE,M1063=FALSE),",","")&amp;IF(M1063=FALSE,"「残業時間」","")&amp;IF(OR(J1063=FALSE,K1063=FALSE,L1063=FALSE,M1063=FALSE),入力リスト!$K$36,"")&amp;IF(N1063,"",入力リスト!$K$37)))</f>
        <v/>
      </c>
      <c r="H1063" s="215"/>
      <c r="I1063" s="1" t="b">
        <f>IF(B1063="",FALSE,COUNTIF('従業員情報(給与以外)'!$A$4:$A$1000000,$B1063)=0)</f>
        <v>0</v>
      </c>
      <c r="J1063" s="8" t="b">
        <f t="shared" si="80"/>
        <v>1</v>
      </c>
      <c r="K1063" s="8" t="b">
        <f t="shared" si="81"/>
        <v>1</v>
      </c>
      <c r="L1063" s="8" t="b">
        <f t="shared" si="82"/>
        <v>1</v>
      </c>
      <c r="M1063" s="8" t="b">
        <f t="shared" si="83"/>
        <v>1</v>
      </c>
      <c r="N1063" s="1" t="b">
        <f t="shared" si="84"/>
        <v>1</v>
      </c>
      <c r="O1063" s="8" t="str">
        <f>IF(F1063="","",IF($F$2=入力リスト!$H$25,ROUNDDOWN(INT(F1063)+ROUNDDOWN((F1063-INT(F1063))*100,0)/60,2),F1063))</f>
        <v/>
      </c>
      <c r="P1063" s="7"/>
      <c r="Q1063" s="7"/>
    </row>
    <row r="1064" spans="1:17">
      <c r="A1064" s="105"/>
      <c r="B1064" s="2"/>
      <c r="C1064" s="3"/>
      <c r="D1064" s="3"/>
      <c r="E1064" s="3"/>
      <c r="F1064" s="8"/>
      <c r="G1064" s="215" t="str">
        <f>IF(AND($B1064="",OR(B1064&lt;&gt;"",C1064&lt;&gt;"",D1064&lt;&gt;"",E1064&lt;&gt;"",F1064&lt;&gt;"")),入力リスト!$K$34,IF($I1064=TRUE,入力リスト!$K$35,IF(J1064=FALSE,"「毎月の固定給与額」","")&amp;IF(AND(J1064=FALSE,OR(K1064=FALSE,L1064=FALSE,M1064=FALSE)),",","")&amp;IF(K1064=FALSE,"「賞与額等」","")&amp;IF(AND(K1064=FALSE,OR(L1064=FALSE,M1064=FALSE)),",","")&amp;IF(L1064=FALSE,"「残業手当」","")&amp;IF(AND(L1064=FALSE,M1064=FALSE),",","")&amp;IF(M1064=FALSE,"「残業時間」","")&amp;IF(OR(J1064=FALSE,K1064=FALSE,L1064=FALSE,M1064=FALSE),入力リスト!$K$36,"")&amp;IF(N1064,"",入力リスト!$K$37)))</f>
        <v/>
      </c>
      <c r="H1064" s="215"/>
      <c r="I1064" s="1" t="b">
        <f>IF(B1064="",FALSE,COUNTIF('従業員情報(給与以外)'!$A$4:$A$1000000,$B1064)=0)</f>
        <v>0</v>
      </c>
      <c r="J1064" s="8" t="b">
        <f t="shared" si="80"/>
        <v>1</v>
      </c>
      <c r="K1064" s="8" t="b">
        <f t="shared" si="81"/>
        <v>1</v>
      </c>
      <c r="L1064" s="8" t="b">
        <f t="shared" si="82"/>
        <v>1</v>
      </c>
      <c r="M1064" s="8" t="b">
        <f t="shared" si="83"/>
        <v>1</v>
      </c>
      <c r="N1064" s="1" t="b">
        <f t="shared" si="84"/>
        <v>1</v>
      </c>
      <c r="O1064" s="8" t="str">
        <f>IF(F1064="","",IF($F$2=入力リスト!$H$25,ROUNDDOWN(INT(F1064)+ROUNDDOWN((F1064-INT(F1064))*100,0)/60,2),F1064))</f>
        <v/>
      </c>
      <c r="P1064" s="7"/>
      <c r="Q1064" s="7"/>
    </row>
    <row r="1065" spans="1:17">
      <c r="A1065" s="105"/>
      <c r="B1065" s="2"/>
      <c r="C1065" s="3"/>
      <c r="D1065" s="3"/>
      <c r="E1065" s="3"/>
      <c r="F1065" s="8"/>
      <c r="G1065" s="215" t="str">
        <f>IF(AND($B1065="",OR(B1065&lt;&gt;"",C1065&lt;&gt;"",D1065&lt;&gt;"",E1065&lt;&gt;"",F1065&lt;&gt;"")),入力リスト!$K$34,IF($I1065=TRUE,入力リスト!$K$35,IF(J1065=FALSE,"「毎月の固定給与額」","")&amp;IF(AND(J1065=FALSE,OR(K1065=FALSE,L1065=FALSE,M1065=FALSE)),",","")&amp;IF(K1065=FALSE,"「賞与額等」","")&amp;IF(AND(K1065=FALSE,OR(L1065=FALSE,M1065=FALSE)),",","")&amp;IF(L1065=FALSE,"「残業手当」","")&amp;IF(AND(L1065=FALSE,M1065=FALSE),",","")&amp;IF(M1065=FALSE,"「残業時間」","")&amp;IF(OR(J1065=FALSE,K1065=FALSE,L1065=FALSE,M1065=FALSE),入力リスト!$K$36,"")&amp;IF(N1065,"",入力リスト!$K$37)))</f>
        <v/>
      </c>
      <c r="H1065" s="215"/>
      <c r="I1065" s="1" t="b">
        <f>IF(B1065="",FALSE,COUNTIF('従業員情報(給与以外)'!$A$4:$A$1000000,$B1065)=0)</f>
        <v>0</v>
      </c>
      <c r="J1065" s="8" t="b">
        <f t="shared" si="80"/>
        <v>1</v>
      </c>
      <c r="K1065" s="8" t="b">
        <f t="shared" si="81"/>
        <v>1</v>
      </c>
      <c r="L1065" s="8" t="b">
        <f t="shared" si="82"/>
        <v>1</v>
      </c>
      <c r="M1065" s="8" t="b">
        <f t="shared" si="83"/>
        <v>1</v>
      </c>
      <c r="N1065" s="1" t="b">
        <f t="shared" si="84"/>
        <v>1</v>
      </c>
      <c r="O1065" s="8" t="str">
        <f>IF(F1065="","",IF($F$2=入力リスト!$H$25,ROUNDDOWN(INT(F1065)+ROUNDDOWN((F1065-INT(F1065))*100,0)/60,2),F1065))</f>
        <v/>
      </c>
      <c r="P1065" s="7"/>
      <c r="Q1065" s="7"/>
    </row>
    <row r="1066" spans="1:17">
      <c r="A1066" s="105"/>
      <c r="B1066" s="2"/>
      <c r="C1066" s="3"/>
      <c r="D1066" s="3"/>
      <c r="E1066" s="3"/>
      <c r="F1066" s="8"/>
      <c r="G1066" s="215" t="str">
        <f>IF(AND($B1066="",OR(B1066&lt;&gt;"",C1066&lt;&gt;"",D1066&lt;&gt;"",E1066&lt;&gt;"",F1066&lt;&gt;"")),入力リスト!$K$34,IF($I1066=TRUE,入力リスト!$K$35,IF(J1066=FALSE,"「毎月の固定給与額」","")&amp;IF(AND(J1066=FALSE,OR(K1066=FALSE,L1066=FALSE,M1066=FALSE)),",","")&amp;IF(K1066=FALSE,"「賞与額等」","")&amp;IF(AND(K1066=FALSE,OR(L1066=FALSE,M1066=FALSE)),",","")&amp;IF(L1066=FALSE,"「残業手当」","")&amp;IF(AND(L1066=FALSE,M1066=FALSE),",","")&amp;IF(M1066=FALSE,"「残業時間」","")&amp;IF(OR(J1066=FALSE,K1066=FALSE,L1066=FALSE,M1066=FALSE),入力リスト!$K$36,"")&amp;IF(N1066,"",入力リスト!$K$37)))</f>
        <v/>
      </c>
      <c r="H1066" s="215"/>
      <c r="I1066" s="1" t="b">
        <f>IF(B1066="",FALSE,COUNTIF('従業員情報(給与以外)'!$A$4:$A$1000000,$B1066)=0)</f>
        <v>0</v>
      </c>
      <c r="J1066" s="8" t="b">
        <f t="shared" si="80"/>
        <v>1</v>
      </c>
      <c r="K1066" s="8" t="b">
        <f t="shared" si="81"/>
        <v>1</v>
      </c>
      <c r="L1066" s="8" t="b">
        <f t="shared" si="82"/>
        <v>1</v>
      </c>
      <c r="M1066" s="8" t="b">
        <f t="shared" si="83"/>
        <v>1</v>
      </c>
      <c r="N1066" s="1" t="b">
        <f t="shared" si="84"/>
        <v>1</v>
      </c>
      <c r="O1066" s="8" t="str">
        <f>IF(F1066="","",IF($F$2=入力リスト!$H$25,ROUNDDOWN(INT(F1066)+ROUNDDOWN((F1066-INT(F1066))*100,0)/60,2),F1066))</f>
        <v/>
      </c>
      <c r="P1066" s="7"/>
      <c r="Q1066" s="7"/>
    </row>
    <row r="1067" spans="1:17">
      <c r="A1067" s="105"/>
      <c r="B1067" s="2"/>
      <c r="C1067" s="3"/>
      <c r="D1067" s="3"/>
      <c r="E1067" s="3"/>
      <c r="F1067" s="8"/>
      <c r="G1067" s="215" t="str">
        <f>IF(AND($B1067="",OR(B1067&lt;&gt;"",C1067&lt;&gt;"",D1067&lt;&gt;"",E1067&lt;&gt;"",F1067&lt;&gt;"")),入力リスト!$K$34,IF($I1067=TRUE,入力リスト!$K$35,IF(J1067=FALSE,"「毎月の固定給与額」","")&amp;IF(AND(J1067=FALSE,OR(K1067=FALSE,L1067=FALSE,M1067=FALSE)),",","")&amp;IF(K1067=FALSE,"「賞与額等」","")&amp;IF(AND(K1067=FALSE,OR(L1067=FALSE,M1067=FALSE)),",","")&amp;IF(L1067=FALSE,"「残業手当」","")&amp;IF(AND(L1067=FALSE,M1067=FALSE),",","")&amp;IF(M1067=FALSE,"「残業時間」","")&amp;IF(OR(J1067=FALSE,K1067=FALSE,L1067=FALSE,M1067=FALSE),入力リスト!$K$36,"")&amp;IF(N1067,"",入力リスト!$K$37)))</f>
        <v/>
      </c>
      <c r="H1067" s="215"/>
      <c r="I1067" s="1" t="b">
        <f>IF(B1067="",FALSE,COUNTIF('従業員情報(給与以外)'!$A$4:$A$1000000,$B1067)=0)</f>
        <v>0</v>
      </c>
      <c r="J1067" s="8" t="b">
        <f t="shared" si="80"/>
        <v>1</v>
      </c>
      <c r="K1067" s="8" t="b">
        <f t="shared" si="81"/>
        <v>1</v>
      </c>
      <c r="L1067" s="8" t="b">
        <f t="shared" si="82"/>
        <v>1</v>
      </c>
      <c r="M1067" s="8" t="b">
        <f t="shared" si="83"/>
        <v>1</v>
      </c>
      <c r="N1067" s="1" t="b">
        <f t="shared" si="84"/>
        <v>1</v>
      </c>
      <c r="O1067" s="8" t="str">
        <f>IF(F1067="","",IF($F$2=入力リスト!$H$25,ROUNDDOWN(INT(F1067)+ROUNDDOWN((F1067-INT(F1067))*100,0)/60,2),F1067))</f>
        <v/>
      </c>
      <c r="P1067" s="7"/>
      <c r="Q1067" s="7"/>
    </row>
    <row r="1068" spans="1:17">
      <c r="A1068" s="105"/>
      <c r="B1068" s="2"/>
      <c r="C1068" s="3"/>
      <c r="D1068" s="3"/>
      <c r="E1068" s="3"/>
      <c r="F1068" s="8"/>
      <c r="G1068" s="215" t="str">
        <f>IF(AND($B1068="",OR(B1068&lt;&gt;"",C1068&lt;&gt;"",D1068&lt;&gt;"",E1068&lt;&gt;"",F1068&lt;&gt;"")),入力リスト!$K$34,IF($I1068=TRUE,入力リスト!$K$35,IF(J1068=FALSE,"「毎月の固定給与額」","")&amp;IF(AND(J1068=FALSE,OR(K1068=FALSE,L1068=FALSE,M1068=FALSE)),",","")&amp;IF(K1068=FALSE,"「賞与額等」","")&amp;IF(AND(K1068=FALSE,OR(L1068=FALSE,M1068=FALSE)),",","")&amp;IF(L1068=FALSE,"「残業手当」","")&amp;IF(AND(L1068=FALSE,M1068=FALSE),",","")&amp;IF(M1068=FALSE,"「残業時間」","")&amp;IF(OR(J1068=FALSE,K1068=FALSE,L1068=FALSE,M1068=FALSE),入力リスト!$K$36,"")&amp;IF(N1068,"",入力リスト!$K$37)))</f>
        <v/>
      </c>
      <c r="H1068" s="215"/>
      <c r="I1068" s="1" t="b">
        <f>IF(B1068="",FALSE,COUNTIF('従業員情報(給与以外)'!$A$4:$A$1000000,$B1068)=0)</f>
        <v>0</v>
      </c>
      <c r="J1068" s="8" t="b">
        <f t="shared" si="80"/>
        <v>1</v>
      </c>
      <c r="K1068" s="8" t="b">
        <f t="shared" si="81"/>
        <v>1</v>
      </c>
      <c r="L1068" s="8" t="b">
        <f t="shared" si="82"/>
        <v>1</v>
      </c>
      <c r="M1068" s="8" t="b">
        <f t="shared" si="83"/>
        <v>1</v>
      </c>
      <c r="N1068" s="1" t="b">
        <f t="shared" si="84"/>
        <v>1</v>
      </c>
      <c r="O1068" s="8" t="str">
        <f>IF(F1068="","",IF($F$2=入力リスト!$H$25,ROUNDDOWN(INT(F1068)+ROUNDDOWN((F1068-INT(F1068))*100,0)/60,2),F1068))</f>
        <v/>
      </c>
      <c r="P1068" s="7"/>
      <c r="Q1068" s="7"/>
    </row>
    <row r="1069" spans="1:17">
      <c r="A1069" s="105"/>
      <c r="B1069" s="2"/>
      <c r="C1069" s="3"/>
      <c r="D1069" s="3"/>
      <c r="E1069" s="3"/>
      <c r="F1069" s="8"/>
      <c r="G1069" s="215" t="str">
        <f>IF(AND($B1069="",OR(B1069&lt;&gt;"",C1069&lt;&gt;"",D1069&lt;&gt;"",E1069&lt;&gt;"",F1069&lt;&gt;"")),入力リスト!$K$34,IF($I1069=TRUE,入力リスト!$K$35,IF(J1069=FALSE,"「毎月の固定給与額」","")&amp;IF(AND(J1069=FALSE,OR(K1069=FALSE,L1069=FALSE,M1069=FALSE)),",","")&amp;IF(K1069=FALSE,"「賞与額等」","")&amp;IF(AND(K1069=FALSE,OR(L1069=FALSE,M1069=FALSE)),",","")&amp;IF(L1069=FALSE,"「残業手当」","")&amp;IF(AND(L1069=FALSE,M1069=FALSE),",","")&amp;IF(M1069=FALSE,"「残業時間」","")&amp;IF(OR(J1069=FALSE,K1069=FALSE,L1069=FALSE,M1069=FALSE),入力リスト!$K$36,"")&amp;IF(N1069,"",入力リスト!$K$37)))</f>
        <v/>
      </c>
      <c r="H1069" s="215"/>
      <c r="I1069" s="1" t="b">
        <f>IF(B1069="",FALSE,COUNTIF('従業員情報(給与以外)'!$A$4:$A$1000000,$B1069)=0)</f>
        <v>0</v>
      </c>
      <c r="J1069" s="8" t="b">
        <f t="shared" si="80"/>
        <v>1</v>
      </c>
      <c r="K1069" s="8" t="b">
        <f t="shared" si="81"/>
        <v>1</v>
      </c>
      <c r="L1069" s="8" t="b">
        <f t="shared" si="82"/>
        <v>1</v>
      </c>
      <c r="M1069" s="8" t="b">
        <f t="shared" si="83"/>
        <v>1</v>
      </c>
      <c r="N1069" s="1" t="b">
        <f t="shared" si="84"/>
        <v>1</v>
      </c>
      <c r="O1069" s="8" t="str">
        <f>IF(F1069="","",IF($F$2=入力リスト!$H$25,ROUNDDOWN(INT(F1069)+ROUNDDOWN((F1069-INT(F1069))*100,0)/60,2),F1069))</f>
        <v/>
      </c>
      <c r="P1069" s="7"/>
      <c r="Q1069" s="7"/>
    </row>
    <row r="1070" spans="1:17">
      <c r="A1070" s="105"/>
      <c r="B1070" s="2"/>
      <c r="C1070" s="3"/>
      <c r="D1070" s="3"/>
      <c r="E1070" s="3"/>
      <c r="F1070" s="8"/>
      <c r="G1070" s="215" t="str">
        <f>IF(AND($B1070="",OR(B1070&lt;&gt;"",C1070&lt;&gt;"",D1070&lt;&gt;"",E1070&lt;&gt;"",F1070&lt;&gt;"")),入力リスト!$K$34,IF($I1070=TRUE,入力リスト!$K$35,IF(J1070=FALSE,"「毎月の固定給与額」","")&amp;IF(AND(J1070=FALSE,OR(K1070=FALSE,L1070=FALSE,M1070=FALSE)),",","")&amp;IF(K1070=FALSE,"「賞与額等」","")&amp;IF(AND(K1070=FALSE,OR(L1070=FALSE,M1070=FALSE)),",","")&amp;IF(L1070=FALSE,"「残業手当」","")&amp;IF(AND(L1070=FALSE,M1070=FALSE),",","")&amp;IF(M1070=FALSE,"「残業時間」","")&amp;IF(OR(J1070=FALSE,K1070=FALSE,L1070=FALSE,M1070=FALSE),入力リスト!$K$36,"")&amp;IF(N1070,"",入力リスト!$K$37)))</f>
        <v/>
      </c>
      <c r="H1070" s="215"/>
      <c r="I1070" s="1" t="b">
        <f>IF(B1070="",FALSE,COUNTIF('従業員情報(給与以外)'!$A$4:$A$1000000,$B1070)=0)</f>
        <v>0</v>
      </c>
      <c r="J1070" s="8" t="b">
        <f t="shared" si="80"/>
        <v>1</v>
      </c>
      <c r="K1070" s="8" t="b">
        <f t="shared" si="81"/>
        <v>1</v>
      </c>
      <c r="L1070" s="8" t="b">
        <f t="shared" si="82"/>
        <v>1</v>
      </c>
      <c r="M1070" s="8" t="b">
        <f t="shared" si="83"/>
        <v>1</v>
      </c>
      <c r="N1070" s="1" t="b">
        <f t="shared" si="84"/>
        <v>1</v>
      </c>
      <c r="O1070" s="8" t="str">
        <f>IF(F1070="","",IF($F$2=入力リスト!$H$25,ROUNDDOWN(INT(F1070)+ROUNDDOWN((F1070-INT(F1070))*100,0)/60,2),F1070))</f>
        <v/>
      </c>
      <c r="P1070" s="7"/>
      <c r="Q1070" s="7"/>
    </row>
    <row r="1071" spans="1:17">
      <c r="A1071" s="105"/>
      <c r="B1071" s="2"/>
      <c r="C1071" s="3"/>
      <c r="D1071" s="3"/>
      <c r="E1071" s="3"/>
      <c r="F1071" s="8"/>
      <c r="G1071" s="215" t="str">
        <f>IF(AND($B1071="",OR(B1071&lt;&gt;"",C1071&lt;&gt;"",D1071&lt;&gt;"",E1071&lt;&gt;"",F1071&lt;&gt;"")),入力リスト!$K$34,IF($I1071=TRUE,入力リスト!$K$35,IF(J1071=FALSE,"「毎月の固定給与額」","")&amp;IF(AND(J1071=FALSE,OR(K1071=FALSE,L1071=FALSE,M1071=FALSE)),",","")&amp;IF(K1071=FALSE,"「賞与額等」","")&amp;IF(AND(K1071=FALSE,OR(L1071=FALSE,M1071=FALSE)),",","")&amp;IF(L1071=FALSE,"「残業手当」","")&amp;IF(AND(L1071=FALSE,M1071=FALSE),",","")&amp;IF(M1071=FALSE,"「残業時間」","")&amp;IF(OR(J1071=FALSE,K1071=FALSE,L1071=FALSE,M1071=FALSE),入力リスト!$K$36,"")&amp;IF(N1071,"",入力リスト!$K$37)))</f>
        <v/>
      </c>
      <c r="H1071" s="215"/>
      <c r="I1071" s="1" t="b">
        <f>IF(B1071="",FALSE,COUNTIF('従業員情報(給与以外)'!$A$4:$A$1000000,$B1071)=0)</f>
        <v>0</v>
      </c>
      <c r="J1071" s="8" t="b">
        <f t="shared" si="80"/>
        <v>1</v>
      </c>
      <c r="K1071" s="8" t="b">
        <f t="shared" si="81"/>
        <v>1</v>
      </c>
      <c r="L1071" s="8" t="b">
        <f t="shared" si="82"/>
        <v>1</v>
      </c>
      <c r="M1071" s="8" t="b">
        <f t="shared" si="83"/>
        <v>1</v>
      </c>
      <c r="N1071" s="1" t="b">
        <f t="shared" si="84"/>
        <v>1</v>
      </c>
      <c r="O1071" s="8" t="str">
        <f>IF(F1071="","",IF($F$2=入力リスト!$H$25,ROUNDDOWN(INT(F1071)+ROUNDDOWN((F1071-INT(F1071))*100,0)/60,2),F1071))</f>
        <v/>
      </c>
      <c r="P1071" s="7"/>
      <c r="Q1071" s="7"/>
    </row>
    <row r="1072" spans="1:17">
      <c r="A1072" s="105"/>
      <c r="B1072" s="2"/>
      <c r="C1072" s="3"/>
      <c r="D1072" s="3"/>
      <c r="E1072" s="3"/>
      <c r="F1072" s="8"/>
      <c r="G1072" s="215" t="str">
        <f>IF(AND($B1072="",OR(B1072&lt;&gt;"",C1072&lt;&gt;"",D1072&lt;&gt;"",E1072&lt;&gt;"",F1072&lt;&gt;"")),入力リスト!$K$34,IF($I1072=TRUE,入力リスト!$K$35,IF(J1072=FALSE,"「毎月の固定給与額」","")&amp;IF(AND(J1072=FALSE,OR(K1072=FALSE,L1072=FALSE,M1072=FALSE)),",","")&amp;IF(K1072=FALSE,"「賞与額等」","")&amp;IF(AND(K1072=FALSE,OR(L1072=FALSE,M1072=FALSE)),",","")&amp;IF(L1072=FALSE,"「残業手当」","")&amp;IF(AND(L1072=FALSE,M1072=FALSE),",","")&amp;IF(M1072=FALSE,"「残業時間」","")&amp;IF(OR(J1072=FALSE,K1072=FALSE,L1072=FALSE,M1072=FALSE),入力リスト!$K$36,"")&amp;IF(N1072,"",入力リスト!$K$37)))</f>
        <v/>
      </c>
      <c r="H1072" s="215"/>
      <c r="I1072" s="1" t="b">
        <f>IF(B1072="",FALSE,COUNTIF('従業員情報(給与以外)'!$A$4:$A$1000000,$B1072)=0)</f>
        <v>0</v>
      </c>
      <c r="J1072" s="8" t="b">
        <f t="shared" si="80"/>
        <v>1</v>
      </c>
      <c r="K1072" s="8" t="b">
        <f t="shared" si="81"/>
        <v>1</v>
      </c>
      <c r="L1072" s="8" t="b">
        <f t="shared" si="82"/>
        <v>1</v>
      </c>
      <c r="M1072" s="8" t="b">
        <f t="shared" si="83"/>
        <v>1</v>
      </c>
      <c r="N1072" s="1" t="b">
        <f t="shared" si="84"/>
        <v>1</v>
      </c>
      <c r="O1072" s="8" t="str">
        <f>IF(F1072="","",IF($F$2=入力リスト!$H$25,ROUNDDOWN(INT(F1072)+ROUNDDOWN((F1072-INT(F1072))*100,0)/60,2),F1072))</f>
        <v/>
      </c>
      <c r="P1072" s="7"/>
      <c r="Q1072" s="7"/>
    </row>
    <row r="1073" spans="1:17">
      <c r="A1073" s="105"/>
      <c r="B1073" s="2"/>
      <c r="C1073" s="3"/>
      <c r="D1073" s="3"/>
      <c r="E1073" s="3"/>
      <c r="F1073" s="8"/>
      <c r="G1073" s="215" t="str">
        <f>IF(AND($B1073="",OR(B1073&lt;&gt;"",C1073&lt;&gt;"",D1073&lt;&gt;"",E1073&lt;&gt;"",F1073&lt;&gt;"")),入力リスト!$K$34,IF($I1073=TRUE,入力リスト!$K$35,IF(J1073=FALSE,"「毎月の固定給与額」","")&amp;IF(AND(J1073=FALSE,OR(K1073=FALSE,L1073=FALSE,M1073=FALSE)),",","")&amp;IF(K1073=FALSE,"「賞与額等」","")&amp;IF(AND(K1073=FALSE,OR(L1073=FALSE,M1073=FALSE)),",","")&amp;IF(L1073=FALSE,"「残業手当」","")&amp;IF(AND(L1073=FALSE,M1073=FALSE),",","")&amp;IF(M1073=FALSE,"「残業時間」","")&amp;IF(OR(J1073=FALSE,K1073=FALSE,L1073=FALSE,M1073=FALSE),入力リスト!$K$36,"")&amp;IF(N1073,"",入力リスト!$K$37)))</f>
        <v/>
      </c>
      <c r="H1073" s="215"/>
      <c r="I1073" s="1" t="b">
        <f>IF(B1073="",FALSE,COUNTIF('従業員情報(給与以外)'!$A$4:$A$1000000,$B1073)=0)</f>
        <v>0</v>
      </c>
      <c r="J1073" s="8" t="b">
        <f t="shared" si="80"/>
        <v>1</v>
      </c>
      <c r="K1073" s="8" t="b">
        <f t="shared" si="81"/>
        <v>1</v>
      </c>
      <c r="L1073" s="8" t="b">
        <f t="shared" si="82"/>
        <v>1</v>
      </c>
      <c r="M1073" s="8" t="b">
        <f t="shared" si="83"/>
        <v>1</v>
      </c>
      <c r="N1073" s="1" t="b">
        <f t="shared" si="84"/>
        <v>1</v>
      </c>
      <c r="O1073" s="8" t="str">
        <f>IF(F1073="","",IF($F$2=入力リスト!$H$25,ROUNDDOWN(INT(F1073)+ROUNDDOWN((F1073-INT(F1073))*100,0)/60,2),F1073))</f>
        <v/>
      </c>
      <c r="P1073" s="7"/>
      <c r="Q1073" s="7"/>
    </row>
    <row r="1074" spans="1:17">
      <c r="A1074" s="105"/>
      <c r="B1074" s="2"/>
      <c r="C1074" s="3"/>
      <c r="D1074" s="3"/>
      <c r="E1074" s="3"/>
      <c r="F1074" s="8"/>
      <c r="G1074" s="215" t="str">
        <f>IF(AND($B1074="",OR(B1074&lt;&gt;"",C1074&lt;&gt;"",D1074&lt;&gt;"",E1074&lt;&gt;"",F1074&lt;&gt;"")),入力リスト!$K$34,IF($I1074=TRUE,入力リスト!$K$35,IF(J1074=FALSE,"「毎月の固定給与額」","")&amp;IF(AND(J1074=FALSE,OR(K1074=FALSE,L1074=FALSE,M1074=FALSE)),",","")&amp;IF(K1074=FALSE,"「賞与額等」","")&amp;IF(AND(K1074=FALSE,OR(L1074=FALSE,M1074=FALSE)),",","")&amp;IF(L1074=FALSE,"「残業手当」","")&amp;IF(AND(L1074=FALSE,M1074=FALSE),",","")&amp;IF(M1074=FALSE,"「残業時間」","")&amp;IF(OR(J1074=FALSE,K1074=FALSE,L1074=FALSE,M1074=FALSE),入力リスト!$K$36,"")&amp;IF(N1074,"",入力リスト!$K$37)))</f>
        <v/>
      </c>
      <c r="H1074" s="215"/>
      <c r="I1074" s="1" t="b">
        <f>IF(B1074="",FALSE,COUNTIF('従業員情報(給与以外)'!$A$4:$A$1000000,$B1074)=0)</f>
        <v>0</v>
      </c>
      <c r="J1074" s="8" t="b">
        <f t="shared" si="80"/>
        <v>1</v>
      </c>
      <c r="K1074" s="8" t="b">
        <f t="shared" si="81"/>
        <v>1</v>
      </c>
      <c r="L1074" s="8" t="b">
        <f t="shared" si="82"/>
        <v>1</v>
      </c>
      <c r="M1074" s="8" t="b">
        <f t="shared" si="83"/>
        <v>1</v>
      </c>
      <c r="N1074" s="1" t="b">
        <f t="shared" si="84"/>
        <v>1</v>
      </c>
      <c r="O1074" s="8" t="str">
        <f>IF(F1074="","",IF($F$2=入力リスト!$H$25,ROUNDDOWN(INT(F1074)+ROUNDDOWN((F1074-INT(F1074))*100,0)/60,2),F1074))</f>
        <v/>
      </c>
      <c r="P1074" s="7"/>
      <c r="Q1074" s="7"/>
    </row>
    <row r="1075" spans="1:17">
      <c r="A1075" s="105"/>
      <c r="B1075" s="2"/>
      <c r="C1075" s="3"/>
      <c r="D1075" s="3"/>
      <c r="E1075" s="3"/>
      <c r="F1075" s="8"/>
      <c r="G1075" s="215" t="str">
        <f>IF(AND($B1075="",OR(B1075&lt;&gt;"",C1075&lt;&gt;"",D1075&lt;&gt;"",E1075&lt;&gt;"",F1075&lt;&gt;"")),入力リスト!$K$34,IF($I1075=TRUE,入力リスト!$K$35,IF(J1075=FALSE,"「毎月の固定給与額」","")&amp;IF(AND(J1075=FALSE,OR(K1075=FALSE,L1075=FALSE,M1075=FALSE)),",","")&amp;IF(K1075=FALSE,"「賞与額等」","")&amp;IF(AND(K1075=FALSE,OR(L1075=FALSE,M1075=FALSE)),",","")&amp;IF(L1075=FALSE,"「残業手当」","")&amp;IF(AND(L1075=FALSE,M1075=FALSE),",","")&amp;IF(M1075=FALSE,"「残業時間」","")&amp;IF(OR(J1075=FALSE,K1075=FALSE,L1075=FALSE,M1075=FALSE),入力リスト!$K$36,"")&amp;IF(N1075,"",入力リスト!$K$37)))</f>
        <v/>
      </c>
      <c r="H1075" s="215"/>
      <c r="I1075" s="1" t="b">
        <f>IF(B1075="",FALSE,COUNTIF('従業員情報(給与以外)'!$A$4:$A$1000000,$B1075)=0)</f>
        <v>0</v>
      </c>
      <c r="J1075" s="8" t="b">
        <f t="shared" si="80"/>
        <v>1</v>
      </c>
      <c r="K1075" s="8" t="b">
        <f t="shared" si="81"/>
        <v>1</v>
      </c>
      <c r="L1075" s="8" t="b">
        <f t="shared" si="82"/>
        <v>1</v>
      </c>
      <c r="M1075" s="8" t="b">
        <f t="shared" si="83"/>
        <v>1</v>
      </c>
      <c r="N1075" s="1" t="b">
        <f t="shared" si="84"/>
        <v>1</v>
      </c>
      <c r="O1075" s="8" t="str">
        <f>IF(F1075="","",IF($F$2=入力リスト!$H$25,ROUNDDOWN(INT(F1075)+ROUNDDOWN((F1075-INT(F1075))*100,0)/60,2),F1075))</f>
        <v/>
      </c>
      <c r="P1075" s="7"/>
      <c r="Q1075" s="7"/>
    </row>
    <row r="1076" spans="1:17">
      <c r="A1076" s="105"/>
      <c r="B1076" s="2"/>
      <c r="C1076" s="3"/>
      <c r="D1076" s="3"/>
      <c r="E1076" s="3"/>
      <c r="F1076" s="8"/>
      <c r="G1076" s="215" t="str">
        <f>IF(AND($B1076="",OR(B1076&lt;&gt;"",C1076&lt;&gt;"",D1076&lt;&gt;"",E1076&lt;&gt;"",F1076&lt;&gt;"")),入力リスト!$K$34,IF($I1076=TRUE,入力リスト!$K$35,IF(J1076=FALSE,"「毎月の固定給与額」","")&amp;IF(AND(J1076=FALSE,OR(K1076=FALSE,L1076=FALSE,M1076=FALSE)),",","")&amp;IF(K1076=FALSE,"「賞与額等」","")&amp;IF(AND(K1076=FALSE,OR(L1076=FALSE,M1076=FALSE)),",","")&amp;IF(L1076=FALSE,"「残業手当」","")&amp;IF(AND(L1076=FALSE,M1076=FALSE),",","")&amp;IF(M1076=FALSE,"「残業時間」","")&amp;IF(OR(J1076=FALSE,K1076=FALSE,L1076=FALSE,M1076=FALSE),入力リスト!$K$36,"")&amp;IF(N1076,"",入力リスト!$K$37)))</f>
        <v/>
      </c>
      <c r="H1076" s="215"/>
      <c r="I1076" s="1" t="b">
        <f>IF(B1076="",FALSE,COUNTIF('従業員情報(給与以外)'!$A$4:$A$1000000,$B1076)=0)</f>
        <v>0</v>
      </c>
      <c r="J1076" s="8" t="b">
        <f t="shared" si="80"/>
        <v>1</v>
      </c>
      <c r="K1076" s="8" t="b">
        <f t="shared" si="81"/>
        <v>1</v>
      </c>
      <c r="L1076" s="8" t="b">
        <f t="shared" si="82"/>
        <v>1</v>
      </c>
      <c r="M1076" s="8" t="b">
        <f t="shared" si="83"/>
        <v>1</v>
      </c>
      <c r="N1076" s="1" t="b">
        <f t="shared" si="84"/>
        <v>1</v>
      </c>
      <c r="O1076" s="8" t="str">
        <f>IF(F1076="","",IF($F$2=入力リスト!$H$25,ROUNDDOWN(INT(F1076)+ROUNDDOWN((F1076-INT(F1076))*100,0)/60,2),F1076))</f>
        <v/>
      </c>
      <c r="P1076" s="7"/>
      <c r="Q1076" s="7"/>
    </row>
    <row r="1077" spans="1:17">
      <c r="A1077" s="105"/>
      <c r="B1077" s="2"/>
      <c r="C1077" s="3"/>
      <c r="D1077" s="3"/>
      <c r="E1077" s="3"/>
      <c r="F1077" s="8"/>
      <c r="G1077" s="215" t="str">
        <f>IF(AND($B1077="",OR(B1077&lt;&gt;"",C1077&lt;&gt;"",D1077&lt;&gt;"",E1077&lt;&gt;"",F1077&lt;&gt;"")),入力リスト!$K$34,IF($I1077=TRUE,入力リスト!$K$35,IF(J1077=FALSE,"「毎月の固定給与額」","")&amp;IF(AND(J1077=FALSE,OR(K1077=FALSE,L1077=FALSE,M1077=FALSE)),",","")&amp;IF(K1077=FALSE,"「賞与額等」","")&amp;IF(AND(K1077=FALSE,OR(L1077=FALSE,M1077=FALSE)),",","")&amp;IF(L1077=FALSE,"「残業手当」","")&amp;IF(AND(L1077=FALSE,M1077=FALSE),",","")&amp;IF(M1077=FALSE,"「残業時間」","")&amp;IF(OR(J1077=FALSE,K1077=FALSE,L1077=FALSE,M1077=FALSE),入力リスト!$K$36,"")&amp;IF(N1077,"",入力リスト!$K$37)))</f>
        <v/>
      </c>
      <c r="H1077" s="215"/>
      <c r="I1077" s="1" t="b">
        <f>IF(B1077="",FALSE,COUNTIF('従業員情報(給与以外)'!$A$4:$A$1000000,$B1077)=0)</f>
        <v>0</v>
      </c>
      <c r="J1077" s="8" t="b">
        <f t="shared" si="80"/>
        <v>1</v>
      </c>
      <c r="K1077" s="8" t="b">
        <f t="shared" si="81"/>
        <v>1</v>
      </c>
      <c r="L1077" s="8" t="b">
        <f t="shared" si="82"/>
        <v>1</v>
      </c>
      <c r="M1077" s="8" t="b">
        <f t="shared" si="83"/>
        <v>1</v>
      </c>
      <c r="N1077" s="1" t="b">
        <f t="shared" si="84"/>
        <v>1</v>
      </c>
      <c r="O1077" s="8" t="str">
        <f>IF(F1077="","",IF($F$2=入力リスト!$H$25,ROUNDDOWN(INT(F1077)+ROUNDDOWN((F1077-INT(F1077))*100,0)/60,2),F1077))</f>
        <v/>
      </c>
      <c r="P1077" s="7"/>
      <c r="Q1077" s="7"/>
    </row>
    <row r="1078" spans="1:17">
      <c r="A1078" s="105"/>
      <c r="B1078" s="2"/>
      <c r="C1078" s="3"/>
      <c r="D1078" s="3"/>
      <c r="E1078" s="3"/>
      <c r="F1078" s="8"/>
      <c r="G1078" s="215" t="str">
        <f>IF(AND($B1078="",OR(B1078&lt;&gt;"",C1078&lt;&gt;"",D1078&lt;&gt;"",E1078&lt;&gt;"",F1078&lt;&gt;"")),入力リスト!$K$34,IF($I1078=TRUE,入力リスト!$K$35,IF(J1078=FALSE,"「毎月の固定給与額」","")&amp;IF(AND(J1078=FALSE,OR(K1078=FALSE,L1078=FALSE,M1078=FALSE)),",","")&amp;IF(K1078=FALSE,"「賞与額等」","")&amp;IF(AND(K1078=FALSE,OR(L1078=FALSE,M1078=FALSE)),",","")&amp;IF(L1078=FALSE,"「残業手当」","")&amp;IF(AND(L1078=FALSE,M1078=FALSE),",","")&amp;IF(M1078=FALSE,"「残業時間」","")&amp;IF(OR(J1078=FALSE,K1078=FALSE,L1078=FALSE,M1078=FALSE),入力リスト!$K$36,"")&amp;IF(N1078,"",入力リスト!$K$37)))</f>
        <v/>
      </c>
      <c r="H1078" s="215"/>
      <c r="I1078" s="1" t="b">
        <f>IF(B1078="",FALSE,COUNTIF('従業員情報(給与以外)'!$A$4:$A$1000000,$B1078)=0)</f>
        <v>0</v>
      </c>
      <c r="J1078" s="8" t="b">
        <f t="shared" si="80"/>
        <v>1</v>
      </c>
      <c r="K1078" s="8" t="b">
        <f t="shared" si="81"/>
        <v>1</v>
      </c>
      <c r="L1078" s="8" t="b">
        <f t="shared" si="82"/>
        <v>1</v>
      </c>
      <c r="M1078" s="8" t="b">
        <f t="shared" si="83"/>
        <v>1</v>
      </c>
      <c r="N1078" s="1" t="b">
        <f t="shared" si="84"/>
        <v>1</v>
      </c>
      <c r="O1078" s="8" t="str">
        <f>IF(F1078="","",IF($F$2=入力リスト!$H$25,ROUNDDOWN(INT(F1078)+ROUNDDOWN((F1078-INT(F1078))*100,0)/60,2),F1078))</f>
        <v/>
      </c>
      <c r="P1078" s="7"/>
      <c r="Q1078" s="7"/>
    </row>
    <row r="1079" spans="1:17">
      <c r="A1079" s="105"/>
      <c r="B1079" s="2"/>
      <c r="C1079" s="3"/>
      <c r="D1079" s="3"/>
      <c r="E1079" s="3"/>
      <c r="F1079" s="8"/>
      <c r="G1079" s="215" t="str">
        <f>IF(AND($B1079="",OR(B1079&lt;&gt;"",C1079&lt;&gt;"",D1079&lt;&gt;"",E1079&lt;&gt;"",F1079&lt;&gt;"")),入力リスト!$K$34,IF($I1079=TRUE,入力リスト!$K$35,IF(J1079=FALSE,"「毎月の固定給与額」","")&amp;IF(AND(J1079=FALSE,OR(K1079=FALSE,L1079=FALSE,M1079=FALSE)),",","")&amp;IF(K1079=FALSE,"「賞与額等」","")&amp;IF(AND(K1079=FALSE,OR(L1079=FALSE,M1079=FALSE)),",","")&amp;IF(L1079=FALSE,"「残業手当」","")&amp;IF(AND(L1079=FALSE,M1079=FALSE),",","")&amp;IF(M1079=FALSE,"「残業時間」","")&amp;IF(OR(J1079=FALSE,K1079=FALSE,L1079=FALSE,M1079=FALSE),入力リスト!$K$36,"")&amp;IF(N1079,"",入力リスト!$K$37)))</f>
        <v/>
      </c>
      <c r="H1079" s="215"/>
      <c r="I1079" s="1" t="b">
        <f>IF(B1079="",FALSE,COUNTIF('従業員情報(給与以外)'!$A$4:$A$1000000,$B1079)=0)</f>
        <v>0</v>
      </c>
      <c r="J1079" s="8" t="b">
        <f t="shared" si="80"/>
        <v>1</v>
      </c>
      <c r="K1079" s="8" t="b">
        <f t="shared" si="81"/>
        <v>1</v>
      </c>
      <c r="L1079" s="8" t="b">
        <f t="shared" si="82"/>
        <v>1</v>
      </c>
      <c r="M1079" s="8" t="b">
        <f t="shared" si="83"/>
        <v>1</v>
      </c>
      <c r="N1079" s="1" t="b">
        <f t="shared" si="84"/>
        <v>1</v>
      </c>
      <c r="O1079" s="8" t="str">
        <f>IF(F1079="","",IF($F$2=入力リスト!$H$25,ROUNDDOWN(INT(F1079)+ROUNDDOWN((F1079-INT(F1079))*100,0)/60,2),F1079))</f>
        <v/>
      </c>
      <c r="P1079" s="7"/>
      <c r="Q1079" s="7"/>
    </row>
    <row r="1080" spans="1:17">
      <c r="A1080" s="105"/>
      <c r="B1080" s="2"/>
      <c r="C1080" s="3"/>
      <c r="D1080" s="3"/>
      <c r="E1080" s="3"/>
      <c r="F1080" s="8"/>
      <c r="G1080" s="215" t="str">
        <f>IF(AND($B1080="",OR(B1080&lt;&gt;"",C1080&lt;&gt;"",D1080&lt;&gt;"",E1080&lt;&gt;"",F1080&lt;&gt;"")),入力リスト!$K$34,IF($I1080=TRUE,入力リスト!$K$35,IF(J1080=FALSE,"「毎月の固定給与額」","")&amp;IF(AND(J1080=FALSE,OR(K1080=FALSE,L1080=FALSE,M1080=FALSE)),",","")&amp;IF(K1080=FALSE,"「賞与額等」","")&amp;IF(AND(K1080=FALSE,OR(L1080=FALSE,M1080=FALSE)),",","")&amp;IF(L1080=FALSE,"「残業手当」","")&amp;IF(AND(L1080=FALSE,M1080=FALSE),",","")&amp;IF(M1080=FALSE,"「残業時間」","")&amp;IF(OR(J1080=FALSE,K1080=FALSE,L1080=FALSE,M1080=FALSE),入力リスト!$K$36,"")&amp;IF(N1080,"",入力リスト!$K$37)))</f>
        <v/>
      </c>
      <c r="H1080" s="215"/>
      <c r="I1080" s="1" t="b">
        <f>IF(B1080="",FALSE,COUNTIF('従業員情報(給与以外)'!$A$4:$A$1000000,$B1080)=0)</f>
        <v>0</v>
      </c>
      <c r="J1080" s="8" t="b">
        <f t="shared" si="80"/>
        <v>1</v>
      </c>
      <c r="K1080" s="8" t="b">
        <f t="shared" si="81"/>
        <v>1</v>
      </c>
      <c r="L1080" s="8" t="b">
        <f t="shared" si="82"/>
        <v>1</v>
      </c>
      <c r="M1080" s="8" t="b">
        <f t="shared" si="83"/>
        <v>1</v>
      </c>
      <c r="N1080" s="1" t="b">
        <f t="shared" si="84"/>
        <v>1</v>
      </c>
      <c r="O1080" s="8" t="str">
        <f>IF(F1080="","",IF($F$2=入力リスト!$H$25,ROUNDDOWN(INT(F1080)+ROUNDDOWN((F1080-INT(F1080))*100,0)/60,2),F1080))</f>
        <v/>
      </c>
      <c r="P1080" s="7"/>
      <c r="Q1080" s="7"/>
    </row>
    <row r="1081" spans="1:17">
      <c r="A1081" s="105"/>
      <c r="B1081" s="2"/>
      <c r="C1081" s="3"/>
      <c r="D1081" s="3"/>
      <c r="E1081" s="3"/>
      <c r="F1081" s="8"/>
      <c r="G1081" s="215" t="str">
        <f>IF(AND($B1081="",OR(B1081&lt;&gt;"",C1081&lt;&gt;"",D1081&lt;&gt;"",E1081&lt;&gt;"",F1081&lt;&gt;"")),入力リスト!$K$34,IF($I1081=TRUE,入力リスト!$K$35,IF(J1081=FALSE,"「毎月の固定給与額」","")&amp;IF(AND(J1081=FALSE,OR(K1081=FALSE,L1081=FALSE,M1081=FALSE)),",","")&amp;IF(K1081=FALSE,"「賞与額等」","")&amp;IF(AND(K1081=FALSE,OR(L1081=FALSE,M1081=FALSE)),",","")&amp;IF(L1081=FALSE,"「残業手当」","")&amp;IF(AND(L1081=FALSE,M1081=FALSE),",","")&amp;IF(M1081=FALSE,"「残業時間」","")&amp;IF(OR(J1081=FALSE,K1081=FALSE,L1081=FALSE,M1081=FALSE),入力リスト!$K$36,"")&amp;IF(N1081,"",入力リスト!$K$37)))</f>
        <v/>
      </c>
      <c r="H1081" s="215"/>
      <c r="I1081" s="1" t="b">
        <f>IF(B1081="",FALSE,COUNTIF('従業員情報(給与以外)'!$A$4:$A$1000000,$B1081)=0)</f>
        <v>0</v>
      </c>
      <c r="J1081" s="8" t="b">
        <f t="shared" si="80"/>
        <v>1</v>
      </c>
      <c r="K1081" s="8" t="b">
        <f t="shared" si="81"/>
        <v>1</v>
      </c>
      <c r="L1081" s="8" t="b">
        <f t="shared" si="82"/>
        <v>1</v>
      </c>
      <c r="M1081" s="8" t="b">
        <f t="shared" si="83"/>
        <v>1</v>
      </c>
      <c r="N1081" s="1" t="b">
        <f t="shared" si="84"/>
        <v>1</v>
      </c>
      <c r="O1081" s="8" t="str">
        <f>IF(F1081="","",IF($F$2=入力リスト!$H$25,ROUNDDOWN(INT(F1081)+ROUNDDOWN((F1081-INT(F1081))*100,0)/60,2),F1081))</f>
        <v/>
      </c>
      <c r="P1081" s="7"/>
      <c r="Q1081" s="7"/>
    </row>
    <row r="1082" spans="1:17">
      <c r="A1082" s="105"/>
      <c r="B1082" s="2"/>
      <c r="C1082" s="3"/>
      <c r="D1082" s="3"/>
      <c r="E1082" s="3"/>
      <c r="F1082" s="8"/>
      <c r="G1082" s="215" t="str">
        <f>IF(AND($B1082="",OR(B1082&lt;&gt;"",C1082&lt;&gt;"",D1082&lt;&gt;"",E1082&lt;&gt;"",F1082&lt;&gt;"")),入力リスト!$K$34,IF($I1082=TRUE,入力リスト!$K$35,IF(J1082=FALSE,"「毎月の固定給与額」","")&amp;IF(AND(J1082=FALSE,OR(K1082=FALSE,L1082=FALSE,M1082=FALSE)),",","")&amp;IF(K1082=FALSE,"「賞与額等」","")&amp;IF(AND(K1082=FALSE,OR(L1082=FALSE,M1082=FALSE)),",","")&amp;IF(L1082=FALSE,"「残業手当」","")&amp;IF(AND(L1082=FALSE,M1082=FALSE),",","")&amp;IF(M1082=FALSE,"「残業時間」","")&amp;IF(OR(J1082=FALSE,K1082=FALSE,L1082=FALSE,M1082=FALSE),入力リスト!$K$36,"")&amp;IF(N1082,"",入力リスト!$K$37)))</f>
        <v/>
      </c>
      <c r="H1082" s="215"/>
      <c r="I1082" s="1" t="b">
        <f>IF(B1082="",FALSE,COUNTIF('従業員情報(給与以外)'!$A$4:$A$1000000,$B1082)=0)</f>
        <v>0</v>
      </c>
      <c r="J1082" s="8" t="b">
        <f t="shared" si="80"/>
        <v>1</v>
      </c>
      <c r="K1082" s="8" t="b">
        <f t="shared" si="81"/>
        <v>1</v>
      </c>
      <c r="L1082" s="8" t="b">
        <f t="shared" si="82"/>
        <v>1</v>
      </c>
      <c r="M1082" s="8" t="b">
        <f t="shared" si="83"/>
        <v>1</v>
      </c>
      <c r="N1082" s="1" t="b">
        <f t="shared" si="84"/>
        <v>1</v>
      </c>
      <c r="O1082" s="8" t="str">
        <f>IF(F1082="","",IF($F$2=入力リスト!$H$25,ROUNDDOWN(INT(F1082)+ROUNDDOWN((F1082-INT(F1082))*100,0)/60,2),F1082))</f>
        <v/>
      </c>
      <c r="P1082" s="7"/>
      <c r="Q1082" s="7"/>
    </row>
    <row r="1083" spans="1:17">
      <c r="A1083" s="105"/>
      <c r="B1083" s="2"/>
      <c r="C1083" s="3"/>
      <c r="D1083" s="3"/>
      <c r="E1083" s="3"/>
      <c r="F1083" s="8"/>
      <c r="G1083" s="215" t="str">
        <f>IF(AND($B1083="",OR(B1083&lt;&gt;"",C1083&lt;&gt;"",D1083&lt;&gt;"",E1083&lt;&gt;"",F1083&lt;&gt;"")),入力リスト!$K$34,IF($I1083=TRUE,入力リスト!$K$35,IF(J1083=FALSE,"「毎月の固定給与額」","")&amp;IF(AND(J1083=FALSE,OR(K1083=FALSE,L1083=FALSE,M1083=FALSE)),",","")&amp;IF(K1083=FALSE,"「賞与額等」","")&amp;IF(AND(K1083=FALSE,OR(L1083=FALSE,M1083=FALSE)),",","")&amp;IF(L1083=FALSE,"「残業手当」","")&amp;IF(AND(L1083=FALSE,M1083=FALSE),",","")&amp;IF(M1083=FALSE,"「残業時間」","")&amp;IF(OR(J1083=FALSE,K1083=FALSE,L1083=FALSE,M1083=FALSE),入力リスト!$K$36,"")&amp;IF(N1083,"",入力リスト!$K$37)))</f>
        <v/>
      </c>
      <c r="H1083" s="215"/>
      <c r="I1083" s="1" t="b">
        <f>IF(B1083="",FALSE,COUNTIF('従業員情報(給与以外)'!$A$4:$A$1000000,$B1083)=0)</f>
        <v>0</v>
      </c>
      <c r="J1083" s="8" t="b">
        <f t="shared" si="80"/>
        <v>1</v>
      </c>
      <c r="K1083" s="8" t="b">
        <f t="shared" si="81"/>
        <v>1</v>
      </c>
      <c r="L1083" s="8" t="b">
        <f t="shared" si="82"/>
        <v>1</v>
      </c>
      <c r="M1083" s="8" t="b">
        <f t="shared" si="83"/>
        <v>1</v>
      </c>
      <c r="N1083" s="1" t="b">
        <f t="shared" si="84"/>
        <v>1</v>
      </c>
      <c r="O1083" s="8" t="str">
        <f>IF(F1083="","",IF($F$2=入力リスト!$H$25,ROUNDDOWN(INT(F1083)+ROUNDDOWN((F1083-INT(F1083))*100,0)/60,2),F1083))</f>
        <v/>
      </c>
      <c r="P1083" s="7"/>
      <c r="Q1083" s="7"/>
    </row>
    <row r="1084" spans="1:17">
      <c r="A1084" s="105"/>
      <c r="B1084" s="2"/>
      <c r="C1084" s="3"/>
      <c r="D1084" s="3"/>
      <c r="E1084" s="3"/>
      <c r="F1084" s="8"/>
      <c r="G1084" s="215" t="str">
        <f>IF(AND($B1084="",OR(B1084&lt;&gt;"",C1084&lt;&gt;"",D1084&lt;&gt;"",E1084&lt;&gt;"",F1084&lt;&gt;"")),入力リスト!$K$34,IF($I1084=TRUE,入力リスト!$K$35,IF(J1084=FALSE,"「毎月の固定給与額」","")&amp;IF(AND(J1084=FALSE,OR(K1084=FALSE,L1084=FALSE,M1084=FALSE)),",","")&amp;IF(K1084=FALSE,"「賞与額等」","")&amp;IF(AND(K1084=FALSE,OR(L1084=FALSE,M1084=FALSE)),",","")&amp;IF(L1084=FALSE,"「残業手当」","")&amp;IF(AND(L1084=FALSE,M1084=FALSE),",","")&amp;IF(M1084=FALSE,"「残業時間」","")&amp;IF(OR(J1084=FALSE,K1084=FALSE,L1084=FALSE,M1084=FALSE),入力リスト!$K$36,"")&amp;IF(N1084,"",入力リスト!$K$37)))</f>
        <v/>
      </c>
      <c r="H1084" s="215"/>
      <c r="I1084" s="1" t="b">
        <f>IF(B1084="",FALSE,COUNTIF('従業員情報(給与以外)'!$A$4:$A$1000000,$B1084)=0)</f>
        <v>0</v>
      </c>
      <c r="J1084" s="8" t="b">
        <f t="shared" si="80"/>
        <v>1</v>
      </c>
      <c r="K1084" s="8" t="b">
        <f t="shared" si="81"/>
        <v>1</v>
      </c>
      <c r="L1084" s="8" t="b">
        <f t="shared" si="82"/>
        <v>1</v>
      </c>
      <c r="M1084" s="8" t="b">
        <f t="shared" si="83"/>
        <v>1</v>
      </c>
      <c r="N1084" s="1" t="b">
        <f t="shared" si="84"/>
        <v>1</v>
      </c>
      <c r="O1084" s="8" t="str">
        <f>IF(F1084="","",IF($F$2=入力リスト!$H$25,ROUNDDOWN(INT(F1084)+ROUNDDOWN((F1084-INT(F1084))*100,0)/60,2),F1084))</f>
        <v/>
      </c>
      <c r="P1084" s="7"/>
      <c r="Q1084" s="7"/>
    </row>
    <row r="1085" spans="1:17">
      <c r="A1085" s="105"/>
      <c r="B1085" s="2"/>
      <c r="C1085" s="3"/>
      <c r="D1085" s="3"/>
      <c r="E1085" s="3"/>
      <c r="F1085" s="8"/>
      <c r="G1085" s="215" t="str">
        <f>IF(AND($B1085="",OR(B1085&lt;&gt;"",C1085&lt;&gt;"",D1085&lt;&gt;"",E1085&lt;&gt;"",F1085&lt;&gt;"")),入力リスト!$K$34,IF($I1085=TRUE,入力リスト!$K$35,IF(J1085=FALSE,"「毎月の固定給与額」","")&amp;IF(AND(J1085=FALSE,OR(K1085=FALSE,L1085=FALSE,M1085=FALSE)),",","")&amp;IF(K1085=FALSE,"「賞与額等」","")&amp;IF(AND(K1085=FALSE,OR(L1085=FALSE,M1085=FALSE)),",","")&amp;IF(L1085=FALSE,"「残業手当」","")&amp;IF(AND(L1085=FALSE,M1085=FALSE),",","")&amp;IF(M1085=FALSE,"「残業時間」","")&amp;IF(OR(J1085=FALSE,K1085=FALSE,L1085=FALSE,M1085=FALSE),入力リスト!$K$36,"")&amp;IF(N1085,"",入力リスト!$K$37)))</f>
        <v/>
      </c>
      <c r="H1085" s="215"/>
      <c r="I1085" s="1" t="b">
        <f>IF(B1085="",FALSE,COUNTIF('従業員情報(給与以外)'!$A$4:$A$1000000,$B1085)=0)</f>
        <v>0</v>
      </c>
      <c r="J1085" s="8" t="b">
        <f t="shared" si="80"/>
        <v>1</v>
      </c>
      <c r="K1085" s="8" t="b">
        <f t="shared" si="81"/>
        <v>1</v>
      </c>
      <c r="L1085" s="8" t="b">
        <f t="shared" si="82"/>
        <v>1</v>
      </c>
      <c r="M1085" s="8" t="b">
        <f t="shared" si="83"/>
        <v>1</v>
      </c>
      <c r="N1085" s="1" t="b">
        <f t="shared" si="84"/>
        <v>1</v>
      </c>
      <c r="O1085" s="8" t="str">
        <f>IF(F1085="","",IF($F$2=入力リスト!$H$25,ROUNDDOWN(INT(F1085)+ROUNDDOWN((F1085-INT(F1085))*100,0)/60,2),F1085))</f>
        <v/>
      </c>
      <c r="P1085" s="7"/>
      <c r="Q1085" s="7"/>
    </row>
    <row r="1086" spans="1:17">
      <c r="A1086" s="105"/>
      <c r="B1086" s="2"/>
      <c r="C1086" s="3"/>
      <c r="D1086" s="3"/>
      <c r="E1086" s="3"/>
      <c r="F1086" s="8"/>
      <c r="G1086" s="215" t="str">
        <f>IF(AND($B1086="",OR(B1086&lt;&gt;"",C1086&lt;&gt;"",D1086&lt;&gt;"",E1086&lt;&gt;"",F1086&lt;&gt;"")),入力リスト!$K$34,IF($I1086=TRUE,入力リスト!$K$35,IF(J1086=FALSE,"「毎月の固定給与額」","")&amp;IF(AND(J1086=FALSE,OR(K1086=FALSE,L1086=FALSE,M1086=FALSE)),",","")&amp;IF(K1086=FALSE,"「賞与額等」","")&amp;IF(AND(K1086=FALSE,OR(L1086=FALSE,M1086=FALSE)),",","")&amp;IF(L1086=FALSE,"「残業手当」","")&amp;IF(AND(L1086=FALSE,M1086=FALSE),",","")&amp;IF(M1086=FALSE,"「残業時間」","")&amp;IF(OR(J1086=FALSE,K1086=FALSE,L1086=FALSE,M1086=FALSE),入力リスト!$K$36,"")&amp;IF(N1086,"",入力リスト!$K$37)))</f>
        <v/>
      </c>
      <c r="H1086" s="215"/>
      <c r="I1086" s="1" t="b">
        <f>IF(B1086="",FALSE,COUNTIF('従業員情報(給与以外)'!$A$4:$A$1000000,$B1086)=0)</f>
        <v>0</v>
      </c>
      <c r="J1086" s="8" t="b">
        <f t="shared" si="80"/>
        <v>1</v>
      </c>
      <c r="K1086" s="8" t="b">
        <f t="shared" si="81"/>
        <v>1</v>
      </c>
      <c r="L1086" s="8" t="b">
        <f t="shared" si="82"/>
        <v>1</v>
      </c>
      <c r="M1086" s="8" t="b">
        <f t="shared" si="83"/>
        <v>1</v>
      </c>
      <c r="N1086" s="1" t="b">
        <f t="shared" si="84"/>
        <v>1</v>
      </c>
      <c r="O1086" s="8" t="str">
        <f>IF(F1086="","",IF($F$2=入力リスト!$H$25,ROUNDDOWN(INT(F1086)+ROUNDDOWN((F1086-INT(F1086))*100,0)/60,2),F1086))</f>
        <v/>
      </c>
      <c r="P1086" s="7"/>
      <c r="Q1086" s="7"/>
    </row>
    <row r="1087" spans="1:17">
      <c r="A1087" s="105"/>
      <c r="B1087" s="2"/>
      <c r="C1087" s="3"/>
      <c r="D1087" s="3"/>
      <c r="E1087" s="3"/>
      <c r="F1087" s="8"/>
      <c r="G1087" s="215" t="str">
        <f>IF(AND($B1087="",OR(B1087&lt;&gt;"",C1087&lt;&gt;"",D1087&lt;&gt;"",E1087&lt;&gt;"",F1087&lt;&gt;"")),入力リスト!$K$34,IF($I1087=TRUE,入力リスト!$K$35,IF(J1087=FALSE,"「毎月の固定給与額」","")&amp;IF(AND(J1087=FALSE,OR(K1087=FALSE,L1087=FALSE,M1087=FALSE)),",","")&amp;IF(K1087=FALSE,"「賞与額等」","")&amp;IF(AND(K1087=FALSE,OR(L1087=FALSE,M1087=FALSE)),",","")&amp;IF(L1087=FALSE,"「残業手当」","")&amp;IF(AND(L1087=FALSE,M1087=FALSE),",","")&amp;IF(M1087=FALSE,"「残業時間」","")&amp;IF(OR(J1087=FALSE,K1087=FALSE,L1087=FALSE,M1087=FALSE),入力リスト!$K$36,"")&amp;IF(N1087,"",入力リスト!$K$37)))</f>
        <v/>
      </c>
      <c r="H1087" s="215"/>
      <c r="I1087" s="1" t="b">
        <f>IF(B1087="",FALSE,COUNTIF('従業員情報(給与以外)'!$A$4:$A$1000000,$B1087)=0)</f>
        <v>0</v>
      </c>
      <c r="J1087" s="8" t="b">
        <f t="shared" si="80"/>
        <v>1</v>
      </c>
      <c r="K1087" s="8" t="b">
        <f t="shared" si="81"/>
        <v>1</v>
      </c>
      <c r="L1087" s="8" t="b">
        <f t="shared" si="82"/>
        <v>1</v>
      </c>
      <c r="M1087" s="8" t="b">
        <f t="shared" si="83"/>
        <v>1</v>
      </c>
      <c r="N1087" s="1" t="b">
        <f t="shared" si="84"/>
        <v>1</v>
      </c>
      <c r="O1087" s="8" t="str">
        <f>IF(F1087="","",IF($F$2=入力リスト!$H$25,ROUNDDOWN(INT(F1087)+ROUNDDOWN((F1087-INT(F1087))*100,0)/60,2),F1087))</f>
        <v/>
      </c>
      <c r="P1087" s="7"/>
      <c r="Q1087" s="7"/>
    </row>
    <row r="1088" spans="1:17">
      <c r="A1088" s="105"/>
      <c r="B1088" s="2"/>
      <c r="C1088" s="3"/>
      <c r="D1088" s="3"/>
      <c r="E1088" s="3"/>
      <c r="F1088" s="8"/>
      <c r="G1088" s="215" t="str">
        <f>IF(AND($B1088="",OR(B1088&lt;&gt;"",C1088&lt;&gt;"",D1088&lt;&gt;"",E1088&lt;&gt;"",F1088&lt;&gt;"")),入力リスト!$K$34,IF($I1088=TRUE,入力リスト!$K$35,IF(J1088=FALSE,"「毎月の固定給与額」","")&amp;IF(AND(J1088=FALSE,OR(K1088=FALSE,L1088=FALSE,M1088=FALSE)),",","")&amp;IF(K1088=FALSE,"「賞与額等」","")&amp;IF(AND(K1088=FALSE,OR(L1088=FALSE,M1088=FALSE)),",","")&amp;IF(L1088=FALSE,"「残業手当」","")&amp;IF(AND(L1088=FALSE,M1088=FALSE),",","")&amp;IF(M1088=FALSE,"「残業時間」","")&amp;IF(OR(J1088=FALSE,K1088=FALSE,L1088=FALSE,M1088=FALSE),入力リスト!$K$36,"")&amp;IF(N1088,"",入力リスト!$K$37)))</f>
        <v/>
      </c>
      <c r="H1088" s="215"/>
      <c r="I1088" s="1" t="b">
        <f>IF(B1088="",FALSE,COUNTIF('従業員情報(給与以外)'!$A$4:$A$1000000,$B1088)=0)</f>
        <v>0</v>
      </c>
      <c r="J1088" s="8" t="b">
        <f t="shared" si="80"/>
        <v>1</v>
      </c>
      <c r="K1088" s="8" t="b">
        <f t="shared" si="81"/>
        <v>1</v>
      </c>
      <c r="L1088" s="8" t="b">
        <f t="shared" si="82"/>
        <v>1</v>
      </c>
      <c r="M1088" s="8" t="b">
        <f t="shared" si="83"/>
        <v>1</v>
      </c>
      <c r="N1088" s="1" t="b">
        <f t="shared" si="84"/>
        <v>1</v>
      </c>
      <c r="O1088" s="8" t="str">
        <f>IF(F1088="","",IF($F$2=入力リスト!$H$25,ROUNDDOWN(INT(F1088)+ROUNDDOWN((F1088-INT(F1088))*100,0)/60,2),F1088))</f>
        <v/>
      </c>
      <c r="P1088" s="7"/>
      <c r="Q1088" s="7"/>
    </row>
    <row r="1089" spans="1:17">
      <c r="A1089" s="105"/>
      <c r="B1089" s="2"/>
      <c r="C1089" s="3"/>
      <c r="D1089" s="3"/>
      <c r="E1089" s="3"/>
      <c r="F1089" s="8"/>
      <c r="G1089" s="215" t="str">
        <f>IF(AND($B1089="",OR(B1089&lt;&gt;"",C1089&lt;&gt;"",D1089&lt;&gt;"",E1089&lt;&gt;"",F1089&lt;&gt;"")),入力リスト!$K$34,IF($I1089=TRUE,入力リスト!$K$35,IF(J1089=FALSE,"「毎月の固定給与額」","")&amp;IF(AND(J1089=FALSE,OR(K1089=FALSE,L1089=FALSE,M1089=FALSE)),",","")&amp;IF(K1089=FALSE,"「賞与額等」","")&amp;IF(AND(K1089=FALSE,OR(L1089=FALSE,M1089=FALSE)),",","")&amp;IF(L1089=FALSE,"「残業手当」","")&amp;IF(AND(L1089=FALSE,M1089=FALSE),",","")&amp;IF(M1089=FALSE,"「残業時間」","")&amp;IF(OR(J1089=FALSE,K1089=FALSE,L1089=FALSE,M1089=FALSE),入力リスト!$K$36,"")&amp;IF(N1089,"",入力リスト!$K$37)))</f>
        <v/>
      </c>
      <c r="H1089" s="215"/>
      <c r="I1089" s="1" t="b">
        <f>IF(B1089="",FALSE,COUNTIF('従業員情報(給与以外)'!$A$4:$A$1000000,$B1089)=0)</f>
        <v>0</v>
      </c>
      <c r="J1089" s="8" t="b">
        <f t="shared" si="80"/>
        <v>1</v>
      </c>
      <c r="K1089" s="8" t="b">
        <f t="shared" si="81"/>
        <v>1</v>
      </c>
      <c r="L1089" s="8" t="b">
        <f t="shared" si="82"/>
        <v>1</v>
      </c>
      <c r="M1089" s="8" t="b">
        <f t="shared" si="83"/>
        <v>1</v>
      </c>
      <c r="N1089" s="1" t="b">
        <f t="shared" si="84"/>
        <v>1</v>
      </c>
      <c r="O1089" s="8" t="str">
        <f>IF(F1089="","",IF($F$2=入力リスト!$H$25,ROUNDDOWN(INT(F1089)+ROUNDDOWN((F1089-INT(F1089))*100,0)/60,2),F1089))</f>
        <v/>
      </c>
      <c r="P1089" s="7"/>
      <c r="Q1089" s="7"/>
    </row>
    <row r="1090" spans="1:17">
      <c r="A1090" s="105"/>
      <c r="B1090" s="2"/>
      <c r="C1090" s="3"/>
      <c r="D1090" s="3"/>
      <c r="E1090" s="3"/>
      <c r="F1090" s="8"/>
      <c r="G1090" s="215" t="str">
        <f>IF(AND($B1090="",OR(B1090&lt;&gt;"",C1090&lt;&gt;"",D1090&lt;&gt;"",E1090&lt;&gt;"",F1090&lt;&gt;"")),入力リスト!$K$34,IF($I1090=TRUE,入力リスト!$K$35,IF(J1090=FALSE,"「毎月の固定給与額」","")&amp;IF(AND(J1090=FALSE,OR(K1090=FALSE,L1090=FALSE,M1090=FALSE)),",","")&amp;IF(K1090=FALSE,"「賞与額等」","")&amp;IF(AND(K1090=FALSE,OR(L1090=FALSE,M1090=FALSE)),",","")&amp;IF(L1090=FALSE,"「残業手当」","")&amp;IF(AND(L1090=FALSE,M1090=FALSE),",","")&amp;IF(M1090=FALSE,"「残業時間」","")&amp;IF(OR(J1090=FALSE,K1090=FALSE,L1090=FALSE,M1090=FALSE),入力リスト!$K$36,"")&amp;IF(N1090,"",入力リスト!$K$37)))</f>
        <v/>
      </c>
      <c r="H1090" s="215"/>
      <c r="I1090" s="1" t="b">
        <f>IF(B1090="",FALSE,COUNTIF('従業員情報(給与以外)'!$A$4:$A$1000000,$B1090)=0)</f>
        <v>0</v>
      </c>
      <c r="J1090" s="8" t="b">
        <f t="shared" si="80"/>
        <v>1</v>
      </c>
      <c r="K1090" s="8" t="b">
        <f t="shared" si="81"/>
        <v>1</v>
      </c>
      <c r="L1090" s="8" t="b">
        <f t="shared" si="82"/>
        <v>1</v>
      </c>
      <c r="M1090" s="8" t="b">
        <f t="shared" si="83"/>
        <v>1</v>
      </c>
      <c r="N1090" s="1" t="b">
        <f t="shared" si="84"/>
        <v>1</v>
      </c>
      <c r="O1090" s="8" t="str">
        <f>IF(F1090="","",IF($F$2=入力リスト!$H$25,ROUNDDOWN(INT(F1090)+ROUNDDOWN((F1090-INT(F1090))*100,0)/60,2),F1090))</f>
        <v/>
      </c>
      <c r="P1090" s="7"/>
      <c r="Q1090" s="7"/>
    </row>
    <row r="1091" spans="1:17">
      <c r="A1091" s="105"/>
      <c r="B1091" s="2"/>
      <c r="C1091" s="3"/>
      <c r="D1091" s="3"/>
      <c r="E1091" s="3"/>
      <c r="F1091" s="8"/>
      <c r="G1091" s="215" t="str">
        <f>IF(AND($B1091="",OR(B1091&lt;&gt;"",C1091&lt;&gt;"",D1091&lt;&gt;"",E1091&lt;&gt;"",F1091&lt;&gt;"")),入力リスト!$K$34,IF($I1091=TRUE,入力リスト!$K$35,IF(J1091=FALSE,"「毎月の固定給与額」","")&amp;IF(AND(J1091=FALSE,OR(K1091=FALSE,L1091=FALSE,M1091=FALSE)),",","")&amp;IF(K1091=FALSE,"「賞与額等」","")&amp;IF(AND(K1091=FALSE,OR(L1091=FALSE,M1091=FALSE)),",","")&amp;IF(L1091=FALSE,"「残業手当」","")&amp;IF(AND(L1091=FALSE,M1091=FALSE),",","")&amp;IF(M1091=FALSE,"「残業時間」","")&amp;IF(OR(J1091=FALSE,K1091=FALSE,L1091=FALSE,M1091=FALSE),入力リスト!$K$36,"")&amp;IF(N1091,"",入力リスト!$K$37)))</f>
        <v/>
      </c>
      <c r="H1091" s="215"/>
      <c r="I1091" s="1" t="b">
        <f>IF(B1091="",FALSE,COUNTIF('従業員情報(給与以外)'!$A$4:$A$1000000,$B1091)=0)</f>
        <v>0</v>
      </c>
      <c r="J1091" s="8" t="b">
        <f t="shared" si="80"/>
        <v>1</v>
      </c>
      <c r="K1091" s="8" t="b">
        <f t="shared" si="81"/>
        <v>1</v>
      </c>
      <c r="L1091" s="8" t="b">
        <f t="shared" si="82"/>
        <v>1</v>
      </c>
      <c r="M1091" s="8" t="b">
        <f t="shared" si="83"/>
        <v>1</v>
      </c>
      <c r="N1091" s="1" t="b">
        <f t="shared" si="84"/>
        <v>1</v>
      </c>
      <c r="O1091" s="8" t="str">
        <f>IF(F1091="","",IF($F$2=入力リスト!$H$25,ROUNDDOWN(INT(F1091)+ROUNDDOWN((F1091-INT(F1091))*100,0)/60,2),F1091))</f>
        <v/>
      </c>
      <c r="P1091" s="7"/>
      <c r="Q1091" s="7"/>
    </row>
    <row r="1092" spans="1:17">
      <c r="A1092" s="105"/>
      <c r="B1092" s="2"/>
      <c r="C1092" s="3"/>
      <c r="D1092" s="3"/>
      <c r="E1092" s="3"/>
      <c r="F1092" s="8"/>
      <c r="G1092" s="215" t="str">
        <f>IF(AND($B1092="",OR(B1092&lt;&gt;"",C1092&lt;&gt;"",D1092&lt;&gt;"",E1092&lt;&gt;"",F1092&lt;&gt;"")),入力リスト!$K$34,IF($I1092=TRUE,入力リスト!$K$35,IF(J1092=FALSE,"「毎月の固定給与額」","")&amp;IF(AND(J1092=FALSE,OR(K1092=FALSE,L1092=FALSE,M1092=FALSE)),",","")&amp;IF(K1092=FALSE,"「賞与額等」","")&amp;IF(AND(K1092=FALSE,OR(L1092=FALSE,M1092=FALSE)),",","")&amp;IF(L1092=FALSE,"「残業手当」","")&amp;IF(AND(L1092=FALSE,M1092=FALSE),",","")&amp;IF(M1092=FALSE,"「残業時間」","")&amp;IF(OR(J1092=FALSE,K1092=FALSE,L1092=FALSE,M1092=FALSE),入力リスト!$K$36,"")&amp;IF(N1092,"",入力リスト!$K$37)))</f>
        <v/>
      </c>
      <c r="H1092" s="215"/>
      <c r="I1092" s="1" t="b">
        <f>IF(B1092="",FALSE,COUNTIF('従業員情報(給与以外)'!$A$4:$A$1000000,$B1092)=0)</f>
        <v>0</v>
      </c>
      <c r="J1092" s="8" t="b">
        <f t="shared" si="80"/>
        <v>1</v>
      </c>
      <c r="K1092" s="8" t="b">
        <f t="shared" si="81"/>
        <v>1</v>
      </c>
      <c r="L1092" s="8" t="b">
        <f t="shared" si="82"/>
        <v>1</v>
      </c>
      <c r="M1092" s="8" t="b">
        <f t="shared" si="83"/>
        <v>1</v>
      </c>
      <c r="N1092" s="1" t="b">
        <f t="shared" si="84"/>
        <v>1</v>
      </c>
      <c r="O1092" s="8" t="str">
        <f>IF(F1092="","",IF($F$2=入力リスト!$H$25,ROUNDDOWN(INT(F1092)+ROUNDDOWN((F1092-INT(F1092))*100,0)/60,2),F1092))</f>
        <v/>
      </c>
      <c r="P1092" s="7"/>
      <c r="Q1092" s="7"/>
    </row>
    <row r="1093" spans="1:17">
      <c r="A1093" s="105"/>
      <c r="B1093" s="2"/>
      <c r="C1093" s="3"/>
      <c r="D1093" s="3"/>
      <c r="E1093" s="3"/>
      <c r="F1093" s="8"/>
      <c r="G1093" s="215" t="str">
        <f>IF(AND($B1093="",OR(B1093&lt;&gt;"",C1093&lt;&gt;"",D1093&lt;&gt;"",E1093&lt;&gt;"",F1093&lt;&gt;"")),入力リスト!$K$34,IF($I1093=TRUE,入力リスト!$K$35,IF(J1093=FALSE,"「毎月の固定給与額」","")&amp;IF(AND(J1093=FALSE,OR(K1093=FALSE,L1093=FALSE,M1093=FALSE)),",","")&amp;IF(K1093=FALSE,"「賞与額等」","")&amp;IF(AND(K1093=FALSE,OR(L1093=FALSE,M1093=FALSE)),",","")&amp;IF(L1093=FALSE,"「残業手当」","")&amp;IF(AND(L1093=FALSE,M1093=FALSE),",","")&amp;IF(M1093=FALSE,"「残業時間」","")&amp;IF(OR(J1093=FALSE,K1093=FALSE,L1093=FALSE,M1093=FALSE),入力リスト!$K$36,"")&amp;IF(N1093,"",入力リスト!$K$37)))</f>
        <v/>
      </c>
      <c r="H1093" s="215"/>
      <c r="I1093" s="1" t="b">
        <f>IF(B1093="",FALSE,COUNTIF('従業員情報(給与以外)'!$A$4:$A$1000000,$B1093)=0)</f>
        <v>0</v>
      </c>
      <c r="J1093" s="8" t="b">
        <f t="shared" ref="J1093:J1156" si="85">OR(C1093="",ISNUMBER(C1093))</f>
        <v>1</v>
      </c>
      <c r="K1093" s="8" t="b">
        <f t="shared" ref="K1093:K1156" si="86">OR(D1093="",ISNUMBER(D1093))</f>
        <v>1</v>
      </c>
      <c r="L1093" s="8" t="b">
        <f t="shared" ref="L1093:L1156" si="87">OR(E1093="",ISNUMBER(E1093))</f>
        <v>1</v>
      </c>
      <c r="M1093" s="8" t="b">
        <f t="shared" ref="M1093:M1156" si="88">OR(F1093="",ISNUMBER(F1093))</f>
        <v>1</v>
      </c>
      <c r="N1093" s="1" t="b">
        <f t="shared" ref="N1093:N1156" si="89">IF($N$1,TRUE,IF($N$2,IF(F1093-INT(F1093)&lt;0.6,TRUE,FALSE),TRUE))</f>
        <v>1</v>
      </c>
      <c r="O1093" s="8" t="str">
        <f>IF(F1093="","",IF($F$2=入力リスト!$H$25,ROUNDDOWN(INT(F1093)+ROUNDDOWN((F1093-INT(F1093))*100,0)/60,2),F1093))</f>
        <v/>
      </c>
      <c r="P1093" s="7"/>
      <c r="Q1093" s="7"/>
    </row>
    <row r="1094" spans="1:17">
      <c r="A1094" s="105"/>
      <c r="B1094" s="2"/>
      <c r="C1094" s="3"/>
      <c r="D1094" s="3"/>
      <c r="E1094" s="3"/>
      <c r="F1094" s="8"/>
      <c r="G1094" s="215" t="str">
        <f>IF(AND($B1094="",OR(B1094&lt;&gt;"",C1094&lt;&gt;"",D1094&lt;&gt;"",E1094&lt;&gt;"",F1094&lt;&gt;"")),入力リスト!$K$34,IF($I1094=TRUE,入力リスト!$K$35,IF(J1094=FALSE,"「毎月の固定給与額」","")&amp;IF(AND(J1094=FALSE,OR(K1094=FALSE,L1094=FALSE,M1094=FALSE)),",","")&amp;IF(K1094=FALSE,"「賞与額等」","")&amp;IF(AND(K1094=FALSE,OR(L1094=FALSE,M1094=FALSE)),",","")&amp;IF(L1094=FALSE,"「残業手当」","")&amp;IF(AND(L1094=FALSE,M1094=FALSE),",","")&amp;IF(M1094=FALSE,"「残業時間」","")&amp;IF(OR(J1094=FALSE,K1094=FALSE,L1094=FALSE,M1094=FALSE),入力リスト!$K$36,"")&amp;IF(N1094,"",入力リスト!$K$37)))</f>
        <v/>
      </c>
      <c r="H1094" s="215"/>
      <c r="I1094" s="1" t="b">
        <f>IF(B1094="",FALSE,COUNTIF('従業員情報(給与以外)'!$A$4:$A$1000000,$B1094)=0)</f>
        <v>0</v>
      </c>
      <c r="J1094" s="8" t="b">
        <f t="shared" si="85"/>
        <v>1</v>
      </c>
      <c r="K1094" s="8" t="b">
        <f t="shared" si="86"/>
        <v>1</v>
      </c>
      <c r="L1094" s="8" t="b">
        <f t="shared" si="87"/>
        <v>1</v>
      </c>
      <c r="M1094" s="8" t="b">
        <f t="shared" si="88"/>
        <v>1</v>
      </c>
      <c r="N1094" s="1" t="b">
        <f t="shared" si="89"/>
        <v>1</v>
      </c>
      <c r="O1094" s="8" t="str">
        <f>IF(F1094="","",IF($F$2=入力リスト!$H$25,ROUNDDOWN(INT(F1094)+ROUNDDOWN((F1094-INT(F1094))*100,0)/60,2),F1094))</f>
        <v/>
      </c>
      <c r="P1094" s="7"/>
      <c r="Q1094" s="7"/>
    </row>
    <row r="1095" spans="1:17">
      <c r="A1095" s="105"/>
      <c r="B1095" s="2"/>
      <c r="C1095" s="3"/>
      <c r="D1095" s="3"/>
      <c r="E1095" s="3"/>
      <c r="F1095" s="8"/>
      <c r="G1095" s="215" t="str">
        <f>IF(AND($B1095="",OR(B1095&lt;&gt;"",C1095&lt;&gt;"",D1095&lt;&gt;"",E1095&lt;&gt;"",F1095&lt;&gt;"")),入力リスト!$K$34,IF($I1095=TRUE,入力リスト!$K$35,IF(J1095=FALSE,"「毎月の固定給与額」","")&amp;IF(AND(J1095=FALSE,OR(K1095=FALSE,L1095=FALSE,M1095=FALSE)),",","")&amp;IF(K1095=FALSE,"「賞与額等」","")&amp;IF(AND(K1095=FALSE,OR(L1095=FALSE,M1095=FALSE)),",","")&amp;IF(L1095=FALSE,"「残業手当」","")&amp;IF(AND(L1095=FALSE,M1095=FALSE),",","")&amp;IF(M1095=FALSE,"「残業時間」","")&amp;IF(OR(J1095=FALSE,K1095=FALSE,L1095=FALSE,M1095=FALSE),入力リスト!$K$36,"")&amp;IF(N1095,"",入力リスト!$K$37)))</f>
        <v/>
      </c>
      <c r="H1095" s="215"/>
      <c r="I1095" s="1" t="b">
        <f>IF(B1095="",FALSE,COUNTIF('従業員情報(給与以外)'!$A$4:$A$1000000,$B1095)=0)</f>
        <v>0</v>
      </c>
      <c r="J1095" s="8" t="b">
        <f t="shared" si="85"/>
        <v>1</v>
      </c>
      <c r="K1095" s="8" t="b">
        <f t="shared" si="86"/>
        <v>1</v>
      </c>
      <c r="L1095" s="8" t="b">
        <f t="shared" si="87"/>
        <v>1</v>
      </c>
      <c r="M1095" s="8" t="b">
        <f t="shared" si="88"/>
        <v>1</v>
      </c>
      <c r="N1095" s="1" t="b">
        <f t="shared" si="89"/>
        <v>1</v>
      </c>
      <c r="O1095" s="8" t="str">
        <f>IF(F1095="","",IF($F$2=入力リスト!$H$25,ROUNDDOWN(INT(F1095)+ROUNDDOWN((F1095-INT(F1095))*100,0)/60,2),F1095))</f>
        <v/>
      </c>
      <c r="P1095" s="7"/>
      <c r="Q1095" s="7"/>
    </row>
    <row r="1096" spans="1:17">
      <c r="A1096" s="105"/>
      <c r="B1096" s="2"/>
      <c r="C1096" s="3"/>
      <c r="D1096" s="3"/>
      <c r="E1096" s="3"/>
      <c r="F1096" s="8"/>
      <c r="G1096" s="215" t="str">
        <f>IF(AND($B1096="",OR(B1096&lt;&gt;"",C1096&lt;&gt;"",D1096&lt;&gt;"",E1096&lt;&gt;"",F1096&lt;&gt;"")),入力リスト!$K$34,IF($I1096=TRUE,入力リスト!$K$35,IF(J1096=FALSE,"「毎月の固定給与額」","")&amp;IF(AND(J1096=FALSE,OR(K1096=FALSE,L1096=FALSE,M1096=FALSE)),",","")&amp;IF(K1096=FALSE,"「賞与額等」","")&amp;IF(AND(K1096=FALSE,OR(L1096=FALSE,M1096=FALSE)),",","")&amp;IF(L1096=FALSE,"「残業手当」","")&amp;IF(AND(L1096=FALSE,M1096=FALSE),",","")&amp;IF(M1096=FALSE,"「残業時間」","")&amp;IF(OR(J1096=FALSE,K1096=FALSE,L1096=FALSE,M1096=FALSE),入力リスト!$K$36,"")&amp;IF(N1096,"",入力リスト!$K$37)))</f>
        <v/>
      </c>
      <c r="H1096" s="215"/>
      <c r="I1096" s="1" t="b">
        <f>IF(B1096="",FALSE,COUNTIF('従業員情報(給与以外)'!$A$4:$A$1000000,$B1096)=0)</f>
        <v>0</v>
      </c>
      <c r="J1096" s="8" t="b">
        <f t="shared" si="85"/>
        <v>1</v>
      </c>
      <c r="K1096" s="8" t="b">
        <f t="shared" si="86"/>
        <v>1</v>
      </c>
      <c r="L1096" s="8" t="b">
        <f t="shared" si="87"/>
        <v>1</v>
      </c>
      <c r="M1096" s="8" t="b">
        <f t="shared" si="88"/>
        <v>1</v>
      </c>
      <c r="N1096" s="1" t="b">
        <f t="shared" si="89"/>
        <v>1</v>
      </c>
      <c r="O1096" s="8" t="str">
        <f>IF(F1096="","",IF($F$2=入力リスト!$H$25,ROUNDDOWN(INT(F1096)+ROUNDDOWN((F1096-INT(F1096))*100,0)/60,2),F1096))</f>
        <v/>
      </c>
      <c r="P1096" s="7"/>
      <c r="Q1096" s="7"/>
    </row>
    <row r="1097" spans="1:17">
      <c r="A1097" s="105"/>
      <c r="B1097" s="2"/>
      <c r="C1097" s="3"/>
      <c r="D1097" s="3"/>
      <c r="E1097" s="3"/>
      <c r="F1097" s="8"/>
      <c r="G1097" s="215" t="str">
        <f>IF(AND($B1097="",OR(B1097&lt;&gt;"",C1097&lt;&gt;"",D1097&lt;&gt;"",E1097&lt;&gt;"",F1097&lt;&gt;"")),入力リスト!$K$34,IF($I1097=TRUE,入力リスト!$K$35,IF(J1097=FALSE,"「毎月の固定給与額」","")&amp;IF(AND(J1097=FALSE,OR(K1097=FALSE,L1097=FALSE,M1097=FALSE)),",","")&amp;IF(K1097=FALSE,"「賞与額等」","")&amp;IF(AND(K1097=FALSE,OR(L1097=FALSE,M1097=FALSE)),",","")&amp;IF(L1097=FALSE,"「残業手当」","")&amp;IF(AND(L1097=FALSE,M1097=FALSE),",","")&amp;IF(M1097=FALSE,"「残業時間」","")&amp;IF(OR(J1097=FALSE,K1097=FALSE,L1097=FALSE,M1097=FALSE),入力リスト!$K$36,"")&amp;IF(N1097,"",入力リスト!$K$37)))</f>
        <v/>
      </c>
      <c r="H1097" s="215"/>
      <c r="I1097" s="1" t="b">
        <f>IF(B1097="",FALSE,COUNTIF('従業員情報(給与以外)'!$A$4:$A$1000000,$B1097)=0)</f>
        <v>0</v>
      </c>
      <c r="J1097" s="8" t="b">
        <f t="shared" si="85"/>
        <v>1</v>
      </c>
      <c r="K1097" s="8" t="b">
        <f t="shared" si="86"/>
        <v>1</v>
      </c>
      <c r="L1097" s="8" t="b">
        <f t="shared" si="87"/>
        <v>1</v>
      </c>
      <c r="M1097" s="8" t="b">
        <f t="shared" si="88"/>
        <v>1</v>
      </c>
      <c r="N1097" s="1" t="b">
        <f t="shared" si="89"/>
        <v>1</v>
      </c>
      <c r="O1097" s="8" t="str">
        <f>IF(F1097="","",IF($F$2=入力リスト!$H$25,ROUNDDOWN(INT(F1097)+ROUNDDOWN((F1097-INT(F1097))*100,0)/60,2),F1097))</f>
        <v/>
      </c>
      <c r="P1097" s="7"/>
      <c r="Q1097" s="7"/>
    </row>
    <row r="1098" spans="1:17">
      <c r="A1098" s="105"/>
      <c r="B1098" s="2"/>
      <c r="C1098" s="3"/>
      <c r="D1098" s="3"/>
      <c r="E1098" s="3"/>
      <c r="F1098" s="8"/>
      <c r="G1098" s="215" t="str">
        <f>IF(AND($B1098="",OR(B1098&lt;&gt;"",C1098&lt;&gt;"",D1098&lt;&gt;"",E1098&lt;&gt;"",F1098&lt;&gt;"")),入力リスト!$K$34,IF($I1098=TRUE,入力リスト!$K$35,IF(J1098=FALSE,"「毎月の固定給与額」","")&amp;IF(AND(J1098=FALSE,OR(K1098=FALSE,L1098=FALSE,M1098=FALSE)),",","")&amp;IF(K1098=FALSE,"「賞与額等」","")&amp;IF(AND(K1098=FALSE,OR(L1098=FALSE,M1098=FALSE)),",","")&amp;IF(L1098=FALSE,"「残業手当」","")&amp;IF(AND(L1098=FALSE,M1098=FALSE),",","")&amp;IF(M1098=FALSE,"「残業時間」","")&amp;IF(OR(J1098=FALSE,K1098=FALSE,L1098=FALSE,M1098=FALSE),入力リスト!$K$36,"")&amp;IF(N1098,"",入力リスト!$K$37)))</f>
        <v/>
      </c>
      <c r="H1098" s="215"/>
      <c r="I1098" s="1" t="b">
        <f>IF(B1098="",FALSE,COUNTIF('従業員情報(給与以外)'!$A$4:$A$1000000,$B1098)=0)</f>
        <v>0</v>
      </c>
      <c r="J1098" s="8" t="b">
        <f t="shared" si="85"/>
        <v>1</v>
      </c>
      <c r="K1098" s="8" t="b">
        <f t="shared" si="86"/>
        <v>1</v>
      </c>
      <c r="L1098" s="8" t="b">
        <f t="shared" si="87"/>
        <v>1</v>
      </c>
      <c r="M1098" s="8" t="b">
        <f t="shared" si="88"/>
        <v>1</v>
      </c>
      <c r="N1098" s="1" t="b">
        <f t="shared" si="89"/>
        <v>1</v>
      </c>
      <c r="O1098" s="8" t="str">
        <f>IF(F1098="","",IF($F$2=入力リスト!$H$25,ROUNDDOWN(INT(F1098)+ROUNDDOWN((F1098-INT(F1098))*100,0)/60,2),F1098))</f>
        <v/>
      </c>
      <c r="P1098" s="7"/>
      <c r="Q1098" s="7"/>
    </row>
    <row r="1099" spans="1:17">
      <c r="A1099" s="105"/>
      <c r="B1099" s="2"/>
      <c r="C1099" s="3"/>
      <c r="D1099" s="3"/>
      <c r="E1099" s="3"/>
      <c r="F1099" s="8"/>
      <c r="G1099" s="215" t="str">
        <f>IF(AND($B1099="",OR(B1099&lt;&gt;"",C1099&lt;&gt;"",D1099&lt;&gt;"",E1099&lt;&gt;"",F1099&lt;&gt;"")),入力リスト!$K$34,IF($I1099=TRUE,入力リスト!$K$35,IF(J1099=FALSE,"「毎月の固定給与額」","")&amp;IF(AND(J1099=FALSE,OR(K1099=FALSE,L1099=FALSE,M1099=FALSE)),",","")&amp;IF(K1099=FALSE,"「賞与額等」","")&amp;IF(AND(K1099=FALSE,OR(L1099=FALSE,M1099=FALSE)),",","")&amp;IF(L1099=FALSE,"「残業手当」","")&amp;IF(AND(L1099=FALSE,M1099=FALSE),",","")&amp;IF(M1099=FALSE,"「残業時間」","")&amp;IF(OR(J1099=FALSE,K1099=FALSE,L1099=FALSE,M1099=FALSE),入力リスト!$K$36,"")&amp;IF(N1099,"",入力リスト!$K$37)))</f>
        <v/>
      </c>
      <c r="H1099" s="215"/>
      <c r="I1099" s="1" t="b">
        <f>IF(B1099="",FALSE,COUNTIF('従業員情報(給与以外)'!$A$4:$A$1000000,$B1099)=0)</f>
        <v>0</v>
      </c>
      <c r="J1099" s="8" t="b">
        <f t="shared" si="85"/>
        <v>1</v>
      </c>
      <c r="K1099" s="8" t="b">
        <f t="shared" si="86"/>
        <v>1</v>
      </c>
      <c r="L1099" s="8" t="b">
        <f t="shared" si="87"/>
        <v>1</v>
      </c>
      <c r="M1099" s="8" t="b">
        <f t="shared" si="88"/>
        <v>1</v>
      </c>
      <c r="N1099" s="1" t="b">
        <f t="shared" si="89"/>
        <v>1</v>
      </c>
      <c r="O1099" s="8" t="str">
        <f>IF(F1099="","",IF($F$2=入力リスト!$H$25,ROUNDDOWN(INT(F1099)+ROUNDDOWN((F1099-INT(F1099))*100,0)/60,2),F1099))</f>
        <v/>
      </c>
      <c r="P1099" s="7"/>
      <c r="Q1099" s="7"/>
    </row>
    <row r="1100" spans="1:17">
      <c r="A1100" s="105"/>
      <c r="B1100" s="2"/>
      <c r="C1100" s="3"/>
      <c r="D1100" s="3"/>
      <c r="E1100" s="3"/>
      <c r="F1100" s="8"/>
      <c r="G1100" s="215" t="str">
        <f>IF(AND($B1100="",OR(B1100&lt;&gt;"",C1100&lt;&gt;"",D1100&lt;&gt;"",E1100&lt;&gt;"",F1100&lt;&gt;"")),入力リスト!$K$34,IF($I1100=TRUE,入力リスト!$K$35,IF(J1100=FALSE,"「毎月の固定給与額」","")&amp;IF(AND(J1100=FALSE,OR(K1100=FALSE,L1100=FALSE,M1100=FALSE)),",","")&amp;IF(K1100=FALSE,"「賞与額等」","")&amp;IF(AND(K1100=FALSE,OR(L1100=FALSE,M1100=FALSE)),",","")&amp;IF(L1100=FALSE,"「残業手当」","")&amp;IF(AND(L1100=FALSE,M1100=FALSE),",","")&amp;IF(M1100=FALSE,"「残業時間」","")&amp;IF(OR(J1100=FALSE,K1100=FALSE,L1100=FALSE,M1100=FALSE),入力リスト!$K$36,"")&amp;IF(N1100,"",入力リスト!$K$37)))</f>
        <v/>
      </c>
      <c r="H1100" s="215"/>
      <c r="I1100" s="1" t="b">
        <f>IF(B1100="",FALSE,COUNTIF('従業員情報(給与以外)'!$A$4:$A$1000000,$B1100)=0)</f>
        <v>0</v>
      </c>
      <c r="J1100" s="8" t="b">
        <f t="shared" si="85"/>
        <v>1</v>
      </c>
      <c r="K1100" s="8" t="b">
        <f t="shared" si="86"/>
        <v>1</v>
      </c>
      <c r="L1100" s="8" t="b">
        <f t="shared" si="87"/>
        <v>1</v>
      </c>
      <c r="M1100" s="8" t="b">
        <f t="shared" si="88"/>
        <v>1</v>
      </c>
      <c r="N1100" s="1" t="b">
        <f t="shared" si="89"/>
        <v>1</v>
      </c>
      <c r="O1100" s="8" t="str">
        <f>IF(F1100="","",IF($F$2=入力リスト!$H$25,ROUNDDOWN(INT(F1100)+ROUNDDOWN((F1100-INT(F1100))*100,0)/60,2),F1100))</f>
        <v/>
      </c>
      <c r="P1100" s="7"/>
      <c r="Q1100" s="7"/>
    </row>
    <row r="1101" spans="1:17">
      <c r="A1101" s="105"/>
      <c r="B1101" s="2"/>
      <c r="C1101" s="3"/>
      <c r="D1101" s="3"/>
      <c r="E1101" s="3"/>
      <c r="F1101" s="8"/>
      <c r="G1101" s="215" t="str">
        <f>IF(AND($B1101="",OR(B1101&lt;&gt;"",C1101&lt;&gt;"",D1101&lt;&gt;"",E1101&lt;&gt;"",F1101&lt;&gt;"")),入力リスト!$K$34,IF($I1101=TRUE,入力リスト!$K$35,IF(J1101=FALSE,"「毎月の固定給与額」","")&amp;IF(AND(J1101=FALSE,OR(K1101=FALSE,L1101=FALSE,M1101=FALSE)),",","")&amp;IF(K1101=FALSE,"「賞与額等」","")&amp;IF(AND(K1101=FALSE,OR(L1101=FALSE,M1101=FALSE)),",","")&amp;IF(L1101=FALSE,"「残業手当」","")&amp;IF(AND(L1101=FALSE,M1101=FALSE),",","")&amp;IF(M1101=FALSE,"「残業時間」","")&amp;IF(OR(J1101=FALSE,K1101=FALSE,L1101=FALSE,M1101=FALSE),入力リスト!$K$36,"")&amp;IF(N1101,"",入力リスト!$K$37)))</f>
        <v/>
      </c>
      <c r="H1101" s="215"/>
      <c r="I1101" s="1" t="b">
        <f>IF(B1101="",FALSE,COUNTIF('従業員情報(給与以外)'!$A$4:$A$1000000,$B1101)=0)</f>
        <v>0</v>
      </c>
      <c r="J1101" s="8" t="b">
        <f t="shared" si="85"/>
        <v>1</v>
      </c>
      <c r="K1101" s="8" t="b">
        <f t="shared" si="86"/>
        <v>1</v>
      </c>
      <c r="L1101" s="8" t="b">
        <f t="shared" si="87"/>
        <v>1</v>
      </c>
      <c r="M1101" s="8" t="b">
        <f t="shared" si="88"/>
        <v>1</v>
      </c>
      <c r="N1101" s="1" t="b">
        <f t="shared" si="89"/>
        <v>1</v>
      </c>
      <c r="O1101" s="8" t="str">
        <f>IF(F1101="","",IF($F$2=入力リスト!$H$25,ROUNDDOWN(INT(F1101)+ROUNDDOWN((F1101-INT(F1101))*100,0)/60,2),F1101))</f>
        <v/>
      </c>
      <c r="P1101" s="7"/>
      <c r="Q1101" s="7"/>
    </row>
    <row r="1102" spans="1:17">
      <c r="A1102" s="105"/>
      <c r="B1102" s="2"/>
      <c r="C1102" s="3"/>
      <c r="D1102" s="3"/>
      <c r="E1102" s="3"/>
      <c r="F1102" s="8"/>
      <c r="G1102" s="215" t="str">
        <f>IF(AND($B1102="",OR(B1102&lt;&gt;"",C1102&lt;&gt;"",D1102&lt;&gt;"",E1102&lt;&gt;"",F1102&lt;&gt;"")),入力リスト!$K$34,IF($I1102=TRUE,入力リスト!$K$35,IF(J1102=FALSE,"「毎月の固定給与額」","")&amp;IF(AND(J1102=FALSE,OR(K1102=FALSE,L1102=FALSE,M1102=FALSE)),",","")&amp;IF(K1102=FALSE,"「賞与額等」","")&amp;IF(AND(K1102=FALSE,OR(L1102=FALSE,M1102=FALSE)),",","")&amp;IF(L1102=FALSE,"「残業手当」","")&amp;IF(AND(L1102=FALSE,M1102=FALSE),",","")&amp;IF(M1102=FALSE,"「残業時間」","")&amp;IF(OR(J1102=FALSE,K1102=FALSE,L1102=FALSE,M1102=FALSE),入力リスト!$K$36,"")&amp;IF(N1102,"",入力リスト!$K$37)))</f>
        <v/>
      </c>
      <c r="H1102" s="215"/>
      <c r="I1102" s="1" t="b">
        <f>IF(B1102="",FALSE,COUNTIF('従業員情報(給与以外)'!$A$4:$A$1000000,$B1102)=0)</f>
        <v>0</v>
      </c>
      <c r="J1102" s="8" t="b">
        <f t="shared" si="85"/>
        <v>1</v>
      </c>
      <c r="K1102" s="8" t="b">
        <f t="shared" si="86"/>
        <v>1</v>
      </c>
      <c r="L1102" s="8" t="b">
        <f t="shared" si="87"/>
        <v>1</v>
      </c>
      <c r="M1102" s="8" t="b">
        <f t="shared" si="88"/>
        <v>1</v>
      </c>
      <c r="N1102" s="1" t="b">
        <f t="shared" si="89"/>
        <v>1</v>
      </c>
      <c r="O1102" s="8" t="str">
        <f>IF(F1102="","",IF($F$2=入力リスト!$H$25,ROUNDDOWN(INT(F1102)+ROUNDDOWN((F1102-INT(F1102))*100,0)/60,2),F1102))</f>
        <v/>
      </c>
      <c r="P1102" s="7"/>
      <c r="Q1102" s="7"/>
    </row>
    <row r="1103" spans="1:17">
      <c r="A1103" s="105"/>
      <c r="B1103" s="2"/>
      <c r="C1103" s="3"/>
      <c r="D1103" s="3"/>
      <c r="E1103" s="3"/>
      <c r="F1103" s="8"/>
      <c r="G1103" s="215" t="str">
        <f>IF(AND($B1103="",OR(B1103&lt;&gt;"",C1103&lt;&gt;"",D1103&lt;&gt;"",E1103&lt;&gt;"",F1103&lt;&gt;"")),入力リスト!$K$34,IF($I1103=TRUE,入力リスト!$K$35,IF(J1103=FALSE,"「毎月の固定給与額」","")&amp;IF(AND(J1103=FALSE,OR(K1103=FALSE,L1103=FALSE,M1103=FALSE)),",","")&amp;IF(K1103=FALSE,"「賞与額等」","")&amp;IF(AND(K1103=FALSE,OR(L1103=FALSE,M1103=FALSE)),",","")&amp;IF(L1103=FALSE,"「残業手当」","")&amp;IF(AND(L1103=FALSE,M1103=FALSE),",","")&amp;IF(M1103=FALSE,"「残業時間」","")&amp;IF(OR(J1103=FALSE,K1103=FALSE,L1103=FALSE,M1103=FALSE),入力リスト!$K$36,"")&amp;IF(N1103,"",入力リスト!$K$37)))</f>
        <v/>
      </c>
      <c r="H1103" s="215"/>
      <c r="I1103" s="1" t="b">
        <f>IF(B1103="",FALSE,COUNTIF('従業員情報(給与以外)'!$A$4:$A$1000000,$B1103)=0)</f>
        <v>0</v>
      </c>
      <c r="J1103" s="8" t="b">
        <f t="shared" si="85"/>
        <v>1</v>
      </c>
      <c r="K1103" s="8" t="b">
        <f t="shared" si="86"/>
        <v>1</v>
      </c>
      <c r="L1103" s="8" t="b">
        <f t="shared" si="87"/>
        <v>1</v>
      </c>
      <c r="M1103" s="8" t="b">
        <f t="shared" si="88"/>
        <v>1</v>
      </c>
      <c r="N1103" s="1" t="b">
        <f t="shared" si="89"/>
        <v>1</v>
      </c>
      <c r="O1103" s="8" t="str">
        <f>IF(F1103="","",IF($F$2=入力リスト!$H$25,ROUNDDOWN(INT(F1103)+ROUNDDOWN((F1103-INT(F1103))*100,0)/60,2),F1103))</f>
        <v/>
      </c>
      <c r="P1103" s="7"/>
      <c r="Q1103" s="7"/>
    </row>
    <row r="1104" spans="1:17">
      <c r="A1104" s="105"/>
      <c r="B1104" s="2"/>
      <c r="C1104" s="3"/>
      <c r="D1104" s="3"/>
      <c r="E1104" s="3"/>
      <c r="F1104" s="8"/>
      <c r="G1104" s="215" t="str">
        <f>IF(AND($B1104="",OR(B1104&lt;&gt;"",C1104&lt;&gt;"",D1104&lt;&gt;"",E1104&lt;&gt;"",F1104&lt;&gt;"")),入力リスト!$K$34,IF($I1104=TRUE,入力リスト!$K$35,IF(J1104=FALSE,"「毎月の固定給与額」","")&amp;IF(AND(J1104=FALSE,OR(K1104=FALSE,L1104=FALSE,M1104=FALSE)),",","")&amp;IF(K1104=FALSE,"「賞与額等」","")&amp;IF(AND(K1104=FALSE,OR(L1104=FALSE,M1104=FALSE)),",","")&amp;IF(L1104=FALSE,"「残業手当」","")&amp;IF(AND(L1104=FALSE,M1104=FALSE),",","")&amp;IF(M1104=FALSE,"「残業時間」","")&amp;IF(OR(J1104=FALSE,K1104=FALSE,L1104=FALSE,M1104=FALSE),入力リスト!$K$36,"")&amp;IF(N1104,"",入力リスト!$K$37)))</f>
        <v/>
      </c>
      <c r="H1104" s="215"/>
      <c r="I1104" s="1" t="b">
        <f>IF(B1104="",FALSE,COUNTIF('従業員情報(給与以外)'!$A$4:$A$1000000,$B1104)=0)</f>
        <v>0</v>
      </c>
      <c r="J1104" s="8" t="b">
        <f t="shared" si="85"/>
        <v>1</v>
      </c>
      <c r="K1104" s="8" t="b">
        <f t="shared" si="86"/>
        <v>1</v>
      </c>
      <c r="L1104" s="8" t="b">
        <f t="shared" si="87"/>
        <v>1</v>
      </c>
      <c r="M1104" s="8" t="b">
        <f t="shared" si="88"/>
        <v>1</v>
      </c>
      <c r="N1104" s="1" t="b">
        <f t="shared" si="89"/>
        <v>1</v>
      </c>
      <c r="O1104" s="8" t="str">
        <f>IF(F1104="","",IF($F$2=入力リスト!$H$25,ROUNDDOWN(INT(F1104)+ROUNDDOWN((F1104-INT(F1104))*100,0)/60,2),F1104))</f>
        <v/>
      </c>
      <c r="P1104" s="7"/>
      <c r="Q1104" s="7"/>
    </row>
    <row r="1105" spans="1:17">
      <c r="A1105" s="105"/>
      <c r="B1105" s="2"/>
      <c r="C1105" s="3"/>
      <c r="D1105" s="3"/>
      <c r="E1105" s="3"/>
      <c r="F1105" s="8"/>
      <c r="G1105" s="215" t="str">
        <f>IF(AND($B1105="",OR(B1105&lt;&gt;"",C1105&lt;&gt;"",D1105&lt;&gt;"",E1105&lt;&gt;"",F1105&lt;&gt;"")),入力リスト!$K$34,IF($I1105=TRUE,入力リスト!$K$35,IF(J1105=FALSE,"「毎月の固定給与額」","")&amp;IF(AND(J1105=FALSE,OR(K1105=FALSE,L1105=FALSE,M1105=FALSE)),",","")&amp;IF(K1105=FALSE,"「賞与額等」","")&amp;IF(AND(K1105=FALSE,OR(L1105=FALSE,M1105=FALSE)),",","")&amp;IF(L1105=FALSE,"「残業手当」","")&amp;IF(AND(L1105=FALSE,M1105=FALSE),",","")&amp;IF(M1105=FALSE,"「残業時間」","")&amp;IF(OR(J1105=FALSE,K1105=FALSE,L1105=FALSE,M1105=FALSE),入力リスト!$K$36,"")&amp;IF(N1105,"",入力リスト!$K$37)))</f>
        <v/>
      </c>
      <c r="H1105" s="215"/>
      <c r="I1105" s="1" t="b">
        <f>IF(B1105="",FALSE,COUNTIF('従業員情報(給与以外)'!$A$4:$A$1000000,$B1105)=0)</f>
        <v>0</v>
      </c>
      <c r="J1105" s="8" t="b">
        <f t="shared" si="85"/>
        <v>1</v>
      </c>
      <c r="K1105" s="8" t="b">
        <f t="shared" si="86"/>
        <v>1</v>
      </c>
      <c r="L1105" s="8" t="b">
        <f t="shared" si="87"/>
        <v>1</v>
      </c>
      <c r="M1105" s="8" t="b">
        <f t="shared" si="88"/>
        <v>1</v>
      </c>
      <c r="N1105" s="1" t="b">
        <f t="shared" si="89"/>
        <v>1</v>
      </c>
      <c r="O1105" s="8" t="str">
        <f>IF(F1105="","",IF($F$2=入力リスト!$H$25,ROUNDDOWN(INT(F1105)+ROUNDDOWN((F1105-INT(F1105))*100,0)/60,2),F1105))</f>
        <v/>
      </c>
      <c r="P1105" s="7"/>
      <c r="Q1105" s="7"/>
    </row>
    <row r="1106" spans="1:17">
      <c r="A1106" s="105"/>
      <c r="B1106" s="2"/>
      <c r="C1106" s="3"/>
      <c r="D1106" s="3"/>
      <c r="E1106" s="3"/>
      <c r="F1106" s="8"/>
      <c r="G1106" s="215" t="str">
        <f>IF(AND($B1106="",OR(B1106&lt;&gt;"",C1106&lt;&gt;"",D1106&lt;&gt;"",E1106&lt;&gt;"",F1106&lt;&gt;"")),入力リスト!$K$34,IF($I1106=TRUE,入力リスト!$K$35,IF(J1106=FALSE,"「毎月の固定給与額」","")&amp;IF(AND(J1106=FALSE,OR(K1106=FALSE,L1106=FALSE,M1106=FALSE)),",","")&amp;IF(K1106=FALSE,"「賞与額等」","")&amp;IF(AND(K1106=FALSE,OR(L1106=FALSE,M1106=FALSE)),",","")&amp;IF(L1106=FALSE,"「残業手当」","")&amp;IF(AND(L1106=FALSE,M1106=FALSE),",","")&amp;IF(M1106=FALSE,"「残業時間」","")&amp;IF(OR(J1106=FALSE,K1106=FALSE,L1106=FALSE,M1106=FALSE),入力リスト!$K$36,"")&amp;IF(N1106,"",入力リスト!$K$37)))</f>
        <v/>
      </c>
      <c r="H1106" s="215"/>
      <c r="I1106" s="1" t="b">
        <f>IF(B1106="",FALSE,COUNTIF('従業員情報(給与以外)'!$A$4:$A$1000000,$B1106)=0)</f>
        <v>0</v>
      </c>
      <c r="J1106" s="8" t="b">
        <f t="shared" si="85"/>
        <v>1</v>
      </c>
      <c r="K1106" s="8" t="b">
        <f t="shared" si="86"/>
        <v>1</v>
      </c>
      <c r="L1106" s="8" t="b">
        <f t="shared" si="87"/>
        <v>1</v>
      </c>
      <c r="M1106" s="8" t="b">
        <f t="shared" si="88"/>
        <v>1</v>
      </c>
      <c r="N1106" s="1" t="b">
        <f t="shared" si="89"/>
        <v>1</v>
      </c>
      <c r="O1106" s="8" t="str">
        <f>IF(F1106="","",IF($F$2=入力リスト!$H$25,ROUNDDOWN(INT(F1106)+ROUNDDOWN((F1106-INT(F1106))*100,0)/60,2),F1106))</f>
        <v/>
      </c>
      <c r="P1106" s="7"/>
      <c r="Q1106" s="7"/>
    </row>
    <row r="1107" spans="1:17">
      <c r="A1107" s="105"/>
      <c r="B1107" s="2"/>
      <c r="C1107" s="3"/>
      <c r="D1107" s="3"/>
      <c r="E1107" s="3"/>
      <c r="F1107" s="8"/>
      <c r="G1107" s="215" t="str">
        <f>IF(AND($B1107="",OR(B1107&lt;&gt;"",C1107&lt;&gt;"",D1107&lt;&gt;"",E1107&lt;&gt;"",F1107&lt;&gt;"")),入力リスト!$K$34,IF($I1107=TRUE,入力リスト!$K$35,IF(J1107=FALSE,"「毎月の固定給与額」","")&amp;IF(AND(J1107=FALSE,OR(K1107=FALSE,L1107=FALSE,M1107=FALSE)),",","")&amp;IF(K1107=FALSE,"「賞与額等」","")&amp;IF(AND(K1107=FALSE,OR(L1107=FALSE,M1107=FALSE)),",","")&amp;IF(L1107=FALSE,"「残業手当」","")&amp;IF(AND(L1107=FALSE,M1107=FALSE),",","")&amp;IF(M1107=FALSE,"「残業時間」","")&amp;IF(OR(J1107=FALSE,K1107=FALSE,L1107=FALSE,M1107=FALSE),入力リスト!$K$36,"")&amp;IF(N1107,"",入力リスト!$K$37)))</f>
        <v/>
      </c>
      <c r="H1107" s="215"/>
      <c r="I1107" s="1" t="b">
        <f>IF(B1107="",FALSE,COUNTIF('従業員情報(給与以外)'!$A$4:$A$1000000,$B1107)=0)</f>
        <v>0</v>
      </c>
      <c r="J1107" s="8" t="b">
        <f t="shared" si="85"/>
        <v>1</v>
      </c>
      <c r="K1107" s="8" t="b">
        <f t="shared" si="86"/>
        <v>1</v>
      </c>
      <c r="L1107" s="8" t="b">
        <f t="shared" si="87"/>
        <v>1</v>
      </c>
      <c r="M1107" s="8" t="b">
        <f t="shared" si="88"/>
        <v>1</v>
      </c>
      <c r="N1107" s="1" t="b">
        <f t="shared" si="89"/>
        <v>1</v>
      </c>
      <c r="O1107" s="8" t="str">
        <f>IF(F1107="","",IF($F$2=入力リスト!$H$25,ROUNDDOWN(INT(F1107)+ROUNDDOWN((F1107-INT(F1107))*100,0)/60,2),F1107))</f>
        <v/>
      </c>
      <c r="P1107" s="7"/>
      <c r="Q1107" s="7"/>
    </row>
    <row r="1108" spans="1:17">
      <c r="A1108" s="105"/>
      <c r="B1108" s="2"/>
      <c r="C1108" s="3"/>
      <c r="D1108" s="3"/>
      <c r="E1108" s="3"/>
      <c r="F1108" s="8"/>
      <c r="G1108" s="215" t="str">
        <f>IF(AND($B1108="",OR(B1108&lt;&gt;"",C1108&lt;&gt;"",D1108&lt;&gt;"",E1108&lt;&gt;"",F1108&lt;&gt;"")),入力リスト!$K$34,IF($I1108=TRUE,入力リスト!$K$35,IF(J1108=FALSE,"「毎月の固定給与額」","")&amp;IF(AND(J1108=FALSE,OR(K1108=FALSE,L1108=FALSE,M1108=FALSE)),",","")&amp;IF(K1108=FALSE,"「賞与額等」","")&amp;IF(AND(K1108=FALSE,OR(L1108=FALSE,M1108=FALSE)),",","")&amp;IF(L1108=FALSE,"「残業手当」","")&amp;IF(AND(L1108=FALSE,M1108=FALSE),",","")&amp;IF(M1108=FALSE,"「残業時間」","")&amp;IF(OR(J1108=FALSE,K1108=FALSE,L1108=FALSE,M1108=FALSE),入力リスト!$K$36,"")&amp;IF(N1108,"",入力リスト!$K$37)))</f>
        <v/>
      </c>
      <c r="H1108" s="215"/>
      <c r="I1108" s="1" t="b">
        <f>IF(B1108="",FALSE,COUNTIF('従業員情報(給与以外)'!$A$4:$A$1000000,$B1108)=0)</f>
        <v>0</v>
      </c>
      <c r="J1108" s="8" t="b">
        <f t="shared" si="85"/>
        <v>1</v>
      </c>
      <c r="K1108" s="8" t="b">
        <f t="shared" si="86"/>
        <v>1</v>
      </c>
      <c r="L1108" s="8" t="b">
        <f t="shared" si="87"/>
        <v>1</v>
      </c>
      <c r="M1108" s="8" t="b">
        <f t="shared" si="88"/>
        <v>1</v>
      </c>
      <c r="N1108" s="1" t="b">
        <f t="shared" si="89"/>
        <v>1</v>
      </c>
      <c r="O1108" s="8" t="str">
        <f>IF(F1108="","",IF($F$2=入力リスト!$H$25,ROUNDDOWN(INT(F1108)+ROUNDDOWN((F1108-INT(F1108))*100,0)/60,2),F1108))</f>
        <v/>
      </c>
      <c r="P1108" s="7"/>
      <c r="Q1108" s="7"/>
    </row>
    <row r="1109" spans="1:17">
      <c r="A1109" s="105"/>
      <c r="B1109" s="2"/>
      <c r="C1109" s="3"/>
      <c r="D1109" s="3"/>
      <c r="E1109" s="3"/>
      <c r="F1109" s="8"/>
      <c r="G1109" s="215" t="str">
        <f>IF(AND($B1109="",OR(B1109&lt;&gt;"",C1109&lt;&gt;"",D1109&lt;&gt;"",E1109&lt;&gt;"",F1109&lt;&gt;"")),入力リスト!$K$34,IF($I1109=TRUE,入力リスト!$K$35,IF(J1109=FALSE,"「毎月の固定給与額」","")&amp;IF(AND(J1109=FALSE,OR(K1109=FALSE,L1109=FALSE,M1109=FALSE)),",","")&amp;IF(K1109=FALSE,"「賞与額等」","")&amp;IF(AND(K1109=FALSE,OR(L1109=FALSE,M1109=FALSE)),",","")&amp;IF(L1109=FALSE,"「残業手当」","")&amp;IF(AND(L1109=FALSE,M1109=FALSE),",","")&amp;IF(M1109=FALSE,"「残業時間」","")&amp;IF(OR(J1109=FALSE,K1109=FALSE,L1109=FALSE,M1109=FALSE),入力リスト!$K$36,"")&amp;IF(N1109,"",入力リスト!$K$37)))</f>
        <v/>
      </c>
      <c r="H1109" s="215"/>
      <c r="I1109" s="1" t="b">
        <f>IF(B1109="",FALSE,COUNTIF('従業員情報(給与以外)'!$A$4:$A$1000000,$B1109)=0)</f>
        <v>0</v>
      </c>
      <c r="J1109" s="8" t="b">
        <f t="shared" si="85"/>
        <v>1</v>
      </c>
      <c r="K1109" s="8" t="b">
        <f t="shared" si="86"/>
        <v>1</v>
      </c>
      <c r="L1109" s="8" t="b">
        <f t="shared" si="87"/>
        <v>1</v>
      </c>
      <c r="M1109" s="8" t="b">
        <f t="shared" si="88"/>
        <v>1</v>
      </c>
      <c r="N1109" s="1" t="b">
        <f t="shared" si="89"/>
        <v>1</v>
      </c>
      <c r="O1109" s="8" t="str">
        <f>IF(F1109="","",IF($F$2=入力リスト!$H$25,ROUNDDOWN(INT(F1109)+ROUNDDOWN((F1109-INT(F1109))*100,0)/60,2),F1109))</f>
        <v/>
      </c>
      <c r="P1109" s="7"/>
      <c r="Q1109" s="7"/>
    </row>
    <row r="1110" spans="1:17">
      <c r="A1110" s="105"/>
      <c r="B1110" s="2"/>
      <c r="C1110" s="3"/>
      <c r="D1110" s="3"/>
      <c r="E1110" s="3"/>
      <c r="F1110" s="8"/>
      <c r="G1110" s="215" t="str">
        <f>IF(AND($B1110="",OR(B1110&lt;&gt;"",C1110&lt;&gt;"",D1110&lt;&gt;"",E1110&lt;&gt;"",F1110&lt;&gt;"")),入力リスト!$K$34,IF($I1110=TRUE,入力リスト!$K$35,IF(J1110=FALSE,"「毎月の固定給与額」","")&amp;IF(AND(J1110=FALSE,OR(K1110=FALSE,L1110=FALSE,M1110=FALSE)),",","")&amp;IF(K1110=FALSE,"「賞与額等」","")&amp;IF(AND(K1110=FALSE,OR(L1110=FALSE,M1110=FALSE)),",","")&amp;IF(L1110=FALSE,"「残業手当」","")&amp;IF(AND(L1110=FALSE,M1110=FALSE),",","")&amp;IF(M1110=FALSE,"「残業時間」","")&amp;IF(OR(J1110=FALSE,K1110=FALSE,L1110=FALSE,M1110=FALSE),入力リスト!$K$36,"")&amp;IF(N1110,"",入力リスト!$K$37)))</f>
        <v/>
      </c>
      <c r="H1110" s="215"/>
      <c r="I1110" s="1" t="b">
        <f>IF(B1110="",FALSE,COUNTIF('従業員情報(給与以外)'!$A$4:$A$1000000,$B1110)=0)</f>
        <v>0</v>
      </c>
      <c r="J1110" s="8" t="b">
        <f t="shared" si="85"/>
        <v>1</v>
      </c>
      <c r="K1110" s="8" t="b">
        <f t="shared" si="86"/>
        <v>1</v>
      </c>
      <c r="L1110" s="8" t="b">
        <f t="shared" si="87"/>
        <v>1</v>
      </c>
      <c r="M1110" s="8" t="b">
        <f t="shared" si="88"/>
        <v>1</v>
      </c>
      <c r="N1110" s="1" t="b">
        <f t="shared" si="89"/>
        <v>1</v>
      </c>
      <c r="O1110" s="8" t="str">
        <f>IF(F1110="","",IF($F$2=入力リスト!$H$25,ROUNDDOWN(INT(F1110)+ROUNDDOWN((F1110-INT(F1110))*100,0)/60,2),F1110))</f>
        <v/>
      </c>
      <c r="P1110" s="7"/>
      <c r="Q1110" s="7"/>
    </row>
    <row r="1111" spans="1:17">
      <c r="A1111" s="105"/>
      <c r="B1111" s="2"/>
      <c r="C1111" s="3"/>
      <c r="D1111" s="3"/>
      <c r="E1111" s="3"/>
      <c r="F1111" s="8"/>
      <c r="G1111" s="215" t="str">
        <f>IF(AND($B1111="",OR(B1111&lt;&gt;"",C1111&lt;&gt;"",D1111&lt;&gt;"",E1111&lt;&gt;"",F1111&lt;&gt;"")),入力リスト!$K$34,IF($I1111=TRUE,入力リスト!$K$35,IF(J1111=FALSE,"「毎月の固定給与額」","")&amp;IF(AND(J1111=FALSE,OR(K1111=FALSE,L1111=FALSE,M1111=FALSE)),",","")&amp;IF(K1111=FALSE,"「賞与額等」","")&amp;IF(AND(K1111=FALSE,OR(L1111=FALSE,M1111=FALSE)),",","")&amp;IF(L1111=FALSE,"「残業手当」","")&amp;IF(AND(L1111=FALSE,M1111=FALSE),",","")&amp;IF(M1111=FALSE,"「残業時間」","")&amp;IF(OR(J1111=FALSE,K1111=FALSE,L1111=FALSE,M1111=FALSE),入力リスト!$K$36,"")&amp;IF(N1111,"",入力リスト!$K$37)))</f>
        <v/>
      </c>
      <c r="H1111" s="215"/>
      <c r="I1111" s="1" t="b">
        <f>IF(B1111="",FALSE,COUNTIF('従業員情報(給与以外)'!$A$4:$A$1000000,$B1111)=0)</f>
        <v>0</v>
      </c>
      <c r="J1111" s="8" t="b">
        <f t="shared" si="85"/>
        <v>1</v>
      </c>
      <c r="K1111" s="8" t="b">
        <f t="shared" si="86"/>
        <v>1</v>
      </c>
      <c r="L1111" s="8" t="b">
        <f t="shared" si="87"/>
        <v>1</v>
      </c>
      <c r="M1111" s="8" t="b">
        <f t="shared" si="88"/>
        <v>1</v>
      </c>
      <c r="N1111" s="1" t="b">
        <f t="shared" si="89"/>
        <v>1</v>
      </c>
      <c r="O1111" s="8" t="str">
        <f>IF(F1111="","",IF($F$2=入力リスト!$H$25,ROUNDDOWN(INT(F1111)+ROUNDDOWN((F1111-INT(F1111))*100,0)/60,2),F1111))</f>
        <v/>
      </c>
      <c r="P1111" s="7"/>
      <c r="Q1111" s="7"/>
    </row>
    <row r="1112" spans="1:17">
      <c r="A1112" s="105"/>
      <c r="B1112" s="2"/>
      <c r="C1112" s="3"/>
      <c r="D1112" s="3"/>
      <c r="E1112" s="3"/>
      <c r="F1112" s="8"/>
      <c r="G1112" s="215" t="str">
        <f>IF(AND($B1112="",OR(B1112&lt;&gt;"",C1112&lt;&gt;"",D1112&lt;&gt;"",E1112&lt;&gt;"",F1112&lt;&gt;"")),入力リスト!$K$34,IF($I1112=TRUE,入力リスト!$K$35,IF(J1112=FALSE,"「毎月の固定給与額」","")&amp;IF(AND(J1112=FALSE,OR(K1112=FALSE,L1112=FALSE,M1112=FALSE)),",","")&amp;IF(K1112=FALSE,"「賞与額等」","")&amp;IF(AND(K1112=FALSE,OR(L1112=FALSE,M1112=FALSE)),",","")&amp;IF(L1112=FALSE,"「残業手当」","")&amp;IF(AND(L1112=FALSE,M1112=FALSE),",","")&amp;IF(M1112=FALSE,"「残業時間」","")&amp;IF(OR(J1112=FALSE,K1112=FALSE,L1112=FALSE,M1112=FALSE),入力リスト!$K$36,"")&amp;IF(N1112,"",入力リスト!$K$37)))</f>
        <v/>
      </c>
      <c r="H1112" s="215"/>
      <c r="I1112" s="1" t="b">
        <f>IF(B1112="",FALSE,COUNTIF('従業員情報(給与以外)'!$A$4:$A$1000000,$B1112)=0)</f>
        <v>0</v>
      </c>
      <c r="J1112" s="8" t="b">
        <f t="shared" si="85"/>
        <v>1</v>
      </c>
      <c r="K1112" s="8" t="b">
        <f t="shared" si="86"/>
        <v>1</v>
      </c>
      <c r="L1112" s="8" t="b">
        <f t="shared" si="87"/>
        <v>1</v>
      </c>
      <c r="M1112" s="8" t="b">
        <f t="shared" si="88"/>
        <v>1</v>
      </c>
      <c r="N1112" s="1" t="b">
        <f t="shared" si="89"/>
        <v>1</v>
      </c>
      <c r="O1112" s="8" t="str">
        <f>IF(F1112="","",IF($F$2=入力リスト!$H$25,ROUNDDOWN(INT(F1112)+ROUNDDOWN((F1112-INT(F1112))*100,0)/60,2),F1112))</f>
        <v/>
      </c>
      <c r="P1112" s="7"/>
      <c r="Q1112" s="7"/>
    </row>
    <row r="1113" spans="1:17">
      <c r="A1113" s="105"/>
      <c r="B1113" s="2"/>
      <c r="C1113" s="3"/>
      <c r="D1113" s="3"/>
      <c r="E1113" s="3"/>
      <c r="F1113" s="8"/>
      <c r="G1113" s="215" t="str">
        <f>IF(AND($B1113="",OR(B1113&lt;&gt;"",C1113&lt;&gt;"",D1113&lt;&gt;"",E1113&lt;&gt;"",F1113&lt;&gt;"")),入力リスト!$K$34,IF($I1113=TRUE,入力リスト!$K$35,IF(J1113=FALSE,"「毎月の固定給与額」","")&amp;IF(AND(J1113=FALSE,OR(K1113=FALSE,L1113=FALSE,M1113=FALSE)),",","")&amp;IF(K1113=FALSE,"「賞与額等」","")&amp;IF(AND(K1113=FALSE,OR(L1113=FALSE,M1113=FALSE)),",","")&amp;IF(L1113=FALSE,"「残業手当」","")&amp;IF(AND(L1113=FALSE,M1113=FALSE),",","")&amp;IF(M1113=FALSE,"「残業時間」","")&amp;IF(OR(J1113=FALSE,K1113=FALSE,L1113=FALSE,M1113=FALSE),入力リスト!$K$36,"")&amp;IF(N1113,"",入力リスト!$K$37)))</f>
        <v/>
      </c>
      <c r="H1113" s="215"/>
      <c r="I1113" s="1" t="b">
        <f>IF(B1113="",FALSE,COUNTIF('従業員情報(給与以外)'!$A$4:$A$1000000,$B1113)=0)</f>
        <v>0</v>
      </c>
      <c r="J1113" s="8" t="b">
        <f t="shared" si="85"/>
        <v>1</v>
      </c>
      <c r="K1113" s="8" t="b">
        <f t="shared" si="86"/>
        <v>1</v>
      </c>
      <c r="L1113" s="8" t="b">
        <f t="shared" si="87"/>
        <v>1</v>
      </c>
      <c r="M1113" s="8" t="b">
        <f t="shared" si="88"/>
        <v>1</v>
      </c>
      <c r="N1113" s="1" t="b">
        <f t="shared" si="89"/>
        <v>1</v>
      </c>
      <c r="O1113" s="8" t="str">
        <f>IF(F1113="","",IF($F$2=入力リスト!$H$25,ROUNDDOWN(INT(F1113)+ROUNDDOWN((F1113-INT(F1113))*100,0)/60,2),F1113))</f>
        <v/>
      </c>
      <c r="P1113" s="7"/>
      <c r="Q1113" s="7"/>
    </row>
    <row r="1114" spans="1:17">
      <c r="A1114" s="105"/>
      <c r="B1114" s="2"/>
      <c r="C1114" s="3"/>
      <c r="D1114" s="3"/>
      <c r="E1114" s="3"/>
      <c r="F1114" s="8"/>
      <c r="G1114" s="215" t="str">
        <f>IF(AND($B1114="",OR(B1114&lt;&gt;"",C1114&lt;&gt;"",D1114&lt;&gt;"",E1114&lt;&gt;"",F1114&lt;&gt;"")),入力リスト!$K$34,IF($I1114=TRUE,入力リスト!$K$35,IF(J1114=FALSE,"「毎月の固定給与額」","")&amp;IF(AND(J1114=FALSE,OR(K1114=FALSE,L1114=FALSE,M1114=FALSE)),",","")&amp;IF(K1114=FALSE,"「賞与額等」","")&amp;IF(AND(K1114=FALSE,OR(L1114=FALSE,M1114=FALSE)),",","")&amp;IF(L1114=FALSE,"「残業手当」","")&amp;IF(AND(L1114=FALSE,M1114=FALSE),",","")&amp;IF(M1114=FALSE,"「残業時間」","")&amp;IF(OR(J1114=FALSE,K1114=FALSE,L1114=FALSE,M1114=FALSE),入力リスト!$K$36,"")&amp;IF(N1114,"",入力リスト!$K$37)))</f>
        <v/>
      </c>
      <c r="H1114" s="215"/>
      <c r="I1114" s="1" t="b">
        <f>IF(B1114="",FALSE,COUNTIF('従業員情報(給与以外)'!$A$4:$A$1000000,$B1114)=0)</f>
        <v>0</v>
      </c>
      <c r="J1114" s="8" t="b">
        <f t="shared" si="85"/>
        <v>1</v>
      </c>
      <c r="K1114" s="8" t="b">
        <f t="shared" si="86"/>
        <v>1</v>
      </c>
      <c r="L1114" s="8" t="b">
        <f t="shared" si="87"/>
        <v>1</v>
      </c>
      <c r="M1114" s="8" t="b">
        <f t="shared" si="88"/>
        <v>1</v>
      </c>
      <c r="N1114" s="1" t="b">
        <f t="shared" si="89"/>
        <v>1</v>
      </c>
      <c r="O1114" s="8" t="str">
        <f>IF(F1114="","",IF($F$2=入力リスト!$H$25,ROUNDDOWN(INT(F1114)+ROUNDDOWN((F1114-INT(F1114))*100,0)/60,2),F1114))</f>
        <v/>
      </c>
      <c r="P1114" s="7"/>
      <c r="Q1114" s="7"/>
    </row>
    <row r="1115" spans="1:17">
      <c r="A1115" s="105"/>
      <c r="B1115" s="2"/>
      <c r="C1115" s="3"/>
      <c r="D1115" s="3"/>
      <c r="E1115" s="3"/>
      <c r="F1115" s="8"/>
      <c r="G1115" s="215" t="str">
        <f>IF(AND($B1115="",OR(B1115&lt;&gt;"",C1115&lt;&gt;"",D1115&lt;&gt;"",E1115&lt;&gt;"",F1115&lt;&gt;"")),入力リスト!$K$34,IF($I1115=TRUE,入力リスト!$K$35,IF(J1115=FALSE,"「毎月の固定給与額」","")&amp;IF(AND(J1115=FALSE,OR(K1115=FALSE,L1115=FALSE,M1115=FALSE)),",","")&amp;IF(K1115=FALSE,"「賞与額等」","")&amp;IF(AND(K1115=FALSE,OR(L1115=FALSE,M1115=FALSE)),",","")&amp;IF(L1115=FALSE,"「残業手当」","")&amp;IF(AND(L1115=FALSE,M1115=FALSE),",","")&amp;IF(M1115=FALSE,"「残業時間」","")&amp;IF(OR(J1115=FALSE,K1115=FALSE,L1115=FALSE,M1115=FALSE),入力リスト!$K$36,"")&amp;IF(N1115,"",入力リスト!$K$37)))</f>
        <v/>
      </c>
      <c r="H1115" s="215"/>
      <c r="I1115" s="1" t="b">
        <f>IF(B1115="",FALSE,COUNTIF('従業員情報(給与以外)'!$A$4:$A$1000000,$B1115)=0)</f>
        <v>0</v>
      </c>
      <c r="J1115" s="8" t="b">
        <f t="shared" si="85"/>
        <v>1</v>
      </c>
      <c r="K1115" s="8" t="b">
        <f t="shared" si="86"/>
        <v>1</v>
      </c>
      <c r="L1115" s="8" t="b">
        <f t="shared" si="87"/>
        <v>1</v>
      </c>
      <c r="M1115" s="8" t="b">
        <f t="shared" si="88"/>
        <v>1</v>
      </c>
      <c r="N1115" s="1" t="b">
        <f t="shared" si="89"/>
        <v>1</v>
      </c>
      <c r="O1115" s="8" t="str">
        <f>IF(F1115="","",IF($F$2=入力リスト!$H$25,ROUNDDOWN(INT(F1115)+ROUNDDOWN((F1115-INT(F1115))*100,0)/60,2),F1115))</f>
        <v/>
      </c>
      <c r="P1115" s="7"/>
      <c r="Q1115" s="7"/>
    </row>
    <row r="1116" spans="1:17">
      <c r="A1116" s="105"/>
      <c r="B1116" s="2"/>
      <c r="C1116" s="3"/>
      <c r="D1116" s="3"/>
      <c r="E1116" s="3"/>
      <c r="F1116" s="8"/>
      <c r="G1116" s="215" t="str">
        <f>IF(AND($B1116="",OR(B1116&lt;&gt;"",C1116&lt;&gt;"",D1116&lt;&gt;"",E1116&lt;&gt;"",F1116&lt;&gt;"")),入力リスト!$K$34,IF($I1116=TRUE,入力リスト!$K$35,IF(J1116=FALSE,"「毎月の固定給与額」","")&amp;IF(AND(J1116=FALSE,OR(K1116=FALSE,L1116=FALSE,M1116=FALSE)),",","")&amp;IF(K1116=FALSE,"「賞与額等」","")&amp;IF(AND(K1116=FALSE,OR(L1116=FALSE,M1116=FALSE)),",","")&amp;IF(L1116=FALSE,"「残業手当」","")&amp;IF(AND(L1116=FALSE,M1116=FALSE),",","")&amp;IF(M1116=FALSE,"「残業時間」","")&amp;IF(OR(J1116=FALSE,K1116=FALSE,L1116=FALSE,M1116=FALSE),入力リスト!$K$36,"")&amp;IF(N1116,"",入力リスト!$K$37)))</f>
        <v/>
      </c>
      <c r="H1116" s="215"/>
      <c r="I1116" s="1" t="b">
        <f>IF(B1116="",FALSE,COUNTIF('従業員情報(給与以外)'!$A$4:$A$1000000,$B1116)=0)</f>
        <v>0</v>
      </c>
      <c r="J1116" s="8" t="b">
        <f t="shared" si="85"/>
        <v>1</v>
      </c>
      <c r="K1116" s="8" t="b">
        <f t="shared" si="86"/>
        <v>1</v>
      </c>
      <c r="L1116" s="8" t="b">
        <f t="shared" si="87"/>
        <v>1</v>
      </c>
      <c r="M1116" s="8" t="b">
        <f t="shared" si="88"/>
        <v>1</v>
      </c>
      <c r="N1116" s="1" t="b">
        <f t="shared" si="89"/>
        <v>1</v>
      </c>
      <c r="O1116" s="8" t="str">
        <f>IF(F1116="","",IF($F$2=入力リスト!$H$25,ROUNDDOWN(INT(F1116)+ROUNDDOWN((F1116-INT(F1116))*100,0)/60,2),F1116))</f>
        <v/>
      </c>
      <c r="P1116" s="7"/>
      <c r="Q1116" s="7"/>
    </row>
    <row r="1117" spans="1:17">
      <c r="A1117" s="105"/>
      <c r="B1117" s="2"/>
      <c r="C1117" s="3"/>
      <c r="D1117" s="3"/>
      <c r="E1117" s="3"/>
      <c r="F1117" s="8"/>
      <c r="G1117" s="215" t="str">
        <f>IF(AND($B1117="",OR(B1117&lt;&gt;"",C1117&lt;&gt;"",D1117&lt;&gt;"",E1117&lt;&gt;"",F1117&lt;&gt;"")),入力リスト!$K$34,IF($I1117=TRUE,入力リスト!$K$35,IF(J1117=FALSE,"「毎月の固定給与額」","")&amp;IF(AND(J1117=FALSE,OR(K1117=FALSE,L1117=FALSE,M1117=FALSE)),",","")&amp;IF(K1117=FALSE,"「賞与額等」","")&amp;IF(AND(K1117=FALSE,OR(L1117=FALSE,M1117=FALSE)),",","")&amp;IF(L1117=FALSE,"「残業手当」","")&amp;IF(AND(L1117=FALSE,M1117=FALSE),",","")&amp;IF(M1117=FALSE,"「残業時間」","")&amp;IF(OR(J1117=FALSE,K1117=FALSE,L1117=FALSE,M1117=FALSE),入力リスト!$K$36,"")&amp;IF(N1117,"",入力リスト!$K$37)))</f>
        <v/>
      </c>
      <c r="H1117" s="215"/>
      <c r="I1117" s="1" t="b">
        <f>IF(B1117="",FALSE,COUNTIF('従業員情報(給与以外)'!$A$4:$A$1000000,$B1117)=0)</f>
        <v>0</v>
      </c>
      <c r="J1117" s="8" t="b">
        <f t="shared" si="85"/>
        <v>1</v>
      </c>
      <c r="K1117" s="8" t="b">
        <f t="shared" si="86"/>
        <v>1</v>
      </c>
      <c r="L1117" s="8" t="b">
        <f t="shared" si="87"/>
        <v>1</v>
      </c>
      <c r="M1117" s="8" t="b">
        <f t="shared" si="88"/>
        <v>1</v>
      </c>
      <c r="N1117" s="1" t="b">
        <f t="shared" si="89"/>
        <v>1</v>
      </c>
      <c r="O1117" s="8" t="str">
        <f>IF(F1117="","",IF($F$2=入力リスト!$H$25,ROUNDDOWN(INT(F1117)+ROUNDDOWN((F1117-INT(F1117))*100,0)/60,2),F1117))</f>
        <v/>
      </c>
      <c r="P1117" s="7"/>
      <c r="Q1117" s="7"/>
    </row>
    <row r="1118" spans="1:17">
      <c r="A1118" s="105"/>
      <c r="B1118" s="2"/>
      <c r="C1118" s="3"/>
      <c r="D1118" s="3"/>
      <c r="E1118" s="3"/>
      <c r="F1118" s="8"/>
      <c r="G1118" s="215" t="str">
        <f>IF(AND($B1118="",OR(B1118&lt;&gt;"",C1118&lt;&gt;"",D1118&lt;&gt;"",E1118&lt;&gt;"",F1118&lt;&gt;"")),入力リスト!$K$34,IF($I1118=TRUE,入力リスト!$K$35,IF(J1118=FALSE,"「毎月の固定給与額」","")&amp;IF(AND(J1118=FALSE,OR(K1118=FALSE,L1118=FALSE,M1118=FALSE)),",","")&amp;IF(K1118=FALSE,"「賞与額等」","")&amp;IF(AND(K1118=FALSE,OR(L1118=FALSE,M1118=FALSE)),",","")&amp;IF(L1118=FALSE,"「残業手当」","")&amp;IF(AND(L1118=FALSE,M1118=FALSE),",","")&amp;IF(M1118=FALSE,"「残業時間」","")&amp;IF(OR(J1118=FALSE,K1118=FALSE,L1118=FALSE,M1118=FALSE),入力リスト!$K$36,"")&amp;IF(N1118,"",入力リスト!$K$37)))</f>
        <v/>
      </c>
      <c r="H1118" s="215"/>
      <c r="I1118" s="1" t="b">
        <f>IF(B1118="",FALSE,COUNTIF('従業員情報(給与以外)'!$A$4:$A$1000000,$B1118)=0)</f>
        <v>0</v>
      </c>
      <c r="J1118" s="8" t="b">
        <f t="shared" si="85"/>
        <v>1</v>
      </c>
      <c r="K1118" s="8" t="b">
        <f t="shared" si="86"/>
        <v>1</v>
      </c>
      <c r="L1118" s="8" t="b">
        <f t="shared" si="87"/>
        <v>1</v>
      </c>
      <c r="M1118" s="8" t="b">
        <f t="shared" si="88"/>
        <v>1</v>
      </c>
      <c r="N1118" s="1" t="b">
        <f t="shared" si="89"/>
        <v>1</v>
      </c>
      <c r="O1118" s="8" t="str">
        <f>IF(F1118="","",IF($F$2=入力リスト!$H$25,ROUNDDOWN(INT(F1118)+ROUNDDOWN((F1118-INT(F1118))*100,0)/60,2),F1118))</f>
        <v/>
      </c>
      <c r="P1118" s="7"/>
      <c r="Q1118" s="7"/>
    </row>
    <row r="1119" spans="1:17">
      <c r="A1119" s="105"/>
      <c r="B1119" s="2"/>
      <c r="C1119" s="3"/>
      <c r="D1119" s="3"/>
      <c r="E1119" s="3"/>
      <c r="F1119" s="8"/>
      <c r="G1119" s="215" t="str">
        <f>IF(AND($B1119="",OR(B1119&lt;&gt;"",C1119&lt;&gt;"",D1119&lt;&gt;"",E1119&lt;&gt;"",F1119&lt;&gt;"")),入力リスト!$K$34,IF($I1119=TRUE,入力リスト!$K$35,IF(J1119=FALSE,"「毎月の固定給与額」","")&amp;IF(AND(J1119=FALSE,OR(K1119=FALSE,L1119=FALSE,M1119=FALSE)),",","")&amp;IF(K1119=FALSE,"「賞与額等」","")&amp;IF(AND(K1119=FALSE,OR(L1119=FALSE,M1119=FALSE)),",","")&amp;IF(L1119=FALSE,"「残業手当」","")&amp;IF(AND(L1119=FALSE,M1119=FALSE),",","")&amp;IF(M1119=FALSE,"「残業時間」","")&amp;IF(OR(J1119=FALSE,K1119=FALSE,L1119=FALSE,M1119=FALSE),入力リスト!$K$36,"")&amp;IF(N1119,"",入力リスト!$K$37)))</f>
        <v/>
      </c>
      <c r="H1119" s="215"/>
      <c r="I1119" s="1" t="b">
        <f>IF(B1119="",FALSE,COUNTIF('従業員情報(給与以外)'!$A$4:$A$1000000,$B1119)=0)</f>
        <v>0</v>
      </c>
      <c r="J1119" s="8" t="b">
        <f t="shared" si="85"/>
        <v>1</v>
      </c>
      <c r="K1119" s="8" t="b">
        <f t="shared" si="86"/>
        <v>1</v>
      </c>
      <c r="L1119" s="8" t="b">
        <f t="shared" si="87"/>
        <v>1</v>
      </c>
      <c r="M1119" s="8" t="b">
        <f t="shared" si="88"/>
        <v>1</v>
      </c>
      <c r="N1119" s="1" t="b">
        <f t="shared" si="89"/>
        <v>1</v>
      </c>
      <c r="O1119" s="8" t="str">
        <f>IF(F1119="","",IF($F$2=入力リスト!$H$25,ROUNDDOWN(INT(F1119)+ROUNDDOWN((F1119-INT(F1119))*100,0)/60,2),F1119))</f>
        <v/>
      </c>
      <c r="P1119" s="7"/>
      <c r="Q1119" s="7"/>
    </row>
    <row r="1120" spans="1:17">
      <c r="A1120" s="105"/>
      <c r="B1120" s="2"/>
      <c r="C1120" s="3"/>
      <c r="D1120" s="3"/>
      <c r="E1120" s="3"/>
      <c r="F1120" s="8"/>
      <c r="G1120" s="215" t="str">
        <f>IF(AND($B1120="",OR(B1120&lt;&gt;"",C1120&lt;&gt;"",D1120&lt;&gt;"",E1120&lt;&gt;"",F1120&lt;&gt;"")),入力リスト!$K$34,IF($I1120=TRUE,入力リスト!$K$35,IF(J1120=FALSE,"「毎月の固定給与額」","")&amp;IF(AND(J1120=FALSE,OR(K1120=FALSE,L1120=FALSE,M1120=FALSE)),",","")&amp;IF(K1120=FALSE,"「賞与額等」","")&amp;IF(AND(K1120=FALSE,OR(L1120=FALSE,M1120=FALSE)),",","")&amp;IF(L1120=FALSE,"「残業手当」","")&amp;IF(AND(L1120=FALSE,M1120=FALSE),",","")&amp;IF(M1120=FALSE,"「残業時間」","")&amp;IF(OR(J1120=FALSE,K1120=FALSE,L1120=FALSE,M1120=FALSE),入力リスト!$K$36,"")&amp;IF(N1120,"",入力リスト!$K$37)))</f>
        <v/>
      </c>
      <c r="H1120" s="215"/>
      <c r="I1120" s="1" t="b">
        <f>IF(B1120="",FALSE,COUNTIF('従業員情報(給与以外)'!$A$4:$A$1000000,$B1120)=0)</f>
        <v>0</v>
      </c>
      <c r="J1120" s="8" t="b">
        <f t="shared" si="85"/>
        <v>1</v>
      </c>
      <c r="K1120" s="8" t="b">
        <f t="shared" si="86"/>
        <v>1</v>
      </c>
      <c r="L1120" s="8" t="b">
        <f t="shared" si="87"/>
        <v>1</v>
      </c>
      <c r="M1120" s="8" t="b">
        <f t="shared" si="88"/>
        <v>1</v>
      </c>
      <c r="N1120" s="1" t="b">
        <f t="shared" si="89"/>
        <v>1</v>
      </c>
      <c r="O1120" s="8" t="str">
        <f>IF(F1120="","",IF($F$2=入力リスト!$H$25,ROUNDDOWN(INT(F1120)+ROUNDDOWN((F1120-INT(F1120))*100,0)/60,2),F1120))</f>
        <v/>
      </c>
      <c r="P1120" s="7"/>
      <c r="Q1120" s="7"/>
    </row>
    <row r="1121" spans="1:17">
      <c r="A1121" s="105"/>
      <c r="B1121" s="2"/>
      <c r="C1121" s="3"/>
      <c r="D1121" s="3"/>
      <c r="E1121" s="3"/>
      <c r="F1121" s="8"/>
      <c r="G1121" s="215" t="str">
        <f>IF(AND($B1121="",OR(B1121&lt;&gt;"",C1121&lt;&gt;"",D1121&lt;&gt;"",E1121&lt;&gt;"",F1121&lt;&gt;"")),入力リスト!$K$34,IF($I1121=TRUE,入力リスト!$K$35,IF(J1121=FALSE,"「毎月の固定給与額」","")&amp;IF(AND(J1121=FALSE,OR(K1121=FALSE,L1121=FALSE,M1121=FALSE)),",","")&amp;IF(K1121=FALSE,"「賞与額等」","")&amp;IF(AND(K1121=FALSE,OR(L1121=FALSE,M1121=FALSE)),",","")&amp;IF(L1121=FALSE,"「残業手当」","")&amp;IF(AND(L1121=FALSE,M1121=FALSE),",","")&amp;IF(M1121=FALSE,"「残業時間」","")&amp;IF(OR(J1121=FALSE,K1121=FALSE,L1121=FALSE,M1121=FALSE),入力リスト!$K$36,"")&amp;IF(N1121,"",入力リスト!$K$37)))</f>
        <v/>
      </c>
      <c r="H1121" s="215"/>
      <c r="I1121" s="1" t="b">
        <f>IF(B1121="",FALSE,COUNTIF('従業員情報(給与以外)'!$A$4:$A$1000000,$B1121)=0)</f>
        <v>0</v>
      </c>
      <c r="J1121" s="8" t="b">
        <f t="shared" si="85"/>
        <v>1</v>
      </c>
      <c r="K1121" s="8" t="b">
        <f t="shared" si="86"/>
        <v>1</v>
      </c>
      <c r="L1121" s="8" t="b">
        <f t="shared" si="87"/>
        <v>1</v>
      </c>
      <c r="M1121" s="8" t="b">
        <f t="shared" si="88"/>
        <v>1</v>
      </c>
      <c r="N1121" s="1" t="b">
        <f t="shared" si="89"/>
        <v>1</v>
      </c>
      <c r="O1121" s="8" t="str">
        <f>IF(F1121="","",IF($F$2=入力リスト!$H$25,ROUNDDOWN(INT(F1121)+ROUNDDOWN((F1121-INT(F1121))*100,0)/60,2),F1121))</f>
        <v/>
      </c>
      <c r="P1121" s="7"/>
      <c r="Q1121" s="7"/>
    </row>
    <row r="1122" spans="1:17">
      <c r="A1122" s="105"/>
      <c r="B1122" s="2"/>
      <c r="C1122" s="3"/>
      <c r="D1122" s="3"/>
      <c r="E1122" s="3"/>
      <c r="F1122" s="8"/>
      <c r="G1122" s="215" t="str">
        <f>IF(AND($B1122="",OR(B1122&lt;&gt;"",C1122&lt;&gt;"",D1122&lt;&gt;"",E1122&lt;&gt;"",F1122&lt;&gt;"")),入力リスト!$K$34,IF($I1122=TRUE,入力リスト!$K$35,IF(J1122=FALSE,"「毎月の固定給与額」","")&amp;IF(AND(J1122=FALSE,OR(K1122=FALSE,L1122=FALSE,M1122=FALSE)),",","")&amp;IF(K1122=FALSE,"「賞与額等」","")&amp;IF(AND(K1122=FALSE,OR(L1122=FALSE,M1122=FALSE)),",","")&amp;IF(L1122=FALSE,"「残業手当」","")&amp;IF(AND(L1122=FALSE,M1122=FALSE),",","")&amp;IF(M1122=FALSE,"「残業時間」","")&amp;IF(OR(J1122=FALSE,K1122=FALSE,L1122=FALSE,M1122=FALSE),入力リスト!$K$36,"")&amp;IF(N1122,"",入力リスト!$K$37)))</f>
        <v/>
      </c>
      <c r="H1122" s="215"/>
      <c r="I1122" s="1" t="b">
        <f>IF(B1122="",FALSE,COUNTIF('従業員情報(給与以外)'!$A$4:$A$1000000,$B1122)=0)</f>
        <v>0</v>
      </c>
      <c r="J1122" s="8" t="b">
        <f t="shared" si="85"/>
        <v>1</v>
      </c>
      <c r="K1122" s="8" t="b">
        <f t="shared" si="86"/>
        <v>1</v>
      </c>
      <c r="L1122" s="8" t="b">
        <f t="shared" si="87"/>
        <v>1</v>
      </c>
      <c r="M1122" s="8" t="b">
        <f t="shared" si="88"/>
        <v>1</v>
      </c>
      <c r="N1122" s="1" t="b">
        <f t="shared" si="89"/>
        <v>1</v>
      </c>
      <c r="O1122" s="8" t="str">
        <f>IF(F1122="","",IF($F$2=入力リスト!$H$25,ROUNDDOWN(INT(F1122)+ROUNDDOWN((F1122-INT(F1122))*100,0)/60,2),F1122))</f>
        <v/>
      </c>
      <c r="P1122" s="7"/>
      <c r="Q1122" s="7"/>
    </row>
    <row r="1123" spans="1:17">
      <c r="A1123" s="105"/>
      <c r="B1123" s="2"/>
      <c r="C1123" s="3"/>
      <c r="D1123" s="3"/>
      <c r="E1123" s="3"/>
      <c r="F1123" s="8"/>
      <c r="G1123" s="215" t="str">
        <f>IF(AND($B1123="",OR(B1123&lt;&gt;"",C1123&lt;&gt;"",D1123&lt;&gt;"",E1123&lt;&gt;"",F1123&lt;&gt;"")),入力リスト!$K$34,IF($I1123=TRUE,入力リスト!$K$35,IF(J1123=FALSE,"「毎月の固定給与額」","")&amp;IF(AND(J1123=FALSE,OR(K1123=FALSE,L1123=FALSE,M1123=FALSE)),",","")&amp;IF(K1123=FALSE,"「賞与額等」","")&amp;IF(AND(K1123=FALSE,OR(L1123=FALSE,M1123=FALSE)),",","")&amp;IF(L1123=FALSE,"「残業手当」","")&amp;IF(AND(L1123=FALSE,M1123=FALSE),",","")&amp;IF(M1123=FALSE,"「残業時間」","")&amp;IF(OR(J1123=FALSE,K1123=FALSE,L1123=FALSE,M1123=FALSE),入力リスト!$K$36,"")&amp;IF(N1123,"",入力リスト!$K$37)))</f>
        <v/>
      </c>
      <c r="H1123" s="215"/>
      <c r="I1123" s="1" t="b">
        <f>IF(B1123="",FALSE,COUNTIF('従業員情報(給与以外)'!$A$4:$A$1000000,$B1123)=0)</f>
        <v>0</v>
      </c>
      <c r="J1123" s="8" t="b">
        <f t="shared" si="85"/>
        <v>1</v>
      </c>
      <c r="K1123" s="8" t="b">
        <f t="shared" si="86"/>
        <v>1</v>
      </c>
      <c r="L1123" s="8" t="b">
        <f t="shared" si="87"/>
        <v>1</v>
      </c>
      <c r="M1123" s="8" t="b">
        <f t="shared" si="88"/>
        <v>1</v>
      </c>
      <c r="N1123" s="1" t="b">
        <f t="shared" si="89"/>
        <v>1</v>
      </c>
      <c r="O1123" s="8" t="str">
        <f>IF(F1123="","",IF($F$2=入力リスト!$H$25,ROUNDDOWN(INT(F1123)+ROUNDDOWN((F1123-INT(F1123))*100,0)/60,2),F1123))</f>
        <v/>
      </c>
      <c r="P1123" s="7"/>
      <c r="Q1123" s="7"/>
    </row>
    <row r="1124" spans="1:17">
      <c r="A1124" s="105"/>
      <c r="B1124" s="2"/>
      <c r="C1124" s="3"/>
      <c r="D1124" s="3"/>
      <c r="E1124" s="3"/>
      <c r="F1124" s="8"/>
      <c r="G1124" s="215" t="str">
        <f>IF(AND($B1124="",OR(B1124&lt;&gt;"",C1124&lt;&gt;"",D1124&lt;&gt;"",E1124&lt;&gt;"",F1124&lt;&gt;"")),入力リスト!$K$34,IF($I1124=TRUE,入力リスト!$K$35,IF(J1124=FALSE,"「毎月の固定給与額」","")&amp;IF(AND(J1124=FALSE,OR(K1124=FALSE,L1124=FALSE,M1124=FALSE)),",","")&amp;IF(K1124=FALSE,"「賞与額等」","")&amp;IF(AND(K1124=FALSE,OR(L1124=FALSE,M1124=FALSE)),",","")&amp;IF(L1124=FALSE,"「残業手当」","")&amp;IF(AND(L1124=FALSE,M1124=FALSE),",","")&amp;IF(M1124=FALSE,"「残業時間」","")&amp;IF(OR(J1124=FALSE,K1124=FALSE,L1124=FALSE,M1124=FALSE),入力リスト!$K$36,"")&amp;IF(N1124,"",入力リスト!$K$37)))</f>
        <v/>
      </c>
      <c r="H1124" s="215"/>
      <c r="I1124" s="1" t="b">
        <f>IF(B1124="",FALSE,COUNTIF('従業員情報(給与以外)'!$A$4:$A$1000000,$B1124)=0)</f>
        <v>0</v>
      </c>
      <c r="J1124" s="8" t="b">
        <f t="shared" si="85"/>
        <v>1</v>
      </c>
      <c r="K1124" s="8" t="b">
        <f t="shared" si="86"/>
        <v>1</v>
      </c>
      <c r="L1124" s="8" t="b">
        <f t="shared" si="87"/>
        <v>1</v>
      </c>
      <c r="M1124" s="8" t="b">
        <f t="shared" si="88"/>
        <v>1</v>
      </c>
      <c r="N1124" s="1" t="b">
        <f t="shared" si="89"/>
        <v>1</v>
      </c>
      <c r="O1124" s="8" t="str">
        <f>IF(F1124="","",IF($F$2=入力リスト!$H$25,ROUNDDOWN(INT(F1124)+ROUNDDOWN((F1124-INT(F1124))*100,0)/60,2),F1124))</f>
        <v/>
      </c>
      <c r="P1124" s="7"/>
      <c r="Q1124" s="7"/>
    </row>
    <row r="1125" spans="1:17">
      <c r="A1125" s="105"/>
      <c r="B1125" s="2"/>
      <c r="C1125" s="3"/>
      <c r="D1125" s="3"/>
      <c r="E1125" s="3"/>
      <c r="F1125" s="8"/>
      <c r="G1125" s="215" t="str">
        <f>IF(AND($B1125="",OR(B1125&lt;&gt;"",C1125&lt;&gt;"",D1125&lt;&gt;"",E1125&lt;&gt;"",F1125&lt;&gt;"")),入力リスト!$K$34,IF($I1125=TRUE,入力リスト!$K$35,IF(J1125=FALSE,"「毎月の固定給与額」","")&amp;IF(AND(J1125=FALSE,OR(K1125=FALSE,L1125=FALSE,M1125=FALSE)),",","")&amp;IF(K1125=FALSE,"「賞与額等」","")&amp;IF(AND(K1125=FALSE,OR(L1125=FALSE,M1125=FALSE)),",","")&amp;IF(L1125=FALSE,"「残業手当」","")&amp;IF(AND(L1125=FALSE,M1125=FALSE),",","")&amp;IF(M1125=FALSE,"「残業時間」","")&amp;IF(OR(J1125=FALSE,K1125=FALSE,L1125=FALSE,M1125=FALSE),入力リスト!$K$36,"")&amp;IF(N1125,"",入力リスト!$K$37)))</f>
        <v/>
      </c>
      <c r="H1125" s="215"/>
      <c r="I1125" s="1" t="b">
        <f>IF(B1125="",FALSE,COUNTIF('従業員情報(給与以外)'!$A$4:$A$1000000,$B1125)=0)</f>
        <v>0</v>
      </c>
      <c r="J1125" s="8" t="b">
        <f t="shared" si="85"/>
        <v>1</v>
      </c>
      <c r="K1125" s="8" t="b">
        <f t="shared" si="86"/>
        <v>1</v>
      </c>
      <c r="L1125" s="8" t="b">
        <f t="shared" si="87"/>
        <v>1</v>
      </c>
      <c r="M1125" s="8" t="b">
        <f t="shared" si="88"/>
        <v>1</v>
      </c>
      <c r="N1125" s="1" t="b">
        <f t="shared" si="89"/>
        <v>1</v>
      </c>
      <c r="O1125" s="8" t="str">
        <f>IF(F1125="","",IF($F$2=入力リスト!$H$25,ROUNDDOWN(INT(F1125)+ROUNDDOWN((F1125-INT(F1125))*100,0)/60,2),F1125))</f>
        <v/>
      </c>
      <c r="P1125" s="7"/>
      <c r="Q1125" s="7"/>
    </row>
    <row r="1126" spans="1:17">
      <c r="A1126" s="105"/>
      <c r="B1126" s="2"/>
      <c r="C1126" s="3"/>
      <c r="D1126" s="3"/>
      <c r="E1126" s="3"/>
      <c r="F1126" s="8"/>
      <c r="G1126" s="215" t="str">
        <f>IF(AND($B1126="",OR(B1126&lt;&gt;"",C1126&lt;&gt;"",D1126&lt;&gt;"",E1126&lt;&gt;"",F1126&lt;&gt;"")),入力リスト!$K$34,IF($I1126=TRUE,入力リスト!$K$35,IF(J1126=FALSE,"「毎月の固定給与額」","")&amp;IF(AND(J1126=FALSE,OR(K1126=FALSE,L1126=FALSE,M1126=FALSE)),",","")&amp;IF(K1126=FALSE,"「賞与額等」","")&amp;IF(AND(K1126=FALSE,OR(L1126=FALSE,M1126=FALSE)),",","")&amp;IF(L1126=FALSE,"「残業手当」","")&amp;IF(AND(L1126=FALSE,M1126=FALSE),",","")&amp;IF(M1126=FALSE,"「残業時間」","")&amp;IF(OR(J1126=FALSE,K1126=FALSE,L1126=FALSE,M1126=FALSE),入力リスト!$K$36,"")&amp;IF(N1126,"",入力リスト!$K$37)))</f>
        <v/>
      </c>
      <c r="H1126" s="215"/>
      <c r="I1126" s="1" t="b">
        <f>IF(B1126="",FALSE,COUNTIF('従業員情報(給与以外)'!$A$4:$A$1000000,$B1126)=0)</f>
        <v>0</v>
      </c>
      <c r="J1126" s="8" t="b">
        <f t="shared" si="85"/>
        <v>1</v>
      </c>
      <c r="K1126" s="8" t="b">
        <f t="shared" si="86"/>
        <v>1</v>
      </c>
      <c r="L1126" s="8" t="b">
        <f t="shared" si="87"/>
        <v>1</v>
      </c>
      <c r="M1126" s="8" t="b">
        <f t="shared" si="88"/>
        <v>1</v>
      </c>
      <c r="N1126" s="1" t="b">
        <f t="shared" si="89"/>
        <v>1</v>
      </c>
      <c r="O1126" s="8" t="str">
        <f>IF(F1126="","",IF($F$2=入力リスト!$H$25,ROUNDDOWN(INT(F1126)+ROUNDDOWN((F1126-INT(F1126))*100,0)/60,2),F1126))</f>
        <v/>
      </c>
      <c r="P1126" s="7"/>
      <c r="Q1126" s="7"/>
    </row>
    <row r="1127" spans="1:17">
      <c r="A1127" s="105"/>
      <c r="B1127" s="2"/>
      <c r="C1127" s="3"/>
      <c r="D1127" s="3"/>
      <c r="E1127" s="3"/>
      <c r="F1127" s="8"/>
      <c r="G1127" s="215" t="str">
        <f>IF(AND($B1127="",OR(B1127&lt;&gt;"",C1127&lt;&gt;"",D1127&lt;&gt;"",E1127&lt;&gt;"",F1127&lt;&gt;"")),入力リスト!$K$34,IF($I1127=TRUE,入力リスト!$K$35,IF(J1127=FALSE,"「毎月の固定給与額」","")&amp;IF(AND(J1127=FALSE,OR(K1127=FALSE,L1127=FALSE,M1127=FALSE)),",","")&amp;IF(K1127=FALSE,"「賞与額等」","")&amp;IF(AND(K1127=FALSE,OR(L1127=FALSE,M1127=FALSE)),",","")&amp;IF(L1127=FALSE,"「残業手当」","")&amp;IF(AND(L1127=FALSE,M1127=FALSE),",","")&amp;IF(M1127=FALSE,"「残業時間」","")&amp;IF(OR(J1127=FALSE,K1127=FALSE,L1127=FALSE,M1127=FALSE),入力リスト!$K$36,"")&amp;IF(N1127,"",入力リスト!$K$37)))</f>
        <v/>
      </c>
      <c r="H1127" s="215"/>
      <c r="I1127" s="1" t="b">
        <f>IF(B1127="",FALSE,COUNTIF('従業員情報(給与以外)'!$A$4:$A$1000000,$B1127)=0)</f>
        <v>0</v>
      </c>
      <c r="J1127" s="8" t="b">
        <f t="shared" si="85"/>
        <v>1</v>
      </c>
      <c r="K1127" s="8" t="b">
        <f t="shared" si="86"/>
        <v>1</v>
      </c>
      <c r="L1127" s="8" t="b">
        <f t="shared" si="87"/>
        <v>1</v>
      </c>
      <c r="M1127" s="8" t="b">
        <f t="shared" si="88"/>
        <v>1</v>
      </c>
      <c r="N1127" s="1" t="b">
        <f t="shared" si="89"/>
        <v>1</v>
      </c>
      <c r="O1127" s="8" t="str">
        <f>IF(F1127="","",IF($F$2=入力リスト!$H$25,ROUNDDOWN(INT(F1127)+ROUNDDOWN((F1127-INT(F1127))*100,0)/60,2),F1127))</f>
        <v/>
      </c>
      <c r="P1127" s="7"/>
      <c r="Q1127" s="7"/>
    </row>
    <row r="1128" spans="1:17">
      <c r="A1128" s="105"/>
      <c r="B1128" s="2"/>
      <c r="C1128" s="3"/>
      <c r="D1128" s="3"/>
      <c r="E1128" s="3"/>
      <c r="F1128" s="8"/>
      <c r="G1128" s="215" t="str">
        <f>IF(AND($B1128="",OR(B1128&lt;&gt;"",C1128&lt;&gt;"",D1128&lt;&gt;"",E1128&lt;&gt;"",F1128&lt;&gt;"")),入力リスト!$K$34,IF($I1128=TRUE,入力リスト!$K$35,IF(J1128=FALSE,"「毎月の固定給与額」","")&amp;IF(AND(J1128=FALSE,OR(K1128=FALSE,L1128=FALSE,M1128=FALSE)),",","")&amp;IF(K1128=FALSE,"「賞与額等」","")&amp;IF(AND(K1128=FALSE,OR(L1128=FALSE,M1128=FALSE)),",","")&amp;IF(L1128=FALSE,"「残業手当」","")&amp;IF(AND(L1128=FALSE,M1128=FALSE),",","")&amp;IF(M1128=FALSE,"「残業時間」","")&amp;IF(OR(J1128=FALSE,K1128=FALSE,L1128=FALSE,M1128=FALSE),入力リスト!$K$36,"")&amp;IF(N1128,"",入力リスト!$K$37)))</f>
        <v/>
      </c>
      <c r="H1128" s="215"/>
      <c r="I1128" s="1" t="b">
        <f>IF(B1128="",FALSE,COUNTIF('従業員情報(給与以外)'!$A$4:$A$1000000,$B1128)=0)</f>
        <v>0</v>
      </c>
      <c r="J1128" s="8" t="b">
        <f t="shared" si="85"/>
        <v>1</v>
      </c>
      <c r="K1128" s="8" t="b">
        <f t="shared" si="86"/>
        <v>1</v>
      </c>
      <c r="L1128" s="8" t="b">
        <f t="shared" si="87"/>
        <v>1</v>
      </c>
      <c r="M1128" s="8" t="b">
        <f t="shared" si="88"/>
        <v>1</v>
      </c>
      <c r="N1128" s="1" t="b">
        <f t="shared" si="89"/>
        <v>1</v>
      </c>
      <c r="O1128" s="8" t="str">
        <f>IF(F1128="","",IF($F$2=入力リスト!$H$25,ROUNDDOWN(INT(F1128)+ROUNDDOWN((F1128-INT(F1128))*100,0)/60,2),F1128))</f>
        <v/>
      </c>
      <c r="P1128" s="7"/>
      <c r="Q1128" s="7"/>
    </row>
    <row r="1129" spans="1:17">
      <c r="A1129" s="105"/>
      <c r="B1129" s="2"/>
      <c r="C1129" s="3"/>
      <c r="D1129" s="3"/>
      <c r="E1129" s="3"/>
      <c r="F1129" s="8"/>
      <c r="G1129" s="215" t="str">
        <f>IF(AND($B1129="",OR(B1129&lt;&gt;"",C1129&lt;&gt;"",D1129&lt;&gt;"",E1129&lt;&gt;"",F1129&lt;&gt;"")),入力リスト!$K$34,IF($I1129=TRUE,入力リスト!$K$35,IF(J1129=FALSE,"「毎月の固定給与額」","")&amp;IF(AND(J1129=FALSE,OR(K1129=FALSE,L1129=FALSE,M1129=FALSE)),",","")&amp;IF(K1129=FALSE,"「賞与額等」","")&amp;IF(AND(K1129=FALSE,OR(L1129=FALSE,M1129=FALSE)),",","")&amp;IF(L1129=FALSE,"「残業手当」","")&amp;IF(AND(L1129=FALSE,M1129=FALSE),",","")&amp;IF(M1129=FALSE,"「残業時間」","")&amp;IF(OR(J1129=FALSE,K1129=FALSE,L1129=FALSE,M1129=FALSE),入力リスト!$K$36,"")&amp;IF(N1129,"",入力リスト!$K$37)))</f>
        <v/>
      </c>
      <c r="H1129" s="215"/>
      <c r="I1129" s="1" t="b">
        <f>IF(B1129="",FALSE,COUNTIF('従業員情報(給与以外)'!$A$4:$A$1000000,$B1129)=0)</f>
        <v>0</v>
      </c>
      <c r="J1129" s="8" t="b">
        <f t="shared" si="85"/>
        <v>1</v>
      </c>
      <c r="K1129" s="8" t="b">
        <f t="shared" si="86"/>
        <v>1</v>
      </c>
      <c r="L1129" s="8" t="b">
        <f t="shared" si="87"/>
        <v>1</v>
      </c>
      <c r="M1129" s="8" t="b">
        <f t="shared" si="88"/>
        <v>1</v>
      </c>
      <c r="N1129" s="1" t="b">
        <f t="shared" si="89"/>
        <v>1</v>
      </c>
      <c r="O1129" s="8" t="str">
        <f>IF(F1129="","",IF($F$2=入力リスト!$H$25,ROUNDDOWN(INT(F1129)+ROUNDDOWN((F1129-INT(F1129))*100,0)/60,2),F1129))</f>
        <v/>
      </c>
      <c r="P1129" s="7"/>
      <c r="Q1129" s="7"/>
    </row>
    <row r="1130" spans="1:17">
      <c r="A1130" s="105"/>
      <c r="B1130" s="2"/>
      <c r="C1130" s="3"/>
      <c r="D1130" s="3"/>
      <c r="E1130" s="3"/>
      <c r="F1130" s="8"/>
      <c r="G1130" s="215" t="str">
        <f>IF(AND($B1130="",OR(B1130&lt;&gt;"",C1130&lt;&gt;"",D1130&lt;&gt;"",E1130&lt;&gt;"",F1130&lt;&gt;"")),入力リスト!$K$34,IF($I1130=TRUE,入力リスト!$K$35,IF(J1130=FALSE,"「毎月の固定給与額」","")&amp;IF(AND(J1130=FALSE,OR(K1130=FALSE,L1130=FALSE,M1130=FALSE)),",","")&amp;IF(K1130=FALSE,"「賞与額等」","")&amp;IF(AND(K1130=FALSE,OR(L1130=FALSE,M1130=FALSE)),",","")&amp;IF(L1130=FALSE,"「残業手当」","")&amp;IF(AND(L1130=FALSE,M1130=FALSE),",","")&amp;IF(M1130=FALSE,"「残業時間」","")&amp;IF(OR(J1130=FALSE,K1130=FALSE,L1130=FALSE,M1130=FALSE),入力リスト!$K$36,"")&amp;IF(N1130,"",入力リスト!$K$37)))</f>
        <v/>
      </c>
      <c r="H1130" s="215"/>
      <c r="I1130" s="1" t="b">
        <f>IF(B1130="",FALSE,COUNTIF('従業員情報(給与以外)'!$A$4:$A$1000000,$B1130)=0)</f>
        <v>0</v>
      </c>
      <c r="J1130" s="8" t="b">
        <f t="shared" si="85"/>
        <v>1</v>
      </c>
      <c r="K1130" s="8" t="b">
        <f t="shared" si="86"/>
        <v>1</v>
      </c>
      <c r="L1130" s="8" t="b">
        <f t="shared" si="87"/>
        <v>1</v>
      </c>
      <c r="M1130" s="8" t="b">
        <f t="shared" si="88"/>
        <v>1</v>
      </c>
      <c r="N1130" s="1" t="b">
        <f t="shared" si="89"/>
        <v>1</v>
      </c>
      <c r="O1130" s="8" t="str">
        <f>IF(F1130="","",IF($F$2=入力リスト!$H$25,ROUNDDOWN(INT(F1130)+ROUNDDOWN((F1130-INT(F1130))*100,0)/60,2),F1130))</f>
        <v/>
      </c>
      <c r="P1130" s="7"/>
      <c r="Q1130" s="7"/>
    </row>
    <row r="1131" spans="1:17">
      <c r="A1131" s="105"/>
      <c r="B1131" s="2"/>
      <c r="C1131" s="3"/>
      <c r="D1131" s="3"/>
      <c r="E1131" s="3"/>
      <c r="F1131" s="8"/>
      <c r="G1131" s="215" t="str">
        <f>IF(AND($B1131="",OR(B1131&lt;&gt;"",C1131&lt;&gt;"",D1131&lt;&gt;"",E1131&lt;&gt;"",F1131&lt;&gt;"")),入力リスト!$K$34,IF($I1131=TRUE,入力リスト!$K$35,IF(J1131=FALSE,"「毎月の固定給与額」","")&amp;IF(AND(J1131=FALSE,OR(K1131=FALSE,L1131=FALSE,M1131=FALSE)),",","")&amp;IF(K1131=FALSE,"「賞与額等」","")&amp;IF(AND(K1131=FALSE,OR(L1131=FALSE,M1131=FALSE)),",","")&amp;IF(L1131=FALSE,"「残業手当」","")&amp;IF(AND(L1131=FALSE,M1131=FALSE),",","")&amp;IF(M1131=FALSE,"「残業時間」","")&amp;IF(OR(J1131=FALSE,K1131=FALSE,L1131=FALSE,M1131=FALSE),入力リスト!$K$36,"")&amp;IF(N1131,"",入力リスト!$K$37)))</f>
        <v/>
      </c>
      <c r="H1131" s="215"/>
      <c r="I1131" s="1" t="b">
        <f>IF(B1131="",FALSE,COUNTIF('従業員情報(給与以外)'!$A$4:$A$1000000,$B1131)=0)</f>
        <v>0</v>
      </c>
      <c r="J1131" s="8" t="b">
        <f t="shared" si="85"/>
        <v>1</v>
      </c>
      <c r="K1131" s="8" t="b">
        <f t="shared" si="86"/>
        <v>1</v>
      </c>
      <c r="L1131" s="8" t="b">
        <f t="shared" si="87"/>
        <v>1</v>
      </c>
      <c r="M1131" s="8" t="b">
        <f t="shared" si="88"/>
        <v>1</v>
      </c>
      <c r="N1131" s="1" t="b">
        <f t="shared" si="89"/>
        <v>1</v>
      </c>
      <c r="O1131" s="8" t="str">
        <f>IF(F1131="","",IF($F$2=入力リスト!$H$25,ROUNDDOWN(INT(F1131)+ROUNDDOWN((F1131-INT(F1131))*100,0)/60,2),F1131))</f>
        <v/>
      </c>
      <c r="P1131" s="7"/>
      <c r="Q1131" s="7"/>
    </row>
    <row r="1132" spans="1:17">
      <c r="A1132" s="105"/>
      <c r="B1132" s="2"/>
      <c r="C1132" s="3"/>
      <c r="D1132" s="3"/>
      <c r="E1132" s="3"/>
      <c r="F1132" s="8"/>
      <c r="G1132" s="215" t="str">
        <f>IF(AND($B1132="",OR(B1132&lt;&gt;"",C1132&lt;&gt;"",D1132&lt;&gt;"",E1132&lt;&gt;"",F1132&lt;&gt;"")),入力リスト!$K$34,IF($I1132=TRUE,入力リスト!$K$35,IF(J1132=FALSE,"「毎月の固定給与額」","")&amp;IF(AND(J1132=FALSE,OR(K1132=FALSE,L1132=FALSE,M1132=FALSE)),",","")&amp;IF(K1132=FALSE,"「賞与額等」","")&amp;IF(AND(K1132=FALSE,OR(L1132=FALSE,M1132=FALSE)),",","")&amp;IF(L1132=FALSE,"「残業手当」","")&amp;IF(AND(L1132=FALSE,M1132=FALSE),",","")&amp;IF(M1132=FALSE,"「残業時間」","")&amp;IF(OR(J1132=FALSE,K1132=FALSE,L1132=FALSE,M1132=FALSE),入力リスト!$K$36,"")&amp;IF(N1132,"",入力リスト!$K$37)))</f>
        <v/>
      </c>
      <c r="H1132" s="215"/>
      <c r="I1132" s="1" t="b">
        <f>IF(B1132="",FALSE,COUNTIF('従業員情報(給与以外)'!$A$4:$A$1000000,$B1132)=0)</f>
        <v>0</v>
      </c>
      <c r="J1132" s="8" t="b">
        <f t="shared" si="85"/>
        <v>1</v>
      </c>
      <c r="K1132" s="8" t="b">
        <f t="shared" si="86"/>
        <v>1</v>
      </c>
      <c r="L1132" s="8" t="b">
        <f t="shared" si="87"/>
        <v>1</v>
      </c>
      <c r="M1132" s="8" t="b">
        <f t="shared" si="88"/>
        <v>1</v>
      </c>
      <c r="N1132" s="1" t="b">
        <f t="shared" si="89"/>
        <v>1</v>
      </c>
      <c r="O1132" s="8" t="str">
        <f>IF(F1132="","",IF($F$2=入力リスト!$H$25,ROUNDDOWN(INT(F1132)+ROUNDDOWN((F1132-INT(F1132))*100,0)/60,2),F1132))</f>
        <v/>
      </c>
      <c r="P1132" s="7"/>
      <c r="Q1132" s="7"/>
    </row>
    <row r="1133" spans="1:17">
      <c r="A1133" s="105"/>
      <c r="B1133" s="2"/>
      <c r="C1133" s="3"/>
      <c r="D1133" s="3"/>
      <c r="E1133" s="3"/>
      <c r="F1133" s="8"/>
      <c r="G1133" s="215" t="str">
        <f>IF(AND($B1133="",OR(B1133&lt;&gt;"",C1133&lt;&gt;"",D1133&lt;&gt;"",E1133&lt;&gt;"",F1133&lt;&gt;"")),入力リスト!$K$34,IF($I1133=TRUE,入力リスト!$K$35,IF(J1133=FALSE,"「毎月の固定給与額」","")&amp;IF(AND(J1133=FALSE,OR(K1133=FALSE,L1133=FALSE,M1133=FALSE)),",","")&amp;IF(K1133=FALSE,"「賞与額等」","")&amp;IF(AND(K1133=FALSE,OR(L1133=FALSE,M1133=FALSE)),",","")&amp;IF(L1133=FALSE,"「残業手当」","")&amp;IF(AND(L1133=FALSE,M1133=FALSE),",","")&amp;IF(M1133=FALSE,"「残業時間」","")&amp;IF(OR(J1133=FALSE,K1133=FALSE,L1133=FALSE,M1133=FALSE),入力リスト!$K$36,"")&amp;IF(N1133,"",入力リスト!$K$37)))</f>
        <v/>
      </c>
      <c r="H1133" s="215"/>
      <c r="I1133" s="1" t="b">
        <f>IF(B1133="",FALSE,COUNTIF('従業員情報(給与以外)'!$A$4:$A$1000000,$B1133)=0)</f>
        <v>0</v>
      </c>
      <c r="J1133" s="8" t="b">
        <f t="shared" si="85"/>
        <v>1</v>
      </c>
      <c r="K1133" s="8" t="b">
        <f t="shared" si="86"/>
        <v>1</v>
      </c>
      <c r="L1133" s="8" t="b">
        <f t="shared" si="87"/>
        <v>1</v>
      </c>
      <c r="M1133" s="8" t="b">
        <f t="shared" si="88"/>
        <v>1</v>
      </c>
      <c r="N1133" s="1" t="b">
        <f t="shared" si="89"/>
        <v>1</v>
      </c>
      <c r="O1133" s="8" t="str">
        <f>IF(F1133="","",IF($F$2=入力リスト!$H$25,ROUNDDOWN(INT(F1133)+ROUNDDOWN((F1133-INT(F1133))*100,0)/60,2),F1133))</f>
        <v/>
      </c>
      <c r="P1133" s="7"/>
      <c r="Q1133" s="7"/>
    </row>
    <row r="1134" spans="1:17">
      <c r="A1134" s="105"/>
      <c r="B1134" s="2"/>
      <c r="C1134" s="3"/>
      <c r="D1134" s="3"/>
      <c r="E1134" s="3"/>
      <c r="F1134" s="8"/>
      <c r="G1134" s="215" t="str">
        <f>IF(AND($B1134="",OR(B1134&lt;&gt;"",C1134&lt;&gt;"",D1134&lt;&gt;"",E1134&lt;&gt;"",F1134&lt;&gt;"")),入力リスト!$K$34,IF($I1134=TRUE,入力リスト!$K$35,IF(J1134=FALSE,"「毎月の固定給与額」","")&amp;IF(AND(J1134=FALSE,OR(K1134=FALSE,L1134=FALSE,M1134=FALSE)),",","")&amp;IF(K1134=FALSE,"「賞与額等」","")&amp;IF(AND(K1134=FALSE,OR(L1134=FALSE,M1134=FALSE)),",","")&amp;IF(L1134=FALSE,"「残業手当」","")&amp;IF(AND(L1134=FALSE,M1134=FALSE),",","")&amp;IF(M1134=FALSE,"「残業時間」","")&amp;IF(OR(J1134=FALSE,K1134=FALSE,L1134=FALSE,M1134=FALSE),入力リスト!$K$36,"")&amp;IF(N1134,"",入力リスト!$K$37)))</f>
        <v/>
      </c>
      <c r="H1134" s="215"/>
      <c r="I1134" s="1" t="b">
        <f>IF(B1134="",FALSE,COUNTIF('従業員情報(給与以外)'!$A$4:$A$1000000,$B1134)=0)</f>
        <v>0</v>
      </c>
      <c r="J1134" s="8" t="b">
        <f t="shared" si="85"/>
        <v>1</v>
      </c>
      <c r="K1134" s="8" t="b">
        <f t="shared" si="86"/>
        <v>1</v>
      </c>
      <c r="L1134" s="8" t="b">
        <f t="shared" si="87"/>
        <v>1</v>
      </c>
      <c r="M1134" s="8" t="b">
        <f t="shared" si="88"/>
        <v>1</v>
      </c>
      <c r="N1134" s="1" t="b">
        <f t="shared" si="89"/>
        <v>1</v>
      </c>
      <c r="O1134" s="8" t="str">
        <f>IF(F1134="","",IF($F$2=入力リスト!$H$25,ROUNDDOWN(INT(F1134)+ROUNDDOWN((F1134-INT(F1134))*100,0)/60,2),F1134))</f>
        <v/>
      </c>
      <c r="P1134" s="7"/>
      <c r="Q1134" s="7"/>
    </row>
    <row r="1135" spans="1:17">
      <c r="A1135" s="105"/>
      <c r="B1135" s="2"/>
      <c r="C1135" s="3"/>
      <c r="D1135" s="3"/>
      <c r="E1135" s="3"/>
      <c r="F1135" s="8"/>
      <c r="G1135" s="215" t="str">
        <f>IF(AND($B1135="",OR(B1135&lt;&gt;"",C1135&lt;&gt;"",D1135&lt;&gt;"",E1135&lt;&gt;"",F1135&lt;&gt;"")),入力リスト!$K$34,IF($I1135=TRUE,入力リスト!$K$35,IF(J1135=FALSE,"「毎月の固定給与額」","")&amp;IF(AND(J1135=FALSE,OR(K1135=FALSE,L1135=FALSE,M1135=FALSE)),",","")&amp;IF(K1135=FALSE,"「賞与額等」","")&amp;IF(AND(K1135=FALSE,OR(L1135=FALSE,M1135=FALSE)),",","")&amp;IF(L1135=FALSE,"「残業手当」","")&amp;IF(AND(L1135=FALSE,M1135=FALSE),",","")&amp;IF(M1135=FALSE,"「残業時間」","")&amp;IF(OR(J1135=FALSE,K1135=FALSE,L1135=FALSE,M1135=FALSE),入力リスト!$K$36,"")&amp;IF(N1135,"",入力リスト!$K$37)))</f>
        <v/>
      </c>
      <c r="H1135" s="215"/>
      <c r="I1135" s="1" t="b">
        <f>IF(B1135="",FALSE,COUNTIF('従業員情報(給与以外)'!$A$4:$A$1000000,$B1135)=0)</f>
        <v>0</v>
      </c>
      <c r="J1135" s="8" t="b">
        <f t="shared" si="85"/>
        <v>1</v>
      </c>
      <c r="K1135" s="8" t="b">
        <f t="shared" si="86"/>
        <v>1</v>
      </c>
      <c r="L1135" s="8" t="b">
        <f t="shared" si="87"/>
        <v>1</v>
      </c>
      <c r="M1135" s="8" t="b">
        <f t="shared" si="88"/>
        <v>1</v>
      </c>
      <c r="N1135" s="1" t="b">
        <f t="shared" si="89"/>
        <v>1</v>
      </c>
      <c r="O1135" s="8" t="str">
        <f>IF(F1135="","",IF($F$2=入力リスト!$H$25,ROUNDDOWN(INT(F1135)+ROUNDDOWN((F1135-INT(F1135))*100,0)/60,2),F1135))</f>
        <v/>
      </c>
      <c r="P1135" s="7"/>
      <c r="Q1135" s="7"/>
    </row>
    <row r="1136" spans="1:17">
      <c r="A1136" s="105"/>
      <c r="B1136" s="2"/>
      <c r="C1136" s="3"/>
      <c r="D1136" s="3"/>
      <c r="E1136" s="3"/>
      <c r="F1136" s="8"/>
      <c r="G1136" s="215" t="str">
        <f>IF(AND($B1136="",OR(B1136&lt;&gt;"",C1136&lt;&gt;"",D1136&lt;&gt;"",E1136&lt;&gt;"",F1136&lt;&gt;"")),入力リスト!$K$34,IF($I1136=TRUE,入力リスト!$K$35,IF(J1136=FALSE,"「毎月の固定給与額」","")&amp;IF(AND(J1136=FALSE,OR(K1136=FALSE,L1136=FALSE,M1136=FALSE)),",","")&amp;IF(K1136=FALSE,"「賞与額等」","")&amp;IF(AND(K1136=FALSE,OR(L1136=FALSE,M1136=FALSE)),",","")&amp;IF(L1136=FALSE,"「残業手当」","")&amp;IF(AND(L1136=FALSE,M1136=FALSE),",","")&amp;IF(M1136=FALSE,"「残業時間」","")&amp;IF(OR(J1136=FALSE,K1136=FALSE,L1136=FALSE,M1136=FALSE),入力リスト!$K$36,"")&amp;IF(N1136,"",入力リスト!$K$37)))</f>
        <v/>
      </c>
      <c r="H1136" s="215"/>
      <c r="I1136" s="1" t="b">
        <f>IF(B1136="",FALSE,COUNTIF('従業員情報(給与以外)'!$A$4:$A$1000000,$B1136)=0)</f>
        <v>0</v>
      </c>
      <c r="J1136" s="8" t="b">
        <f t="shared" si="85"/>
        <v>1</v>
      </c>
      <c r="K1136" s="8" t="b">
        <f t="shared" si="86"/>
        <v>1</v>
      </c>
      <c r="L1136" s="8" t="b">
        <f t="shared" si="87"/>
        <v>1</v>
      </c>
      <c r="M1136" s="8" t="b">
        <f t="shared" si="88"/>
        <v>1</v>
      </c>
      <c r="N1136" s="1" t="b">
        <f t="shared" si="89"/>
        <v>1</v>
      </c>
      <c r="O1136" s="8" t="str">
        <f>IF(F1136="","",IF($F$2=入力リスト!$H$25,ROUNDDOWN(INT(F1136)+ROUNDDOWN((F1136-INT(F1136))*100,0)/60,2),F1136))</f>
        <v/>
      </c>
      <c r="P1136" s="7"/>
      <c r="Q1136" s="7"/>
    </row>
    <row r="1137" spans="1:17">
      <c r="A1137" s="105"/>
      <c r="B1137" s="2"/>
      <c r="C1137" s="3"/>
      <c r="D1137" s="3"/>
      <c r="E1137" s="3"/>
      <c r="F1137" s="8"/>
      <c r="G1137" s="215" t="str">
        <f>IF(AND($B1137="",OR(B1137&lt;&gt;"",C1137&lt;&gt;"",D1137&lt;&gt;"",E1137&lt;&gt;"",F1137&lt;&gt;"")),入力リスト!$K$34,IF($I1137=TRUE,入力リスト!$K$35,IF(J1137=FALSE,"「毎月の固定給与額」","")&amp;IF(AND(J1137=FALSE,OR(K1137=FALSE,L1137=FALSE,M1137=FALSE)),",","")&amp;IF(K1137=FALSE,"「賞与額等」","")&amp;IF(AND(K1137=FALSE,OR(L1137=FALSE,M1137=FALSE)),",","")&amp;IF(L1137=FALSE,"「残業手当」","")&amp;IF(AND(L1137=FALSE,M1137=FALSE),",","")&amp;IF(M1137=FALSE,"「残業時間」","")&amp;IF(OR(J1137=FALSE,K1137=FALSE,L1137=FALSE,M1137=FALSE),入力リスト!$K$36,"")&amp;IF(N1137,"",入力リスト!$K$37)))</f>
        <v/>
      </c>
      <c r="H1137" s="215"/>
      <c r="I1137" s="1" t="b">
        <f>IF(B1137="",FALSE,COUNTIF('従業員情報(給与以外)'!$A$4:$A$1000000,$B1137)=0)</f>
        <v>0</v>
      </c>
      <c r="J1137" s="8" t="b">
        <f t="shared" si="85"/>
        <v>1</v>
      </c>
      <c r="K1137" s="8" t="b">
        <f t="shared" si="86"/>
        <v>1</v>
      </c>
      <c r="L1137" s="8" t="b">
        <f t="shared" si="87"/>
        <v>1</v>
      </c>
      <c r="M1137" s="8" t="b">
        <f t="shared" si="88"/>
        <v>1</v>
      </c>
      <c r="N1137" s="1" t="b">
        <f t="shared" si="89"/>
        <v>1</v>
      </c>
      <c r="O1137" s="8" t="str">
        <f>IF(F1137="","",IF($F$2=入力リスト!$H$25,ROUNDDOWN(INT(F1137)+ROUNDDOWN((F1137-INT(F1137))*100,0)/60,2),F1137))</f>
        <v/>
      </c>
      <c r="P1137" s="7"/>
      <c r="Q1137" s="7"/>
    </row>
    <row r="1138" spans="1:17">
      <c r="A1138" s="105"/>
      <c r="B1138" s="2"/>
      <c r="C1138" s="3"/>
      <c r="D1138" s="3"/>
      <c r="E1138" s="3"/>
      <c r="F1138" s="8"/>
      <c r="G1138" s="215" t="str">
        <f>IF(AND($B1138="",OR(B1138&lt;&gt;"",C1138&lt;&gt;"",D1138&lt;&gt;"",E1138&lt;&gt;"",F1138&lt;&gt;"")),入力リスト!$K$34,IF($I1138=TRUE,入力リスト!$K$35,IF(J1138=FALSE,"「毎月の固定給与額」","")&amp;IF(AND(J1138=FALSE,OR(K1138=FALSE,L1138=FALSE,M1138=FALSE)),",","")&amp;IF(K1138=FALSE,"「賞与額等」","")&amp;IF(AND(K1138=FALSE,OR(L1138=FALSE,M1138=FALSE)),",","")&amp;IF(L1138=FALSE,"「残業手当」","")&amp;IF(AND(L1138=FALSE,M1138=FALSE),",","")&amp;IF(M1138=FALSE,"「残業時間」","")&amp;IF(OR(J1138=FALSE,K1138=FALSE,L1138=FALSE,M1138=FALSE),入力リスト!$K$36,"")&amp;IF(N1138,"",入力リスト!$K$37)))</f>
        <v/>
      </c>
      <c r="H1138" s="215"/>
      <c r="I1138" s="1" t="b">
        <f>IF(B1138="",FALSE,COUNTIF('従業員情報(給与以外)'!$A$4:$A$1000000,$B1138)=0)</f>
        <v>0</v>
      </c>
      <c r="J1138" s="8" t="b">
        <f t="shared" si="85"/>
        <v>1</v>
      </c>
      <c r="K1138" s="8" t="b">
        <f t="shared" si="86"/>
        <v>1</v>
      </c>
      <c r="L1138" s="8" t="b">
        <f t="shared" si="87"/>
        <v>1</v>
      </c>
      <c r="M1138" s="8" t="b">
        <f t="shared" si="88"/>
        <v>1</v>
      </c>
      <c r="N1138" s="1" t="b">
        <f t="shared" si="89"/>
        <v>1</v>
      </c>
      <c r="O1138" s="8" t="str">
        <f>IF(F1138="","",IF($F$2=入力リスト!$H$25,ROUNDDOWN(INT(F1138)+ROUNDDOWN((F1138-INT(F1138))*100,0)/60,2),F1138))</f>
        <v/>
      </c>
      <c r="P1138" s="7"/>
      <c r="Q1138" s="7"/>
    </row>
    <row r="1139" spans="1:17">
      <c r="A1139" s="105"/>
      <c r="B1139" s="2"/>
      <c r="C1139" s="3"/>
      <c r="D1139" s="3"/>
      <c r="E1139" s="3"/>
      <c r="F1139" s="8"/>
      <c r="G1139" s="215" t="str">
        <f>IF(AND($B1139="",OR(B1139&lt;&gt;"",C1139&lt;&gt;"",D1139&lt;&gt;"",E1139&lt;&gt;"",F1139&lt;&gt;"")),入力リスト!$K$34,IF($I1139=TRUE,入力リスト!$K$35,IF(J1139=FALSE,"「毎月の固定給与額」","")&amp;IF(AND(J1139=FALSE,OR(K1139=FALSE,L1139=FALSE,M1139=FALSE)),",","")&amp;IF(K1139=FALSE,"「賞与額等」","")&amp;IF(AND(K1139=FALSE,OR(L1139=FALSE,M1139=FALSE)),",","")&amp;IF(L1139=FALSE,"「残業手当」","")&amp;IF(AND(L1139=FALSE,M1139=FALSE),",","")&amp;IF(M1139=FALSE,"「残業時間」","")&amp;IF(OR(J1139=FALSE,K1139=FALSE,L1139=FALSE,M1139=FALSE),入力リスト!$K$36,"")&amp;IF(N1139,"",入力リスト!$K$37)))</f>
        <v/>
      </c>
      <c r="H1139" s="215"/>
      <c r="I1139" s="1" t="b">
        <f>IF(B1139="",FALSE,COUNTIF('従業員情報(給与以外)'!$A$4:$A$1000000,$B1139)=0)</f>
        <v>0</v>
      </c>
      <c r="J1139" s="8" t="b">
        <f t="shared" si="85"/>
        <v>1</v>
      </c>
      <c r="K1139" s="8" t="b">
        <f t="shared" si="86"/>
        <v>1</v>
      </c>
      <c r="L1139" s="8" t="b">
        <f t="shared" si="87"/>
        <v>1</v>
      </c>
      <c r="M1139" s="8" t="b">
        <f t="shared" si="88"/>
        <v>1</v>
      </c>
      <c r="N1139" s="1" t="b">
        <f t="shared" si="89"/>
        <v>1</v>
      </c>
      <c r="O1139" s="8" t="str">
        <f>IF(F1139="","",IF($F$2=入力リスト!$H$25,ROUNDDOWN(INT(F1139)+ROUNDDOWN((F1139-INT(F1139))*100,0)/60,2),F1139))</f>
        <v/>
      </c>
      <c r="P1139" s="7"/>
      <c r="Q1139" s="7"/>
    </row>
    <row r="1140" spans="1:17">
      <c r="A1140" s="105"/>
      <c r="B1140" s="2"/>
      <c r="C1140" s="3"/>
      <c r="D1140" s="3"/>
      <c r="E1140" s="3"/>
      <c r="F1140" s="8"/>
      <c r="G1140" s="215" t="str">
        <f>IF(AND($B1140="",OR(B1140&lt;&gt;"",C1140&lt;&gt;"",D1140&lt;&gt;"",E1140&lt;&gt;"",F1140&lt;&gt;"")),入力リスト!$K$34,IF($I1140=TRUE,入力リスト!$K$35,IF(J1140=FALSE,"「毎月の固定給与額」","")&amp;IF(AND(J1140=FALSE,OR(K1140=FALSE,L1140=FALSE,M1140=FALSE)),",","")&amp;IF(K1140=FALSE,"「賞与額等」","")&amp;IF(AND(K1140=FALSE,OR(L1140=FALSE,M1140=FALSE)),",","")&amp;IF(L1140=FALSE,"「残業手当」","")&amp;IF(AND(L1140=FALSE,M1140=FALSE),",","")&amp;IF(M1140=FALSE,"「残業時間」","")&amp;IF(OR(J1140=FALSE,K1140=FALSE,L1140=FALSE,M1140=FALSE),入力リスト!$K$36,"")&amp;IF(N1140,"",入力リスト!$K$37)))</f>
        <v/>
      </c>
      <c r="H1140" s="215"/>
      <c r="I1140" s="1" t="b">
        <f>IF(B1140="",FALSE,COUNTIF('従業員情報(給与以外)'!$A$4:$A$1000000,$B1140)=0)</f>
        <v>0</v>
      </c>
      <c r="J1140" s="8" t="b">
        <f t="shared" si="85"/>
        <v>1</v>
      </c>
      <c r="K1140" s="8" t="b">
        <f t="shared" si="86"/>
        <v>1</v>
      </c>
      <c r="L1140" s="8" t="b">
        <f t="shared" si="87"/>
        <v>1</v>
      </c>
      <c r="M1140" s="8" t="b">
        <f t="shared" si="88"/>
        <v>1</v>
      </c>
      <c r="N1140" s="1" t="b">
        <f t="shared" si="89"/>
        <v>1</v>
      </c>
      <c r="O1140" s="8" t="str">
        <f>IF(F1140="","",IF($F$2=入力リスト!$H$25,ROUNDDOWN(INT(F1140)+ROUNDDOWN((F1140-INT(F1140))*100,0)/60,2),F1140))</f>
        <v/>
      </c>
      <c r="P1140" s="7"/>
      <c r="Q1140" s="7"/>
    </row>
    <row r="1141" spans="1:17">
      <c r="A1141" s="105"/>
      <c r="B1141" s="2"/>
      <c r="C1141" s="3"/>
      <c r="D1141" s="3"/>
      <c r="E1141" s="3"/>
      <c r="F1141" s="8"/>
      <c r="G1141" s="215" t="str">
        <f>IF(AND($B1141="",OR(B1141&lt;&gt;"",C1141&lt;&gt;"",D1141&lt;&gt;"",E1141&lt;&gt;"",F1141&lt;&gt;"")),入力リスト!$K$34,IF($I1141=TRUE,入力リスト!$K$35,IF(J1141=FALSE,"「毎月の固定給与額」","")&amp;IF(AND(J1141=FALSE,OR(K1141=FALSE,L1141=FALSE,M1141=FALSE)),",","")&amp;IF(K1141=FALSE,"「賞与額等」","")&amp;IF(AND(K1141=FALSE,OR(L1141=FALSE,M1141=FALSE)),",","")&amp;IF(L1141=FALSE,"「残業手当」","")&amp;IF(AND(L1141=FALSE,M1141=FALSE),",","")&amp;IF(M1141=FALSE,"「残業時間」","")&amp;IF(OR(J1141=FALSE,K1141=FALSE,L1141=FALSE,M1141=FALSE),入力リスト!$K$36,"")&amp;IF(N1141,"",入力リスト!$K$37)))</f>
        <v/>
      </c>
      <c r="H1141" s="215"/>
      <c r="I1141" s="1" t="b">
        <f>IF(B1141="",FALSE,COUNTIF('従業員情報(給与以外)'!$A$4:$A$1000000,$B1141)=0)</f>
        <v>0</v>
      </c>
      <c r="J1141" s="8" t="b">
        <f t="shared" si="85"/>
        <v>1</v>
      </c>
      <c r="K1141" s="8" t="b">
        <f t="shared" si="86"/>
        <v>1</v>
      </c>
      <c r="L1141" s="8" t="b">
        <f t="shared" si="87"/>
        <v>1</v>
      </c>
      <c r="M1141" s="8" t="b">
        <f t="shared" si="88"/>
        <v>1</v>
      </c>
      <c r="N1141" s="1" t="b">
        <f t="shared" si="89"/>
        <v>1</v>
      </c>
      <c r="O1141" s="8" t="str">
        <f>IF(F1141="","",IF($F$2=入力リスト!$H$25,ROUNDDOWN(INT(F1141)+ROUNDDOWN((F1141-INT(F1141))*100,0)/60,2),F1141))</f>
        <v/>
      </c>
      <c r="P1141" s="7"/>
      <c r="Q1141" s="7"/>
    </row>
    <row r="1142" spans="1:17">
      <c r="A1142" s="105"/>
      <c r="B1142" s="2"/>
      <c r="C1142" s="3"/>
      <c r="D1142" s="3"/>
      <c r="E1142" s="3"/>
      <c r="F1142" s="8"/>
      <c r="G1142" s="215" t="str">
        <f>IF(AND($B1142="",OR(B1142&lt;&gt;"",C1142&lt;&gt;"",D1142&lt;&gt;"",E1142&lt;&gt;"",F1142&lt;&gt;"")),入力リスト!$K$34,IF($I1142=TRUE,入力リスト!$K$35,IF(J1142=FALSE,"「毎月の固定給与額」","")&amp;IF(AND(J1142=FALSE,OR(K1142=FALSE,L1142=FALSE,M1142=FALSE)),",","")&amp;IF(K1142=FALSE,"「賞与額等」","")&amp;IF(AND(K1142=FALSE,OR(L1142=FALSE,M1142=FALSE)),",","")&amp;IF(L1142=FALSE,"「残業手当」","")&amp;IF(AND(L1142=FALSE,M1142=FALSE),",","")&amp;IF(M1142=FALSE,"「残業時間」","")&amp;IF(OR(J1142=FALSE,K1142=FALSE,L1142=FALSE,M1142=FALSE),入力リスト!$K$36,"")&amp;IF(N1142,"",入力リスト!$K$37)))</f>
        <v/>
      </c>
      <c r="H1142" s="215"/>
      <c r="I1142" s="1" t="b">
        <f>IF(B1142="",FALSE,COUNTIF('従業員情報(給与以外)'!$A$4:$A$1000000,$B1142)=0)</f>
        <v>0</v>
      </c>
      <c r="J1142" s="8" t="b">
        <f t="shared" si="85"/>
        <v>1</v>
      </c>
      <c r="K1142" s="8" t="b">
        <f t="shared" si="86"/>
        <v>1</v>
      </c>
      <c r="L1142" s="8" t="b">
        <f t="shared" si="87"/>
        <v>1</v>
      </c>
      <c r="M1142" s="8" t="b">
        <f t="shared" si="88"/>
        <v>1</v>
      </c>
      <c r="N1142" s="1" t="b">
        <f t="shared" si="89"/>
        <v>1</v>
      </c>
      <c r="O1142" s="8" t="str">
        <f>IF(F1142="","",IF($F$2=入力リスト!$H$25,ROUNDDOWN(INT(F1142)+ROUNDDOWN((F1142-INT(F1142))*100,0)/60,2),F1142))</f>
        <v/>
      </c>
      <c r="P1142" s="7"/>
      <c r="Q1142" s="7"/>
    </row>
    <row r="1143" spans="1:17">
      <c r="A1143" s="105"/>
      <c r="B1143" s="2"/>
      <c r="C1143" s="3"/>
      <c r="D1143" s="3"/>
      <c r="E1143" s="3"/>
      <c r="F1143" s="8"/>
      <c r="G1143" s="215" t="str">
        <f>IF(AND($B1143="",OR(B1143&lt;&gt;"",C1143&lt;&gt;"",D1143&lt;&gt;"",E1143&lt;&gt;"",F1143&lt;&gt;"")),入力リスト!$K$34,IF($I1143=TRUE,入力リスト!$K$35,IF(J1143=FALSE,"「毎月の固定給与額」","")&amp;IF(AND(J1143=FALSE,OR(K1143=FALSE,L1143=FALSE,M1143=FALSE)),",","")&amp;IF(K1143=FALSE,"「賞与額等」","")&amp;IF(AND(K1143=FALSE,OR(L1143=FALSE,M1143=FALSE)),",","")&amp;IF(L1143=FALSE,"「残業手当」","")&amp;IF(AND(L1143=FALSE,M1143=FALSE),",","")&amp;IF(M1143=FALSE,"「残業時間」","")&amp;IF(OR(J1143=FALSE,K1143=FALSE,L1143=FALSE,M1143=FALSE),入力リスト!$K$36,"")&amp;IF(N1143,"",入力リスト!$K$37)))</f>
        <v/>
      </c>
      <c r="H1143" s="215"/>
      <c r="I1143" s="1" t="b">
        <f>IF(B1143="",FALSE,COUNTIF('従業員情報(給与以外)'!$A$4:$A$1000000,$B1143)=0)</f>
        <v>0</v>
      </c>
      <c r="J1143" s="8" t="b">
        <f t="shared" si="85"/>
        <v>1</v>
      </c>
      <c r="K1143" s="8" t="b">
        <f t="shared" si="86"/>
        <v>1</v>
      </c>
      <c r="L1143" s="8" t="b">
        <f t="shared" si="87"/>
        <v>1</v>
      </c>
      <c r="M1143" s="8" t="b">
        <f t="shared" si="88"/>
        <v>1</v>
      </c>
      <c r="N1143" s="1" t="b">
        <f t="shared" si="89"/>
        <v>1</v>
      </c>
      <c r="O1143" s="8" t="str">
        <f>IF(F1143="","",IF($F$2=入力リスト!$H$25,ROUNDDOWN(INT(F1143)+ROUNDDOWN((F1143-INT(F1143))*100,0)/60,2),F1143))</f>
        <v/>
      </c>
      <c r="P1143" s="7"/>
      <c r="Q1143" s="7"/>
    </row>
    <row r="1144" spans="1:17">
      <c r="A1144" s="105"/>
      <c r="B1144" s="2"/>
      <c r="C1144" s="3"/>
      <c r="D1144" s="3"/>
      <c r="E1144" s="3"/>
      <c r="F1144" s="8"/>
      <c r="G1144" s="215" t="str">
        <f>IF(AND($B1144="",OR(B1144&lt;&gt;"",C1144&lt;&gt;"",D1144&lt;&gt;"",E1144&lt;&gt;"",F1144&lt;&gt;"")),入力リスト!$K$34,IF($I1144=TRUE,入力リスト!$K$35,IF(J1144=FALSE,"「毎月の固定給与額」","")&amp;IF(AND(J1144=FALSE,OR(K1144=FALSE,L1144=FALSE,M1144=FALSE)),",","")&amp;IF(K1144=FALSE,"「賞与額等」","")&amp;IF(AND(K1144=FALSE,OR(L1144=FALSE,M1144=FALSE)),",","")&amp;IF(L1144=FALSE,"「残業手当」","")&amp;IF(AND(L1144=FALSE,M1144=FALSE),",","")&amp;IF(M1144=FALSE,"「残業時間」","")&amp;IF(OR(J1144=FALSE,K1144=FALSE,L1144=FALSE,M1144=FALSE),入力リスト!$K$36,"")&amp;IF(N1144,"",入力リスト!$K$37)))</f>
        <v/>
      </c>
      <c r="H1144" s="215"/>
      <c r="I1144" s="1" t="b">
        <f>IF(B1144="",FALSE,COUNTIF('従業員情報(給与以外)'!$A$4:$A$1000000,$B1144)=0)</f>
        <v>0</v>
      </c>
      <c r="J1144" s="8" t="b">
        <f t="shared" si="85"/>
        <v>1</v>
      </c>
      <c r="K1144" s="8" t="b">
        <f t="shared" si="86"/>
        <v>1</v>
      </c>
      <c r="L1144" s="8" t="b">
        <f t="shared" si="87"/>
        <v>1</v>
      </c>
      <c r="M1144" s="8" t="b">
        <f t="shared" si="88"/>
        <v>1</v>
      </c>
      <c r="N1144" s="1" t="b">
        <f t="shared" si="89"/>
        <v>1</v>
      </c>
      <c r="O1144" s="8" t="str">
        <f>IF(F1144="","",IF($F$2=入力リスト!$H$25,ROUNDDOWN(INT(F1144)+ROUNDDOWN((F1144-INT(F1144))*100,0)/60,2),F1144))</f>
        <v/>
      </c>
      <c r="P1144" s="7"/>
      <c r="Q1144" s="7"/>
    </row>
    <row r="1145" spans="1:17">
      <c r="A1145" s="105"/>
      <c r="B1145" s="2"/>
      <c r="C1145" s="3"/>
      <c r="D1145" s="3"/>
      <c r="E1145" s="3"/>
      <c r="F1145" s="8"/>
      <c r="G1145" s="215" t="str">
        <f>IF(AND($B1145="",OR(B1145&lt;&gt;"",C1145&lt;&gt;"",D1145&lt;&gt;"",E1145&lt;&gt;"",F1145&lt;&gt;"")),入力リスト!$K$34,IF($I1145=TRUE,入力リスト!$K$35,IF(J1145=FALSE,"「毎月の固定給与額」","")&amp;IF(AND(J1145=FALSE,OR(K1145=FALSE,L1145=FALSE,M1145=FALSE)),",","")&amp;IF(K1145=FALSE,"「賞与額等」","")&amp;IF(AND(K1145=FALSE,OR(L1145=FALSE,M1145=FALSE)),",","")&amp;IF(L1145=FALSE,"「残業手当」","")&amp;IF(AND(L1145=FALSE,M1145=FALSE),",","")&amp;IF(M1145=FALSE,"「残業時間」","")&amp;IF(OR(J1145=FALSE,K1145=FALSE,L1145=FALSE,M1145=FALSE),入力リスト!$K$36,"")&amp;IF(N1145,"",入力リスト!$K$37)))</f>
        <v/>
      </c>
      <c r="H1145" s="215"/>
      <c r="I1145" s="1" t="b">
        <f>IF(B1145="",FALSE,COUNTIF('従業員情報(給与以外)'!$A$4:$A$1000000,$B1145)=0)</f>
        <v>0</v>
      </c>
      <c r="J1145" s="8" t="b">
        <f t="shared" si="85"/>
        <v>1</v>
      </c>
      <c r="K1145" s="8" t="b">
        <f t="shared" si="86"/>
        <v>1</v>
      </c>
      <c r="L1145" s="8" t="b">
        <f t="shared" si="87"/>
        <v>1</v>
      </c>
      <c r="M1145" s="8" t="b">
        <f t="shared" si="88"/>
        <v>1</v>
      </c>
      <c r="N1145" s="1" t="b">
        <f t="shared" si="89"/>
        <v>1</v>
      </c>
      <c r="O1145" s="8" t="str">
        <f>IF(F1145="","",IF($F$2=入力リスト!$H$25,ROUNDDOWN(INT(F1145)+ROUNDDOWN((F1145-INT(F1145))*100,0)/60,2),F1145))</f>
        <v/>
      </c>
      <c r="P1145" s="7"/>
      <c r="Q1145" s="7"/>
    </row>
    <row r="1146" spans="1:17">
      <c r="A1146" s="105"/>
      <c r="B1146" s="2"/>
      <c r="C1146" s="3"/>
      <c r="D1146" s="3"/>
      <c r="E1146" s="3"/>
      <c r="F1146" s="8"/>
      <c r="G1146" s="215" t="str">
        <f>IF(AND($B1146="",OR(B1146&lt;&gt;"",C1146&lt;&gt;"",D1146&lt;&gt;"",E1146&lt;&gt;"",F1146&lt;&gt;"")),入力リスト!$K$34,IF($I1146=TRUE,入力リスト!$K$35,IF(J1146=FALSE,"「毎月の固定給与額」","")&amp;IF(AND(J1146=FALSE,OR(K1146=FALSE,L1146=FALSE,M1146=FALSE)),",","")&amp;IF(K1146=FALSE,"「賞与額等」","")&amp;IF(AND(K1146=FALSE,OR(L1146=FALSE,M1146=FALSE)),",","")&amp;IF(L1146=FALSE,"「残業手当」","")&amp;IF(AND(L1146=FALSE,M1146=FALSE),",","")&amp;IF(M1146=FALSE,"「残業時間」","")&amp;IF(OR(J1146=FALSE,K1146=FALSE,L1146=FALSE,M1146=FALSE),入力リスト!$K$36,"")&amp;IF(N1146,"",入力リスト!$K$37)))</f>
        <v/>
      </c>
      <c r="H1146" s="215"/>
      <c r="I1146" s="1" t="b">
        <f>IF(B1146="",FALSE,COUNTIF('従業員情報(給与以外)'!$A$4:$A$1000000,$B1146)=0)</f>
        <v>0</v>
      </c>
      <c r="J1146" s="8" t="b">
        <f t="shared" si="85"/>
        <v>1</v>
      </c>
      <c r="K1146" s="8" t="b">
        <f t="shared" si="86"/>
        <v>1</v>
      </c>
      <c r="L1146" s="8" t="b">
        <f t="shared" si="87"/>
        <v>1</v>
      </c>
      <c r="M1146" s="8" t="b">
        <f t="shared" si="88"/>
        <v>1</v>
      </c>
      <c r="N1146" s="1" t="b">
        <f t="shared" si="89"/>
        <v>1</v>
      </c>
      <c r="O1146" s="8" t="str">
        <f>IF(F1146="","",IF($F$2=入力リスト!$H$25,ROUNDDOWN(INT(F1146)+ROUNDDOWN((F1146-INT(F1146))*100,0)/60,2),F1146))</f>
        <v/>
      </c>
      <c r="P1146" s="7"/>
      <c r="Q1146" s="7"/>
    </row>
    <row r="1147" spans="1:17">
      <c r="A1147" s="105"/>
      <c r="B1147" s="2"/>
      <c r="C1147" s="3"/>
      <c r="D1147" s="3"/>
      <c r="E1147" s="3"/>
      <c r="F1147" s="8"/>
      <c r="G1147" s="215" t="str">
        <f>IF(AND($B1147="",OR(B1147&lt;&gt;"",C1147&lt;&gt;"",D1147&lt;&gt;"",E1147&lt;&gt;"",F1147&lt;&gt;"")),入力リスト!$K$34,IF($I1147=TRUE,入力リスト!$K$35,IF(J1147=FALSE,"「毎月の固定給与額」","")&amp;IF(AND(J1147=FALSE,OR(K1147=FALSE,L1147=FALSE,M1147=FALSE)),",","")&amp;IF(K1147=FALSE,"「賞与額等」","")&amp;IF(AND(K1147=FALSE,OR(L1147=FALSE,M1147=FALSE)),",","")&amp;IF(L1147=FALSE,"「残業手当」","")&amp;IF(AND(L1147=FALSE,M1147=FALSE),",","")&amp;IF(M1147=FALSE,"「残業時間」","")&amp;IF(OR(J1147=FALSE,K1147=FALSE,L1147=FALSE,M1147=FALSE),入力リスト!$K$36,"")&amp;IF(N1147,"",入力リスト!$K$37)))</f>
        <v/>
      </c>
      <c r="H1147" s="215"/>
      <c r="I1147" s="1" t="b">
        <f>IF(B1147="",FALSE,COUNTIF('従業員情報(給与以外)'!$A$4:$A$1000000,$B1147)=0)</f>
        <v>0</v>
      </c>
      <c r="J1147" s="8" t="b">
        <f t="shared" si="85"/>
        <v>1</v>
      </c>
      <c r="K1147" s="8" t="b">
        <f t="shared" si="86"/>
        <v>1</v>
      </c>
      <c r="L1147" s="8" t="b">
        <f t="shared" si="87"/>
        <v>1</v>
      </c>
      <c r="M1147" s="8" t="b">
        <f t="shared" si="88"/>
        <v>1</v>
      </c>
      <c r="N1147" s="1" t="b">
        <f t="shared" si="89"/>
        <v>1</v>
      </c>
      <c r="O1147" s="8" t="str">
        <f>IF(F1147="","",IF($F$2=入力リスト!$H$25,ROUNDDOWN(INT(F1147)+ROUNDDOWN((F1147-INT(F1147))*100,0)/60,2),F1147))</f>
        <v/>
      </c>
      <c r="P1147" s="7"/>
      <c r="Q1147" s="7"/>
    </row>
    <row r="1148" spans="1:17">
      <c r="A1148" s="105"/>
      <c r="B1148" s="2"/>
      <c r="C1148" s="3"/>
      <c r="D1148" s="3"/>
      <c r="E1148" s="3"/>
      <c r="F1148" s="8"/>
      <c r="G1148" s="215" t="str">
        <f>IF(AND($B1148="",OR(B1148&lt;&gt;"",C1148&lt;&gt;"",D1148&lt;&gt;"",E1148&lt;&gt;"",F1148&lt;&gt;"")),入力リスト!$K$34,IF($I1148=TRUE,入力リスト!$K$35,IF(J1148=FALSE,"「毎月の固定給与額」","")&amp;IF(AND(J1148=FALSE,OR(K1148=FALSE,L1148=FALSE,M1148=FALSE)),",","")&amp;IF(K1148=FALSE,"「賞与額等」","")&amp;IF(AND(K1148=FALSE,OR(L1148=FALSE,M1148=FALSE)),",","")&amp;IF(L1148=FALSE,"「残業手当」","")&amp;IF(AND(L1148=FALSE,M1148=FALSE),",","")&amp;IF(M1148=FALSE,"「残業時間」","")&amp;IF(OR(J1148=FALSE,K1148=FALSE,L1148=FALSE,M1148=FALSE),入力リスト!$K$36,"")&amp;IF(N1148,"",入力リスト!$K$37)))</f>
        <v/>
      </c>
      <c r="H1148" s="215"/>
      <c r="I1148" s="1" t="b">
        <f>IF(B1148="",FALSE,COUNTIF('従業員情報(給与以外)'!$A$4:$A$1000000,$B1148)=0)</f>
        <v>0</v>
      </c>
      <c r="J1148" s="8" t="b">
        <f t="shared" si="85"/>
        <v>1</v>
      </c>
      <c r="K1148" s="8" t="b">
        <f t="shared" si="86"/>
        <v>1</v>
      </c>
      <c r="L1148" s="8" t="b">
        <f t="shared" si="87"/>
        <v>1</v>
      </c>
      <c r="M1148" s="8" t="b">
        <f t="shared" si="88"/>
        <v>1</v>
      </c>
      <c r="N1148" s="1" t="b">
        <f t="shared" si="89"/>
        <v>1</v>
      </c>
      <c r="O1148" s="8" t="str">
        <f>IF(F1148="","",IF($F$2=入力リスト!$H$25,ROUNDDOWN(INT(F1148)+ROUNDDOWN((F1148-INT(F1148))*100,0)/60,2),F1148))</f>
        <v/>
      </c>
      <c r="P1148" s="7"/>
      <c r="Q1148" s="7"/>
    </row>
    <row r="1149" spans="1:17">
      <c r="A1149" s="105"/>
      <c r="B1149" s="2"/>
      <c r="C1149" s="3"/>
      <c r="D1149" s="3"/>
      <c r="E1149" s="3"/>
      <c r="F1149" s="8"/>
      <c r="G1149" s="215" t="str">
        <f>IF(AND($B1149="",OR(B1149&lt;&gt;"",C1149&lt;&gt;"",D1149&lt;&gt;"",E1149&lt;&gt;"",F1149&lt;&gt;"")),入力リスト!$K$34,IF($I1149=TRUE,入力リスト!$K$35,IF(J1149=FALSE,"「毎月の固定給与額」","")&amp;IF(AND(J1149=FALSE,OR(K1149=FALSE,L1149=FALSE,M1149=FALSE)),",","")&amp;IF(K1149=FALSE,"「賞与額等」","")&amp;IF(AND(K1149=FALSE,OR(L1149=FALSE,M1149=FALSE)),",","")&amp;IF(L1149=FALSE,"「残業手当」","")&amp;IF(AND(L1149=FALSE,M1149=FALSE),",","")&amp;IF(M1149=FALSE,"「残業時間」","")&amp;IF(OR(J1149=FALSE,K1149=FALSE,L1149=FALSE,M1149=FALSE),入力リスト!$K$36,"")&amp;IF(N1149,"",入力リスト!$K$37)))</f>
        <v/>
      </c>
      <c r="H1149" s="215"/>
      <c r="I1149" s="1" t="b">
        <f>IF(B1149="",FALSE,COUNTIF('従業員情報(給与以外)'!$A$4:$A$1000000,$B1149)=0)</f>
        <v>0</v>
      </c>
      <c r="J1149" s="8" t="b">
        <f t="shared" si="85"/>
        <v>1</v>
      </c>
      <c r="K1149" s="8" t="b">
        <f t="shared" si="86"/>
        <v>1</v>
      </c>
      <c r="L1149" s="8" t="b">
        <f t="shared" si="87"/>
        <v>1</v>
      </c>
      <c r="M1149" s="8" t="b">
        <f t="shared" si="88"/>
        <v>1</v>
      </c>
      <c r="N1149" s="1" t="b">
        <f t="shared" si="89"/>
        <v>1</v>
      </c>
      <c r="O1149" s="8" t="str">
        <f>IF(F1149="","",IF($F$2=入力リスト!$H$25,ROUNDDOWN(INT(F1149)+ROUNDDOWN((F1149-INT(F1149))*100,0)/60,2),F1149))</f>
        <v/>
      </c>
      <c r="P1149" s="7"/>
      <c r="Q1149" s="7"/>
    </row>
    <row r="1150" spans="1:17">
      <c r="A1150" s="105"/>
      <c r="B1150" s="2"/>
      <c r="C1150" s="3"/>
      <c r="D1150" s="3"/>
      <c r="E1150" s="3"/>
      <c r="F1150" s="8"/>
      <c r="G1150" s="215" t="str">
        <f>IF(AND($B1150="",OR(B1150&lt;&gt;"",C1150&lt;&gt;"",D1150&lt;&gt;"",E1150&lt;&gt;"",F1150&lt;&gt;"")),入力リスト!$K$34,IF($I1150=TRUE,入力リスト!$K$35,IF(J1150=FALSE,"「毎月の固定給与額」","")&amp;IF(AND(J1150=FALSE,OR(K1150=FALSE,L1150=FALSE,M1150=FALSE)),",","")&amp;IF(K1150=FALSE,"「賞与額等」","")&amp;IF(AND(K1150=FALSE,OR(L1150=FALSE,M1150=FALSE)),",","")&amp;IF(L1150=FALSE,"「残業手当」","")&amp;IF(AND(L1150=FALSE,M1150=FALSE),",","")&amp;IF(M1150=FALSE,"「残業時間」","")&amp;IF(OR(J1150=FALSE,K1150=FALSE,L1150=FALSE,M1150=FALSE),入力リスト!$K$36,"")&amp;IF(N1150,"",入力リスト!$K$37)))</f>
        <v/>
      </c>
      <c r="H1150" s="215"/>
      <c r="I1150" s="1" t="b">
        <f>IF(B1150="",FALSE,COUNTIF('従業員情報(給与以外)'!$A$4:$A$1000000,$B1150)=0)</f>
        <v>0</v>
      </c>
      <c r="J1150" s="8" t="b">
        <f t="shared" si="85"/>
        <v>1</v>
      </c>
      <c r="K1150" s="8" t="b">
        <f t="shared" si="86"/>
        <v>1</v>
      </c>
      <c r="L1150" s="8" t="b">
        <f t="shared" si="87"/>
        <v>1</v>
      </c>
      <c r="M1150" s="8" t="b">
        <f t="shared" si="88"/>
        <v>1</v>
      </c>
      <c r="N1150" s="1" t="b">
        <f t="shared" si="89"/>
        <v>1</v>
      </c>
      <c r="O1150" s="8" t="str">
        <f>IF(F1150="","",IF($F$2=入力リスト!$H$25,ROUNDDOWN(INT(F1150)+ROUNDDOWN((F1150-INT(F1150))*100,0)/60,2),F1150))</f>
        <v/>
      </c>
      <c r="P1150" s="7"/>
      <c r="Q1150" s="7"/>
    </row>
    <row r="1151" spans="1:17">
      <c r="A1151" s="105"/>
      <c r="B1151" s="2"/>
      <c r="C1151" s="3"/>
      <c r="D1151" s="3"/>
      <c r="E1151" s="3"/>
      <c r="F1151" s="8"/>
      <c r="G1151" s="215" t="str">
        <f>IF(AND($B1151="",OR(B1151&lt;&gt;"",C1151&lt;&gt;"",D1151&lt;&gt;"",E1151&lt;&gt;"",F1151&lt;&gt;"")),入力リスト!$K$34,IF($I1151=TRUE,入力リスト!$K$35,IF(J1151=FALSE,"「毎月の固定給与額」","")&amp;IF(AND(J1151=FALSE,OR(K1151=FALSE,L1151=FALSE,M1151=FALSE)),",","")&amp;IF(K1151=FALSE,"「賞与額等」","")&amp;IF(AND(K1151=FALSE,OR(L1151=FALSE,M1151=FALSE)),",","")&amp;IF(L1151=FALSE,"「残業手当」","")&amp;IF(AND(L1151=FALSE,M1151=FALSE),",","")&amp;IF(M1151=FALSE,"「残業時間」","")&amp;IF(OR(J1151=FALSE,K1151=FALSE,L1151=FALSE,M1151=FALSE),入力リスト!$K$36,"")&amp;IF(N1151,"",入力リスト!$K$37)))</f>
        <v/>
      </c>
      <c r="H1151" s="215"/>
      <c r="I1151" s="1" t="b">
        <f>IF(B1151="",FALSE,COUNTIF('従業員情報(給与以外)'!$A$4:$A$1000000,$B1151)=0)</f>
        <v>0</v>
      </c>
      <c r="J1151" s="8" t="b">
        <f t="shared" si="85"/>
        <v>1</v>
      </c>
      <c r="K1151" s="8" t="b">
        <f t="shared" si="86"/>
        <v>1</v>
      </c>
      <c r="L1151" s="8" t="b">
        <f t="shared" si="87"/>
        <v>1</v>
      </c>
      <c r="M1151" s="8" t="b">
        <f t="shared" si="88"/>
        <v>1</v>
      </c>
      <c r="N1151" s="1" t="b">
        <f t="shared" si="89"/>
        <v>1</v>
      </c>
      <c r="O1151" s="8" t="str">
        <f>IF(F1151="","",IF($F$2=入力リスト!$H$25,ROUNDDOWN(INT(F1151)+ROUNDDOWN((F1151-INT(F1151))*100,0)/60,2),F1151))</f>
        <v/>
      </c>
      <c r="P1151" s="7"/>
      <c r="Q1151" s="7"/>
    </row>
    <row r="1152" spans="1:17">
      <c r="A1152" s="105"/>
      <c r="B1152" s="2"/>
      <c r="C1152" s="3"/>
      <c r="D1152" s="3"/>
      <c r="E1152" s="3"/>
      <c r="F1152" s="8"/>
      <c r="G1152" s="215" t="str">
        <f>IF(AND($B1152="",OR(B1152&lt;&gt;"",C1152&lt;&gt;"",D1152&lt;&gt;"",E1152&lt;&gt;"",F1152&lt;&gt;"")),入力リスト!$K$34,IF($I1152=TRUE,入力リスト!$K$35,IF(J1152=FALSE,"「毎月の固定給与額」","")&amp;IF(AND(J1152=FALSE,OR(K1152=FALSE,L1152=FALSE,M1152=FALSE)),",","")&amp;IF(K1152=FALSE,"「賞与額等」","")&amp;IF(AND(K1152=FALSE,OR(L1152=FALSE,M1152=FALSE)),",","")&amp;IF(L1152=FALSE,"「残業手当」","")&amp;IF(AND(L1152=FALSE,M1152=FALSE),",","")&amp;IF(M1152=FALSE,"「残業時間」","")&amp;IF(OR(J1152=FALSE,K1152=FALSE,L1152=FALSE,M1152=FALSE),入力リスト!$K$36,"")&amp;IF(N1152,"",入力リスト!$K$37)))</f>
        <v/>
      </c>
      <c r="H1152" s="215"/>
      <c r="I1152" s="1" t="b">
        <f>IF(B1152="",FALSE,COUNTIF('従業員情報(給与以外)'!$A$4:$A$1000000,$B1152)=0)</f>
        <v>0</v>
      </c>
      <c r="J1152" s="8" t="b">
        <f t="shared" si="85"/>
        <v>1</v>
      </c>
      <c r="K1152" s="8" t="b">
        <f t="shared" si="86"/>
        <v>1</v>
      </c>
      <c r="L1152" s="8" t="b">
        <f t="shared" si="87"/>
        <v>1</v>
      </c>
      <c r="M1152" s="8" t="b">
        <f t="shared" si="88"/>
        <v>1</v>
      </c>
      <c r="N1152" s="1" t="b">
        <f t="shared" si="89"/>
        <v>1</v>
      </c>
      <c r="O1152" s="8" t="str">
        <f>IF(F1152="","",IF($F$2=入力リスト!$H$25,ROUNDDOWN(INT(F1152)+ROUNDDOWN((F1152-INT(F1152))*100,0)/60,2),F1152))</f>
        <v/>
      </c>
      <c r="P1152" s="7"/>
      <c r="Q1152" s="7"/>
    </row>
    <row r="1153" spans="1:17">
      <c r="A1153" s="105"/>
      <c r="B1153" s="2"/>
      <c r="C1153" s="3"/>
      <c r="D1153" s="3"/>
      <c r="E1153" s="3"/>
      <c r="F1153" s="8"/>
      <c r="G1153" s="215" t="str">
        <f>IF(AND($B1153="",OR(B1153&lt;&gt;"",C1153&lt;&gt;"",D1153&lt;&gt;"",E1153&lt;&gt;"",F1153&lt;&gt;"")),入力リスト!$K$34,IF($I1153=TRUE,入力リスト!$K$35,IF(J1153=FALSE,"「毎月の固定給与額」","")&amp;IF(AND(J1153=FALSE,OR(K1153=FALSE,L1153=FALSE,M1153=FALSE)),",","")&amp;IF(K1153=FALSE,"「賞与額等」","")&amp;IF(AND(K1153=FALSE,OR(L1153=FALSE,M1153=FALSE)),",","")&amp;IF(L1153=FALSE,"「残業手当」","")&amp;IF(AND(L1153=FALSE,M1153=FALSE),",","")&amp;IF(M1153=FALSE,"「残業時間」","")&amp;IF(OR(J1153=FALSE,K1153=FALSE,L1153=FALSE,M1153=FALSE),入力リスト!$K$36,"")&amp;IF(N1153,"",入力リスト!$K$37)))</f>
        <v/>
      </c>
      <c r="H1153" s="215"/>
      <c r="I1153" s="1" t="b">
        <f>IF(B1153="",FALSE,COUNTIF('従業員情報(給与以外)'!$A$4:$A$1000000,$B1153)=0)</f>
        <v>0</v>
      </c>
      <c r="J1153" s="8" t="b">
        <f t="shared" si="85"/>
        <v>1</v>
      </c>
      <c r="K1153" s="8" t="b">
        <f t="shared" si="86"/>
        <v>1</v>
      </c>
      <c r="L1153" s="8" t="b">
        <f t="shared" si="87"/>
        <v>1</v>
      </c>
      <c r="M1153" s="8" t="b">
        <f t="shared" si="88"/>
        <v>1</v>
      </c>
      <c r="N1153" s="1" t="b">
        <f t="shared" si="89"/>
        <v>1</v>
      </c>
      <c r="O1153" s="8" t="str">
        <f>IF(F1153="","",IF($F$2=入力リスト!$H$25,ROUNDDOWN(INT(F1153)+ROUNDDOWN((F1153-INT(F1153))*100,0)/60,2),F1153))</f>
        <v/>
      </c>
      <c r="P1153" s="7"/>
      <c r="Q1153" s="7"/>
    </row>
    <row r="1154" spans="1:17">
      <c r="A1154" s="105"/>
      <c r="B1154" s="2"/>
      <c r="C1154" s="3"/>
      <c r="D1154" s="3"/>
      <c r="E1154" s="3"/>
      <c r="F1154" s="8"/>
      <c r="G1154" s="215" t="str">
        <f>IF(AND($B1154="",OR(B1154&lt;&gt;"",C1154&lt;&gt;"",D1154&lt;&gt;"",E1154&lt;&gt;"",F1154&lt;&gt;"")),入力リスト!$K$34,IF($I1154=TRUE,入力リスト!$K$35,IF(J1154=FALSE,"「毎月の固定給与額」","")&amp;IF(AND(J1154=FALSE,OR(K1154=FALSE,L1154=FALSE,M1154=FALSE)),",","")&amp;IF(K1154=FALSE,"「賞与額等」","")&amp;IF(AND(K1154=FALSE,OR(L1154=FALSE,M1154=FALSE)),",","")&amp;IF(L1154=FALSE,"「残業手当」","")&amp;IF(AND(L1154=FALSE,M1154=FALSE),",","")&amp;IF(M1154=FALSE,"「残業時間」","")&amp;IF(OR(J1154=FALSE,K1154=FALSE,L1154=FALSE,M1154=FALSE),入力リスト!$K$36,"")&amp;IF(N1154,"",入力リスト!$K$37)))</f>
        <v/>
      </c>
      <c r="H1154" s="215"/>
      <c r="I1154" s="1" t="b">
        <f>IF(B1154="",FALSE,COUNTIF('従業員情報(給与以外)'!$A$4:$A$1000000,$B1154)=0)</f>
        <v>0</v>
      </c>
      <c r="J1154" s="8" t="b">
        <f t="shared" si="85"/>
        <v>1</v>
      </c>
      <c r="K1154" s="8" t="b">
        <f t="shared" si="86"/>
        <v>1</v>
      </c>
      <c r="L1154" s="8" t="b">
        <f t="shared" si="87"/>
        <v>1</v>
      </c>
      <c r="M1154" s="8" t="b">
        <f t="shared" si="88"/>
        <v>1</v>
      </c>
      <c r="N1154" s="1" t="b">
        <f t="shared" si="89"/>
        <v>1</v>
      </c>
      <c r="O1154" s="8" t="str">
        <f>IF(F1154="","",IF($F$2=入力リスト!$H$25,ROUNDDOWN(INT(F1154)+ROUNDDOWN((F1154-INT(F1154))*100,0)/60,2),F1154))</f>
        <v/>
      </c>
      <c r="P1154" s="7"/>
      <c r="Q1154" s="7"/>
    </row>
    <row r="1155" spans="1:17">
      <c r="A1155" s="105"/>
      <c r="B1155" s="2"/>
      <c r="C1155" s="3"/>
      <c r="D1155" s="3"/>
      <c r="E1155" s="3"/>
      <c r="F1155" s="8"/>
      <c r="G1155" s="215" t="str">
        <f>IF(AND($B1155="",OR(B1155&lt;&gt;"",C1155&lt;&gt;"",D1155&lt;&gt;"",E1155&lt;&gt;"",F1155&lt;&gt;"")),入力リスト!$K$34,IF($I1155=TRUE,入力リスト!$K$35,IF(J1155=FALSE,"「毎月の固定給与額」","")&amp;IF(AND(J1155=FALSE,OR(K1155=FALSE,L1155=FALSE,M1155=FALSE)),",","")&amp;IF(K1155=FALSE,"「賞与額等」","")&amp;IF(AND(K1155=FALSE,OR(L1155=FALSE,M1155=FALSE)),",","")&amp;IF(L1155=FALSE,"「残業手当」","")&amp;IF(AND(L1155=FALSE,M1155=FALSE),",","")&amp;IF(M1155=FALSE,"「残業時間」","")&amp;IF(OR(J1155=FALSE,K1155=FALSE,L1155=FALSE,M1155=FALSE),入力リスト!$K$36,"")&amp;IF(N1155,"",入力リスト!$K$37)))</f>
        <v/>
      </c>
      <c r="H1155" s="215"/>
      <c r="I1155" s="1" t="b">
        <f>IF(B1155="",FALSE,COUNTIF('従業員情報(給与以外)'!$A$4:$A$1000000,$B1155)=0)</f>
        <v>0</v>
      </c>
      <c r="J1155" s="8" t="b">
        <f t="shared" si="85"/>
        <v>1</v>
      </c>
      <c r="K1155" s="8" t="b">
        <f t="shared" si="86"/>
        <v>1</v>
      </c>
      <c r="L1155" s="8" t="b">
        <f t="shared" si="87"/>
        <v>1</v>
      </c>
      <c r="M1155" s="8" t="b">
        <f t="shared" si="88"/>
        <v>1</v>
      </c>
      <c r="N1155" s="1" t="b">
        <f t="shared" si="89"/>
        <v>1</v>
      </c>
      <c r="O1155" s="8" t="str">
        <f>IF(F1155="","",IF($F$2=入力リスト!$H$25,ROUNDDOWN(INT(F1155)+ROUNDDOWN((F1155-INT(F1155))*100,0)/60,2),F1155))</f>
        <v/>
      </c>
      <c r="P1155" s="7"/>
      <c r="Q1155" s="7"/>
    </row>
    <row r="1156" spans="1:17">
      <c r="A1156" s="105"/>
      <c r="B1156" s="2"/>
      <c r="C1156" s="3"/>
      <c r="D1156" s="3"/>
      <c r="E1156" s="3"/>
      <c r="F1156" s="8"/>
      <c r="G1156" s="215" t="str">
        <f>IF(AND($B1156="",OR(B1156&lt;&gt;"",C1156&lt;&gt;"",D1156&lt;&gt;"",E1156&lt;&gt;"",F1156&lt;&gt;"")),入力リスト!$K$34,IF($I1156=TRUE,入力リスト!$K$35,IF(J1156=FALSE,"「毎月の固定給与額」","")&amp;IF(AND(J1156=FALSE,OR(K1156=FALSE,L1156=FALSE,M1156=FALSE)),",","")&amp;IF(K1156=FALSE,"「賞与額等」","")&amp;IF(AND(K1156=FALSE,OR(L1156=FALSE,M1156=FALSE)),",","")&amp;IF(L1156=FALSE,"「残業手当」","")&amp;IF(AND(L1156=FALSE,M1156=FALSE),",","")&amp;IF(M1156=FALSE,"「残業時間」","")&amp;IF(OR(J1156=FALSE,K1156=FALSE,L1156=FALSE,M1156=FALSE),入力リスト!$K$36,"")&amp;IF(N1156,"",入力リスト!$K$37)))</f>
        <v/>
      </c>
      <c r="H1156" s="215"/>
      <c r="I1156" s="1" t="b">
        <f>IF(B1156="",FALSE,COUNTIF('従業員情報(給与以外)'!$A$4:$A$1000000,$B1156)=0)</f>
        <v>0</v>
      </c>
      <c r="J1156" s="8" t="b">
        <f t="shared" si="85"/>
        <v>1</v>
      </c>
      <c r="K1156" s="8" t="b">
        <f t="shared" si="86"/>
        <v>1</v>
      </c>
      <c r="L1156" s="8" t="b">
        <f t="shared" si="87"/>
        <v>1</v>
      </c>
      <c r="M1156" s="8" t="b">
        <f t="shared" si="88"/>
        <v>1</v>
      </c>
      <c r="N1156" s="1" t="b">
        <f t="shared" si="89"/>
        <v>1</v>
      </c>
      <c r="O1156" s="8" t="str">
        <f>IF(F1156="","",IF($F$2=入力リスト!$H$25,ROUNDDOWN(INT(F1156)+ROUNDDOWN((F1156-INT(F1156))*100,0)/60,2),F1156))</f>
        <v/>
      </c>
      <c r="P1156" s="7"/>
      <c r="Q1156" s="7"/>
    </row>
    <row r="1157" spans="1:17">
      <c r="A1157" s="105"/>
      <c r="B1157" s="2"/>
      <c r="C1157" s="3"/>
      <c r="D1157" s="3"/>
      <c r="E1157" s="3"/>
      <c r="F1157" s="8"/>
      <c r="G1157" s="215" t="str">
        <f>IF(AND($B1157="",OR(B1157&lt;&gt;"",C1157&lt;&gt;"",D1157&lt;&gt;"",E1157&lt;&gt;"",F1157&lt;&gt;"")),入力リスト!$K$34,IF($I1157=TRUE,入力リスト!$K$35,IF(J1157=FALSE,"「毎月の固定給与額」","")&amp;IF(AND(J1157=FALSE,OR(K1157=FALSE,L1157=FALSE,M1157=FALSE)),",","")&amp;IF(K1157=FALSE,"「賞与額等」","")&amp;IF(AND(K1157=FALSE,OR(L1157=FALSE,M1157=FALSE)),",","")&amp;IF(L1157=FALSE,"「残業手当」","")&amp;IF(AND(L1157=FALSE,M1157=FALSE),",","")&amp;IF(M1157=FALSE,"「残業時間」","")&amp;IF(OR(J1157=FALSE,K1157=FALSE,L1157=FALSE,M1157=FALSE),入力リスト!$K$36,"")&amp;IF(N1157,"",入力リスト!$K$37)))</f>
        <v/>
      </c>
      <c r="H1157" s="215"/>
      <c r="I1157" s="1" t="b">
        <f>IF(B1157="",FALSE,COUNTIF('従業員情報(給与以外)'!$A$4:$A$1000000,$B1157)=0)</f>
        <v>0</v>
      </c>
      <c r="J1157" s="8" t="b">
        <f t="shared" ref="J1157:J1220" si="90">OR(C1157="",ISNUMBER(C1157))</f>
        <v>1</v>
      </c>
      <c r="K1157" s="8" t="b">
        <f t="shared" ref="K1157:K1220" si="91">OR(D1157="",ISNUMBER(D1157))</f>
        <v>1</v>
      </c>
      <c r="L1157" s="8" t="b">
        <f t="shared" ref="L1157:L1220" si="92">OR(E1157="",ISNUMBER(E1157))</f>
        <v>1</v>
      </c>
      <c r="M1157" s="8" t="b">
        <f t="shared" ref="M1157:M1220" si="93">OR(F1157="",ISNUMBER(F1157))</f>
        <v>1</v>
      </c>
      <c r="N1157" s="1" t="b">
        <f t="shared" ref="N1157:N1220" si="94">IF($N$1,TRUE,IF($N$2,IF(F1157-INT(F1157)&lt;0.6,TRUE,FALSE),TRUE))</f>
        <v>1</v>
      </c>
      <c r="O1157" s="8" t="str">
        <f>IF(F1157="","",IF($F$2=入力リスト!$H$25,ROUNDDOWN(INT(F1157)+ROUNDDOWN((F1157-INT(F1157))*100,0)/60,2),F1157))</f>
        <v/>
      </c>
      <c r="P1157" s="7"/>
      <c r="Q1157" s="7"/>
    </row>
    <row r="1158" spans="1:17">
      <c r="A1158" s="105"/>
      <c r="B1158" s="2"/>
      <c r="C1158" s="3"/>
      <c r="D1158" s="3"/>
      <c r="E1158" s="3"/>
      <c r="F1158" s="8"/>
      <c r="G1158" s="215" t="str">
        <f>IF(AND($B1158="",OR(B1158&lt;&gt;"",C1158&lt;&gt;"",D1158&lt;&gt;"",E1158&lt;&gt;"",F1158&lt;&gt;"")),入力リスト!$K$34,IF($I1158=TRUE,入力リスト!$K$35,IF(J1158=FALSE,"「毎月の固定給与額」","")&amp;IF(AND(J1158=FALSE,OR(K1158=FALSE,L1158=FALSE,M1158=FALSE)),",","")&amp;IF(K1158=FALSE,"「賞与額等」","")&amp;IF(AND(K1158=FALSE,OR(L1158=FALSE,M1158=FALSE)),",","")&amp;IF(L1158=FALSE,"「残業手当」","")&amp;IF(AND(L1158=FALSE,M1158=FALSE),",","")&amp;IF(M1158=FALSE,"「残業時間」","")&amp;IF(OR(J1158=FALSE,K1158=FALSE,L1158=FALSE,M1158=FALSE),入力リスト!$K$36,"")&amp;IF(N1158,"",入力リスト!$K$37)))</f>
        <v/>
      </c>
      <c r="H1158" s="215"/>
      <c r="I1158" s="1" t="b">
        <f>IF(B1158="",FALSE,COUNTIF('従業員情報(給与以外)'!$A$4:$A$1000000,$B1158)=0)</f>
        <v>0</v>
      </c>
      <c r="J1158" s="8" t="b">
        <f t="shared" si="90"/>
        <v>1</v>
      </c>
      <c r="K1158" s="8" t="b">
        <f t="shared" si="91"/>
        <v>1</v>
      </c>
      <c r="L1158" s="8" t="b">
        <f t="shared" si="92"/>
        <v>1</v>
      </c>
      <c r="M1158" s="8" t="b">
        <f t="shared" si="93"/>
        <v>1</v>
      </c>
      <c r="N1158" s="1" t="b">
        <f t="shared" si="94"/>
        <v>1</v>
      </c>
      <c r="O1158" s="8" t="str">
        <f>IF(F1158="","",IF($F$2=入力リスト!$H$25,ROUNDDOWN(INT(F1158)+ROUNDDOWN((F1158-INT(F1158))*100,0)/60,2),F1158))</f>
        <v/>
      </c>
      <c r="P1158" s="7"/>
      <c r="Q1158" s="7"/>
    </row>
    <row r="1159" spans="1:17">
      <c r="A1159" s="105"/>
      <c r="B1159" s="2"/>
      <c r="C1159" s="3"/>
      <c r="D1159" s="3"/>
      <c r="E1159" s="3"/>
      <c r="F1159" s="8"/>
      <c r="G1159" s="215" t="str">
        <f>IF(AND($B1159="",OR(B1159&lt;&gt;"",C1159&lt;&gt;"",D1159&lt;&gt;"",E1159&lt;&gt;"",F1159&lt;&gt;"")),入力リスト!$K$34,IF($I1159=TRUE,入力リスト!$K$35,IF(J1159=FALSE,"「毎月の固定給与額」","")&amp;IF(AND(J1159=FALSE,OR(K1159=FALSE,L1159=FALSE,M1159=FALSE)),",","")&amp;IF(K1159=FALSE,"「賞与額等」","")&amp;IF(AND(K1159=FALSE,OR(L1159=FALSE,M1159=FALSE)),",","")&amp;IF(L1159=FALSE,"「残業手当」","")&amp;IF(AND(L1159=FALSE,M1159=FALSE),",","")&amp;IF(M1159=FALSE,"「残業時間」","")&amp;IF(OR(J1159=FALSE,K1159=FALSE,L1159=FALSE,M1159=FALSE),入力リスト!$K$36,"")&amp;IF(N1159,"",入力リスト!$K$37)))</f>
        <v/>
      </c>
      <c r="H1159" s="215"/>
      <c r="I1159" s="1" t="b">
        <f>IF(B1159="",FALSE,COUNTIF('従業員情報(給与以外)'!$A$4:$A$1000000,$B1159)=0)</f>
        <v>0</v>
      </c>
      <c r="J1159" s="8" t="b">
        <f t="shared" si="90"/>
        <v>1</v>
      </c>
      <c r="K1159" s="8" t="b">
        <f t="shared" si="91"/>
        <v>1</v>
      </c>
      <c r="L1159" s="8" t="b">
        <f t="shared" si="92"/>
        <v>1</v>
      </c>
      <c r="M1159" s="8" t="b">
        <f t="shared" si="93"/>
        <v>1</v>
      </c>
      <c r="N1159" s="1" t="b">
        <f t="shared" si="94"/>
        <v>1</v>
      </c>
      <c r="O1159" s="8" t="str">
        <f>IF(F1159="","",IF($F$2=入力リスト!$H$25,ROUNDDOWN(INT(F1159)+ROUNDDOWN((F1159-INT(F1159))*100,0)/60,2),F1159))</f>
        <v/>
      </c>
      <c r="P1159" s="7"/>
      <c r="Q1159" s="7"/>
    </row>
    <row r="1160" spans="1:17">
      <c r="A1160" s="105"/>
      <c r="B1160" s="2"/>
      <c r="C1160" s="3"/>
      <c r="D1160" s="3"/>
      <c r="E1160" s="3"/>
      <c r="F1160" s="8"/>
      <c r="G1160" s="215" t="str">
        <f>IF(AND($B1160="",OR(B1160&lt;&gt;"",C1160&lt;&gt;"",D1160&lt;&gt;"",E1160&lt;&gt;"",F1160&lt;&gt;"")),入力リスト!$K$34,IF($I1160=TRUE,入力リスト!$K$35,IF(J1160=FALSE,"「毎月の固定給与額」","")&amp;IF(AND(J1160=FALSE,OR(K1160=FALSE,L1160=FALSE,M1160=FALSE)),",","")&amp;IF(K1160=FALSE,"「賞与額等」","")&amp;IF(AND(K1160=FALSE,OR(L1160=FALSE,M1160=FALSE)),",","")&amp;IF(L1160=FALSE,"「残業手当」","")&amp;IF(AND(L1160=FALSE,M1160=FALSE),",","")&amp;IF(M1160=FALSE,"「残業時間」","")&amp;IF(OR(J1160=FALSE,K1160=FALSE,L1160=FALSE,M1160=FALSE),入力リスト!$K$36,"")&amp;IF(N1160,"",入力リスト!$K$37)))</f>
        <v/>
      </c>
      <c r="H1160" s="215"/>
      <c r="I1160" s="1" t="b">
        <f>IF(B1160="",FALSE,COUNTIF('従業員情報(給与以外)'!$A$4:$A$1000000,$B1160)=0)</f>
        <v>0</v>
      </c>
      <c r="J1160" s="8" t="b">
        <f t="shared" si="90"/>
        <v>1</v>
      </c>
      <c r="K1160" s="8" t="b">
        <f t="shared" si="91"/>
        <v>1</v>
      </c>
      <c r="L1160" s="8" t="b">
        <f t="shared" si="92"/>
        <v>1</v>
      </c>
      <c r="M1160" s="8" t="b">
        <f t="shared" si="93"/>
        <v>1</v>
      </c>
      <c r="N1160" s="1" t="b">
        <f t="shared" si="94"/>
        <v>1</v>
      </c>
      <c r="O1160" s="8" t="str">
        <f>IF(F1160="","",IF($F$2=入力リスト!$H$25,ROUNDDOWN(INT(F1160)+ROUNDDOWN((F1160-INT(F1160))*100,0)/60,2),F1160))</f>
        <v/>
      </c>
      <c r="P1160" s="7"/>
      <c r="Q1160" s="7"/>
    </row>
    <row r="1161" spans="1:17">
      <c r="A1161" s="105"/>
      <c r="B1161" s="2"/>
      <c r="C1161" s="3"/>
      <c r="D1161" s="3"/>
      <c r="E1161" s="3"/>
      <c r="F1161" s="8"/>
      <c r="G1161" s="215" t="str">
        <f>IF(AND($B1161="",OR(B1161&lt;&gt;"",C1161&lt;&gt;"",D1161&lt;&gt;"",E1161&lt;&gt;"",F1161&lt;&gt;"")),入力リスト!$K$34,IF($I1161=TRUE,入力リスト!$K$35,IF(J1161=FALSE,"「毎月の固定給与額」","")&amp;IF(AND(J1161=FALSE,OR(K1161=FALSE,L1161=FALSE,M1161=FALSE)),",","")&amp;IF(K1161=FALSE,"「賞与額等」","")&amp;IF(AND(K1161=FALSE,OR(L1161=FALSE,M1161=FALSE)),",","")&amp;IF(L1161=FALSE,"「残業手当」","")&amp;IF(AND(L1161=FALSE,M1161=FALSE),",","")&amp;IF(M1161=FALSE,"「残業時間」","")&amp;IF(OR(J1161=FALSE,K1161=FALSE,L1161=FALSE,M1161=FALSE),入力リスト!$K$36,"")&amp;IF(N1161,"",入力リスト!$K$37)))</f>
        <v/>
      </c>
      <c r="H1161" s="215"/>
      <c r="I1161" s="1" t="b">
        <f>IF(B1161="",FALSE,COUNTIF('従業員情報(給与以外)'!$A$4:$A$1000000,$B1161)=0)</f>
        <v>0</v>
      </c>
      <c r="J1161" s="8" t="b">
        <f t="shared" si="90"/>
        <v>1</v>
      </c>
      <c r="K1161" s="8" t="b">
        <f t="shared" si="91"/>
        <v>1</v>
      </c>
      <c r="L1161" s="8" t="b">
        <f t="shared" si="92"/>
        <v>1</v>
      </c>
      <c r="M1161" s="8" t="b">
        <f t="shared" si="93"/>
        <v>1</v>
      </c>
      <c r="N1161" s="1" t="b">
        <f t="shared" si="94"/>
        <v>1</v>
      </c>
      <c r="O1161" s="8" t="str">
        <f>IF(F1161="","",IF($F$2=入力リスト!$H$25,ROUNDDOWN(INT(F1161)+ROUNDDOWN((F1161-INT(F1161))*100,0)/60,2),F1161))</f>
        <v/>
      </c>
      <c r="P1161" s="7"/>
      <c r="Q1161" s="7"/>
    </row>
    <row r="1162" spans="1:17">
      <c r="A1162" s="105"/>
      <c r="B1162" s="2"/>
      <c r="C1162" s="3"/>
      <c r="D1162" s="3"/>
      <c r="E1162" s="3"/>
      <c r="F1162" s="8"/>
      <c r="G1162" s="215" t="str">
        <f>IF(AND($B1162="",OR(B1162&lt;&gt;"",C1162&lt;&gt;"",D1162&lt;&gt;"",E1162&lt;&gt;"",F1162&lt;&gt;"")),入力リスト!$K$34,IF($I1162=TRUE,入力リスト!$K$35,IF(J1162=FALSE,"「毎月の固定給与額」","")&amp;IF(AND(J1162=FALSE,OR(K1162=FALSE,L1162=FALSE,M1162=FALSE)),",","")&amp;IF(K1162=FALSE,"「賞与額等」","")&amp;IF(AND(K1162=FALSE,OR(L1162=FALSE,M1162=FALSE)),",","")&amp;IF(L1162=FALSE,"「残業手当」","")&amp;IF(AND(L1162=FALSE,M1162=FALSE),",","")&amp;IF(M1162=FALSE,"「残業時間」","")&amp;IF(OR(J1162=FALSE,K1162=FALSE,L1162=FALSE,M1162=FALSE),入力リスト!$K$36,"")&amp;IF(N1162,"",入力リスト!$K$37)))</f>
        <v/>
      </c>
      <c r="H1162" s="215"/>
      <c r="I1162" s="1" t="b">
        <f>IF(B1162="",FALSE,COUNTIF('従業員情報(給与以外)'!$A$4:$A$1000000,$B1162)=0)</f>
        <v>0</v>
      </c>
      <c r="J1162" s="8" t="b">
        <f t="shared" si="90"/>
        <v>1</v>
      </c>
      <c r="K1162" s="8" t="b">
        <f t="shared" si="91"/>
        <v>1</v>
      </c>
      <c r="L1162" s="8" t="b">
        <f t="shared" si="92"/>
        <v>1</v>
      </c>
      <c r="M1162" s="8" t="b">
        <f t="shared" si="93"/>
        <v>1</v>
      </c>
      <c r="N1162" s="1" t="b">
        <f t="shared" si="94"/>
        <v>1</v>
      </c>
      <c r="O1162" s="8" t="str">
        <f>IF(F1162="","",IF($F$2=入力リスト!$H$25,ROUNDDOWN(INT(F1162)+ROUNDDOWN((F1162-INT(F1162))*100,0)/60,2),F1162))</f>
        <v/>
      </c>
      <c r="P1162" s="7"/>
      <c r="Q1162" s="7"/>
    </row>
    <row r="1163" spans="1:17">
      <c r="A1163" s="105"/>
      <c r="B1163" s="2"/>
      <c r="C1163" s="3"/>
      <c r="D1163" s="3"/>
      <c r="E1163" s="3"/>
      <c r="F1163" s="8"/>
      <c r="G1163" s="215" t="str">
        <f>IF(AND($B1163="",OR(B1163&lt;&gt;"",C1163&lt;&gt;"",D1163&lt;&gt;"",E1163&lt;&gt;"",F1163&lt;&gt;"")),入力リスト!$K$34,IF($I1163=TRUE,入力リスト!$K$35,IF(J1163=FALSE,"「毎月の固定給与額」","")&amp;IF(AND(J1163=FALSE,OR(K1163=FALSE,L1163=FALSE,M1163=FALSE)),",","")&amp;IF(K1163=FALSE,"「賞与額等」","")&amp;IF(AND(K1163=FALSE,OR(L1163=FALSE,M1163=FALSE)),",","")&amp;IF(L1163=FALSE,"「残業手当」","")&amp;IF(AND(L1163=FALSE,M1163=FALSE),",","")&amp;IF(M1163=FALSE,"「残業時間」","")&amp;IF(OR(J1163=FALSE,K1163=FALSE,L1163=FALSE,M1163=FALSE),入力リスト!$K$36,"")&amp;IF(N1163,"",入力リスト!$K$37)))</f>
        <v/>
      </c>
      <c r="H1163" s="215"/>
      <c r="I1163" s="1" t="b">
        <f>IF(B1163="",FALSE,COUNTIF('従業員情報(給与以外)'!$A$4:$A$1000000,$B1163)=0)</f>
        <v>0</v>
      </c>
      <c r="J1163" s="8" t="b">
        <f t="shared" si="90"/>
        <v>1</v>
      </c>
      <c r="K1163" s="8" t="b">
        <f t="shared" si="91"/>
        <v>1</v>
      </c>
      <c r="L1163" s="8" t="b">
        <f t="shared" si="92"/>
        <v>1</v>
      </c>
      <c r="M1163" s="8" t="b">
        <f t="shared" si="93"/>
        <v>1</v>
      </c>
      <c r="N1163" s="1" t="b">
        <f t="shared" si="94"/>
        <v>1</v>
      </c>
      <c r="O1163" s="8" t="str">
        <f>IF(F1163="","",IF($F$2=入力リスト!$H$25,ROUNDDOWN(INT(F1163)+ROUNDDOWN((F1163-INT(F1163))*100,0)/60,2),F1163))</f>
        <v/>
      </c>
      <c r="P1163" s="7"/>
      <c r="Q1163" s="7"/>
    </row>
    <row r="1164" spans="1:17">
      <c r="A1164" s="105"/>
      <c r="B1164" s="2"/>
      <c r="C1164" s="3"/>
      <c r="D1164" s="3"/>
      <c r="E1164" s="3"/>
      <c r="F1164" s="8"/>
      <c r="G1164" s="215" t="str">
        <f>IF(AND($B1164="",OR(B1164&lt;&gt;"",C1164&lt;&gt;"",D1164&lt;&gt;"",E1164&lt;&gt;"",F1164&lt;&gt;"")),入力リスト!$K$34,IF($I1164=TRUE,入力リスト!$K$35,IF(J1164=FALSE,"「毎月の固定給与額」","")&amp;IF(AND(J1164=FALSE,OR(K1164=FALSE,L1164=FALSE,M1164=FALSE)),",","")&amp;IF(K1164=FALSE,"「賞与額等」","")&amp;IF(AND(K1164=FALSE,OR(L1164=FALSE,M1164=FALSE)),",","")&amp;IF(L1164=FALSE,"「残業手当」","")&amp;IF(AND(L1164=FALSE,M1164=FALSE),",","")&amp;IF(M1164=FALSE,"「残業時間」","")&amp;IF(OR(J1164=FALSE,K1164=FALSE,L1164=FALSE,M1164=FALSE),入力リスト!$K$36,"")&amp;IF(N1164,"",入力リスト!$K$37)))</f>
        <v/>
      </c>
      <c r="H1164" s="215"/>
      <c r="I1164" s="1" t="b">
        <f>IF(B1164="",FALSE,COUNTIF('従業員情報(給与以外)'!$A$4:$A$1000000,$B1164)=0)</f>
        <v>0</v>
      </c>
      <c r="J1164" s="8" t="b">
        <f t="shared" si="90"/>
        <v>1</v>
      </c>
      <c r="K1164" s="8" t="b">
        <f t="shared" si="91"/>
        <v>1</v>
      </c>
      <c r="L1164" s="8" t="b">
        <f t="shared" si="92"/>
        <v>1</v>
      </c>
      <c r="M1164" s="8" t="b">
        <f t="shared" si="93"/>
        <v>1</v>
      </c>
      <c r="N1164" s="1" t="b">
        <f t="shared" si="94"/>
        <v>1</v>
      </c>
      <c r="O1164" s="8" t="str">
        <f>IF(F1164="","",IF($F$2=入力リスト!$H$25,ROUNDDOWN(INT(F1164)+ROUNDDOWN((F1164-INT(F1164))*100,0)/60,2),F1164))</f>
        <v/>
      </c>
      <c r="P1164" s="7"/>
      <c r="Q1164" s="7"/>
    </row>
    <row r="1165" spans="1:17">
      <c r="A1165" s="105"/>
      <c r="B1165" s="2"/>
      <c r="C1165" s="3"/>
      <c r="D1165" s="3"/>
      <c r="E1165" s="3"/>
      <c r="F1165" s="8"/>
      <c r="G1165" s="215" t="str">
        <f>IF(AND($B1165="",OR(B1165&lt;&gt;"",C1165&lt;&gt;"",D1165&lt;&gt;"",E1165&lt;&gt;"",F1165&lt;&gt;"")),入力リスト!$K$34,IF($I1165=TRUE,入力リスト!$K$35,IF(J1165=FALSE,"「毎月の固定給与額」","")&amp;IF(AND(J1165=FALSE,OR(K1165=FALSE,L1165=FALSE,M1165=FALSE)),",","")&amp;IF(K1165=FALSE,"「賞与額等」","")&amp;IF(AND(K1165=FALSE,OR(L1165=FALSE,M1165=FALSE)),",","")&amp;IF(L1165=FALSE,"「残業手当」","")&amp;IF(AND(L1165=FALSE,M1165=FALSE),",","")&amp;IF(M1165=FALSE,"「残業時間」","")&amp;IF(OR(J1165=FALSE,K1165=FALSE,L1165=FALSE,M1165=FALSE),入力リスト!$K$36,"")&amp;IF(N1165,"",入力リスト!$K$37)))</f>
        <v/>
      </c>
      <c r="H1165" s="215"/>
      <c r="I1165" s="1" t="b">
        <f>IF(B1165="",FALSE,COUNTIF('従業員情報(給与以外)'!$A$4:$A$1000000,$B1165)=0)</f>
        <v>0</v>
      </c>
      <c r="J1165" s="8" t="b">
        <f t="shared" si="90"/>
        <v>1</v>
      </c>
      <c r="K1165" s="8" t="b">
        <f t="shared" si="91"/>
        <v>1</v>
      </c>
      <c r="L1165" s="8" t="b">
        <f t="shared" si="92"/>
        <v>1</v>
      </c>
      <c r="M1165" s="8" t="b">
        <f t="shared" si="93"/>
        <v>1</v>
      </c>
      <c r="N1165" s="1" t="b">
        <f t="shared" si="94"/>
        <v>1</v>
      </c>
      <c r="O1165" s="8" t="str">
        <f>IF(F1165="","",IF($F$2=入力リスト!$H$25,ROUNDDOWN(INT(F1165)+ROUNDDOWN((F1165-INT(F1165))*100,0)/60,2),F1165))</f>
        <v/>
      </c>
      <c r="P1165" s="7"/>
      <c r="Q1165" s="7"/>
    </row>
    <row r="1166" spans="1:17">
      <c r="A1166" s="105"/>
      <c r="B1166" s="2"/>
      <c r="C1166" s="3"/>
      <c r="D1166" s="3"/>
      <c r="E1166" s="3"/>
      <c r="F1166" s="8"/>
      <c r="G1166" s="215" t="str">
        <f>IF(AND($B1166="",OR(B1166&lt;&gt;"",C1166&lt;&gt;"",D1166&lt;&gt;"",E1166&lt;&gt;"",F1166&lt;&gt;"")),入力リスト!$K$34,IF($I1166=TRUE,入力リスト!$K$35,IF(J1166=FALSE,"「毎月の固定給与額」","")&amp;IF(AND(J1166=FALSE,OR(K1166=FALSE,L1166=FALSE,M1166=FALSE)),",","")&amp;IF(K1166=FALSE,"「賞与額等」","")&amp;IF(AND(K1166=FALSE,OR(L1166=FALSE,M1166=FALSE)),",","")&amp;IF(L1166=FALSE,"「残業手当」","")&amp;IF(AND(L1166=FALSE,M1166=FALSE),",","")&amp;IF(M1166=FALSE,"「残業時間」","")&amp;IF(OR(J1166=FALSE,K1166=FALSE,L1166=FALSE,M1166=FALSE),入力リスト!$K$36,"")&amp;IF(N1166,"",入力リスト!$K$37)))</f>
        <v/>
      </c>
      <c r="H1166" s="215"/>
      <c r="I1166" s="1" t="b">
        <f>IF(B1166="",FALSE,COUNTIF('従業員情報(給与以外)'!$A$4:$A$1000000,$B1166)=0)</f>
        <v>0</v>
      </c>
      <c r="J1166" s="8" t="b">
        <f t="shared" si="90"/>
        <v>1</v>
      </c>
      <c r="K1166" s="8" t="b">
        <f t="shared" si="91"/>
        <v>1</v>
      </c>
      <c r="L1166" s="8" t="b">
        <f t="shared" si="92"/>
        <v>1</v>
      </c>
      <c r="M1166" s="8" t="b">
        <f t="shared" si="93"/>
        <v>1</v>
      </c>
      <c r="N1166" s="1" t="b">
        <f t="shared" si="94"/>
        <v>1</v>
      </c>
      <c r="O1166" s="8" t="str">
        <f>IF(F1166="","",IF($F$2=入力リスト!$H$25,ROUNDDOWN(INT(F1166)+ROUNDDOWN((F1166-INT(F1166))*100,0)/60,2),F1166))</f>
        <v/>
      </c>
      <c r="P1166" s="7"/>
      <c r="Q1166" s="7"/>
    </row>
    <row r="1167" spans="1:17">
      <c r="A1167" s="105"/>
      <c r="B1167" s="2"/>
      <c r="C1167" s="3"/>
      <c r="D1167" s="3"/>
      <c r="E1167" s="3"/>
      <c r="F1167" s="8"/>
      <c r="G1167" s="215" t="str">
        <f>IF(AND($B1167="",OR(B1167&lt;&gt;"",C1167&lt;&gt;"",D1167&lt;&gt;"",E1167&lt;&gt;"",F1167&lt;&gt;"")),入力リスト!$K$34,IF($I1167=TRUE,入力リスト!$K$35,IF(J1167=FALSE,"「毎月の固定給与額」","")&amp;IF(AND(J1167=FALSE,OR(K1167=FALSE,L1167=FALSE,M1167=FALSE)),",","")&amp;IF(K1167=FALSE,"「賞与額等」","")&amp;IF(AND(K1167=FALSE,OR(L1167=FALSE,M1167=FALSE)),",","")&amp;IF(L1167=FALSE,"「残業手当」","")&amp;IF(AND(L1167=FALSE,M1167=FALSE),",","")&amp;IF(M1167=FALSE,"「残業時間」","")&amp;IF(OR(J1167=FALSE,K1167=FALSE,L1167=FALSE,M1167=FALSE),入力リスト!$K$36,"")&amp;IF(N1167,"",入力リスト!$K$37)))</f>
        <v/>
      </c>
      <c r="H1167" s="215"/>
      <c r="I1167" s="1" t="b">
        <f>IF(B1167="",FALSE,COUNTIF('従業員情報(給与以外)'!$A$4:$A$1000000,$B1167)=0)</f>
        <v>0</v>
      </c>
      <c r="J1167" s="8" t="b">
        <f t="shared" si="90"/>
        <v>1</v>
      </c>
      <c r="K1167" s="8" t="b">
        <f t="shared" si="91"/>
        <v>1</v>
      </c>
      <c r="L1167" s="8" t="b">
        <f t="shared" si="92"/>
        <v>1</v>
      </c>
      <c r="M1167" s="8" t="b">
        <f t="shared" si="93"/>
        <v>1</v>
      </c>
      <c r="N1167" s="1" t="b">
        <f t="shared" si="94"/>
        <v>1</v>
      </c>
      <c r="O1167" s="8" t="str">
        <f>IF(F1167="","",IF($F$2=入力リスト!$H$25,ROUNDDOWN(INT(F1167)+ROUNDDOWN((F1167-INT(F1167))*100,0)/60,2),F1167))</f>
        <v/>
      </c>
      <c r="P1167" s="7"/>
      <c r="Q1167" s="7"/>
    </row>
    <row r="1168" spans="1:17">
      <c r="A1168" s="105"/>
      <c r="B1168" s="2"/>
      <c r="C1168" s="3"/>
      <c r="D1168" s="3"/>
      <c r="E1168" s="3"/>
      <c r="F1168" s="8"/>
      <c r="G1168" s="215" t="str">
        <f>IF(AND($B1168="",OR(B1168&lt;&gt;"",C1168&lt;&gt;"",D1168&lt;&gt;"",E1168&lt;&gt;"",F1168&lt;&gt;"")),入力リスト!$K$34,IF($I1168=TRUE,入力リスト!$K$35,IF(J1168=FALSE,"「毎月の固定給与額」","")&amp;IF(AND(J1168=FALSE,OR(K1168=FALSE,L1168=FALSE,M1168=FALSE)),",","")&amp;IF(K1168=FALSE,"「賞与額等」","")&amp;IF(AND(K1168=FALSE,OR(L1168=FALSE,M1168=FALSE)),",","")&amp;IF(L1168=FALSE,"「残業手当」","")&amp;IF(AND(L1168=FALSE,M1168=FALSE),",","")&amp;IF(M1168=FALSE,"「残業時間」","")&amp;IF(OR(J1168=FALSE,K1168=FALSE,L1168=FALSE,M1168=FALSE),入力リスト!$K$36,"")&amp;IF(N1168,"",入力リスト!$K$37)))</f>
        <v/>
      </c>
      <c r="H1168" s="215"/>
      <c r="I1168" s="1" t="b">
        <f>IF(B1168="",FALSE,COUNTIF('従業員情報(給与以外)'!$A$4:$A$1000000,$B1168)=0)</f>
        <v>0</v>
      </c>
      <c r="J1168" s="8" t="b">
        <f t="shared" si="90"/>
        <v>1</v>
      </c>
      <c r="K1168" s="8" t="b">
        <f t="shared" si="91"/>
        <v>1</v>
      </c>
      <c r="L1168" s="8" t="b">
        <f t="shared" si="92"/>
        <v>1</v>
      </c>
      <c r="M1168" s="8" t="b">
        <f t="shared" si="93"/>
        <v>1</v>
      </c>
      <c r="N1168" s="1" t="b">
        <f t="shared" si="94"/>
        <v>1</v>
      </c>
      <c r="O1168" s="8" t="str">
        <f>IF(F1168="","",IF($F$2=入力リスト!$H$25,ROUNDDOWN(INT(F1168)+ROUNDDOWN((F1168-INT(F1168))*100,0)/60,2),F1168))</f>
        <v/>
      </c>
      <c r="P1168" s="7"/>
      <c r="Q1168" s="7"/>
    </row>
    <row r="1169" spans="1:17">
      <c r="A1169" s="105"/>
      <c r="B1169" s="2"/>
      <c r="C1169" s="3"/>
      <c r="D1169" s="3"/>
      <c r="E1169" s="3"/>
      <c r="F1169" s="8"/>
      <c r="G1169" s="215" t="str">
        <f>IF(AND($B1169="",OR(B1169&lt;&gt;"",C1169&lt;&gt;"",D1169&lt;&gt;"",E1169&lt;&gt;"",F1169&lt;&gt;"")),入力リスト!$K$34,IF($I1169=TRUE,入力リスト!$K$35,IF(J1169=FALSE,"「毎月の固定給与額」","")&amp;IF(AND(J1169=FALSE,OR(K1169=FALSE,L1169=FALSE,M1169=FALSE)),",","")&amp;IF(K1169=FALSE,"「賞与額等」","")&amp;IF(AND(K1169=FALSE,OR(L1169=FALSE,M1169=FALSE)),",","")&amp;IF(L1169=FALSE,"「残業手当」","")&amp;IF(AND(L1169=FALSE,M1169=FALSE),",","")&amp;IF(M1169=FALSE,"「残業時間」","")&amp;IF(OR(J1169=FALSE,K1169=FALSE,L1169=FALSE,M1169=FALSE),入力リスト!$K$36,"")&amp;IF(N1169,"",入力リスト!$K$37)))</f>
        <v/>
      </c>
      <c r="H1169" s="215"/>
      <c r="I1169" s="1" t="b">
        <f>IF(B1169="",FALSE,COUNTIF('従業員情報(給与以外)'!$A$4:$A$1000000,$B1169)=0)</f>
        <v>0</v>
      </c>
      <c r="J1169" s="8" t="b">
        <f t="shared" si="90"/>
        <v>1</v>
      </c>
      <c r="K1169" s="8" t="b">
        <f t="shared" si="91"/>
        <v>1</v>
      </c>
      <c r="L1169" s="8" t="b">
        <f t="shared" si="92"/>
        <v>1</v>
      </c>
      <c r="M1169" s="8" t="b">
        <f t="shared" si="93"/>
        <v>1</v>
      </c>
      <c r="N1169" s="1" t="b">
        <f t="shared" si="94"/>
        <v>1</v>
      </c>
      <c r="O1169" s="8" t="str">
        <f>IF(F1169="","",IF($F$2=入力リスト!$H$25,ROUNDDOWN(INT(F1169)+ROUNDDOWN((F1169-INT(F1169))*100,0)/60,2),F1169))</f>
        <v/>
      </c>
      <c r="P1169" s="7"/>
      <c r="Q1169" s="7"/>
    </row>
    <row r="1170" spans="1:17">
      <c r="A1170" s="105"/>
      <c r="B1170" s="2"/>
      <c r="C1170" s="3"/>
      <c r="D1170" s="3"/>
      <c r="E1170" s="3"/>
      <c r="F1170" s="8"/>
      <c r="G1170" s="215" t="str">
        <f>IF(AND($B1170="",OR(B1170&lt;&gt;"",C1170&lt;&gt;"",D1170&lt;&gt;"",E1170&lt;&gt;"",F1170&lt;&gt;"")),入力リスト!$K$34,IF($I1170=TRUE,入力リスト!$K$35,IF(J1170=FALSE,"「毎月の固定給与額」","")&amp;IF(AND(J1170=FALSE,OR(K1170=FALSE,L1170=FALSE,M1170=FALSE)),",","")&amp;IF(K1170=FALSE,"「賞与額等」","")&amp;IF(AND(K1170=FALSE,OR(L1170=FALSE,M1170=FALSE)),",","")&amp;IF(L1170=FALSE,"「残業手当」","")&amp;IF(AND(L1170=FALSE,M1170=FALSE),",","")&amp;IF(M1170=FALSE,"「残業時間」","")&amp;IF(OR(J1170=FALSE,K1170=FALSE,L1170=FALSE,M1170=FALSE),入力リスト!$K$36,"")&amp;IF(N1170,"",入力リスト!$K$37)))</f>
        <v/>
      </c>
      <c r="H1170" s="215"/>
      <c r="I1170" s="1" t="b">
        <f>IF(B1170="",FALSE,COUNTIF('従業員情報(給与以外)'!$A$4:$A$1000000,$B1170)=0)</f>
        <v>0</v>
      </c>
      <c r="J1170" s="8" t="b">
        <f t="shared" si="90"/>
        <v>1</v>
      </c>
      <c r="K1170" s="8" t="b">
        <f t="shared" si="91"/>
        <v>1</v>
      </c>
      <c r="L1170" s="8" t="b">
        <f t="shared" si="92"/>
        <v>1</v>
      </c>
      <c r="M1170" s="8" t="b">
        <f t="shared" si="93"/>
        <v>1</v>
      </c>
      <c r="N1170" s="1" t="b">
        <f t="shared" si="94"/>
        <v>1</v>
      </c>
      <c r="O1170" s="8" t="str">
        <f>IF(F1170="","",IF($F$2=入力リスト!$H$25,ROUNDDOWN(INT(F1170)+ROUNDDOWN((F1170-INT(F1170))*100,0)/60,2),F1170))</f>
        <v/>
      </c>
      <c r="P1170" s="7"/>
      <c r="Q1170" s="7"/>
    </row>
    <row r="1171" spans="1:17">
      <c r="A1171" s="105"/>
      <c r="B1171" s="2"/>
      <c r="C1171" s="3"/>
      <c r="D1171" s="3"/>
      <c r="E1171" s="3"/>
      <c r="F1171" s="8"/>
      <c r="G1171" s="215" t="str">
        <f>IF(AND($B1171="",OR(B1171&lt;&gt;"",C1171&lt;&gt;"",D1171&lt;&gt;"",E1171&lt;&gt;"",F1171&lt;&gt;"")),入力リスト!$K$34,IF($I1171=TRUE,入力リスト!$K$35,IF(J1171=FALSE,"「毎月の固定給与額」","")&amp;IF(AND(J1171=FALSE,OR(K1171=FALSE,L1171=FALSE,M1171=FALSE)),",","")&amp;IF(K1171=FALSE,"「賞与額等」","")&amp;IF(AND(K1171=FALSE,OR(L1171=FALSE,M1171=FALSE)),",","")&amp;IF(L1171=FALSE,"「残業手当」","")&amp;IF(AND(L1171=FALSE,M1171=FALSE),",","")&amp;IF(M1171=FALSE,"「残業時間」","")&amp;IF(OR(J1171=FALSE,K1171=FALSE,L1171=FALSE,M1171=FALSE),入力リスト!$K$36,"")&amp;IF(N1171,"",入力リスト!$K$37)))</f>
        <v/>
      </c>
      <c r="H1171" s="215"/>
      <c r="I1171" s="1" t="b">
        <f>IF(B1171="",FALSE,COUNTIF('従業員情報(給与以外)'!$A$4:$A$1000000,$B1171)=0)</f>
        <v>0</v>
      </c>
      <c r="J1171" s="8" t="b">
        <f t="shared" si="90"/>
        <v>1</v>
      </c>
      <c r="K1171" s="8" t="b">
        <f t="shared" si="91"/>
        <v>1</v>
      </c>
      <c r="L1171" s="8" t="b">
        <f t="shared" si="92"/>
        <v>1</v>
      </c>
      <c r="M1171" s="8" t="b">
        <f t="shared" si="93"/>
        <v>1</v>
      </c>
      <c r="N1171" s="1" t="b">
        <f t="shared" si="94"/>
        <v>1</v>
      </c>
      <c r="O1171" s="8" t="str">
        <f>IF(F1171="","",IF($F$2=入力リスト!$H$25,ROUNDDOWN(INT(F1171)+ROUNDDOWN((F1171-INT(F1171))*100,0)/60,2),F1171))</f>
        <v/>
      </c>
      <c r="P1171" s="7"/>
      <c r="Q1171" s="7"/>
    </row>
    <row r="1172" spans="1:17">
      <c r="A1172" s="105"/>
      <c r="B1172" s="2"/>
      <c r="C1172" s="3"/>
      <c r="D1172" s="3"/>
      <c r="E1172" s="3"/>
      <c r="F1172" s="8"/>
      <c r="G1172" s="215" t="str">
        <f>IF(AND($B1172="",OR(B1172&lt;&gt;"",C1172&lt;&gt;"",D1172&lt;&gt;"",E1172&lt;&gt;"",F1172&lt;&gt;"")),入力リスト!$K$34,IF($I1172=TRUE,入力リスト!$K$35,IF(J1172=FALSE,"「毎月の固定給与額」","")&amp;IF(AND(J1172=FALSE,OR(K1172=FALSE,L1172=FALSE,M1172=FALSE)),",","")&amp;IF(K1172=FALSE,"「賞与額等」","")&amp;IF(AND(K1172=FALSE,OR(L1172=FALSE,M1172=FALSE)),",","")&amp;IF(L1172=FALSE,"「残業手当」","")&amp;IF(AND(L1172=FALSE,M1172=FALSE),",","")&amp;IF(M1172=FALSE,"「残業時間」","")&amp;IF(OR(J1172=FALSE,K1172=FALSE,L1172=FALSE,M1172=FALSE),入力リスト!$K$36,"")&amp;IF(N1172,"",入力リスト!$K$37)))</f>
        <v/>
      </c>
      <c r="H1172" s="215"/>
      <c r="I1172" s="1" t="b">
        <f>IF(B1172="",FALSE,COUNTIF('従業員情報(給与以外)'!$A$4:$A$1000000,$B1172)=0)</f>
        <v>0</v>
      </c>
      <c r="J1172" s="8" t="b">
        <f t="shared" si="90"/>
        <v>1</v>
      </c>
      <c r="K1172" s="8" t="b">
        <f t="shared" si="91"/>
        <v>1</v>
      </c>
      <c r="L1172" s="8" t="b">
        <f t="shared" si="92"/>
        <v>1</v>
      </c>
      <c r="M1172" s="8" t="b">
        <f t="shared" si="93"/>
        <v>1</v>
      </c>
      <c r="N1172" s="1" t="b">
        <f t="shared" si="94"/>
        <v>1</v>
      </c>
      <c r="O1172" s="8" t="str">
        <f>IF(F1172="","",IF($F$2=入力リスト!$H$25,ROUNDDOWN(INT(F1172)+ROUNDDOWN((F1172-INT(F1172))*100,0)/60,2),F1172))</f>
        <v/>
      </c>
      <c r="P1172" s="7"/>
      <c r="Q1172" s="7"/>
    </row>
    <row r="1173" spans="1:17">
      <c r="A1173" s="105"/>
      <c r="B1173" s="2"/>
      <c r="C1173" s="3"/>
      <c r="D1173" s="3"/>
      <c r="E1173" s="3"/>
      <c r="F1173" s="8"/>
      <c r="G1173" s="215" t="str">
        <f>IF(AND($B1173="",OR(B1173&lt;&gt;"",C1173&lt;&gt;"",D1173&lt;&gt;"",E1173&lt;&gt;"",F1173&lt;&gt;"")),入力リスト!$K$34,IF($I1173=TRUE,入力リスト!$K$35,IF(J1173=FALSE,"「毎月の固定給与額」","")&amp;IF(AND(J1173=FALSE,OR(K1173=FALSE,L1173=FALSE,M1173=FALSE)),",","")&amp;IF(K1173=FALSE,"「賞与額等」","")&amp;IF(AND(K1173=FALSE,OR(L1173=FALSE,M1173=FALSE)),",","")&amp;IF(L1173=FALSE,"「残業手当」","")&amp;IF(AND(L1173=FALSE,M1173=FALSE),",","")&amp;IF(M1173=FALSE,"「残業時間」","")&amp;IF(OR(J1173=FALSE,K1173=FALSE,L1173=FALSE,M1173=FALSE),入力リスト!$K$36,"")&amp;IF(N1173,"",入力リスト!$K$37)))</f>
        <v/>
      </c>
      <c r="H1173" s="215"/>
      <c r="I1173" s="1" t="b">
        <f>IF(B1173="",FALSE,COUNTIF('従業員情報(給与以外)'!$A$4:$A$1000000,$B1173)=0)</f>
        <v>0</v>
      </c>
      <c r="J1173" s="8" t="b">
        <f t="shared" si="90"/>
        <v>1</v>
      </c>
      <c r="K1173" s="8" t="b">
        <f t="shared" si="91"/>
        <v>1</v>
      </c>
      <c r="L1173" s="8" t="b">
        <f t="shared" si="92"/>
        <v>1</v>
      </c>
      <c r="M1173" s="8" t="b">
        <f t="shared" si="93"/>
        <v>1</v>
      </c>
      <c r="N1173" s="1" t="b">
        <f t="shared" si="94"/>
        <v>1</v>
      </c>
      <c r="O1173" s="8" t="str">
        <f>IF(F1173="","",IF($F$2=入力リスト!$H$25,ROUNDDOWN(INT(F1173)+ROUNDDOWN((F1173-INT(F1173))*100,0)/60,2),F1173))</f>
        <v/>
      </c>
      <c r="P1173" s="7"/>
      <c r="Q1173" s="7"/>
    </row>
    <row r="1174" spans="1:17">
      <c r="A1174" s="105"/>
      <c r="B1174" s="2"/>
      <c r="C1174" s="3"/>
      <c r="D1174" s="3"/>
      <c r="E1174" s="3"/>
      <c r="F1174" s="8"/>
      <c r="G1174" s="215" t="str">
        <f>IF(AND($B1174="",OR(B1174&lt;&gt;"",C1174&lt;&gt;"",D1174&lt;&gt;"",E1174&lt;&gt;"",F1174&lt;&gt;"")),入力リスト!$K$34,IF($I1174=TRUE,入力リスト!$K$35,IF(J1174=FALSE,"「毎月の固定給与額」","")&amp;IF(AND(J1174=FALSE,OR(K1174=FALSE,L1174=FALSE,M1174=FALSE)),",","")&amp;IF(K1174=FALSE,"「賞与額等」","")&amp;IF(AND(K1174=FALSE,OR(L1174=FALSE,M1174=FALSE)),",","")&amp;IF(L1174=FALSE,"「残業手当」","")&amp;IF(AND(L1174=FALSE,M1174=FALSE),",","")&amp;IF(M1174=FALSE,"「残業時間」","")&amp;IF(OR(J1174=FALSE,K1174=FALSE,L1174=FALSE,M1174=FALSE),入力リスト!$K$36,"")&amp;IF(N1174,"",入力リスト!$K$37)))</f>
        <v/>
      </c>
      <c r="H1174" s="215"/>
      <c r="I1174" s="1" t="b">
        <f>IF(B1174="",FALSE,COUNTIF('従業員情報(給与以外)'!$A$4:$A$1000000,$B1174)=0)</f>
        <v>0</v>
      </c>
      <c r="J1174" s="8" t="b">
        <f t="shared" si="90"/>
        <v>1</v>
      </c>
      <c r="K1174" s="8" t="b">
        <f t="shared" si="91"/>
        <v>1</v>
      </c>
      <c r="L1174" s="8" t="b">
        <f t="shared" si="92"/>
        <v>1</v>
      </c>
      <c r="M1174" s="8" t="b">
        <f t="shared" si="93"/>
        <v>1</v>
      </c>
      <c r="N1174" s="1" t="b">
        <f t="shared" si="94"/>
        <v>1</v>
      </c>
      <c r="O1174" s="8" t="str">
        <f>IF(F1174="","",IF($F$2=入力リスト!$H$25,ROUNDDOWN(INT(F1174)+ROUNDDOWN((F1174-INT(F1174))*100,0)/60,2),F1174))</f>
        <v/>
      </c>
      <c r="P1174" s="7"/>
      <c r="Q1174" s="7"/>
    </row>
    <row r="1175" spans="1:17">
      <c r="A1175" s="105"/>
      <c r="B1175" s="2"/>
      <c r="C1175" s="3"/>
      <c r="D1175" s="3"/>
      <c r="E1175" s="3"/>
      <c r="F1175" s="8"/>
      <c r="G1175" s="215" t="str">
        <f>IF(AND($B1175="",OR(B1175&lt;&gt;"",C1175&lt;&gt;"",D1175&lt;&gt;"",E1175&lt;&gt;"",F1175&lt;&gt;"")),入力リスト!$K$34,IF($I1175=TRUE,入力リスト!$K$35,IF(J1175=FALSE,"「毎月の固定給与額」","")&amp;IF(AND(J1175=FALSE,OR(K1175=FALSE,L1175=FALSE,M1175=FALSE)),",","")&amp;IF(K1175=FALSE,"「賞与額等」","")&amp;IF(AND(K1175=FALSE,OR(L1175=FALSE,M1175=FALSE)),",","")&amp;IF(L1175=FALSE,"「残業手当」","")&amp;IF(AND(L1175=FALSE,M1175=FALSE),",","")&amp;IF(M1175=FALSE,"「残業時間」","")&amp;IF(OR(J1175=FALSE,K1175=FALSE,L1175=FALSE,M1175=FALSE),入力リスト!$K$36,"")&amp;IF(N1175,"",入力リスト!$K$37)))</f>
        <v/>
      </c>
      <c r="H1175" s="215"/>
      <c r="I1175" s="1" t="b">
        <f>IF(B1175="",FALSE,COUNTIF('従業員情報(給与以外)'!$A$4:$A$1000000,$B1175)=0)</f>
        <v>0</v>
      </c>
      <c r="J1175" s="8" t="b">
        <f t="shared" si="90"/>
        <v>1</v>
      </c>
      <c r="K1175" s="8" t="b">
        <f t="shared" si="91"/>
        <v>1</v>
      </c>
      <c r="L1175" s="8" t="b">
        <f t="shared" si="92"/>
        <v>1</v>
      </c>
      <c r="M1175" s="8" t="b">
        <f t="shared" si="93"/>
        <v>1</v>
      </c>
      <c r="N1175" s="1" t="b">
        <f t="shared" si="94"/>
        <v>1</v>
      </c>
      <c r="O1175" s="8" t="str">
        <f>IF(F1175="","",IF($F$2=入力リスト!$H$25,ROUNDDOWN(INT(F1175)+ROUNDDOWN((F1175-INT(F1175))*100,0)/60,2),F1175))</f>
        <v/>
      </c>
      <c r="P1175" s="7"/>
      <c r="Q1175" s="7"/>
    </row>
    <row r="1176" spans="1:17">
      <c r="A1176" s="105"/>
      <c r="B1176" s="2"/>
      <c r="C1176" s="3"/>
      <c r="D1176" s="3"/>
      <c r="E1176" s="3"/>
      <c r="F1176" s="8"/>
      <c r="G1176" s="215" t="str">
        <f>IF(AND($B1176="",OR(B1176&lt;&gt;"",C1176&lt;&gt;"",D1176&lt;&gt;"",E1176&lt;&gt;"",F1176&lt;&gt;"")),入力リスト!$K$34,IF($I1176=TRUE,入力リスト!$K$35,IF(J1176=FALSE,"「毎月の固定給与額」","")&amp;IF(AND(J1176=FALSE,OR(K1176=FALSE,L1176=FALSE,M1176=FALSE)),",","")&amp;IF(K1176=FALSE,"「賞与額等」","")&amp;IF(AND(K1176=FALSE,OR(L1176=FALSE,M1176=FALSE)),",","")&amp;IF(L1176=FALSE,"「残業手当」","")&amp;IF(AND(L1176=FALSE,M1176=FALSE),",","")&amp;IF(M1176=FALSE,"「残業時間」","")&amp;IF(OR(J1176=FALSE,K1176=FALSE,L1176=FALSE,M1176=FALSE),入力リスト!$K$36,"")&amp;IF(N1176,"",入力リスト!$K$37)))</f>
        <v/>
      </c>
      <c r="H1176" s="215"/>
      <c r="I1176" s="1" t="b">
        <f>IF(B1176="",FALSE,COUNTIF('従業員情報(給与以外)'!$A$4:$A$1000000,$B1176)=0)</f>
        <v>0</v>
      </c>
      <c r="J1176" s="8" t="b">
        <f t="shared" si="90"/>
        <v>1</v>
      </c>
      <c r="K1176" s="8" t="b">
        <f t="shared" si="91"/>
        <v>1</v>
      </c>
      <c r="L1176" s="8" t="b">
        <f t="shared" si="92"/>
        <v>1</v>
      </c>
      <c r="M1176" s="8" t="b">
        <f t="shared" si="93"/>
        <v>1</v>
      </c>
      <c r="N1176" s="1" t="b">
        <f t="shared" si="94"/>
        <v>1</v>
      </c>
      <c r="O1176" s="8" t="str">
        <f>IF(F1176="","",IF($F$2=入力リスト!$H$25,ROUNDDOWN(INT(F1176)+ROUNDDOWN((F1176-INT(F1176))*100,0)/60,2),F1176))</f>
        <v/>
      </c>
      <c r="P1176" s="7"/>
      <c r="Q1176" s="7"/>
    </row>
    <row r="1177" spans="1:17">
      <c r="A1177" s="105"/>
      <c r="B1177" s="2"/>
      <c r="C1177" s="3"/>
      <c r="D1177" s="3"/>
      <c r="E1177" s="3"/>
      <c r="F1177" s="8"/>
      <c r="G1177" s="215" t="str">
        <f>IF(AND($B1177="",OR(B1177&lt;&gt;"",C1177&lt;&gt;"",D1177&lt;&gt;"",E1177&lt;&gt;"",F1177&lt;&gt;"")),入力リスト!$K$34,IF($I1177=TRUE,入力リスト!$K$35,IF(J1177=FALSE,"「毎月の固定給与額」","")&amp;IF(AND(J1177=FALSE,OR(K1177=FALSE,L1177=FALSE,M1177=FALSE)),",","")&amp;IF(K1177=FALSE,"「賞与額等」","")&amp;IF(AND(K1177=FALSE,OR(L1177=FALSE,M1177=FALSE)),",","")&amp;IF(L1177=FALSE,"「残業手当」","")&amp;IF(AND(L1177=FALSE,M1177=FALSE),",","")&amp;IF(M1177=FALSE,"「残業時間」","")&amp;IF(OR(J1177=FALSE,K1177=FALSE,L1177=FALSE,M1177=FALSE),入力リスト!$K$36,"")&amp;IF(N1177,"",入力リスト!$K$37)))</f>
        <v/>
      </c>
      <c r="H1177" s="215"/>
      <c r="I1177" s="1" t="b">
        <f>IF(B1177="",FALSE,COUNTIF('従業員情報(給与以外)'!$A$4:$A$1000000,$B1177)=0)</f>
        <v>0</v>
      </c>
      <c r="J1177" s="8" t="b">
        <f t="shared" si="90"/>
        <v>1</v>
      </c>
      <c r="K1177" s="8" t="b">
        <f t="shared" si="91"/>
        <v>1</v>
      </c>
      <c r="L1177" s="8" t="b">
        <f t="shared" si="92"/>
        <v>1</v>
      </c>
      <c r="M1177" s="8" t="b">
        <f t="shared" si="93"/>
        <v>1</v>
      </c>
      <c r="N1177" s="1" t="b">
        <f t="shared" si="94"/>
        <v>1</v>
      </c>
      <c r="O1177" s="8" t="str">
        <f>IF(F1177="","",IF($F$2=入力リスト!$H$25,ROUNDDOWN(INT(F1177)+ROUNDDOWN((F1177-INT(F1177))*100,0)/60,2),F1177))</f>
        <v/>
      </c>
      <c r="P1177" s="7"/>
      <c r="Q1177" s="7"/>
    </row>
    <row r="1178" spans="1:17">
      <c r="A1178" s="105"/>
      <c r="B1178" s="2"/>
      <c r="C1178" s="3"/>
      <c r="D1178" s="3"/>
      <c r="E1178" s="3"/>
      <c r="F1178" s="8"/>
      <c r="G1178" s="215" t="str">
        <f>IF(AND($B1178="",OR(B1178&lt;&gt;"",C1178&lt;&gt;"",D1178&lt;&gt;"",E1178&lt;&gt;"",F1178&lt;&gt;"")),入力リスト!$K$34,IF($I1178=TRUE,入力リスト!$K$35,IF(J1178=FALSE,"「毎月の固定給与額」","")&amp;IF(AND(J1178=FALSE,OR(K1178=FALSE,L1178=FALSE,M1178=FALSE)),",","")&amp;IF(K1178=FALSE,"「賞与額等」","")&amp;IF(AND(K1178=FALSE,OR(L1178=FALSE,M1178=FALSE)),",","")&amp;IF(L1178=FALSE,"「残業手当」","")&amp;IF(AND(L1178=FALSE,M1178=FALSE),",","")&amp;IF(M1178=FALSE,"「残業時間」","")&amp;IF(OR(J1178=FALSE,K1178=FALSE,L1178=FALSE,M1178=FALSE),入力リスト!$K$36,"")&amp;IF(N1178,"",入力リスト!$K$37)))</f>
        <v/>
      </c>
      <c r="H1178" s="215"/>
      <c r="I1178" s="1" t="b">
        <f>IF(B1178="",FALSE,COUNTIF('従業員情報(給与以外)'!$A$4:$A$1000000,$B1178)=0)</f>
        <v>0</v>
      </c>
      <c r="J1178" s="8" t="b">
        <f t="shared" si="90"/>
        <v>1</v>
      </c>
      <c r="K1178" s="8" t="b">
        <f t="shared" si="91"/>
        <v>1</v>
      </c>
      <c r="L1178" s="8" t="b">
        <f t="shared" si="92"/>
        <v>1</v>
      </c>
      <c r="M1178" s="8" t="b">
        <f t="shared" si="93"/>
        <v>1</v>
      </c>
      <c r="N1178" s="1" t="b">
        <f t="shared" si="94"/>
        <v>1</v>
      </c>
      <c r="O1178" s="8" t="str">
        <f>IF(F1178="","",IF($F$2=入力リスト!$H$25,ROUNDDOWN(INT(F1178)+ROUNDDOWN((F1178-INT(F1178))*100,0)/60,2),F1178))</f>
        <v/>
      </c>
      <c r="P1178" s="7"/>
      <c r="Q1178" s="7"/>
    </row>
    <row r="1179" spans="1:17">
      <c r="A1179" s="105"/>
      <c r="B1179" s="2"/>
      <c r="C1179" s="3"/>
      <c r="D1179" s="3"/>
      <c r="E1179" s="3"/>
      <c r="F1179" s="8"/>
      <c r="G1179" s="215" t="str">
        <f>IF(AND($B1179="",OR(B1179&lt;&gt;"",C1179&lt;&gt;"",D1179&lt;&gt;"",E1179&lt;&gt;"",F1179&lt;&gt;"")),入力リスト!$K$34,IF($I1179=TRUE,入力リスト!$K$35,IF(J1179=FALSE,"「毎月の固定給与額」","")&amp;IF(AND(J1179=FALSE,OR(K1179=FALSE,L1179=FALSE,M1179=FALSE)),",","")&amp;IF(K1179=FALSE,"「賞与額等」","")&amp;IF(AND(K1179=FALSE,OR(L1179=FALSE,M1179=FALSE)),",","")&amp;IF(L1179=FALSE,"「残業手当」","")&amp;IF(AND(L1179=FALSE,M1179=FALSE),",","")&amp;IF(M1179=FALSE,"「残業時間」","")&amp;IF(OR(J1179=FALSE,K1179=FALSE,L1179=FALSE,M1179=FALSE),入力リスト!$K$36,"")&amp;IF(N1179,"",入力リスト!$K$37)))</f>
        <v/>
      </c>
      <c r="H1179" s="215"/>
      <c r="I1179" s="1" t="b">
        <f>IF(B1179="",FALSE,COUNTIF('従業員情報(給与以外)'!$A$4:$A$1000000,$B1179)=0)</f>
        <v>0</v>
      </c>
      <c r="J1179" s="8" t="b">
        <f t="shared" si="90"/>
        <v>1</v>
      </c>
      <c r="K1179" s="8" t="b">
        <f t="shared" si="91"/>
        <v>1</v>
      </c>
      <c r="L1179" s="8" t="b">
        <f t="shared" si="92"/>
        <v>1</v>
      </c>
      <c r="M1179" s="8" t="b">
        <f t="shared" si="93"/>
        <v>1</v>
      </c>
      <c r="N1179" s="1" t="b">
        <f t="shared" si="94"/>
        <v>1</v>
      </c>
      <c r="O1179" s="8" t="str">
        <f>IF(F1179="","",IF($F$2=入力リスト!$H$25,ROUNDDOWN(INT(F1179)+ROUNDDOWN((F1179-INT(F1179))*100,0)/60,2),F1179))</f>
        <v/>
      </c>
      <c r="P1179" s="7"/>
      <c r="Q1179" s="7"/>
    </row>
    <row r="1180" spans="1:17">
      <c r="A1180" s="105"/>
      <c r="B1180" s="2"/>
      <c r="C1180" s="3"/>
      <c r="D1180" s="3"/>
      <c r="E1180" s="3"/>
      <c r="F1180" s="8"/>
      <c r="G1180" s="215" t="str">
        <f>IF(AND($B1180="",OR(B1180&lt;&gt;"",C1180&lt;&gt;"",D1180&lt;&gt;"",E1180&lt;&gt;"",F1180&lt;&gt;"")),入力リスト!$K$34,IF($I1180=TRUE,入力リスト!$K$35,IF(J1180=FALSE,"「毎月の固定給与額」","")&amp;IF(AND(J1180=FALSE,OR(K1180=FALSE,L1180=FALSE,M1180=FALSE)),",","")&amp;IF(K1180=FALSE,"「賞与額等」","")&amp;IF(AND(K1180=FALSE,OR(L1180=FALSE,M1180=FALSE)),",","")&amp;IF(L1180=FALSE,"「残業手当」","")&amp;IF(AND(L1180=FALSE,M1180=FALSE),",","")&amp;IF(M1180=FALSE,"「残業時間」","")&amp;IF(OR(J1180=FALSE,K1180=FALSE,L1180=FALSE,M1180=FALSE),入力リスト!$K$36,"")&amp;IF(N1180,"",入力リスト!$K$37)))</f>
        <v/>
      </c>
      <c r="H1180" s="215"/>
      <c r="I1180" s="1" t="b">
        <f>IF(B1180="",FALSE,COUNTIF('従業員情報(給与以外)'!$A$4:$A$1000000,$B1180)=0)</f>
        <v>0</v>
      </c>
      <c r="J1180" s="8" t="b">
        <f t="shared" si="90"/>
        <v>1</v>
      </c>
      <c r="K1180" s="8" t="b">
        <f t="shared" si="91"/>
        <v>1</v>
      </c>
      <c r="L1180" s="8" t="b">
        <f t="shared" si="92"/>
        <v>1</v>
      </c>
      <c r="M1180" s="8" t="b">
        <f t="shared" si="93"/>
        <v>1</v>
      </c>
      <c r="N1180" s="1" t="b">
        <f t="shared" si="94"/>
        <v>1</v>
      </c>
      <c r="O1180" s="8" t="str">
        <f>IF(F1180="","",IF($F$2=入力リスト!$H$25,ROUNDDOWN(INT(F1180)+ROUNDDOWN((F1180-INT(F1180))*100,0)/60,2),F1180))</f>
        <v/>
      </c>
      <c r="P1180" s="7"/>
      <c r="Q1180" s="7"/>
    </row>
    <row r="1181" spans="1:17">
      <c r="A1181" s="105"/>
      <c r="B1181" s="2"/>
      <c r="C1181" s="3"/>
      <c r="D1181" s="3"/>
      <c r="E1181" s="3"/>
      <c r="F1181" s="8"/>
      <c r="G1181" s="215" t="str">
        <f>IF(AND($B1181="",OR(B1181&lt;&gt;"",C1181&lt;&gt;"",D1181&lt;&gt;"",E1181&lt;&gt;"",F1181&lt;&gt;"")),入力リスト!$K$34,IF($I1181=TRUE,入力リスト!$K$35,IF(J1181=FALSE,"「毎月の固定給与額」","")&amp;IF(AND(J1181=FALSE,OR(K1181=FALSE,L1181=FALSE,M1181=FALSE)),",","")&amp;IF(K1181=FALSE,"「賞与額等」","")&amp;IF(AND(K1181=FALSE,OR(L1181=FALSE,M1181=FALSE)),",","")&amp;IF(L1181=FALSE,"「残業手当」","")&amp;IF(AND(L1181=FALSE,M1181=FALSE),",","")&amp;IF(M1181=FALSE,"「残業時間」","")&amp;IF(OR(J1181=FALSE,K1181=FALSE,L1181=FALSE,M1181=FALSE),入力リスト!$K$36,"")&amp;IF(N1181,"",入力リスト!$K$37)))</f>
        <v/>
      </c>
      <c r="H1181" s="215"/>
      <c r="I1181" s="1" t="b">
        <f>IF(B1181="",FALSE,COUNTIF('従業員情報(給与以外)'!$A$4:$A$1000000,$B1181)=0)</f>
        <v>0</v>
      </c>
      <c r="J1181" s="8" t="b">
        <f t="shared" si="90"/>
        <v>1</v>
      </c>
      <c r="K1181" s="8" t="b">
        <f t="shared" si="91"/>
        <v>1</v>
      </c>
      <c r="L1181" s="8" t="b">
        <f t="shared" si="92"/>
        <v>1</v>
      </c>
      <c r="M1181" s="8" t="b">
        <f t="shared" si="93"/>
        <v>1</v>
      </c>
      <c r="N1181" s="1" t="b">
        <f t="shared" si="94"/>
        <v>1</v>
      </c>
      <c r="O1181" s="8" t="str">
        <f>IF(F1181="","",IF($F$2=入力リスト!$H$25,ROUNDDOWN(INT(F1181)+ROUNDDOWN((F1181-INT(F1181))*100,0)/60,2),F1181))</f>
        <v/>
      </c>
      <c r="P1181" s="7"/>
      <c r="Q1181" s="7"/>
    </row>
    <row r="1182" spans="1:17">
      <c r="A1182" s="105"/>
      <c r="B1182" s="2"/>
      <c r="C1182" s="3"/>
      <c r="D1182" s="3"/>
      <c r="E1182" s="3"/>
      <c r="F1182" s="8"/>
      <c r="G1182" s="215" t="str">
        <f>IF(AND($B1182="",OR(B1182&lt;&gt;"",C1182&lt;&gt;"",D1182&lt;&gt;"",E1182&lt;&gt;"",F1182&lt;&gt;"")),入力リスト!$K$34,IF($I1182=TRUE,入力リスト!$K$35,IF(J1182=FALSE,"「毎月の固定給与額」","")&amp;IF(AND(J1182=FALSE,OR(K1182=FALSE,L1182=FALSE,M1182=FALSE)),",","")&amp;IF(K1182=FALSE,"「賞与額等」","")&amp;IF(AND(K1182=FALSE,OR(L1182=FALSE,M1182=FALSE)),",","")&amp;IF(L1182=FALSE,"「残業手当」","")&amp;IF(AND(L1182=FALSE,M1182=FALSE),",","")&amp;IF(M1182=FALSE,"「残業時間」","")&amp;IF(OR(J1182=FALSE,K1182=FALSE,L1182=FALSE,M1182=FALSE),入力リスト!$K$36,"")&amp;IF(N1182,"",入力リスト!$K$37)))</f>
        <v/>
      </c>
      <c r="H1182" s="215"/>
      <c r="I1182" s="1" t="b">
        <f>IF(B1182="",FALSE,COUNTIF('従業員情報(給与以外)'!$A$4:$A$1000000,$B1182)=0)</f>
        <v>0</v>
      </c>
      <c r="J1182" s="8" t="b">
        <f t="shared" si="90"/>
        <v>1</v>
      </c>
      <c r="K1182" s="8" t="b">
        <f t="shared" si="91"/>
        <v>1</v>
      </c>
      <c r="L1182" s="8" t="b">
        <f t="shared" si="92"/>
        <v>1</v>
      </c>
      <c r="M1182" s="8" t="b">
        <f t="shared" si="93"/>
        <v>1</v>
      </c>
      <c r="N1182" s="1" t="b">
        <f t="shared" si="94"/>
        <v>1</v>
      </c>
      <c r="O1182" s="8" t="str">
        <f>IF(F1182="","",IF($F$2=入力リスト!$H$25,ROUNDDOWN(INT(F1182)+ROUNDDOWN((F1182-INT(F1182))*100,0)/60,2),F1182))</f>
        <v/>
      </c>
      <c r="P1182" s="7"/>
      <c r="Q1182" s="7"/>
    </row>
    <row r="1183" spans="1:17">
      <c r="A1183" s="105"/>
      <c r="B1183" s="2"/>
      <c r="C1183" s="3"/>
      <c r="D1183" s="3"/>
      <c r="E1183" s="3"/>
      <c r="F1183" s="8"/>
      <c r="G1183" s="215" t="str">
        <f>IF(AND($B1183="",OR(B1183&lt;&gt;"",C1183&lt;&gt;"",D1183&lt;&gt;"",E1183&lt;&gt;"",F1183&lt;&gt;"")),入力リスト!$K$34,IF($I1183=TRUE,入力リスト!$K$35,IF(J1183=FALSE,"「毎月の固定給与額」","")&amp;IF(AND(J1183=FALSE,OR(K1183=FALSE,L1183=FALSE,M1183=FALSE)),",","")&amp;IF(K1183=FALSE,"「賞与額等」","")&amp;IF(AND(K1183=FALSE,OR(L1183=FALSE,M1183=FALSE)),",","")&amp;IF(L1183=FALSE,"「残業手当」","")&amp;IF(AND(L1183=FALSE,M1183=FALSE),",","")&amp;IF(M1183=FALSE,"「残業時間」","")&amp;IF(OR(J1183=FALSE,K1183=FALSE,L1183=FALSE,M1183=FALSE),入力リスト!$K$36,"")&amp;IF(N1183,"",入力リスト!$K$37)))</f>
        <v/>
      </c>
      <c r="H1183" s="215"/>
      <c r="I1183" s="1" t="b">
        <f>IF(B1183="",FALSE,COUNTIF('従業員情報(給与以外)'!$A$4:$A$1000000,$B1183)=0)</f>
        <v>0</v>
      </c>
      <c r="J1183" s="8" t="b">
        <f t="shared" si="90"/>
        <v>1</v>
      </c>
      <c r="K1183" s="8" t="b">
        <f t="shared" si="91"/>
        <v>1</v>
      </c>
      <c r="L1183" s="8" t="b">
        <f t="shared" si="92"/>
        <v>1</v>
      </c>
      <c r="M1183" s="8" t="b">
        <f t="shared" si="93"/>
        <v>1</v>
      </c>
      <c r="N1183" s="1" t="b">
        <f t="shared" si="94"/>
        <v>1</v>
      </c>
      <c r="O1183" s="8" t="str">
        <f>IF(F1183="","",IF($F$2=入力リスト!$H$25,ROUNDDOWN(INT(F1183)+ROUNDDOWN((F1183-INT(F1183))*100,0)/60,2),F1183))</f>
        <v/>
      </c>
      <c r="P1183" s="7"/>
      <c r="Q1183" s="7"/>
    </row>
    <row r="1184" spans="1:17">
      <c r="A1184" s="105"/>
      <c r="B1184" s="2"/>
      <c r="C1184" s="3"/>
      <c r="D1184" s="3"/>
      <c r="E1184" s="3"/>
      <c r="F1184" s="8"/>
      <c r="G1184" s="215" t="str">
        <f>IF(AND($B1184="",OR(B1184&lt;&gt;"",C1184&lt;&gt;"",D1184&lt;&gt;"",E1184&lt;&gt;"",F1184&lt;&gt;"")),入力リスト!$K$34,IF($I1184=TRUE,入力リスト!$K$35,IF(J1184=FALSE,"「毎月の固定給与額」","")&amp;IF(AND(J1184=FALSE,OR(K1184=FALSE,L1184=FALSE,M1184=FALSE)),",","")&amp;IF(K1184=FALSE,"「賞与額等」","")&amp;IF(AND(K1184=FALSE,OR(L1184=FALSE,M1184=FALSE)),",","")&amp;IF(L1184=FALSE,"「残業手当」","")&amp;IF(AND(L1184=FALSE,M1184=FALSE),",","")&amp;IF(M1184=FALSE,"「残業時間」","")&amp;IF(OR(J1184=FALSE,K1184=FALSE,L1184=FALSE,M1184=FALSE),入力リスト!$K$36,"")&amp;IF(N1184,"",入力リスト!$K$37)))</f>
        <v/>
      </c>
      <c r="H1184" s="215"/>
      <c r="I1184" s="1" t="b">
        <f>IF(B1184="",FALSE,COUNTIF('従業員情報(給与以外)'!$A$4:$A$1000000,$B1184)=0)</f>
        <v>0</v>
      </c>
      <c r="J1184" s="8" t="b">
        <f t="shared" si="90"/>
        <v>1</v>
      </c>
      <c r="K1184" s="8" t="b">
        <f t="shared" si="91"/>
        <v>1</v>
      </c>
      <c r="L1184" s="8" t="b">
        <f t="shared" si="92"/>
        <v>1</v>
      </c>
      <c r="M1184" s="8" t="b">
        <f t="shared" si="93"/>
        <v>1</v>
      </c>
      <c r="N1184" s="1" t="b">
        <f t="shared" si="94"/>
        <v>1</v>
      </c>
      <c r="O1184" s="8" t="str">
        <f>IF(F1184="","",IF($F$2=入力リスト!$H$25,ROUNDDOWN(INT(F1184)+ROUNDDOWN((F1184-INT(F1184))*100,0)/60,2),F1184))</f>
        <v/>
      </c>
      <c r="P1184" s="7"/>
      <c r="Q1184" s="7"/>
    </row>
    <row r="1185" spans="1:17">
      <c r="A1185" s="105"/>
      <c r="B1185" s="2"/>
      <c r="C1185" s="3"/>
      <c r="D1185" s="3"/>
      <c r="E1185" s="3"/>
      <c r="F1185" s="8"/>
      <c r="G1185" s="215" t="str">
        <f>IF(AND($B1185="",OR(B1185&lt;&gt;"",C1185&lt;&gt;"",D1185&lt;&gt;"",E1185&lt;&gt;"",F1185&lt;&gt;"")),入力リスト!$K$34,IF($I1185=TRUE,入力リスト!$K$35,IF(J1185=FALSE,"「毎月の固定給与額」","")&amp;IF(AND(J1185=FALSE,OR(K1185=FALSE,L1185=FALSE,M1185=FALSE)),",","")&amp;IF(K1185=FALSE,"「賞与額等」","")&amp;IF(AND(K1185=FALSE,OR(L1185=FALSE,M1185=FALSE)),",","")&amp;IF(L1185=FALSE,"「残業手当」","")&amp;IF(AND(L1185=FALSE,M1185=FALSE),",","")&amp;IF(M1185=FALSE,"「残業時間」","")&amp;IF(OR(J1185=FALSE,K1185=FALSE,L1185=FALSE,M1185=FALSE),入力リスト!$K$36,"")&amp;IF(N1185,"",入力リスト!$K$37)))</f>
        <v/>
      </c>
      <c r="H1185" s="215"/>
      <c r="I1185" s="1" t="b">
        <f>IF(B1185="",FALSE,COUNTIF('従業員情報(給与以外)'!$A$4:$A$1000000,$B1185)=0)</f>
        <v>0</v>
      </c>
      <c r="J1185" s="8" t="b">
        <f t="shared" si="90"/>
        <v>1</v>
      </c>
      <c r="K1185" s="8" t="b">
        <f t="shared" si="91"/>
        <v>1</v>
      </c>
      <c r="L1185" s="8" t="b">
        <f t="shared" si="92"/>
        <v>1</v>
      </c>
      <c r="M1185" s="8" t="b">
        <f t="shared" si="93"/>
        <v>1</v>
      </c>
      <c r="N1185" s="1" t="b">
        <f t="shared" si="94"/>
        <v>1</v>
      </c>
      <c r="O1185" s="8" t="str">
        <f>IF(F1185="","",IF($F$2=入力リスト!$H$25,ROUNDDOWN(INT(F1185)+ROUNDDOWN((F1185-INT(F1185))*100,0)/60,2),F1185))</f>
        <v/>
      </c>
      <c r="P1185" s="7"/>
      <c r="Q1185" s="7"/>
    </row>
    <row r="1186" spans="1:17">
      <c r="A1186" s="105"/>
      <c r="B1186" s="2"/>
      <c r="C1186" s="3"/>
      <c r="D1186" s="3"/>
      <c r="E1186" s="3"/>
      <c r="F1186" s="8"/>
      <c r="G1186" s="215" t="str">
        <f>IF(AND($B1186="",OR(B1186&lt;&gt;"",C1186&lt;&gt;"",D1186&lt;&gt;"",E1186&lt;&gt;"",F1186&lt;&gt;"")),入力リスト!$K$34,IF($I1186=TRUE,入力リスト!$K$35,IF(J1186=FALSE,"「毎月の固定給与額」","")&amp;IF(AND(J1186=FALSE,OR(K1186=FALSE,L1186=FALSE,M1186=FALSE)),",","")&amp;IF(K1186=FALSE,"「賞与額等」","")&amp;IF(AND(K1186=FALSE,OR(L1186=FALSE,M1186=FALSE)),",","")&amp;IF(L1186=FALSE,"「残業手当」","")&amp;IF(AND(L1186=FALSE,M1186=FALSE),",","")&amp;IF(M1186=FALSE,"「残業時間」","")&amp;IF(OR(J1186=FALSE,K1186=FALSE,L1186=FALSE,M1186=FALSE),入力リスト!$K$36,"")&amp;IF(N1186,"",入力リスト!$K$37)))</f>
        <v/>
      </c>
      <c r="H1186" s="215"/>
      <c r="I1186" s="1" t="b">
        <f>IF(B1186="",FALSE,COUNTIF('従業員情報(給与以外)'!$A$4:$A$1000000,$B1186)=0)</f>
        <v>0</v>
      </c>
      <c r="J1186" s="8" t="b">
        <f t="shared" si="90"/>
        <v>1</v>
      </c>
      <c r="K1186" s="8" t="b">
        <f t="shared" si="91"/>
        <v>1</v>
      </c>
      <c r="L1186" s="8" t="b">
        <f t="shared" si="92"/>
        <v>1</v>
      </c>
      <c r="M1186" s="8" t="b">
        <f t="shared" si="93"/>
        <v>1</v>
      </c>
      <c r="N1186" s="1" t="b">
        <f t="shared" si="94"/>
        <v>1</v>
      </c>
      <c r="O1186" s="8" t="str">
        <f>IF(F1186="","",IF($F$2=入力リスト!$H$25,ROUNDDOWN(INT(F1186)+ROUNDDOWN((F1186-INT(F1186))*100,0)/60,2),F1186))</f>
        <v/>
      </c>
      <c r="P1186" s="7"/>
      <c r="Q1186" s="7"/>
    </row>
    <row r="1187" spans="1:17">
      <c r="A1187" s="105"/>
      <c r="B1187" s="2"/>
      <c r="C1187" s="3"/>
      <c r="D1187" s="3"/>
      <c r="E1187" s="3"/>
      <c r="F1187" s="8"/>
      <c r="G1187" s="215" t="str">
        <f>IF(AND($B1187="",OR(B1187&lt;&gt;"",C1187&lt;&gt;"",D1187&lt;&gt;"",E1187&lt;&gt;"",F1187&lt;&gt;"")),入力リスト!$K$34,IF($I1187=TRUE,入力リスト!$K$35,IF(J1187=FALSE,"「毎月の固定給与額」","")&amp;IF(AND(J1187=FALSE,OR(K1187=FALSE,L1187=FALSE,M1187=FALSE)),",","")&amp;IF(K1187=FALSE,"「賞与額等」","")&amp;IF(AND(K1187=FALSE,OR(L1187=FALSE,M1187=FALSE)),",","")&amp;IF(L1187=FALSE,"「残業手当」","")&amp;IF(AND(L1187=FALSE,M1187=FALSE),",","")&amp;IF(M1187=FALSE,"「残業時間」","")&amp;IF(OR(J1187=FALSE,K1187=FALSE,L1187=FALSE,M1187=FALSE),入力リスト!$K$36,"")&amp;IF(N1187,"",入力リスト!$K$37)))</f>
        <v/>
      </c>
      <c r="H1187" s="215"/>
      <c r="I1187" s="1" t="b">
        <f>IF(B1187="",FALSE,COUNTIF('従業員情報(給与以外)'!$A$4:$A$1000000,$B1187)=0)</f>
        <v>0</v>
      </c>
      <c r="J1187" s="8" t="b">
        <f t="shared" si="90"/>
        <v>1</v>
      </c>
      <c r="K1187" s="8" t="b">
        <f t="shared" si="91"/>
        <v>1</v>
      </c>
      <c r="L1187" s="8" t="b">
        <f t="shared" si="92"/>
        <v>1</v>
      </c>
      <c r="M1187" s="8" t="b">
        <f t="shared" si="93"/>
        <v>1</v>
      </c>
      <c r="N1187" s="1" t="b">
        <f t="shared" si="94"/>
        <v>1</v>
      </c>
      <c r="O1187" s="8" t="str">
        <f>IF(F1187="","",IF($F$2=入力リスト!$H$25,ROUNDDOWN(INT(F1187)+ROUNDDOWN((F1187-INT(F1187))*100,0)/60,2),F1187))</f>
        <v/>
      </c>
      <c r="P1187" s="7"/>
      <c r="Q1187" s="7"/>
    </row>
    <row r="1188" spans="1:17">
      <c r="A1188" s="105"/>
      <c r="B1188" s="2"/>
      <c r="C1188" s="3"/>
      <c r="D1188" s="3"/>
      <c r="E1188" s="3"/>
      <c r="F1188" s="8"/>
      <c r="G1188" s="215" t="str">
        <f>IF(AND($B1188="",OR(B1188&lt;&gt;"",C1188&lt;&gt;"",D1188&lt;&gt;"",E1188&lt;&gt;"",F1188&lt;&gt;"")),入力リスト!$K$34,IF($I1188=TRUE,入力リスト!$K$35,IF(J1188=FALSE,"「毎月の固定給与額」","")&amp;IF(AND(J1188=FALSE,OR(K1188=FALSE,L1188=FALSE,M1188=FALSE)),",","")&amp;IF(K1188=FALSE,"「賞与額等」","")&amp;IF(AND(K1188=FALSE,OR(L1188=FALSE,M1188=FALSE)),",","")&amp;IF(L1188=FALSE,"「残業手当」","")&amp;IF(AND(L1188=FALSE,M1188=FALSE),",","")&amp;IF(M1188=FALSE,"「残業時間」","")&amp;IF(OR(J1188=FALSE,K1188=FALSE,L1188=FALSE,M1188=FALSE),入力リスト!$K$36,"")&amp;IF(N1188,"",入力リスト!$K$37)))</f>
        <v/>
      </c>
      <c r="H1188" s="215"/>
      <c r="I1188" s="1" t="b">
        <f>IF(B1188="",FALSE,COUNTIF('従業員情報(給与以外)'!$A$4:$A$1000000,$B1188)=0)</f>
        <v>0</v>
      </c>
      <c r="J1188" s="8" t="b">
        <f t="shared" si="90"/>
        <v>1</v>
      </c>
      <c r="K1188" s="8" t="b">
        <f t="shared" si="91"/>
        <v>1</v>
      </c>
      <c r="L1188" s="8" t="b">
        <f t="shared" si="92"/>
        <v>1</v>
      </c>
      <c r="M1188" s="8" t="b">
        <f t="shared" si="93"/>
        <v>1</v>
      </c>
      <c r="N1188" s="1" t="b">
        <f t="shared" si="94"/>
        <v>1</v>
      </c>
      <c r="O1188" s="8" t="str">
        <f>IF(F1188="","",IF($F$2=入力リスト!$H$25,ROUNDDOWN(INT(F1188)+ROUNDDOWN((F1188-INT(F1188))*100,0)/60,2),F1188))</f>
        <v/>
      </c>
      <c r="P1188" s="7"/>
      <c r="Q1188" s="7"/>
    </row>
    <row r="1189" spans="1:17">
      <c r="A1189" s="105"/>
      <c r="B1189" s="2"/>
      <c r="C1189" s="3"/>
      <c r="D1189" s="3"/>
      <c r="E1189" s="3"/>
      <c r="F1189" s="8"/>
      <c r="G1189" s="215" t="str">
        <f>IF(AND($B1189="",OR(B1189&lt;&gt;"",C1189&lt;&gt;"",D1189&lt;&gt;"",E1189&lt;&gt;"",F1189&lt;&gt;"")),入力リスト!$K$34,IF($I1189=TRUE,入力リスト!$K$35,IF(J1189=FALSE,"「毎月の固定給与額」","")&amp;IF(AND(J1189=FALSE,OR(K1189=FALSE,L1189=FALSE,M1189=FALSE)),",","")&amp;IF(K1189=FALSE,"「賞与額等」","")&amp;IF(AND(K1189=FALSE,OR(L1189=FALSE,M1189=FALSE)),",","")&amp;IF(L1189=FALSE,"「残業手当」","")&amp;IF(AND(L1189=FALSE,M1189=FALSE),",","")&amp;IF(M1189=FALSE,"「残業時間」","")&amp;IF(OR(J1189=FALSE,K1189=FALSE,L1189=FALSE,M1189=FALSE),入力リスト!$K$36,"")&amp;IF(N1189,"",入力リスト!$K$37)))</f>
        <v/>
      </c>
      <c r="H1189" s="215"/>
      <c r="I1189" s="1" t="b">
        <f>IF(B1189="",FALSE,COUNTIF('従業員情報(給与以外)'!$A$4:$A$1000000,$B1189)=0)</f>
        <v>0</v>
      </c>
      <c r="J1189" s="8" t="b">
        <f t="shared" si="90"/>
        <v>1</v>
      </c>
      <c r="K1189" s="8" t="b">
        <f t="shared" si="91"/>
        <v>1</v>
      </c>
      <c r="L1189" s="8" t="b">
        <f t="shared" si="92"/>
        <v>1</v>
      </c>
      <c r="M1189" s="8" t="b">
        <f t="shared" si="93"/>
        <v>1</v>
      </c>
      <c r="N1189" s="1" t="b">
        <f t="shared" si="94"/>
        <v>1</v>
      </c>
      <c r="O1189" s="8" t="str">
        <f>IF(F1189="","",IF($F$2=入力リスト!$H$25,ROUNDDOWN(INT(F1189)+ROUNDDOWN((F1189-INT(F1189))*100,0)/60,2),F1189))</f>
        <v/>
      </c>
      <c r="P1189" s="7"/>
      <c r="Q1189" s="7"/>
    </row>
    <row r="1190" spans="1:17">
      <c r="A1190" s="105"/>
      <c r="B1190" s="2"/>
      <c r="C1190" s="3"/>
      <c r="D1190" s="3"/>
      <c r="E1190" s="3"/>
      <c r="F1190" s="8"/>
      <c r="G1190" s="215" t="str">
        <f>IF(AND($B1190="",OR(B1190&lt;&gt;"",C1190&lt;&gt;"",D1190&lt;&gt;"",E1190&lt;&gt;"",F1190&lt;&gt;"")),入力リスト!$K$34,IF($I1190=TRUE,入力リスト!$K$35,IF(J1190=FALSE,"「毎月の固定給与額」","")&amp;IF(AND(J1190=FALSE,OR(K1190=FALSE,L1190=FALSE,M1190=FALSE)),",","")&amp;IF(K1190=FALSE,"「賞与額等」","")&amp;IF(AND(K1190=FALSE,OR(L1190=FALSE,M1190=FALSE)),",","")&amp;IF(L1190=FALSE,"「残業手当」","")&amp;IF(AND(L1190=FALSE,M1190=FALSE),",","")&amp;IF(M1190=FALSE,"「残業時間」","")&amp;IF(OR(J1190=FALSE,K1190=FALSE,L1190=FALSE,M1190=FALSE),入力リスト!$K$36,"")&amp;IF(N1190,"",入力リスト!$K$37)))</f>
        <v/>
      </c>
      <c r="H1190" s="215"/>
      <c r="I1190" s="1" t="b">
        <f>IF(B1190="",FALSE,COUNTIF('従業員情報(給与以外)'!$A$4:$A$1000000,$B1190)=0)</f>
        <v>0</v>
      </c>
      <c r="J1190" s="8" t="b">
        <f t="shared" si="90"/>
        <v>1</v>
      </c>
      <c r="K1190" s="8" t="b">
        <f t="shared" si="91"/>
        <v>1</v>
      </c>
      <c r="L1190" s="8" t="b">
        <f t="shared" si="92"/>
        <v>1</v>
      </c>
      <c r="M1190" s="8" t="b">
        <f t="shared" si="93"/>
        <v>1</v>
      </c>
      <c r="N1190" s="1" t="b">
        <f t="shared" si="94"/>
        <v>1</v>
      </c>
      <c r="O1190" s="8" t="str">
        <f>IF(F1190="","",IF($F$2=入力リスト!$H$25,ROUNDDOWN(INT(F1190)+ROUNDDOWN((F1190-INT(F1190))*100,0)/60,2),F1190))</f>
        <v/>
      </c>
      <c r="P1190" s="7"/>
      <c r="Q1190" s="7"/>
    </row>
    <row r="1191" spans="1:17">
      <c r="A1191" s="105"/>
      <c r="B1191" s="2"/>
      <c r="C1191" s="3"/>
      <c r="D1191" s="3"/>
      <c r="E1191" s="3"/>
      <c r="F1191" s="8"/>
      <c r="G1191" s="215" t="str">
        <f>IF(AND($B1191="",OR(B1191&lt;&gt;"",C1191&lt;&gt;"",D1191&lt;&gt;"",E1191&lt;&gt;"",F1191&lt;&gt;"")),入力リスト!$K$34,IF($I1191=TRUE,入力リスト!$K$35,IF(J1191=FALSE,"「毎月の固定給与額」","")&amp;IF(AND(J1191=FALSE,OR(K1191=FALSE,L1191=FALSE,M1191=FALSE)),",","")&amp;IF(K1191=FALSE,"「賞与額等」","")&amp;IF(AND(K1191=FALSE,OR(L1191=FALSE,M1191=FALSE)),",","")&amp;IF(L1191=FALSE,"「残業手当」","")&amp;IF(AND(L1191=FALSE,M1191=FALSE),",","")&amp;IF(M1191=FALSE,"「残業時間」","")&amp;IF(OR(J1191=FALSE,K1191=FALSE,L1191=FALSE,M1191=FALSE),入力リスト!$K$36,"")&amp;IF(N1191,"",入力リスト!$K$37)))</f>
        <v/>
      </c>
      <c r="H1191" s="215"/>
      <c r="I1191" s="1" t="b">
        <f>IF(B1191="",FALSE,COUNTIF('従業員情報(給与以外)'!$A$4:$A$1000000,$B1191)=0)</f>
        <v>0</v>
      </c>
      <c r="J1191" s="8" t="b">
        <f t="shared" si="90"/>
        <v>1</v>
      </c>
      <c r="K1191" s="8" t="b">
        <f t="shared" si="91"/>
        <v>1</v>
      </c>
      <c r="L1191" s="8" t="b">
        <f t="shared" si="92"/>
        <v>1</v>
      </c>
      <c r="M1191" s="8" t="b">
        <f t="shared" si="93"/>
        <v>1</v>
      </c>
      <c r="N1191" s="1" t="b">
        <f t="shared" si="94"/>
        <v>1</v>
      </c>
      <c r="O1191" s="8" t="str">
        <f>IF(F1191="","",IF($F$2=入力リスト!$H$25,ROUNDDOWN(INT(F1191)+ROUNDDOWN((F1191-INT(F1191))*100,0)/60,2),F1191))</f>
        <v/>
      </c>
      <c r="P1191" s="7"/>
      <c r="Q1191" s="7"/>
    </row>
    <row r="1192" spans="1:17">
      <c r="A1192" s="105"/>
      <c r="B1192" s="2"/>
      <c r="C1192" s="3"/>
      <c r="D1192" s="3"/>
      <c r="E1192" s="3"/>
      <c r="F1192" s="8"/>
      <c r="G1192" s="215" t="str">
        <f>IF(AND($B1192="",OR(B1192&lt;&gt;"",C1192&lt;&gt;"",D1192&lt;&gt;"",E1192&lt;&gt;"",F1192&lt;&gt;"")),入力リスト!$K$34,IF($I1192=TRUE,入力リスト!$K$35,IF(J1192=FALSE,"「毎月の固定給与額」","")&amp;IF(AND(J1192=FALSE,OR(K1192=FALSE,L1192=FALSE,M1192=FALSE)),",","")&amp;IF(K1192=FALSE,"「賞与額等」","")&amp;IF(AND(K1192=FALSE,OR(L1192=FALSE,M1192=FALSE)),",","")&amp;IF(L1192=FALSE,"「残業手当」","")&amp;IF(AND(L1192=FALSE,M1192=FALSE),",","")&amp;IF(M1192=FALSE,"「残業時間」","")&amp;IF(OR(J1192=FALSE,K1192=FALSE,L1192=FALSE,M1192=FALSE),入力リスト!$K$36,"")&amp;IF(N1192,"",入力リスト!$K$37)))</f>
        <v/>
      </c>
      <c r="H1192" s="215"/>
      <c r="I1192" s="1" t="b">
        <f>IF(B1192="",FALSE,COUNTIF('従業員情報(給与以外)'!$A$4:$A$1000000,$B1192)=0)</f>
        <v>0</v>
      </c>
      <c r="J1192" s="8" t="b">
        <f t="shared" si="90"/>
        <v>1</v>
      </c>
      <c r="K1192" s="8" t="b">
        <f t="shared" si="91"/>
        <v>1</v>
      </c>
      <c r="L1192" s="8" t="b">
        <f t="shared" si="92"/>
        <v>1</v>
      </c>
      <c r="M1192" s="8" t="b">
        <f t="shared" si="93"/>
        <v>1</v>
      </c>
      <c r="N1192" s="1" t="b">
        <f t="shared" si="94"/>
        <v>1</v>
      </c>
      <c r="O1192" s="8" t="str">
        <f>IF(F1192="","",IF($F$2=入力リスト!$H$25,ROUNDDOWN(INT(F1192)+ROUNDDOWN((F1192-INT(F1192))*100,0)/60,2),F1192))</f>
        <v/>
      </c>
      <c r="P1192" s="7"/>
      <c r="Q1192" s="7"/>
    </row>
    <row r="1193" spans="1:17">
      <c r="A1193" s="105"/>
      <c r="B1193" s="2"/>
      <c r="C1193" s="3"/>
      <c r="D1193" s="3"/>
      <c r="E1193" s="3"/>
      <c r="F1193" s="8"/>
      <c r="G1193" s="215" t="str">
        <f>IF(AND($B1193="",OR(B1193&lt;&gt;"",C1193&lt;&gt;"",D1193&lt;&gt;"",E1193&lt;&gt;"",F1193&lt;&gt;"")),入力リスト!$K$34,IF($I1193=TRUE,入力リスト!$K$35,IF(J1193=FALSE,"「毎月の固定給与額」","")&amp;IF(AND(J1193=FALSE,OR(K1193=FALSE,L1193=FALSE,M1193=FALSE)),",","")&amp;IF(K1193=FALSE,"「賞与額等」","")&amp;IF(AND(K1193=FALSE,OR(L1193=FALSE,M1193=FALSE)),",","")&amp;IF(L1193=FALSE,"「残業手当」","")&amp;IF(AND(L1193=FALSE,M1193=FALSE),",","")&amp;IF(M1193=FALSE,"「残業時間」","")&amp;IF(OR(J1193=FALSE,K1193=FALSE,L1193=FALSE,M1193=FALSE),入力リスト!$K$36,"")&amp;IF(N1193,"",入力リスト!$K$37)))</f>
        <v/>
      </c>
      <c r="H1193" s="215"/>
      <c r="I1193" s="1" t="b">
        <f>IF(B1193="",FALSE,COUNTIF('従業員情報(給与以外)'!$A$4:$A$1000000,$B1193)=0)</f>
        <v>0</v>
      </c>
      <c r="J1193" s="8" t="b">
        <f t="shared" si="90"/>
        <v>1</v>
      </c>
      <c r="K1193" s="8" t="b">
        <f t="shared" si="91"/>
        <v>1</v>
      </c>
      <c r="L1193" s="8" t="b">
        <f t="shared" si="92"/>
        <v>1</v>
      </c>
      <c r="M1193" s="8" t="b">
        <f t="shared" si="93"/>
        <v>1</v>
      </c>
      <c r="N1193" s="1" t="b">
        <f t="shared" si="94"/>
        <v>1</v>
      </c>
      <c r="O1193" s="8" t="str">
        <f>IF(F1193="","",IF($F$2=入力リスト!$H$25,ROUNDDOWN(INT(F1193)+ROUNDDOWN((F1193-INT(F1193))*100,0)/60,2),F1193))</f>
        <v/>
      </c>
      <c r="P1193" s="7"/>
      <c r="Q1193" s="7"/>
    </row>
    <row r="1194" spans="1:17">
      <c r="A1194" s="105"/>
      <c r="B1194" s="2"/>
      <c r="C1194" s="3"/>
      <c r="D1194" s="3"/>
      <c r="E1194" s="3"/>
      <c r="F1194" s="8"/>
      <c r="G1194" s="215" t="str">
        <f>IF(AND($B1194="",OR(B1194&lt;&gt;"",C1194&lt;&gt;"",D1194&lt;&gt;"",E1194&lt;&gt;"",F1194&lt;&gt;"")),入力リスト!$K$34,IF($I1194=TRUE,入力リスト!$K$35,IF(J1194=FALSE,"「毎月の固定給与額」","")&amp;IF(AND(J1194=FALSE,OR(K1194=FALSE,L1194=FALSE,M1194=FALSE)),",","")&amp;IF(K1194=FALSE,"「賞与額等」","")&amp;IF(AND(K1194=FALSE,OR(L1194=FALSE,M1194=FALSE)),",","")&amp;IF(L1194=FALSE,"「残業手当」","")&amp;IF(AND(L1194=FALSE,M1194=FALSE),",","")&amp;IF(M1194=FALSE,"「残業時間」","")&amp;IF(OR(J1194=FALSE,K1194=FALSE,L1194=FALSE,M1194=FALSE),入力リスト!$K$36,"")&amp;IF(N1194,"",入力リスト!$K$37)))</f>
        <v/>
      </c>
      <c r="H1194" s="215"/>
      <c r="I1194" s="1" t="b">
        <f>IF(B1194="",FALSE,COUNTIF('従業員情報(給与以外)'!$A$4:$A$1000000,$B1194)=0)</f>
        <v>0</v>
      </c>
      <c r="J1194" s="8" t="b">
        <f t="shared" si="90"/>
        <v>1</v>
      </c>
      <c r="K1194" s="8" t="b">
        <f t="shared" si="91"/>
        <v>1</v>
      </c>
      <c r="L1194" s="8" t="b">
        <f t="shared" si="92"/>
        <v>1</v>
      </c>
      <c r="M1194" s="8" t="b">
        <f t="shared" si="93"/>
        <v>1</v>
      </c>
      <c r="N1194" s="1" t="b">
        <f t="shared" si="94"/>
        <v>1</v>
      </c>
      <c r="O1194" s="8" t="str">
        <f>IF(F1194="","",IF($F$2=入力リスト!$H$25,ROUNDDOWN(INT(F1194)+ROUNDDOWN((F1194-INT(F1194))*100,0)/60,2),F1194))</f>
        <v/>
      </c>
      <c r="P1194" s="7"/>
      <c r="Q1194" s="7"/>
    </row>
    <row r="1195" spans="1:17">
      <c r="A1195" s="105"/>
      <c r="B1195" s="2"/>
      <c r="C1195" s="3"/>
      <c r="D1195" s="3"/>
      <c r="E1195" s="3"/>
      <c r="F1195" s="8"/>
      <c r="G1195" s="215" t="str">
        <f>IF(AND($B1195="",OR(B1195&lt;&gt;"",C1195&lt;&gt;"",D1195&lt;&gt;"",E1195&lt;&gt;"",F1195&lt;&gt;"")),入力リスト!$K$34,IF($I1195=TRUE,入力リスト!$K$35,IF(J1195=FALSE,"「毎月の固定給与額」","")&amp;IF(AND(J1195=FALSE,OR(K1195=FALSE,L1195=FALSE,M1195=FALSE)),",","")&amp;IF(K1195=FALSE,"「賞与額等」","")&amp;IF(AND(K1195=FALSE,OR(L1195=FALSE,M1195=FALSE)),",","")&amp;IF(L1195=FALSE,"「残業手当」","")&amp;IF(AND(L1195=FALSE,M1195=FALSE),",","")&amp;IF(M1195=FALSE,"「残業時間」","")&amp;IF(OR(J1195=FALSE,K1195=FALSE,L1195=FALSE,M1195=FALSE),入力リスト!$K$36,"")&amp;IF(N1195,"",入力リスト!$K$37)))</f>
        <v/>
      </c>
      <c r="H1195" s="215"/>
      <c r="I1195" s="1" t="b">
        <f>IF(B1195="",FALSE,COUNTIF('従業員情報(給与以外)'!$A$4:$A$1000000,$B1195)=0)</f>
        <v>0</v>
      </c>
      <c r="J1195" s="8" t="b">
        <f t="shared" si="90"/>
        <v>1</v>
      </c>
      <c r="K1195" s="8" t="b">
        <f t="shared" si="91"/>
        <v>1</v>
      </c>
      <c r="L1195" s="8" t="b">
        <f t="shared" si="92"/>
        <v>1</v>
      </c>
      <c r="M1195" s="8" t="b">
        <f t="shared" si="93"/>
        <v>1</v>
      </c>
      <c r="N1195" s="1" t="b">
        <f t="shared" si="94"/>
        <v>1</v>
      </c>
      <c r="O1195" s="8" t="str">
        <f>IF(F1195="","",IF($F$2=入力リスト!$H$25,ROUNDDOWN(INT(F1195)+ROUNDDOWN((F1195-INT(F1195))*100,0)/60,2),F1195))</f>
        <v/>
      </c>
      <c r="P1195" s="7"/>
      <c r="Q1195" s="7"/>
    </row>
    <row r="1196" spans="1:17">
      <c r="A1196" s="105"/>
      <c r="B1196" s="2"/>
      <c r="C1196" s="3"/>
      <c r="D1196" s="3"/>
      <c r="E1196" s="3"/>
      <c r="F1196" s="8"/>
      <c r="G1196" s="215" t="str">
        <f>IF(AND($B1196="",OR(B1196&lt;&gt;"",C1196&lt;&gt;"",D1196&lt;&gt;"",E1196&lt;&gt;"",F1196&lt;&gt;"")),入力リスト!$K$34,IF($I1196=TRUE,入力リスト!$K$35,IF(J1196=FALSE,"「毎月の固定給与額」","")&amp;IF(AND(J1196=FALSE,OR(K1196=FALSE,L1196=FALSE,M1196=FALSE)),",","")&amp;IF(K1196=FALSE,"「賞与額等」","")&amp;IF(AND(K1196=FALSE,OR(L1196=FALSE,M1196=FALSE)),",","")&amp;IF(L1196=FALSE,"「残業手当」","")&amp;IF(AND(L1196=FALSE,M1196=FALSE),",","")&amp;IF(M1196=FALSE,"「残業時間」","")&amp;IF(OR(J1196=FALSE,K1196=FALSE,L1196=FALSE,M1196=FALSE),入力リスト!$K$36,"")&amp;IF(N1196,"",入力リスト!$K$37)))</f>
        <v/>
      </c>
      <c r="H1196" s="215"/>
      <c r="I1196" s="1" t="b">
        <f>IF(B1196="",FALSE,COUNTIF('従業員情報(給与以外)'!$A$4:$A$1000000,$B1196)=0)</f>
        <v>0</v>
      </c>
      <c r="J1196" s="8" t="b">
        <f t="shared" si="90"/>
        <v>1</v>
      </c>
      <c r="K1196" s="8" t="b">
        <f t="shared" si="91"/>
        <v>1</v>
      </c>
      <c r="L1196" s="8" t="b">
        <f t="shared" si="92"/>
        <v>1</v>
      </c>
      <c r="M1196" s="8" t="b">
        <f t="shared" si="93"/>
        <v>1</v>
      </c>
      <c r="N1196" s="1" t="b">
        <f t="shared" si="94"/>
        <v>1</v>
      </c>
      <c r="O1196" s="8" t="str">
        <f>IF(F1196="","",IF($F$2=入力リスト!$H$25,ROUNDDOWN(INT(F1196)+ROUNDDOWN((F1196-INT(F1196))*100,0)/60,2),F1196))</f>
        <v/>
      </c>
      <c r="P1196" s="7"/>
      <c r="Q1196" s="7"/>
    </row>
    <row r="1197" spans="1:17">
      <c r="A1197" s="105"/>
      <c r="B1197" s="2"/>
      <c r="C1197" s="3"/>
      <c r="D1197" s="3"/>
      <c r="E1197" s="3"/>
      <c r="F1197" s="8"/>
      <c r="G1197" s="215" t="str">
        <f>IF(AND($B1197="",OR(B1197&lt;&gt;"",C1197&lt;&gt;"",D1197&lt;&gt;"",E1197&lt;&gt;"",F1197&lt;&gt;"")),入力リスト!$K$34,IF($I1197=TRUE,入力リスト!$K$35,IF(J1197=FALSE,"「毎月の固定給与額」","")&amp;IF(AND(J1197=FALSE,OR(K1197=FALSE,L1197=FALSE,M1197=FALSE)),",","")&amp;IF(K1197=FALSE,"「賞与額等」","")&amp;IF(AND(K1197=FALSE,OR(L1197=FALSE,M1197=FALSE)),",","")&amp;IF(L1197=FALSE,"「残業手当」","")&amp;IF(AND(L1197=FALSE,M1197=FALSE),",","")&amp;IF(M1197=FALSE,"「残業時間」","")&amp;IF(OR(J1197=FALSE,K1197=FALSE,L1197=FALSE,M1197=FALSE),入力リスト!$K$36,"")&amp;IF(N1197,"",入力リスト!$K$37)))</f>
        <v/>
      </c>
      <c r="H1197" s="215"/>
      <c r="I1197" s="1" t="b">
        <f>IF(B1197="",FALSE,COUNTIF('従業員情報(給与以外)'!$A$4:$A$1000000,$B1197)=0)</f>
        <v>0</v>
      </c>
      <c r="J1197" s="8" t="b">
        <f t="shared" si="90"/>
        <v>1</v>
      </c>
      <c r="K1197" s="8" t="b">
        <f t="shared" si="91"/>
        <v>1</v>
      </c>
      <c r="L1197" s="8" t="b">
        <f t="shared" si="92"/>
        <v>1</v>
      </c>
      <c r="M1197" s="8" t="b">
        <f t="shared" si="93"/>
        <v>1</v>
      </c>
      <c r="N1197" s="1" t="b">
        <f t="shared" si="94"/>
        <v>1</v>
      </c>
      <c r="O1197" s="8" t="str">
        <f>IF(F1197="","",IF($F$2=入力リスト!$H$25,ROUNDDOWN(INT(F1197)+ROUNDDOWN((F1197-INT(F1197))*100,0)/60,2),F1197))</f>
        <v/>
      </c>
      <c r="P1197" s="7"/>
      <c r="Q1197" s="7"/>
    </row>
    <row r="1198" spans="1:17">
      <c r="A1198" s="105"/>
      <c r="B1198" s="2"/>
      <c r="C1198" s="3"/>
      <c r="D1198" s="3"/>
      <c r="E1198" s="3"/>
      <c r="F1198" s="8"/>
      <c r="G1198" s="215" t="str">
        <f>IF(AND($B1198="",OR(B1198&lt;&gt;"",C1198&lt;&gt;"",D1198&lt;&gt;"",E1198&lt;&gt;"",F1198&lt;&gt;"")),入力リスト!$K$34,IF($I1198=TRUE,入力リスト!$K$35,IF(J1198=FALSE,"「毎月の固定給与額」","")&amp;IF(AND(J1198=FALSE,OR(K1198=FALSE,L1198=FALSE,M1198=FALSE)),",","")&amp;IF(K1198=FALSE,"「賞与額等」","")&amp;IF(AND(K1198=FALSE,OR(L1198=FALSE,M1198=FALSE)),",","")&amp;IF(L1198=FALSE,"「残業手当」","")&amp;IF(AND(L1198=FALSE,M1198=FALSE),",","")&amp;IF(M1198=FALSE,"「残業時間」","")&amp;IF(OR(J1198=FALSE,K1198=FALSE,L1198=FALSE,M1198=FALSE),入力リスト!$K$36,"")&amp;IF(N1198,"",入力リスト!$K$37)))</f>
        <v/>
      </c>
      <c r="H1198" s="215"/>
      <c r="I1198" s="1" t="b">
        <f>IF(B1198="",FALSE,COUNTIF('従業員情報(給与以外)'!$A$4:$A$1000000,$B1198)=0)</f>
        <v>0</v>
      </c>
      <c r="J1198" s="8" t="b">
        <f t="shared" si="90"/>
        <v>1</v>
      </c>
      <c r="K1198" s="8" t="b">
        <f t="shared" si="91"/>
        <v>1</v>
      </c>
      <c r="L1198" s="8" t="b">
        <f t="shared" si="92"/>
        <v>1</v>
      </c>
      <c r="M1198" s="8" t="b">
        <f t="shared" si="93"/>
        <v>1</v>
      </c>
      <c r="N1198" s="1" t="b">
        <f t="shared" si="94"/>
        <v>1</v>
      </c>
      <c r="O1198" s="8" t="str">
        <f>IF(F1198="","",IF($F$2=入力リスト!$H$25,ROUNDDOWN(INT(F1198)+ROUNDDOWN((F1198-INT(F1198))*100,0)/60,2),F1198))</f>
        <v/>
      </c>
      <c r="P1198" s="7"/>
      <c r="Q1198" s="7"/>
    </row>
    <row r="1199" spans="1:17">
      <c r="A1199" s="105"/>
      <c r="B1199" s="2"/>
      <c r="C1199" s="3"/>
      <c r="D1199" s="3"/>
      <c r="E1199" s="3"/>
      <c r="F1199" s="8"/>
      <c r="G1199" s="215" t="str">
        <f>IF(AND($B1199="",OR(B1199&lt;&gt;"",C1199&lt;&gt;"",D1199&lt;&gt;"",E1199&lt;&gt;"",F1199&lt;&gt;"")),入力リスト!$K$34,IF($I1199=TRUE,入力リスト!$K$35,IF(J1199=FALSE,"「毎月の固定給与額」","")&amp;IF(AND(J1199=FALSE,OR(K1199=FALSE,L1199=FALSE,M1199=FALSE)),",","")&amp;IF(K1199=FALSE,"「賞与額等」","")&amp;IF(AND(K1199=FALSE,OR(L1199=FALSE,M1199=FALSE)),",","")&amp;IF(L1199=FALSE,"「残業手当」","")&amp;IF(AND(L1199=FALSE,M1199=FALSE),",","")&amp;IF(M1199=FALSE,"「残業時間」","")&amp;IF(OR(J1199=FALSE,K1199=FALSE,L1199=FALSE,M1199=FALSE),入力リスト!$K$36,"")&amp;IF(N1199,"",入力リスト!$K$37)))</f>
        <v/>
      </c>
      <c r="H1199" s="215"/>
      <c r="I1199" s="1" t="b">
        <f>IF(B1199="",FALSE,COUNTIF('従業員情報(給与以外)'!$A$4:$A$1000000,$B1199)=0)</f>
        <v>0</v>
      </c>
      <c r="J1199" s="8" t="b">
        <f t="shared" si="90"/>
        <v>1</v>
      </c>
      <c r="K1199" s="8" t="b">
        <f t="shared" si="91"/>
        <v>1</v>
      </c>
      <c r="L1199" s="8" t="b">
        <f t="shared" si="92"/>
        <v>1</v>
      </c>
      <c r="M1199" s="8" t="b">
        <f t="shared" si="93"/>
        <v>1</v>
      </c>
      <c r="N1199" s="1" t="b">
        <f t="shared" si="94"/>
        <v>1</v>
      </c>
      <c r="O1199" s="8" t="str">
        <f>IF(F1199="","",IF($F$2=入力リスト!$H$25,ROUNDDOWN(INT(F1199)+ROUNDDOWN((F1199-INT(F1199))*100,0)/60,2),F1199))</f>
        <v/>
      </c>
      <c r="P1199" s="7"/>
      <c r="Q1199" s="7"/>
    </row>
    <row r="1200" spans="1:17">
      <c r="A1200" s="105"/>
      <c r="B1200" s="2"/>
      <c r="C1200" s="3"/>
      <c r="D1200" s="3"/>
      <c r="E1200" s="3"/>
      <c r="F1200" s="8"/>
      <c r="G1200" s="215" t="str">
        <f>IF(AND($B1200="",OR(B1200&lt;&gt;"",C1200&lt;&gt;"",D1200&lt;&gt;"",E1200&lt;&gt;"",F1200&lt;&gt;"")),入力リスト!$K$34,IF($I1200=TRUE,入力リスト!$K$35,IF(J1200=FALSE,"「毎月の固定給与額」","")&amp;IF(AND(J1200=FALSE,OR(K1200=FALSE,L1200=FALSE,M1200=FALSE)),",","")&amp;IF(K1200=FALSE,"「賞与額等」","")&amp;IF(AND(K1200=FALSE,OR(L1200=FALSE,M1200=FALSE)),",","")&amp;IF(L1200=FALSE,"「残業手当」","")&amp;IF(AND(L1200=FALSE,M1200=FALSE),",","")&amp;IF(M1200=FALSE,"「残業時間」","")&amp;IF(OR(J1200=FALSE,K1200=FALSE,L1200=FALSE,M1200=FALSE),入力リスト!$K$36,"")&amp;IF(N1200,"",入力リスト!$K$37)))</f>
        <v/>
      </c>
      <c r="H1200" s="215"/>
      <c r="I1200" s="1" t="b">
        <f>IF(B1200="",FALSE,COUNTIF('従業員情報(給与以外)'!$A$4:$A$1000000,$B1200)=0)</f>
        <v>0</v>
      </c>
      <c r="J1200" s="8" t="b">
        <f t="shared" si="90"/>
        <v>1</v>
      </c>
      <c r="K1200" s="8" t="b">
        <f t="shared" si="91"/>
        <v>1</v>
      </c>
      <c r="L1200" s="8" t="b">
        <f t="shared" si="92"/>
        <v>1</v>
      </c>
      <c r="M1200" s="8" t="b">
        <f t="shared" si="93"/>
        <v>1</v>
      </c>
      <c r="N1200" s="1" t="b">
        <f t="shared" si="94"/>
        <v>1</v>
      </c>
      <c r="O1200" s="8" t="str">
        <f>IF(F1200="","",IF($F$2=入力リスト!$H$25,ROUNDDOWN(INT(F1200)+ROUNDDOWN((F1200-INT(F1200))*100,0)/60,2),F1200))</f>
        <v/>
      </c>
      <c r="P1200" s="7"/>
      <c r="Q1200" s="7"/>
    </row>
    <row r="1201" spans="1:17">
      <c r="A1201" s="105"/>
      <c r="B1201" s="2"/>
      <c r="C1201" s="3"/>
      <c r="D1201" s="3"/>
      <c r="E1201" s="3"/>
      <c r="F1201" s="8"/>
      <c r="G1201" s="215" t="str">
        <f>IF(AND($B1201="",OR(B1201&lt;&gt;"",C1201&lt;&gt;"",D1201&lt;&gt;"",E1201&lt;&gt;"",F1201&lt;&gt;"")),入力リスト!$K$34,IF($I1201=TRUE,入力リスト!$K$35,IF(J1201=FALSE,"「毎月の固定給与額」","")&amp;IF(AND(J1201=FALSE,OR(K1201=FALSE,L1201=FALSE,M1201=FALSE)),",","")&amp;IF(K1201=FALSE,"「賞与額等」","")&amp;IF(AND(K1201=FALSE,OR(L1201=FALSE,M1201=FALSE)),",","")&amp;IF(L1201=FALSE,"「残業手当」","")&amp;IF(AND(L1201=FALSE,M1201=FALSE),",","")&amp;IF(M1201=FALSE,"「残業時間」","")&amp;IF(OR(J1201=FALSE,K1201=FALSE,L1201=FALSE,M1201=FALSE),入力リスト!$K$36,"")&amp;IF(N1201,"",入力リスト!$K$37)))</f>
        <v/>
      </c>
      <c r="H1201" s="215"/>
      <c r="I1201" s="1" t="b">
        <f>IF(B1201="",FALSE,COUNTIF('従業員情報(給与以外)'!$A$4:$A$1000000,$B1201)=0)</f>
        <v>0</v>
      </c>
      <c r="J1201" s="8" t="b">
        <f t="shared" si="90"/>
        <v>1</v>
      </c>
      <c r="K1201" s="8" t="b">
        <f t="shared" si="91"/>
        <v>1</v>
      </c>
      <c r="L1201" s="8" t="b">
        <f t="shared" si="92"/>
        <v>1</v>
      </c>
      <c r="M1201" s="8" t="b">
        <f t="shared" si="93"/>
        <v>1</v>
      </c>
      <c r="N1201" s="1" t="b">
        <f t="shared" si="94"/>
        <v>1</v>
      </c>
      <c r="O1201" s="8" t="str">
        <f>IF(F1201="","",IF($F$2=入力リスト!$H$25,ROUNDDOWN(INT(F1201)+ROUNDDOWN((F1201-INT(F1201))*100,0)/60,2),F1201))</f>
        <v/>
      </c>
      <c r="P1201" s="7"/>
      <c r="Q1201" s="7"/>
    </row>
    <row r="1202" spans="1:17">
      <c r="A1202" s="105"/>
      <c r="B1202" s="2"/>
      <c r="C1202" s="3"/>
      <c r="D1202" s="3"/>
      <c r="E1202" s="3"/>
      <c r="F1202" s="8"/>
      <c r="G1202" s="215" t="str">
        <f>IF(AND($B1202="",OR(B1202&lt;&gt;"",C1202&lt;&gt;"",D1202&lt;&gt;"",E1202&lt;&gt;"",F1202&lt;&gt;"")),入力リスト!$K$34,IF($I1202=TRUE,入力リスト!$K$35,IF(J1202=FALSE,"「毎月の固定給与額」","")&amp;IF(AND(J1202=FALSE,OR(K1202=FALSE,L1202=FALSE,M1202=FALSE)),",","")&amp;IF(K1202=FALSE,"「賞与額等」","")&amp;IF(AND(K1202=FALSE,OR(L1202=FALSE,M1202=FALSE)),",","")&amp;IF(L1202=FALSE,"「残業手当」","")&amp;IF(AND(L1202=FALSE,M1202=FALSE),",","")&amp;IF(M1202=FALSE,"「残業時間」","")&amp;IF(OR(J1202=FALSE,K1202=FALSE,L1202=FALSE,M1202=FALSE),入力リスト!$K$36,"")&amp;IF(N1202,"",入力リスト!$K$37)))</f>
        <v/>
      </c>
      <c r="H1202" s="215"/>
      <c r="I1202" s="1" t="b">
        <f>IF(B1202="",FALSE,COUNTIF('従業員情報(給与以外)'!$A$4:$A$1000000,$B1202)=0)</f>
        <v>0</v>
      </c>
      <c r="J1202" s="8" t="b">
        <f t="shared" si="90"/>
        <v>1</v>
      </c>
      <c r="K1202" s="8" t="b">
        <f t="shared" si="91"/>
        <v>1</v>
      </c>
      <c r="L1202" s="8" t="b">
        <f t="shared" si="92"/>
        <v>1</v>
      </c>
      <c r="M1202" s="8" t="b">
        <f t="shared" si="93"/>
        <v>1</v>
      </c>
      <c r="N1202" s="1" t="b">
        <f t="shared" si="94"/>
        <v>1</v>
      </c>
      <c r="O1202" s="8" t="str">
        <f>IF(F1202="","",IF($F$2=入力リスト!$H$25,ROUNDDOWN(INT(F1202)+ROUNDDOWN((F1202-INT(F1202))*100,0)/60,2),F1202))</f>
        <v/>
      </c>
      <c r="P1202" s="7"/>
      <c r="Q1202" s="7"/>
    </row>
    <row r="1203" spans="1:17">
      <c r="A1203" s="105"/>
      <c r="B1203" s="2"/>
      <c r="C1203" s="3"/>
      <c r="D1203" s="3"/>
      <c r="E1203" s="3"/>
      <c r="F1203" s="8"/>
      <c r="G1203" s="215" t="str">
        <f>IF(AND($B1203="",OR(B1203&lt;&gt;"",C1203&lt;&gt;"",D1203&lt;&gt;"",E1203&lt;&gt;"",F1203&lt;&gt;"")),入力リスト!$K$34,IF($I1203=TRUE,入力リスト!$K$35,IF(J1203=FALSE,"「毎月の固定給与額」","")&amp;IF(AND(J1203=FALSE,OR(K1203=FALSE,L1203=FALSE,M1203=FALSE)),",","")&amp;IF(K1203=FALSE,"「賞与額等」","")&amp;IF(AND(K1203=FALSE,OR(L1203=FALSE,M1203=FALSE)),",","")&amp;IF(L1203=FALSE,"「残業手当」","")&amp;IF(AND(L1203=FALSE,M1203=FALSE),",","")&amp;IF(M1203=FALSE,"「残業時間」","")&amp;IF(OR(J1203=FALSE,K1203=FALSE,L1203=FALSE,M1203=FALSE),入力リスト!$K$36,"")&amp;IF(N1203,"",入力リスト!$K$37)))</f>
        <v/>
      </c>
      <c r="H1203" s="215"/>
      <c r="I1203" s="1" t="b">
        <f>IF(B1203="",FALSE,COUNTIF('従業員情報(給与以外)'!$A$4:$A$1000000,$B1203)=0)</f>
        <v>0</v>
      </c>
      <c r="J1203" s="8" t="b">
        <f t="shared" si="90"/>
        <v>1</v>
      </c>
      <c r="K1203" s="8" t="b">
        <f t="shared" si="91"/>
        <v>1</v>
      </c>
      <c r="L1203" s="8" t="b">
        <f t="shared" si="92"/>
        <v>1</v>
      </c>
      <c r="M1203" s="8" t="b">
        <f t="shared" si="93"/>
        <v>1</v>
      </c>
      <c r="N1203" s="1" t="b">
        <f t="shared" si="94"/>
        <v>1</v>
      </c>
      <c r="O1203" s="8" t="str">
        <f>IF(F1203="","",IF($F$2=入力リスト!$H$25,ROUNDDOWN(INT(F1203)+ROUNDDOWN((F1203-INT(F1203))*100,0)/60,2),F1203))</f>
        <v/>
      </c>
      <c r="P1203" s="7"/>
      <c r="Q1203" s="7"/>
    </row>
    <row r="1204" spans="1:17">
      <c r="A1204" s="105"/>
      <c r="B1204" s="2"/>
      <c r="C1204" s="3"/>
      <c r="D1204" s="3"/>
      <c r="E1204" s="3"/>
      <c r="F1204" s="8"/>
      <c r="G1204" s="215" t="str">
        <f>IF(AND($B1204="",OR(B1204&lt;&gt;"",C1204&lt;&gt;"",D1204&lt;&gt;"",E1204&lt;&gt;"",F1204&lt;&gt;"")),入力リスト!$K$34,IF($I1204=TRUE,入力リスト!$K$35,IF(J1204=FALSE,"「毎月の固定給与額」","")&amp;IF(AND(J1204=FALSE,OR(K1204=FALSE,L1204=FALSE,M1204=FALSE)),",","")&amp;IF(K1204=FALSE,"「賞与額等」","")&amp;IF(AND(K1204=FALSE,OR(L1204=FALSE,M1204=FALSE)),",","")&amp;IF(L1204=FALSE,"「残業手当」","")&amp;IF(AND(L1204=FALSE,M1204=FALSE),",","")&amp;IF(M1204=FALSE,"「残業時間」","")&amp;IF(OR(J1204=FALSE,K1204=FALSE,L1204=FALSE,M1204=FALSE),入力リスト!$K$36,"")&amp;IF(N1204,"",入力リスト!$K$37)))</f>
        <v/>
      </c>
      <c r="H1204" s="215"/>
      <c r="I1204" s="1" t="b">
        <f>IF(B1204="",FALSE,COUNTIF('従業員情報(給与以外)'!$A$4:$A$1000000,$B1204)=0)</f>
        <v>0</v>
      </c>
      <c r="J1204" s="8" t="b">
        <f t="shared" si="90"/>
        <v>1</v>
      </c>
      <c r="K1204" s="8" t="b">
        <f t="shared" si="91"/>
        <v>1</v>
      </c>
      <c r="L1204" s="8" t="b">
        <f t="shared" si="92"/>
        <v>1</v>
      </c>
      <c r="M1204" s="8" t="b">
        <f t="shared" si="93"/>
        <v>1</v>
      </c>
      <c r="N1204" s="1" t="b">
        <f t="shared" si="94"/>
        <v>1</v>
      </c>
      <c r="O1204" s="8" t="str">
        <f>IF(F1204="","",IF($F$2=入力リスト!$H$25,ROUNDDOWN(INT(F1204)+ROUNDDOWN((F1204-INT(F1204))*100,0)/60,2),F1204))</f>
        <v/>
      </c>
      <c r="P1204" s="7"/>
      <c r="Q1204" s="7"/>
    </row>
    <row r="1205" spans="1:17">
      <c r="A1205" s="105"/>
      <c r="B1205" s="2"/>
      <c r="C1205" s="3"/>
      <c r="D1205" s="3"/>
      <c r="E1205" s="3"/>
      <c r="F1205" s="8"/>
      <c r="G1205" s="215" t="str">
        <f>IF(AND($B1205="",OR(B1205&lt;&gt;"",C1205&lt;&gt;"",D1205&lt;&gt;"",E1205&lt;&gt;"",F1205&lt;&gt;"")),入力リスト!$K$34,IF($I1205=TRUE,入力リスト!$K$35,IF(J1205=FALSE,"「毎月の固定給与額」","")&amp;IF(AND(J1205=FALSE,OR(K1205=FALSE,L1205=FALSE,M1205=FALSE)),",","")&amp;IF(K1205=FALSE,"「賞与額等」","")&amp;IF(AND(K1205=FALSE,OR(L1205=FALSE,M1205=FALSE)),",","")&amp;IF(L1205=FALSE,"「残業手当」","")&amp;IF(AND(L1205=FALSE,M1205=FALSE),",","")&amp;IF(M1205=FALSE,"「残業時間」","")&amp;IF(OR(J1205=FALSE,K1205=FALSE,L1205=FALSE,M1205=FALSE),入力リスト!$K$36,"")&amp;IF(N1205,"",入力リスト!$K$37)))</f>
        <v/>
      </c>
      <c r="H1205" s="215"/>
      <c r="I1205" s="1" t="b">
        <f>IF(B1205="",FALSE,COUNTIF('従業員情報(給与以外)'!$A$4:$A$1000000,$B1205)=0)</f>
        <v>0</v>
      </c>
      <c r="J1205" s="8" t="b">
        <f t="shared" si="90"/>
        <v>1</v>
      </c>
      <c r="K1205" s="8" t="b">
        <f t="shared" si="91"/>
        <v>1</v>
      </c>
      <c r="L1205" s="8" t="b">
        <f t="shared" si="92"/>
        <v>1</v>
      </c>
      <c r="M1205" s="8" t="b">
        <f t="shared" si="93"/>
        <v>1</v>
      </c>
      <c r="N1205" s="1" t="b">
        <f t="shared" si="94"/>
        <v>1</v>
      </c>
      <c r="O1205" s="8" t="str">
        <f>IF(F1205="","",IF($F$2=入力リスト!$H$25,ROUNDDOWN(INT(F1205)+ROUNDDOWN((F1205-INT(F1205))*100,0)/60,2),F1205))</f>
        <v/>
      </c>
      <c r="P1205" s="7"/>
      <c r="Q1205" s="7"/>
    </row>
    <row r="1206" spans="1:17">
      <c r="A1206" s="105"/>
      <c r="B1206" s="2"/>
      <c r="C1206" s="3"/>
      <c r="D1206" s="3"/>
      <c r="E1206" s="3"/>
      <c r="F1206" s="8"/>
      <c r="G1206" s="215" t="str">
        <f>IF(AND($B1206="",OR(B1206&lt;&gt;"",C1206&lt;&gt;"",D1206&lt;&gt;"",E1206&lt;&gt;"",F1206&lt;&gt;"")),入力リスト!$K$34,IF($I1206=TRUE,入力リスト!$K$35,IF(J1206=FALSE,"「毎月の固定給与額」","")&amp;IF(AND(J1206=FALSE,OR(K1206=FALSE,L1206=FALSE,M1206=FALSE)),",","")&amp;IF(K1206=FALSE,"「賞与額等」","")&amp;IF(AND(K1206=FALSE,OR(L1206=FALSE,M1206=FALSE)),",","")&amp;IF(L1206=FALSE,"「残業手当」","")&amp;IF(AND(L1206=FALSE,M1206=FALSE),",","")&amp;IF(M1206=FALSE,"「残業時間」","")&amp;IF(OR(J1206=FALSE,K1206=FALSE,L1206=FALSE,M1206=FALSE),入力リスト!$K$36,"")&amp;IF(N1206,"",入力リスト!$K$37)))</f>
        <v/>
      </c>
      <c r="H1206" s="215"/>
      <c r="I1206" s="1" t="b">
        <f>IF(B1206="",FALSE,COUNTIF('従業員情報(給与以外)'!$A$4:$A$1000000,$B1206)=0)</f>
        <v>0</v>
      </c>
      <c r="J1206" s="8" t="b">
        <f t="shared" si="90"/>
        <v>1</v>
      </c>
      <c r="K1206" s="8" t="b">
        <f t="shared" si="91"/>
        <v>1</v>
      </c>
      <c r="L1206" s="8" t="b">
        <f t="shared" si="92"/>
        <v>1</v>
      </c>
      <c r="M1206" s="8" t="b">
        <f t="shared" si="93"/>
        <v>1</v>
      </c>
      <c r="N1206" s="1" t="b">
        <f t="shared" si="94"/>
        <v>1</v>
      </c>
      <c r="O1206" s="8" t="str">
        <f>IF(F1206="","",IF($F$2=入力リスト!$H$25,ROUNDDOWN(INT(F1206)+ROUNDDOWN((F1206-INT(F1206))*100,0)/60,2),F1206))</f>
        <v/>
      </c>
      <c r="P1206" s="7"/>
      <c r="Q1206" s="7"/>
    </row>
    <row r="1207" spans="1:17">
      <c r="A1207" s="105"/>
      <c r="B1207" s="2"/>
      <c r="C1207" s="3"/>
      <c r="D1207" s="3"/>
      <c r="E1207" s="3"/>
      <c r="F1207" s="8"/>
      <c r="G1207" s="215" t="str">
        <f>IF(AND($B1207="",OR(B1207&lt;&gt;"",C1207&lt;&gt;"",D1207&lt;&gt;"",E1207&lt;&gt;"",F1207&lt;&gt;"")),入力リスト!$K$34,IF($I1207=TRUE,入力リスト!$K$35,IF(J1207=FALSE,"「毎月の固定給与額」","")&amp;IF(AND(J1207=FALSE,OR(K1207=FALSE,L1207=FALSE,M1207=FALSE)),",","")&amp;IF(K1207=FALSE,"「賞与額等」","")&amp;IF(AND(K1207=FALSE,OR(L1207=FALSE,M1207=FALSE)),",","")&amp;IF(L1207=FALSE,"「残業手当」","")&amp;IF(AND(L1207=FALSE,M1207=FALSE),",","")&amp;IF(M1207=FALSE,"「残業時間」","")&amp;IF(OR(J1207=FALSE,K1207=FALSE,L1207=FALSE,M1207=FALSE),入力リスト!$K$36,"")&amp;IF(N1207,"",入力リスト!$K$37)))</f>
        <v/>
      </c>
      <c r="H1207" s="215"/>
      <c r="I1207" s="1" t="b">
        <f>IF(B1207="",FALSE,COUNTIF('従業員情報(給与以外)'!$A$4:$A$1000000,$B1207)=0)</f>
        <v>0</v>
      </c>
      <c r="J1207" s="8" t="b">
        <f t="shared" si="90"/>
        <v>1</v>
      </c>
      <c r="K1207" s="8" t="b">
        <f t="shared" si="91"/>
        <v>1</v>
      </c>
      <c r="L1207" s="8" t="b">
        <f t="shared" si="92"/>
        <v>1</v>
      </c>
      <c r="M1207" s="8" t="b">
        <f t="shared" si="93"/>
        <v>1</v>
      </c>
      <c r="N1207" s="1" t="b">
        <f t="shared" si="94"/>
        <v>1</v>
      </c>
      <c r="O1207" s="8" t="str">
        <f>IF(F1207="","",IF($F$2=入力リスト!$H$25,ROUNDDOWN(INT(F1207)+ROUNDDOWN((F1207-INT(F1207))*100,0)/60,2),F1207))</f>
        <v/>
      </c>
      <c r="P1207" s="7"/>
      <c r="Q1207" s="7"/>
    </row>
    <row r="1208" spans="1:17">
      <c r="A1208" s="105"/>
      <c r="B1208" s="2"/>
      <c r="C1208" s="3"/>
      <c r="D1208" s="3"/>
      <c r="E1208" s="3"/>
      <c r="F1208" s="8"/>
      <c r="G1208" s="215" t="str">
        <f>IF(AND($B1208="",OR(B1208&lt;&gt;"",C1208&lt;&gt;"",D1208&lt;&gt;"",E1208&lt;&gt;"",F1208&lt;&gt;"")),入力リスト!$K$34,IF($I1208=TRUE,入力リスト!$K$35,IF(J1208=FALSE,"「毎月の固定給与額」","")&amp;IF(AND(J1208=FALSE,OR(K1208=FALSE,L1208=FALSE,M1208=FALSE)),",","")&amp;IF(K1208=FALSE,"「賞与額等」","")&amp;IF(AND(K1208=FALSE,OR(L1208=FALSE,M1208=FALSE)),",","")&amp;IF(L1208=FALSE,"「残業手当」","")&amp;IF(AND(L1208=FALSE,M1208=FALSE),",","")&amp;IF(M1208=FALSE,"「残業時間」","")&amp;IF(OR(J1208=FALSE,K1208=FALSE,L1208=FALSE,M1208=FALSE),入力リスト!$K$36,"")&amp;IF(N1208,"",入力リスト!$K$37)))</f>
        <v/>
      </c>
      <c r="H1208" s="215"/>
      <c r="I1208" s="1" t="b">
        <f>IF(B1208="",FALSE,COUNTIF('従業員情報(給与以外)'!$A$4:$A$1000000,$B1208)=0)</f>
        <v>0</v>
      </c>
      <c r="J1208" s="8" t="b">
        <f t="shared" si="90"/>
        <v>1</v>
      </c>
      <c r="K1208" s="8" t="b">
        <f t="shared" si="91"/>
        <v>1</v>
      </c>
      <c r="L1208" s="8" t="b">
        <f t="shared" si="92"/>
        <v>1</v>
      </c>
      <c r="M1208" s="8" t="b">
        <f t="shared" si="93"/>
        <v>1</v>
      </c>
      <c r="N1208" s="1" t="b">
        <f t="shared" si="94"/>
        <v>1</v>
      </c>
      <c r="O1208" s="8" t="str">
        <f>IF(F1208="","",IF($F$2=入力リスト!$H$25,ROUNDDOWN(INT(F1208)+ROUNDDOWN((F1208-INT(F1208))*100,0)/60,2),F1208))</f>
        <v/>
      </c>
      <c r="P1208" s="7"/>
      <c r="Q1208" s="7"/>
    </row>
    <row r="1209" spans="1:17">
      <c r="A1209" s="105"/>
      <c r="B1209" s="2"/>
      <c r="C1209" s="3"/>
      <c r="D1209" s="3"/>
      <c r="E1209" s="3"/>
      <c r="F1209" s="8"/>
      <c r="G1209" s="215" t="str">
        <f>IF(AND($B1209="",OR(B1209&lt;&gt;"",C1209&lt;&gt;"",D1209&lt;&gt;"",E1209&lt;&gt;"",F1209&lt;&gt;"")),入力リスト!$K$34,IF($I1209=TRUE,入力リスト!$K$35,IF(J1209=FALSE,"「毎月の固定給与額」","")&amp;IF(AND(J1209=FALSE,OR(K1209=FALSE,L1209=FALSE,M1209=FALSE)),",","")&amp;IF(K1209=FALSE,"「賞与額等」","")&amp;IF(AND(K1209=FALSE,OR(L1209=FALSE,M1209=FALSE)),",","")&amp;IF(L1209=FALSE,"「残業手当」","")&amp;IF(AND(L1209=FALSE,M1209=FALSE),",","")&amp;IF(M1209=FALSE,"「残業時間」","")&amp;IF(OR(J1209=FALSE,K1209=FALSE,L1209=FALSE,M1209=FALSE),入力リスト!$K$36,"")&amp;IF(N1209,"",入力リスト!$K$37)))</f>
        <v/>
      </c>
      <c r="H1209" s="215"/>
      <c r="I1209" s="1" t="b">
        <f>IF(B1209="",FALSE,COUNTIF('従業員情報(給与以外)'!$A$4:$A$1000000,$B1209)=0)</f>
        <v>0</v>
      </c>
      <c r="J1209" s="8" t="b">
        <f t="shared" si="90"/>
        <v>1</v>
      </c>
      <c r="K1209" s="8" t="b">
        <f t="shared" si="91"/>
        <v>1</v>
      </c>
      <c r="L1209" s="8" t="b">
        <f t="shared" si="92"/>
        <v>1</v>
      </c>
      <c r="M1209" s="8" t="b">
        <f t="shared" si="93"/>
        <v>1</v>
      </c>
      <c r="N1209" s="1" t="b">
        <f t="shared" si="94"/>
        <v>1</v>
      </c>
      <c r="O1209" s="8" t="str">
        <f>IF(F1209="","",IF($F$2=入力リスト!$H$25,ROUNDDOWN(INT(F1209)+ROUNDDOWN((F1209-INT(F1209))*100,0)/60,2),F1209))</f>
        <v/>
      </c>
      <c r="P1209" s="7"/>
      <c r="Q1209" s="7"/>
    </row>
    <row r="1210" spans="1:17">
      <c r="A1210" s="105"/>
      <c r="B1210" s="2"/>
      <c r="C1210" s="3"/>
      <c r="D1210" s="3"/>
      <c r="E1210" s="3"/>
      <c r="F1210" s="8"/>
      <c r="G1210" s="215" t="str">
        <f>IF(AND($B1210="",OR(B1210&lt;&gt;"",C1210&lt;&gt;"",D1210&lt;&gt;"",E1210&lt;&gt;"",F1210&lt;&gt;"")),入力リスト!$K$34,IF($I1210=TRUE,入力リスト!$K$35,IF(J1210=FALSE,"「毎月の固定給与額」","")&amp;IF(AND(J1210=FALSE,OR(K1210=FALSE,L1210=FALSE,M1210=FALSE)),",","")&amp;IF(K1210=FALSE,"「賞与額等」","")&amp;IF(AND(K1210=FALSE,OR(L1210=FALSE,M1210=FALSE)),",","")&amp;IF(L1210=FALSE,"「残業手当」","")&amp;IF(AND(L1210=FALSE,M1210=FALSE),",","")&amp;IF(M1210=FALSE,"「残業時間」","")&amp;IF(OR(J1210=FALSE,K1210=FALSE,L1210=FALSE,M1210=FALSE),入力リスト!$K$36,"")&amp;IF(N1210,"",入力リスト!$K$37)))</f>
        <v/>
      </c>
      <c r="H1210" s="215"/>
      <c r="I1210" s="1" t="b">
        <f>IF(B1210="",FALSE,COUNTIF('従業員情報(給与以外)'!$A$4:$A$1000000,$B1210)=0)</f>
        <v>0</v>
      </c>
      <c r="J1210" s="8" t="b">
        <f t="shared" si="90"/>
        <v>1</v>
      </c>
      <c r="K1210" s="8" t="b">
        <f t="shared" si="91"/>
        <v>1</v>
      </c>
      <c r="L1210" s="8" t="b">
        <f t="shared" si="92"/>
        <v>1</v>
      </c>
      <c r="M1210" s="8" t="b">
        <f t="shared" si="93"/>
        <v>1</v>
      </c>
      <c r="N1210" s="1" t="b">
        <f t="shared" si="94"/>
        <v>1</v>
      </c>
      <c r="O1210" s="8" t="str">
        <f>IF(F1210="","",IF($F$2=入力リスト!$H$25,ROUNDDOWN(INT(F1210)+ROUNDDOWN((F1210-INT(F1210))*100,0)/60,2),F1210))</f>
        <v/>
      </c>
      <c r="P1210" s="7"/>
      <c r="Q1210" s="7"/>
    </row>
    <row r="1211" spans="1:17">
      <c r="A1211" s="105"/>
      <c r="B1211" s="2"/>
      <c r="C1211" s="3"/>
      <c r="D1211" s="3"/>
      <c r="E1211" s="3"/>
      <c r="F1211" s="8"/>
      <c r="G1211" s="215" t="str">
        <f>IF(AND($B1211="",OR(B1211&lt;&gt;"",C1211&lt;&gt;"",D1211&lt;&gt;"",E1211&lt;&gt;"",F1211&lt;&gt;"")),入力リスト!$K$34,IF($I1211=TRUE,入力リスト!$K$35,IF(J1211=FALSE,"「毎月の固定給与額」","")&amp;IF(AND(J1211=FALSE,OR(K1211=FALSE,L1211=FALSE,M1211=FALSE)),",","")&amp;IF(K1211=FALSE,"「賞与額等」","")&amp;IF(AND(K1211=FALSE,OR(L1211=FALSE,M1211=FALSE)),",","")&amp;IF(L1211=FALSE,"「残業手当」","")&amp;IF(AND(L1211=FALSE,M1211=FALSE),",","")&amp;IF(M1211=FALSE,"「残業時間」","")&amp;IF(OR(J1211=FALSE,K1211=FALSE,L1211=FALSE,M1211=FALSE),入力リスト!$K$36,"")&amp;IF(N1211,"",入力リスト!$K$37)))</f>
        <v/>
      </c>
      <c r="H1211" s="215"/>
      <c r="I1211" s="1" t="b">
        <f>IF(B1211="",FALSE,COUNTIF('従業員情報(給与以外)'!$A$4:$A$1000000,$B1211)=0)</f>
        <v>0</v>
      </c>
      <c r="J1211" s="8" t="b">
        <f t="shared" si="90"/>
        <v>1</v>
      </c>
      <c r="K1211" s="8" t="b">
        <f t="shared" si="91"/>
        <v>1</v>
      </c>
      <c r="L1211" s="8" t="b">
        <f t="shared" si="92"/>
        <v>1</v>
      </c>
      <c r="M1211" s="8" t="b">
        <f t="shared" si="93"/>
        <v>1</v>
      </c>
      <c r="N1211" s="1" t="b">
        <f t="shared" si="94"/>
        <v>1</v>
      </c>
      <c r="O1211" s="8" t="str">
        <f>IF(F1211="","",IF($F$2=入力リスト!$H$25,ROUNDDOWN(INT(F1211)+ROUNDDOWN((F1211-INT(F1211))*100,0)/60,2),F1211))</f>
        <v/>
      </c>
      <c r="P1211" s="7"/>
      <c r="Q1211" s="7"/>
    </row>
    <row r="1212" spans="1:17">
      <c r="A1212" s="105"/>
      <c r="B1212" s="2"/>
      <c r="C1212" s="3"/>
      <c r="D1212" s="3"/>
      <c r="E1212" s="3"/>
      <c r="F1212" s="8"/>
      <c r="G1212" s="215" t="str">
        <f>IF(AND($B1212="",OR(B1212&lt;&gt;"",C1212&lt;&gt;"",D1212&lt;&gt;"",E1212&lt;&gt;"",F1212&lt;&gt;"")),入力リスト!$K$34,IF($I1212=TRUE,入力リスト!$K$35,IF(J1212=FALSE,"「毎月の固定給与額」","")&amp;IF(AND(J1212=FALSE,OR(K1212=FALSE,L1212=FALSE,M1212=FALSE)),",","")&amp;IF(K1212=FALSE,"「賞与額等」","")&amp;IF(AND(K1212=FALSE,OR(L1212=FALSE,M1212=FALSE)),",","")&amp;IF(L1212=FALSE,"「残業手当」","")&amp;IF(AND(L1212=FALSE,M1212=FALSE),",","")&amp;IF(M1212=FALSE,"「残業時間」","")&amp;IF(OR(J1212=FALSE,K1212=FALSE,L1212=FALSE,M1212=FALSE),入力リスト!$K$36,"")&amp;IF(N1212,"",入力リスト!$K$37)))</f>
        <v/>
      </c>
      <c r="H1212" s="215"/>
      <c r="I1212" s="1" t="b">
        <f>IF(B1212="",FALSE,COUNTIF('従業員情報(給与以外)'!$A$4:$A$1000000,$B1212)=0)</f>
        <v>0</v>
      </c>
      <c r="J1212" s="8" t="b">
        <f t="shared" si="90"/>
        <v>1</v>
      </c>
      <c r="K1212" s="8" t="b">
        <f t="shared" si="91"/>
        <v>1</v>
      </c>
      <c r="L1212" s="8" t="b">
        <f t="shared" si="92"/>
        <v>1</v>
      </c>
      <c r="M1212" s="8" t="b">
        <f t="shared" si="93"/>
        <v>1</v>
      </c>
      <c r="N1212" s="1" t="b">
        <f t="shared" si="94"/>
        <v>1</v>
      </c>
      <c r="O1212" s="8" t="str">
        <f>IF(F1212="","",IF($F$2=入力リスト!$H$25,ROUNDDOWN(INT(F1212)+ROUNDDOWN((F1212-INT(F1212))*100,0)/60,2),F1212))</f>
        <v/>
      </c>
      <c r="P1212" s="7"/>
      <c r="Q1212" s="7"/>
    </row>
    <row r="1213" spans="1:17">
      <c r="A1213" s="105"/>
      <c r="B1213" s="2"/>
      <c r="C1213" s="3"/>
      <c r="D1213" s="3"/>
      <c r="E1213" s="3"/>
      <c r="F1213" s="8"/>
      <c r="G1213" s="215" t="str">
        <f>IF(AND($B1213="",OR(B1213&lt;&gt;"",C1213&lt;&gt;"",D1213&lt;&gt;"",E1213&lt;&gt;"",F1213&lt;&gt;"")),入力リスト!$K$34,IF($I1213=TRUE,入力リスト!$K$35,IF(J1213=FALSE,"「毎月の固定給与額」","")&amp;IF(AND(J1213=FALSE,OR(K1213=FALSE,L1213=FALSE,M1213=FALSE)),",","")&amp;IF(K1213=FALSE,"「賞与額等」","")&amp;IF(AND(K1213=FALSE,OR(L1213=FALSE,M1213=FALSE)),",","")&amp;IF(L1213=FALSE,"「残業手当」","")&amp;IF(AND(L1213=FALSE,M1213=FALSE),",","")&amp;IF(M1213=FALSE,"「残業時間」","")&amp;IF(OR(J1213=FALSE,K1213=FALSE,L1213=FALSE,M1213=FALSE),入力リスト!$K$36,"")&amp;IF(N1213,"",入力リスト!$K$37)))</f>
        <v/>
      </c>
      <c r="H1213" s="215"/>
      <c r="I1213" s="1" t="b">
        <f>IF(B1213="",FALSE,COUNTIF('従業員情報(給与以外)'!$A$4:$A$1000000,$B1213)=0)</f>
        <v>0</v>
      </c>
      <c r="J1213" s="8" t="b">
        <f t="shared" si="90"/>
        <v>1</v>
      </c>
      <c r="K1213" s="8" t="b">
        <f t="shared" si="91"/>
        <v>1</v>
      </c>
      <c r="L1213" s="8" t="b">
        <f t="shared" si="92"/>
        <v>1</v>
      </c>
      <c r="M1213" s="8" t="b">
        <f t="shared" si="93"/>
        <v>1</v>
      </c>
      <c r="N1213" s="1" t="b">
        <f t="shared" si="94"/>
        <v>1</v>
      </c>
      <c r="O1213" s="8" t="str">
        <f>IF(F1213="","",IF($F$2=入力リスト!$H$25,ROUNDDOWN(INT(F1213)+ROUNDDOWN((F1213-INT(F1213))*100,0)/60,2),F1213))</f>
        <v/>
      </c>
      <c r="P1213" s="7"/>
      <c r="Q1213" s="7"/>
    </row>
    <row r="1214" spans="1:17">
      <c r="A1214" s="105"/>
      <c r="B1214" s="2"/>
      <c r="C1214" s="3"/>
      <c r="D1214" s="3"/>
      <c r="E1214" s="3"/>
      <c r="F1214" s="8"/>
      <c r="G1214" s="215" t="str">
        <f>IF(AND($B1214="",OR(B1214&lt;&gt;"",C1214&lt;&gt;"",D1214&lt;&gt;"",E1214&lt;&gt;"",F1214&lt;&gt;"")),入力リスト!$K$34,IF($I1214=TRUE,入力リスト!$K$35,IF(J1214=FALSE,"「毎月の固定給与額」","")&amp;IF(AND(J1214=FALSE,OR(K1214=FALSE,L1214=FALSE,M1214=FALSE)),",","")&amp;IF(K1214=FALSE,"「賞与額等」","")&amp;IF(AND(K1214=FALSE,OR(L1214=FALSE,M1214=FALSE)),",","")&amp;IF(L1214=FALSE,"「残業手当」","")&amp;IF(AND(L1214=FALSE,M1214=FALSE),",","")&amp;IF(M1214=FALSE,"「残業時間」","")&amp;IF(OR(J1214=FALSE,K1214=FALSE,L1214=FALSE,M1214=FALSE),入力リスト!$K$36,"")&amp;IF(N1214,"",入力リスト!$K$37)))</f>
        <v/>
      </c>
      <c r="H1214" s="215"/>
      <c r="I1214" s="1" t="b">
        <f>IF(B1214="",FALSE,COUNTIF('従業員情報(給与以外)'!$A$4:$A$1000000,$B1214)=0)</f>
        <v>0</v>
      </c>
      <c r="J1214" s="8" t="b">
        <f t="shared" si="90"/>
        <v>1</v>
      </c>
      <c r="K1214" s="8" t="b">
        <f t="shared" si="91"/>
        <v>1</v>
      </c>
      <c r="L1214" s="8" t="b">
        <f t="shared" si="92"/>
        <v>1</v>
      </c>
      <c r="M1214" s="8" t="b">
        <f t="shared" si="93"/>
        <v>1</v>
      </c>
      <c r="N1214" s="1" t="b">
        <f t="shared" si="94"/>
        <v>1</v>
      </c>
      <c r="O1214" s="8" t="str">
        <f>IF(F1214="","",IF($F$2=入力リスト!$H$25,ROUNDDOWN(INT(F1214)+ROUNDDOWN((F1214-INT(F1214))*100,0)/60,2),F1214))</f>
        <v/>
      </c>
      <c r="P1214" s="7"/>
      <c r="Q1214" s="7"/>
    </row>
    <row r="1215" spans="1:17">
      <c r="A1215" s="105"/>
      <c r="B1215" s="2"/>
      <c r="C1215" s="3"/>
      <c r="D1215" s="3"/>
      <c r="E1215" s="3"/>
      <c r="F1215" s="8"/>
      <c r="G1215" s="215" t="str">
        <f>IF(AND($B1215="",OR(B1215&lt;&gt;"",C1215&lt;&gt;"",D1215&lt;&gt;"",E1215&lt;&gt;"",F1215&lt;&gt;"")),入力リスト!$K$34,IF($I1215=TRUE,入力リスト!$K$35,IF(J1215=FALSE,"「毎月の固定給与額」","")&amp;IF(AND(J1215=FALSE,OR(K1215=FALSE,L1215=FALSE,M1215=FALSE)),",","")&amp;IF(K1215=FALSE,"「賞与額等」","")&amp;IF(AND(K1215=FALSE,OR(L1215=FALSE,M1215=FALSE)),",","")&amp;IF(L1215=FALSE,"「残業手当」","")&amp;IF(AND(L1215=FALSE,M1215=FALSE),",","")&amp;IF(M1215=FALSE,"「残業時間」","")&amp;IF(OR(J1215=FALSE,K1215=FALSE,L1215=FALSE,M1215=FALSE),入力リスト!$K$36,"")&amp;IF(N1215,"",入力リスト!$K$37)))</f>
        <v/>
      </c>
      <c r="H1215" s="215"/>
      <c r="I1215" s="1" t="b">
        <f>IF(B1215="",FALSE,COUNTIF('従業員情報(給与以外)'!$A$4:$A$1000000,$B1215)=0)</f>
        <v>0</v>
      </c>
      <c r="J1215" s="8" t="b">
        <f t="shared" si="90"/>
        <v>1</v>
      </c>
      <c r="K1215" s="8" t="b">
        <f t="shared" si="91"/>
        <v>1</v>
      </c>
      <c r="L1215" s="8" t="b">
        <f t="shared" si="92"/>
        <v>1</v>
      </c>
      <c r="M1215" s="8" t="b">
        <f t="shared" si="93"/>
        <v>1</v>
      </c>
      <c r="N1215" s="1" t="b">
        <f t="shared" si="94"/>
        <v>1</v>
      </c>
      <c r="O1215" s="8" t="str">
        <f>IF(F1215="","",IF($F$2=入力リスト!$H$25,ROUNDDOWN(INT(F1215)+ROUNDDOWN((F1215-INT(F1215))*100,0)/60,2),F1215))</f>
        <v/>
      </c>
      <c r="P1215" s="7"/>
      <c r="Q1215" s="7"/>
    </row>
    <row r="1216" spans="1:17">
      <c r="A1216" s="105"/>
      <c r="B1216" s="2"/>
      <c r="C1216" s="3"/>
      <c r="D1216" s="3"/>
      <c r="E1216" s="3"/>
      <c r="F1216" s="8"/>
      <c r="G1216" s="215" t="str">
        <f>IF(AND($B1216="",OR(B1216&lt;&gt;"",C1216&lt;&gt;"",D1216&lt;&gt;"",E1216&lt;&gt;"",F1216&lt;&gt;"")),入力リスト!$K$34,IF($I1216=TRUE,入力リスト!$K$35,IF(J1216=FALSE,"「毎月の固定給与額」","")&amp;IF(AND(J1216=FALSE,OR(K1216=FALSE,L1216=FALSE,M1216=FALSE)),",","")&amp;IF(K1216=FALSE,"「賞与額等」","")&amp;IF(AND(K1216=FALSE,OR(L1216=FALSE,M1216=FALSE)),",","")&amp;IF(L1216=FALSE,"「残業手当」","")&amp;IF(AND(L1216=FALSE,M1216=FALSE),",","")&amp;IF(M1216=FALSE,"「残業時間」","")&amp;IF(OR(J1216=FALSE,K1216=FALSE,L1216=FALSE,M1216=FALSE),入力リスト!$K$36,"")&amp;IF(N1216,"",入力リスト!$K$37)))</f>
        <v/>
      </c>
      <c r="H1216" s="215"/>
      <c r="I1216" s="1" t="b">
        <f>IF(B1216="",FALSE,COUNTIF('従業員情報(給与以外)'!$A$4:$A$1000000,$B1216)=0)</f>
        <v>0</v>
      </c>
      <c r="J1216" s="8" t="b">
        <f t="shared" si="90"/>
        <v>1</v>
      </c>
      <c r="K1216" s="8" t="b">
        <f t="shared" si="91"/>
        <v>1</v>
      </c>
      <c r="L1216" s="8" t="b">
        <f t="shared" si="92"/>
        <v>1</v>
      </c>
      <c r="M1216" s="8" t="b">
        <f t="shared" si="93"/>
        <v>1</v>
      </c>
      <c r="N1216" s="1" t="b">
        <f t="shared" si="94"/>
        <v>1</v>
      </c>
      <c r="O1216" s="8" t="str">
        <f>IF(F1216="","",IF($F$2=入力リスト!$H$25,ROUNDDOWN(INT(F1216)+ROUNDDOWN((F1216-INT(F1216))*100,0)/60,2),F1216))</f>
        <v/>
      </c>
      <c r="P1216" s="7"/>
      <c r="Q1216" s="7"/>
    </row>
    <row r="1217" spans="1:17">
      <c r="A1217" s="105"/>
      <c r="B1217" s="2"/>
      <c r="C1217" s="3"/>
      <c r="D1217" s="3"/>
      <c r="E1217" s="3"/>
      <c r="F1217" s="8"/>
      <c r="G1217" s="215" t="str">
        <f>IF(AND($B1217="",OR(B1217&lt;&gt;"",C1217&lt;&gt;"",D1217&lt;&gt;"",E1217&lt;&gt;"",F1217&lt;&gt;"")),入力リスト!$K$34,IF($I1217=TRUE,入力リスト!$K$35,IF(J1217=FALSE,"「毎月の固定給与額」","")&amp;IF(AND(J1217=FALSE,OR(K1217=FALSE,L1217=FALSE,M1217=FALSE)),",","")&amp;IF(K1217=FALSE,"「賞与額等」","")&amp;IF(AND(K1217=FALSE,OR(L1217=FALSE,M1217=FALSE)),",","")&amp;IF(L1217=FALSE,"「残業手当」","")&amp;IF(AND(L1217=FALSE,M1217=FALSE),",","")&amp;IF(M1217=FALSE,"「残業時間」","")&amp;IF(OR(J1217=FALSE,K1217=FALSE,L1217=FALSE,M1217=FALSE),入力リスト!$K$36,"")&amp;IF(N1217,"",入力リスト!$K$37)))</f>
        <v/>
      </c>
      <c r="H1217" s="215"/>
      <c r="I1217" s="1" t="b">
        <f>IF(B1217="",FALSE,COUNTIF('従業員情報(給与以外)'!$A$4:$A$1000000,$B1217)=0)</f>
        <v>0</v>
      </c>
      <c r="J1217" s="8" t="b">
        <f t="shared" si="90"/>
        <v>1</v>
      </c>
      <c r="K1217" s="8" t="b">
        <f t="shared" si="91"/>
        <v>1</v>
      </c>
      <c r="L1217" s="8" t="b">
        <f t="shared" si="92"/>
        <v>1</v>
      </c>
      <c r="M1217" s="8" t="b">
        <f t="shared" si="93"/>
        <v>1</v>
      </c>
      <c r="N1217" s="1" t="b">
        <f t="shared" si="94"/>
        <v>1</v>
      </c>
      <c r="O1217" s="8" t="str">
        <f>IF(F1217="","",IF($F$2=入力リスト!$H$25,ROUNDDOWN(INT(F1217)+ROUNDDOWN((F1217-INT(F1217))*100,0)/60,2),F1217))</f>
        <v/>
      </c>
      <c r="P1217" s="7"/>
      <c r="Q1217" s="7"/>
    </row>
    <row r="1218" spans="1:17">
      <c r="A1218" s="105"/>
      <c r="B1218" s="2"/>
      <c r="C1218" s="3"/>
      <c r="D1218" s="3"/>
      <c r="E1218" s="3"/>
      <c r="F1218" s="8"/>
      <c r="G1218" s="215" t="str">
        <f>IF(AND($B1218="",OR(B1218&lt;&gt;"",C1218&lt;&gt;"",D1218&lt;&gt;"",E1218&lt;&gt;"",F1218&lt;&gt;"")),入力リスト!$K$34,IF($I1218=TRUE,入力リスト!$K$35,IF(J1218=FALSE,"「毎月の固定給与額」","")&amp;IF(AND(J1218=FALSE,OR(K1218=FALSE,L1218=FALSE,M1218=FALSE)),",","")&amp;IF(K1218=FALSE,"「賞与額等」","")&amp;IF(AND(K1218=FALSE,OR(L1218=FALSE,M1218=FALSE)),",","")&amp;IF(L1218=FALSE,"「残業手当」","")&amp;IF(AND(L1218=FALSE,M1218=FALSE),",","")&amp;IF(M1218=FALSE,"「残業時間」","")&amp;IF(OR(J1218=FALSE,K1218=FALSE,L1218=FALSE,M1218=FALSE),入力リスト!$K$36,"")&amp;IF(N1218,"",入力リスト!$K$37)))</f>
        <v/>
      </c>
      <c r="H1218" s="215"/>
      <c r="I1218" s="1" t="b">
        <f>IF(B1218="",FALSE,COUNTIF('従業員情報(給与以外)'!$A$4:$A$1000000,$B1218)=0)</f>
        <v>0</v>
      </c>
      <c r="J1218" s="8" t="b">
        <f t="shared" si="90"/>
        <v>1</v>
      </c>
      <c r="K1218" s="8" t="b">
        <f t="shared" si="91"/>
        <v>1</v>
      </c>
      <c r="L1218" s="8" t="b">
        <f t="shared" si="92"/>
        <v>1</v>
      </c>
      <c r="M1218" s="8" t="b">
        <f t="shared" si="93"/>
        <v>1</v>
      </c>
      <c r="N1218" s="1" t="b">
        <f t="shared" si="94"/>
        <v>1</v>
      </c>
      <c r="O1218" s="8" t="str">
        <f>IF(F1218="","",IF($F$2=入力リスト!$H$25,ROUNDDOWN(INT(F1218)+ROUNDDOWN((F1218-INT(F1218))*100,0)/60,2),F1218))</f>
        <v/>
      </c>
      <c r="P1218" s="7"/>
      <c r="Q1218" s="7"/>
    </row>
    <row r="1219" spans="1:17">
      <c r="A1219" s="105"/>
      <c r="B1219" s="2"/>
      <c r="C1219" s="3"/>
      <c r="D1219" s="3"/>
      <c r="E1219" s="3"/>
      <c r="F1219" s="8"/>
      <c r="G1219" s="215" t="str">
        <f>IF(AND($B1219="",OR(B1219&lt;&gt;"",C1219&lt;&gt;"",D1219&lt;&gt;"",E1219&lt;&gt;"",F1219&lt;&gt;"")),入力リスト!$K$34,IF($I1219=TRUE,入力リスト!$K$35,IF(J1219=FALSE,"「毎月の固定給与額」","")&amp;IF(AND(J1219=FALSE,OR(K1219=FALSE,L1219=FALSE,M1219=FALSE)),",","")&amp;IF(K1219=FALSE,"「賞与額等」","")&amp;IF(AND(K1219=FALSE,OR(L1219=FALSE,M1219=FALSE)),",","")&amp;IF(L1219=FALSE,"「残業手当」","")&amp;IF(AND(L1219=FALSE,M1219=FALSE),",","")&amp;IF(M1219=FALSE,"「残業時間」","")&amp;IF(OR(J1219=FALSE,K1219=FALSE,L1219=FALSE,M1219=FALSE),入力リスト!$K$36,"")&amp;IF(N1219,"",入力リスト!$K$37)))</f>
        <v/>
      </c>
      <c r="H1219" s="215"/>
      <c r="I1219" s="1" t="b">
        <f>IF(B1219="",FALSE,COUNTIF('従業員情報(給与以外)'!$A$4:$A$1000000,$B1219)=0)</f>
        <v>0</v>
      </c>
      <c r="J1219" s="8" t="b">
        <f t="shared" si="90"/>
        <v>1</v>
      </c>
      <c r="K1219" s="8" t="b">
        <f t="shared" si="91"/>
        <v>1</v>
      </c>
      <c r="L1219" s="8" t="b">
        <f t="shared" si="92"/>
        <v>1</v>
      </c>
      <c r="M1219" s="8" t="b">
        <f t="shared" si="93"/>
        <v>1</v>
      </c>
      <c r="N1219" s="1" t="b">
        <f t="shared" si="94"/>
        <v>1</v>
      </c>
      <c r="O1219" s="8" t="str">
        <f>IF(F1219="","",IF($F$2=入力リスト!$H$25,ROUNDDOWN(INT(F1219)+ROUNDDOWN((F1219-INT(F1219))*100,0)/60,2),F1219))</f>
        <v/>
      </c>
      <c r="P1219" s="7"/>
      <c r="Q1219" s="7"/>
    </row>
    <row r="1220" spans="1:17">
      <c r="A1220" s="105"/>
      <c r="B1220" s="2"/>
      <c r="C1220" s="3"/>
      <c r="D1220" s="3"/>
      <c r="E1220" s="3"/>
      <c r="F1220" s="8"/>
      <c r="G1220" s="215" t="str">
        <f>IF(AND($B1220="",OR(B1220&lt;&gt;"",C1220&lt;&gt;"",D1220&lt;&gt;"",E1220&lt;&gt;"",F1220&lt;&gt;"")),入力リスト!$K$34,IF($I1220=TRUE,入力リスト!$K$35,IF(J1220=FALSE,"「毎月の固定給与額」","")&amp;IF(AND(J1220=FALSE,OR(K1220=FALSE,L1220=FALSE,M1220=FALSE)),",","")&amp;IF(K1220=FALSE,"「賞与額等」","")&amp;IF(AND(K1220=FALSE,OR(L1220=FALSE,M1220=FALSE)),",","")&amp;IF(L1220=FALSE,"「残業手当」","")&amp;IF(AND(L1220=FALSE,M1220=FALSE),",","")&amp;IF(M1220=FALSE,"「残業時間」","")&amp;IF(OR(J1220=FALSE,K1220=FALSE,L1220=FALSE,M1220=FALSE),入力リスト!$K$36,"")&amp;IF(N1220,"",入力リスト!$K$37)))</f>
        <v/>
      </c>
      <c r="H1220" s="215"/>
      <c r="I1220" s="1" t="b">
        <f>IF(B1220="",FALSE,COUNTIF('従業員情報(給与以外)'!$A$4:$A$1000000,$B1220)=0)</f>
        <v>0</v>
      </c>
      <c r="J1220" s="8" t="b">
        <f t="shared" si="90"/>
        <v>1</v>
      </c>
      <c r="K1220" s="8" t="b">
        <f t="shared" si="91"/>
        <v>1</v>
      </c>
      <c r="L1220" s="8" t="b">
        <f t="shared" si="92"/>
        <v>1</v>
      </c>
      <c r="M1220" s="8" t="b">
        <f t="shared" si="93"/>
        <v>1</v>
      </c>
      <c r="N1220" s="1" t="b">
        <f t="shared" si="94"/>
        <v>1</v>
      </c>
      <c r="O1220" s="8" t="str">
        <f>IF(F1220="","",IF($F$2=入力リスト!$H$25,ROUNDDOWN(INT(F1220)+ROUNDDOWN((F1220-INT(F1220))*100,0)/60,2),F1220))</f>
        <v/>
      </c>
      <c r="P1220" s="7"/>
      <c r="Q1220" s="7"/>
    </row>
    <row r="1221" spans="1:17">
      <c r="A1221" s="105"/>
      <c r="B1221" s="2"/>
      <c r="C1221" s="3"/>
      <c r="D1221" s="3"/>
      <c r="E1221" s="3"/>
      <c r="F1221" s="8"/>
      <c r="G1221" s="215" t="str">
        <f>IF(AND($B1221="",OR(B1221&lt;&gt;"",C1221&lt;&gt;"",D1221&lt;&gt;"",E1221&lt;&gt;"",F1221&lt;&gt;"")),入力リスト!$K$34,IF($I1221=TRUE,入力リスト!$K$35,IF(J1221=FALSE,"「毎月の固定給与額」","")&amp;IF(AND(J1221=FALSE,OR(K1221=FALSE,L1221=FALSE,M1221=FALSE)),",","")&amp;IF(K1221=FALSE,"「賞与額等」","")&amp;IF(AND(K1221=FALSE,OR(L1221=FALSE,M1221=FALSE)),",","")&amp;IF(L1221=FALSE,"「残業手当」","")&amp;IF(AND(L1221=FALSE,M1221=FALSE),",","")&amp;IF(M1221=FALSE,"「残業時間」","")&amp;IF(OR(J1221=FALSE,K1221=FALSE,L1221=FALSE,M1221=FALSE),入力リスト!$K$36,"")&amp;IF(N1221,"",入力リスト!$K$37)))</f>
        <v/>
      </c>
      <c r="H1221" s="215"/>
      <c r="I1221" s="1" t="b">
        <f>IF(B1221="",FALSE,COUNTIF('従業員情報(給与以外)'!$A$4:$A$1000000,$B1221)=0)</f>
        <v>0</v>
      </c>
      <c r="J1221" s="8" t="b">
        <f t="shared" ref="J1221:J1284" si="95">OR(C1221="",ISNUMBER(C1221))</f>
        <v>1</v>
      </c>
      <c r="K1221" s="8" t="b">
        <f t="shared" ref="K1221:K1284" si="96">OR(D1221="",ISNUMBER(D1221))</f>
        <v>1</v>
      </c>
      <c r="L1221" s="8" t="b">
        <f t="shared" ref="L1221:L1284" si="97">OR(E1221="",ISNUMBER(E1221))</f>
        <v>1</v>
      </c>
      <c r="M1221" s="8" t="b">
        <f t="shared" ref="M1221:M1284" si="98">OR(F1221="",ISNUMBER(F1221))</f>
        <v>1</v>
      </c>
      <c r="N1221" s="1" t="b">
        <f t="shared" ref="N1221:N1284" si="99">IF($N$1,TRUE,IF($N$2,IF(F1221-INT(F1221)&lt;0.6,TRUE,FALSE),TRUE))</f>
        <v>1</v>
      </c>
      <c r="O1221" s="8" t="str">
        <f>IF(F1221="","",IF($F$2=入力リスト!$H$25,ROUNDDOWN(INT(F1221)+ROUNDDOWN((F1221-INT(F1221))*100,0)/60,2),F1221))</f>
        <v/>
      </c>
      <c r="P1221" s="7"/>
      <c r="Q1221" s="7"/>
    </row>
    <row r="1222" spans="1:17">
      <c r="A1222" s="105"/>
      <c r="B1222" s="2"/>
      <c r="C1222" s="3"/>
      <c r="D1222" s="3"/>
      <c r="E1222" s="3"/>
      <c r="F1222" s="8"/>
      <c r="G1222" s="215" t="str">
        <f>IF(AND($B1222="",OR(B1222&lt;&gt;"",C1222&lt;&gt;"",D1222&lt;&gt;"",E1222&lt;&gt;"",F1222&lt;&gt;"")),入力リスト!$K$34,IF($I1222=TRUE,入力リスト!$K$35,IF(J1222=FALSE,"「毎月の固定給与額」","")&amp;IF(AND(J1222=FALSE,OR(K1222=FALSE,L1222=FALSE,M1222=FALSE)),",","")&amp;IF(K1222=FALSE,"「賞与額等」","")&amp;IF(AND(K1222=FALSE,OR(L1222=FALSE,M1222=FALSE)),",","")&amp;IF(L1222=FALSE,"「残業手当」","")&amp;IF(AND(L1222=FALSE,M1222=FALSE),",","")&amp;IF(M1222=FALSE,"「残業時間」","")&amp;IF(OR(J1222=FALSE,K1222=FALSE,L1222=FALSE,M1222=FALSE),入力リスト!$K$36,"")&amp;IF(N1222,"",入力リスト!$K$37)))</f>
        <v/>
      </c>
      <c r="H1222" s="215"/>
      <c r="I1222" s="1" t="b">
        <f>IF(B1222="",FALSE,COUNTIF('従業員情報(給与以外)'!$A$4:$A$1000000,$B1222)=0)</f>
        <v>0</v>
      </c>
      <c r="J1222" s="8" t="b">
        <f t="shared" si="95"/>
        <v>1</v>
      </c>
      <c r="K1222" s="8" t="b">
        <f t="shared" si="96"/>
        <v>1</v>
      </c>
      <c r="L1222" s="8" t="b">
        <f t="shared" si="97"/>
        <v>1</v>
      </c>
      <c r="M1222" s="8" t="b">
        <f t="shared" si="98"/>
        <v>1</v>
      </c>
      <c r="N1222" s="1" t="b">
        <f t="shared" si="99"/>
        <v>1</v>
      </c>
      <c r="O1222" s="8" t="str">
        <f>IF(F1222="","",IF($F$2=入力リスト!$H$25,ROUNDDOWN(INT(F1222)+ROUNDDOWN((F1222-INT(F1222))*100,0)/60,2),F1222))</f>
        <v/>
      </c>
      <c r="P1222" s="7"/>
      <c r="Q1222" s="7"/>
    </row>
    <row r="1223" spans="1:17">
      <c r="A1223" s="105"/>
      <c r="B1223" s="2"/>
      <c r="C1223" s="3"/>
      <c r="D1223" s="3"/>
      <c r="E1223" s="3"/>
      <c r="F1223" s="8"/>
      <c r="G1223" s="215" t="str">
        <f>IF(AND($B1223="",OR(B1223&lt;&gt;"",C1223&lt;&gt;"",D1223&lt;&gt;"",E1223&lt;&gt;"",F1223&lt;&gt;"")),入力リスト!$K$34,IF($I1223=TRUE,入力リスト!$K$35,IF(J1223=FALSE,"「毎月の固定給与額」","")&amp;IF(AND(J1223=FALSE,OR(K1223=FALSE,L1223=FALSE,M1223=FALSE)),",","")&amp;IF(K1223=FALSE,"「賞与額等」","")&amp;IF(AND(K1223=FALSE,OR(L1223=FALSE,M1223=FALSE)),",","")&amp;IF(L1223=FALSE,"「残業手当」","")&amp;IF(AND(L1223=FALSE,M1223=FALSE),",","")&amp;IF(M1223=FALSE,"「残業時間」","")&amp;IF(OR(J1223=FALSE,K1223=FALSE,L1223=FALSE,M1223=FALSE),入力リスト!$K$36,"")&amp;IF(N1223,"",入力リスト!$K$37)))</f>
        <v/>
      </c>
      <c r="H1223" s="215"/>
      <c r="I1223" s="1" t="b">
        <f>IF(B1223="",FALSE,COUNTIF('従業員情報(給与以外)'!$A$4:$A$1000000,$B1223)=0)</f>
        <v>0</v>
      </c>
      <c r="J1223" s="8" t="b">
        <f t="shared" si="95"/>
        <v>1</v>
      </c>
      <c r="K1223" s="8" t="b">
        <f t="shared" si="96"/>
        <v>1</v>
      </c>
      <c r="L1223" s="8" t="b">
        <f t="shared" si="97"/>
        <v>1</v>
      </c>
      <c r="M1223" s="8" t="b">
        <f t="shared" si="98"/>
        <v>1</v>
      </c>
      <c r="N1223" s="1" t="b">
        <f t="shared" si="99"/>
        <v>1</v>
      </c>
      <c r="O1223" s="8" t="str">
        <f>IF(F1223="","",IF($F$2=入力リスト!$H$25,ROUNDDOWN(INT(F1223)+ROUNDDOWN((F1223-INT(F1223))*100,0)/60,2),F1223))</f>
        <v/>
      </c>
      <c r="P1223" s="7"/>
      <c r="Q1223" s="7"/>
    </row>
    <row r="1224" spans="1:17">
      <c r="A1224" s="105"/>
      <c r="B1224" s="2"/>
      <c r="C1224" s="3"/>
      <c r="D1224" s="3"/>
      <c r="E1224" s="3"/>
      <c r="F1224" s="8"/>
      <c r="G1224" s="215" t="str">
        <f>IF(AND($B1224="",OR(B1224&lt;&gt;"",C1224&lt;&gt;"",D1224&lt;&gt;"",E1224&lt;&gt;"",F1224&lt;&gt;"")),入力リスト!$K$34,IF($I1224=TRUE,入力リスト!$K$35,IF(J1224=FALSE,"「毎月の固定給与額」","")&amp;IF(AND(J1224=FALSE,OR(K1224=FALSE,L1224=FALSE,M1224=FALSE)),",","")&amp;IF(K1224=FALSE,"「賞与額等」","")&amp;IF(AND(K1224=FALSE,OR(L1224=FALSE,M1224=FALSE)),",","")&amp;IF(L1224=FALSE,"「残業手当」","")&amp;IF(AND(L1224=FALSE,M1224=FALSE),",","")&amp;IF(M1224=FALSE,"「残業時間」","")&amp;IF(OR(J1224=FALSE,K1224=FALSE,L1224=FALSE,M1224=FALSE),入力リスト!$K$36,"")&amp;IF(N1224,"",入力リスト!$K$37)))</f>
        <v/>
      </c>
      <c r="H1224" s="215"/>
      <c r="I1224" s="1" t="b">
        <f>IF(B1224="",FALSE,COUNTIF('従業員情報(給与以外)'!$A$4:$A$1000000,$B1224)=0)</f>
        <v>0</v>
      </c>
      <c r="J1224" s="8" t="b">
        <f t="shared" si="95"/>
        <v>1</v>
      </c>
      <c r="K1224" s="8" t="b">
        <f t="shared" si="96"/>
        <v>1</v>
      </c>
      <c r="L1224" s="8" t="b">
        <f t="shared" si="97"/>
        <v>1</v>
      </c>
      <c r="M1224" s="8" t="b">
        <f t="shared" si="98"/>
        <v>1</v>
      </c>
      <c r="N1224" s="1" t="b">
        <f t="shared" si="99"/>
        <v>1</v>
      </c>
      <c r="O1224" s="8" t="str">
        <f>IF(F1224="","",IF($F$2=入力リスト!$H$25,ROUNDDOWN(INT(F1224)+ROUNDDOWN((F1224-INT(F1224))*100,0)/60,2),F1224))</f>
        <v/>
      </c>
      <c r="P1224" s="7"/>
      <c r="Q1224" s="7"/>
    </row>
    <row r="1225" spans="1:17">
      <c r="A1225" s="105"/>
      <c r="B1225" s="2"/>
      <c r="C1225" s="3"/>
      <c r="D1225" s="3"/>
      <c r="E1225" s="3"/>
      <c r="F1225" s="8"/>
      <c r="G1225" s="215" t="str">
        <f>IF(AND($B1225="",OR(B1225&lt;&gt;"",C1225&lt;&gt;"",D1225&lt;&gt;"",E1225&lt;&gt;"",F1225&lt;&gt;"")),入力リスト!$K$34,IF($I1225=TRUE,入力リスト!$K$35,IF(J1225=FALSE,"「毎月の固定給与額」","")&amp;IF(AND(J1225=FALSE,OR(K1225=FALSE,L1225=FALSE,M1225=FALSE)),",","")&amp;IF(K1225=FALSE,"「賞与額等」","")&amp;IF(AND(K1225=FALSE,OR(L1225=FALSE,M1225=FALSE)),",","")&amp;IF(L1225=FALSE,"「残業手当」","")&amp;IF(AND(L1225=FALSE,M1225=FALSE),",","")&amp;IF(M1225=FALSE,"「残業時間」","")&amp;IF(OR(J1225=FALSE,K1225=FALSE,L1225=FALSE,M1225=FALSE),入力リスト!$K$36,"")&amp;IF(N1225,"",入力リスト!$K$37)))</f>
        <v/>
      </c>
      <c r="H1225" s="215"/>
      <c r="I1225" s="1" t="b">
        <f>IF(B1225="",FALSE,COUNTIF('従業員情報(給与以外)'!$A$4:$A$1000000,$B1225)=0)</f>
        <v>0</v>
      </c>
      <c r="J1225" s="8" t="b">
        <f t="shared" si="95"/>
        <v>1</v>
      </c>
      <c r="K1225" s="8" t="b">
        <f t="shared" si="96"/>
        <v>1</v>
      </c>
      <c r="L1225" s="8" t="b">
        <f t="shared" si="97"/>
        <v>1</v>
      </c>
      <c r="M1225" s="8" t="b">
        <f t="shared" si="98"/>
        <v>1</v>
      </c>
      <c r="N1225" s="1" t="b">
        <f t="shared" si="99"/>
        <v>1</v>
      </c>
      <c r="O1225" s="8" t="str">
        <f>IF(F1225="","",IF($F$2=入力リスト!$H$25,ROUNDDOWN(INT(F1225)+ROUNDDOWN((F1225-INT(F1225))*100,0)/60,2),F1225))</f>
        <v/>
      </c>
      <c r="P1225" s="7"/>
      <c r="Q1225" s="7"/>
    </row>
    <row r="1226" spans="1:17">
      <c r="A1226" s="105"/>
      <c r="B1226" s="2"/>
      <c r="C1226" s="3"/>
      <c r="D1226" s="3"/>
      <c r="E1226" s="3"/>
      <c r="F1226" s="8"/>
      <c r="G1226" s="215" t="str">
        <f>IF(AND($B1226="",OR(B1226&lt;&gt;"",C1226&lt;&gt;"",D1226&lt;&gt;"",E1226&lt;&gt;"",F1226&lt;&gt;"")),入力リスト!$K$34,IF($I1226=TRUE,入力リスト!$K$35,IF(J1226=FALSE,"「毎月の固定給与額」","")&amp;IF(AND(J1226=FALSE,OR(K1226=FALSE,L1226=FALSE,M1226=FALSE)),",","")&amp;IF(K1226=FALSE,"「賞与額等」","")&amp;IF(AND(K1226=FALSE,OR(L1226=FALSE,M1226=FALSE)),",","")&amp;IF(L1226=FALSE,"「残業手当」","")&amp;IF(AND(L1226=FALSE,M1226=FALSE),",","")&amp;IF(M1226=FALSE,"「残業時間」","")&amp;IF(OR(J1226=FALSE,K1226=FALSE,L1226=FALSE,M1226=FALSE),入力リスト!$K$36,"")&amp;IF(N1226,"",入力リスト!$K$37)))</f>
        <v/>
      </c>
      <c r="H1226" s="215"/>
      <c r="I1226" s="1" t="b">
        <f>IF(B1226="",FALSE,COUNTIF('従業員情報(給与以外)'!$A$4:$A$1000000,$B1226)=0)</f>
        <v>0</v>
      </c>
      <c r="J1226" s="8" t="b">
        <f t="shared" si="95"/>
        <v>1</v>
      </c>
      <c r="K1226" s="8" t="b">
        <f t="shared" si="96"/>
        <v>1</v>
      </c>
      <c r="L1226" s="8" t="b">
        <f t="shared" si="97"/>
        <v>1</v>
      </c>
      <c r="M1226" s="8" t="b">
        <f t="shared" si="98"/>
        <v>1</v>
      </c>
      <c r="N1226" s="1" t="b">
        <f t="shared" si="99"/>
        <v>1</v>
      </c>
      <c r="O1226" s="8" t="str">
        <f>IF(F1226="","",IF($F$2=入力リスト!$H$25,ROUNDDOWN(INT(F1226)+ROUNDDOWN((F1226-INT(F1226))*100,0)/60,2),F1226))</f>
        <v/>
      </c>
      <c r="P1226" s="7"/>
      <c r="Q1226" s="7"/>
    </row>
    <row r="1227" spans="1:17">
      <c r="A1227" s="105"/>
      <c r="B1227" s="2"/>
      <c r="C1227" s="3"/>
      <c r="D1227" s="3"/>
      <c r="E1227" s="3"/>
      <c r="F1227" s="8"/>
      <c r="G1227" s="215" t="str">
        <f>IF(AND($B1227="",OR(B1227&lt;&gt;"",C1227&lt;&gt;"",D1227&lt;&gt;"",E1227&lt;&gt;"",F1227&lt;&gt;"")),入力リスト!$K$34,IF($I1227=TRUE,入力リスト!$K$35,IF(J1227=FALSE,"「毎月の固定給与額」","")&amp;IF(AND(J1227=FALSE,OR(K1227=FALSE,L1227=FALSE,M1227=FALSE)),",","")&amp;IF(K1227=FALSE,"「賞与額等」","")&amp;IF(AND(K1227=FALSE,OR(L1227=FALSE,M1227=FALSE)),",","")&amp;IF(L1227=FALSE,"「残業手当」","")&amp;IF(AND(L1227=FALSE,M1227=FALSE),",","")&amp;IF(M1227=FALSE,"「残業時間」","")&amp;IF(OR(J1227=FALSE,K1227=FALSE,L1227=FALSE,M1227=FALSE),入力リスト!$K$36,"")&amp;IF(N1227,"",入力リスト!$K$37)))</f>
        <v/>
      </c>
      <c r="H1227" s="215"/>
      <c r="I1227" s="1" t="b">
        <f>IF(B1227="",FALSE,COUNTIF('従業員情報(給与以外)'!$A$4:$A$1000000,$B1227)=0)</f>
        <v>0</v>
      </c>
      <c r="J1227" s="8" t="b">
        <f t="shared" si="95"/>
        <v>1</v>
      </c>
      <c r="K1227" s="8" t="b">
        <f t="shared" si="96"/>
        <v>1</v>
      </c>
      <c r="L1227" s="8" t="b">
        <f t="shared" si="97"/>
        <v>1</v>
      </c>
      <c r="M1227" s="8" t="b">
        <f t="shared" si="98"/>
        <v>1</v>
      </c>
      <c r="N1227" s="1" t="b">
        <f t="shared" si="99"/>
        <v>1</v>
      </c>
      <c r="O1227" s="8" t="str">
        <f>IF(F1227="","",IF($F$2=入力リスト!$H$25,ROUNDDOWN(INT(F1227)+ROUNDDOWN((F1227-INT(F1227))*100,0)/60,2),F1227))</f>
        <v/>
      </c>
      <c r="P1227" s="7"/>
      <c r="Q1227" s="7"/>
    </row>
    <row r="1228" spans="1:17">
      <c r="A1228" s="105"/>
      <c r="B1228" s="2"/>
      <c r="C1228" s="3"/>
      <c r="D1228" s="3"/>
      <c r="E1228" s="3"/>
      <c r="F1228" s="8"/>
      <c r="G1228" s="215" t="str">
        <f>IF(AND($B1228="",OR(B1228&lt;&gt;"",C1228&lt;&gt;"",D1228&lt;&gt;"",E1228&lt;&gt;"",F1228&lt;&gt;"")),入力リスト!$K$34,IF($I1228=TRUE,入力リスト!$K$35,IF(J1228=FALSE,"「毎月の固定給与額」","")&amp;IF(AND(J1228=FALSE,OR(K1228=FALSE,L1228=FALSE,M1228=FALSE)),",","")&amp;IF(K1228=FALSE,"「賞与額等」","")&amp;IF(AND(K1228=FALSE,OR(L1228=FALSE,M1228=FALSE)),",","")&amp;IF(L1228=FALSE,"「残業手当」","")&amp;IF(AND(L1228=FALSE,M1228=FALSE),",","")&amp;IF(M1228=FALSE,"「残業時間」","")&amp;IF(OR(J1228=FALSE,K1228=FALSE,L1228=FALSE,M1228=FALSE),入力リスト!$K$36,"")&amp;IF(N1228,"",入力リスト!$K$37)))</f>
        <v/>
      </c>
      <c r="H1228" s="215"/>
      <c r="I1228" s="1" t="b">
        <f>IF(B1228="",FALSE,COUNTIF('従業員情報(給与以外)'!$A$4:$A$1000000,$B1228)=0)</f>
        <v>0</v>
      </c>
      <c r="J1228" s="8" t="b">
        <f t="shared" si="95"/>
        <v>1</v>
      </c>
      <c r="K1228" s="8" t="b">
        <f t="shared" si="96"/>
        <v>1</v>
      </c>
      <c r="L1228" s="8" t="b">
        <f t="shared" si="97"/>
        <v>1</v>
      </c>
      <c r="M1228" s="8" t="b">
        <f t="shared" si="98"/>
        <v>1</v>
      </c>
      <c r="N1228" s="1" t="b">
        <f t="shared" si="99"/>
        <v>1</v>
      </c>
      <c r="O1228" s="8" t="str">
        <f>IF(F1228="","",IF($F$2=入力リスト!$H$25,ROUNDDOWN(INT(F1228)+ROUNDDOWN((F1228-INT(F1228))*100,0)/60,2),F1228))</f>
        <v/>
      </c>
      <c r="P1228" s="7"/>
      <c r="Q1228" s="7"/>
    </row>
    <row r="1229" spans="1:17">
      <c r="A1229" s="105"/>
      <c r="B1229" s="2"/>
      <c r="C1229" s="3"/>
      <c r="D1229" s="3"/>
      <c r="E1229" s="3"/>
      <c r="F1229" s="8"/>
      <c r="G1229" s="215" t="str">
        <f>IF(AND($B1229="",OR(B1229&lt;&gt;"",C1229&lt;&gt;"",D1229&lt;&gt;"",E1229&lt;&gt;"",F1229&lt;&gt;"")),入力リスト!$K$34,IF($I1229=TRUE,入力リスト!$K$35,IF(J1229=FALSE,"「毎月の固定給与額」","")&amp;IF(AND(J1229=FALSE,OR(K1229=FALSE,L1229=FALSE,M1229=FALSE)),",","")&amp;IF(K1229=FALSE,"「賞与額等」","")&amp;IF(AND(K1229=FALSE,OR(L1229=FALSE,M1229=FALSE)),",","")&amp;IF(L1229=FALSE,"「残業手当」","")&amp;IF(AND(L1229=FALSE,M1229=FALSE),",","")&amp;IF(M1229=FALSE,"「残業時間」","")&amp;IF(OR(J1229=FALSE,K1229=FALSE,L1229=FALSE,M1229=FALSE),入力リスト!$K$36,"")&amp;IF(N1229,"",入力リスト!$K$37)))</f>
        <v/>
      </c>
      <c r="H1229" s="215"/>
      <c r="I1229" s="1" t="b">
        <f>IF(B1229="",FALSE,COUNTIF('従業員情報(給与以外)'!$A$4:$A$1000000,$B1229)=0)</f>
        <v>0</v>
      </c>
      <c r="J1229" s="8" t="b">
        <f t="shared" si="95"/>
        <v>1</v>
      </c>
      <c r="K1229" s="8" t="b">
        <f t="shared" si="96"/>
        <v>1</v>
      </c>
      <c r="L1229" s="8" t="b">
        <f t="shared" si="97"/>
        <v>1</v>
      </c>
      <c r="M1229" s="8" t="b">
        <f t="shared" si="98"/>
        <v>1</v>
      </c>
      <c r="N1229" s="1" t="b">
        <f t="shared" si="99"/>
        <v>1</v>
      </c>
      <c r="O1229" s="8" t="str">
        <f>IF(F1229="","",IF($F$2=入力リスト!$H$25,ROUNDDOWN(INT(F1229)+ROUNDDOWN((F1229-INT(F1229))*100,0)/60,2),F1229))</f>
        <v/>
      </c>
      <c r="P1229" s="7"/>
      <c r="Q1229" s="7"/>
    </row>
    <row r="1230" spans="1:17">
      <c r="A1230" s="105"/>
      <c r="B1230" s="2"/>
      <c r="C1230" s="3"/>
      <c r="D1230" s="3"/>
      <c r="E1230" s="3"/>
      <c r="F1230" s="8"/>
      <c r="G1230" s="215" t="str">
        <f>IF(AND($B1230="",OR(B1230&lt;&gt;"",C1230&lt;&gt;"",D1230&lt;&gt;"",E1230&lt;&gt;"",F1230&lt;&gt;"")),入力リスト!$K$34,IF($I1230=TRUE,入力リスト!$K$35,IF(J1230=FALSE,"「毎月の固定給与額」","")&amp;IF(AND(J1230=FALSE,OR(K1230=FALSE,L1230=FALSE,M1230=FALSE)),",","")&amp;IF(K1230=FALSE,"「賞与額等」","")&amp;IF(AND(K1230=FALSE,OR(L1230=FALSE,M1230=FALSE)),",","")&amp;IF(L1230=FALSE,"「残業手当」","")&amp;IF(AND(L1230=FALSE,M1230=FALSE),",","")&amp;IF(M1230=FALSE,"「残業時間」","")&amp;IF(OR(J1230=FALSE,K1230=FALSE,L1230=FALSE,M1230=FALSE),入力リスト!$K$36,"")&amp;IF(N1230,"",入力リスト!$K$37)))</f>
        <v/>
      </c>
      <c r="H1230" s="215"/>
      <c r="I1230" s="1" t="b">
        <f>IF(B1230="",FALSE,COUNTIF('従業員情報(給与以外)'!$A$4:$A$1000000,$B1230)=0)</f>
        <v>0</v>
      </c>
      <c r="J1230" s="8" t="b">
        <f t="shared" si="95"/>
        <v>1</v>
      </c>
      <c r="K1230" s="8" t="b">
        <f t="shared" si="96"/>
        <v>1</v>
      </c>
      <c r="L1230" s="8" t="b">
        <f t="shared" si="97"/>
        <v>1</v>
      </c>
      <c r="M1230" s="8" t="b">
        <f t="shared" si="98"/>
        <v>1</v>
      </c>
      <c r="N1230" s="1" t="b">
        <f t="shared" si="99"/>
        <v>1</v>
      </c>
      <c r="O1230" s="8" t="str">
        <f>IF(F1230="","",IF($F$2=入力リスト!$H$25,ROUNDDOWN(INT(F1230)+ROUNDDOWN((F1230-INT(F1230))*100,0)/60,2),F1230))</f>
        <v/>
      </c>
      <c r="P1230" s="7"/>
      <c r="Q1230" s="7"/>
    </row>
    <row r="1231" spans="1:17">
      <c r="A1231" s="105"/>
      <c r="B1231" s="2"/>
      <c r="C1231" s="3"/>
      <c r="D1231" s="3"/>
      <c r="E1231" s="3"/>
      <c r="F1231" s="8"/>
      <c r="G1231" s="215" t="str">
        <f>IF(AND($B1231="",OR(B1231&lt;&gt;"",C1231&lt;&gt;"",D1231&lt;&gt;"",E1231&lt;&gt;"",F1231&lt;&gt;"")),入力リスト!$K$34,IF($I1231=TRUE,入力リスト!$K$35,IF(J1231=FALSE,"「毎月の固定給与額」","")&amp;IF(AND(J1231=FALSE,OR(K1231=FALSE,L1231=FALSE,M1231=FALSE)),",","")&amp;IF(K1231=FALSE,"「賞与額等」","")&amp;IF(AND(K1231=FALSE,OR(L1231=FALSE,M1231=FALSE)),",","")&amp;IF(L1231=FALSE,"「残業手当」","")&amp;IF(AND(L1231=FALSE,M1231=FALSE),",","")&amp;IF(M1231=FALSE,"「残業時間」","")&amp;IF(OR(J1231=FALSE,K1231=FALSE,L1231=FALSE,M1231=FALSE),入力リスト!$K$36,"")&amp;IF(N1231,"",入力リスト!$K$37)))</f>
        <v/>
      </c>
      <c r="H1231" s="215"/>
      <c r="I1231" s="1" t="b">
        <f>IF(B1231="",FALSE,COUNTIF('従業員情報(給与以外)'!$A$4:$A$1000000,$B1231)=0)</f>
        <v>0</v>
      </c>
      <c r="J1231" s="8" t="b">
        <f t="shared" si="95"/>
        <v>1</v>
      </c>
      <c r="K1231" s="8" t="b">
        <f t="shared" si="96"/>
        <v>1</v>
      </c>
      <c r="L1231" s="8" t="b">
        <f t="shared" si="97"/>
        <v>1</v>
      </c>
      <c r="M1231" s="8" t="b">
        <f t="shared" si="98"/>
        <v>1</v>
      </c>
      <c r="N1231" s="1" t="b">
        <f t="shared" si="99"/>
        <v>1</v>
      </c>
      <c r="O1231" s="8" t="str">
        <f>IF(F1231="","",IF($F$2=入力リスト!$H$25,ROUNDDOWN(INT(F1231)+ROUNDDOWN((F1231-INT(F1231))*100,0)/60,2),F1231))</f>
        <v/>
      </c>
      <c r="P1231" s="7"/>
      <c r="Q1231" s="7"/>
    </row>
    <row r="1232" spans="1:17">
      <c r="A1232" s="105"/>
      <c r="B1232" s="2"/>
      <c r="C1232" s="3"/>
      <c r="D1232" s="3"/>
      <c r="E1232" s="3"/>
      <c r="F1232" s="8"/>
      <c r="G1232" s="215" t="str">
        <f>IF(AND($B1232="",OR(B1232&lt;&gt;"",C1232&lt;&gt;"",D1232&lt;&gt;"",E1232&lt;&gt;"",F1232&lt;&gt;"")),入力リスト!$K$34,IF($I1232=TRUE,入力リスト!$K$35,IF(J1232=FALSE,"「毎月の固定給与額」","")&amp;IF(AND(J1232=FALSE,OR(K1232=FALSE,L1232=FALSE,M1232=FALSE)),",","")&amp;IF(K1232=FALSE,"「賞与額等」","")&amp;IF(AND(K1232=FALSE,OR(L1232=FALSE,M1232=FALSE)),",","")&amp;IF(L1232=FALSE,"「残業手当」","")&amp;IF(AND(L1232=FALSE,M1232=FALSE),",","")&amp;IF(M1232=FALSE,"「残業時間」","")&amp;IF(OR(J1232=FALSE,K1232=FALSE,L1232=FALSE,M1232=FALSE),入力リスト!$K$36,"")&amp;IF(N1232,"",入力リスト!$K$37)))</f>
        <v/>
      </c>
      <c r="H1232" s="215"/>
      <c r="I1232" s="1" t="b">
        <f>IF(B1232="",FALSE,COUNTIF('従業員情報(給与以外)'!$A$4:$A$1000000,$B1232)=0)</f>
        <v>0</v>
      </c>
      <c r="J1232" s="8" t="b">
        <f t="shared" si="95"/>
        <v>1</v>
      </c>
      <c r="K1232" s="8" t="b">
        <f t="shared" si="96"/>
        <v>1</v>
      </c>
      <c r="L1232" s="8" t="b">
        <f t="shared" si="97"/>
        <v>1</v>
      </c>
      <c r="M1232" s="8" t="b">
        <f t="shared" si="98"/>
        <v>1</v>
      </c>
      <c r="N1232" s="1" t="b">
        <f t="shared" si="99"/>
        <v>1</v>
      </c>
      <c r="O1232" s="8" t="str">
        <f>IF(F1232="","",IF($F$2=入力リスト!$H$25,ROUNDDOWN(INT(F1232)+ROUNDDOWN((F1232-INT(F1232))*100,0)/60,2),F1232))</f>
        <v/>
      </c>
      <c r="P1232" s="7"/>
      <c r="Q1232" s="7"/>
    </row>
    <row r="1233" spans="1:17">
      <c r="A1233" s="105"/>
      <c r="B1233" s="2"/>
      <c r="C1233" s="3"/>
      <c r="D1233" s="3"/>
      <c r="E1233" s="3"/>
      <c r="F1233" s="8"/>
      <c r="G1233" s="215" t="str">
        <f>IF(AND($B1233="",OR(B1233&lt;&gt;"",C1233&lt;&gt;"",D1233&lt;&gt;"",E1233&lt;&gt;"",F1233&lt;&gt;"")),入力リスト!$K$34,IF($I1233=TRUE,入力リスト!$K$35,IF(J1233=FALSE,"「毎月の固定給与額」","")&amp;IF(AND(J1233=FALSE,OR(K1233=FALSE,L1233=FALSE,M1233=FALSE)),",","")&amp;IF(K1233=FALSE,"「賞与額等」","")&amp;IF(AND(K1233=FALSE,OR(L1233=FALSE,M1233=FALSE)),",","")&amp;IF(L1233=FALSE,"「残業手当」","")&amp;IF(AND(L1233=FALSE,M1233=FALSE),",","")&amp;IF(M1233=FALSE,"「残業時間」","")&amp;IF(OR(J1233=FALSE,K1233=FALSE,L1233=FALSE,M1233=FALSE),入力リスト!$K$36,"")&amp;IF(N1233,"",入力リスト!$K$37)))</f>
        <v/>
      </c>
      <c r="H1233" s="215"/>
      <c r="I1233" s="1" t="b">
        <f>IF(B1233="",FALSE,COUNTIF('従業員情報(給与以外)'!$A$4:$A$1000000,$B1233)=0)</f>
        <v>0</v>
      </c>
      <c r="J1233" s="8" t="b">
        <f t="shared" si="95"/>
        <v>1</v>
      </c>
      <c r="K1233" s="8" t="b">
        <f t="shared" si="96"/>
        <v>1</v>
      </c>
      <c r="L1233" s="8" t="b">
        <f t="shared" si="97"/>
        <v>1</v>
      </c>
      <c r="M1233" s="8" t="b">
        <f t="shared" si="98"/>
        <v>1</v>
      </c>
      <c r="N1233" s="1" t="b">
        <f t="shared" si="99"/>
        <v>1</v>
      </c>
      <c r="O1233" s="8" t="str">
        <f>IF(F1233="","",IF($F$2=入力リスト!$H$25,ROUNDDOWN(INT(F1233)+ROUNDDOWN((F1233-INT(F1233))*100,0)/60,2),F1233))</f>
        <v/>
      </c>
      <c r="P1233" s="7"/>
      <c r="Q1233" s="7"/>
    </row>
    <row r="1234" spans="1:17">
      <c r="A1234" s="105"/>
      <c r="B1234" s="2"/>
      <c r="C1234" s="3"/>
      <c r="D1234" s="3"/>
      <c r="E1234" s="3"/>
      <c r="F1234" s="8"/>
      <c r="G1234" s="215" t="str">
        <f>IF(AND($B1234="",OR(B1234&lt;&gt;"",C1234&lt;&gt;"",D1234&lt;&gt;"",E1234&lt;&gt;"",F1234&lt;&gt;"")),入力リスト!$K$34,IF($I1234=TRUE,入力リスト!$K$35,IF(J1234=FALSE,"「毎月の固定給与額」","")&amp;IF(AND(J1234=FALSE,OR(K1234=FALSE,L1234=FALSE,M1234=FALSE)),",","")&amp;IF(K1234=FALSE,"「賞与額等」","")&amp;IF(AND(K1234=FALSE,OR(L1234=FALSE,M1234=FALSE)),",","")&amp;IF(L1234=FALSE,"「残業手当」","")&amp;IF(AND(L1234=FALSE,M1234=FALSE),",","")&amp;IF(M1234=FALSE,"「残業時間」","")&amp;IF(OR(J1234=FALSE,K1234=FALSE,L1234=FALSE,M1234=FALSE),入力リスト!$K$36,"")&amp;IF(N1234,"",入力リスト!$K$37)))</f>
        <v/>
      </c>
      <c r="H1234" s="215"/>
      <c r="I1234" s="1" t="b">
        <f>IF(B1234="",FALSE,COUNTIF('従業員情報(給与以外)'!$A$4:$A$1000000,$B1234)=0)</f>
        <v>0</v>
      </c>
      <c r="J1234" s="8" t="b">
        <f t="shared" si="95"/>
        <v>1</v>
      </c>
      <c r="K1234" s="8" t="b">
        <f t="shared" si="96"/>
        <v>1</v>
      </c>
      <c r="L1234" s="8" t="b">
        <f t="shared" si="97"/>
        <v>1</v>
      </c>
      <c r="M1234" s="8" t="b">
        <f t="shared" si="98"/>
        <v>1</v>
      </c>
      <c r="N1234" s="1" t="b">
        <f t="shared" si="99"/>
        <v>1</v>
      </c>
      <c r="O1234" s="8" t="str">
        <f>IF(F1234="","",IF($F$2=入力リスト!$H$25,ROUNDDOWN(INT(F1234)+ROUNDDOWN((F1234-INT(F1234))*100,0)/60,2),F1234))</f>
        <v/>
      </c>
      <c r="P1234" s="7"/>
      <c r="Q1234" s="7"/>
    </row>
    <row r="1235" spans="1:17">
      <c r="A1235" s="105"/>
      <c r="B1235" s="2"/>
      <c r="C1235" s="3"/>
      <c r="D1235" s="3"/>
      <c r="E1235" s="3"/>
      <c r="F1235" s="8"/>
      <c r="G1235" s="215" t="str">
        <f>IF(AND($B1235="",OR(B1235&lt;&gt;"",C1235&lt;&gt;"",D1235&lt;&gt;"",E1235&lt;&gt;"",F1235&lt;&gt;"")),入力リスト!$K$34,IF($I1235=TRUE,入力リスト!$K$35,IF(J1235=FALSE,"「毎月の固定給与額」","")&amp;IF(AND(J1235=FALSE,OR(K1235=FALSE,L1235=FALSE,M1235=FALSE)),",","")&amp;IF(K1235=FALSE,"「賞与額等」","")&amp;IF(AND(K1235=FALSE,OR(L1235=FALSE,M1235=FALSE)),",","")&amp;IF(L1235=FALSE,"「残業手当」","")&amp;IF(AND(L1235=FALSE,M1235=FALSE),",","")&amp;IF(M1235=FALSE,"「残業時間」","")&amp;IF(OR(J1235=FALSE,K1235=FALSE,L1235=FALSE,M1235=FALSE),入力リスト!$K$36,"")&amp;IF(N1235,"",入力リスト!$K$37)))</f>
        <v/>
      </c>
      <c r="H1235" s="215"/>
      <c r="I1235" s="1" t="b">
        <f>IF(B1235="",FALSE,COUNTIF('従業員情報(給与以外)'!$A$4:$A$1000000,$B1235)=0)</f>
        <v>0</v>
      </c>
      <c r="J1235" s="8" t="b">
        <f t="shared" si="95"/>
        <v>1</v>
      </c>
      <c r="K1235" s="8" t="b">
        <f t="shared" si="96"/>
        <v>1</v>
      </c>
      <c r="L1235" s="8" t="b">
        <f t="shared" si="97"/>
        <v>1</v>
      </c>
      <c r="M1235" s="8" t="b">
        <f t="shared" si="98"/>
        <v>1</v>
      </c>
      <c r="N1235" s="1" t="b">
        <f t="shared" si="99"/>
        <v>1</v>
      </c>
      <c r="O1235" s="8" t="str">
        <f>IF(F1235="","",IF($F$2=入力リスト!$H$25,ROUNDDOWN(INT(F1235)+ROUNDDOWN((F1235-INT(F1235))*100,0)/60,2),F1235))</f>
        <v/>
      </c>
      <c r="P1235" s="7"/>
      <c r="Q1235" s="7"/>
    </row>
    <row r="1236" spans="1:17">
      <c r="A1236" s="105"/>
      <c r="B1236" s="2"/>
      <c r="C1236" s="3"/>
      <c r="D1236" s="3"/>
      <c r="E1236" s="3"/>
      <c r="F1236" s="8"/>
      <c r="G1236" s="215" t="str">
        <f>IF(AND($B1236="",OR(B1236&lt;&gt;"",C1236&lt;&gt;"",D1236&lt;&gt;"",E1236&lt;&gt;"",F1236&lt;&gt;"")),入力リスト!$K$34,IF($I1236=TRUE,入力リスト!$K$35,IF(J1236=FALSE,"「毎月の固定給与額」","")&amp;IF(AND(J1236=FALSE,OR(K1236=FALSE,L1236=FALSE,M1236=FALSE)),",","")&amp;IF(K1236=FALSE,"「賞与額等」","")&amp;IF(AND(K1236=FALSE,OR(L1236=FALSE,M1236=FALSE)),",","")&amp;IF(L1236=FALSE,"「残業手当」","")&amp;IF(AND(L1236=FALSE,M1236=FALSE),",","")&amp;IF(M1236=FALSE,"「残業時間」","")&amp;IF(OR(J1236=FALSE,K1236=FALSE,L1236=FALSE,M1236=FALSE),入力リスト!$K$36,"")&amp;IF(N1236,"",入力リスト!$K$37)))</f>
        <v/>
      </c>
      <c r="H1236" s="215"/>
      <c r="I1236" s="1" t="b">
        <f>IF(B1236="",FALSE,COUNTIF('従業員情報(給与以外)'!$A$4:$A$1000000,$B1236)=0)</f>
        <v>0</v>
      </c>
      <c r="J1236" s="8" t="b">
        <f t="shared" si="95"/>
        <v>1</v>
      </c>
      <c r="K1236" s="8" t="b">
        <f t="shared" si="96"/>
        <v>1</v>
      </c>
      <c r="L1236" s="8" t="b">
        <f t="shared" si="97"/>
        <v>1</v>
      </c>
      <c r="M1236" s="8" t="b">
        <f t="shared" si="98"/>
        <v>1</v>
      </c>
      <c r="N1236" s="1" t="b">
        <f t="shared" si="99"/>
        <v>1</v>
      </c>
      <c r="O1236" s="8" t="str">
        <f>IF(F1236="","",IF($F$2=入力リスト!$H$25,ROUNDDOWN(INT(F1236)+ROUNDDOWN((F1236-INT(F1236))*100,0)/60,2),F1236))</f>
        <v/>
      </c>
      <c r="P1236" s="7"/>
      <c r="Q1236" s="7"/>
    </row>
    <row r="1237" spans="1:17">
      <c r="A1237" s="105"/>
      <c r="B1237" s="2"/>
      <c r="C1237" s="3"/>
      <c r="D1237" s="3"/>
      <c r="E1237" s="3"/>
      <c r="F1237" s="8"/>
      <c r="G1237" s="215" t="str">
        <f>IF(AND($B1237="",OR(B1237&lt;&gt;"",C1237&lt;&gt;"",D1237&lt;&gt;"",E1237&lt;&gt;"",F1237&lt;&gt;"")),入力リスト!$K$34,IF($I1237=TRUE,入力リスト!$K$35,IF(J1237=FALSE,"「毎月の固定給与額」","")&amp;IF(AND(J1237=FALSE,OR(K1237=FALSE,L1237=FALSE,M1237=FALSE)),",","")&amp;IF(K1237=FALSE,"「賞与額等」","")&amp;IF(AND(K1237=FALSE,OR(L1237=FALSE,M1237=FALSE)),",","")&amp;IF(L1237=FALSE,"「残業手当」","")&amp;IF(AND(L1237=FALSE,M1237=FALSE),",","")&amp;IF(M1237=FALSE,"「残業時間」","")&amp;IF(OR(J1237=FALSE,K1237=FALSE,L1237=FALSE,M1237=FALSE),入力リスト!$K$36,"")&amp;IF(N1237,"",入力リスト!$K$37)))</f>
        <v/>
      </c>
      <c r="H1237" s="215"/>
      <c r="I1237" s="1" t="b">
        <f>IF(B1237="",FALSE,COUNTIF('従業員情報(給与以外)'!$A$4:$A$1000000,$B1237)=0)</f>
        <v>0</v>
      </c>
      <c r="J1237" s="8" t="b">
        <f t="shared" si="95"/>
        <v>1</v>
      </c>
      <c r="K1237" s="8" t="b">
        <f t="shared" si="96"/>
        <v>1</v>
      </c>
      <c r="L1237" s="8" t="b">
        <f t="shared" si="97"/>
        <v>1</v>
      </c>
      <c r="M1237" s="8" t="b">
        <f t="shared" si="98"/>
        <v>1</v>
      </c>
      <c r="N1237" s="1" t="b">
        <f t="shared" si="99"/>
        <v>1</v>
      </c>
      <c r="O1237" s="8" t="str">
        <f>IF(F1237="","",IF($F$2=入力リスト!$H$25,ROUNDDOWN(INT(F1237)+ROUNDDOWN((F1237-INT(F1237))*100,0)/60,2),F1237))</f>
        <v/>
      </c>
      <c r="P1237" s="7"/>
      <c r="Q1237" s="7"/>
    </row>
    <row r="1238" spans="1:17">
      <c r="A1238" s="105"/>
      <c r="B1238" s="2"/>
      <c r="C1238" s="3"/>
      <c r="D1238" s="3"/>
      <c r="E1238" s="3"/>
      <c r="F1238" s="8"/>
      <c r="G1238" s="215" t="str">
        <f>IF(AND($B1238="",OR(B1238&lt;&gt;"",C1238&lt;&gt;"",D1238&lt;&gt;"",E1238&lt;&gt;"",F1238&lt;&gt;"")),入力リスト!$K$34,IF($I1238=TRUE,入力リスト!$K$35,IF(J1238=FALSE,"「毎月の固定給与額」","")&amp;IF(AND(J1238=FALSE,OR(K1238=FALSE,L1238=FALSE,M1238=FALSE)),",","")&amp;IF(K1238=FALSE,"「賞与額等」","")&amp;IF(AND(K1238=FALSE,OR(L1238=FALSE,M1238=FALSE)),",","")&amp;IF(L1238=FALSE,"「残業手当」","")&amp;IF(AND(L1238=FALSE,M1238=FALSE),",","")&amp;IF(M1238=FALSE,"「残業時間」","")&amp;IF(OR(J1238=FALSE,K1238=FALSE,L1238=FALSE,M1238=FALSE),入力リスト!$K$36,"")&amp;IF(N1238,"",入力リスト!$K$37)))</f>
        <v/>
      </c>
      <c r="H1238" s="215"/>
      <c r="I1238" s="1" t="b">
        <f>IF(B1238="",FALSE,COUNTIF('従業員情報(給与以外)'!$A$4:$A$1000000,$B1238)=0)</f>
        <v>0</v>
      </c>
      <c r="J1238" s="8" t="b">
        <f t="shared" si="95"/>
        <v>1</v>
      </c>
      <c r="K1238" s="8" t="b">
        <f t="shared" si="96"/>
        <v>1</v>
      </c>
      <c r="L1238" s="8" t="b">
        <f t="shared" si="97"/>
        <v>1</v>
      </c>
      <c r="M1238" s="8" t="b">
        <f t="shared" si="98"/>
        <v>1</v>
      </c>
      <c r="N1238" s="1" t="b">
        <f t="shared" si="99"/>
        <v>1</v>
      </c>
      <c r="O1238" s="8" t="str">
        <f>IF(F1238="","",IF($F$2=入力リスト!$H$25,ROUNDDOWN(INT(F1238)+ROUNDDOWN((F1238-INT(F1238))*100,0)/60,2),F1238))</f>
        <v/>
      </c>
      <c r="P1238" s="7"/>
      <c r="Q1238" s="7"/>
    </row>
    <row r="1239" spans="1:17">
      <c r="A1239" s="105"/>
      <c r="B1239" s="2"/>
      <c r="C1239" s="3"/>
      <c r="D1239" s="3"/>
      <c r="E1239" s="3"/>
      <c r="F1239" s="8"/>
      <c r="G1239" s="215" t="str">
        <f>IF(AND($B1239="",OR(B1239&lt;&gt;"",C1239&lt;&gt;"",D1239&lt;&gt;"",E1239&lt;&gt;"",F1239&lt;&gt;"")),入力リスト!$K$34,IF($I1239=TRUE,入力リスト!$K$35,IF(J1239=FALSE,"「毎月の固定給与額」","")&amp;IF(AND(J1239=FALSE,OR(K1239=FALSE,L1239=FALSE,M1239=FALSE)),",","")&amp;IF(K1239=FALSE,"「賞与額等」","")&amp;IF(AND(K1239=FALSE,OR(L1239=FALSE,M1239=FALSE)),",","")&amp;IF(L1239=FALSE,"「残業手当」","")&amp;IF(AND(L1239=FALSE,M1239=FALSE),",","")&amp;IF(M1239=FALSE,"「残業時間」","")&amp;IF(OR(J1239=FALSE,K1239=FALSE,L1239=FALSE,M1239=FALSE),入力リスト!$K$36,"")&amp;IF(N1239,"",入力リスト!$K$37)))</f>
        <v/>
      </c>
      <c r="H1239" s="215"/>
      <c r="I1239" s="1" t="b">
        <f>IF(B1239="",FALSE,COUNTIF('従業員情報(給与以外)'!$A$4:$A$1000000,$B1239)=0)</f>
        <v>0</v>
      </c>
      <c r="J1239" s="8" t="b">
        <f t="shared" si="95"/>
        <v>1</v>
      </c>
      <c r="K1239" s="8" t="b">
        <f t="shared" si="96"/>
        <v>1</v>
      </c>
      <c r="L1239" s="8" t="b">
        <f t="shared" si="97"/>
        <v>1</v>
      </c>
      <c r="M1239" s="8" t="b">
        <f t="shared" si="98"/>
        <v>1</v>
      </c>
      <c r="N1239" s="1" t="b">
        <f t="shared" si="99"/>
        <v>1</v>
      </c>
      <c r="O1239" s="8" t="str">
        <f>IF(F1239="","",IF($F$2=入力リスト!$H$25,ROUNDDOWN(INT(F1239)+ROUNDDOWN((F1239-INT(F1239))*100,0)/60,2),F1239))</f>
        <v/>
      </c>
      <c r="P1239" s="7"/>
      <c r="Q1239" s="7"/>
    </row>
    <row r="1240" spans="1:17">
      <c r="A1240" s="105"/>
      <c r="B1240" s="2"/>
      <c r="C1240" s="3"/>
      <c r="D1240" s="3"/>
      <c r="E1240" s="3"/>
      <c r="F1240" s="8"/>
      <c r="G1240" s="215" t="str">
        <f>IF(AND($B1240="",OR(B1240&lt;&gt;"",C1240&lt;&gt;"",D1240&lt;&gt;"",E1240&lt;&gt;"",F1240&lt;&gt;"")),入力リスト!$K$34,IF($I1240=TRUE,入力リスト!$K$35,IF(J1240=FALSE,"「毎月の固定給与額」","")&amp;IF(AND(J1240=FALSE,OR(K1240=FALSE,L1240=FALSE,M1240=FALSE)),",","")&amp;IF(K1240=FALSE,"「賞与額等」","")&amp;IF(AND(K1240=FALSE,OR(L1240=FALSE,M1240=FALSE)),",","")&amp;IF(L1240=FALSE,"「残業手当」","")&amp;IF(AND(L1240=FALSE,M1240=FALSE),",","")&amp;IF(M1240=FALSE,"「残業時間」","")&amp;IF(OR(J1240=FALSE,K1240=FALSE,L1240=FALSE,M1240=FALSE),入力リスト!$K$36,"")&amp;IF(N1240,"",入力リスト!$K$37)))</f>
        <v/>
      </c>
      <c r="H1240" s="215"/>
      <c r="I1240" s="1" t="b">
        <f>IF(B1240="",FALSE,COUNTIF('従業員情報(給与以外)'!$A$4:$A$1000000,$B1240)=0)</f>
        <v>0</v>
      </c>
      <c r="J1240" s="8" t="b">
        <f t="shared" si="95"/>
        <v>1</v>
      </c>
      <c r="K1240" s="8" t="b">
        <f t="shared" si="96"/>
        <v>1</v>
      </c>
      <c r="L1240" s="8" t="b">
        <f t="shared" si="97"/>
        <v>1</v>
      </c>
      <c r="M1240" s="8" t="b">
        <f t="shared" si="98"/>
        <v>1</v>
      </c>
      <c r="N1240" s="1" t="b">
        <f t="shared" si="99"/>
        <v>1</v>
      </c>
      <c r="O1240" s="8" t="str">
        <f>IF(F1240="","",IF($F$2=入力リスト!$H$25,ROUNDDOWN(INT(F1240)+ROUNDDOWN((F1240-INT(F1240))*100,0)/60,2),F1240))</f>
        <v/>
      </c>
      <c r="P1240" s="7"/>
      <c r="Q1240" s="7"/>
    </row>
    <row r="1241" spans="1:17">
      <c r="A1241" s="105"/>
      <c r="B1241" s="2"/>
      <c r="C1241" s="3"/>
      <c r="D1241" s="3"/>
      <c r="E1241" s="3"/>
      <c r="F1241" s="8"/>
      <c r="G1241" s="215" t="str">
        <f>IF(AND($B1241="",OR(B1241&lt;&gt;"",C1241&lt;&gt;"",D1241&lt;&gt;"",E1241&lt;&gt;"",F1241&lt;&gt;"")),入力リスト!$K$34,IF($I1241=TRUE,入力リスト!$K$35,IF(J1241=FALSE,"「毎月の固定給与額」","")&amp;IF(AND(J1241=FALSE,OR(K1241=FALSE,L1241=FALSE,M1241=FALSE)),",","")&amp;IF(K1241=FALSE,"「賞与額等」","")&amp;IF(AND(K1241=FALSE,OR(L1241=FALSE,M1241=FALSE)),",","")&amp;IF(L1241=FALSE,"「残業手当」","")&amp;IF(AND(L1241=FALSE,M1241=FALSE),",","")&amp;IF(M1241=FALSE,"「残業時間」","")&amp;IF(OR(J1241=FALSE,K1241=FALSE,L1241=FALSE,M1241=FALSE),入力リスト!$K$36,"")&amp;IF(N1241,"",入力リスト!$K$37)))</f>
        <v/>
      </c>
      <c r="H1241" s="215"/>
      <c r="I1241" s="1" t="b">
        <f>IF(B1241="",FALSE,COUNTIF('従業員情報(給与以外)'!$A$4:$A$1000000,$B1241)=0)</f>
        <v>0</v>
      </c>
      <c r="J1241" s="8" t="b">
        <f t="shared" si="95"/>
        <v>1</v>
      </c>
      <c r="K1241" s="8" t="b">
        <f t="shared" si="96"/>
        <v>1</v>
      </c>
      <c r="L1241" s="8" t="b">
        <f t="shared" si="97"/>
        <v>1</v>
      </c>
      <c r="M1241" s="8" t="b">
        <f t="shared" si="98"/>
        <v>1</v>
      </c>
      <c r="N1241" s="1" t="b">
        <f t="shared" si="99"/>
        <v>1</v>
      </c>
      <c r="O1241" s="8" t="str">
        <f>IF(F1241="","",IF($F$2=入力リスト!$H$25,ROUNDDOWN(INT(F1241)+ROUNDDOWN((F1241-INT(F1241))*100,0)/60,2),F1241))</f>
        <v/>
      </c>
      <c r="P1241" s="7"/>
      <c r="Q1241" s="7"/>
    </row>
    <row r="1242" spans="1:17">
      <c r="A1242" s="105"/>
      <c r="B1242" s="2"/>
      <c r="C1242" s="3"/>
      <c r="D1242" s="3"/>
      <c r="E1242" s="3"/>
      <c r="F1242" s="8"/>
      <c r="G1242" s="215" t="str">
        <f>IF(AND($B1242="",OR(B1242&lt;&gt;"",C1242&lt;&gt;"",D1242&lt;&gt;"",E1242&lt;&gt;"",F1242&lt;&gt;"")),入力リスト!$K$34,IF($I1242=TRUE,入力リスト!$K$35,IF(J1242=FALSE,"「毎月の固定給与額」","")&amp;IF(AND(J1242=FALSE,OR(K1242=FALSE,L1242=FALSE,M1242=FALSE)),",","")&amp;IF(K1242=FALSE,"「賞与額等」","")&amp;IF(AND(K1242=FALSE,OR(L1242=FALSE,M1242=FALSE)),",","")&amp;IF(L1242=FALSE,"「残業手当」","")&amp;IF(AND(L1242=FALSE,M1242=FALSE),",","")&amp;IF(M1242=FALSE,"「残業時間」","")&amp;IF(OR(J1242=FALSE,K1242=FALSE,L1242=FALSE,M1242=FALSE),入力リスト!$K$36,"")&amp;IF(N1242,"",入力リスト!$K$37)))</f>
        <v/>
      </c>
      <c r="H1242" s="215"/>
      <c r="I1242" s="1" t="b">
        <f>IF(B1242="",FALSE,COUNTIF('従業員情報(給与以外)'!$A$4:$A$1000000,$B1242)=0)</f>
        <v>0</v>
      </c>
      <c r="J1242" s="8" t="b">
        <f t="shared" si="95"/>
        <v>1</v>
      </c>
      <c r="K1242" s="8" t="b">
        <f t="shared" si="96"/>
        <v>1</v>
      </c>
      <c r="L1242" s="8" t="b">
        <f t="shared" si="97"/>
        <v>1</v>
      </c>
      <c r="M1242" s="8" t="b">
        <f t="shared" si="98"/>
        <v>1</v>
      </c>
      <c r="N1242" s="1" t="b">
        <f t="shared" si="99"/>
        <v>1</v>
      </c>
      <c r="O1242" s="8" t="str">
        <f>IF(F1242="","",IF($F$2=入力リスト!$H$25,ROUNDDOWN(INT(F1242)+ROUNDDOWN((F1242-INT(F1242))*100,0)/60,2),F1242))</f>
        <v/>
      </c>
      <c r="P1242" s="7"/>
      <c r="Q1242" s="7"/>
    </row>
    <row r="1243" spans="1:17">
      <c r="A1243" s="105"/>
      <c r="B1243" s="2"/>
      <c r="C1243" s="3"/>
      <c r="D1243" s="3"/>
      <c r="E1243" s="3"/>
      <c r="F1243" s="8"/>
      <c r="G1243" s="215" t="str">
        <f>IF(AND($B1243="",OR(B1243&lt;&gt;"",C1243&lt;&gt;"",D1243&lt;&gt;"",E1243&lt;&gt;"",F1243&lt;&gt;"")),入力リスト!$K$34,IF($I1243=TRUE,入力リスト!$K$35,IF(J1243=FALSE,"「毎月の固定給与額」","")&amp;IF(AND(J1243=FALSE,OR(K1243=FALSE,L1243=FALSE,M1243=FALSE)),",","")&amp;IF(K1243=FALSE,"「賞与額等」","")&amp;IF(AND(K1243=FALSE,OR(L1243=FALSE,M1243=FALSE)),",","")&amp;IF(L1243=FALSE,"「残業手当」","")&amp;IF(AND(L1243=FALSE,M1243=FALSE),",","")&amp;IF(M1243=FALSE,"「残業時間」","")&amp;IF(OR(J1243=FALSE,K1243=FALSE,L1243=FALSE,M1243=FALSE),入力リスト!$K$36,"")&amp;IF(N1243,"",入力リスト!$K$37)))</f>
        <v/>
      </c>
      <c r="H1243" s="215"/>
      <c r="I1243" s="1" t="b">
        <f>IF(B1243="",FALSE,COUNTIF('従業員情報(給与以外)'!$A$4:$A$1000000,$B1243)=0)</f>
        <v>0</v>
      </c>
      <c r="J1243" s="8" t="b">
        <f t="shared" si="95"/>
        <v>1</v>
      </c>
      <c r="K1243" s="8" t="b">
        <f t="shared" si="96"/>
        <v>1</v>
      </c>
      <c r="L1243" s="8" t="b">
        <f t="shared" si="97"/>
        <v>1</v>
      </c>
      <c r="M1243" s="8" t="b">
        <f t="shared" si="98"/>
        <v>1</v>
      </c>
      <c r="N1243" s="1" t="b">
        <f t="shared" si="99"/>
        <v>1</v>
      </c>
      <c r="O1243" s="8" t="str">
        <f>IF(F1243="","",IF($F$2=入力リスト!$H$25,ROUNDDOWN(INT(F1243)+ROUNDDOWN((F1243-INT(F1243))*100,0)/60,2),F1243))</f>
        <v/>
      </c>
      <c r="P1243" s="7"/>
      <c r="Q1243" s="7"/>
    </row>
    <row r="1244" spans="1:17">
      <c r="A1244" s="105"/>
      <c r="B1244" s="2"/>
      <c r="C1244" s="3"/>
      <c r="D1244" s="3"/>
      <c r="E1244" s="3"/>
      <c r="F1244" s="8"/>
      <c r="G1244" s="215" t="str">
        <f>IF(AND($B1244="",OR(B1244&lt;&gt;"",C1244&lt;&gt;"",D1244&lt;&gt;"",E1244&lt;&gt;"",F1244&lt;&gt;"")),入力リスト!$K$34,IF($I1244=TRUE,入力リスト!$K$35,IF(J1244=FALSE,"「毎月の固定給与額」","")&amp;IF(AND(J1244=FALSE,OR(K1244=FALSE,L1244=FALSE,M1244=FALSE)),",","")&amp;IF(K1244=FALSE,"「賞与額等」","")&amp;IF(AND(K1244=FALSE,OR(L1244=FALSE,M1244=FALSE)),",","")&amp;IF(L1244=FALSE,"「残業手当」","")&amp;IF(AND(L1244=FALSE,M1244=FALSE),",","")&amp;IF(M1244=FALSE,"「残業時間」","")&amp;IF(OR(J1244=FALSE,K1244=FALSE,L1244=FALSE,M1244=FALSE),入力リスト!$K$36,"")&amp;IF(N1244,"",入力リスト!$K$37)))</f>
        <v/>
      </c>
      <c r="H1244" s="215"/>
      <c r="I1244" s="1" t="b">
        <f>IF(B1244="",FALSE,COUNTIF('従業員情報(給与以外)'!$A$4:$A$1000000,$B1244)=0)</f>
        <v>0</v>
      </c>
      <c r="J1244" s="8" t="b">
        <f t="shared" si="95"/>
        <v>1</v>
      </c>
      <c r="K1244" s="8" t="b">
        <f t="shared" si="96"/>
        <v>1</v>
      </c>
      <c r="L1244" s="8" t="b">
        <f t="shared" si="97"/>
        <v>1</v>
      </c>
      <c r="M1244" s="8" t="b">
        <f t="shared" si="98"/>
        <v>1</v>
      </c>
      <c r="N1244" s="1" t="b">
        <f t="shared" si="99"/>
        <v>1</v>
      </c>
      <c r="O1244" s="8" t="str">
        <f>IF(F1244="","",IF($F$2=入力リスト!$H$25,ROUNDDOWN(INT(F1244)+ROUNDDOWN((F1244-INT(F1244))*100,0)/60,2),F1244))</f>
        <v/>
      </c>
      <c r="P1244" s="7"/>
      <c r="Q1244" s="7"/>
    </row>
    <row r="1245" spans="1:17">
      <c r="A1245" s="105"/>
      <c r="B1245" s="2"/>
      <c r="C1245" s="3"/>
      <c r="D1245" s="3"/>
      <c r="E1245" s="3"/>
      <c r="F1245" s="8"/>
      <c r="G1245" s="215" t="str">
        <f>IF(AND($B1245="",OR(B1245&lt;&gt;"",C1245&lt;&gt;"",D1245&lt;&gt;"",E1245&lt;&gt;"",F1245&lt;&gt;"")),入力リスト!$K$34,IF($I1245=TRUE,入力リスト!$K$35,IF(J1245=FALSE,"「毎月の固定給与額」","")&amp;IF(AND(J1245=FALSE,OR(K1245=FALSE,L1245=FALSE,M1245=FALSE)),",","")&amp;IF(K1245=FALSE,"「賞与額等」","")&amp;IF(AND(K1245=FALSE,OR(L1245=FALSE,M1245=FALSE)),",","")&amp;IF(L1245=FALSE,"「残業手当」","")&amp;IF(AND(L1245=FALSE,M1245=FALSE),",","")&amp;IF(M1245=FALSE,"「残業時間」","")&amp;IF(OR(J1245=FALSE,K1245=FALSE,L1245=FALSE,M1245=FALSE),入力リスト!$K$36,"")&amp;IF(N1245,"",入力リスト!$K$37)))</f>
        <v/>
      </c>
      <c r="H1245" s="215"/>
      <c r="I1245" s="1" t="b">
        <f>IF(B1245="",FALSE,COUNTIF('従業員情報(給与以外)'!$A$4:$A$1000000,$B1245)=0)</f>
        <v>0</v>
      </c>
      <c r="J1245" s="8" t="b">
        <f t="shared" si="95"/>
        <v>1</v>
      </c>
      <c r="K1245" s="8" t="b">
        <f t="shared" si="96"/>
        <v>1</v>
      </c>
      <c r="L1245" s="8" t="b">
        <f t="shared" si="97"/>
        <v>1</v>
      </c>
      <c r="M1245" s="8" t="b">
        <f t="shared" si="98"/>
        <v>1</v>
      </c>
      <c r="N1245" s="1" t="b">
        <f t="shared" si="99"/>
        <v>1</v>
      </c>
      <c r="O1245" s="8" t="str">
        <f>IF(F1245="","",IF($F$2=入力リスト!$H$25,ROUNDDOWN(INT(F1245)+ROUNDDOWN((F1245-INT(F1245))*100,0)/60,2),F1245))</f>
        <v/>
      </c>
      <c r="P1245" s="7"/>
      <c r="Q1245" s="7"/>
    </row>
    <row r="1246" spans="1:17">
      <c r="A1246" s="105"/>
      <c r="B1246" s="2"/>
      <c r="C1246" s="3"/>
      <c r="D1246" s="3"/>
      <c r="E1246" s="3"/>
      <c r="F1246" s="8"/>
      <c r="G1246" s="215" t="str">
        <f>IF(AND($B1246="",OR(B1246&lt;&gt;"",C1246&lt;&gt;"",D1246&lt;&gt;"",E1246&lt;&gt;"",F1246&lt;&gt;"")),入力リスト!$K$34,IF($I1246=TRUE,入力リスト!$K$35,IF(J1246=FALSE,"「毎月の固定給与額」","")&amp;IF(AND(J1246=FALSE,OR(K1246=FALSE,L1246=FALSE,M1246=FALSE)),",","")&amp;IF(K1246=FALSE,"「賞与額等」","")&amp;IF(AND(K1246=FALSE,OR(L1246=FALSE,M1246=FALSE)),",","")&amp;IF(L1246=FALSE,"「残業手当」","")&amp;IF(AND(L1246=FALSE,M1246=FALSE),",","")&amp;IF(M1246=FALSE,"「残業時間」","")&amp;IF(OR(J1246=FALSE,K1246=FALSE,L1246=FALSE,M1246=FALSE),入力リスト!$K$36,"")&amp;IF(N1246,"",入力リスト!$K$37)))</f>
        <v/>
      </c>
      <c r="H1246" s="215"/>
      <c r="I1246" s="1" t="b">
        <f>IF(B1246="",FALSE,COUNTIF('従業員情報(給与以外)'!$A$4:$A$1000000,$B1246)=0)</f>
        <v>0</v>
      </c>
      <c r="J1246" s="8" t="b">
        <f t="shared" si="95"/>
        <v>1</v>
      </c>
      <c r="K1246" s="8" t="b">
        <f t="shared" si="96"/>
        <v>1</v>
      </c>
      <c r="L1246" s="8" t="b">
        <f t="shared" si="97"/>
        <v>1</v>
      </c>
      <c r="M1246" s="8" t="b">
        <f t="shared" si="98"/>
        <v>1</v>
      </c>
      <c r="N1246" s="1" t="b">
        <f t="shared" si="99"/>
        <v>1</v>
      </c>
      <c r="O1246" s="8" t="str">
        <f>IF(F1246="","",IF($F$2=入力リスト!$H$25,ROUNDDOWN(INT(F1246)+ROUNDDOWN((F1246-INT(F1246))*100,0)/60,2),F1246))</f>
        <v/>
      </c>
      <c r="P1246" s="7"/>
      <c r="Q1246" s="7"/>
    </row>
    <row r="1247" spans="1:17">
      <c r="A1247" s="105"/>
      <c r="B1247" s="2"/>
      <c r="C1247" s="3"/>
      <c r="D1247" s="3"/>
      <c r="E1247" s="3"/>
      <c r="F1247" s="8"/>
      <c r="G1247" s="215" t="str">
        <f>IF(AND($B1247="",OR(B1247&lt;&gt;"",C1247&lt;&gt;"",D1247&lt;&gt;"",E1247&lt;&gt;"",F1247&lt;&gt;"")),入力リスト!$K$34,IF($I1247=TRUE,入力リスト!$K$35,IF(J1247=FALSE,"「毎月の固定給与額」","")&amp;IF(AND(J1247=FALSE,OR(K1247=FALSE,L1247=FALSE,M1247=FALSE)),",","")&amp;IF(K1247=FALSE,"「賞与額等」","")&amp;IF(AND(K1247=FALSE,OR(L1247=FALSE,M1247=FALSE)),",","")&amp;IF(L1247=FALSE,"「残業手当」","")&amp;IF(AND(L1247=FALSE,M1247=FALSE),",","")&amp;IF(M1247=FALSE,"「残業時間」","")&amp;IF(OR(J1247=FALSE,K1247=FALSE,L1247=FALSE,M1247=FALSE),入力リスト!$K$36,"")&amp;IF(N1247,"",入力リスト!$K$37)))</f>
        <v/>
      </c>
      <c r="H1247" s="215"/>
      <c r="I1247" s="1" t="b">
        <f>IF(B1247="",FALSE,COUNTIF('従業員情報(給与以外)'!$A$4:$A$1000000,$B1247)=0)</f>
        <v>0</v>
      </c>
      <c r="J1247" s="8" t="b">
        <f t="shared" si="95"/>
        <v>1</v>
      </c>
      <c r="K1247" s="8" t="b">
        <f t="shared" si="96"/>
        <v>1</v>
      </c>
      <c r="L1247" s="8" t="b">
        <f t="shared" si="97"/>
        <v>1</v>
      </c>
      <c r="M1247" s="8" t="b">
        <f t="shared" si="98"/>
        <v>1</v>
      </c>
      <c r="N1247" s="1" t="b">
        <f t="shared" si="99"/>
        <v>1</v>
      </c>
      <c r="O1247" s="8" t="str">
        <f>IF(F1247="","",IF($F$2=入力リスト!$H$25,ROUNDDOWN(INT(F1247)+ROUNDDOWN((F1247-INT(F1247))*100,0)/60,2),F1247))</f>
        <v/>
      </c>
      <c r="P1247" s="7"/>
      <c r="Q1247" s="7"/>
    </row>
    <row r="1248" spans="1:17">
      <c r="A1248" s="105"/>
      <c r="B1248" s="2"/>
      <c r="C1248" s="3"/>
      <c r="D1248" s="3"/>
      <c r="E1248" s="3"/>
      <c r="F1248" s="8"/>
      <c r="G1248" s="215" t="str">
        <f>IF(AND($B1248="",OR(B1248&lt;&gt;"",C1248&lt;&gt;"",D1248&lt;&gt;"",E1248&lt;&gt;"",F1248&lt;&gt;"")),入力リスト!$K$34,IF($I1248=TRUE,入力リスト!$K$35,IF(J1248=FALSE,"「毎月の固定給与額」","")&amp;IF(AND(J1248=FALSE,OR(K1248=FALSE,L1248=FALSE,M1248=FALSE)),",","")&amp;IF(K1248=FALSE,"「賞与額等」","")&amp;IF(AND(K1248=FALSE,OR(L1248=FALSE,M1248=FALSE)),",","")&amp;IF(L1248=FALSE,"「残業手当」","")&amp;IF(AND(L1248=FALSE,M1248=FALSE),",","")&amp;IF(M1248=FALSE,"「残業時間」","")&amp;IF(OR(J1248=FALSE,K1248=FALSE,L1248=FALSE,M1248=FALSE),入力リスト!$K$36,"")&amp;IF(N1248,"",入力リスト!$K$37)))</f>
        <v/>
      </c>
      <c r="H1248" s="215"/>
      <c r="I1248" s="1" t="b">
        <f>IF(B1248="",FALSE,COUNTIF('従業員情報(給与以外)'!$A$4:$A$1000000,$B1248)=0)</f>
        <v>0</v>
      </c>
      <c r="J1248" s="8" t="b">
        <f t="shared" si="95"/>
        <v>1</v>
      </c>
      <c r="K1248" s="8" t="b">
        <f t="shared" si="96"/>
        <v>1</v>
      </c>
      <c r="L1248" s="8" t="b">
        <f t="shared" si="97"/>
        <v>1</v>
      </c>
      <c r="M1248" s="8" t="b">
        <f t="shared" si="98"/>
        <v>1</v>
      </c>
      <c r="N1248" s="1" t="b">
        <f t="shared" si="99"/>
        <v>1</v>
      </c>
      <c r="O1248" s="8" t="str">
        <f>IF(F1248="","",IF($F$2=入力リスト!$H$25,ROUNDDOWN(INT(F1248)+ROUNDDOWN((F1248-INT(F1248))*100,0)/60,2),F1248))</f>
        <v/>
      </c>
      <c r="P1248" s="7"/>
      <c r="Q1248" s="7"/>
    </row>
    <row r="1249" spans="1:17">
      <c r="A1249" s="105"/>
      <c r="B1249" s="2"/>
      <c r="C1249" s="3"/>
      <c r="D1249" s="3"/>
      <c r="E1249" s="3"/>
      <c r="F1249" s="8"/>
      <c r="G1249" s="215" t="str">
        <f>IF(AND($B1249="",OR(B1249&lt;&gt;"",C1249&lt;&gt;"",D1249&lt;&gt;"",E1249&lt;&gt;"",F1249&lt;&gt;"")),入力リスト!$K$34,IF($I1249=TRUE,入力リスト!$K$35,IF(J1249=FALSE,"「毎月の固定給与額」","")&amp;IF(AND(J1249=FALSE,OR(K1249=FALSE,L1249=FALSE,M1249=FALSE)),",","")&amp;IF(K1249=FALSE,"「賞与額等」","")&amp;IF(AND(K1249=FALSE,OR(L1249=FALSE,M1249=FALSE)),",","")&amp;IF(L1249=FALSE,"「残業手当」","")&amp;IF(AND(L1249=FALSE,M1249=FALSE),",","")&amp;IF(M1249=FALSE,"「残業時間」","")&amp;IF(OR(J1249=FALSE,K1249=FALSE,L1249=FALSE,M1249=FALSE),入力リスト!$K$36,"")&amp;IF(N1249,"",入力リスト!$K$37)))</f>
        <v/>
      </c>
      <c r="H1249" s="215"/>
      <c r="I1249" s="1" t="b">
        <f>IF(B1249="",FALSE,COUNTIF('従業員情報(給与以外)'!$A$4:$A$1000000,$B1249)=0)</f>
        <v>0</v>
      </c>
      <c r="J1249" s="8" t="b">
        <f t="shared" si="95"/>
        <v>1</v>
      </c>
      <c r="K1249" s="8" t="b">
        <f t="shared" si="96"/>
        <v>1</v>
      </c>
      <c r="L1249" s="8" t="b">
        <f t="shared" si="97"/>
        <v>1</v>
      </c>
      <c r="M1249" s="8" t="b">
        <f t="shared" si="98"/>
        <v>1</v>
      </c>
      <c r="N1249" s="1" t="b">
        <f t="shared" si="99"/>
        <v>1</v>
      </c>
      <c r="O1249" s="8" t="str">
        <f>IF(F1249="","",IF($F$2=入力リスト!$H$25,ROUNDDOWN(INT(F1249)+ROUNDDOWN((F1249-INT(F1249))*100,0)/60,2),F1249))</f>
        <v/>
      </c>
      <c r="P1249" s="7"/>
      <c r="Q1249" s="7"/>
    </row>
    <row r="1250" spans="1:17">
      <c r="A1250" s="105"/>
      <c r="B1250" s="2"/>
      <c r="C1250" s="3"/>
      <c r="D1250" s="3"/>
      <c r="E1250" s="3"/>
      <c r="F1250" s="8"/>
      <c r="G1250" s="215" t="str">
        <f>IF(AND($B1250="",OR(B1250&lt;&gt;"",C1250&lt;&gt;"",D1250&lt;&gt;"",E1250&lt;&gt;"",F1250&lt;&gt;"")),入力リスト!$K$34,IF($I1250=TRUE,入力リスト!$K$35,IF(J1250=FALSE,"「毎月の固定給与額」","")&amp;IF(AND(J1250=FALSE,OR(K1250=FALSE,L1250=FALSE,M1250=FALSE)),",","")&amp;IF(K1250=FALSE,"「賞与額等」","")&amp;IF(AND(K1250=FALSE,OR(L1250=FALSE,M1250=FALSE)),",","")&amp;IF(L1250=FALSE,"「残業手当」","")&amp;IF(AND(L1250=FALSE,M1250=FALSE),",","")&amp;IF(M1250=FALSE,"「残業時間」","")&amp;IF(OR(J1250=FALSE,K1250=FALSE,L1250=FALSE,M1250=FALSE),入力リスト!$K$36,"")&amp;IF(N1250,"",入力リスト!$K$37)))</f>
        <v/>
      </c>
      <c r="H1250" s="215"/>
      <c r="I1250" s="1" t="b">
        <f>IF(B1250="",FALSE,COUNTIF('従業員情報(給与以外)'!$A$4:$A$1000000,$B1250)=0)</f>
        <v>0</v>
      </c>
      <c r="J1250" s="8" t="b">
        <f t="shared" si="95"/>
        <v>1</v>
      </c>
      <c r="K1250" s="8" t="b">
        <f t="shared" si="96"/>
        <v>1</v>
      </c>
      <c r="L1250" s="8" t="b">
        <f t="shared" si="97"/>
        <v>1</v>
      </c>
      <c r="M1250" s="8" t="b">
        <f t="shared" si="98"/>
        <v>1</v>
      </c>
      <c r="N1250" s="1" t="b">
        <f t="shared" si="99"/>
        <v>1</v>
      </c>
      <c r="O1250" s="8" t="str">
        <f>IF(F1250="","",IF($F$2=入力リスト!$H$25,ROUNDDOWN(INT(F1250)+ROUNDDOWN((F1250-INT(F1250))*100,0)/60,2),F1250))</f>
        <v/>
      </c>
      <c r="P1250" s="7"/>
      <c r="Q1250" s="7"/>
    </row>
    <row r="1251" spans="1:17">
      <c r="A1251" s="105"/>
      <c r="B1251" s="2"/>
      <c r="C1251" s="3"/>
      <c r="D1251" s="3"/>
      <c r="E1251" s="3"/>
      <c r="F1251" s="8"/>
      <c r="G1251" s="215" t="str">
        <f>IF(AND($B1251="",OR(B1251&lt;&gt;"",C1251&lt;&gt;"",D1251&lt;&gt;"",E1251&lt;&gt;"",F1251&lt;&gt;"")),入力リスト!$K$34,IF($I1251=TRUE,入力リスト!$K$35,IF(J1251=FALSE,"「毎月の固定給与額」","")&amp;IF(AND(J1251=FALSE,OR(K1251=FALSE,L1251=FALSE,M1251=FALSE)),",","")&amp;IF(K1251=FALSE,"「賞与額等」","")&amp;IF(AND(K1251=FALSE,OR(L1251=FALSE,M1251=FALSE)),",","")&amp;IF(L1251=FALSE,"「残業手当」","")&amp;IF(AND(L1251=FALSE,M1251=FALSE),",","")&amp;IF(M1251=FALSE,"「残業時間」","")&amp;IF(OR(J1251=FALSE,K1251=FALSE,L1251=FALSE,M1251=FALSE),入力リスト!$K$36,"")&amp;IF(N1251,"",入力リスト!$K$37)))</f>
        <v/>
      </c>
      <c r="H1251" s="215"/>
      <c r="I1251" s="1" t="b">
        <f>IF(B1251="",FALSE,COUNTIF('従業員情報(給与以外)'!$A$4:$A$1000000,$B1251)=0)</f>
        <v>0</v>
      </c>
      <c r="J1251" s="8" t="b">
        <f t="shared" si="95"/>
        <v>1</v>
      </c>
      <c r="K1251" s="8" t="b">
        <f t="shared" si="96"/>
        <v>1</v>
      </c>
      <c r="L1251" s="8" t="b">
        <f t="shared" si="97"/>
        <v>1</v>
      </c>
      <c r="M1251" s="8" t="b">
        <f t="shared" si="98"/>
        <v>1</v>
      </c>
      <c r="N1251" s="1" t="b">
        <f t="shared" si="99"/>
        <v>1</v>
      </c>
      <c r="O1251" s="8" t="str">
        <f>IF(F1251="","",IF($F$2=入力リスト!$H$25,ROUNDDOWN(INT(F1251)+ROUNDDOWN((F1251-INT(F1251))*100,0)/60,2),F1251))</f>
        <v/>
      </c>
      <c r="P1251" s="7"/>
      <c r="Q1251" s="7"/>
    </row>
    <row r="1252" spans="1:17">
      <c r="A1252" s="105"/>
      <c r="B1252" s="2"/>
      <c r="C1252" s="3"/>
      <c r="D1252" s="3"/>
      <c r="E1252" s="3"/>
      <c r="F1252" s="8"/>
      <c r="G1252" s="215" t="str">
        <f>IF(AND($B1252="",OR(B1252&lt;&gt;"",C1252&lt;&gt;"",D1252&lt;&gt;"",E1252&lt;&gt;"",F1252&lt;&gt;"")),入力リスト!$K$34,IF($I1252=TRUE,入力リスト!$K$35,IF(J1252=FALSE,"「毎月の固定給与額」","")&amp;IF(AND(J1252=FALSE,OR(K1252=FALSE,L1252=FALSE,M1252=FALSE)),",","")&amp;IF(K1252=FALSE,"「賞与額等」","")&amp;IF(AND(K1252=FALSE,OR(L1252=FALSE,M1252=FALSE)),",","")&amp;IF(L1252=FALSE,"「残業手当」","")&amp;IF(AND(L1252=FALSE,M1252=FALSE),",","")&amp;IF(M1252=FALSE,"「残業時間」","")&amp;IF(OR(J1252=FALSE,K1252=FALSE,L1252=FALSE,M1252=FALSE),入力リスト!$K$36,"")&amp;IF(N1252,"",入力リスト!$K$37)))</f>
        <v/>
      </c>
      <c r="H1252" s="215"/>
      <c r="I1252" s="1" t="b">
        <f>IF(B1252="",FALSE,COUNTIF('従業員情報(給与以外)'!$A$4:$A$1000000,$B1252)=0)</f>
        <v>0</v>
      </c>
      <c r="J1252" s="8" t="b">
        <f t="shared" si="95"/>
        <v>1</v>
      </c>
      <c r="K1252" s="8" t="b">
        <f t="shared" si="96"/>
        <v>1</v>
      </c>
      <c r="L1252" s="8" t="b">
        <f t="shared" si="97"/>
        <v>1</v>
      </c>
      <c r="M1252" s="8" t="b">
        <f t="shared" si="98"/>
        <v>1</v>
      </c>
      <c r="N1252" s="1" t="b">
        <f t="shared" si="99"/>
        <v>1</v>
      </c>
      <c r="O1252" s="8" t="str">
        <f>IF(F1252="","",IF($F$2=入力リスト!$H$25,ROUNDDOWN(INT(F1252)+ROUNDDOWN((F1252-INT(F1252))*100,0)/60,2),F1252))</f>
        <v/>
      </c>
      <c r="P1252" s="7"/>
      <c r="Q1252" s="7"/>
    </row>
    <row r="1253" spans="1:17">
      <c r="A1253" s="105"/>
      <c r="B1253" s="2"/>
      <c r="C1253" s="3"/>
      <c r="D1253" s="3"/>
      <c r="E1253" s="3"/>
      <c r="F1253" s="8"/>
      <c r="G1253" s="215" t="str">
        <f>IF(AND($B1253="",OR(B1253&lt;&gt;"",C1253&lt;&gt;"",D1253&lt;&gt;"",E1253&lt;&gt;"",F1253&lt;&gt;"")),入力リスト!$K$34,IF($I1253=TRUE,入力リスト!$K$35,IF(J1253=FALSE,"「毎月の固定給与額」","")&amp;IF(AND(J1253=FALSE,OR(K1253=FALSE,L1253=FALSE,M1253=FALSE)),",","")&amp;IF(K1253=FALSE,"「賞与額等」","")&amp;IF(AND(K1253=FALSE,OR(L1253=FALSE,M1253=FALSE)),",","")&amp;IF(L1253=FALSE,"「残業手当」","")&amp;IF(AND(L1253=FALSE,M1253=FALSE),",","")&amp;IF(M1253=FALSE,"「残業時間」","")&amp;IF(OR(J1253=FALSE,K1253=FALSE,L1253=FALSE,M1253=FALSE),入力リスト!$K$36,"")&amp;IF(N1253,"",入力リスト!$K$37)))</f>
        <v/>
      </c>
      <c r="H1253" s="215"/>
      <c r="I1253" s="1" t="b">
        <f>IF(B1253="",FALSE,COUNTIF('従業員情報(給与以外)'!$A$4:$A$1000000,$B1253)=0)</f>
        <v>0</v>
      </c>
      <c r="J1253" s="8" t="b">
        <f t="shared" si="95"/>
        <v>1</v>
      </c>
      <c r="K1253" s="8" t="b">
        <f t="shared" si="96"/>
        <v>1</v>
      </c>
      <c r="L1253" s="8" t="b">
        <f t="shared" si="97"/>
        <v>1</v>
      </c>
      <c r="M1253" s="8" t="b">
        <f t="shared" si="98"/>
        <v>1</v>
      </c>
      <c r="N1253" s="1" t="b">
        <f t="shared" si="99"/>
        <v>1</v>
      </c>
      <c r="O1253" s="8" t="str">
        <f>IF(F1253="","",IF($F$2=入力リスト!$H$25,ROUNDDOWN(INT(F1253)+ROUNDDOWN((F1253-INT(F1253))*100,0)/60,2),F1253))</f>
        <v/>
      </c>
      <c r="P1253" s="7"/>
      <c r="Q1253" s="7"/>
    </row>
    <row r="1254" spans="1:17">
      <c r="A1254" s="105"/>
      <c r="B1254" s="2"/>
      <c r="C1254" s="3"/>
      <c r="D1254" s="3"/>
      <c r="E1254" s="3"/>
      <c r="F1254" s="8"/>
      <c r="G1254" s="215" t="str">
        <f>IF(AND($B1254="",OR(B1254&lt;&gt;"",C1254&lt;&gt;"",D1254&lt;&gt;"",E1254&lt;&gt;"",F1254&lt;&gt;"")),入力リスト!$K$34,IF($I1254=TRUE,入力リスト!$K$35,IF(J1254=FALSE,"「毎月の固定給与額」","")&amp;IF(AND(J1254=FALSE,OR(K1254=FALSE,L1254=FALSE,M1254=FALSE)),",","")&amp;IF(K1254=FALSE,"「賞与額等」","")&amp;IF(AND(K1254=FALSE,OR(L1254=FALSE,M1254=FALSE)),",","")&amp;IF(L1254=FALSE,"「残業手当」","")&amp;IF(AND(L1254=FALSE,M1254=FALSE),",","")&amp;IF(M1254=FALSE,"「残業時間」","")&amp;IF(OR(J1254=FALSE,K1254=FALSE,L1254=FALSE,M1254=FALSE),入力リスト!$K$36,"")&amp;IF(N1254,"",入力リスト!$K$37)))</f>
        <v/>
      </c>
      <c r="H1254" s="215"/>
      <c r="I1254" s="1" t="b">
        <f>IF(B1254="",FALSE,COUNTIF('従業員情報(給与以外)'!$A$4:$A$1000000,$B1254)=0)</f>
        <v>0</v>
      </c>
      <c r="J1254" s="8" t="b">
        <f t="shared" si="95"/>
        <v>1</v>
      </c>
      <c r="K1254" s="8" t="b">
        <f t="shared" si="96"/>
        <v>1</v>
      </c>
      <c r="L1254" s="8" t="b">
        <f t="shared" si="97"/>
        <v>1</v>
      </c>
      <c r="M1254" s="8" t="b">
        <f t="shared" si="98"/>
        <v>1</v>
      </c>
      <c r="N1254" s="1" t="b">
        <f t="shared" si="99"/>
        <v>1</v>
      </c>
      <c r="O1254" s="8" t="str">
        <f>IF(F1254="","",IF($F$2=入力リスト!$H$25,ROUNDDOWN(INT(F1254)+ROUNDDOWN((F1254-INT(F1254))*100,0)/60,2),F1254))</f>
        <v/>
      </c>
      <c r="P1254" s="7"/>
      <c r="Q1254" s="7"/>
    </row>
    <row r="1255" spans="1:17">
      <c r="A1255" s="105"/>
      <c r="B1255" s="2"/>
      <c r="C1255" s="3"/>
      <c r="D1255" s="3"/>
      <c r="E1255" s="3"/>
      <c r="F1255" s="8"/>
      <c r="G1255" s="215" t="str">
        <f>IF(AND($B1255="",OR(B1255&lt;&gt;"",C1255&lt;&gt;"",D1255&lt;&gt;"",E1255&lt;&gt;"",F1255&lt;&gt;"")),入力リスト!$K$34,IF($I1255=TRUE,入力リスト!$K$35,IF(J1255=FALSE,"「毎月の固定給与額」","")&amp;IF(AND(J1255=FALSE,OR(K1255=FALSE,L1255=FALSE,M1255=FALSE)),",","")&amp;IF(K1255=FALSE,"「賞与額等」","")&amp;IF(AND(K1255=FALSE,OR(L1255=FALSE,M1255=FALSE)),",","")&amp;IF(L1255=FALSE,"「残業手当」","")&amp;IF(AND(L1255=FALSE,M1255=FALSE),",","")&amp;IF(M1255=FALSE,"「残業時間」","")&amp;IF(OR(J1255=FALSE,K1255=FALSE,L1255=FALSE,M1255=FALSE),入力リスト!$K$36,"")&amp;IF(N1255,"",入力リスト!$K$37)))</f>
        <v/>
      </c>
      <c r="H1255" s="215"/>
      <c r="I1255" s="1" t="b">
        <f>IF(B1255="",FALSE,COUNTIF('従業員情報(給与以外)'!$A$4:$A$1000000,$B1255)=0)</f>
        <v>0</v>
      </c>
      <c r="J1255" s="8" t="b">
        <f t="shared" si="95"/>
        <v>1</v>
      </c>
      <c r="K1255" s="8" t="b">
        <f t="shared" si="96"/>
        <v>1</v>
      </c>
      <c r="L1255" s="8" t="b">
        <f t="shared" si="97"/>
        <v>1</v>
      </c>
      <c r="M1255" s="8" t="b">
        <f t="shared" si="98"/>
        <v>1</v>
      </c>
      <c r="N1255" s="1" t="b">
        <f t="shared" si="99"/>
        <v>1</v>
      </c>
      <c r="O1255" s="8" t="str">
        <f>IF(F1255="","",IF($F$2=入力リスト!$H$25,ROUNDDOWN(INT(F1255)+ROUNDDOWN((F1255-INT(F1255))*100,0)/60,2),F1255))</f>
        <v/>
      </c>
      <c r="P1255" s="7"/>
      <c r="Q1255" s="7"/>
    </row>
    <row r="1256" spans="1:17">
      <c r="A1256" s="105"/>
      <c r="B1256" s="2"/>
      <c r="C1256" s="3"/>
      <c r="D1256" s="3"/>
      <c r="E1256" s="3"/>
      <c r="F1256" s="8"/>
      <c r="G1256" s="215" t="str">
        <f>IF(AND($B1256="",OR(B1256&lt;&gt;"",C1256&lt;&gt;"",D1256&lt;&gt;"",E1256&lt;&gt;"",F1256&lt;&gt;"")),入力リスト!$K$34,IF($I1256=TRUE,入力リスト!$K$35,IF(J1256=FALSE,"「毎月の固定給与額」","")&amp;IF(AND(J1256=FALSE,OR(K1256=FALSE,L1256=FALSE,M1256=FALSE)),",","")&amp;IF(K1256=FALSE,"「賞与額等」","")&amp;IF(AND(K1256=FALSE,OR(L1256=FALSE,M1256=FALSE)),",","")&amp;IF(L1256=FALSE,"「残業手当」","")&amp;IF(AND(L1256=FALSE,M1256=FALSE),",","")&amp;IF(M1256=FALSE,"「残業時間」","")&amp;IF(OR(J1256=FALSE,K1256=FALSE,L1256=FALSE,M1256=FALSE),入力リスト!$K$36,"")&amp;IF(N1256,"",入力リスト!$K$37)))</f>
        <v/>
      </c>
      <c r="H1256" s="215"/>
      <c r="I1256" s="1" t="b">
        <f>IF(B1256="",FALSE,COUNTIF('従業員情報(給与以外)'!$A$4:$A$1000000,$B1256)=0)</f>
        <v>0</v>
      </c>
      <c r="J1256" s="8" t="b">
        <f t="shared" si="95"/>
        <v>1</v>
      </c>
      <c r="K1256" s="8" t="b">
        <f t="shared" si="96"/>
        <v>1</v>
      </c>
      <c r="L1256" s="8" t="b">
        <f t="shared" si="97"/>
        <v>1</v>
      </c>
      <c r="M1256" s="8" t="b">
        <f t="shared" si="98"/>
        <v>1</v>
      </c>
      <c r="N1256" s="1" t="b">
        <f t="shared" si="99"/>
        <v>1</v>
      </c>
      <c r="O1256" s="8" t="str">
        <f>IF(F1256="","",IF($F$2=入力リスト!$H$25,ROUNDDOWN(INT(F1256)+ROUNDDOWN((F1256-INT(F1256))*100,0)/60,2),F1256))</f>
        <v/>
      </c>
      <c r="P1256" s="7"/>
      <c r="Q1256" s="7"/>
    </row>
    <row r="1257" spans="1:17">
      <c r="A1257" s="105"/>
      <c r="B1257" s="2"/>
      <c r="C1257" s="3"/>
      <c r="D1257" s="3"/>
      <c r="E1257" s="3"/>
      <c r="F1257" s="8"/>
      <c r="G1257" s="215" t="str">
        <f>IF(AND($B1257="",OR(B1257&lt;&gt;"",C1257&lt;&gt;"",D1257&lt;&gt;"",E1257&lt;&gt;"",F1257&lt;&gt;"")),入力リスト!$K$34,IF($I1257=TRUE,入力リスト!$K$35,IF(J1257=FALSE,"「毎月の固定給与額」","")&amp;IF(AND(J1257=FALSE,OR(K1257=FALSE,L1257=FALSE,M1257=FALSE)),",","")&amp;IF(K1257=FALSE,"「賞与額等」","")&amp;IF(AND(K1257=FALSE,OR(L1257=FALSE,M1257=FALSE)),",","")&amp;IF(L1257=FALSE,"「残業手当」","")&amp;IF(AND(L1257=FALSE,M1257=FALSE),",","")&amp;IF(M1257=FALSE,"「残業時間」","")&amp;IF(OR(J1257=FALSE,K1257=FALSE,L1257=FALSE,M1257=FALSE),入力リスト!$K$36,"")&amp;IF(N1257,"",入力リスト!$K$37)))</f>
        <v/>
      </c>
      <c r="H1257" s="215"/>
      <c r="I1257" s="1" t="b">
        <f>IF(B1257="",FALSE,COUNTIF('従業員情報(給与以外)'!$A$4:$A$1000000,$B1257)=0)</f>
        <v>0</v>
      </c>
      <c r="J1257" s="8" t="b">
        <f t="shared" si="95"/>
        <v>1</v>
      </c>
      <c r="K1257" s="8" t="b">
        <f t="shared" si="96"/>
        <v>1</v>
      </c>
      <c r="L1257" s="8" t="b">
        <f t="shared" si="97"/>
        <v>1</v>
      </c>
      <c r="M1257" s="8" t="b">
        <f t="shared" si="98"/>
        <v>1</v>
      </c>
      <c r="N1257" s="1" t="b">
        <f t="shared" si="99"/>
        <v>1</v>
      </c>
      <c r="O1257" s="8" t="str">
        <f>IF(F1257="","",IF($F$2=入力リスト!$H$25,ROUNDDOWN(INT(F1257)+ROUNDDOWN((F1257-INT(F1257))*100,0)/60,2),F1257))</f>
        <v/>
      </c>
      <c r="P1257" s="7"/>
      <c r="Q1257" s="7"/>
    </row>
    <row r="1258" spans="1:17">
      <c r="A1258" s="105"/>
      <c r="B1258" s="2"/>
      <c r="C1258" s="3"/>
      <c r="D1258" s="3"/>
      <c r="E1258" s="3"/>
      <c r="F1258" s="8"/>
      <c r="G1258" s="215" t="str">
        <f>IF(AND($B1258="",OR(B1258&lt;&gt;"",C1258&lt;&gt;"",D1258&lt;&gt;"",E1258&lt;&gt;"",F1258&lt;&gt;"")),入力リスト!$K$34,IF($I1258=TRUE,入力リスト!$K$35,IF(J1258=FALSE,"「毎月の固定給与額」","")&amp;IF(AND(J1258=FALSE,OR(K1258=FALSE,L1258=FALSE,M1258=FALSE)),",","")&amp;IF(K1258=FALSE,"「賞与額等」","")&amp;IF(AND(K1258=FALSE,OR(L1258=FALSE,M1258=FALSE)),",","")&amp;IF(L1258=FALSE,"「残業手当」","")&amp;IF(AND(L1258=FALSE,M1258=FALSE),",","")&amp;IF(M1258=FALSE,"「残業時間」","")&amp;IF(OR(J1258=FALSE,K1258=FALSE,L1258=FALSE,M1258=FALSE),入力リスト!$K$36,"")&amp;IF(N1258,"",入力リスト!$K$37)))</f>
        <v/>
      </c>
      <c r="H1258" s="215"/>
      <c r="I1258" s="1" t="b">
        <f>IF(B1258="",FALSE,COUNTIF('従業員情報(給与以外)'!$A$4:$A$1000000,$B1258)=0)</f>
        <v>0</v>
      </c>
      <c r="J1258" s="8" t="b">
        <f t="shared" si="95"/>
        <v>1</v>
      </c>
      <c r="K1258" s="8" t="b">
        <f t="shared" si="96"/>
        <v>1</v>
      </c>
      <c r="L1258" s="8" t="b">
        <f t="shared" si="97"/>
        <v>1</v>
      </c>
      <c r="M1258" s="8" t="b">
        <f t="shared" si="98"/>
        <v>1</v>
      </c>
      <c r="N1258" s="1" t="b">
        <f t="shared" si="99"/>
        <v>1</v>
      </c>
      <c r="O1258" s="8" t="str">
        <f>IF(F1258="","",IF($F$2=入力リスト!$H$25,ROUNDDOWN(INT(F1258)+ROUNDDOWN((F1258-INT(F1258))*100,0)/60,2),F1258))</f>
        <v/>
      </c>
      <c r="P1258" s="7"/>
      <c r="Q1258" s="7"/>
    </row>
    <row r="1259" spans="1:17">
      <c r="A1259" s="105"/>
      <c r="B1259" s="2"/>
      <c r="C1259" s="3"/>
      <c r="D1259" s="3"/>
      <c r="E1259" s="3"/>
      <c r="F1259" s="8"/>
      <c r="G1259" s="215" t="str">
        <f>IF(AND($B1259="",OR(B1259&lt;&gt;"",C1259&lt;&gt;"",D1259&lt;&gt;"",E1259&lt;&gt;"",F1259&lt;&gt;"")),入力リスト!$K$34,IF($I1259=TRUE,入力リスト!$K$35,IF(J1259=FALSE,"「毎月の固定給与額」","")&amp;IF(AND(J1259=FALSE,OR(K1259=FALSE,L1259=FALSE,M1259=FALSE)),",","")&amp;IF(K1259=FALSE,"「賞与額等」","")&amp;IF(AND(K1259=FALSE,OR(L1259=FALSE,M1259=FALSE)),",","")&amp;IF(L1259=FALSE,"「残業手当」","")&amp;IF(AND(L1259=FALSE,M1259=FALSE),",","")&amp;IF(M1259=FALSE,"「残業時間」","")&amp;IF(OR(J1259=FALSE,K1259=FALSE,L1259=FALSE,M1259=FALSE),入力リスト!$K$36,"")&amp;IF(N1259,"",入力リスト!$K$37)))</f>
        <v/>
      </c>
      <c r="H1259" s="215"/>
      <c r="I1259" s="1" t="b">
        <f>IF(B1259="",FALSE,COUNTIF('従業員情報(給与以外)'!$A$4:$A$1000000,$B1259)=0)</f>
        <v>0</v>
      </c>
      <c r="J1259" s="8" t="b">
        <f t="shared" si="95"/>
        <v>1</v>
      </c>
      <c r="K1259" s="8" t="b">
        <f t="shared" si="96"/>
        <v>1</v>
      </c>
      <c r="L1259" s="8" t="b">
        <f t="shared" si="97"/>
        <v>1</v>
      </c>
      <c r="M1259" s="8" t="b">
        <f t="shared" si="98"/>
        <v>1</v>
      </c>
      <c r="N1259" s="1" t="b">
        <f t="shared" si="99"/>
        <v>1</v>
      </c>
      <c r="O1259" s="8" t="str">
        <f>IF(F1259="","",IF($F$2=入力リスト!$H$25,ROUNDDOWN(INT(F1259)+ROUNDDOWN((F1259-INT(F1259))*100,0)/60,2),F1259))</f>
        <v/>
      </c>
      <c r="P1259" s="7"/>
      <c r="Q1259" s="7"/>
    </row>
    <row r="1260" spans="1:17">
      <c r="A1260" s="105"/>
      <c r="B1260" s="2"/>
      <c r="C1260" s="3"/>
      <c r="D1260" s="3"/>
      <c r="E1260" s="3"/>
      <c r="F1260" s="8"/>
      <c r="G1260" s="215" t="str">
        <f>IF(AND($B1260="",OR(B1260&lt;&gt;"",C1260&lt;&gt;"",D1260&lt;&gt;"",E1260&lt;&gt;"",F1260&lt;&gt;"")),入力リスト!$K$34,IF($I1260=TRUE,入力リスト!$K$35,IF(J1260=FALSE,"「毎月の固定給与額」","")&amp;IF(AND(J1260=FALSE,OR(K1260=FALSE,L1260=FALSE,M1260=FALSE)),",","")&amp;IF(K1260=FALSE,"「賞与額等」","")&amp;IF(AND(K1260=FALSE,OR(L1260=FALSE,M1260=FALSE)),",","")&amp;IF(L1260=FALSE,"「残業手当」","")&amp;IF(AND(L1260=FALSE,M1260=FALSE),",","")&amp;IF(M1260=FALSE,"「残業時間」","")&amp;IF(OR(J1260=FALSE,K1260=FALSE,L1260=FALSE,M1260=FALSE),入力リスト!$K$36,"")&amp;IF(N1260,"",入力リスト!$K$37)))</f>
        <v/>
      </c>
      <c r="H1260" s="215"/>
      <c r="I1260" s="1" t="b">
        <f>IF(B1260="",FALSE,COUNTIF('従業員情報(給与以外)'!$A$4:$A$1000000,$B1260)=0)</f>
        <v>0</v>
      </c>
      <c r="J1260" s="8" t="b">
        <f t="shared" si="95"/>
        <v>1</v>
      </c>
      <c r="K1260" s="8" t="b">
        <f t="shared" si="96"/>
        <v>1</v>
      </c>
      <c r="L1260" s="8" t="b">
        <f t="shared" si="97"/>
        <v>1</v>
      </c>
      <c r="M1260" s="8" t="b">
        <f t="shared" si="98"/>
        <v>1</v>
      </c>
      <c r="N1260" s="1" t="b">
        <f t="shared" si="99"/>
        <v>1</v>
      </c>
      <c r="O1260" s="8" t="str">
        <f>IF(F1260="","",IF($F$2=入力リスト!$H$25,ROUNDDOWN(INT(F1260)+ROUNDDOWN((F1260-INT(F1260))*100,0)/60,2),F1260))</f>
        <v/>
      </c>
      <c r="P1260" s="7"/>
      <c r="Q1260" s="7"/>
    </row>
    <row r="1261" spans="1:17">
      <c r="A1261" s="105"/>
      <c r="B1261" s="2"/>
      <c r="C1261" s="3"/>
      <c r="D1261" s="3"/>
      <c r="E1261" s="3"/>
      <c r="F1261" s="8"/>
      <c r="G1261" s="215" t="str">
        <f>IF(AND($B1261="",OR(B1261&lt;&gt;"",C1261&lt;&gt;"",D1261&lt;&gt;"",E1261&lt;&gt;"",F1261&lt;&gt;"")),入力リスト!$K$34,IF($I1261=TRUE,入力リスト!$K$35,IF(J1261=FALSE,"「毎月の固定給与額」","")&amp;IF(AND(J1261=FALSE,OR(K1261=FALSE,L1261=FALSE,M1261=FALSE)),",","")&amp;IF(K1261=FALSE,"「賞与額等」","")&amp;IF(AND(K1261=FALSE,OR(L1261=FALSE,M1261=FALSE)),",","")&amp;IF(L1261=FALSE,"「残業手当」","")&amp;IF(AND(L1261=FALSE,M1261=FALSE),",","")&amp;IF(M1261=FALSE,"「残業時間」","")&amp;IF(OR(J1261=FALSE,K1261=FALSE,L1261=FALSE,M1261=FALSE),入力リスト!$K$36,"")&amp;IF(N1261,"",入力リスト!$K$37)))</f>
        <v/>
      </c>
      <c r="H1261" s="215"/>
      <c r="I1261" s="1" t="b">
        <f>IF(B1261="",FALSE,COUNTIF('従業員情報(給与以外)'!$A$4:$A$1000000,$B1261)=0)</f>
        <v>0</v>
      </c>
      <c r="J1261" s="8" t="b">
        <f t="shared" si="95"/>
        <v>1</v>
      </c>
      <c r="K1261" s="8" t="b">
        <f t="shared" si="96"/>
        <v>1</v>
      </c>
      <c r="L1261" s="8" t="b">
        <f t="shared" si="97"/>
        <v>1</v>
      </c>
      <c r="M1261" s="8" t="b">
        <f t="shared" si="98"/>
        <v>1</v>
      </c>
      <c r="N1261" s="1" t="b">
        <f t="shared" si="99"/>
        <v>1</v>
      </c>
      <c r="O1261" s="8" t="str">
        <f>IF(F1261="","",IF($F$2=入力リスト!$H$25,ROUNDDOWN(INT(F1261)+ROUNDDOWN((F1261-INT(F1261))*100,0)/60,2),F1261))</f>
        <v/>
      </c>
      <c r="P1261" s="7"/>
      <c r="Q1261" s="7"/>
    </row>
    <row r="1262" spans="1:17">
      <c r="A1262" s="105"/>
      <c r="B1262" s="2"/>
      <c r="C1262" s="3"/>
      <c r="D1262" s="3"/>
      <c r="E1262" s="3"/>
      <c r="F1262" s="8"/>
      <c r="G1262" s="215" t="str">
        <f>IF(AND($B1262="",OR(B1262&lt;&gt;"",C1262&lt;&gt;"",D1262&lt;&gt;"",E1262&lt;&gt;"",F1262&lt;&gt;"")),入力リスト!$K$34,IF($I1262=TRUE,入力リスト!$K$35,IF(J1262=FALSE,"「毎月の固定給与額」","")&amp;IF(AND(J1262=FALSE,OR(K1262=FALSE,L1262=FALSE,M1262=FALSE)),",","")&amp;IF(K1262=FALSE,"「賞与額等」","")&amp;IF(AND(K1262=FALSE,OR(L1262=FALSE,M1262=FALSE)),",","")&amp;IF(L1262=FALSE,"「残業手当」","")&amp;IF(AND(L1262=FALSE,M1262=FALSE),",","")&amp;IF(M1262=FALSE,"「残業時間」","")&amp;IF(OR(J1262=FALSE,K1262=FALSE,L1262=FALSE,M1262=FALSE),入力リスト!$K$36,"")&amp;IF(N1262,"",入力リスト!$K$37)))</f>
        <v/>
      </c>
      <c r="H1262" s="215"/>
      <c r="I1262" s="1" t="b">
        <f>IF(B1262="",FALSE,COUNTIF('従業員情報(給与以外)'!$A$4:$A$1000000,$B1262)=0)</f>
        <v>0</v>
      </c>
      <c r="J1262" s="8" t="b">
        <f t="shared" si="95"/>
        <v>1</v>
      </c>
      <c r="K1262" s="8" t="b">
        <f t="shared" si="96"/>
        <v>1</v>
      </c>
      <c r="L1262" s="8" t="b">
        <f t="shared" si="97"/>
        <v>1</v>
      </c>
      <c r="M1262" s="8" t="b">
        <f t="shared" si="98"/>
        <v>1</v>
      </c>
      <c r="N1262" s="1" t="b">
        <f t="shared" si="99"/>
        <v>1</v>
      </c>
      <c r="O1262" s="8" t="str">
        <f>IF(F1262="","",IF($F$2=入力リスト!$H$25,ROUNDDOWN(INT(F1262)+ROUNDDOWN((F1262-INT(F1262))*100,0)/60,2),F1262))</f>
        <v/>
      </c>
      <c r="P1262" s="7"/>
      <c r="Q1262" s="7"/>
    </row>
    <row r="1263" spans="1:17">
      <c r="A1263" s="105"/>
      <c r="B1263" s="2"/>
      <c r="C1263" s="3"/>
      <c r="D1263" s="3"/>
      <c r="E1263" s="3"/>
      <c r="F1263" s="8"/>
      <c r="G1263" s="215" t="str">
        <f>IF(AND($B1263="",OR(B1263&lt;&gt;"",C1263&lt;&gt;"",D1263&lt;&gt;"",E1263&lt;&gt;"",F1263&lt;&gt;"")),入力リスト!$K$34,IF($I1263=TRUE,入力リスト!$K$35,IF(J1263=FALSE,"「毎月の固定給与額」","")&amp;IF(AND(J1263=FALSE,OR(K1263=FALSE,L1263=FALSE,M1263=FALSE)),",","")&amp;IF(K1263=FALSE,"「賞与額等」","")&amp;IF(AND(K1263=FALSE,OR(L1263=FALSE,M1263=FALSE)),",","")&amp;IF(L1263=FALSE,"「残業手当」","")&amp;IF(AND(L1263=FALSE,M1263=FALSE),",","")&amp;IF(M1263=FALSE,"「残業時間」","")&amp;IF(OR(J1263=FALSE,K1263=FALSE,L1263=FALSE,M1263=FALSE),入力リスト!$K$36,"")&amp;IF(N1263,"",入力リスト!$K$37)))</f>
        <v/>
      </c>
      <c r="H1263" s="215"/>
      <c r="I1263" s="1" t="b">
        <f>IF(B1263="",FALSE,COUNTIF('従業員情報(給与以外)'!$A$4:$A$1000000,$B1263)=0)</f>
        <v>0</v>
      </c>
      <c r="J1263" s="8" t="b">
        <f t="shared" si="95"/>
        <v>1</v>
      </c>
      <c r="K1263" s="8" t="b">
        <f t="shared" si="96"/>
        <v>1</v>
      </c>
      <c r="L1263" s="8" t="b">
        <f t="shared" si="97"/>
        <v>1</v>
      </c>
      <c r="M1263" s="8" t="b">
        <f t="shared" si="98"/>
        <v>1</v>
      </c>
      <c r="N1263" s="1" t="b">
        <f t="shared" si="99"/>
        <v>1</v>
      </c>
      <c r="O1263" s="8" t="str">
        <f>IF(F1263="","",IF($F$2=入力リスト!$H$25,ROUNDDOWN(INT(F1263)+ROUNDDOWN((F1263-INT(F1263))*100,0)/60,2),F1263))</f>
        <v/>
      </c>
      <c r="P1263" s="7"/>
      <c r="Q1263" s="7"/>
    </row>
    <row r="1264" spans="1:17">
      <c r="A1264" s="105"/>
      <c r="B1264" s="2"/>
      <c r="C1264" s="3"/>
      <c r="D1264" s="3"/>
      <c r="E1264" s="3"/>
      <c r="F1264" s="8"/>
      <c r="G1264" s="215" t="str">
        <f>IF(AND($B1264="",OR(B1264&lt;&gt;"",C1264&lt;&gt;"",D1264&lt;&gt;"",E1264&lt;&gt;"",F1264&lt;&gt;"")),入力リスト!$K$34,IF($I1264=TRUE,入力リスト!$K$35,IF(J1264=FALSE,"「毎月の固定給与額」","")&amp;IF(AND(J1264=FALSE,OR(K1264=FALSE,L1264=FALSE,M1264=FALSE)),",","")&amp;IF(K1264=FALSE,"「賞与額等」","")&amp;IF(AND(K1264=FALSE,OR(L1264=FALSE,M1264=FALSE)),",","")&amp;IF(L1264=FALSE,"「残業手当」","")&amp;IF(AND(L1264=FALSE,M1264=FALSE),",","")&amp;IF(M1264=FALSE,"「残業時間」","")&amp;IF(OR(J1264=FALSE,K1264=FALSE,L1264=FALSE,M1264=FALSE),入力リスト!$K$36,"")&amp;IF(N1264,"",入力リスト!$K$37)))</f>
        <v/>
      </c>
      <c r="H1264" s="215"/>
      <c r="I1264" s="1" t="b">
        <f>IF(B1264="",FALSE,COUNTIF('従業員情報(給与以外)'!$A$4:$A$1000000,$B1264)=0)</f>
        <v>0</v>
      </c>
      <c r="J1264" s="8" t="b">
        <f t="shared" si="95"/>
        <v>1</v>
      </c>
      <c r="K1264" s="8" t="b">
        <f t="shared" si="96"/>
        <v>1</v>
      </c>
      <c r="L1264" s="8" t="b">
        <f t="shared" si="97"/>
        <v>1</v>
      </c>
      <c r="M1264" s="8" t="b">
        <f t="shared" si="98"/>
        <v>1</v>
      </c>
      <c r="N1264" s="1" t="b">
        <f t="shared" si="99"/>
        <v>1</v>
      </c>
      <c r="O1264" s="8" t="str">
        <f>IF(F1264="","",IF($F$2=入力リスト!$H$25,ROUNDDOWN(INT(F1264)+ROUNDDOWN((F1264-INT(F1264))*100,0)/60,2),F1264))</f>
        <v/>
      </c>
      <c r="P1264" s="7"/>
      <c r="Q1264" s="7"/>
    </row>
    <row r="1265" spans="1:17">
      <c r="A1265" s="105"/>
      <c r="B1265" s="2"/>
      <c r="C1265" s="3"/>
      <c r="D1265" s="3"/>
      <c r="E1265" s="3"/>
      <c r="F1265" s="8"/>
      <c r="G1265" s="215" t="str">
        <f>IF(AND($B1265="",OR(B1265&lt;&gt;"",C1265&lt;&gt;"",D1265&lt;&gt;"",E1265&lt;&gt;"",F1265&lt;&gt;"")),入力リスト!$K$34,IF($I1265=TRUE,入力リスト!$K$35,IF(J1265=FALSE,"「毎月の固定給与額」","")&amp;IF(AND(J1265=FALSE,OR(K1265=FALSE,L1265=FALSE,M1265=FALSE)),",","")&amp;IF(K1265=FALSE,"「賞与額等」","")&amp;IF(AND(K1265=FALSE,OR(L1265=FALSE,M1265=FALSE)),",","")&amp;IF(L1265=FALSE,"「残業手当」","")&amp;IF(AND(L1265=FALSE,M1265=FALSE),",","")&amp;IF(M1265=FALSE,"「残業時間」","")&amp;IF(OR(J1265=FALSE,K1265=FALSE,L1265=FALSE,M1265=FALSE),入力リスト!$K$36,"")&amp;IF(N1265,"",入力リスト!$K$37)))</f>
        <v/>
      </c>
      <c r="H1265" s="215"/>
      <c r="I1265" s="1" t="b">
        <f>IF(B1265="",FALSE,COUNTIF('従業員情報(給与以外)'!$A$4:$A$1000000,$B1265)=0)</f>
        <v>0</v>
      </c>
      <c r="J1265" s="8" t="b">
        <f t="shared" si="95"/>
        <v>1</v>
      </c>
      <c r="K1265" s="8" t="b">
        <f t="shared" si="96"/>
        <v>1</v>
      </c>
      <c r="L1265" s="8" t="b">
        <f t="shared" si="97"/>
        <v>1</v>
      </c>
      <c r="M1265" s="8" t="b">
        <f t="shared" si="98"/>
        <v>1</v>
      </c>
      <c r="N1265" s="1" t="b">
        <f t="shared" si="99"/>
        <v>1</v>
      </c>
      <c r="O1265" s="8" t="str">
        <f>IF(F1265="","",IF($F$2=入力リスト!$H$25,ROUNDDOWN(INT(F1265)+ROUNDDOWN((F1265-INT(F1265))*100,0)/60,2),F1265))</f>
        <v/>
      </c>
      <c r="P1265" s="7"/>
      <c r="Q1265" s="7"/>
    </row>
    <row r="1266" spans="1:17">
      <c r="A1266" s="105"/>
      <c r="B1266" s="2"/>
      <c r="C1266" s="3"/>
      <c r="D1266" s="3"/>
      <c r="E1266" s="3"/>
      <c r="F1266" s="8"/>
      <c r="G1266" s="215" t="str">
        <f>IF(AND($B1266="",OR(B1266&lt;&gt;"",C1266&lt;&gt;"",D1266&lt;&gt;"",E1266&lt;&gt;"",F1266&lt;&gt;"")),入力リスト!$K$34,IF($I1266=TRUE,入力リスト!$K$35,IF(J1266=FALSE,"「毎月の固定給与額」","")&amp;IF(AND(J1266=FALSE,OR(K1266=FALSE,L1266=FALSE,M1266=FALSE)),",","")&amp;IF(K1266=FALSE,"「賞与額等」","")&amp;IF(AND(K1266=FALSE,OR(L1266=FALSE,M1266=FALSE)),",","")&amp;IF(L1266=FALSE,"「残業手当」","")&amp;IF(AND(L1266=FALSE,M1266=FALSE),",","")&amp;IF(M1266=FALSE,"「残業時間」","")&amp;IF(OR(J1266=FALSE,K1266=FALSE,L1266=FALSE,M1266=FALSE),入力リスト!$K$36,"")&amp;IF(N1266,"",入力リスト!$K$37)))</f>
        <v/>
      </c>
      <c r="H1266" s="215"/>
      <c r="I1266" s="1" t="b">
        <f>IF(B1266="",FALSE,COUNTIF('従業員情報(給与以外)'!$A$4:$A$1000000,$B1266)=0)</f>
        <v>0</v>
      </c>
      <c r="J1266" s="8" t="b">
        <f t="shared" si="95"/>
        <v>1</v>
      </c>
      <c r="K1266" s="8" t="b">
        <f t="shared" si="96"/>
        <v>1</v>
      </c>
      <c r="L1266" s="8" t="b">
        <f t="shared" si="97"/>
        <v>1</v>
      </c>
      <c r="M1266" s="8" t="b">
        <f t="shared" si="98"/>
        <v>1</v>
      </c>
      <c r="N1266" s="1" t="b">
        <f t="shared" si="99"/>
        <v>1</v>
      </c>
      <c r="O1266" s="8" t="str">
        <f>IF(F1266="","",IF($F$2=入力リスト!$H$25,ROUNDDOWN(INT(F1266)+ROUNDDOWN((F1266-INT(F1266))*100,0)/60,2),F1266))</f>
        <v/>
      </c>
      <c r="P1266" s="7"/>
      <c r="Q1266" s="7"/>
    </row>
    <row r="1267" spans="1:17">
      <c r="A1267" s="105"/>
      <c r="B1267" s="2"/>
      <c r="C1267" s="3"/>
      <c r="D1267" s="3"/>
      <c r="E1267" s="3"/>
      <c r="F1267" s="8"/>
      <c r="G1267" s="215" t="str">
        <f>IF(AND($B1267="",OR(B1267&lt;&gt;"",C1267&lt;&gt;"",D1267&lt;&gt;"",E1267&lt;&gt;"",F1267&lt;&gt;"")),入力リスト!$K$34,IF($I1267=TRUE,入力リスト!$K$35,IF(J1267=FALSE,"「毎月の固定給与額」","")&amp;IF(AND(J1267=FALSE,OR(K1267=FALSE,L1267=FALSE,M1267=FALSE)),",","")&amp;IF(K1267=FALSE,"「賞与額等」","")&amp;IF(AND(K1267=FALSE,OR(L1267=FALSE,M1267=FALSE)),",","")&amp;IF(L1267=FALSE,"「残業手当」","")&amp;IF(AND(L1267=FALSE,M1267=FALSE),",","")&amp;IF(M1267=FALSE,"「残業時間」","")&amp;IF(OR(J1267=FALSE,K1267=FALSE,L1267=FALSE,M1267=FALSE),入力リスト!$K$36,"")&amp;IF(N1267,"",入力リスト!$K$37)))</f>
        <v/>
      </c>
      <c r="H1267" s="215"/>
      <c r="I1267" s="1" t="b">
        <f>IF(B1267="",FALSE,COUNTIF('従業員情報(給与以外)'!$A$4:$A$1000000,$B1267)=0)</f>
        <v>0</v>
      </c>
      <c r="J1267" s="8" t="b">
        <f t="shared" si="95"/>
        <v>1</v>
      </c>
      <c r="K1267" s="8" t="b">
        <f t="shared" si="96"/>
        <v>1</v>
      </c>
      <c r="L1267" s="8" t="b">
        <f t="shared" si="97"/>
        <v>1</v>
      </c>
      <c r="M1267" s="8" t="b">
        <f t="shared" si="98"/>
        <v>1</v>
      </c>
      <c r="N1267" s="1" t="b">
        <f t="shared" si="99"/>
        <v>1</v>
      </c>
      <c r="O1267" s="8" t="str">
        <f>IF(F1267="","",IF($F$2=入力リスト!$H$25,ROUNDDOWN(INT(F1267)+ROUNDDOWN((F1267-INT(F1267))*100,0)/60,2),F1267))</f>
        <v/>
      </c>
      <c r="P1267" s="7"/>
      <c r="Q1267" s="7"/>
    </row>
    <row r="1268" spans="1:17">
      <c r="A1268" s="105"/>
      <c r="B1268" s="2"/>
      <c r="C1268" s="3"/>
      <c r="D1268" s="3"/>
      <c r="E1268" s="3"/>
      <c r="F1268" s="8"/>
      <c r="G1268" s="215" t="str">
        <f>IF(AND($B1268="",OR(B1268&lt;&gt;"",C1268&lt;&gt;"",D1268&lt;&gt;"",E1268&lt;&gt;"",F1268&lt;&gt;"")),入力リスト!$K$34,IF($I1268=TRUE,入力リスト!$K$35,IF(J1268=FALSE,"「毎月の固定給与額」","")&amp;IF(AND(J1268=FALSE,OR(K1268=FALSE,L1268=FALSE,M1268=FALSE)),",","")&amp;IF(K1268=FALSE,"「賞与額等」","")&amp;IF(AND(K1268=FALSE,OR(L1268=FALSE,M1268=FALSE)),",","")&amp;IF(L1268=FALSE,"「残業手当」","")&amp;IF(AND(L1268=FALSE,M1268=FALSE),",","")&amp;IF(M1268=FALSE,"「残業時間」","")&amp;IF(OR(J1268=FALSE,K1268=FALSE,L1268=FALSE,M1268=FALSE),入力リスト!$K$36,"")&amp;IF(N1268,"",入力リスト!$K$37)))</f>
        <v/>
      </c>
      <c r="H1268" s="215"/>
      <c r="I1268" s="1" t="b">
        <f>IF(B1268="",FALSE,COUNTIF('従業員情報(給与以外)'!$A$4:$A$1000000,$B1268)=0)</f>
        <v>0</v>
      </c>
      <c r="J1268" s="8" t="b">
        <f t="shared" si="95"/>
        <v>1</v>
      </c>
      <c r="K1268" s="8" t="b">
        <f t="shared" si="96"/>
        <v>1</v>
      </c>
      <c r="L1268" s="8" t="b">
        <f t="shared" si="97"/>
        <v>1</v>
      </c>
      <c r="M1268" s="8" t="b">
        <f t="shared" si="98"/>
        <v>1</v>
      </c>
      <c r="N1268" s="1" t="b">
        <f t="shared" si="99"/>
        <v>1</v>
      </c>
      <c r="O1268" s="8" t="str">
        <f>IF(F1268="","",IF($F$2=入力リスト!$H$25,ROUNDDOWN(INT(F1268)+ROUNDDOWN((F1268-INT(F1268))*100,0)/60,2),F1268))</f>
        <v/>
      </c>
      <c r="P1268" s="7"/>
      <c r="Q1268" s="7"/>
    </row>
    <row r="1269" spans="1:17">
      <c r="A1269" s="105"/>
      <c r="B1269" s="2"/>
      <c r="C1269" s="3"/>
      <c r="D1269" s="3"/>
      <c r="E1269" s="3"/>
      <c r="F1269" s="8"/>
      <c r="G1269" s="215" t="str">
        <f>IF(AND($B1269="",OR(B1269&lt;&gt;"",C1269&lt;&gt;"",D1269&lt;&gt;"",E1269&lt;&gt;"",F1269&lt;&gt;"")),入力リスト!$K$34,IF($I1269=TRUE,入力リスト!$K$35,IF(J1269=FALSE,"「毎月の固定給与額」","")&amp;IF(AND(J1269=FALSE,OR(K1269=FALSE,L1269=FALSE,M1269=FALSE)),",","")&amp;IF(K1269=FALSE,"「賞与額等」","")&amp;IF(AND(K1269=FALSE,OR(L1269=FALSE,M1269=FALSE)),",","")&amp;IF(L1269=FALSE,"「残業手当」","")&amp;IF(AND(L1269=FALSE,M1269=FALSE),",","")&amp;IF(M1269=FALSE,"「残業時間」","")&amp;IF(OR(J1269=FALSE,K1269=FALSE,L1269=FALSE,M1269=FALSE),入力リスト!$K$36,"")&amp;IF(N1269,"",入力リスト!$K$37)))</f>
        <v/>
      </c>
      <c r="H1269" s="215"/>
      <c r="I1269" s="1" t="b">
        <f>IF(B1269="",FALSE,COUNTIF('従業員情報(給与以外)'!$A$4:$A$1000000,$B1269)=0)</f>
        <v>0</v>
      </c>
      <c r="J1269" s="8" t="b">
        <f t="shared" si="95"/>
        <v>1</v>
      </c>
      <c r="K1269" s="8" t="b">
        <f t="shared" si="96"/>
        <v>1</v>
      </c>
      <c r="L1269" s="8" t="b">
        <f t="shared" si="97"/>
        <v>1</v>
      </c>
      <c r="M1269" s="8" t="b">
        <f t="shared" si="98"/>
        <v>1</v>
      </c>
      <c r="N1269" s="1" t="b">
        <f t="shared" si="99"/>
        <v>1</v>
      </c>
      <c r="O1269" s="8" t="str">
        <f>IF(F1269="","",IF($F$2=入力リスト!$H$25,ROUNDDOWN(INT(F1269)+ROUNDDOWN((F1269-INT(F1269))*100,0)/60,2),F1269))</f>
        <v/>
      </c>
      <c r="P1269" s="7"/>
      <c r="Q1269" s="7"/>
    </row>
    <row r="1270" spans="1:17">
      <c r="A1270" s="105"/>
      <c r="B1270" s="2"/>
      <c r="C1270" s="3"/>
      <c r="D1270" s="3"/>
      <c r="E1270" s="3"/>
      <c r="F1270" s="8"/>
      <c r="G1270" s="215" t="str">
        <f>IF(AND($B1270="",OR(B1270&lt;&gt;"",C1270&lt;&gt;"",D1270&lt;&gt;"",E1270&lt;&gt;"",F1270&lt;&gt;"")),入力リスト!$K$34,IF($I1270=TRUE,入力リスト!$K$35,IF(J1270=FALSE,"「毎月の固定給与額」","")&amp;IF(AND(J1270=FALSE,OR(K1270=FALSE,L1270=FALSE,M1270=FALSE)),",","")&amp;IF(K1270=FALSE,"「賞与額等」","")&amp;IF(AND(K1270=FALSE,OR(L1270=FALSE,M1270=FALSE)),",","")&amp;IF(L1270=FALSE,"「残業手当」","")&amp;IF(AND(L1270=FALSE,M1270=FALSE),",","")&amp;IF(M1270=FALSE,"「残業時間」","")&amp;IF(OR(J1270=FALSE,K1270=FALSE,L1270=FALSE,M1270=FALSE),入力リスト!$K$36,"")&amp;IF(N1270,"",入力リスト!$K$37)))</f>
        <v/>
      </c>
      <c r="H1270" s="215"/>
      <c r="I1270" s="1" t="b">
        <f>IF(B1270="",FALSE,COUNTIF('従業員情報(給与以外)'!$A$4:$A$1000000,$B1270)=0)</f>
        <v>0</v>
      </c>
      <c r="J1270" s="8" t="b">
        <f t="shared" si="95"/>
        <v>1</v>
      </c>
      <c r="K1270" s="8" t="b">
        <f t="shared" si="96"/>
        <v>1</v>
      </c>
      <c r="L1270" s="8" t="b">
        <f t="shared" si="97"/>
        <v>1</v>
      </c>
      <c r="M1270" s="8" t="b">
        <f t="shared" si="98"/>
        <v>1</v>
      </c>
      <c r="N1270" s="1" t="b">
        <f t="shared" si="99"/>
        <v>1</v>
      </c>
      <c r="O1270" s="8" t="str">
        <f>IF(F1270="","",IF($F$2=入力リスト!$H$25,ROUNDDOWN(INT(F1270)+ROUNDDOWN((F1270-INT(F1270))*100,0)/60,2),F1270))</f>
        <v/>
      </c>
      <c r="P1270" s="7"/>
      <c r="Q1270" s="7"/>
    </row>
    <row r="1271" spans="1:17">
      <c r="A1271" s="105"/>
      <c r="B1271" s="2"/>
      <c r="C1271" s="3"/>
      <c r="D1271" s="3"/>
      <c r="E1271" s="3"/>
      <c r="F1271" s="8"/>
      <c r="G1271" s="215" t="str">
        <f>IF(AND($B1271="",OR(B1271&lt;&gt;"",C1271&lt;&gt;"",D1271&lt;&gt;"",E1271&lt;&gt;"",F1271&lt;&gt;"")),入力リスト!$K$34,IF($I1271=TRUE,入力リスト!$K$35,IF(J1271=FALSE,"「毎月の固定給与額」","")&amp;IF(AND(J1271=FALSE,OR(K1271=FALSE,L1271=FALSE,M1271=FALSE)),",","")&amp;IF(K1271=FALSE,"「賞与額等」","")&amp;IF(AND(K1271=FALSE,OR(L1271=FALSE,M1271=FALSE)),",","")&amp;IF(L1271=FALSE,"「残業手当」","")&amp;IF(AND(L1271=FALSE,M1271=FALSE),",","")&amp;IF(M1271=FALSE,"「残業時間」","")&amp;IF(OR(J1271=FALSE,K1271=FALSE,L1271=FALSE,M1271=FALSE),入力リスト!$K$36,"")&amp;IF(N1271,"",入力リスト!$K$37)))</f>
        <v/>
      </c>
      <c r="H1271" s="215"/>
      <c r="I1271" s="1" t="b">
        <f>IF(B1271="",FALSE,COUNTIF('従業員情報(給与以外)'!$A$4:$A$1000000,$B1271)=0)</f>
        <v>0</v>
      </c>
      <c r="J1271" s="8" t="b">
        <f t="shared" si="95"/>
        <v>1</v>
      </c>
      <c r="K1271" s="8" t="b">
        <f t="shared" si="96"/>
        <v>1</v>
      </c>
      <c r="L1271" s="8" t="b">
        <f t="shared" si="97"/>
        <v>1</v>
      </c>
      <c r="M1271" s="8" t="b">
        <f t="shared" si="98"/>
        <v>1</v>
      </c>
      <c r="N1271" s="1" t="b">
        <f t="shared" si="99"/>
        <v>1</v>
      </c>
      <c r="O1271" s="8" t="str">
        <f>IF(F1271="","",IF($F$2=入力リスト!$H$25,ROUNDDOWN(INT(F1271)+ROUNDDOWN((F1271-INT(F1271))*100,0)/60,2),F1271))</f>
        <v/>
      </c>
      <c r="P1271" s="7"/>
      <c r="Q1271" s="7"/>
    </row>
    <row r="1272" spans="1:17">
      <c r="A1272" s="105"/>
      <c r="B1272" s="2"/>
      <c r="C1272" s="3"/>
      <c r="D1272" s="3"/>
      <c r="E1272" s="3"/>
      <c r="F1272" s="8"/>
      <c r="G1272" s="215" t="str">
        <f>IF(AND($B1272="",OR(B1272&lt;&gt;"",C1272&lt;&gt;"",D1272&lt;&gt;"",E1272&lt;&gt;"",F1272&lt;&gt;"")),入力リスト!$K$34,IF($I1272=TRUE,入力リスト!$K$35,IF(J1272=FALSE,"「毎月の固定給与額」","")&amp;IF(AND(J1272=FALSE,OR(K1272=FALSE,L1272=FALSE,M1272=FALSE)),",","")&amp;IF(K1272=FALSE,"「賞与額等」","")&amp;IF(AND(K1272=FALSE,OR(L1272=FALSE,M1272=FALSE)),",","")&amp;IF(L1272=FALSE,"「残業手当」","")&amp;IF(AND(L1272=FALSE,M1272=FALSE),",","")&amp;IF(M1272=FALSE,"「残業時間」","")&amp;IF(OR(J1272=FALSE,K1272=FALSE,L1272=FALSE,M1272=FALSE),入力リスト!$K$36,"")&amp;IF(N1272,"",入力リスト!$K$37)))</f>
        <v/>
      </c>
      <c r="H1272" s="215"/>
      <c r="I1272" s="1" t="b">
        <f>IF(B1272="",FALSE,COUNTIF('従業員情報(給与以外)'!$A$4:$A$1000000,$B1272)=0)</f>
        <v>0</v>
      </c>
      <c r="J1272" s="8" t="b">
        <f t="shared" si="95"/>
        <v>1</v>
      </c>
      <c r="K1272" s="8" t="b">
        <f t="shared" si="96"/>
        <v>1</v>
      </c>
      <c r="L1272" s="8" t="b">
        <f t="shared" si="97"/>
        <v>1</v>
      </c>
      <c r="M1272" s="8" t="b">
        <f t="shared" si="98"/>
        <v>1</v>
      </c>
      <c r="N1272" s="1" t="b">
        <f t="shared" si="99"/>
        <v>1</v>
      </c>
      <c r="O1272" s="8" t="str">
        <f>IF(F1272="","",IF($F$2=入力リスト!$H$25,ROUNDDOWN(INT(F1272)+ROUNDDOWN((F1272-INT(F1272))*100,0)/60,2),F1272))</f>
        <v/>
      </c>
      <c r="P1272" s="7"/>
      <c r="Q1272" s="7"/>
    </row>
    <row r="1273" spans="1:17">
      <c r="A1273" s="105"/>
      <c r="B1273" s="2"/>
      <c r="C1273" s="3"/>
      <c r="D1273" s="3"/>
      <c r="E1273" s="3"/>
      <c r="F1273" s="8"/>
      <c r="G1273" s="215" t="str">
        <f>IF(AND($B1273="",OR(B1273&lt;&gt;"",C1273&lt;&gt;"",D1273&lt;&gt;"",E1273&lt;&gt;"",F1273&lt;&gt;"")),入力リスト!$K$34,IF($I1273=TRUE,入力リスト!$K$35,IF(J1273=FALSE,"「毎月の固定給与額」","")&amp;IF(AND(J1273=FALSE,OR(K1273=FALSE,L1273=FALSE,M1273=FALSE)),",","")&amp;IF(K1273=FALSE,"「賞与額等」","")&amp;IF(AND(K1273=FALSE,OR(L1273=FALSE,M1273=FALSE)),",","")&amp;IF(L1273=FALSE,"「残業手当」","")&amp;IF(AND(L1273=FALSE,M1273=FALSE),",","")&amp;IF(M1273=FALSE,"「残業時間」","")&amp;IF(OR(J1273=FALSE,K1273=FALSE,L1273=FALSE,M1273=FALSE),入力リスト!$K$36,"")&amp;IF(N1273,"",入力リスト!$K$37)))</f>
        <v/>
      </c>
      <c r="H1273" s="215"/>
      <c r="I1273" s="1" t="b">
        <f>IF(B1273="",FALSE,COUNTIF('従業員情報(給与以外)'!$A$4:$A$1000000,$B1273)=0)</f>
        <v>0</v>
      </c>
      <c r="J1273" s="8" t="b">
        <f t="shared" si="95"/>
        <v>1</v>
      </c>
      <c r="K1273" s="8" t="b">
        <f t="shared" si="96"/>
        <v>1</v>
      </c>
      <c r="L1273" s="8" t="b">
        <f t="shared" si="97"/>
        <v>1</v>
      </c>
      <c r="M1273" s="8" t="b">
        <f t="shared" si="98"/>
        <v>1</v>
      </c>
      <c r="N1273" s="1" t="b">
        <f t="shared" si="99"/>
        <v>1</v>
      </c>
      <c r="O1273" s="8" t="str">
        <f>IF(F1273="","",IF($F$2=入力リスト!$H$25,ROUNDDOWN(INT(F1273)+ROUNDDOWN((F1273-INT(F1273))*100,0)/60,2),F1273))</f>
        <v/>
      </c>
      <c r="P1273" s="7"/>
      <c r="Q1273" s="7"/>
    </row>
    <row r="1274" spans="1:17">
      <c r="A1274" s="105"/>
      <c r="B1274" s="2"/>
      <c r="C1274" s="3"/>
      <c r="D1274" s="3"/>
      <c r="E1274" s="3"/>
      <c r="F1274" s="8"/>
      <c r="G1274" s="215" t="str">
        <f>IF(AND($B1274="",OR(B1274&lt;&gt;"",C1274&lt;&gt;"",D1274&lt;&gt;"",E1274&lt;&gt;"",F1274&lt;&gt;"")),入力リスト!$K$34,IF($I1274=TRUE,入力リスト!$K$35,IF(J1274=FALSE,"「毎月の固定給与額」","")&amp;IF(AND(J1274=FALSE,OR(K1274=FALSE,L1274=FALSE,M1274=FALSE)),",","")&amp;IF(K1274=FALSE,"「賞与額等」","")&amp;IF(AND(K1274=FALSE,OR(L1274=FALSE,M1274=FALSE)),",","")&amp;IF(L1274=FALSE,"「残業手当」","")&amp;IF(AND(L1274=FALSE,M1274=FALSE),",","")&amp;IF(M1274=FALSE,"「残業時間」","")&amp;IF(OR(J1274=FALSE,K1274=FALSE,L1274=FALSE,M1274=FALSE),入力リスト!$K$36,"")&amp;IF(N1274,"",入力リスト!$K$37)))</f>
        <v/>
      </c>
      <c r="H1274" s="215"/>
      <c r="I1274" s="1" t="b">
        <f>IF(B1274="",FALSE,COUNTIF('従業員情報(給与以外)'!$A$4:$A$1000000,$B1274)=0)</f>
        <v>0</v>
      </c>
      <c r="J1274" s="8" t="b">
        <f t="shared" si="95"/>
        <v>1</v>
      </c>
      <c r="K1274" s="8" t="b">
        <f t="shared" si="96"/>
        <v>1</v>
      </c>
      <c r="L1274" s="8" t="b">
        <f t="shared" si="97"/>
        <v>1</v>
      </c>
      <c r="M1274" s="8" t="b">
        <f t="shared" si="98"/>
        <v>1</v>
      </c>
      <c r="N1274" s="1" t="b">
        <f t="shared" si="99"/>
        <v>1</v>
      </c>
      <c r="O1274" s="8" t="str">
        <f>IF(F1274="","",IF($F$2=入力リスト!$H$25,ROUNDDOWN(INT(F1274)+ROUNDDOWN((F1274-INT(F1274))*100,0)/60,2),F1274))</f>
        <v/>
      </c>
      <c r="P1274" s="7"/>
      <c r="Q1274" s="7"/>
    </row>
    <row r="1275" spans="1:17">
      <c r="A1275" s="105"/>
      <c r="B1275" s="2"/>
      <c r="C1275" s="3"/>
      <c r="D1275" s="3"/>
      <c r="E1275" s="3"/>
      <c r="F1275" s="8"/>
      <c r="G1275" s="215" t="str">
        <f>IF(AND($B1275="",OR(B1275&lt;&gt;"",C1275&lt;&gt;"",D1275&lt;&gt;"",E1275&lt;&gt;"",F1275&lt;&gt;"")),入力リスト!$K$34,IF($I1275=TRUE,入力リスト!$K$35,IF(J1275=FALSE,"「毎月の固定給与額」","")&amp;IF(AND(J1275=FALSE,OR(K1275=FALSE,L1275=FALSE,M1275=FALSE)),",","")&amp;IF(K1275=FALSE,"「賞与額等」","")&amp;IF(AND(K1275=FALSE,OR(L1275=FALSE,M1275=FALSE)),",","")&amp;IF(L1275=FALSE,"「残業手当」","")&amp;IF(AND(L1275=FALSE,M1275=FALSE),",","")&amp;IF(M1275=FALSE,"「残業時間」","")&amp;IF(OR(J1275=FALSE,K1275=FALSE,L1275=FALSE,M1275=FALSE),入力リスト!$K$36,"")&amp;IF(N1275,"",入力リスト!$K$37)))</f>
        <v/>
      </c>
      <c r="H1275" s="215"/>
      <c r="I1275" s="1" t="b">
        <f>IF(B1275="",FALSE,COUNTIF('従業員情報(給与以外)'!$A$4:$A$1000000,$B1275)=0)</f>
        <v>0</v>
      </c>
      <c r="J1275" s="8" t="b">
        <f t="shared" si="95"/>
        <v>1</v>
      </c>
      <c r="K1275" s="8" t="b">
        <f t="shared" si="96"/>
        <v>1</v>
      </c>
      <c r="L1275" s="8" t="b">
        <f t="shared" si="97"/>
        <v>1</v>
      </c>
      <c r="M1275" s="8" t="b">
        <f t="shared" si="98"/>
        <v>1</v>
      </c>
      <c r="N1275" s="1" t="b">
        <f t="shared" si="99"/>
        <v>1</v>
      </c>
      <c r="O1275" s="8" t="str">
        <f>IF(F1275="","",IF($F$2=入力リスト!$H$25,ROUNDDOWN(INT(F1275)+ROUNDDOWN((F1275-INT(F1275))*100,0)/60,2),F1275))</f>
        <v/>
      </c>
      <c r="P1275" s="7"/>
      <c r="Q1275" s="7"/>
    </row>
    <row r="1276" spans="1:17">
      <c r="A1276" s="105"/>
      <c r="B1276" s="2"/>
      <c r="C1276" s="3"/>
      <c r="D1276" s="3"/>
      <c r="E1276" s="3"/>
      <c r="F1276" s="8"/>
      <c r="G1276" s="215" t="str">
        <f>IF(AND($B1276="",OR(B1276&lt;&gt;"",C1276&lt;&gt;"",D1276&lt;&gt;"",E1276&lt;&gt;"",F1276&lt;&gt;"")),入力リスト!$K$34,IF($I1276=TRUE,入力リスト!$K$35,IF(J1276=FALSE,"「毎月の固定給与額」","")&amp;IF(AND(J1276=FALSE,OR(K1276=FALSE,L1276=FALSE,M1276=FALSE)),",","")&amp;IF(K1276=FALSE,"「賞与額等」","")&amp;IF(AND(K1276=FALSE,OR(L1276=FALSE,M1276=FALSE)),",","")&amp;IF(L1276=FALSE,"「残業手当」","")&amp;IF(AND(L1276=FALSE,M1276=FALSE),",","")&amp;IF(M1276=FALSE,"「残業時間」","")&amp;IF(OR(J1276=FALSE,K1276=FALSE,L1276=FALSE,M1276=FALSE),入力リスト!$K$36,"")&amp;IF(N1276,"",入力リスト!$K$37)))</f>
        <v/>
      </c>
      <c r="H1276" s="215"/>
      <c r="I1276" s="1" t="b">
        <f>IF(B1276="",FALSE,COUNTIF('従業員情報(給与以外)'!$A$4:$A$1000000,$B1276)=0)</f>
        <v>0</v>
      </c>
      <c r="J1276" s="8" t="b">
        <f t="shared" si="95"/>
        <v>1</v>
      </c>
      <c r="K1276" s="8" t="b">
        <f t="shared" si="96"/>
        <v>1</v>
      </c>
      <c r="L1276" s="8" t="b">
        <f t="shared" si="97"/>
        <v>1</v>
      </c>
      <c r="M1276" s="8" t="b">
        <f t="shared" si="98"/>
        <v>1</v>
      </c>
      <c r="N1276" s="1" t="b">
        <f t="shared" si="99"/>
        <v>1</v>
      </c>
      <c r="O1276" s="8" t="str">
        <f>IF(F1276="","",IF($F$2=入力リスト!$H$25,ROUNDDOWN(INT(F1276)+ROUNDDOWN((F1276-INT(F1276))*100,0)/60,2),F1276))</f>
        <v/>
      </c>
      <c r="P1276" s="7"/>
      <c r="Q1276" s="7"/>
    </row>
    <row r="1277" spans="1:17">
      <c r="A1277" s="105"/>
      <c r="B1277" s="2"/>
      <c r="C1277" s="3"/>
      <c r="D1277" s="3"/>
      <c r="E1277" s="3"/>
      <c r="F1277" s="8"/>
      <c r="G1277" s="215" t="str">
        <f>IF(AND($B1277="",OR(B1277&lt;&gt;"",C1277&lt;&gt;"",D1277&lt;&gt;"",E1277&lt;&gt;"",F1277&lt;&gt;"")),入力リスト!$K$34,IF($I1277=TRUE,入力リスト!$K$35,IF(J1277=FALSE,"「毎月の固定給与額」","")&amp;IF(AND(J1277=FALSE,OR(K1277=FALSE,L1277=FALSE,M1277=FALSE)),",","")&amp;IF(K1277=FALSE,"「賞与額等」","")&amp;IF(AND(K1277=FALSE,OR(L1277=FALSE,M1277=FALSE)),",","")&amp;IF(L1277=FALSE,"「残業手当」","")&amp;IF(AND(L1277=FALSE,M1277=FALSE),",","")&amp;IF(M1277=FALSE,"「残業時間」","")&amp;IF(OR(J1277=FALSE,K1277=FALSE,L1277=FALSE,M1277=FALSE),入力リスト!$K$36,"")&amp;IF(N1277,"",入力リスト!$K$37)))</f>
        <v/>
      </c>
      <c r="H1277" s="215"/>
      <c r="I1277" s="1" t="b">
        <f>IF(B1277="",FALSE,COUNTIF('従業員情報(給与以外)'!$A$4:$A$1000000,$B1277)=0)</f>
        <v>0</v>
      </c>
      <c r="J1277" s="8" t="b">
        <f t="shared" si="95"/>
        <v>1</v>
      </c>
      <c r="K1277" s="8" t="b">
        <f t="shared" si="96"/>
        <v>1</v>
      </c>
      <c r="L1277" s="8" t="b">
        <f t="shared" si="97"/>
        <v>1</v>
      </c>
      <c r="M1277" s="8" t="b">
        <f t="shared" si="98"/>
        <v>1</v>
      </c>
      <c r="N1277" s="1" t="b">
        <f t="shared" si="99"/>
        <v>1</v>
      </c>
      <c r="O1277" s="8" t="str">
        <f>IF(F1277="","",IF($F$2=入力リスト!$H$25,ROUNDDOWN(INT(F1277)+ROUNDDOWN((F1277-INT(F1277))*100,0)/60,2),F1277))</f>
        <v/>
      </c>
      <c r="P1277" s="7"/>
      <c r="Q1277" s="7"/>
    </row>
    <row r="1278" spans="1:17">
      <c r="A1278" s="105"/>
      <c r="B1278" s="2"/>
      <c r="C1278" s="3"/>
      <c r="D1278" s="3"/>
      <c r="E1278" s="3"/>
      <c r="F1278" s="8"/>
      <c r="G1278" s="215" t="str">
        <f>IF(AND($B1278="",OR(B1278&lt;&gt;"",C1278&lt;&gt;"",D1278&lt;&gt;"",E1278&lt;&gt;"",F1278&lt;&gt;"")),入力リスト!$K$34,IF($I1278=TRUE,入力リスト!$K$35,IF(J1278=FALSE,"「毎月の固定給与額」","")&amp;IF(AND(J1278=FALSE,OR(K1278=FALSE,L1278=FALSE,M1278=FALSE)),",","")&amp;IF(K1278=FALSE,"「賞与額等」","")&amp;IF(AND(K1278=FALSE,OR(L1278=FALSE,M1278=FALSE)),",","")&amp;IF(L1278=FALSE,"「残業手当」","")&amp;IF(AND(L1278=FALSE,M1278=FALSE),",","")&amp;IF(M1278=FALSE,"「残業時間」","")&amp;IF(OR(J1278=FALSE,K1278=FALSE,L1278=FALSE,M1278=FALSE),入力リスト!$K$36,"")&amp;IF(N1278,"",入力リスト!$K$37)))</f>
        <v/>
      </c>
      <c r="H1278" s="215"/>
      <c r="I1278" s="1" t="b">
        <f>IF(B1278="",FALSE,COUNTIF('従業員情報(給与以外)'!$A$4:$A$1000000,$B1278)=0)</f>
        <v>0</v>
      </c>
      <c r="J1278" s="8" t="b">
        <f t="shared" si="95"/>
        <v>1</v>
      </c>
      <c r="K1278" s="8" t="b">
        <f t="shared" si="96"/>
        <v>1</v>
      </c>
      <c r="L1278" s="8" t="b">
        <f t="shared" si="97"/>
        <v>1</v>
      </c>
      <c r="M1278" s="8" t="b">
        <f t="shared" si="98"/>
        <v>1</v>
      </c>
      <c r="N1278" s="1" t="b">
        <f t="shared" si="99"/>
        <v>1</v>
      </c>
      <c r="O1278" s="8" t="str">
        <f>IF(F1278="","",IF($F$2=入力リスト!$H$25,ROUNDDOWN(INT(F1278)+ROUNDDOWN((F1278-INT(F1278))*100,0)/60,2),F1278))</f>
        <v/>
      </c>
      <c r="P1278" s="7"/>
      <c r="Q1278" s="7"/>
    </row>
    <row r="1279" spans="1:17">
      <c r="A1279" s="105"/>
      <c r="B1279" s="2"/>
      <c r="C1279" s="3"/>
      <c r="D1279" s="3"/>
      <c r="E1279" s="3"/>
      <c r="F1279" s="8"/>
      <c r="G1279" s="215" t="str">
        <f>IF(AND($B1279="",OR(B1279&lt;&gt;"",C1279&lt;&gt;"",D1279&lt;&gt;"",E1279&lt;&gt;"",F1279&lt;&gt;"")),入力リスト!$K$34,IF($I1279=TRUE,入力リスト!$K$35,IF(J1279=FALSE,"「毎月の固定給与額」","")&amp;IF(AND(J1279=FALSE,OR(K1279=FALSE,L1279=FALSE,M1279=FALSE)),",","")&amp;IF(K1279=FALSE,"「賞与額等」","")&amp;IF(AND(K1279=FALSE,OR(L1279=FALSE,M1279=FALSE)),",","")&amp;IF(L1279=FALSE,"「残業手当」","")&amp;IF(AND(L1279=FALSE,M1279=FALSE),",","")&amp;IF(M1279=FALSE,"「残業時間」","")&amp;IF(OR(J1279=FALSE,K1279=FALSE,L1279=FALSE,M1279=FALSE),入力リスト!$K$36,"")&amp;IF(N1279,"",入力リスト!$K$37)))</f>
        <v/>
      </c>
      <c r="H1279" s="215"/>
      <c r="I1279" s="1" t="b">
        <f>IF(B1279="",FALSE,COUNTIF('従業員情報(給与以外)'!$A$4:$A$1000000,$B1279)=0)</f>
        <v>0</v>
      </c>
      <c r="J1279" s="8" t="b">
        <f t="shared" si="95"/>
        <v>1</v>
      </c>
      <c r="K1279" s="8" t="b">
        <f t="shared" si="96"/>
        <v>1</v>
      </c>
      <c r="L1279" s="8" t="b">
        <f t="shared" si="97"/>
        <v>1</v>
      </c>
      <c r="M1279" s="8" t="b">
        <f t="shared" si="98"/>
        <v>1</v>
      </c>
      <c r="N1279" s="1" t="b">
        <f t="shared" si="99"/>
        <v>1</v>
      </c>
      <c r="O1279" s="8" t="str">
        <f>IF(F1279="","",IF($F$2=入力リスト!$H$25,ROUNDDOWN(INT(F1279)+ROUNDDOWN((F1279-INT(F1279))*100,0)/60,2),F1279))</f>
        <v/>
      </c>
      <c r="P1279" s="7"/>
      <c r="Q1279" s="7"/>
    </row>
    <row r="1280" spans="1:17">
      <c r="A1280" s="105"/>
      <c r="B1280" s="2"/>
      <c r="C1280" s="3"/>
      <c r="D1280" s="3"/>
      <c r="E1280" s="3"/>
      <c r="F1280" s="8"/>
      <c r="G1280" s="215" t="str">
        <f>IF(AND($B1280="",OR(B1280&lt;&gt;"",C1280&lt;&gt;"",D1280&lt;&gt;"",E1280&lt;&gt;"",F1280&lt;&gt;"")),入力リスト!$K$34,IF($I1280=TRUE,入力リスト!$K$35,IF(J1280=FALSE,"「毎月の固定給与額」","")&amp;IF(AND(J1280=FALSE,OR(K1280=FALSE,L1280=FALSE,M1280=FALSE)),",","")&amp;IF(K1280=FALSE,"「賞与額等」","")&amp;IF(AND(K1280=FALSE,OR(L1280=FALSE,M1280=FALSE)),",","")&amp;IF(L1280=FALSE,"「残業手当」","")&amp;IF(AND(L1280=FALSE,M1280=FALSE),",","")&amp;IF(M1280=FALSE,"「残業時間」","")&amp;IF(OR(J1280=FALSE,K1280=FALSE,L1280=FALSE,M1280=FALSE),入力リスト!$K$36,"")&amp;IF(N1280,"",入力リスト!$K$37)))</f>
        <v/>
      </c>
      <c r="H1280" s="215"/>
      <c r="I1280" s="1" t="b">
        <f>IF(B1280="",FALSE,COUNTIF('従業員情報(給与以外)'!$A$4:$A$1000000,$B1280)=0)</f>
        <v>0</v>
      </c>
      <c r="J1280" s="8" t="b">
        <f t="shared" si="95"/>
        <v>1</v>
      </c>
      <c r="K1280" s="8" t="b">
        <f t="shared" si="96"/>
        <v>1</v>
      </c>
      <c r="L1280" s="8" t="b">
        <f t="shared" si="97"/>
        <v>1</v>
      </c>
      <c r="M1280" s="8" t="b">
        <f t="shared" si="98"/>
        <v>1</v>
      </c>
      <c r="N1280" s="1" t="b">
        <f t="shared" si="99"/>
        <v>1</v>
      </c>
      <c r="O1280" s="8" t="str">
        <f>IF(F1280="","",IF($F$2=入力リスト!$H$25,ROUNDDOWN(INT(F1280)+ROUNDDOWN((F1280-INT(F1280))*100,0)/60,2),F1280))</f>
        <v/>
      </c>
      <c r="P1280" s="7"/>
      <c r="Q1280" s="7"/>
    </row>
    <row r="1281" spans="1:17">
      <c r="A1281" s="105"/>
      <c r="B1281" s="2"/>
      <c r="C1281" s="3"/>
      <c r="D1281" s="3"/>
      <c r="E1281" s="3"/>
      <c r="F1281" s="8"/>
      <c r="G1281" s="215" t="str">
        <f>IF(AND($B1281="",OR(B1281&lt;&gt;"",C1281&lt;&gt;"",D1281&lt;&gt;"",E1281&lt;&gt;"",F1281&lt;&gt;"")),入力リスト!$K$34,IF($I1281=TRUE,入力リスト!$K$35,IF(J1281=FALSE,"「毎月の固定給与額」","")&amp;IF(AND(J1281=FALSE,OR(K1281=FALSE,L1281=FALSE,M1281=FALSE)),",","")&amp;IF(K1281=FALSE,"「賞与額等」","")&amp;IF(AND(K1281=FALSE,OR(L1281=FALSE,M1281=FALSE)),",","")&amp;IF(L1281=FALSE,"「残業手当」","")&amp;IF(AND(L1281=FALSE,M1281=FALSE),",","")&amp;IF(M1281=FALSE,"「残業時間」","")&amp;IF(OR(J1281=FALSE,K1281=FALSE,L1281=FALSE,M1281=FALSE),入力リスト!$K$36,"")&amp;IF(N1281,"",入力リスト!$K$37)))</f>
        <v/>
      </c>
      <c r="H1281" s="215"/>
      <c r="I1281" s="1" t="b">
        <f>IF(B1281="",FALSE,COUNTIF('従業員情報(給与以外)'!$A$4:$A$1000000,$B1281)=0)</f>
        <v>0</v>
      </c>
      <c r="J1281" s="8" t="b">
        <f t="shared" si="95"/>
        <v>1</v>
      </c>
      <c r="K1281" s="8" t="b">
        <f t="shared" si="96"/>
        <v>1</v>
      </c>
      <c r="L1281" s="8" t="b">
        <f t="shared" si="97"/>
        <v>1</v>
      </c>
      <c r="M1281" s="8" t="b">
        <f t="shared" si="98"/>
        <v>1</v>
      </c>
      <c r="N1281" s="1" t="b">
        <f t="shared" si="99"/>
        <v>1</v>
      </c>
      <c r="O1281" s="8" t="str">
        <f>IF(F1281="","",IF($F$2=入力リスト!$H$25,ROUNDDOWN(INT(F1281)+ROUNDDOWN((F1281-INT(F1281))*100,0)/60,2),F1281))</f>
        <v/>
      </c>
      <c r="P1281" s="7"/>
      <c r="Q1281" s="7"/>
    </row>
    <row r="1282" spans="1:17">
      <c r="A1282" s="105"/>
      <c r="B1282" s="2"/>
      <c r="C1282" s="3"/>
      <c r="D1282" s="3"/>
      <c r="E1282" s="3"/>
      <c r="F1282" s="8"/>
      <c r="G1282" s="215" t="str">
        <f>IF(AND($B1282="",OR(B1282&lt;&gt;"",C1282&lt;&gt;"",D1282&lt;&gt;"",E1282&lt;&gt;"",F1282&lt;&gt;"")),入力リスト!$K$34,IF($I1282=TRUE,入力リスト!$K$35,IF(J1282=FALSE,"「毎月の固定給与額」","")&amp;IF(AND(J1282=FALSE,OR(K1282=FALSE,L1282=FALSE,M1282=FALSE)),",","")&amp;IF(K1282=FALSE,"「賞与額等」","")&amp;IF(AND(K1282=FALSE,OR(L1282=FALSE,M1282=FALSE)),",","")&amp;IF(L1282=FALSE,"「残業手当」","")&amp;IF(AND(L1282=FALSE,M1282=FALSE),",","")&amp;IF(M1282=FALSE,"「残業時間」","")&amp;IF(OR(J1282=FALSE,K1282=FALSE,L1282=FALSE,M1282=FALSE),入力リスト!$K$36,"")&amp;IF(N1282,"",入力リスト!$K$37)))</f>
        <v/>
      </c>
      <c r="H1282" s="215"/>
      <c r="I1282" s="1" t="b">
        <f>IF(B1282="",FALSE,COUNTIF('従業員情報(給与以外)'!$A$4:$A$1000000,$B1282)=0)</f>
        <v>0</v>
      </c>
      <c r="J1282" s="8" t="b">
        <f t="shared" si="95"/>
        <v>1</v>
      </c>
      <c r="K1282" s="8" t="b">
        <f t="shared" si="96"/>
        <v>1</v>
      </c>
      <c r="L1282" s="8" t="b">
        <f t="shared" si="97"/>
        <v>1</v>
      </c>
      <c r="M1282" s="8" t="b">
        <f t="shared" si="98"/>
        <v>1</v>
      </c>
      <c r="N1282" s="1" t="b">
        <f t="shared" si="99"/>
        <v>1</v>
      </c>
      <c r="O1282" s="8" t="str">
        <f>IF(F1282="","",IF($F$2=入力リスト!$H$25,ROUNDDOWN(INT(F1282)+ROUNDDOWN((F1282-INT(F1282))*100,0)/60,2),F1282))</f>
        <v/>
      </c>
      <c r="P1282" s="7"/>
      <c r="Q1282" s="7"/>
    </row>
    <row r="1283" spans="1:17">
      <c r="A1283" s="105"/>
      <c r="B1283" s="2"/>
      <c r="C1283" s="3"/>
      <c r="D1283" s="3"/>
      <c r="E1283" s="3"/>
      <c r="F1283" s="8"/>
      <c r="G1283" s="215" t="str">
        <f>IF(AND($B1283="",OR(B1283&lt;&gt;"",C1283&lt;&gt;"",D1283&lt;&gt;"",E1283&lt;&gt;"",F1283&lt;&gt;"")),入力リスト!$K$34,IF($I1283=TRUE,入力リスト!$K$35,IF(J1283=FALSE,"「毎月の固定給与額」","")&amp;IF(AND(J1283=FALSE,OR(K1283=FALSE,L1283=FALSE,M1283=FALSE)),",","")&amp;IF(K1283=FALSE,"「賞与額等」","")&amp;IF(AND(K1283=FALSE,OR(L1283=FALSE,M1283=FALSE)),",","")&amp;IF(L1283=FALSE,"「残業手当」","")&amp;IF(AND(L1283=FALSE,M1283=FALSE),",","")&amp;IF(M1283=FALSE,"「残業時間」","")&amp;IF(OR(J1283=FALSE,K1283=FALSE,L1283=FALSE,M1283=FALSE),入力リスト!$K$36,"")&amp;IF(N1283,"",入力リスト!$K$37)))</f>
        <v/>
      </c>
      <c r="H1283" s="215"/>
      <c r="I1283" s="1" t="b">
        <f>IF(B1283="",FALSE,COUNTIF('従業員情報(給与以外)'!$A$4:$A$1000000,$B1283)=0)</f>
        <v>0</v>
      </c>
      <c r="J1283" s="8" t="b">
        <f t="shared" si="95"/>
        <v>1</v>
      </c>
      <c r="K1283" s="8" t="b">
        <f t="shared" si="96"/>
        <v>1</v>
      </c>
      <c r="L1283" s="8" t="b">
        <f t="shared" si="97"/>
        <v>1</v>
      </c>
      <c r="M1283" s="8" t="b">
        <f t="shared" si="98"/>
        <v>1</v>
      </c>
      <c r="N1283" s="1" t="b">
        <f t="shared" si="99"/>
        <v>1</v>
      </c>
      <c r="O1283" s="8" t="str">
        <f>IF(F1283="","",IF($F$2=入力リスト!$H$25,ROUNDDOWN(INT(F1283)+ROUNDDOWN((F1283-INT(F1283))*100,0)/60,2),F1283))</f>
        <v/>
      </c>
      <c r="P1283" s="7"/>
      <c r="Q1283" s="7"/>
    </row>
    <row r="1284" spans="1:17">
      <c r="A1284" s="105"/>
      <c r="B1284" s="2"/>
      <c r="C1284" s="3"/>
      <c r="D1284" s="3"/>
      <c r="E1284" s="3"/>
      <c r="F1284" s="8"/>
      <c r="G1284" s="215" t="str">
        <f>IF(AND($B1284="",OR(B1284&lt;&gt;"",C1284&lt;&gt;"",D1284&lt;&gt;"",E1284&lt;&gt;"",F1284&lt;&gt;"")),入力リスト!$K$34,IF($I1284=TRUE,入力リスト!$K$35,IF(J1284=FALSE,"「毎月の固定給与額」","")&amp;IF(AND(J1284=FALSE,OR(K1284=FALSE,L1284=FALSE,M1284=FALSE)),",","")&amp;IF(K1284=FALSE,"「賞与額等」","")&amp;IF(AND(K1284=FALSE,OR(L1284=FALSE,M1284=FALSE)),",","")&amp;IF(L1284=FALSE,"「残業手当」","")&amp;IF(AND(L1284=FALSE,M1284=FALSE),",","")&amp;IF(M1284=FALSE,"「残業時間」","")&amp;IF(OR(J1284=FALSE,K1284=FALSE,L1284=FALSE,M1284=FALSE),入力リスト!$K$36,"")&amp;IF(N1284,"",入力リスト!$K$37)))</f>
        <v/>
      </c>
      <c r="H1284" s="215"/>
      <c r="I1284" s="1" t="b">
        <f>IF(B1284="",FALSE,COUNTIF('従業員情報(給与以外)'!$A$4:$A$1000000,$B1284)=0)</f>
        <v>0</v>
      </c>
      <c r="J1284" s="8" t="b">
        <f t="shared" si="95"/>
        <v>1</v>
      </c>
      <c r="K1284" s="8" t="b">
        <f t="shared" si="96"/>
        <v>1</v>
      </c>
      <c r="L1284" s="8" t="b">
        <f t="shared" si="97"/>
        <v>1</v>
      </c>
      <c r="M1284" s="8" t="b">
        <f t="shared" si="98"/>
        <v>1</v>
      </c>
      <c r="N1284" s="1" t="b">
        <f t="shared" si="99"/>
        <v>1</v>
      </c>
      <c r="O1284" s="8" t="str">
        <f>IF(F1284="","",IF($F$2=入力リスト!$H$25,ROUNDDOWN(INT(F1284)+ROUNDDOWN((F1284-INT(F1284))*100,0)/60,2),F1284))</f>
        <v/>
      </c>
      <c r="P1284" s="7"/>
      <c r="Q1284" s="7"/>
    </row>
    <row r="1285" spans="1:17">
      <c r="A1285" s="105"/>
      <c r="B1285" s="2"/>
      <c r="C1285" s="3"/>
      <c r="D1285" s="3"/>
      <c r="E1285" s="3"/>
      <c r="F1285" s="8"/>
      <c r="G1285" s="215" t="str">
        <f>IF(AND($B1285="",OR(B1285&lt;&gt;"",C1285&lt;&gt;"",D1285&lt;&gt;"",E1285&lt;&gt;"",F1285&lt;&gt;"")),入力リスト!$K$34,IF($I1285=TRUE,入力リスト!$K$35,IF(J1285=FALSE,"「毎月の固定給与額」","")&amp;IF(AND(J1285=FALSE,OR(K1285=FALSE,L1285=FALSE,M1285=FALSE)),",","")&amp;IF(K1285=FALSE,"「賞与額等」","")&amp;IF(AND(K1285=FALSE,OR(L1285=FALSE,M1285=FALSE)),",","")&amp;IF(L1285=FALSE,"「残業手当」","")&amp;IF(AND(L1285=FALSE,M1285=FALSE),",","")&amp;IF(M1285=FALSE,"「残業時間」","")&amp;IF(OR(J1285=FALSE,K1285=FALSE,L1285=FALSE,M1285=FALSE),入力リスト!$K$36,"")&amp;IF(N1285,"",入力リスト!$K$37)))</f>
        <v/>
      </c>
      <c r="H1285" s="215"/>
      <c r="I1285" s="1" t="b">
        <f>IF(B1285="",FALSE,COUNTIF('従業員情報(給与以外)'!$A$4:$A$1000000,$B1285)=0)</f>
        <v>0</v>
      </c>
      <c r="J1285" s="8" t="b">
        <f t="shared" ref="J1285:J1348" si="100">OR(C1285="",ISNUMBER(C1285))</f>
        <v>1</v>
      </c>
      <c r="K1285" s="8" t="b">
        <f t="shared" ref="K1285:K1348" si="101">OR(D1285="",ISNUMBER(D1285))</f>
        <v>1</v>
      </c>
      <c r="L1285" s="8" t="b">
        <f t="shared" ref="L1285:L1348" si="102">OR(E1285="",ISNUMBER(E1285))</f>
        <v>1</v>
      </c>
      <c r="M1285" s="8" t="b">
        <f t="shared" ref="M1285:M1348" si="103">OR(F1285="",ISNUMBER(F1285))</f>
        <v>1</v>
      </c>
      <c r="N1285" s="1" t="b">
        <f t="shared" ref="N1285:N1348" si="104">IF($N$1,TRUE,IF($N$2,IF(F1285-INT(F1285)&lt;0.6,TRUE,FALSE),TRUE))</f>
        <v>1</v>
      </c>
      <c r="O1285" s="8" t="str">
        <f>IF(F1285="","",IF($F$2=入力リスト!$H$25,ROUNDDOWN(INT(F1285)+ROUNDDOWN((F1285-INT(F1285))*100,0)/60,2),F1285))</f>
        <v/>
      </c>
      <c r="P1285" s="7"/>
      <c r="Q1285" s="7"/>
    </row>
    <row r="1286" spans="1:17">
      <c r="A1286" s="105"/>
      <c r="B1286" s="2"/>
      <c r="C1286" s="3"/>
      <c r="D1286" s="3"/>
      <c r="E1286" s="3"/>
      <c r="F1286" s="8"/>
      <c r="G1286" s="215" t="str">
        <f>IF(AND($B1286="",OR(B1286&lt;&gt;"",C1286&lt;&gt;"",D1286&lt;&gt;"",E1286&lt;&gt;"",F1286&lt;&gt;"")),入力リスト!$K$34,IF($I1286=TRUE,入力リスト!$K$35,IF(J1286=FALSE,"「毎月の固定給与額」","")&amp;IF(AND(J1286=FALSE,OR(K1286=FALSE,L1286=FALSE,M1286=FALSE)),",","")&amp;IF(K1286=FALSE,"「賞与額等」","")&amp;IF(AND(K1286=FALSE,OR(L1286=FALSE,M1286=FALSE)),",","")&amp;IF(L1286=FALSE,"「残業手当」","")&amp;IF(AND(L1286=FALSE,M1286=FALSE),",","")&amp;IF(M1286=FALSE,"「残業時間」","")&amp;IF(OR(J1286=FALSE,K1286=FALSE,L1286=FALSE,M1286=FALSE),入力リスト!$K$36,"")&amp;IF(N1286,"",入力リスト!$K$37)))</f>
        <v/>
      </c>
      <c r="H1286" s="215"/>
      <c r="I1286" s="1" t="b">
        <f>IF(B1286="",FALSE,COUNTIF('従業員情報(給与以外)'!$A$4:$A$1000000,$B1286)=0)</f>
        <v>0</v>
      </c>
      <c r="J1286" s="8" t="b">
        <f t="shared" si="100"/>
        <v>1</v>
      </c>
      <c r="K1286" s="8" t="b">
        <f t="shared" si="101"/>
        <v>1</v>
      </c>
      <c r="L1286" s="8" t="b">
        <f t="shared" si="102"/>
        <v>1</v>
      </c>
      <c r="M1286" s="8" t="b">
        <f t="shared" si="103"/>
        <v>1</v>
      </c>
      <c r="N1286" s="1" t="b">
        <f t="shared" si="104"/>
        <v>1</v>
      </c>
      <c r="O1286" s="8" t="str">
        <f>IF(F1286="","",IF($F$2=入力リスト!$H$25,ROUNDDOWN(INT(F1286)+ROUNDDOWN((F1286-INT(F1286))*100,0)/60,2),F1286))</f>
        <v/>
      </c>
      <c r="P1286" s="7"/>
      <c r="Q1286" s="7"/>
    </row>
    <row r="1287" spans="1:17">
      <c r="A1287" s="105"/>
      <c r="B1287" s="2"/>
      <c r="C1287" s="3"/>
      <c r="D1287" s="3"/>
      <c r="E1287" s="3"/>
      <c r="F1287" s="8"/>
      <c r="G1287" s="215" t="str">
        <f>IF(AND($B1287="",OR(B1287&lt;&gt;"",C1287&lt;&gt;"",D1287&lt;&gt;"",E1287&lt;&gt;"",F1287&lt;&gt;"")),入力リスト!$K$34,IF($I1287=TRUE,入力リスト!$K$35,IF(J1287=FALSE,"「毎月の固定給与額」","")&amp;IF(AND(J1287=FALSE,OR(K1287=FALSE,L1287=FALSE,M1287=FALSE)),",","")&amp;IF(K1287=FALSE,"「賞与額等」","")&amp;IF(AND(K1287=FALSE,OR(L1287=FALSE,M1287=FALSE)),",","")&amp;IF(L1287=FALSE,"「残業手当」","")&amp;IF(AND(L1287=FALSE,M1287=FALSE),",","")&amp;IF(M1287=FALSE,"「残業時間」","")&amp;IF(OR(J1287=FALSE,K1287=FALSE,L1287=FALSE,M1287=FALSE),入力リスト!$K$36,"")&amp;IF(N1287,"",入力リスト!$K$37)))</f>
        <v/>
      </c>
      <c r="H1287" s="215"/>
      <c r="I1287" s="1" t="b">
        <f>IF(B1287="",FALSE,COUNTIF('従業員情報(給与以外)'!$A$4:$A$1000000,$B1287)=0)</f>
        <v>0</v>
      </c>
      <c r="J1287" s="8" t="b">
        <f t="shared" si="100"/>
        <v>1</v>
      </c>
      <c r="K1287" s="8" t="b">
        <f t="shared" si="101"/>
        <v>1</v>
      </c>
      <c r="L1287" s="8" t="b">
        <f t="shared" si="102"/>
        <v>1</v>
      </c>
      <c r="M1287" s="8" t="b">
        <f t="shared" si="103"/>
        <v>1</v>
      </c>
      <c r="N1287" s="1" t="b">
        <f t="shared" si="104"/>
        <v>1</v>
      </c>
      <c r="O1287" s="8" t="str">
        <f>IF(F1287="","",IF($F$2=入力リスト!$H$25,ROUNDDOWN(INT(F1287)+ROUNDDOWN((F1287-INT(F1287))*100,0)/60,2),F1287))</f>
        <v/>
      </c>
      <c r="P1287" s="7"/>
      <c r="Q1287" s="7"/>
    </row>
    <row r="1288" spans="1:17">
      <c r="A1288" s="105"/>
      <c r="B1288" s="2"/>
      <c r="C1288" s="3"/>
      <c r="D1288" s="3"/>
      <c r="E1288" s="3"/>
      <c r="F1288" s="8"/>
      <c r="G1288" s="215" t="str">
        <f>IF(AND($B1288="",OR(B1288&lt;&gt;"",C1288&lt;&gt;"",D1288&lt;&gt;"",E1288&lt;&gt;"",F1288&lt;&gt;"")),入力リスト!$K$34,IF($I1288=TRUE,入力リスト!$K$35,IF(J1288=FALSE,"「毎月の固定給与額」","")&amp;IF(AND(J1288=FALSE,OR(K1288=FALSE,L1288=FALSE,M1288=FALSE)),",","")&amp;IF(K1288=FALSE,"「賞与額等」","")&amp;IF(AND(K1288=FALSE,OR(L1288=FALSE,M1288=FALSE)),",","")&amp;IF(L1288=FALSE,"「残業手当」","")&amp;IF(AND(L1288=FALSE,M1288=FALSE),",","")&amp;IF(M1288=FALSE,"「残業時間」","")&amp;IF(OR(J1288=FALSE,K1288=FALSE,L1288=FALSE,M1288=FALSE),入力リスト!$K$36,"")&amp;IF(N1288,"",入力リスト!$K$37)))</f>
        <v/>
      </c>
      <c r="H1288" s="215"/>
      <c r="I1288" s="1" t="b">
        <f>IF(B1288="",FALSE,COUNTIF('従業員情報(給与以外)'!$A$4:$A$1000000,$B1288)=0)</f>
        <v>0</v>
      </c>
      <c r="J1288" s="8" t="b">
        <f t="shared" si="100"/>
        <v>1</v>
      </c>
      <c r="K1288" s="8" t="b">
        <f t="shared" si="101"/>
        <v>1</v>
      </c>
      <c r="L1288" s="8" t="b">
        <f t="shared" si="102"/>
        <v>1</v>
      </c>
      <c r="M1288" s="8" t="b">
        <f t="shared" si="103"/>
        <v>1</v>
      </c>
      <c r="N1288" s="1" t="b">
        <f t="shared" si="104"/>
        <v>1</v>
      </c>
      <c r="O1288" s="8" t="str">
        <f>IF(F1288="","",IF($F$2=入力リスト!$H$25,ROUNDDOWN(INT(F1288)+ROUNDDOWN((F1288-INT(F1288))*100,0)/60,2),F1288))</f>
        <v/>
      </c>
      <c r="P1288" s="7"/>
      <c r="Q1288" s="7"/>
    </row>
    <row r="1289" spans="1:17">
      <c r="A1289" s="105"/>
      <c r="B1289" s="2"/>
      <c r="C1289" s="3"/>
      <c r="D1289" s="3"/>
      <c r="E1289" s="3"/>
      <c r="F1289" s="8"/>
      <c r="G1289" s="215" t="str">
        <f>IF(AND($B1289="",OR(B1289&lt;&gt;"",C1289&lt;&gt;"",D1289&lt;&gt;"",E1289&lt;&gt;"",F1289&lt;&gt;"")),入力リスト!$K$34,IF($I1289=TRUE,入力リスト!$K$35,IF(J1289=FALSE,"「毎月の固定給与額」","")&amp;IF(AND(J1289=FALSE,OR(K1289=FALSE,L1289=FALSE,M1289=FALSE)),",","")&amp;IF(K1289=FALSE,"「賞与額等」","")&amp;IF(AND(K1289=FALSE,OR(L1289=FALSE,M1289=FALSE)),",","")&amp;IF(L1289=FALSE,"「残業手当」","")&amp;IF(AND(L1289=FALSE,M1289=FALSE),",","")&amp;IF(M1289=FALSE,"「残業時間」","")&amp;IF(OR(J1289=FALSE,K1289=FALSE,L1289=FALSE,M1289=FALSE),入力リスト!$K$36,"")&amp;IF(N1289,"",入力リスト!$K$37)))</f>
        <v/>
      </c>
      <c r="H1289" s="215"/>
      <c r="I1289" s="1" t="b">
        <f>IF(B1289="",FALSE,COUNTIF('従業員情報(給与以外)'!$A$4:$A$1000000,$B1289)=0)</f>
        <v>0</v>
      </c>
      <c r="J1289" s="8" t="b">
        <f t="shared" si="100"/>
        <v>1</v>
      </c>
      <c r="K1289" s="8" t="b">
        <f t="shared" si="101"/>
        <v>1</v>
      </c>
      <c r="L1289" s="8" t="b">
        <f t="shared" si="102"/>
        <v>1</v>
      </c>
      <c r="M1289" s="8" t="b">
        <f t="shared" si="103"/>
        <v>1</v>
      </c>
      <c r="N1289" s="1" t="b">
        <f t="shared" si="104"/>
        <v>1</v>
      </c>
      <c r="O1289" s="8" t="str">
        <f>IF(F1289="","",IF($F$2=入力リスト!$H$25,ROUNDDOWN(INT(F1289)+ROUNDDOWN((F1289-INT(F1289))*100,0)/60,2),F1289))</f>
        <v/>
      </c>
      <c r="P1289" s="7"/>
      <c r="Q1289" s="7"/>
    </row>
    <row r="1290" spans="1:17">
      <c r="A1290" s="105"/>
      <c r="B1290" s="2"/>
      <c r="C1290" s="3"/>
      <c r="D1290" s="3"/>
      <c r="E1290" s="3"/>
      <c r="F1290" s="8"/>
      <c r="G1290" s="215" t="str">
        <f>IF(AND($B1290="",OR(B1290&lt;&gt;"",C1290&lt;&gt;"",D1290&lt;&gt;"",E1290&lt;&gt;"",F1290&lt;&gt;"")),入力リスト!$K$34,IF($I1290=TRUE,入力リスト!$K$35,IF(J1290=FALSE,"「毎月の固定給与額」","")&amp;IF(AND(J1290=FALSE,OR(K1290=FALSE,L1290=FALSE,M1290=FALSE)),",","")&amp;IF(K1290=FALSE,"「賞与額等」","")&amp;IF(AND(K1290=FALSE,OR(L1290=FALSE,M1290=FALSE)),",","")&amp;IF(L1290=FALSE,"「残業手当」","")&amp;IF(AND(L1290=FALSE,M1290=FALSE),",","")&amp;IF(M1290=FALSE,"「残業時間」","")&amp;IF(OR(J1290=FALSE,K1290=FALSE,L1290=FALSE,M1290=FALSE),入力リスト!$K$36,"")&amp;IF(N1290,"",入力リスト!$K$37)))</f>
        <v/>
      </c>
      <c r="H1290" s="215"/>
      <c r="I1290" s="1" t="b">
        <f>IF(B1290="",FALSE,COUNTIF('従業員情報(給与以外)'!$A$4:$A$1000000,$B1290)=0)</f>
        <v>0</v>
      </c>
      <c r="J1290" s="8" t="b">
        <f t="shared" si="100"/>
        <v>1</v>
      </c>
      <c r="K1290" s="8" t="b">
        <f t="shared" si="101"/>
        <v>1</v>
      </c>
      <c r="L1290" s="8" t="b">
        <f t="shared" si="102"/>
        <v>1</v>
      </c>
      <c r="M1290" s="8" t="b">
        <f t="shared" si="103"/>
        <v>1</v>
      </c>
      <c r="N1290" s="1" t="b">
        <f t="shared" si="104"/>
        <v>1</v>
      </c>
      <c r="O1290" s="8" t="str">
        <f>IF(F1290="","",IF($F$2=入力リスト!$H$25,ROUNDDOWN(INT(F1290)+ROUNDDOWN((F1290-INT(F1290))*100,0)/60,2),F1290))</f>
        <v/>
      </c>
      <c r="P1290" s="7"/>
      <c r="Q1290" s="7"/>
    </row>
    <row r="1291" spans="1:17">
      <c r="A1291" s="105"/>
      <c r="B1291" s="2"/>
      <c r="C1291" s="3"/>
      <c r="D1291" s="3"/>
      <c r="E1291" s="3"/>
      <c r="F1291" s="8"/>
      <c r="G1291" s="215" t="str">
        <f>IF(AND($B1291="",OR(B1291&lt;&gt;"",C1291&lt;&gt;"",D1291&lt;&gt;"",E1291&lt;&gt;"",F1291&lt;&gt;"")),入力リスト!$K$34,IF($I1291=TRUE,入力リスト!$K$35,IF(J1291=FALSE,"「毎月の固定給与額」","")&amp;IF(AND(J1291=FALSE,OR(K1291=FALSE,L1291=FALSE,M1291=FALSE)),",","")&amp;IF(K1291=FALSE,"「賞与額等」","")&amp;IF(AND(K1291=FALSE,OR(L1291=FALSE,M1291=FALSE)),",","")&amp;IF(L1291=FALSE,"「残業手当」","")&amp;IF(AND(L1291=FALSE,M1291=FALSE),",","")&amp;IF(M1291=FALSE,"「残業時間」","")&amp;IF(OR(J1291=FALSE,K1291=FALSE,L1291=FALSE,M1291=FALSE),入力リスト!$K$36,"")&amp;IF(N1291,"",入力リスト!$K$37)))</f>
        <v/>
      </c>
      <c r="H1291" s="215"/>
      <c r="I1291" s="1" t="b">
        <f>IF(B1291="",FALSE,COUNTIF('従業員情報(給与以外)'!$A$4:$A$1000000,$B1291)=0)</f>
        <v>0</v>
      </c>
      <c r="J1291" s="8" t="b">
        <f t="shared" si="100"/>
        <v>1</v>
      </c>
      <c r="K1291" s="8" t="b">
        <f t="shared" si="101"/>
        <v>1</v>
      </c>
      <c r="L1291" s="8" t="b">
        <f t="shared" si="102"/>
        <v>1</v>
      </c>
      <c r="M1291" s="8" t="b">
        <f t="shared" si="103"/>
        <v>1</v>
      </c>
      <c r="N1291" s="1" t="b">
        <f t="shared" si="104"/>
        <v>1</v>
      </c>
      <c r="O1291" s="8" t="str">
        <f>IF(F1291="","",IF($F$2=入力リスト!$H$25,ROUNDDOWN(INT(F1291)+ROUNDDOWN((F1291-INT(F1291))*100,0)/60,2),F1291))</f>
        <v/>
      </c>
      <c r="P1291" s="7"/>
      <c r="Q1291" s="7"/>
    </row>
    <row r="1292" spans="1:17">
      <c r="A1292" s="105"/>
      <c r="B1292" s="2"/>
      <c r="C1292" s="3"/>
      <c r="D1292" s="3"/>
      <c r="E1292" s="3"/>
      <c r="F1292" s="8"/>
      <c r="G1292" s="215" t="str">
        <f>IF(AND($B1292="",OR(B1292&lt;&gt;"",C1292&lt;&gt;"",D1292&lt;&gt;"",E1292&lt;&gt;"",F1292&lt;&gt;"")),入力リスト!$K$34,IF($I1292=TRUE,入力リスト!$K$35,IF(J1292=FALSE,"「毎月の固定給与額」","")&amp;IF(AND(J1292=FALSE,OR(K1292=FALSE,L1292=FALSE,M1292=FALSE)),",","")&amp;IF(K1292=FALSE,"「賞与額等」","")&amp;IF(AND(K1292=FALSE,OR(L1292=FALSE,M1292=FALSE)),",","")&amp;IF(L1292=FALSE,"「残業手当」","")&amp;IF(AND(L1292=FALSE,M1292=FALSE),",","")&amp;IF(M1292=FALSE,"「残業時間」","")&amp;IF(OR(J1292=FALSE,K1292=FALSE,L1292=FALSE,M1292=FALSE),入力リスト!$K$36,"")&amp;IF(N1292,"",入力リスト!$K$37)))</f>
        <v/>
      </c>
      <c r="H1292" s="215"/>
      <c r="I1292" s="1" t="b">
        <f>IF(B1292="",FALSE,COUNTIF('従業員情報(給与以外)'!$A$4:$A$1000000,$B1292)=0)</f>
        <v>0</v>
      </c>
      <c r="J1292" s="8" t="b">
        <f t="shared" si="100"/>
        <v>1</v>
      </c>
      <c r="K1292" s="8" t="b">
        <f t="shared" si="101"/>
        <v>1</v>
      </c>
      <c r="L1292" s="8" t="b">
        <f t="shared" si="102"/>
        <v>1</v>
      </c>
      <c r="M1292" s="8" t="b">
        <f t="shared" si="103"/>
        <v>1</v>
      </c>
      <c r="N1292" s="1" t="b">
        <f t="shared" si="104"/>
        <v>1</v>
      </c>
      <c r="O1292" s="8" t="str">
        <f>IF(F1292="","",IF($F$2=入力リスト!$H$25,ROUNDDOWN(INT(F1292)+ROUNDDOWN((F1292-INT(F1292))*100,0)/60,2),F1292))</f>
        <v/>
      </c>
      <c r="P1292" s="7"/>
      <c r="Q1292" s="7"/>
    </row>
    <row r="1293" spans="1:17">
      <c r="A1293" s="105"/>
      <c r="B1293" s="2"/>
      <c r="C1293" s="3"/>
      <c r="D1293" s="3"/>
      <c r="E1293" s="3"/>
      <c r="F1293" s="8"/>
      <c r="G1293" s="215" t="str">
        <f>IF(AND($B1293="",OR(B1293&lt;&gt;"",C1293&lt;&gt;"",D1293&lt;&gt;"",E1293&lt;&gt;"",F1293&lt;&gt;"")),入力リスト!$K$34,IF($I1293=TRUE,入力リスト!$K$35,IF(J1293=FALSE,"「毎月の固定給与額」","")&amp;IF(AND(J1293=FALSE,OR(K1293=FALSE,L1293=FALSE,M1293=FALSE)),",","")&amp;IF(K1293=FALSE,"「賞与額等」","")&amp;IF(AND(K1293=FALSE,OR(L1293=FALSE,M1293=FALSE)),",","")&amp;IF(L1293=FALSE,"「残業手当」","")&amp;IF(AND(L1293=FALSE,M1293=FALSE),",","")&amp;IF(M1293=FALSE,"「残業時間」","")&amp;IF(OR(J1293=FALSE,K1293=FALSE,L1293=FALSE,M1293=FALSE),入力リスト!$K$36,"")&amp;IF(N1293,"",入力リスト!$K$37)))</f>
        <v/>
      </c>
      <c r="H1293" s="215"/>
      <c r="I1293" s="1" t="b">
        <f>IF(B1293="",FALSE,COUNTIF('従業員情報(給与以外)'!$A$4:$A$1000000,$B1293)=0)</f>
        <v>0</v>
      </c>
      <c r="J1293" s="8" t="b">
        <f t="shared" si="100"/>
        <v>1</v>
      </c>
      <c r="K1293" s="8" t="b">
        <f t="shared" si="101"/>
        <v>1</v>
      </c>
      <c r="L1293" s="8" t="b">
        <f t="shared" si="102"/>
        <v>1</v>
      </c>
      <c r="M1293" s="8" t="b">
        <f t="shared" si="103"/>
        <v>1</v>
      </c>
      <c r="N1293" s="1" t="b">
        <f t="shared" si="104"/>
        <v>1</v>
      </c>
      <c r="O1293" s="8" t="str">
        <f>IF(F1293="","",IF($F$2=入力リスト!$H$25,ROUNDDOWN(INT(F1293)+ROUNDDOWN((F1293-INT(F1293))*100,0)/60,2),F1293))</f>
        <v/>
      </c>
      <c r="P1293" s="7"/>
      <c r="Q1293" s="7"/>
    </row>
    <row r="1294" spans="1:17">
      <c r="A1294" s="105"/>
      <c r="B1294" s="2"/>
      <c r="C1294" s="3"/>
      <c r="D1294" s="3"/>
      <c r="E1294" s="3"/>
      <c r="F1294" s="8"/>
      <c r="G1294" s="215" t="str">
        <f>IF(AND($B1294="",OR(B1294&lt;&gt;"",C1294&lt;&gt;"",D1294&lt;&gt;"",E1294&lt;&gt;"",F1294&lt;&gt;"")),入力リスト!$K$34,IF($I1294=TRUE,入力リスト!$K$35,IF(J1294=FALSE,"「毎月の固定給与額」","")&amp;IF(AND(J1294=FALSE,OR(K1294=FALSE,L1294=FALSE,M1294=FALSE)),",","")&amp;IF(K1294=FALSE,"「賞与額等」","")&amp;IF(AND(K1294=FALSE,OR(L1294=FALSE,M1294=FALSE)),",","")&amp;IF(L1294=FALSE,"「残業手当」","")&amp;IF(AND(L1294=FALSE,M1294=FALSE),",","")&amp;IF(M1294=FALSE,"「残業時間」","")&amp;IF(OR(J1294=FALSE,K1294=FALSE,L1294=FALSE,M1294=FALSE),入力リスト!$K$36,"")&amp;IF(N1294,"",入力リスト!$K$37)))</f>
        <v/>
      </c>
      <c r="H1294" s="215"/>
      <c r="I1294" s="1" t="b">
        <f>IF(B1294="",FALSE,COUNTIF('従業員情報(給与以外)'!$A$4:$A$1000000,$B1294)=0)</f>
        <v>0</v>
      </c>
      <c r="J1294" s="8" t="b">
        <f t="shared" si="100"/>
        <v>1</v>
      </c>
      <c r="K1294" s="8" t="b">
        <f t="shared" si="101"/>
        <v>1</v>
      </c>
      <c r="L1294" s="8" t="b">
        <f t="shared" si="102"/>
        <v>1</v>
      </c>
      <c r="M1294" s="8" t="b">
        <f t="shared" si="103"/>
        <v>1</v>
      </c>
      <c r="N1294" s="1" t="b">
        <f t="shared" si="104"/>
        <v>1</v>
      </c>
      <c r="O1294" s="8" t="str">
        <f>IF(F1294="","",IF($F$2=入力リスト!$H$25,ROUNDDOWN(INT(F1294)+ROUNDDOWN((F1294-INT(F1294))*100,0)/60,2),F1294))</f>
        <v/>
      </c>
      <c r="P1294" s="7"/>
      <c r="Q1294" s="7"/>
    </row>
    <row r="1295" spans="1:17">
      <c r="A1295" s="105"/>
      <c r="B1295" s="2"/>
      <c r="C1295" s="3"/>
      <c r="D1295" s="3"/>
      <c r="E1295" s="3"/>
      <c r="F1295" s="8"/>
      <c r="G1295" s="215" t="str">
        <f>IF(AND($B1295="",OR(B1295&lt;&gt;"",C1295&lt;&gt;"",D1295&lt;&gt;"",E1295&lt;&gt;"",F1295&lt;&gt;"")),入力リスト!$K$34,IF($I1295=TRUE,入力リスト!$K$35,IF(J1295=FALSE,"「毎月の固定給与額」","")&amp;IF(AND(J1295=FALSE,OR(K1295=FALSE,L1295=FALSE,M1295=FALSE)),",","")&amp;IF(K1295=FALSE,"「賞与額等」","")&amp;IF(AND(K1295=FALSE,OR(L1295=FALSE,M1295=FALSE)),",","")&amp;IF(L1295=FALSE,"「残業手当」","")&amp;IF(AND(L1295=FALSE,M1295=FALSE),",","")&amp;IF(M1295=FALSE,"「残業時間」","")&amp;IF(OR(J1295=FALSE,K1295=FALSE,L1295=FALSE,M1295=FALSE),入力リスト!$K$36,"")&amp;IF(N1295,"",入力リスト!$K$37)))</f>
        <v/>
      </c>
      <c r="H1295" s="215"/>
      <c r="I1295" s="1" t="b">
        <f>IF(B1295="",FALSE,COUNTIF('従業員情報(給与以外)'!$A$4:$A$1000000,$B1295)=0)</f>
        <v>0</v>
      </c>
      <c r="J1295" s="8" t="b">
        <f t="shared" si="100"/>
        <v>1</v>
      </c>
      <c r="K1295" s="8" t="b">
        <f t="shared" si="101"/>
        <v>1</v>
      </c>
      <c r="L1295" s="8" t="b">
        <f t="shared" si="102"/>
        <v>1</v>
      </c>
      <c r="M1295" s="8" t="b">
        <f t="shared" si="103"/>
        <v>1</v>
      </c>
      <c r="N1295" s="1" t="b">
        <f t="shared" si="104"/>
        <v>1</v>
      </c>
      <c r="O1295" s="8" t="str">
        <f>IF(F1295="","",IF($F$2=入力リスト!$H$25,ROUNDDOWN(INT(F1295)+ROUNDDOWN((F1295-INT(F1295))*100,0)/60,2),F1295))</f>
        <v/>
      </c>
      <c r="P1295" s="7"/>
      <c r="Q1295" s="7"/>
    </row>
    <row r="1296" spans="1:17">
      <c r="A1296" s="105"/>
      <c r="B1296" s="2"/>
      <c r="C1296" s="3"/>
      <c r="D1296" s="3"/>
      <c r="E1296" s="3"/>
      <c r="F1296" s="8"/>
      <c r="G1296" s="215" t="str">
        <f>IF(AND($B1296="",OR(B1296&lt;&gt;"",C1296&lt;&gt;"",D1296&lt;&gt;"",E1296&lt;&gt;"",F1296&lt;&gt;"")),入力リスト!$K$34,IF($I1296=TRUE,入力リスト!$K$35,IF(J1296=FALSE,"「毎月の固定給与額」","")&amp;IF(AND(J1296=FALSE,OR(K1296=FALSE,L1296=FALSE,M1296=FALSE)),",","")&amp;IF(K1296=FALSE,"「賞与額等」","")&amp;IF(AND(K1296=FALSE,OR(L1296=FALSE,M1296=FALSE)),",","")&amp;IF(L1296=FALSE,"「残業手当」","")&amp;IF(AND(L1296=FALSE,M1296=FALSE),",","")&amp;IF(M1296=FALSE,"「残業時間」","")&amp;IF(OR(J1296=FALSE,K1296=FALSE,L1296=FALSE,M1296=FALSE),入力リスト!$K$36,"")&amp;IF(N1296,"",入力リスト!$K$37)))</f>
        <v/>
      </c>
      <c r="H1296" s="215"/>
      <c r="I1296" s="1" t="b">
        <f>IF(B1296="",FALSE,COUNTIF('従業員情報(給与以外)'!$A$4:$A$1000000,$B1296)=0)</f>
        <v>0</v>
      </c>
      <c r="J1296" s="8" t="b">
        <f t="shared" si="100"/>
        <v>1</v>
      </c>
      <c r="K1296" s="8" t="b">
        <f t="shared" si="101"/>
        <v>1</v>
      </c>
      <c r="L1296" s="8" t="b">
        <f t="shared" si="102"/>
        <v>1</v>
      </c>
      <c r="M1296" s="8" t="b">
        <f t="shared" si="103"/>
        <v>1</v>
      </c>
      <c r="N1296" s="1" t="b">
        <f t="shared" si="104"/>
        <v>1</v>
      </c>
      <c r="O1296" s="8" t="str">
        <f>IF(F1296="","",IF($F$2=入力リスト!$H$25,ROUNDDOWN(INT(F1296)+ROUNDDOWN((F1296-INT(F1296))*100,0)/60,2),F1296))</f>
        <v/>
      </c>
      <c r="P1296" s="7"/>
      <c r="Q1296" s="7"/>
    </row>
    <row r="1297" spans="1:17">
      <c r="A1297" s="105"/>
      <c r="B1297" s="2"/>
      <c r="C1297" s="3"/>
      <c r="D1297" s="3"/>
      <c r="E1297" s="3"/>
      <c r="F1297" s="8"/>
      <c r="G1297" s="215" t="str">
        <f>IF(AND($B1297="",OR(B1297&lt;&gt;"",C1297&lt;&gt;"",D1297&lt;&gt;"",E1297&lt;&gt;"",F1297&lt;&gt;"")),入力リスト!$K$34,IF($I1297=TRUE,入力リスト!$K$35,IF(J1297=FALSE,"「毎月の固定給与額」","")&amp;IF(AND(J1297=FALSE,OR(K1297=FALSE,L1297=FALSE,M1297=FALSE)),",","")&amp;IF(K1297=FALSE,"「賞与額等」","")&amp;IF(AND(K1297=FALSE,OR(L1297=FALSE,M1297=FALSE)),",","")&amp;IF(L1297=FALSE,"「残業手当」","")&amp;IF(AND(L1297=FALSE,M1297=FALSE),",","")&amp;IF(M1297=FALSE,"「残業時間」","")&amp;IF(OR(J1297=FALSE,K1297=FALSE,L1297=FALSE,M1297=FALSE),入力リスト!$K$36,"")&amp;IF(N1297,"",入力リスト!$K$37)))</f>
        <v/>
      </c>
      <c r="H1297" s="215"/>
      <c r="I1297" s="1" t="b">
        <f>IF(B1297="",FALSE,COUNTIF('従業員情報(給与以外)'!$A$4:$A$1000000,$B1297)=0)</f>
        <v>0</v>
      </c>
      <c r="J1297" s="8" t="b">
        <f t="shared" si="100"/>
        <v>1</v>
      </c>
      <c r="K1297" s="8" t="b">
        <f t="shared" si="101"/>
        <v>1</v>
      </c>
      <c r="L1297" s="8" t="b">
        <f t="shared" si="102"/>
        <v>1</v>
      </c>
      <c r="M1297" s="8" t="b">
        <f t="shared" si="103"/>
        <v>1</v>
      </c>
      <c r="N1297" s="1" t="b">
        <f t="shared" si="104"/>
        <v>1</v>
      </c>
      <c r="O1297" s="8" t="str">
        <f>IF(F1297="","",IF($F$2=入力リスト!$H$25,ROUNDDOWN(INT(F1297)+ROUNDDOWN((F1297-INT(F1297))*100,0)/60,2),F1297))</f>
        <v/>
      </c>
      <c r="P1297" s="7"/>
      <c r="Q1297" s="7"/>
    </row>
    <row r="1298" spans="1:17">
      <c r="A1298" s="105"/>
      <c r="B1298" s="2"/>
      <c r="C1298" s="3"/>
      <c r="D1298" s="3"/>
      <c r="E1298" s="3"/>
      <c r="F1298" s="8"/>
      <c r="G1298" s="215" t="str">
        <f>IF(AND($B1298="",OR(B1298&lt;&gt;"",C1298&lt;&gt;"",D1298&lt;&gt;"",E1298&lt;&gt;"",F1298&lt;&gt;"")),入力リスト!$K$34,IF($I1298=TRUE,入力リスト!$K$35,IF(J1298=FALSE,"「毎月の固定給与額」","")&amp;IF(AND(J1298=FALSE,OR(K1298=FALSE,L1298=FALSE,M1298=FALSE)),",","")&amp;IF(K1298=FALSE,"「賞与額等」","")&amp;IF(AND(K1298=FALSE,OR(L1298=FALSE,M1298=FALSE)),",","")&amp;IF(L1298=FALSE,"「残業手当」","")&amp;IF(AND(L1298=FALSE,M1298=FALSE),",","")&amp;IF(M1298=FALSE,"「残業時間」","")&amp;IF(OR(J1298=FALSE,K1298=FALSE,L1298=FALSE,M1298=FALSE),入力リスト!$K$36,"")&amp;IF(N1298,"",入力リスト!$K$37)))</f>
        <v/>
      </c>
      <c r="H1298" s="215"/>
      <c r="I1298" s="1" t="b">
        <f>IF(B1298="",FALSE,COUNTIF('従業員情報(給与以外)'!$A$4:$A$1000000,$B1298)=0)</f>
        <v>0</v>
      </c>
      <c r="J1298" s="8" t="b">
        <f t="shared" si="100"/>
        <v>1</v>
      </c>
      <c r="K1298" s="8" t="b">
        <f t="shared" si="101"/>
        <v>1</v>
      </c>
      <c r="L1298" s="8" t="b">
        <f t="shared" si="102"/>
        <v>1</v>
      </c>
      <c r="M1298" s="8" t="b">
        <f t="shared" si="103"/>
        <v>1</v>
      </c>
      <c r="N1298" s="1" t="b">
        <f t="shared" si="104"/>
        <v>1</v>
      </c>
      <c r="O1298" s="8" t="str">
        <f>IF(F1298="","",IF($F$2=入力リスト!$H$25,ROUNDDOWN(INT(F1298)+ROUNDDOWN((F1298-INT(F1298))*100,0)/60,2),F1298))</f>
        <v/>
      </c>
      <c r="P1298" s="7"/>
      <c r="Q1298" s="7"/>
    </row>
    <row r="1299" spans="1:17">
      <c r="A1299" s="105"/>
      <c r="B1299" s="2"/>
      <c r="C1299" s="3"/>
      <c r="D1299" s="3"/>
      <c r="E1299" s="3"/>
      <c r="F1299" s="8"/>
      <c r="G1299" s="215" t="str">
        <f>IF(AND($B1299="",OR(B1299&lt;&gt;"",C1299&lt;&gt;"",D1299&lt;&gt;"",E1299&lt;&gt;"",F1299&lt;&gt;"")),入力リスト!$K$34,IF($I1299=TRUE,入力リスト!$K$35,IF(J1299=FALSE,"「毎月の固定給与額」","")&amp;IF(AND(J1299=FALSE,OR(K1299=FALSE,L1299=FALSE,M1299=FALSE)),",","")&amp;IF(K1299=FALSE,"「賞与額等」","")&amp;IF(AND(K1299=FALSE,OR(L1299=FALSE,M1299=FALSE)),",","")&amp;IF(L1299=FALSE,"「残業手当」","")&amp;IF(AND(L1299=FALSE,M1299=FALSE),",","")&amp;IF(M1299=FALSE,"「残業時間」","")&amp;IF(OR(J1299=FALSE,K1299=FALSE,L1299=FALSE,M1299=FALSE),入力リスト!$K$36,"")&amp;IF(N1299,"",入力リスト!$K$37)))</f>
        <v/>
      </c>
      <c r="H1299" s="215"/>
      <c r="I1299" s="1" t="b">
        <f>IF(B1299="",FALSE,COUNTIF('従業員情報(給与以外)'!$A$4:$A$1000000,$B1299)=0)</f>
        <v>0</v>
      </c>
      <c r="J1299" s="8" t="b">
        <f t="shared" si="100"/>
        <v>1</v>
      </c>
      <c r="K1299" s="8" t="b">
        <f t="shared" si="101"/>
        <v>1</v>
      </c>
      <c r="L1299" s="8" t="b">
        <f t="shared" si="102"/>
        <v>1</v>
      </c>
      <c r="M1299" s="8" t="b">
        <f t="shared" si="103"/>
        <v>1</v>
      </c>
      <c r="N1299" s="1" t="b">
        <f t="shared" si="104"/>
        <v>1</v>
      </c>
      <c r="O1299" s="8" t="str">
        <f>IF(F1299="","",IF($F$2=入力リスト!$H$25,ROUNDDOWN(INT(F1299)+ROUNDDOWN((F1299-INT(F1299))*100,0)/60,2),F1299))</f>
        <v/>
      </c>
      <c r="P1299" s="7"/>
      <c r="Q1299" s="7"/>
    </row>
    <row r="1300" spans="1:17">
      <c r="A1300" s="105"/>
      <c r="B1300" s="2"/>
      <c r="C1300" s="3"/>
      <c r="D1300" s="3"/>
      <c r="E1300" s="3"/>
      <c r="F1300" s="8"/>
      <c r="G1300" s="215" t="str">
        <f>IF(AND($B1300="",OR(B1300&lt;&gt;"",C1300&lt;&gt;"",D1300&lt;&gt;"",E1300&lt;&gt;"",F1300&lt;&gt;"")),入力リスト!$K$34,IF($I1300=TRUE,入力リスト!$K$35,IF(J1300=FALSE,"「毎月の固定給与額」","")&amp;IF(AND(J1300=FALSE,OR(K1300=FALSE,L1300=FALSE,M1300=FALSE)),",","")&amp;IF(K1300=FALSE,"「賞与額等」","")&amp;IF(AND(K1300=FALSE,OR(L1300=FALSE,M1300=FALSE)),",","")&amp;IF(L1300=FALSE,"「残業手当」","")&amp;IF(AND(L1300=FALSE,M1300=FALSE),",","")&amp;IF(M1300=FALSE,"「残業時間」","")&amp;IF(OR(J1300=FALSE,K1300=FALSE,L1300=FALSE,M1300=FALSE),入力リスト!$K$36,"")&amp;IF(N1300,"",入力リスト!$K$37)))</f>
        <v/>
      </c>
      <c r="H1300" s="215"/>
      <c r="I1300" s="1" t="b">
        <f>IF(B1300="",FALSE,COUNTIF('従業員情報(給与以外)'!$A$4:$A$1000000,$B1300)=0)</f>
        <v>0</v>
      </c>
      <c r="J1300" s="8" t="b">
        <f t="shared" si="100"/>
        <v>1</v>
      </c>
      <c r="K1300" s="8" t="b">
        <f t="shared" si="101"/>
        <v>1</v>
      </c>
      <c r="L1300" s="8" t="b">
        <f t="shared" si="102"/>
        <v>1</v>
      </c>
      <c r="M1300" s="8" t="b">
        <f t="shared" si="103"/>
        <v>1</v>
      </c>
      <c r="N1300" s="1" t="b">
        <f t="shared" si="104"/>
        <v>1</v>
      </c>
      <c r="O1300" s="8" t="str">
        <f>IF(F1300="","",IF($F$2=入力リスト!$H$25,ROUNDDOWN(INT(F1300)+ROUNDDOWN((F1300-INT(F1300))*100,0)/60,2),F1300))</f>
        <v/>
      </c>
      <c r="P1300" s="7"/>
      <c r="Q1300" s="7"/>
    </row>
    <row r="1301" spans="1:17">
      <c r="A1301" s="105"/>
      <c r="B1301" s="2"/>
      <c r="C1301" s="3"/>
      <c r="D1301" s="3"/>
      <c r="E1301" s="3"/>
      <c r="F1301" s="8"/>
      <c r="G1301" s="215" t="str">
        <f>IF(AND($B1301="",OR(B1301&lt;&gt;"",C1301&lt;&gt;"",D1301&lt;&gt;"",E1301&lt;&gt;"",F1301&lt;&gt;"")),入力リスト!$K$34,IF($I1301=TRUE,入力リスト!$K$35,IF(J1301=FALSE,"「毎月の固定給与額」","")&amp;IF(AND(J1301=FALSE,OR(K1301=FALSE,L1301=FALSE,M1301=FALSE)),",","")&amp;IF(K1301=FALSE,"「賞与額等」","")&amp;IF(AND(K1301=FALSE,OR(L1301=FALSE,M1301=FALSE)),",","")&amp;IF(L1301=FALSE,"「残業手当」","")&amp;IF(AND(L1301=FALSE,M1301=FALSE),",","")&amp;IF(M1301=FALSE,"「残業時間」","")&amp;IF(OR(J1301=FALSE,K1301=FALSE,L1301=FALSE,M1301=FALSE),入力リスト!$K$36,"")&amp;IF(N1301,"",入力リスト!$K$37)))</f>
        <v/>
      </c>
      <c r="H1301" s="215"/>
      <c r="I1301" s="1" t="b">
        <f>IF(B1301="",FALSE,COUNTIF('従業員情報(給与以外)'!$A$4:$A$1000000,$B1301)=0)</f>
        <v>0</v>
      </c>
      <c r="J1301" s="8" t="b">
        <f t="shared" si="100"/>
        <v>1</v>
      </c>
      <c r="K1301" s="8" t="b">
        <f t="shared" si="101"/>
        <v>1</v>
      </c>
      <c r="L1301" s="8" t="b">
        <f t="shared" si="102"/>
        <v>1</v>
      </c>
      <c r="M1301" s="8" t="b">
        <f t="shared" si="103"/>
        <v>1</v>
      </c>
      <c r="N1301" s="1" t="b">
        <f t="shared" si="104"/>
        <v>1</v>
      </c>
      <c r="O1301" s="8" t="str">
        <f>IF(F1301="","",IF($F$2=入力リスト!$H$25,ROUNDDOWN(INT(F1301)+ROUNDDOWN((F1301-INT(F1301))*100,0)/60,2),F1301))</f>
        <v/>
      </c>
      <c r="P1301" s="7"/>
      <c r="Q1301" s="7"/>
    </row>
    <row r="1302" spans="1:17">
      <c r="A1302" s="105"/>
      <c r="B1302" s="2"/>
      <c r="C1302" s="3"/>
      <c r="D1302" s="3"/>
      <c r="E1302" s="3"/>
      <c r="F1302" s="8"/>
      <c r="G1302" s="215" t="str">
        <f>IF(AND($B1302="",OR(B1302&lt;&gt;"",C1302&lt;&gt;"",D1302&lt;&gt;"",E1302&lt;&gt;"",F1302&lt;&gt;"")),入力リスト!$K$34,IF($I1302=TRUE,入力リスト!$K$35,IF(J1302=FALSE,"「毎月の固定給与額」","")&amp;IF(AND(J1302=FALSE,OR(K1302=FALSE,L1302=FALSE,M1302=FALSE)),",","")&amp;IF(K1302=FALSE,"「賞与額等」","")&amp;IF(AND(K1302=FALSE,OR(L1302=FALSE,M1302=FALSE)),",","")&amp;IF(L1302=FALSE,"「残業手当」","")&amp;IF(AND(L1302=FALSE,M1302=FALSE),",","")&amp;IF(M1302=FALSE,"「残業時間」","")&amp;IF(OR(J1302=FALSE,K1302=FALSE,L1302=FALSE,M1302=FALSE),入力リスト!$K$36,"")&amp;IF(N1302,"",入力リスト!$K$37)))</f>
        <v/>
      </c>
      <c r="H1302" s="215"/>
      <c r="I1302" s="1" t="b">
        <f>IF(B1302="",FALSE,COUNTIF('従業員情報(給与以外)'!$A$4:$A$1000000,$B1302)=0)</f>
        <v>0</v>
      </c>
      <c r="J1302" s="8" t="b">
        <f t="shared" si="100"/>
        <v>1</v>
      </c>
      <c r="K1302" s="8" t="b">
        <f t="shared" si="101"/>
        <v>1</v>
      </c>
      <c r="L1302" s="8" t="b">
        <f t="shared" si="102"/>
        <v>1</v>
      </c>
      <c r="M1302" s="8" t="b">
        <f t="shared" si="103"/>
        <v>1</v>
      </c>
      <c r="N1302" s="1" t="b">
        <f t="shared" si="104"/>
        <v>1</v>
      </c>
      <c r="O1302" s="8" t="str">
        <f>IF(F1302="","",IF($F$2=入力リスト!$H$25,ROUNDDOWN(INT(F1302)+ROUNDDOWN((F1302-INT(F1302))*100,0)/60,2),F1302))</f>
        <v/>
      </c>
      <c r="P1302" s="7"/>
      <c r="Q1302" s="7"/>
    </row>
    <row r="1303" spans="1:17">
      <c r="A1303" s="105"/>
      <c r="B1303" s="2"/>
      <c r="C1303" s="3"/>
      <c r="D1303" s="3"/>
      <c r="E1303" s="3"/>
      <c r="F1303" s="8"/>
      <c r="G1303" s="215" t="str">
        <f>IF(AND($B1303="",OR(B1303&lt;&gt;"",C1303&lt;&gt;"",D1303&lt;&gt;"",E1303&lt;&gt;"",F1303&lt;&gt;"")),入力リスト!$K$34,IF($I1303=TRUE,入力リスト!$K$35,IF(J1303=FALSE,"「毎月の固定給与額」","")&amp;IF(AND(J1303=FALSE,OR(K1303=FALSE,L1303=FALSE,M1303=FALSE)),",","")&amp;IF(K1303=FALSE,"「賞与額等」","")&amp;IF(AND(K1303=FALSE,OR(L1303=FALSE,M1303=FALSE)),",","")&amp;IF(L1303=FALSE,"「残業手当」","")&amp;IF(AND(L1303=FALSE,M1303=FALSE),",","")&amp;IF(M1303=FALSE,"「残業時間」","")&amp;IF(OR(J1303=FALSE,K1303=FALSE,L1303=FALSE,M1303=FALSE),入力リスト!$K$36,"")&amp;IF(N1303,"",入力リスト!$K$37)))</f>
        <v/>
      </c>
      <c r="H1303" s="215"/>
      <c r="I1303" s="1" t="b">
        <f>IF(B1303="",FALSE,COUNTIF('従業員情報(給与以外)'!$A$4:$A$1000000,$B1303)=0)</f>
        <v>0</v>
      </c>
      <c r="J1303" s="8" t="b">
        <f t="shared" si="100"/>
        <v>1</v>
      </c>
      <c r="K1303" s="8" t="b">
        <f t="shared" si="101"/>
        <v>1</v>
      </c>
      <c r="L1303" s="8" t="b">
        <f t="shared" si="102"/>
        <v>1</v>
      </c>
      <c r="M1303" s="8" t="b">
        <f t="shared" si="103"/>
        <v>1</v>
      </c>
      <c r="N1303" s="1" t="b">
        <f t="shared" si="104"/>
        <v>1</v>
      </c>
      <c r="O1303" s="8" t="str">
        <f>IF(F1303="","",IF($F$2=入力リスト!$H$25,ROUNDDOWN(INT(F1303)+ROUNDDOWN((F1303-INT(F1303))*100,0)/60,2),F1303))</f>
        <v/>
      </c>
      <c r="P1303" s="7"/>
      <c r="Q1303" s="7"/>
    </row>
    <row r="1304" spans="1:17">
      <c r="A1304" s="105"/>
      <c r="B1304" s="2"/>
      <c r="C1304" s="3"/>
      <c r="D1304" s="3"/>
      <c r="E1304" s="3"/>
      <c r="F1304" s="8"/>
      <c r="G1304" s="215" t="str">
        <f>IF(AND($B1304="",OR(B1304&lt;&gt;"",C1304&lt;&gt;"",D1304&lt;&gt;"",E1304&lt;&gt;"",F1304&lt;&gt;"")),入力リスト!$K$34,IF($I1304=TRUE,入力リスト!$K$35,IF(J1304=FALSE,"「毎月の固定給与額」","")&amp;IF(AND(J1304=FALSE,OR(K1304=FALSE,L1304=FALSE,M1304=FALSE)),",","")&amp;IF(K1304=FALSE,"「賞与額等」","")&amp;IF(AND(K1304=FALSE,OR(L1304=FALSE,M1304=FALSE)),",","")&amp;IF(L1304=FALSE,"「残業手当」","")&amp;IF(AND(L1304=FALSE,M1304=FALSE),",","")&amp;IF(M1304=FALSE,"「残業時間」","")&amp;IF(OR(J1304=FALSE,K1304=FALSE,L1304=FALSE,M1304=FALSE),入力リスト!$K$36,"")&amp;IF(N1304,"",入力リスト!$K$37)))</f>
        <v/>
      </c>
      <c r="H1304" s="215"/>
      <c r="I1304" s="1" t="b">
        <f>IF(B1304="",FALSE,COUNTIF('従業員情報(給与以外)'!$A$4:$A$1000000,$B1304)=0)</f>
        <v>0</v>
      </c>
      <c r="J1304" s="8" t="b">
        <f t="shared" si="100"/>
        <v>1</v>
      </c>
      <c r="K1304" s="8" t="b">
        <f t="shared" si="101"/>
        <v>1</v>
      </c>
      <c r="L1304" s="8" t="b">
        <f t="shared" si="102"/>
        <v>1</v>
      </c>
      <c r="M1304" s="8" t="b">
        <f t="shared" si="103"/>
        <v>1</v>
      </c>
      <c r="N1304" s="1" t="b">
        <f t="shared" si="104"/>
        <v>1</v>
      </c>
      <c r="O1304" s="8" t="str">
        <f>IF(F1304="","",IF($F$2=入力リスト!$H$25,ROUNDDOWN(INT(F1304)+ROUNDDOWN((F1304-INT(F1304))*100,0)/60,2),F1304))</f>
        <v/>
      </c>
      <c r="P1304" s="7"/>
      <c r="Q1304" s="7"/>
    </row>
    <row r="1305" spans="1:17">
      <c r="A1305" s="105"/>
      <c r="B1305" s="2"/>
      <c r="C1305" s="3"/>
      <c r="D1305" s="3"/>
      <c r="E1305" s="3"/>
      <c r="F1305" s="8"/>
      <c r="G1305" s="215" t="str">
        <f>IF(AND($B1305="",OR(B1305&lt;&gt;"",C1305&lt;&gt;"",D1305&lt;&gt;"",E1305&lt;&gt;"",F1305&lt;&gt;"")),入力リスト!$K$34,IF($I1305=TRUE,入力リスト!$K$35,IF(J1305=FALSE,"「毎月の固定給与額」","")&amp;IF(AND(J1305=FALSE,OR(K1305=FALSE,L1305=FALSE,M1305=FALSE)),",","")&amp;IF(K1305=FALSE,"「賞与額等」","")&amp;IF(AND(K1305=FALSE,OR(L1305=FALSE,M1305=FALSE)),",","")&amp;IF(L1305=FALSE,"「残業手当」","")&amp;IF(AND(L1305=FALSE,M1305=FALSE),",","")&amp;IF(M1305=FALSE,"「残業時間」","")&amp;IF(OR(J1305=FALSE,K1305=FALSE,L1305=FALSE,M1305=FALSE),入力リスト!$K$36,"")&amp;IF(N1305,"",入力リスト!$K$37)))</f>
        <v/>
      </c>
      <c r="H1305" s="215"/>
      <c r="I1305" s="1" t="b">
        <f>IF(B1305="",FALSE,COUNTIF('従業員情報(給与以外)'!$A$4:$A$1000000,$B1305)=0)</f>
        <v>0</v>
      </c>
      <c r="J1305" s="8" t="b">
        <f t="shared" si="100"/>
        <v>1</v>
      </c>
      <c r="K1305" s="8" t="b">
        <f t="shared" si="101"/>
        <v>1</v>
      </c>
      <c r="L1305" s="8" t="b">
        <f t="shared" si="102"/>
        <v>1</v>
      </c>
      <c r="M1305" s="8" t="b">
        <f t="shared" si="103"/>
        <v>1</v>
      </c>
      <c r="N1305" s="1" t="b">
        <f t="shared" si="104"/>
        <v>1</v>
      </c>
      <c r="O1305" s="8" t="str">
        <f>IF(F1305="","",IF($F$2=入力リスト!$H$25,ROUNDDOWN(INT(F1305)+ROUNDDOWN((F1305-INT(F1305))*100,0)/60,2),F1305))</f>
        <v/>
      </c>
      <c r="P1305" s="7"/>
      <c r="Q1305" s="7"/>
    </row>
    <row r="1306" spans="1:17">
      <c r="A1306" s="105"/>
      <c r="B1306" s="2"/>
      <c r="C1306" s="3"/>
      <c r="D1306" s="3"/>
      <c r="E1306" s="3"/>
      <c r="F1306" s="8"/>
      <c r="G1306" s="215" t="str">
        <f>IF(AND($B1306="",OR(B1306&lt;&gt;"",C1306&lt;&gt;"",D1306&lt;&gt;"",E1306&lt;&gt;"",F1306&lt;&gt;"")),入力リスト!$K$34,IF($I1306=TRUE,入力リスト!$K$35,IF(J1306=FALSE,"「毎月の固定給与額」","")&amp;IF(AND(J1306=FALSE,OR(K1306=FALSE,L1306=FALSE,M1306=FALSE)),",","")&amp;IF(K1306=FALSE,"「賞与額等」","")&amp;IF(AND(K1306=FALSE,OR(L1306=FALSE,M1306=FALSE)),",","")&amp;IF(L1306=FALSE,"「残業手当」","")&amp;IF(AND(L1306=FALSE,M1306=FALSE),",","")&amp;IF(M1306=FALSE,"「残業時間」","")&amp;IF(OR(J1306=FALSE,K1306=FALSE,L1306=FALSE,M1306=FALSE),入力リスト!$K$36,"")&amp;IF(N1306,"",入力リスト!$K$37)))</f>
        <v/>
      </c>
      <c r="H1306" s="215"/>
      <c r="I1306" s="1" t="b">
        <f>IF(B1306="",FALSE,COUNTIF('従業員情報(給与以外)'!$A$4:$A$1000000,$B1306)=0)</f>
        <v>0</v>
      </c>
      <c r="J1306" s="8" t="b">
        <f t="shared" si="100"/>
        <v>1</v>
      </c>
      <c r="K1306" s="8" t="b">
        <f t="shared" si="101"/>
        <v>1</v>
      </c>
      <c r="L1306" s="8" t="b">
        <f t="shared" si="102"/>
        <v>1</v>
      </c>
      <c r="M1306" s="8" t="b">
        <f t="shared" si="103"/>
        <v>1</v>
      </c>
      <c r="N1306" s="1" t="b">
        <f t="shared" si="104"/>
        <v>1</v>
      </c>
      <c r="O1306" s="8" t="str">
        <f>IF(F1306="","",IF($F$2=入力リスト!$H$25,ROUNDDOWN(INT(F1306)+ROUNDDOWN((F1306-INT(F1306))*100,0)/60,2),F1306))</f>
        <v/>
      </c>
      <c r="P1306" s="7"/>
      <c r="Q1306" s="7"/>
    </row>
    <row r="1307" spans="1:17">
      <c r="A1307" s="105"/>
      <c r="B1307" s="2"/>
      <c r="C1307" s="3"/>
      <c r="D1307" s="3"/>
      <c r="E1307" s="3"/>
      <c r="F1307" s="8"/>
      <c r="G1307" s="215" t="str">
        <f>IF(AND($B1307="",OR(B1307&lt;&gt;"",C1307&lt;&gt;"",D1307&lt;&gt;"",E1307&lt;&gt;"",F1307&lt;&gt;"")),入力リスト!$K$34,IF($I1307=TRUE,入力リスト!$K$35,IF(J1307=FALSE,"「毎月の固定給与額」","")&amp;IF(AND(J1307=FALSE,OR(K1307=FALSE,L1307=FALSE,M1307=FALSE)),",","")&amp;IF(K1307=FALSE,"「賞与額等」","")&amp;IF(AND(K1307=FALSE,OR(L1307=FALSE,M1307=FALSE)),",","")&amp;IF(L1307=FALSE,"「残業手当」","")&amp;IF(AND(L1307=FALSE,M1307=FALSE),",","")&amp;IF(M1307=FALSE,"「残業時間」","")&amp;IF(OR(J1307=FALSE,K1307=FALSE,L1307=FALSE,M1307=FALSE),入力リスト!$K$36,"")&amp;IF(N1307,"",入力リスト!$K$37)))</f>
        <v/>
      </c>
      <c r="H1307" s="215"/>
      <c r="I1307" s="1" t="b">
        <f>IF(B1307="",FALSE,COUNTIF('従業員情報(給与以外)'!$A$4:$A$1000000,$B1307)=0)</f>
        <v>0</v>
      </c>
      <c r="J1307" s="8" t="b">
        <f t="shared" si="100"/>
        <v>1</v>
      </c>
      <c r="K1307" s="8" t="b">
        <f t="shared" si="101"/>
        <v>1</v>
      </c>
      <c r="L1307" s="8" t="b">
        <f t="shared" si="102"/>
        <v>1</v>
      </c>
      <c r="M1307" s="8" t="b">
        <f t="shared" si="103"/>
        <v>1</v>
      </c>
      <c r="N1307" s="1" t="b">
        <f t="shared" si="104"/>
        <v>1</v>
      </c>
      <c r="O1307" s="8" t="str">
        <f>IF(F1307="","",IF($F$2=入力リスト!$H$25,ROUNDDOWN(INT(F1307)+ROUNDDOWN((F1307-INT(F1307))*100,0)/60,2),F1307))</f>
        <v/>
      </c>
      <c r="P1307" s="7"/>
      <c r="Q1307" s="7"/>
    </row>
    <row r="1308" spans="1:17">
      <c r="A1308" s="105"/>
      <c r="B1308" s="2"/>
      <c r="C1308" s="3"/>
      <c r="D1308" s="3"/>
      <c r="E1308" s="3"/>
      <c r="F1308" s="8"/>
      <c r="G1308" s="215" t="str">
        <f>IF(AND($B1308="",OR(B1308&lt;&gt;"",C1308&lt;&gt;"",D1308&lt;&gt;"",E1308&lt;&gt;"",F1308&lt;&gt;"")),入力リスト!$K$34,IF($I1308=TRUE,入力リスト!$K$35,IF(J1308=FALSE,"「毎月の固定給与額」","")&amp;IF(AND(J1308=FALSE,OR(K1308=FALSE,L1308=FALSE,M1308=FALSE)),",","")&amp;IF(K1308=FALSE,"「賞与額等」","")&amp;IF(AND(K1308=FALSE,OR(L1308=FALSE,M1308=FALSE)),",","")&amp;IF(L1308=FALSE,"「残業手当」","")&amp;IF(AND(L1308=FALSE,M1308=FALSE),",","")&amp;IF(M1308=FALSE,"「残業時間」","")&amp;IF(OR(J1308=FALSE,K1308=FALSE,L1308=FALSE,M1308=FALSE),入力リスト!$K$36,"")&amp;IF(N1308,"",入力リスト!$K$37)))</f>
        <v/>
      </c>
      <c r="H1308" s="215"/>
      <c r="I1308" s="1" t="b">
        <f>IF(B1308="",FALSE,COUNTIF('従業員情報(給与以外)'!$A$4:$A$1000000,$B1308)=0)</f>
        <v>0</v>
      </c>
      <c r="J1308" s="8" t="b">
        <f t="shared" si="100"/>
        <v>1</v>
      </c>
      <c r="K1308" s="8" t="b">
        <f t="shared" si="101"/>
        <v>1</v>
      </c>
      <c r="L1308" s="8" t="b">
        <f t="shared" si="102"/>
        <v>1</v>
      </c>
      <c r="M1308" s="8" t="b">
        <f t="shared" si="103"/>
        <v>1</v>
      </c>
      <c r="N1308" s="1" t="b">
        <f t="shared" si="104"/>
        <v>1</v>
      </c>
      <c r="O1308" s="8" t="str">
        <f>IF(F1308="","",IF($F$2=入力リスト!$H$25,ROUNDDOWN(INT(F1308)+ROUNDDOWN((F1308-INT(F1308))*100,0)/60,2),F1308))</f>
        <v/>
      </c>
      <c r="P1308" s="7"/>
      <c r="Q1308" s="7"/>
    </row>
    <row r="1309" spans="1:17">
      <c r="A1309" s="105"/>
      <c r="B1309" s="2"/>
      <c r="C1309" s="3"/>
      <c r="D1309" s="3"/>
      <c r="E1309" s="3"/>
      <c r="F1309" s="8"/>
      <c r="G1309" s="215" t="str">
        <f>IF(AND($B1309="",OR(B1309&lt;&gt;"",C1309&lt;&gt;"",D1309&lt;&gt;"",E1309&lt;&gt;"",F1309&lt;&gt;"")),入力リスト!$K$34,IF($I1309=TRUE,入力リスト!$K$35,IF(J1309=FALSE,"「毎月の固定給与額」","")&amp;IF(AND(J1309=FALSE,OR(K1309=FALSE,L1309=FALSE,M1309=FALSE)),",","")&amp;IF(K1309=FALSE,"「賞与額等」","")&amp;IF(AND(K1309=FALSE,OR(L1309=FALSE,M1309=FALSE)),",","")&amp;IF(L1309=FALSE,"「残業手当」","")&amp;IF(AND(L1309=FALSE,M1309=FALSE),",","")&amp;IF(M1309=FALSE,"「残業時間」","")&amp;IF(OR(J1309=FALSE,K1309=FALSE,L1309=FALSE,M1309=FALSE),入力リスト!$K$36,"")&amp;IF(N1309,"",入力リスト!$K$37)))</f>
        <v/>
      </c>
      <c r="H1309" s="215"/>
      <c r="I1309" s="1" t="b">
        <f>IF(B1309="",FALSE,COUNTIF('従業員情報(給与以外)'!$A$4:$A$1000000,$B1309)=0)</f>
        <v>0</v>
      </c>
      <c r="J1309" s="8" t="b">
        <f t="shared" si="100"/>
        <v>1</v>
      </c>
      <c r="K1309" s="8" t="b">
        <f t="shared" si="101"/>
        <v>1</v>
      </c>
      <c r="L1309" s="8" t="b">
        <f t="shared" si="102"/>
        <v>1</v>
      </c>
      <c r="M1309" s="8" t="b">
        <f t="shared" si="103"/>
        <v>1</v>
      </c>
      <c r="N1309" s="1" t="b">
        <f t="shared" si="104"/>
        <v>1</v>
      </c>
      <c r="O1309" s="8" t="str">
        <f>IF(F1309="","",IF($F$2=入力リスト!$H$25,ROUNDDOWN(INT(F1309)+ROUNDDOWN((F1309-INT(F1309))*100,0)/60,2),F1309))</f>
        <v/>
      </c>
      <c r="P1309" s="7"/>
      <c r="Q1309" s="7"/>
    </row>
    <row r="1310" spans="1:17">
      <c r="A1310" s="105"/>
      <c r="B1310" s="2"/>
      <c r="C1310" s="3"/>
      <c r="D1310" s="3"/>
      <c r="E1310" s="3"/>
      <c r="F1310" s="8"/>
      <c r="G1310" s="215" t="str">
        <f>IF(AND($B1310="",OR(B1310&lt;&gt;"",C1310&lt;&gt;"",D1310&lt;&gt;"",E1310&lt;&gt;"",F1310&lt;&gt;"")),入力リスト!$K$34,IF($I1310=TRUE,入力リスト!$K$35,IF(J1310=FALSE,"「毎月の固定給与額」","")&amp;IF(AND(J1310=FALSE,OR(K1310=FALSE,L1310=FALSE,M1310=FALSE)),",","")&amp;IF(K1310=FALSE,"「賞与額等」","")&amp;IF(AND(K1310=FALSE,OR(L1310=FALSE,M1310=FALSE)),",","")&amp;IF(L1310=FALSE,"「残業手当」","")&amp;IF(AND(L1310=FALSE,M1310=FALSE),",","")&amp;IF(M1310=FALSE,"「残業時間」","")&amp;IF(OR(J1310=FALSE,K1310=FALSE,L1310=FALSE,M1310=FALSE),入力リスト!$K$36,"")&amp;IF(N1310,"",入力リスト!$K$37)))</f>
        <v/>
      </c>
      <c r="H1310" s="215"/>
      <c r="I1310" s="1" t="b">
        <f>IF(B1310="",FALSE,COUNTIF('従業員情報(給与以外)'!$A$4:$A$1000000,$B1310)=0)</f>
        <v>0</v>
      </c>
      <c r="J1310" s="8" t="b">
        <f t="shared" si="100"/>
        <v>1</v>
      </c>
      <c r="K1310" s="8" t="b">
        <f t="shared" si="101"/>
        <v>1</v>
      </c>
      <c r="L1310" s="8" t="b">
        <f t="shared" si="102"/>
        <v>1</v>
      </c>
      <c r="M1310" s="8" t="b">
        <f t="shared" si="103"/>
        <v>1</v>
      </c>
      <c r="N1310" s="1" t="b">
        <f t="shared" si="104"/>
        <v>1</v>
      </c>
      <c r="O1310" s="8" t="str">
        <f>IF(F1310="","",IF($F$2=入力リスト!$H$25,ROUNDDOWN(INT(F1310)+ROUNDDOWN((F1310-INT(F1310))*100,0)/60,2),F1310))</f>
        <v/>
      </c>
      <c r="P1310" s="7"/>
      <c r="Q1310" s="7"/>
    </row>
    <row r="1311" spans="1:17">
      <c r="A1311" s="105"/>
      <c r="B1311" s="2"/>
      <c r="C1311" s="3"/>
      <c r="D1311" s="3"/>
      <c r="E1311" s="3"/>
      <c r="F1311" s="8"/>
      <c r="G1311" s="215" t="str">
        <f>IF(AND($B1311="",OR(B1311&lt;&gt;"",C1311&lt;&gt;"",D1311&lt;&gt;"",E1311&lt;&gt;"",F1311&lt;&gt;"")),入力リスト!$K$34,IF($I1311=TRUE,入力リスト!$K$35,IF(J1311=FALSE,"「毎月の固定給与額」","")&amp;IF(AND(J1311=FALSE,OR(K1311=FALSE,L1311=FALSE,M1311=FALSE)),",","")&amp;IF(K1311=FALSE,"「賞与額等」","")&amp;IF(AND(K1311=FALSE,OR(L1311=FALSE,M1311=FALSE)),",","")&amp;IF(L1311=FALSE,"「残業手当」","")&amp;IF(AND(L1311=FALSE,M1311=FALSE),",","")&amp;IF(M1311=FALSE,"「残業時間」","")&amp;IF(OR(J1311=FALSE,K1311=FALSE,L1311=FALSE,M1311=FALSE),入力リスト!$K$36,"")&amp;IF(N1311,"",入力リスト!$K$37)))</f>
        <v/>
      </c>
      <c r="H1311" s="215"/>
      <c r="I1311" s="1" t="b">
        <f>IF(B1311="",FALSE,COUNTIF('従業員情報(給与以外)'!$A$4:$A$1000000,$B1311)=0)</f>
        <v>0</v>
      </c>
      <c r="J1311" s="8" t="b">
        <f t="shared" si="100"/>
        <v>1</v>
      </c>
      <c r="K1311" s="8" t="b">
        <f t="shared" si="101"/>
        <v>1</v>
      </c>
      <c r="L1311" s="8" t="b">
        <f t="shared" si="102"/>
        <v>1</v>
      </c>
      <c r="M1311" s="8" t="b">
        <f t="shared" si="103"/>
        <v>1</v>
      </c>
      <c r="N1311" s="1" t="b">
        <f t="shared" si="104"/>
        <v>1</v>
      </c>
      <c r="O1311" s="8" t="str">
        <f>IF(F1311="","",IF($F$2=入力リスト!$H$25,ROUNDDOWN(INT(F1311)+ROUNDDOWN((F1311-INT(F1311))*100,0)/60,2),F1311))</f>
        <v/>
      </c>
      <c r="P1311" s="7"/>
      <c r="Q1311" s="7"/>
    </row>
    <row r="1312" spans="1:17">
      <c r="A1312" s="105"/>
      <c r="B1312" s="2"/>
      <c r="C1312" s="3"/>
      <c r="D1312" s="3"/>
      <c r="E1312" s="3"/>
      <c r="F1312" s="8"/>
      <c r="G1312" s="215" t="str">
        <f>IF(AND($B1312="",OR(B1312&lt;&gt;"",C1312&lt;&gt;"",D1312&lt;&gt;"",E1312&lt;&gt;"",F1312&lt;&gt;"")),入力リスト!$K$34,IF($I1312=TRUE,入力リスト!$K$35,IF(J1312=FALSE,"「毎月の固定給与額」","")&amp;IF(AND(J1312=FALSE,OR(K1312=FALSE,L1312=FALSE,M1312=FALSE)),",","")&amp;IF(K1312=FALSE,"「賞与額等」","")&amp;IF(AND(K1312=FALSE,OR(L1312=FALSE,M1312=FALSE)),",","")&amp;IF(L1312=FALSE,"「残業手当」","")&amp;IF(AND(L1312=FALSE,M1312=FALSE),",","")&amp;IF(M1312=FALSE,"「残業時間」","")&amp;IF(OR(J1312=FALSE,K1312=FALSE,L1312=FALSE,M1312=FALSE),入力リスト!$K$36,"")&amp;IF(N1312,"",入力リスト!$K$37)))</f>
        <v/>
      </c>
      <c r="H1312" s="215"/>
      <c r="I1312" s="1" t="b">
        <f>IF(B1312="",FALSE,COUNTIF('従業員情報(給与以外)'!$A$4:$A$1000000,$B1312)=0)</f>
        <v>0</v>
      </c>
      <c r="J1312" s="8" t="b">
        <f t="shared" si="100"/>
        <v>1</v>
      </c>
      <c r="K1312" s="8" t="b">
        <f t="shared" si="101"/>
        <v>1</v>
      </c>
      <c r="L1312" s="8" t="b">
        <f t="shared" si="102"/>
        <v>1</v>
      </c>
      <c r="M1312" s="8" t="b">
        <f t="shared" si="103"/>
        <v>1</v>
      </c>
      <c r="N1312" s="1" t="b">
        <f t="shared" si="104"/>
        <v>1</v>
      </c>
      <c r="O1312" s="8" t="str">
        <f>IF(F1312="","",IF($F$2=入力リスト!$H$25,ROUNDDOWN(INT(F1312)+ROUNDDOWN((F1312-INT(F1312))*100,0)/60,2),F1312))</f>
        <v/>
      </c>
      <c r="P1312" s="7"/>
      <c r="Q1312" s="7"/>
    </row>
    <row r="1313" spans="1:17">
      <c r="A1313" s="105"/>
      <c r="B1313" s="2"/>
      <c r="C1313" s="3"/>
      <c r="D1313" s="3"/>
      <c r="E1313" s="3"/>
      <c r="F1313" s="8"/>
      <c r="G1313" s="215" t="str">
        <f>IF(AND($B1313="",OR(B1313&lt;&gt;"",C1313&lt;&gt;"",D1313&lt;&gt;"",E1313&lt;&gt;"",F1313&lt;&gt;"")),入力リスト!$K$34,IF($I1313=TRUE,入力リスト!$K$35,IF(J1313=FALSE,"「毎月の固定給与額」","")&amp;IF(AND(J1313=FALSE,OR(K1313=FALSE,L1313=FALSE,M1313=FALSE)),",","")&amp;IF(K1313=FALSE,"「賞与額等」","")&amp;IF(AND(K1313=FALSE,OR(L1313=FALSE,M1313=FALSE)),",","")&amp;IF(L1313=FALSE,"「残業手当」","")&amp;IF(AND(L1313=FALSE,M1313=FALSE),",","")&amp;IF(M1313=FALSE,"「残業時間」","")&amp;IF(OR(J1313=FALSE,K1313=FALSE,L1313=FALSE,M1313=FALSE),入力リスト!$K$36,"")&amp;IF(N1313,"",入力リスト!$K$37)))</f>
        <v/>
      </c>
      <c r="H1313" s="215"/>
      <c r="I1313" s="1" t="b">
        <f>IF(B1313="",FALSE,COUNTIF('従業員情報(給与以外)'!$A$4:$A$1000000,$B1313)=0)</f>
        <v>0</v>
      </c>
      <c r="J1313" s="8" t="b">
        <f t="shared" si="100"/>
        <v>1</v>
      </c>
      <c r="K1313" s="8" t="b">
        <f t="shared" si="101"/>
        <v>1</v>
      </c>
      <c r="L1313" s="8" t="b">
        <f t="shared" si="102"/>
        <v>1</v>
      </c>
      <c r="M1313" s="8" t="b">
        <f t="shared" si="103"/>
        <v>1</v>
      </c>
      <c r="N1313" s="1" t="b">
        <f t="shared" si="104"/>
        <v>1</v>
      </c>
      <c r="O1313" s="8" t="str">
        <f>IF(F1313="","",IF($F$2=入力リスト!$H$25,ROUNDDOWN(INT(F1313)+ROUNDDOWN((F1313-INT(F1313))*100,0)/60,2),F1313))</f>
        <v/>
      </c>
      <c r="P1313" s="7"/>
      <c r="Q1313" s="7"/>
    </row>
    <row r="1314" spans="1:17">
      <c r="A1314" s="105"/>
      <c r="B1314" s="2"/>
      <c r="C1314" s="3"/>
      <c r="D1314" s="3"/>
      <c r="E1314" s="3"/>
      <c r="F1314" s="8"/>
      <c r="G1314" s="215" t="str">
        <f>IF(AND($B1314="",OR(B1314&lt;&gt;"",C1314&lt;&gt;"",D1314&lt;&gt;"",E1314&lt;&gt;"",F1314&lt;&gt;"")),入力リスト!$K$34,IF($I1314=TRUE,入力リスト!$K$35,IF(J1314=FALSE,"「毎月の固定給与額」","")&amp;IF(AND(J1314=FALSE,OR(K1314=FALSE,L1314=FALSE,M1314=FALSE)),",","")&amp;IF(K1314=FALSE,"「賞与額等」","")&amp;IF(AND(K1314=FALSE,OR(L1314=FALSE,M1314=FALSE)),",","")&amp;IF(L1314=FALSE,"「残業手当」","")&amp;IF(AND(L1314=FALSE,M1314=FALSE),",","")&amp;IF(M1314=FALSE,"「残業時間」","")&amp;IF(OR(J1314=FALSE,K1314=FALSE,L1314=FALSE,M1314=FALSE),入力リスト!$K$36,"")&amp;IF(N1314,"",入力リスト!$K$37)))</f>
        <v/>
      </c>
      <c r="H1314" s="215"/>
      <c r="I1314" s="1" t="b">
        <f>IF(B1314="",FALSE,COUNTIF('従業員情報(給与以外)'!$A$4:$A$1000000,$B1314)=0)</f>
        <v>0</v>
      </c>
      <c r="J1314" s="8" t="b">
        <f t="shared" si="100"/>
        <v>1</v>
      </c>
      <c r="K1314" s="8" t="b">
        <f t="shared" si="101"/>
        <v>1</v>
      </c>
      <c r="L1314" s="8" t="b">
        <f t="shared" si="102"/>
        <v>1</v>
      </c>
      <c r="M1314" s="8" t="b">
        <f t="shared" si="103"/>
        <v>1</v>
      </c>
      <c r="N1314" s="1" t="b">
        <f t="shared" si="104"/>
        <v>1</v>
      </c>
      <c r="O1314" s="8" t="str">
        <f>IF(F1314="","",IF($F$2=入力リスト!$H$25,ROUNDDOWN(INT(F1314)+ROUNDDOWN((F1314-INT(F1314))*100,0)/60,2),F1314))</f>
        <v/>
      </c>
      <c r="P1314" s="7"/>
      <c r="Q1314" s="7"/>
    </row>
    <row r="1315" spans="1:17">
      <c r="A1315" s="105"/>
      <c r="B1315" s="2"/>
      <c r="C1315" s="3"/>
      <c r="D1315" s="3"/>
      <c r="E1315" s="3"/>
      <c r="F1315" s="8"/>
      <c r="G1315" s="215" t="str">
        <f>IF(AND($B1315="",OR(B1315&lt;&gt;"",C1315&lt;&gt;"",D1315&lt;&gt;"",E1315&lt;&gt;"",F1315&lt;&gt;"")),入力リスト!$K$34,IF($I1315=TRUE,入力リスト!$K$35,IF(J1315=FALSE,"「毎月の固定給与額」","")&amp;IF(AND(J1315=FALSE,OR(K1315=FALSE,L1315=FALSE,M1315=FALSE)),",","")&amp;IF(K1315=FALSE,"「賞与額等」","")&amp;IF(AND(K1315=FALSE,OR(L1315=FALSE,M1315=FALSE)),",","")&amp;IF(L1315=FALSE,"「残業手当」","")&amp;IF(AND(L1315=FALSE,M1315=FALSE),",","")&amp;IF(M1315=FALSE,"「残業時間」","")&amp;IF(OR(J1315=FALSE,K1315=FALSE,L1315=FALSE,M1315=FALSE),入力リスト!$K$36,"")&amp;IF(N1315,"",入力リスト!$K$37)))</f>
        <v/>
      </c>
      <c r="H1315" s="215"/>
      <c r="I1315" s="1" t="b">
        <f>IF(B1315="",FALSE,COUNTIF('従業員情報(給与以外)'!$A$4:$A$1000000,$B1315)=0)</f>
        <v>0</v>
      </c>
      <c r="J1315" s="8" t="b">
        <f t="shared" si="100"/>
        <v>1</v>
      </c>
      <c r="K1315" s="8" t="b">
        <f t="shared" si="101"/>
        <v>1</v>
      </c>
      <c r="L1315" s="8" t="b">
        <f t="shared" si="102"/>
        <v>1</v>
      </c>
      <c r="M1315" s="8" t="b">
        <f t="shared" si="103"/>
        <v>1</v>
      </c>
      <c r="N1315" s="1" t="b">
        <f t="shared" si="104"/>
        <v>1</v>
      </c>
      <c r="O1315" s="8" t="str">
        <f>IF(F1315="","",IF($F$2=入力リスト!$H$25,ROUNDDOWN(INT(F1315)+ROUNDDOWN((F1315-INT(F1315))*100,0)/60,2),F1315))</f>
        <v/>
      </c>
      <c r="P1315" s="7"/>
      <c r="Q1315" s="7"/>
    </row>
    <row r="1316" spans="1:17">
      <c r="A1316" s="105"/>
      <c r="B1316" s="2"/>
      <c r="C1316" s="3"/>
      <c r="D1316" s="3"/>
      <c r="E1316" s="3"/>
      <c r="F1316" s="8"/>
      <c r="G1316" s="215" t="str">
        <f>IF(AND($B1316="",OR(B1316&lt;&gt;"",C1316&lt;&gt;"",D1316&lt;&gt;"",E1316&lt;&gt;"",F1316&lt;&gt;"")),入力リスト!$K$34,IF($I1316=TRUE,入力リスト!$K$35,IF(J1316=FALSE,"「毎月の固定給与額」","")&amp;IF(AND(J1316=FALSE,OR(K1316=FALSE,L1316=FALSE,M1316=FALSE)),",","")&amp;IF(K1316=FALSE,"「賞与額等」","")&amp;IF(AND(K1316=FALSE,OR(L1316=FALSE,M1316=FALSE)),",","")&amp;IF(L1316=FALSE,"「残業手当」","")&amp;IF(AND(L1316=FALSE,M1316=FALSE),",","")&amp;IF(M1316=FALSE,"「残業時間」","")&amp;IF(OR(J1316=FALSE,K1316=FALSE,L1316=FALSE,M1316=FALSE),入力リスト!$K$36,"")&amp;IF(N1316,"",入力リスト!$K$37)))</f>
        <v/>
      </c>
      <c r="H1316" s="215"/>
      <c r="I1316" s="1" t="b">
        <f>IF(B1316="",FALSE,COUNTIF('従業員情報(給与以外)'!$A$4:$A$1000000,$B1316)=0)</f>
        <v>0</v>
      </c>
      <c r="J1316" s="8" t="b">
        <f t="shared" si="100"/>
        <v>1</v>
      </c>
      <c r="K1316" s="8" t="b">
        <f t="shared" si="101"/>
        <v>1</v>
      </c>
      <c r="L1316" s="8" t="b">
        <f t="shared" si="102"/>
        <v>1</v>
      </c>
      <c r="M1316" s="8" t="b">
        <f t="shared" si="103"/>
        <v>1</v>
      </c>
      <c r="N1316" s="1" t="b">
        <f t="shared" si="104"/>
        <v>1</v>
      </c>
      <c r="O1316" s="8" t="str">
        <f>IF(F1316="","",IF($F$2=入力リスト!$H$25,ROUNDDOWN(INT(F1316)+ROUNDDOWN((F1316-INT(F1316))*100,0)/60,2),F1316))</f>
        <v/>
      </c>
      <c r="P1316" s="7"/>
      <c r="Q1316" s="7"/>
    </row>
    <row r="1317" spans="1:17">
      <c r="A1317" s="105"/>
      <c r="B1317" s="2"/>
      <c r="C1317" s="3"/>
      <c r="D1317" s="3"/>
      <c r="E1317" s="3"/>
      <c r="F1317" s="8"/>
      <c r="G1317" s="215" t="str">
        <f>IF(AND($B1317="",OR(B1317&lt;&gt;"",C1317&lt;&gt;"",D1317&lt;&gt;"",E1317&lt;&gt;"",F1317&lt;&gt;"")),入力リスト!$K$34,IF($I1317=TRUE,入力リスト!$K$35,IF(J1317=FALSE,"「毎月の固定給与額」","")&amp;IF(AND(J1317=FALSE,OR(K1317=FALSE,L1317=FALSE,M1317=FALSE)),",","")&amp;IF(K1317=FALSE,"「賞与額等」","")&amp;IF(AND(K1317=FALSE,OR(L1317=FALSE,M1317=FALSE)),",","")&amp;IF(L1317=FALSE,"「残業手当」","")&amp;IF(AND(L1317=FALSE,M1317=FALSE),",","")&amp;IF(M1317=FALSE,"「残業時間」","")&amp;IF(OR(J1317=FALSE,K1317=FALSE,L1317=FALSE,M1317=FALSE),入力リスト!$K$36,"")&amp;IF(N1317,"",入力リスト!$K$37)))</f>
        <v/>
      </c>
      <c r="H1317" s="215"/>
      <c r="I1317" s="1" t="b">
        <f>IF(B1317="",FALSE,COUNTIF('従業員情報(給与以外)'!$A$4:$A$1000000,$B1317)=0)</f>
        <v>0</v>
      </c>
      <c r="J1317" s="8" t="b">
        <f t="shared" si="100"/>
        <v>1</v>
      </c>
      <c r="K1317" s="8" t="b">
        <f t="shared" si="101"/>
        <v>1</v>
      </c>
      <c r="L1317" s="8" t="b">
        <f t="shared" si="102"/>
        <v>1</v>
      </c>
      <c r="M1317" s="8" t="b">
        <f t="shared" si="103"/>
        <v>1</v>
      </c>
      <c r="N1317" s="1" t="b">
        <f t="shared" si="104"/>
        <v>1</v>
      </c>
      <c r="O1317" s="8" t="str">
        <f>IF(F1317="","",IF($F$2=入力リスト!$H$25,ROUNDDOWN(INT(F1317)+ROUNDDOWN((F1317-INT(F1317))*100,0)/60,2),F1317))</f>
        <v/>
      </c>
      <c r="P1317" s="7"/>
      <c r="Q1317" s="7"/>
    </row>
    <row r="1318" spans="1:17">
      <c r="A1318" s="105"/>
      <c r="B1318" s="2"/>
      <c r="C1318" s="3"/>
      <c r="D1318" s="3"/>
      <c r="E1318" s="3"/>
      <c r="F1318" s="8"/>
      <c r="G1318" s="215" t="str">
        <f>IF(AND($B1318="",OR(B1318&lt;&gt;"",C1318&lt;&gt;"",D1318&lt;&gt;"",E1318&lt;&gt;"",F1318&lt;&gt;"")),入力リスト!$K$34,IF($I1318=TRUE,入力リスト!$K$35,IF(J1318=FALSE,"「毎月の固定給与額」","")&amp;IF(AND(J1318=FALSE,OR(K1318=FALSE,L1318=FALSE,M1318=FALSE)),",","")&amp;IF(K1318=FALSE,"「賞与額等」","")&amp;IF(AND(K1318=FALSE,OR(L1318=FALSE,M1318=FALSE)),",","")&amp;IF(L1318=FALSE,"「残業手当」","")&amp;IF(AND(L1318=FALSE,M1318=FALSE),",","")&amp;IF(M1318=FALSE,"「残業時間」","")&amp;IF(OR(J1318=FALSE,K1318=FALSE,L1318=FALSE,M1318=FALSE),入力リスト!$K$36,"")&amp;IF(N1318,"",入力リスト!$K$37)))</f>
        <v/>
      </c>
      <c r="H1318" s="215"/>
      <c r="I1318" s="1" t="b">
        <f>IF(B1318="",FALSE,COUNTIF('従業員情報(給与以外)'!$A$4:$A$1000000,$B1318)=0)</f>
        <v>0</v>
      </c>
      <c r="J1318" s="8" t="b">
        <f t="shared" si="100"/>
        <v>1</v>
      </c>
      <c r="K1318" s="8" t="b">
        <f t="shared" si="101"/>
        <v>1</v>
      </c>
      <c r="L1318" s="8" t="b">
        <f t="shared" si="102"/>
        <v>1</v>
      </c>
      <c r="M1318" s="8" t="b">
        <f t="shared" si="103"/>
        <v>1</v>
      </c>
      <c r="N1318" s="1" t="b">
        <f t="shared" si="104"/>
        <v>1</v>
      </c>
      <c r="O1318" s="8" t="str">
        <f>IF(F1318="","",IF($F$2=入力リスト!$H$25,ROUNDDOWN(INT(F1318)+ROUNDDOWN((F1318-INT(F1318))*100,0)/60,2),F1318))</f>
        <v/>
      </c>
      <c r="P1318" s="7"/>
      <c r="Q1318" s="7"/>
    </row>
    <row r="1319" spans="1:17">
      <c r="A1319" s="105"/>
      <c r="B1319" s="2"/>
      <c r="C1319" s="3"/>
      <c r="D1319" s="3"/>
      <c r="E1319" s="3"/>
      <c r="F1319" s="8"/>
      <c r="G1319" s="215" t="str">
        <f>IF(AND($B1319="",OR(B1319&lt;&gt;"",C1319&lt;&gt;"",D1319&lt;&gt;"",E1319&lt;&gt;"",F1319&lt;&gt;"")),入力リスト!$K$34,IF($I1319=TRUE,入力リスト!$K$35,IF(J1319=FALSE,"「毎月の固定給与額」","")&amp;IF(AND(J1319=FALSE,OR(K1319=FALSE,L1319=FALSE,M1319=FALSE)),",","")&amp;IF(K1319=FALSE,"「賞与額等」","")&amp;IF(AND(K1319=FALSE,OR(L1319=FALSE,M1319=FALSE)),",","")&amp;IF(L1319=FALSE,"「残業手当」","")&amp;IF(AND(L1319=FALSE,M1319=FALSE),",","")&amp;IF(M1319=FALSE,"「残業時間」","")&amp;IF(OR(J1319=FALSE,K1319=FALSE,L1319=FALSE,M1319=FALSE),入力リスト!$K$36,"")&amp;IF(N1319,"",入力リスト!$K$37)))</f>
        <v/>
      </c>
      <c r="H1319" s="215"/>
      <c r="I1319" s="1" t="b">
        <f>IF(B1319="",FALSE,COUNTIF('従業員情報(給与以外)'!$A$4:$A$1000000,$B1319)=0)</f>
        <v>0</v>
      </c>
      <c r="J1319" s="8" t="b">
        <f t="shared" si="100"/>
        <v>1</v>
      </c>
      <c r="K1319" s="8" t="b">
        <f t="shared" si="101"/>
        <v>1</v>
      </c>
      <c r="L1319" s="8" t="b">
        <f t="shared" si="102"/>
        <v>1</v>
      </c>
      <c r="M1319" s="8" t="b">
        <f t="shared" si="103"/>
        <v>1</v>
      </c>
      <c r="N1319" s="1" t="b">
        <f t="shared" si="104"/>
        <v>1</v>
      </c>
      <c r="O1319" s="8" t="str">
        <f>IF(F1319="","",IF($F$2=入力リスト!$H$25,ROUNDDOWN(INT(F1319)+ROUNDDOWN((F1319-INT(F1319))*100,0)/60,2),F1319))</f>
        <v/>
      </c>
      <c r="P1319" s="7"/>
      <c r="Q1319" s="7"/>
    </row>
    <row r="1320" spans="1:17">
      <c r="A1320" s="105"/>
      <c r="B1320" s="2"/>
      <c r="C1320" s="3"/>
      <c r="D1320" s="3"/>
      <c r="E1320" s="3"/>
      <c r="F1320" s="8"/>
      <c r="G1320" s="215" t="str">
        <f>IF(AND($B1320="",OR(B1320&lt;&gt;"",C1320&lt;&gt;"",D1320&lt;&gt;"",E1320&lt;&gt;"",F1320&lt;&gt;"")),入力リスト!$K$34,IF($I1320=TRUE,入力リスト!$K$35,IF(J1320=FALSE,"「毎月の固定給与額」","")&amp;IF(AND(J1320=FALSE,OR(K1320=FALSE,L1320=FALSE,M1320=FALSE)),",","")&amp;IF(K1320=FALSE,"「賞与額等」","")&amp;IF(AND(K1320=FALSE,OR(L1320=FALSE,M1320=FALSE)),",","")&amp;IF(L1320=FALSE,"「残業手当」","")&amp;IF(AND(L1320=FALSE,M1320=FALSE),",","")&amp;IF(M1320=FALSE,"「残業時間」","")&amp;IF(OR(J1320=FALSE,K1320=FALSE,L1320=FALSE,M1320=FALSE),入力リスト!$K$36,"")&amp;IF(N1320,"",入力リスト!$K$37)))</f>
        <v/>
      </c>
      <c r="H1320" s="215"/>
      <c r="I1320" s="1" t="b">
        <f>IF(B1320="",FALSE,COUNTIF('従業員情報(給与以外)'!$A$4:$A$1000000,$B1320)=0)</f>
        <v>0</v>
      </c>
      <c r="J1320" s="8" t="b">
        <f t="shared" si="100"/>
        <v>1</v>
      </c>
      <c r="K1320" s="8" t="b">
        <f t="shared" si="101"/>
        <v>1</v>
      </c>
      <c r="L1320" s="8" t="b">
        <f t="shared" si="102"/>
        <v>1</v>
      </c>
      <c r="M1320" s="8" t="b">
        <f t="shared" si="103"/>
        <v>1</v>
      </c>
      <c r="N1320" s="1" t="b">
        <f t="shared" si="104"/>
        <v>1</v>
      </c>
      <c r="O1320" s="8" t="str">
        <f>IF(F1320="","",IF($F$2=入力リスト!$H$25,ROUNDDOWN(INT(F1320)+ROUNDDOWN((F1320-INT(F1320))*100,0)/60,2),F1320))</f>
        <v/>
      </c>
      <c r="P1320" s="7"/>
      <c r="Q1320" s="7"/>
    </row>
    <row r="1321" spans="1:17">
      <c r="A1321" s="105"/>
      <c r="B1321" s="2"/>
      <c r="C1321" s="3"/>
      <c r="D1321" s="3"/>
      <c r="E1321" s="3"/>
      <c r="F1321" s="8"/>
      <c r="G1321" s="215" t="str">
        <f>IF(AND($B1321="",OR(B1321&lt;&gt;"",C1321&lt;&gt;"",D1321&lt;&gt;"",E1321&lt;&gt;"",F1321&lt;&gt;"")),入力リスト!$K$34,IF($I1321=TRUE,入力リスト!$K$35,IF(J1321=FALSE,"「毎月の固定給与額」","")&amp;IF(AND(J1321=FALSE,OR(K1321=FALSE,L1321=FALSE,M1321=FALSE)),",","")&amp;IF(K1321=FALSE,"「賞与額等」","")&amp;IF(AND(K1321=FALSE,OR(L1321=FALSE,M1321=FALSE)),",","")&amp;IF(L1321=FALSE,"「残業手当」","")&amp;IF(AND(L1321=FALSE,M1321=FALSE),",","")&amp;IF(M1321=FALSE,"「残業時間」","")&amp;IF(OR(J1321=FALSE,K1321=FALSE,L1321=FALSE,M1321=FALSE),入力リスト!$K$36,"")&amp;IF(N1321,"",入力リスト!$K$37)))</f>
        <v/>
      </c>
      <c r="H1321" s="215"/>
      <c r="I1321" s="1" t="b">
        <f>IF(B1321="",FALSE,COUNTIF('従業員情報(給与以外)'!$A$4:$A$1000000,$B1321)=0)</f>
        <v>0</v>
      </c>
      <c r="J1321" s="8" t="b">
        <f t="shared" si="100"/>
        <v>1</v>
      </c>
      <c r="K1321" s="8" t="b">
        <f t="shared" si="101"/>
        <v>1</v>
      </c>
      <c r="L1321" s="8" t="b">
        <f t="shared" si="102"/>
        <v>1</v>
      </c>
      <c r="M1321" s="8" t="b">
        <f t="shared" si="103"/>
        <v>1</v>
      </c>
      <c r="N1321" s="1" t="b">
        <f t="shared" si="104"/>
        <v>1</v>
      </c>
      <c r="O1321" s="8" t="str">
        <f>IF(F1321="","",IF($F$2=入力リスト!$H$25,ROUNDDOWN(INT(F1321)+ROUNDDOWN((F1321-INT(F1321))*100,0)/60,2),F1321))</f>
        <v/>
      </c>
      <c r="P1321" s="7"/>
      <c r="Q1321" s="7"/>
    </row>
    <row r="1322" spans="1:17">
      <c r="A1322" s="105"/>
      <c r="B1322" s="2"/>
      <c r="C1322" s="3"/>
      <c r="D1322" s="3"/>
      <c r="E1322" s="3"/>
      <c r="F1322" s="8"/>
      <c r="G1322" s="215" t="str">
        <f>IF(AND($B1322="",OR(B1322&lt;&gt;"",C1322&lt;&gt;"",D1322&lt;&gt;"",E1322&lt;&gt;"",F1322&lt;&gt;"")),入力リスト!$K$34,IF($I1322=TRUE,入力リスト!$K$35,IF(J1322=FALSE,"「毎月の固定給与額」","")&amp;IF(AND(J1322=FALSE,OR(K1322=FALSE,L1322=FALSE,M1322=FALSE)),",","")&amp;IF(K1322=FALSE,"「賞与額等」","")&amp;IF(AND(K1322=FALSE,OR(L1322=FALSE,M1322=FALSE)),",","")&amp;IF(L1322=FALSE,"「残業手当」","")&amp;IF(AND(L1322=FALSE,M1322=FALSE),",","")&amp;IF(M1322=FALSE,"「残業時間」","")&amp;IF(OR(J1322=FALSE,K1322=FALSE,L1322=FALSE,M1322=FALSE),入力リスト!$K$36,"")&amp;IF(N1322,"",入力リスト!$K$37)))</f>
        <v/>
      </c>
      <c r="H1322" s="215"/>
      <c r="I1322" s="1" t="b">
        <f>IF(B1322="",FALSE,COUNTIF('従業員情報(給与以外)'!$A$4:$A$1000000,$B1322)=0)</f>
        <v>0</v>
      </c>
      <c r="J1322" s="8" t="b">
        <f t="shared" si="100"/>
        <v>1</v>
      </c>
      <c r="K1322" s="8" t="b">
        <f t="shared" si="101"/>
        <v>1</v>
      </c>
      <c r="L1322" s="8" t="b">
        <f t="shared" si="102"/>
        <v>1</v>
      </c>
      <c r="M1322" s="8" t="b">
        <f t="shared" si="103"/>
        <v>1</v>
      </c>
      <c r="N1322" s="1" t="b">
        <f t="shared" si="104"/>
        <v>1</v>
      </c>
      <c r="O1322" s="8" t="str">
        <f>IF(F1322="","",IF($F$2=入力リスト!$H$25,ROUNDDOWN(INT(F1322)+ROUNDDOWN((F1322-INT(F1322))*100,0)/60,2),F1322))</f>
        <v/>
      </c>
      <c r="P1322" s="7"/>
      <c r="Q1322" s="7"/>
    </row>
    <row r="1323" spans="1:17">
      <c r="A1323" s="105"/>
      <c r="B1323" s="2"/>
      <c r="C1323" s="3"/>
      <c r="D1323" s="3"/>
      <c r="E1323" s="3"/>
      <c r="F1323" s="8"/>
      <c r="G1323" s="215" t="str">
        <f>IF(AND($B1323="",OR(B1323&lt;&gt;"",C1323&lt;&gt;"",D1323&lt;&gt;"",E1323&lt;&gt;"",F1323&lt;&gt;"")),入力リスト!$K$34,IF($I1323=TRUE,入力リスト!$K$35,IF(J1323=FALSE,"「毎月の固定給与額」","")&amp;IF(AND(J1323=FALSE,OR(K1323=FALSE,L1323=FALSE,M1323=FALSE)),",","")&amp;IF(K1323=FALSE,"「賞与額等」","")&amp;IF(AND(K1323=FALSE,OR(L1323=FALSE,M1323=FALSE)),",","")&amp;IF(L1323=FALSE,"「残業手当」","")&amp;IF(AND(L1323=FALSE,M1323=FALSE),",","")&amp;IF(M1323=FALSE,"「残業時間」","")&amp;IF(OR(J1323=FALSE,K1323=FALSE,L1323=FALSE,M1323=FALSE),入力リスト!$K$36,"")&amp;IF(N1323,"",入力リスト!$K$37)))</f>
        <v/>
      </c>
      <c r="H1323" s="215"/>
      <c r="I1323" s="1" t="b">
        <f>IF(B1323="",FALSE,COUNTIF('従業員情報(給与以外)'!$A$4:$A$1000000,$B1323)=0)</f>
        <v>0</v>
      </c>
      <c r="J1323" s="8" t="b">
        <f t="shared" si="100"/>
        <v>1</v>
      </c>
      <c r="K1323" s="8" t="b">
        <f t="shared" si="101"/>
        <v>1</v>
      </c>
      <c r="L1323" s="8" t="b">
        <f t="shared" si="102"/>
        <v>1</v>
      </c>
      <c r="M1323" s="8" t="b">
        <f t="shared" si="103"/>
        <v>1</v>
      </c>
      <c r="N1323" s="1" t="b">
        <f t="shared" si="104"/>
        <v>1</v>
      </c>
      <c r="O1323" s="8" t="str">
        <f>IF(F1323="","",IF($F$2=入力リスト!$H$25,ROUNDDOWN(INT(F1323)+ROUNDDOWN((F1323-INT(F1323))*100,0)/60,2),F1323))</f>
        <v/>
      </c>
      <c r="P1323" s="7"/>
      <c r="Q1323" s="7"/>
    </row>
    <row r="1324" spans="1:17">
      <c r="A1324" s="105"/>
      <c r="B1324" s="2"/>
      <c r="C1324" s="3"/>
      <c r="D1324" s="3"/>
      <c r="E1324" s="3"/>
      <c r="F1324" s="8"/>
      <c r="G1324" s="215" t="str">
        <f>IF(AND($B1324="",OR(B1324&lt;&gt;"",C1324&lt;&gt;"",D1324&lt;&gt;"",E1324&lt;&gt;"",F1324&lt;&gt;"")),入力リスト!$K$34,IF($I1324=TRUE,入力リスト!$K$35,IF(J1324=FALSE,"「毎月の固定給与額」","")&amp;IF(AND(J1324=FALSE,OR(K1324=FALSE,L1324=FALSE,M1324=FALSE)),",","")&amp;IF(K1324=FALSE,"「賞与額等」","")&amp;IF(AND(K1324=FALSE,OR(L1324=FALSE,M1324=FALSE)),",","")&amp;IF(L1324=FALSE,"「残業手当」","")&amp;IF(AND(L1324=FALSE,M1324=FALSE),",","")&amp;IF(M1324=FALSE,"「残業時間」","")&amp;IF(OR(J1324=FALSE,K1324=FALSE,L1324=FALSE,M1324=FALSE),入力リスト!$K$36,"")&amp;IF(N1324,"",入力リスト!$K$37)))</f>
        <v/>
      </c>
      <c r="H1324" s="215"/>
      <c r="I1324" s="1" t="b">
        <f>IF(B1324="",FALSE,COUNTIF('従業員情報(給与以外)'!$A$4:$A$1000000,$B1324)=0)</f>
        <v>0</v>
      </c>
      <c r="J1324" s="8" t="b">
        <f t="shared" si="100"/>
        <v>1</v>
      </c>
      <c r="K1324" s="8" t="b">
        <f t="shared" si="101"/>
        <v>1</v>
      </c>
      <c r="L1324" s="8" t="b">
        <f t="shared" si="102"/>
        <v>1</v>
      </c>
      <c r="M1324" s="8" t="b">
        <f t="shared" si="103"/>
        <v>1</v>
      </c>
      <c r="N1324" s="1" t="b">
        <f t="shared" si="104"/>
        <v>1</v>
      </c>
      <c r="O1324" s="8" t="str">
        <f>IF(F1324="","",IF($F$2=入力リスト!$H$25,ROUNDDOWN(INT(F1324)+ROUNDDOWN((F1324-INT(F1324))*100,0)/60,2),F1324))</f>
        <v/>
      </c>
      <c r="P1324" s="7"/>
      <c r="Q1324" s="7"/>
    </row>
    <row r="1325" spans="1:17">
      <c r="A1325" s="105"/>
      <c r="B1325" s="2"/>
      <c r="C1325" s="3"/>
      <c r="D1325" s="3"/>
      <c r="E1325" s="3"/>
      <c r="F1325" s="8"/>
      <c r="G1325" s="215" t="str">
        <f>IF(AND($B1325="",OR(B1325&lt;&gt;"",C1325&lt;&gt;"",D1325&lt;&gt;"",E1325&lt;&gt;"",F1325&lt;&gt;"")),入力リスト!$K$34,IF($I1325=TRUE,入力リスト!$K$35,IF(J1325=FALSE,"「毎月の固定給与額」","")&amp;IF(AND(J1325=FALSE,OR(K1325=FALSE,L1325=FALSE,M1325=FALSE)),",","")&amp;IF(K1325=FALSE,"「賞与額等」","")&amp;IF(AND(K1325=FALSE,OR(L1325=FALSE,M1325=FALSE)),",","")&amp;IF(L1325=FALSE,"「残業手当」","")&amp;IF(AND(L1325=FALSE,M1325=FALSE),",","")&amp;IF(M1325=FALSE,"「残業時間」","")&amp;IF(OR(J1325=FALSE,K1325=FALSE,L1325=FALSE,M1325=FALSE),入力リスト!$K$36,"")&amp;IF(N1325,"",入力リスト!$K$37)))</f>
        <v/>
      </c>
      <c r="H1325" s="215"/>
      <c r="I1325" s="1" t="b">
        <f>IF(B1325="",FALSE,COUNTIF('従業員情報(給与以外)'!$A$4:$A$1000000,$B1325)=0)</f>
        <v>0</v>
      </c>
      <c r="J1325" s="8" t="b">
        <f t="shared" si="100"/>
        <v>1</v>
      </c>
      <c r="K1325" s="8" t="b">
        <f t="shared" si="101"/>
        <v>1</v>
      </c>
      <c r="L1325" s="8" t="b">
        <f t="shared" si="102"/>
        <v>1</v>
      </c>
      <c r="M1325" s="8" t="b">
        <f t="shared" si="103"/>
        <v>1</v>
      </c>
      <c r="N1325" s="1" t="b">
        <f t="shared" si="104"/>
        <v>1</v>
      </c>
      <c r="O1325" s="8" t="str">
        <f>IF(F1325="","",IF($F$2=入力リスト!$H$25,ROUNDDOWN(INT(F1325)+ROUNDDOWN((F1325-INT(F1325))*100,0)/60,2),F1325))</f>
        <v/>
      </c>
      <c r="P1325" s="7"/>
      <c r="Q1325" s="7"/>
    </row>
    <row r="1326" spans="1:17">
      <c r="A1326" s="105"/>
      <c r="B1326" s="2"/>
      <c r="C1326" s="3"/>
      <c r="D1326" s="3"/>
      <c r="E1326" s="3"/>
      <c r="F1326" s="8"/>
      <c r="G1326" s="215" t="str">
        <f>IF(AND($B1326="",OR(B1326&lt;&gt;"",C1326&lt;&gt;"",D1326&lt;&gt;"",E1326&lt;&gt;"",F1326&lt;&gt;"")),入力リスト!$K$34,IF($I1326=TRUE,入力リスト!$K$35,IF(J1326=FALSE,"「毎月の固定給与額」","")&amp;IF(AND(J1326=FALSE,OR(K1326=FALSE,L1326=FALSE,M1326=FALSE)),",","")&amp;IF(K1326=FALSE,"「賞与額等」","")&amp;IF(AND(K1326=FALSE,OR(L1326=FALSE,M1326=FALSE)),",","")&amp;IF(L1326=FALSE,"「残業手当」","")&amp;IF(AND(L1326=FALSE,M1326=FALSE),",","")&amp;IF(M1326=FALSE,"「残業時間」","")&amp;IF(OR(J1326=FALSE,K1326=FALSE,L1326=FALSE,M1326=FALSE),入力リスト!$K$36,"")&amp;IF(N1326,"",入力リスト!$K$37)))</f>
        <v/>
      </c>
      <c r="H1326" s="215"/>
      <c r="I1326" s="1" t="b">
        <f>IF(B1326="",FALSE,COUNTIF('従業員情報(給与以外)'!$A$4:$A$1000000,$B1326)=0)</f>
        <v>0</v>
      </c>
      <c r="J1326" s="8" t="b">
        <f t="shared" si="100"/>
        <v>1</v>
      </c>
      <c r="K1326" s="8" t="b">
        <f t="shared" si="101"/>
        <v>1</v>
      </c>
      <c r="L1326" s="8" t="b">
        <f t="shared" si="102"/>
        <v>1</v>
      </c>
      <c r="M1326" s="8" t="b">
        <f t="shared" si="103"/>
        <v>1</v>
      </c>
      <c r="N1326" s="1" t="b">
        <f t="shared" si="104"/>
        <v>1</v>
      </c>
      <c r="O1326" s="8" t="str">
        <f>IF(F1326="","",IF($F$2=入力リスト!$H$25,ROUNDDOWN(INT(F1326)+ROUNDDOWN((F1326-INT(F1326))*100,0)/60,2),F1326))</f>
        <v/>
      </c>
      <c r="P1326" s="7"/>
      <c r="Q1326" s="7"/>
    </row>
    <row r="1327" spans="1:17">
      <c r="A1327" s="105"/>
      <c r="B1327" s="2"/>
      <c r="C1327" s="3"/>
      <c r="D1327" s="3"/>
      <c r="E1327" s="3"/>
      <c r="F1327" s="8"/>
      <c r="G1327" s="215" t="str">
        <f>IF(AND($B1327="",OR(B1327&lt;&gt;"",C1327&lt;&gt;"",D1327&lt;&gt;"",E1327&lt;&gt;"",F1327&lt;&gt;"")),入力リスト!$K$34,IF($I1327=TRUE,入力リスト!$K$35,IF(J1327=FALSE,"「毎月の固定給与額」","")&amp;IF(AND(J1327=FALSE,OR(K1327=FALSE,L1327=FALSE,M1327=FALSE)),",","")&amp;IF(K1327=FALSE,"「賞与額等」","")&amp;IF(AND(K1327=FALSE,OR(L1327=FALSE,M1327=FALSE)),",","")&amp;IF(L1327=FALSE,"「残業手当」","")&amp;IF(AND(L1327=FALSE,M1327=FALSE),",","")&amp;IF(M1327=FALSE,"「残業時間」","")&amp;IF(OR(J1327=FALSE,K1327=FALSE,L1327=FALSE,M1327=FALSE),入力リスト!$K$36,"")&amp;IF(N1327,"",入力リスト!$K$37)))</f>
        <v/>
      </c>
      <c r="H1327" s="215"/>
      <c r="I1327" s="1" t="b">
        <f>IF(B1327="",FALSE,COUNTIF('従業員情報(給与以外)'!$A$4:$A$1000000,$B1327)=0)</f>
        <v>0</v>
      </c>
      <c r="J1327" s="8" t="b">
        <f t="shared" si="100"/>
        <v>1</v>
      </c>
      <c r="K1327" s="8" t="b">
        <f t="shared" si="101"/>
        <v>1</v>
      </c>
      <c r="L1327" s="8" t="b">
        <f t="shared" si="102"/>
        <v>1</v>
      </c>
      <c r="M1327" s="8" t="b">
        <f t="shared" si="103"/>
        <v>1</v>
      </c>
      <c r="N1327" s="1" t="b">
        <f t="shared" si="104"/>
        <v>1</v>
      </c>
      <c r="O1327" s="8" t="str">
        <f>IF(F1327="","",IF($F$2=入力リスト!$H$25,ROUNDDOWN(INT(F1327)+ROUNDDOWN((F1327-INT(F1327))*100,0)/60,2),F1327))</f>
        <v/>
      </c>
      <c r="P1327" s="7"/>
      <c r="Q1327" s="7"/>
    </row>
    <row r="1328" spans="1:17">
      <c r="A1328" s="105"/>
      <c r="B1328" s="2"/>
      <c r="C1328" s="3"/>
      <c r="D1328" s="3"/>
      <c r="E1328" s="3"/>
      <c r="F1328" s="8"/>
      <c r="G1328" s="215" t="str">
        <f>IF(AND($B1328="",OR(B1328&lt;&gt;"",C1328&lt;&gt;"",D1328&lt;&gt;"",E1328&lt;&gt;"",F1328&lt;&gt;"")),入力リスト!$K$34,IF($I1328=TRUE,入力リスト!$K$35,IF(J1328=FALSE,"「毎月の固定給与額」","")&amp;IF(AND(J1328=FALSE,OR(K1328=FALSE,L1328=FALSE,M1328=FALSE)),",","")&amp;IF(K1328=FALSE,"「賞与額等」","")&amp;IF(AND(K1328=FALSE,OR(L1328=FALSE,M1328=FALSE)),",","")&amp;IF(L1328=FALSE,"「残業手当」","")&amp;IF(AND(L1328=FALSE,M1328=FALSE),",","")&amp;IF(M1328=FALSE,"「残業時間」","")&amp;IF(OR(J1328=FALSE,K1328=FALSE,L1328=FALSE,M1328=FALSE),入力リスト!$K$36,"")&amp;IF(N1328,"",入力リスト!$K$37)))</f>
        <v/>
      </c>
      <c r="H1328" s="215"/>
      <c r="I1328" s="1" t="b">
        <f>IF(B1328="",FALSE,COUNTIF('従業員情報(給与以外)'!$A$4:$A$1000000,$B1328)=0)</f>
        <v>0</v>
      </c>
      <c r="J1328" s="8" t="b">
        <f t="shared" si="100"/>
        <v>1</v>
      </c>
      <c r="K1328" s="8" t="b">
        <f t="shared" si="101"/>
        <v>1</v>
      </c>
      <c r="L1328" s="8" t="b">
        <f t="shared" si="102"/>
        <v>1</v>
      </c>
      <c r="M1328" s="8" t="b">
        <f t="shared" si="103"/>
        <v>1</v>
      </c>
      <c r="N1328" s="1" t="b">
        <f t="shared" si="104"/>
        <v>1</v>
      </c>
      <c r="O1328" s="8" t="str">
        <f>IF(F1328="","",IF($F$2=入力リスト!$H$25,ROUNDDOWN(INT(F1328)+ROUNDDOWN((F1328-INT(F1328))*100,0)/60,2),F1328))</f>
        <v/>
      </c>
      <c r="P1328" s="7"/>
      <c r="Q1328" s="7"/>
    </row>
    <row r="1329" spans="1:17">
      <c r="A1329" s="105"/>
      <c r="B1329" s="2"/>
      <c r="C1329" s="3"/>
      <c r="D1329" s="3"/>
      <c r="E1329" s="3"/>
      <c r="F1329" s="8"/>
      <c r="G1329" s="215" t="str">
        <f>IF(AND($B1329="",OR(B1329&lt;&gt;"",C1329&lt;&gt;"",D1329&lt;&gt;"",E1329&lt;&gt;"",F1329&lt;&gt;"")),入力リスト!$K$34,IF($I1329=TRUE,入力リスト!$K$35,IF(J1329=FALSE,"「毎月の固定給与額」","")&amp;IF(AND(J1329=FALSE,OR(K1329=FALSE,L1329=FALSE,M1329=FALSE)),",","")&amp;IF(K1329=FALSE,"「賞与額等」","")&amp;IF(AND(K1329=FALSE,OR(L1329=FALSE,M1329=FALSE)),",","")&amp;IF(L1329=FALSE,"「残業手当」","")&amp;IF(AND(L1329=FALSE,M1329=FALSE),",","")&amp;IF(M1329=FALSE,"「残業時間」","")&amp;IF(OR(J1329=FALSE,K1329=FALSE,L1329=FALSE,M1329=FALSE),入力リスト!$K$36,"")&amp;IF(N1329,"",入力リスト!$K$37)))</f>
        <v/>
      </c>
      <c r="H1329" s="215"/>
      <c r="I1329" s="1" t="b">
        <f>IF(B1329="",FALSE,COUNTIF('従業員情報(給与以外)'!$A$4:$A$1000000,$B1329)=0)</f>
        <v>0</v>
      </c>
      <c r="J1329" s="8" t="b">
        <f t="shared" si="100"/>
        <v>1</v>
      </c>
      <c r="K1329" s="8" t="b">
        <f t="shared" si="101"/>
        <v>1</v>
      </c>
      <c r="L1329" s="8" t="b">
        <f t="shared" si="102"/>
        <v>1</v>
      </c>
      <c r="M1329" s="8" t="b">
        <f t="shared" si="103"/>
        <v>1</v>
      </c>
      <c r="N1329" s="1" t="b">
        <f t="shared" si="104"/>
        <v>1</v>
      </c>
      <c r="O1329" s="8" t="str">
        <f>IF(F1329="","",IF($F$2=入力リスト!$H$25,ROUNDDOWN(INT(F1329)+ROUNDDOWN((F1329-INT(F1329))*100,0)/60,2),F1329))</f>
        <v/>
      </c>
      <c r="P1329" s="7"/>
      <c r="Q1329" s="7"/>
    </row>
    <row r="1330" spans="1:17">
      <c r="A1330" s="105"/>
      <c r="B1330" s="2"/>
      <c r="C1330" s="3"/>
      <c r="D1330" s="3"/>
      <c r="E1330" s="3"/>
      <c r="F1330" s="8"/>
      <c r="G1330" s="215" t="str">
        <f>IF(AND($B1330="",OR(B1330&lt;&gt;"",C1330&lt;&gt;"",D1330&lt;&gt;"",E1330&lt;&gt;"",F1330&lt;&gt;"")),入力リスト!$K$34,IF($I1330=TRUE,入力リスト!$K$35,IF(J1330=FALSE,"「毎月の固定給与額」","")&amp;IF(AND(J1330=FALSE,OR(K1330=FALSE,L1330=FALSE,M1330=FALSE)),",","")&amp;IF(K1330=FALSE,"「賞与額等」","")&amp;IF(AND(K1330=FALSE,OR(L1330=FALSE,M1330=FALSE)),",","")&amp;IF(L1330=FALSE,"「残業手当」","")&amp;IF(AND(L1330=FALSE,M1330=FALSE),",","")&amp;IF(M1330=FALSE,"「残業時間」","")&amp;IF(OR(J1330=FALSE,K1330=FALSE,L1330=FALSE,M1330=FALSE),入力リスト!$K$36,"")&amp;IF(N1330,"",入力リスト!$K$37)))</f>
        <v/>
      </c>
      <c r="H1330" s="215"/>
      <c r="I1330" s="1" t="b">
        <f>IF(B1330="",FALSE,COUNTIF('従業員情報(給与以外)'!$A$4:$A$1000000,$B1330)=0)</f>
        <v>0</v>
      </c>
      <c r="J1330" s="8" t="b">
        <f t="shared" si="100"/>
        <v>1</v>
      </c>
      <c r="K1330" s="8" t="b">
        <f t="shared" si="101"/>
        <v>1</v>
      </c>
      <c r="L1330" s="8" t="b">
        <f t="shared" si="102"/>
        <v>1</v>
      </c>
      <c r="M1330" s="8" t="b">
        <f t="shared" si="103"/>
        <v>1</v>
      </c>
      <c r="N1330" s="1" t="b">
        <f t="shared" si="104"/>
        <v>1</v>
      </c>
      <c r="O1330" s="8" t="str">
        <f>IF(F1330="","",IF($F$2=入力リスト!$H$25,ROUNDDOWN(INT(F1330)+ROUNDDOWN((F1330-INT(F1330))*100,0)/60,2),F1330))</f>
        <v/>
      </c>
      <c r="P1330" s="7"/>
      <c r="Q1330" s="7"/>
    </row>
    <row r="1331" spans="1:17">
      <c r="A1331" s="105"/>
      <c r="B1331" s="2"/>
      <c r="C1331" s="3"/>
      <c r="D1331" s="3"/>
      <c r="E1331" s="3"/>
      <c r="F1331" s="8"/>
      <c r="G1331" s="215" t="str">
        <f>IF(AND($B1331="",OR(B1331&lt;&gt;"",C1331&lt;&gt;"",D1331&lt;&gt;"",E1331&lt;&gt;"",F1331&lt;&gt;"")),入力リスト!$K$34,IF($I1331=TRUE,入力リスト!$K$35,IF(J1331=FALSE,"「毎月の固定給与額」","")&amp;IF(AND(J1331=FALSE,OR(K1331=FALSE,L1331=FALSE,M1331=FALSE)),",","")&amp;IF(K1331=FALSE,"「賞与額等」","")&amp;IF(AND(K1331=FALSE,OR(L1331=FALSE,M1331=FALSE)),",","")&amp;IF(L1331=FALSE,"「残業手当」","")&amp;IF(AND(L1331=FALSE,M1331=FALSE),",","")&amp;IF(M1331=FALSE,"「残業時間」","")&amp;IF(OR(J1331=FALSE,K1331=FALSE,L1331=FALSE,M1331=FALSE),入力リスト!$K$36,"")&amp;IF(N1331,"",入力リスト!$K$37)))</f>
        <v/>
      </c>
      <c r="H1331" s="215"/>
      <c r="I1331" s="1" t="b">
        <f>IF(B1331="",FALSE,COUNTIF('従業員情報(給与以外)'!$A$4:$A$1000000,$B1331)=0)</f>
        <v>0</v>
      </c>
      <c r="J1331" s="8" t="b">
        <f t="shared" si="100"/>
        <v>1</v>
      </c>
      <c r="K1331" s="8" t="b">
        <f t="shared" si="101"/>
        <v>1</v>
      </c>
      <c r="L1331" s="8" t="b">
        <f t="shared" si="102"/>
        <v>1</v>
      </c>
      <c r="M1331" s="8" t="b">
        <f t="shared" si="103"/>
        <v>1</v>
      </c>
      <c r="N1331" s="1" t="b">
        <f t="shared" si="104"/>
        <v>1</v>
      </c>
      <c r="O1331" s="8" t="str">
        <f>IF(F1331="","",IF($F$2=入力リスト!$H$25,ROUNDDOWN(INT(F1331)+ROUNDDOWN((F1331-INT(F1331))*100,0)/60,2),F1331))</f>
        <v/>
      </c>
      <c r="P1331" s="7"/>
      <c r="Q1331" s="7"/>
    </row>
    <row r="1332" spans="1:17">
      <c r="A1332" s="105"/>
      <c r="B1332" s="2"/>
      <c r="C1332" s="3"/>
      <c r="D1332" s="3"/>
      <c r="E1332" s="3"/>
      <c r="F1332" s="8"/>
      <c r="G1332" s="215" t="str">
        <f>IF(AND($B1332="",OR(B1332&lt;&gt;"",C1332&lt;&gt;"",D1332&lt;&gt;"",E1332&lt;&gt;"",F1332&lt;&gt;"")),入力リスト!$K$34,IF($I1332=TRUE,入力リスト!$K$35,IF(J1332=FALSE,"「毎月の固定給与額」","")&amp;IF(AND(J1332=FALSE,OR(K1332=FALSE,L1332=FALSE,M1332=FALSE)),",","")&amp;IF(K1332=FALSE,"「賞与額等」","")&amp;IF(AND(K1332=FALSE,OR(L1332=FALSE,M1332=FALSE)),",","")&amp;IF(L1332=FALSE,"「残業手当」","")&amp;IF(AND(L1332=FALSE,M1332=FALSE),",","")&amp;IF(M1332=FALSE,"「残業時間」","")&amp;IF(OR(J1332=FALSE,K1332=FALSE,L1332=FALSE,M1332=FALSE),入力リスト!$K$36,"")&amp;IF(N1332,"",入力リスト!$K$37)))</f>
        <v/>
      </c>
      <c r="H1332" s="215"/>
      <c r="I1332" s="1" t="b">
        <f>IF(B1332="",FALSE,COUNTIF('従業員情報(給与以外)'!$A$4:$A$1000000,$B1332)=0)</f>
        <v>0</v>
      </c>
      <c r="J1332" s="8" t="b">
        <f t="shared" si="100"/>
        <v>1</v>
      </c>
      <c r="K1332" s="8" t="b">
        <f t="shared" si="101"/>
        <v>1</v>
      </c>
      <c r="L1332" s="8" t="b">
        <f t="shared" si="102"/>
        <v>1</v>
      </c>
      <c r="M1332" s="8" t="b">
        <f t="shared" si="103"/>
        <v>1</v>
      </c>
      <c r="N1332" s="1" t="b">
        <f t="shared" si="104"/>
        <v>1</v>
      </c>
      <c r="O1332" s="8" t="str">
        <f>IF(F1332="","",IF($F$2=入力リスト!$H$25,ROUNDDOWN(INT(F1332)+ROUNDDOWN((F1332-INT(F1332))*100,0)/60,2),F1332))</f>
        <v/>
      </c>
      <c r="P1332" s="7"/>
      <c r="Q1332" s="7"/>
    </row>
    <row r="1333" spans="1:17">
      <c r="A1333" s="105"/>
      <c r="B1333" s="2"/>
      <c r="C1333" s="3"/>
      <c r="D1333" s="3"/>
      <c r="E1333" s="3"/>
      <c r="F1333" s="8"/>
      <c r="G1333" s="215" t="str">
        <f>IF(AND($B1333="",OR(B1333&lt;&gt;"",C1333&lt;&gt;"",D1333&lt;&gt;"",E1333&lt;&gt;"",F1333&lt;&gt;"")),入力リスト!$K$34,IF($I1333=TRUE,入力リスト!$K$35,IF(J1333=FALSE,"「毎月の固定給与額」","")&amp;IF(AND(J1333=FALSE,OR(K1333=FALSE,L1333=FALSE,M1333=FALSE)),",","")&amp;IF(K1333=FALSE,"「賞与額等」","")&amp;IF(AND(K1333=FALSE,OR(L1333=FALSE,M1333=FALSE)),",","")&amp;IF(L1333=FALSE,"「残業手当」","")&amp;IF(AND(L1333=FALSE,M1333=FALSE),",","")&amp;IF(M1333=FALSE,"「残業時間」","")&amp;IF(OR(J1333=FALSE,K1333=FALSE,L1333=FALSE,M1333=FALSE),入力リスト!$K$36,"")&amp;IF(N1333,"",入力リスト!$K$37)))</f>
        <v/>
      </c>
      <c r="H1333" s="215"/>
      <c r="I1333" s="1" t="b">
        <f>IF(B1333="",FALSE,COUNTIF('従業員情報(給与以外)'!$A$4:$A$1000000,$B1333)=0)</f>
        <v>0</v>
      </c>
      <c r="J1333" s="8" t="b">
        <f t="shared" si="100"/>
        <v>1</v>
      </c>
      <c r="K1333" s="8" t="b">
        <f t="shared" si="101"/>
        <v>1</v>
      </c>
      <c r="L1333" s="8" t="b">
        <f t="shared" si="102"/>
        <v>1</v>
      </c>
      <c r="M1333" s="8" t="b">
        <f t="shared" si="103"/>
        <v>1</v>
      </c>
      <c r="N1333" s="1" t="b">
        <f t="shared" si="104"/>
        <v>1</v>
      </c>
      <c r="O1333" s="8" t="str">
        <f>IF(F1333="","",IF($F$2=入力リスト!$H$25,ROUNDDOWN(INT(F1333)+ROUNDDOWN((F1333-INT(F1333))*100,0)/60,2),F1333))</f>
        <v/>
      </c>
      <c r="P1333" s="7"/>
      <c r="Q1333" s="7"/>
    </row>
    <row r="1334" spans="1:17">
      <c r="A1334" s="105"/>
      <c r="B1334" s="2"/>
      <c r="C1334" s="3"/>
      <c r="D1334" s="3"/>
      <c r="E1334" s="3"/>
      <c r="F1334" s="8"/>
      <c r="G1334" s="215" t="str">
        <f>IF(AND($B1334="",OR(B1334&lt;&gt;"",C1334&lt;&gt;"",D1334&lt;&gt;"",E1334&lt;&gt;"",F1334&lt;&gt;"")),入力リスト!$K$34,IF($I1334=TRUE,入力リスト!$K$35,IF(J1334=FALSE,"「毎月の固定給与額」","")&amp;IF(AND(J1334=FALSE,OR(K1334=FALSE,L1334=FALSE,M1334=FALSE)),",","")&amp;IF(K1334=FALSE,"「賞与額等」","")&amp;IF(AND(K1334=FALSE,OR(L1334=FALSE,M1334=FALSE)),",","")&amp;IF(L1334=FALSE,"「残業手当」","")&amp;IF(AND(L1334=FALSE,M1334=FALSE),",","")&amp;IF(M1334=FALSE,"「残業時間」","")&amp;IF(OR(J1334=FALSE,K1334=FALSE,L1334=FALSE,M1334=FALSE),入力リスト!$K$36,"")&amp;IF(N1334,"",入力リスト!$K$37)))</f>
        <v/>
      </c>
      <c r="H1334" s="215"/>
      <c r="I1334" s="1" t="b">
        <f>IF(B1334="",FALSE,COUNTIF('従業員情報(給与以外)'!$A$4:$A$1000000,$B1334)=0)</f>
        <v>0</v>
      </c>
      <c r="J1334" s="8" t="b">
        <f t="shared" si="100"/>
        <v>1</v>
      </c>
      <c r="K1334" s="8" t="b">
        <f t="shared" si="101"/>
        <v>1</v>
      </c>
      <c r="L1334" s="8" t="b">
        <f t="shared" si="102"/>
        <v>1</v>
      </c>
      <c r="M1334" s="8" t="b">
        <f t="shared" si="103"/>
        <v>1</v>
      </c>
      <c r="N1334" s="1" t="b">
        <f t="shared" si="104"/>
        <v>1</v>
      </c>
      <c r="O1334" s="8" t="str">
        <f>IF(F1334="","",IF($F$2=入力リスト!$H$25,ROUNDDOWN(INT(F1334)+ROUNDDOWN((F1334-INT(F1334))*100,0)/60,2),F1334))</f>
        <v/>
      </c>
      <c r="P1334" s="7"/>
      <c r="Q1334" s="7"/>
    </row>
    <row r="1335" spans="1:17">
      <c r="A1335" s="105"/>
      <c r="B1335" s="2"/>
      <c r="C1335" s="3"/>
      <c r="D1335" s="3"/>
      <c r="E1335" s="3"/>
      <c r="F1335" s="8"/>
      <c r="G1335" s="215" t="str">
        <f>IF(AND($B1335="",OR(B1335&lt;&gt;"",C1335&lt;&gt;"",D1335&lt;&gt;"",E1335&lt;&gt;"",F1335&lt;&gt;"")),入力リスト!$K$34,IF($I1335=TRUE,入力リスト!$K$35,IF(J1335=FALSE,"「毎月の固定給与額」","")&amp;IF(AND(J1335=FALSE,OR(K1335=FALSE,L1335=FALSE,M1335=FALSE)),",","")&amp;IF(K1335=FALSE,"「賞与額等」","")&amp;IF(AND(K1335=FALSE,OR(L1335=FALSE,M1335=FALSE)),",","")&amp;IF(L1335=FALSE,"「残業手当」","")&amp;IF(AND(L1335=FALSE,M1335=FALSE),",","")&amp;IF(M1335=FALSE,"「残業時間」","")&amp;IF(OR(J1335=FALSE,K1335=FALSE,L1335=FALSE,M1335=FALSE),入力リスト!$K$36,"")&amp;IF(N1335,"",入力リスト!$K$37)))</f>
        <v/>
      </c>
      <c r="H1335" s="215"/>
      <c r="I1335" s="1" t="b">
        <f>IF(B1335="",FALSE,COUNTIF('従業員情報(給与以外)'!$A$4:$A$1000000,$B1335)=0)</f>
        <v>0</v>
      </c>
      <c r="J1335" s="8" t="b">
        <f t="shared" si="100"/>
        <v>1</v>
      </c>
      <c r="K1335" s="8" t="b">
        <f t="shared" si="101"/>
        <v>1</v>
      </c>
      <c r="L1335" s="8" t="b">
        <f t="shared" si="102"/>
        <v>1</v>
      </c>
      <c r="M1335" s="8" t="b">
        <f t="shared" si="103"/>
        <v>1</v>
      </c>
      <c r="N1335" s="1" t="b">
        <f t="shared" si="104"/>
        <v>1</v>
      </c>
      <c r="O1335" s="8" t="str">
        <f>IF(F1335="","",IF($F$2=入力リスト!$H$25,ROUNDDOWN(INT(F1335)+ROUNDDOWN((F1335-INT(F1335))*100,0)/60,2),F1335))</f>
        <v/>
      </c>
      <c r="P1335" s="7"/>
      <c r="Q1335" s="7"/>
    </row>
    <row r="1336" spans="1:17">
      <c r="A1336" s="105"/>
      <c r="B1336" s="2"/>
      <c r="C1336" s="3"/>
      <c r="D1336" s="3"/>
      <c r="E1336" s="3"/>
      <c r="F1336" s="8"/>
      <c r="G1336" s="215" t="str">
        <f>IF(AND($B1336="",OR(B1336&lt;&gt;"",C1336&lt;&gt;"",D1336&lt;&gt;"",E1336&lt;&gt;"",F1336&lt;&gt;"")),入力リスト!$K$34,IF($I1336=TRUE,入力リスト!$K$35,IF(J1336=FALSE,"「毎月の固定給与額」","")&amp;IF(AND(J1336=FALSE,OR(K1336=FALSE,L1336=FALSE,M1336=FALSE)),",","")&amp;IF(K1336=FALSE,"「賞与額等」","")&amp;IF(AND(K1336=FALSE,OR(L1336=FALSE,M1336=FALSE)),",","")&amp;IF(L1336=FALSE,"「残業手当」","")&amp;IF(AND(L1336=FALSE,M1336=FALSE),",","")&amp;IF(M1336=FALSE,"「残業時間」","")&amp;IF(OR(J1336=FALSE,K1336=FALSE,L1336=FALSE,M1336=FALSE),入力リスト!$K$36,"")&amp;IF(N1336,"",入力リスト!$K$37)))</f>
        <v/>
      </c>
      <c r="H1336" s="215"/>
      <c r="I1336" s="1" t="b">
        <f>IF(B1336="",FALSE,COUNTIF('従業員情報(給与以外)'!$A$4:$A$1000000,$B1336)=0)</f>
        <v>0</v>
      </c>
      <c r="J1336" s="8" t="b">
        <f t="shared" si="100"/>
        <v>1</v>
      </c>
      <c r="K1336" s="8" t="b">
        <f t="shared" si="101"/>
        <v>1</v>
      </c>
      <c r="L1336" s="8" t="b">
        <f t="shared" si="102"/>
        <v>1</v>
      </c>
      <c r="M1336" s="8" t="b">
        <f t="shared" si="103"/>
        <v>1</v>
      </c>
      <c r="N1336" s="1" t="b">
        <f t="shared" si="104"/>
        <v>1</v>
      </c>
      <c r="O1336" s="8" t="str">
        <f>IF(F1336="","",IF($F$2=入力リスト!$H$25,ROUNDDOWN(INT(F1336)+ROUNDDOWN((F1336-INT(F1336))*100,0)/60,2),F1336))</f>
        <v/>
      </c>
      <c r="P1336" s="7"/>
      <c r="Q1336" s="7"/>
    </row>
    <row r="1337" spans="1:17">
      <c r="A1337" s="105"/>
      <c r="B1337" s="2"/>
      <c r="C1337" s="3"/>
      <c r="D1337" s="3"/>
      <c r="E1337" s="3"/>
      <c r="F1337" s="8"/>
      <c r="G1337" s="215" t="str">
        <f>IF(AND($B1337="",OR(B1337&lt;&gt;"",C1337&lt;&gt;"",D1337&lt;&gt;"",E1337&lt;&gt;"",F1337&lt;&gt;"")),入力リスト!$K$34,IF($I1337=TRUE,入力リスト!$K$35,IF(J1337=FALSE,"「毎月の固定給与額」","")&amp;IF(AND(J1337=FALSE,OR(K1337=FALSE,L1337=FALSE,M1337=FALSE)),",","")&amp;IF(K1337=FALSE,"「賞与額等」","")&amp;IF(AND(K1337=FALSE,OR(L1337=FALSE,M1337=FALSE)),",","")&amp;IF(L1337=FALSE,"「残業手当」","")&amp;IF(AND(L1337=FALSE,M1337=FALSE),",","")&amp;IF(M1337=FALSE,"「残業時間」","")&amp;IF(OR(J1337=FALSE,K1337=FALSE,L1337=FALSE,M1337=FALSE),入力リスト!$K$36,"")&amp;IF(N1337,"",入力リスト!$K$37)))</f>
        <v/>
      </c>
      <c r="H1337" s="215"/>
      <c r="I1337" s="1" t="b">
        <f>IF(B1337="",FALSE,COUNTIF('従業員情報(給与以外)'!$A$4:$A$1000000,$B1337)=0)</f>
        <v>0</v>
      </c>
      <c r="J1337" s="8" t="b">
        <f t="shared" si="100"/>
        <v>1</v>
      </c>
      <c r="K1337" s="8" t="b">
        <f t="shared" si="101"/>
        <v>1</v>
      </c>
      <c r="L1337" s="8" t="b">
        <f t="shared" si="102"/>
        <v>1</v>
      </c>
      <c r="M1337" s="8" t="b">
        <f t="shared" si="103"/>
        <v>1</v>
      </c>
      <c r="N1337" s="1" t="b">
        <f t="shared" si="104"/>
        <v>1</v>
      </c>
      <c r="O1337" s="8" t="str">
        <f>IF(F1337="","",IF($F$2=入力リスト!$H$25,ROUNDDOWN(INT(F1337)+ROUNDDOWN((F1337-INT(F1337))*100,0)/60,2),F1337))</f>
        <v/>
      </c>
      <c r="P1337" s="7"/>
      <c r="Q1337" s="7"/>
    </row>
    <row r="1338" spans="1:17">
      <c r="A1338" s="105"/>
      <c r="B1338" s="2"/>
      <c r="C1338" s="3"/>
      <c r="D1338" s="3"/>
      <c r="E1338" s="3"/>
      <c r="F1338" s="8"/>
      <c r="G1338" s="215" t="str">
        <f>IF(AND($B1338="",OR(B1338&lt;&gt;"",C1338&lt;&gt;"",D1338&lt;&gt;"",E1338&lt;&gt;"",F1338&lt;&gt;"")),入力リスト!$K$34,IF($I1338=TRUE,入力リスト!$K$35,IF(J1338=FALSE,"「毎月の固定給与額」","")&amp;IF(AND(J1338=FALSE,OR(K1338=FALSE,L1338=FALSE,M1338=FALSE)),",","")&amp;IF(K1338=FALSE,"「賞与額等」","")&amp;IF(AND(K1338=FALSE,OR(L1338=FALSE,M1338=FALSE)),",","")&amp;IF(L1338=FALSE,"「残業手当」","")&amp;IF(AND(L1338=FALSE,M1338=FALSE),",","")&amp;IF(M1338=FALSE,"「残業時間」","")&amp;IF(OR(J1338=FALSE,K1338=FALSE,L1338=FALSE,M1338=FALSE),入力リスト!$K$36,"")&amp;IF(N1338,"",入力リスト!$K$37)))</f>
        <v/>
      </c>
      <c r="H1338" s="215"/>
      <c r="I1338" s="1" t="b">
        <f>IF(B1338="",FALSE,COUNTIF('従業員情報(給与以外)'!$A$4:$A$1000000,$B1338)=0)</f>
        <v>0</v>
      </c>
      <c r="J1338" s="8" t="b">
        <f t="shared" si="100"/>
        <v>1</v>
      </c>
      <c r="K1338" s="8" t="b">
        <f t="shared" si="101"/>
        <v>1</v>
      </c>
      <c r="L1338" s="8" t="b">
        <f t="shared" si="102"/>
        <v>1</v>
      </c>
      <c r="M1338" s="8" t="b">
        <f t="shared" si="103"/>
        <v>1</v>
      </c>
      <c r="N1338" s="1" t="b">
        <f t="shared" si="104"/>
        <v>1</v>
      </c>
      <c r="O1338" s="8" t="str">
        <f>IF(F1338="","",IF($F$2=入力リスト!$H$25,ROUNDDOWN(INT(F1338)+ROUNDDOWN((F1338-INT(F1338))*100,0)/60,2),F1338))</f>
        <v/>
      </c>
      <c r="P1338" s="7"/>
      <c r="Q1338" s="7"/>
    </row>
    <row r="1339" spans="1:17">
      <c r="A1339" s="105"/>
      <c r="B1339" s="2"/>
      <c r="C1339" s="3"/>
      <c r="D1339" s="3"/>
      <c r="E1339" s="3"/>
      <c r="F1339" s="8"/>
      <c r="G1339" s="215" t="str">
        <f>IF(AND($B1339="",OR(B1339&lt;&gt;"",C1339&lt;&gt;"",D1339&lt;&gt;"",E1339&lt;&gt;"",F1339&lt;&gt;"")),入力リスト!$K$34,IF($I1339=TRUE,入力リスト!$K$35,IF(J1339=FALSE,"「毎月の固定給与額」","")&amp;IF(AND(J1339=FALSE,OR(K1339=FALSE,L1339=FALSE,M1339=FALSE)),",","")&amp;IF(K1339=FALSE,"「賞与額等」","")&amp;IF(AND(K1339=FALSE,OR(L1339=FALSE,M1339=FALSE)),",","")&amp;IF(L1339=FALSE,"「残業手当」","")&amp;IF(AND(L1339=FALSE,M1339=FALSE),",","")&amp;IF(M1339=FALSE,"「残業時間」","")&amp;IF(OR(J1339=FALSE,K1339=FALSE,L1339=FALSE,M1339=FALSE),入力リスト!$K$36,"")&amp;IF(N1339,"",入力リスト!$K$37)))</f>
        <v/>
      </c>
      <c r="H1339" s="215"/>
      <c r="I1339" s="1" t="b">
        <f>IF(B1339="",FALSE,COUNTIF('従業員情報(給与以外)'!$A$4:$A$1000000,$B1339)=0)</f>
        <v>0</v>
      </c>
      <c r="J1339" s="8" t="b">
        <f t="shared" si="100"/>
        <v>1</v>
      </c>
      <c r="K1339" s="8" t="b">
        <f t="shared" si="101"/>
        <v>1</v>
      </c>
      <c r="L1339" s="8" t="b">
        <f t="shared" si="102"/>
        <v>1</v>
      </c>
      <c r="M1339" s="8" t="b">
        <f t="shared" si="103"/>
        <v>1</v>
      </c>
      <c r="N1339" s="1" t="b">
        <f t="shared" si="104"/>
        <v>1</v>
      </c>
      <c r="O1339" s="8" t="str">
        <f>IF(F1339="","",IF($F$2=入力リスト!$H$25,ROUNDDOWN(INT(F1339)+ROUNDDOWN((F1339-INT(F1339))*100,0)/60,2),F1339))</f>
        <v/>
      </c>
      <c r="P1339" s="7"/>
      <c r="Q1339" s="7"/>
    </row>
    <row r="1340" spans="1:17">
      <c r="A1340" s="105"/>
      <c r="B1340" s="2"/>
      <c r="C1340" s="3"/>
      <c r="D1340" s="3"/>
      <c r="E1340" s="3"/>
      <c r="F1340" s="8"/>
      <c r="G1340" s="215" t="str">
        <f>IF(AND($B1340="",OR(B1340&lt;&gt;"",C1340&lt;&gt;"",D1340&lt;&gt;"",E1340&lt;&gt;"",F1340&lt;&gt;"")),入力リスト!$K$34,IF($I1340=TRUE,入力リスト!$K$35,IF(J1340=FALSE,"「毎月の固定給与額」","")&amp;IF(AND(J1340=FALSE,OR(K1340=FALSE,L1340=FALSE,M1340=FALSE)),",","")&amp;IF(K1340=FALSE,"「賞与額等」","")&amp;IF(AND(K1340=FALSE,OR(L1340=FALSE,M1340=FALSE)),",","")&amp;IF(L1340=FALSE,"「残業手当」","")&amp;IF(AND(L1340=FALSE,M1340=FALSE),",","")&amp;IF(M1340=FALSE,"「残業時間」","")&amp;IF(OR(J1340=FALSE,K1340=FALSE,L1340=FALSE,M1340=FALSE),入力リスト!$K$36,"")&amp;IF(N1340,"",入力リスト!$K$37)))</f>
        <v/>
      </c>
      <c r="H1340" s="215"/>
      <c r="I1340" s="1" t="b">
        <f>IF(B1340="",FALSE,COUNTIF('従業員情報(給与以外)'!$A$4:$A$1000000,$B1340)=0)</f>
        <v>0</v>
      </c>
      <c r="J1340" s="8" t="b">
        <f t="shared" si="100"/>
        <v>1</v>
      </c>
      <c r="K1340" s="8" t="b">
        <f t="shared" si="101"/>
        <v>1</v>
      </c>
      <c r="L1340" s="8" t="b">
        <f t="shared" si="102"/>
        <v>1</v>
      </c>
      <c r="M1340" s="8" t="b">
        <f t="shared" si="103"/>
        <v>1</v>
      </c>
      <c r="N1340" s="1" t="b">
        <f t="shared" si="104"/>
        <v>1</v>
      </c>
      <c r="O1340" s="8" t="str">
        <f>IF(F1340="","",IF($F$2=入力リスト!$H$25,ROUNDDOWN(INT(F1340)+ROUNDDOWN((F1340-INT(F1340))*100,0)/60,2),F1340))</f>
        <v/>
      </c>
      <c r="P1340" s="7"/>
      <c r="Q1340" s="7"/>
    </row>
    <row r="1341" spans="1:17">
      <c r="A1341" s="105"/>
      <c r="B1341" s="2"/>
      <c r="C1341" s="3"/>
      <c r="D1341" s="3"/>
      <c r="E1341" s="3"/>
      <c r="F1341" s="8"/>
      <c r="G1341" s="215" t="str">
        <f>IF(AND($B1341="",OR(B1341&lt;&gt;"",C1341&lt;&gt;"",D1341&lt;&gt;"",E1341&lt;&gt;"",F1341&lt;&gt;"")),入力リスト!$K$34,IF($I1341=TRUE,入力リスト!$K$35,IF(J1341=FALSE,"「毎月の固定給与額」","")&amp;IF(AND(J1341=FALSE,OR(K1341=FALSE,L1341=FALSE,M1341=FALSE)),",","")&amp;IF(K1341=FALSE,"「賞与額等」","")&amp;IF(AND(K1341=FALSE,OR(L1341=FALSE,M1341=FALSE)),",","")&amp;IF(L1341=FALSE,"「残業手当」","")&amp;IF(AND(L1341=FALSE,M1341=FALSE),",","")&amp;IF(M1341=FALSE,"「残業時間」","")&amp;IF(OR(J1341=FALSE,K1341=FALSE,L1341=FALSE,M1341=FALSE),入力リスト!$K$36,"")&amp;IF(N1341,"",入力リスト!$K$37)))</f>
        <v/>
      </c>
      <c r="H1341" s="215"/>
      <c r="I1341" s="1" t="b">
        <f>IF(B1341="",FALSE,COUNTIF('従業員情報(給与以外)'!$A$4:$A$1000000,$B1341)=0)</f>
        <v>0</v>
      </c>
      <c r="J1341" s="8" t="b">
        <f t="shared" si="100"/>
        <v>1</v>
      </c>
      <c r="K1341" s="8" t="b">
        <f t="shared" si="101"/>
        <v>1</v>
      </c>
      <c r="L1341" s="8" t="b">
        <f t="shared" si="102"/>
        <v>1</v>
      </c>
      <c r="M1341" s="8" t="b">
        <f t="shared" si="103"/>
        <v>1</v>
      </c>
      <c r="N1341" s="1" t="b">
        <f t="shared" si="104"/>
        <v>1</v>
      </c>
      <c r="O1341" s="8" t="str">
        <f>IF(F1341="","",IF($F$2=入力リスト!$H$25,ROUNDDOWN(INT(F1341)+ROUNDDOWN((F1341-INT(F1341))*100,0)/60,2),F1341))</f>
        <v/>
      </c>
      <c r="P1341" s="7"/>
      <c r="Q1341" s="7"/>
    </row>
    <row r="1342" spans="1:17">
      <c r="A1342" s="105"/>
      <c r="B1342" s="2"/>
      <c r="C1342" s="3"/>
      <c r="D1342" s="3"/>
      <c r="E1342" s="3"/>
      <c r="F1342" s="8"/>
      <c r="G1342" s="215" t="str">
        <f>IF(AND($B1342="",OR(B1342&lt;&gt;"",C1342&lt;&gt;"",D1342&lt;&gt;"",E1342&lt;&gt;"",F1342&lt;&gt;"")),入力リスト!$K$34,IF($I1342=TRUE,入力リスト!$K$35,IF(J1342=FALSE,"「毎月の固定給与額」","")&amp;IF(AND(J1342=FALSE,OR(K1342=FALSE,L1342=FALSE,M1342=FALSE)),",","")&amp;IF(K1342=FALSE,"「賞与額等」","")&amp;IF(AND(K1342=FALSE,OR(L1342=FALSE,M1342=FALSE)),",","")&amp;IF(L1342=FALSE,"「残業手当」","")&amp;IF(AND(L1342=FALSE,M1342=FALSE),",","")&amp;IF(M1342=FALSE,"「残業時間」","")&amp;IF(OR(J1342=FALSE,K1342=FALSE,L1342=FALSE,M1342=FALSE),入力リスト!$K$36,"")&amp;IF(N1342,"",入力リスト!$K$37)))</f>
        <v/>
      </c>
      <c r="H1342" s="215"/>
      <c r="I1342" s="1" t="b">
        <f>IF(B1342="",FALSE,COUNTIF('従業員情報(給与以外)'!$A$4:$A$1000000,$B1342)=0)</f>
        <v>0</v>
      </c>
      <c r="J1342" s="8" t="b">
        <f t="shared" si="100"/>
        <v>1</v>
      </c>
      <c r="K1342" s="8" t="b">
        <f t="shared" si="101"/>
        <v>1</v>
      </c>
      <c r="L1342" s="8" t="b">
        <f t="shared" si="102"/>
        <v>1</v>
      </c>
      <c r="M1342" s="8" t="b">
        <f t="shared" si="103"/>
        <v>1</v>
      </c>
      <c r="N1342" s="1" t="b">
        <f t="shared" si="104"/>
        <v>1</v>
      </c>
      <c r="O1342" s="8" t="str">
        <f>IF(F1342="","",IF($F$2=入力リスト!$H$25,ROUNDDOWN(INT(F1342)+ROUNDDOWN((F1342-INT(F1342))*100,0)/60,2),F1342))</f>
        <v/>
      </c>
      <c r="P1342" s="7"/>
      <c r="Q1342" s="7"/>
    </row>
    <row r="1343" spans="1:17">
      <c r="A1343" s="105"/>
      <c r="B1343" s="2"/>
      <c r="C1343" s="3"/>
      <c r="D1343" s="3"/>
      <c r="E1343" s="3"/>
      <c r="F1343" s="8"/>
      <c r="G1343" s="215" t="str">
        <f>IF(AND($B1343="",OR(B1343&lt;&gt;"",C1343&lt;&gt;"",D1343&lt;&gt;"",E1343&lt;&gt;"",F1343&lt;&gt;"")),入力リスト!$K$34,IF($I1343=TRUE,入力リスト!$K$35,IF(J1343=FALSE,"「毎月の固定給与額」","")&amp;IF(AND(J1343=FALSE,OR(K1343=FALSE,L1343=FALSE,M1343=FALSE)),",","")&amp;IF(K1343=FALSE,"「賞与額等」","")&amp;IF(AND(K1343=FALSE,OR(L1343=FALSE,M1343=FALSE)),",","")&amp;IF(L1343=FALSE,"「残業手当」","")&amp;IF(AND(L1343=FALSE,M1343=FALSE),",","")&amp;IF(M1343=FALSE,"「残業時間」","")&amp;IF(OR(J1343=FALSE,K1343=FALSE,L1343=FALSE,M1343=FALSE),入力リスト!$K$36,"")&amp;IF(N1343,"",入力リスト!$K$37)))</f>
        <v/>
      </c>
      <c r="H1343" s="215"/>
      <c r="I1343" s="1" t="b">
        <f>IF(B1343="",FALSE,COUNTIF('従業員情報(給与以外)'!$A$4:$A$1000000,$B1343)=0)</f>
        <v>0</v>
      </c>
      <c r="J1343" s="8" t="b">
        <f t="shared" si="100"/>
        <v>1</v>
      </c>
      <c r="K1343" s="8" t="b">
        <f t="shared" si="101"/>
        <v>1</v>
      </c>
      <c r="L1343" s="8" t="b">
        <f t="shared" si="102"/>
        <v>1</v>
      </c>
      <c r="M1343" s="8" t="b">
        <f t="shared" si="103"/>
        <v>1</v>
      </c>
      <c r="N1343" s="1" t="b">
        <f t="shared" si="104"/>
        <v>1</v>
      </c>
      <c r="O1343" s="8" t="str">
        <f>IF(F1343="","",IF($F$2=入力リスト!$H$25,ROUNDDOWN(INT(F1343)+ROUNDDOWN((F1343-INT(F1343))*100,0)/60,2),F1343))</f>
        <v/>
      </c>
      <c r="P1343" s="7"/>
      <c r="Q1343" s="7"/>
    </row>
    <row r="1344" spans="1:17">
      <c r="A1344" s="105"/>
      <c r="B1344" s="2"/>
      <c r="C1344" s="3"/>
      <c r="D1344" s="3"/>
      <c r="E1344" s="3"/>
      <c r="F1344" s="8"/>
      <c r="G1344" s="215" t="str">
        <f>IF(AND($B1344="",OR(B1344&lt;&gt;"",C1344&lt;&gt;"",D1344&lt;&gt;"",E1344&lt;&gt;"",F1344&lt;&gt;"")),入力リスト!$K$34,IF($I1344=TRUE,入力リスト!$K$35,IF(J1344=FALSE,"「毎月の固定給与額」","")&amp;IF(AND(J1344=FALSE,OR(K1344=FALSE,L1344=FALSE,M1344=FALSE)),",","")&amp;IF(K1344=FALSE,"「賞与額等」","")&amp;IF(AND(K1344=FALSE,OR(L1344=FALSE,M1344=FALSE)),",","")&amp;IF(L1344=FALSE,"「残業手当」","")&amp;IF(AND(L1344=FALSE,M1344=FALSE),",","")&amp;IF(M1344=FALSE,"「残業時間」","")&amp;IF(OR(J1344=FALSE,K1344=FALSE,L1344=FALSE,M1344=FALSE),入力リスト!$K$36,"")&amp;IF(N1344,"",入力リスト!$K$37)))</f>
        <v/>
      </c>
      <c r="H1344" s="215"/>
      <c r="I1344" s="1" t="b">
        <f>IF(B1344="",FALSE,COUNTIF('従業員情報(給与以外)'!$A$4:$A$1000000,$B1344)=0)</f>
        <v>0</v>
      </c>
      <c r="J1344" s="8" t="b">
        <f t="shared" si="100"/>
        <v>1</v>
      </c>
      <c r="K1344" s="8" t="b">
        <f t="shared" si="101"/>
        <v>1</v>
      </c>
      <c r="L1344" s="8" t="b">
        <f t="shared" si="102"/>
        <v>1</v>
      </c>
      <c r="M1344" s="8" t="b">
        <f t="shared" si="103"/>
        <v>1</v>
      </c>
      <c r="N1344" s="1" t="b">
        <f t="shared" si="104"/>
        <v>1</v>
      </c>
      <c r="O1344" s="8" t="str">
        <f>IF(F1344="","",IF($F$2=入力リスト!$H$25,ROUNDDOWN(INT(F1344)+ROUNDDOWN((F1344-INT(F1344))*100,0)/60,2),F1344))</f>
        <v/>
      </c>
      <c r="P1344" s="7"/>
      <c r="Q1344" s="7"/>
    </row>
    <row r="1345" spans="1:17">
      <c r="A1345" s="105"/>
      <c r="B1345" s="2"/>
      <c r="C1345" s="3"/>
      <c r="D1345" s="3"/>
      <c r="E1345" s="3"/>
      <c r="F1345" s="8"/>
      <c r="G1345" s="215" t="str">
        <f>IF(AND($B1345="",OR(B1345&lt;&gt;"",C1345&lt;&gt;"",D1345&lt;&gt;"",E1345&lt;&gt;"",F1345&lt;&gt;"")),入力リスト!$K$34,IF($I1345=TRUE,入力リスト!$K$35,IF(J1345=FALSE,"「毎月の固定給与額」","")&amp;IF(AND(J1345=FALSE,OR(K1345=FALSE,L1345=FALSE,M1345=FALSE)),",","")&amp;IF(K1345=FALSE,"「賞与額等」","")&amp;IF(AND(K1345=FALSE,OR(L1345=FALSE,M1345=FALSE)),",","")&amp;IF(L1345=FALSE,"「残業手当」","")&amp;IF(AND(L1345=FALSE,M1345=FALSE),",","")&amp;IF(M1345=FALSE,"「残業時間」","")&amp;IF(OR(J1345=FALSE,K1345=FALSE,L1345=FALSE,M1345=FALSE),入力リスト!$K$36,"")&amp;IF(N1345,"",入力リスト!$K$37)))</f>
        <v/>
      </c>
      <c r="H1345" s="215"/>
      <c r="I1345" s="1" t="b">
        <f>IF(B1345="",FALSE,COUNTIF('従業員情報(給与以外)'!$A$4:$A$1000000,$B1345)=0)</f>
        <v>0</v>
      </c>
      <c r="J1345" s="8" t="b">
        <f t="shared" si="100"/>
        <v>1</v>
      </c>
      <c r="K1345" s="8" t="b">
        <f t="shared" si="101"/>
        <v>1</v>
      </c>
      <c r="L1345" s="8" t="b">
        <f t="shared" si="102"/>
        <v>1</v>
      </c>
      <c r="M1345" s="8" t="b">
        <f t="shared" si="103"/>
        <v>1</v>
      </c>
      <c r="N1345" s="1" t="b">
        <f t="shared" si="104"/>
        <v>1</v>
      </c>
      <c r="O1345" s="8" t="str">
        <f>IF(F1345="","",IF($F$2=入力リスト!$H$25,ROUNDDOWN(INT(F1345)+ROUNDDOWN((F1345-INT(F1345))*100,0)/60,2),F1345))</f>
        <v/>
      </c>
      <c r="P1345" s="7"/>
      <c r="Q1345" s="7"/>
    </row>
    <row r="1346" spans="1:17">
      <c r="A1346" s="105"/>
      <c r="B1346" s="2"/>
      <c r="C1346" s="3"/>
      <c r="D1346" s="3"/>
      <c r="E1346" s="3"/>
      <c r="F1346" s="8"/>
      <c r="G1346" s="215" t="str">
        <f>IF(AND($B1346="",OR(B1346&lt;&gt;"",C1346&lt;&gt;"",D1346&lt;&gt;"",E1346&lt;&gt;"",F1346&lt;&gt;"")),入力リスト!$K$34,IF($I1346=TRUE,入力リスト!$K$35,IF(J1346=FALSE,"「毎月の固定給与額」","")&amp;IF(AND(J1346=FALSE,OR(K1346=FALSE,L1346=FALSE,M1346=FALSE)),",","")&amp;IF(K1346=FALSE,"「賞与額等」","")&amp;IF(AND(K1346=FALSE,OR(L1346=FALSE,M1346=FALSE)),",","")&amp;IF(L1346=FALSE,"「残業手当」","")&amp;IF(AND(L1346=FALSE,M1346=FALSE),",","")&amp;IF(M1346=FALSE,"「残業時間」","")&amp;IF(OR(J1346=FALSE,K1346=FALSE,L1346=FALSE,M1346=FALSE),入力リスト!$K$36,"")&amp;IF(N1346,"",入力リスト!$K$37)))</f>
        <v/>
      </c>
      <c r="H1346" s="215"/>
      <c r="I1346" s="1" t="b">
        <f>IF(B1346="",FALSE,COUNTIF('従業員情報(給与以外)'!$A$4:$A$1000000,$B1346)=0)</f>
        <v>0</v>
      </c>
      <c r="J1346" s="8" t="b">
        <f t="shared" si="100"/>
        <v>1</v>
      </c>
      <c r="K1346" s="8" t="b">
        <f t="shared" si="101"/>
        <v>1</v>
      </c>
      <c r="L1346" s="8" t="b">
        <f t="shared" si="102"/>
        <v>1</v>
      </c>
      <c r="M1346" s="8" t="b">
        <f t="shared" si="103"/>
        <v>1</v>
      </c>
      <c r="N1346" s="1" t="b">
        <f t="shared" si="104"/>
        <v>1</v>
      </c>
      <c r="O1346" s="8" t="str">
        <f>IF(F1346="","",IF($F$2=入力リスト!$H$25,ROUNDDOWN(INT(F1346)+ROUNDDOWN((F1346-INT(F1346))*100,0)/60,2),F1346))</f>
        <v/>
      </c>
      <c r="P1346" s="7"/>
      <c r="Q1346" s="7"/>
    </row>
    <row r="1347" spans="1:17">
      <c r="A1347" s="105"/>
      <c r="B1347" s="2"/>
      <c r="C1347" s="3"/>
      <c r="D1347" s="3"/>
      <c r="E1347" s="3"/>
      <c r="F1347" s="8"/>
      <c r="G1347" s="215" t="str">
        <f>IF(AND($B1347="",OR(B1347&lt;&gt;"",C1347&lt;&gt;"",D1347&lt;&gt;"",E1347&lt;&gt;"",F1347&lt;&gt;"")),入力リスト!$K$34,IF($I1347=TRUE,入力リスト!$K$35,IF(J1347=FALSE,"「毎月の固定給与額」","")&amp;IF(AND(J1347=FALSE,OR(K1347=FALSE,L1347=FALSE,M1347=FALSE)),",","")&amp;IF(K1347=FALSE,"「賞与額等」","")&amp;IF(AND(K1347=FALSE,OR(L1347=FALSE,M1347=FALSE)),",","")&amp;IF(L1347=FALSE,"「残業手当」","")&amp;IF(AND(L1347=FALSE,M1347=FALSE),",","")&amp;IF(M1347=FALSE,"「残業時間」","")&amp;IF(OR(J1347=FALSE,K1347=FALSE,L1347=FALSE,M1347=FALSE),入力リスト!$K$36,"")&amp;IF(N1347,"",入力リスト!$K$37)))</f>
        <v/>
      </c>
      <c r="H1347" s="215"/>
      <c r="I1347" s="1" t="b">
        <f>IF(B1347="",FALSE,COUNTIF('従業員情報(給与以外)'!$A$4:$A$1000000,$B1347)=0)</f>
        <v>0</v>
      </c>
      <c r="J1347" s="8" t="b">
        <f t="shared" si="100"/>
        <v>1</v>
      </c>
      <c r="K1347" s="8" t="b">
        <f t="shared" si="101"/>
        <v>1</v>
      </c>
      <c r="L1347" s="8" t="b">
        <f t="shared" si="102"/>
        <v>1</v>
      </c>
      <c r="M1347" s="8" t="b">
        <f t="shared" si="103"/>
        <v>1</v>
      </c>
      <c r="N1347" s="1" t="b">
        <f t="shared" si="104"/>
        <v>1</v>
      </c>
      <c r="O1347" s="8" t="str">
        <f>IF(F1347="","",IF($F$2=入力リスト!$H$25,ROUNDDOWN(INT(F1347)+ROUNDDOWN((F1347-INT(F1347))*100,0)/60,2),F1347))</f>
        <v/>
      </c>
      <c r="P1347" s="7"/>
      <c r="Q1347" s="7"/>
    </row>
    <row r="1348" spans="1:17">
      <c r="A1348" s="105"/>
      <c r="B1348" s="2"/>
      <c r="C1348" s="3"/>
      <c r="D1348" s="3"/>
      <c r="E1348" s="3"/>
      <c r="F1348" s="8"/>
      <c r="G1348" s="215" t="str">
        <f>IF(AND($B1348="",OR(B1348&lt;&gt;"",C1348&lt;&gt;"",D1348&lt;&gt;"",E1348&lt;&gt;"",F1348&lt;&gt;"")),入力リスト!$K$34,IF($I1348=TRUE,入力リスト!$K$35,IF(J1348=FALSE,"「毎月の固定給与額」","")&amp;IF(AND(J1348=FALSE,OR(K1348=FALSE,L1348=FALSE,M1348=FALSE)),",","")&amp;IF(K1348=FALSE,"「賞与額等」","")&amp;IF(AND(K1348=FALSE,OR(L1348=FALSE,M1348=FALSE)),",","")&amp;IF(L1348=FALSE,"「残業手当」","")&amp;IF(AND(L1348=FALSE,M1348=FALSE),",","")&amp;IF(M1348=FALSE,"「残業時間」","")&amp;IF(OR(J1348=FALSE,K1348=FALSE,L1348=FALSE,M1348=FALSE),入力リスト!$K$36,"")&amp;IF(N1348,"",入力リスト!$K$37)))</f>
        <v/>
      </c>
      <c r="H1348" s="215"/>
      <c r="I1348" s="1" t="b">
        <f>IF(B1348="",FALSE,COUNTIF('従業員情報(給与以外)'!$A$4:$A$1000000,$B1348)=0)</f>
        <v>0</v>
      </c>
      <c r="J1348" s="8" t="b">
        <f t="shared" si="100"/>
        <v>1</v>
      </c>
      <c r="K1348" s="8" t="b">
        <f t="shared" si="101"/>
        <v>1</v>
      </c>
      <c r="L1348" s="8" t="b">
        <f t="shared" si="102"/>
        <v>1</v>
      </c>
      <c r="M1348" s="8" t="b">
        <f t="shared" si="103"/>
        <v>1</v>
      </c>
      <c r="N1348" s="1" t="b">
        <f t="shared" si="104"/>
        <v>1</v>
      </c>
      <c r="O1348" s="8" t="str">
        <f>IF(F1348="","",IF($F$2=入力リスト!$H$25,ROUNDDOWN(INT(F1348)+ROUNDDOWN((F1348-INT(F1348))*100,0)/60,2),F1348))</f>
        <v/>
      </c>
      <c r="P1348" s="7"/>
      <c r="Q1348" s="7"/>
    </row>
    <row r="1349" spans="1:17">
      <c r="A1349" s="105"/>
      <c r="B1349" s="2"/>
      <c r="C1349" s="3"/>
      <c r="D1349" s="3"/>
      <c r="E1349" s="3"/>
      <c r="F1349" s="8"/>
      <c r="G1349" s="215" t="str">
        <f>IF(AND($B1349="",OR(B1349&lt;&gt;"",C1349&lt;&gt;"",D1349&lt;&gt;"",E1349&lt;&gt;"",F1349&lt;&gt;"")),入力リスト!$K$34,IF($I1349=TRUE,入力リスト!$K$35,IF(J1349=FALSE,"「毎月の固定給与額」","")&amp;IF(AND(J1349=FALSE,OR(K1349=FALSE,L1349=FALSE,M1349=FALSE)),",","")&amp;IF(K1349=FALSE,"「賞与額等」","")&amp;IF(AND(K1349=FALSE,OR(L1349=FALSE,M1349=FALSE)),",","")&amp;IF(L1349=FALSE,"「残業手当」","")&amp;IF(AND(L1349=FALSE,M1349=FALSE),",","")&amp;IF(M1349=FALSE,"「残業時間」","")&amp;IF(OR(J1349=FALSE,K1349=FALSE,L1349=FALSE,M1349=FALSE),入力リスト!$K$36,"")&amp;IF(N1349,"",入力リスト!$K$37)))</f>
        <v/>
      </c>
      <c r="H1349" s="215"/>
      <c r="I1349" s="1" t="b">
        <f>IF(B1349="",FALSE,COUNTIF('従業員情報(給与以外)'!$A$4:$A$1000000,$B1349)=0)</f>
        <v>0</v>
      </c>
      <c r="J1349" s="8" t="b">
        <f t="shared" ref="J1349:J1412" si="105">OR(C1349="",ISNUMBER(C1349))</f>
        <v>1</v>
      </c>
      <c r="K1349" s="8" t="b">
        <f t="shared" ref="K1349:K1412" si="106">OR(D1349="",ISNUMBER(D1349))</f>
        <v>1</v>
      </c>
      <c r="L1349" s="8" t="b">
        <f t="shared" ref="L1349:L1412" si="107">OR(E1349="",ISNUMBER(E1349))</f>
        <v>1</v>
      </c>
      <c r="M1349" s="8" t="b">
        <f t="shared" ref="M1349:M1412" si="108">OR(F1349="",ISNUMBER(F1349))</f>
        <v>1</v>
      </c>
      <c r="N1349" s="1" t="b">
        <f t="shared" ref="N1349:N1412" si="109">IF($N$1,TRUE,IF($N$2,IF(F1349-INT(F1349)&lt;0.6,TRUE,FALSE),TRUE))</f>
        <v>1</v>
      </c>
      <c r="O1349" s="8" t="str">
        <f>IF(F1349="","",IF($F$2=入力リスト!$H$25,ROUNDDOWN(INT(F1349)+ROUNDDOWN((F1349-INT(F1349))*100,0)/60,2),F1349))</f>
        <v/>
      </c>
      <c r="P1349" s="7"/>
      <c r="Q1349" s="7"/>
    </row>
    <row r="1350" spans="1:17">
      <c r="A1350" s="105"/>
      <c r="B1350" s="2"/>
      <c r="C1350" s="3"/>
      <c r="D1350" s="3"/>
      <c r="E1350" s="3"/>
      <c r="F1350" s="8"/>
      <c r="G1350" s="215" t="str">
        <f>IF(AND($B1350="",OR(B1350&lt;&gt;"",C1350&lt;&gt;"",D1350&lt;&gt;"",E1350&lt;&gt;"",F1350&lt;&gt;"")),入力リスト!$K$34,IF($I1350=TRUE,入力リスト!$K$35,IF(J1350=FALSE,"「毎月の固定給与額」","")&amp;IF(AND(J1350=FALSE,OR(K1350=FALSE,L1350=FALSE,M1350=FALSE)),",","")&amp;IF(K1350=FALSE,"「賞与額等」","")&amp;IF(AND(K1350=FALSE,OR(L1350=FALSE,M1350=FALSE)),",","")&amp;IF(L1350=FALSE,"「残業手当」","")&amp;IF(AND(L1350=FALSE,M1350=FALSE),",","")&amp;IF(M1350=FALSE,"「残業時間」","")&amp;IF(OR(J1350=FALSE,K1350=FALSE,L1350=FALSE,M1350=FALSE),入力リスト!$K$36,"")&amp;IF(N1350,"",入力リスト!$K$37)))</f>
        <v/>
      </c>
      <c r="H1350" s="215"/>
      <c r="I1350" s="1" t="b">
        <f>IF(B1350="",FALSE,COUNTIF('従業員情報(給与以外)'!$A$4:$A$1000000,$B1350)=0)</f>
        <v>0</v>
      </c>
      <c r="J1350" s="8" t="b">
        <f t="shared" si="105"/>
        <v>1</v>
      </c>
      <c r="K1350" s="8" t="b">
        <f t="shared" si="106"/>
        <v>1</v>
      </c>
      <c r="L1350" s="8" t="b">
        <f t="shared" si="107"/>
        <v>1</v>
      </c>
      <c r="M1350" s="8" t="b">
        <f t="shared" si="108"/>
        <v>1</v>
      </c>
      <c r="N1350" s="1" t="b">
        <f t="shared" si="109"/>
        <v>1</v>
      </c>
      <c r="O1350" s="8" t="str">
        <f>IF(F1350="","",IF($F$2=入力リスト!$H$25,ROUNDDOWN(INT(F1350)+ROUNDDOWN((F1350-INT(F1350))*100,0)/60,2),F1350))</f>
        <v/>
      </c>
      <c r="P1350" s="7"/>
      <c r="Q1350" s="7"/>
    </row>
    <row r="1351" spans="1:17">
      <c r="A1351" s="105"/>
      <c r="B1351" s="2"/>
      <c r="C1351" s="3"/>
      <c r="D1351" s="3"/>
      <c r="E1351" s="3"/>
      <c r="F1351" s="8"/>
      <c r="G1351" s="215" t="str">
        <f>IF(AND($B1351="",OR(B1351&lt;&gt;"",C1351&lt;&gt;"",D1351&lt;&gt;"",E1351&lt;&gt;"",F1351&lt;&gt;"")),入力リスト!$K$34,IF($I1351=TRUE,入力リスト!$K$35,IF(J1351=FALSE,"「毎月の固定給与額」","")&amp;IF(AND(J1351=FALSE,OR(K1351=FALSE,L1351=FALSE,M1351=FALSE)),",","")&amp;IF(K1351=FALSE,"「賞与額等」","")&amp;IF(AND(K1351=FALSE,OR(L1351=FALSE,M1351=FALSE)),",","")&amp;IF(L1351=FALSE,"「残業手当」","")&amp;IF(AND(L1351=FALSE,M1351=FALSE),",","")&amp;IF(M1351=FALSE,"「残業時間」","")&amp;IF(OR(J1351=FALSE,K1351=FALSE,L1351=FALSE,M1351=FALSE),入力リスト!$K$36,"")&amp;IF(N1351,"",入力リスト!$K$37)))</f>
        <v/>
      </c>
      <c r="H1351" s="215"/>
      <c r="I1351" s="1" t="b">
        <f>IF(B1351="",FALSE,COUNTIF('従業員情報(給与以外)'!$A$4:$A$1000000,$B1351)=0)</f>
        <v>0</v>
      </c>
      <c r="J1351" s="8" t="b">
        <f t="shared" si="105"/>
        <v>1</v>
      </c>
      <c r="K1351" s="8" t="b">
        <f t="shared" si="106"/>
        <v>1</v>
      </c>
      <c r="L1351" s="8" t="b">
        <f t="shared" si="107"/>
        <v>1</v>
      </c>
      <c r="M1351" s="8" t="b">
        <f t="shared" si="108"/>
        <v>1</v>
      </c>
      <c r="N1351" s="1" t="b">
        <f t="shared" si="109"/>
        <v>1</v>
      </c>
      <c r="O1351" s="8" t="str">
        <f>IF(F1351="","",IF($F$2=入力リスト!$H$25,ROUNDDOWN(INT(F1351)+ROUNDDOWN((F1351-INT(F1351))*100,0)/60,2),F1351))</f>
        <v/>
      </c>
      <c r="P1351" s="7"/>
      <c r="Q1351" s="7"/>
    </row>
    <row r="1352" spans="1:17">
      <c r="A1352" s="105"/>
      <c r="B1352" s="2"/>
      <c r="C1352" s="3"/>
      <c r="D1352" s="3"/>
      <c r="E1352" s="3"/>
      <c r="F1352" s="8"/>
      <c r="G1352" s="215" t="str">
        <f>IF(AND($B1352="",OR(B1352&lt;&gt;"",C1352&lt;&gt;"",D1352&lt;&gt;"",E1352&lt;&gt;"",F1352&lt;&gt;"")),入力リスト!$K$34,IF($I1352=TRUE,入力リスト!$K$35,IF(J1352=FALSE,"「毎月の固定給与額」","")&amp;IF(AND(J1352=FALSE,OR(K1352=FALSE,L1352=FALSE,M1352=FALSE)),",","")&amp;IF(K1352=FALSE,"「賞与額等」","")&amp;IF(AND(K1352=FALSE,OR(L1352=FALSE,M1352=FALSE)),",","")&amp;IF(L1352=FALSE,"「残業手当」","")&amp;IF(AND(L1352=FALSE,M1352=FALSE),",","")&amp;IF(M1352=FALSE,"「残業時間」","")&amp;IF(OR(J1352=FALSE,K1352=FALSE,L1352=FALSE,M1352=FALSE),入力リスト!$K$36,"")&amp;IF(N1352,"",入力リスト!$K$37)))</f>
        <v/>
      </c>
      <c r="H1352" s="215"/>
      <c r="I1352" s="1" t="b">
        <f>IF(B1352="",FALSE,COUNTIF('従業員情報(給与以外)'!$A$4:$A$1000000,$B1352)=0)</f>
        <v>0</v>
      </c>
      <c r="J1352" s="8" t="b">
        <f t="shared" si="105"/>
        <v>1</v>
      </c>
      <c r="K1352" s="8" t="b">
        <f t="shared" si="106"/>
        <v>1</v>
      </c>
      <c r="L1352" s="8" t="b">
        <f t="shared" si="107"/>
        <v>1</v>
      </c>
      <c r="M1352" s="8" t="b">
        <f t="shared" si="108"/>
        <v>1</v>
      </c>
      <c r="N1352" s="1" t="b">
        <f t="shared" si="109"/>
        <v>1</v>
      </c>
      <c r="O1352" s="8" t="str">
        <f>IF(F1352="","",IF($F$2=入力リスト!$H$25,ROUNDDOWN(INT(F1352)+ROUNDDOWN((F1352-INT(F1352))*100,0)/60,2),F1352))</f>
        <v/>
      </c>
      <c r="P1352" s="7"/>
      <c r="Q1352" s="7"/>
    </row>
    <row r="1353" spans="1:17">
      <c r="A1353" s="105"/>
      <c r="B1353" s="2"/>
      <c r="C1353" s="3"/>
      <c r="D1353" s="3"/>
      <c r="E1353" s="3"/>
      <c r="F1353" s="8"/>
      <c r="G1353" s="215" t="str">
        <f>IF(AND($B1353="",OR(B1353&lt;&gt;"",C1353&lt;&gt;"",D1353&lt;&gt;"",E1353&lt;&gt;"",F1353&lt;&gt;"")),入力リスト!$K$34,IF($I1353=TRUE,入力リスト!$K$35,IF(J1353=FALSE,"「毎月の固定給与額」","")&amp;IF(AND(J1353=FALSE,OR(K1353=FALSE,L1353=FALSE,M1353=FALSE)),",","")&amp;IF(K1353=FALSE,"「賞与額等」","")&amp;IF(AND(K1353=FALSE,OR(L1353=FALSE,M1353=FALSE)),",","")&amp;IF(L1353=FALSE,"「残業手当」","")&amp;IF(AND(L1353=FALSE,M1353=FALSE),",","")&amp;IF(M1353=FALSE,"「残業時間」","")&amp;IF(OR(J1353=FALSE,K1353=FALSE,L1353=FALSE,M1353=FALSE),入力リスト!$K$36,"")&amp;IF(N1353,"",入力リスト!$K$37)))</f>
        <v/>
      </c>
      <c r="H1353" s="215"/>
      <c r="I1353" s="1" t="b">
        <f>IF(B1353="",FALSE,COUNTIF('従業員情報(給与以外)'!$A$4:$A$1000000,$B1353)=0)</f>
        <v>0</v>
      </c>
      <c r="J1353" s="8" t="b">
        <f t="shared" si="105"/>
        <v>1</v>
      </c>
      <c r="K1353" s="8" t="b">
        <f t="shared" si="106"/>
        <v>1</v>
      </c>
      <c r="L1353" s="8" t="b">
        <f t="shared" si="107"/>
        <v>1</v>
      </c>
      <c r="M1353" s="8" t="b">
        <f t="shared" si="108"/>
        <v>1</v>
      </c>
      <c r="N1353" s="1" t="b">
        <f t="shared" si="109"/>
        <v>1</v>
      </c>
      <c r="O1353" s="8" t="str">
        <f>IF(F1353="","",IF($F$2=入力リスト!$H$25,ROUNDDOWN(INT(F1353)+ROUNDDOWN((F1353-INT(F1353))*100,0)/60,2),F1353))</f>
        <v/>
      </c>
      <c r="P1353" s="7"/>
      <c r="Q1353" s="7"/>
    </row>
    <row r="1354" spans="1:17">
      <c r="A1354" s="105"/>
      <c r="B1354" s="2"/>
      <c r="C1354" s="3"/>
      <c r="D1354" s="3"/>
      <c r="E1354" s="3"/>
      <c r="F1354" s="8"/>
      <c r="G1354" s="215" t="str">
        <f>IF(AND($B1354="",OR(B1354&lt;&gt;"",C1354&lt;&gt;"",D1354&lt;&gt;"",E1354&lt;&gt;"",F1354&lt;&gt;"")),入力リスト!$K$34,IF($I1354=TRUE,入力リスト!$K$35,IF(J1354=FALSE,"「毎月の固定給与額」","")&amp;IF(AND(J1354=FALSE,OR(K1354=FALSE,L1354=FALSE,M1354=FALSE)),",","")&amp;IF(K1354=FALSE,"「賞与額等」","")&amp;IF(AND(K1354=FALSE,OR(L1354=FALSE,M1354=FALSE)),",","")&amp;IF(L1354=FALSE,"「残業手当」","")&amp;IF(AND(L1354=FALSE,M1354=FALSE),",","")&amp;IF(M1354=FALSE,"「残業時間」","")&amp;IF(OR(J1354=FALSE,K1354=FALSE,L1354=FALSE,M1354=FALSE),入力リスト!$K$36,"")&amp;IF(N1354,"",入力リスト!$K$37)))</f>
        <v/>
      </c>
      <c r="H1354" s="215"/>
      <c r="I1354" s="1" t="b">
        <f>IF(B1354="",FALSE,COUNTIF('従業員情報(給与以外)'!$A$4:$A$1000000,$B1354)=0)</f>
        <v>0</v>
      </c>
      <c r="J1354" s="8" t="b">
        <f t="shared" si="105"/>
        <v>1</v>
      </c>
      <c r="K1354" s="8" t="b">
        <f t="shared" si="106"/>
        <v>1</v>
      </c>
      <c r="L1354" s="8" t="b">
        <f t="shared" si="107"/>
        <v>1</v>
      </c>
      <c r="M1354" s="8" t="b">
        <f t="shared" si="108"/>
        <v>1</v>
      </c>
      <c r="N1354" s="1" t="b">
        <f t="shared" si="109"/>
        <v>1</v>
      </c>
      <c r="O1354" s="8" t="str">
        <f>IF(F1354="","",IF($F$2=入力リスト!$H$25,ROUNDDOWN(INT(F1354)+ROUNDDOWN((F1354-INT(F1354))*100,0)/60,2),F1354))</f>
        <v/>
      </c>
      <c r="P1354" s="7"/>
      <c r="Q1354" s="7"/>
    </row>
    <row r="1355" spans="1:17">
      <c r="A1355" s="105"/>
      <c r="B1355" s="2"/>
      <c r="C1355" s="3"/>
      <c r="D1355" s="3"/>
      <c r="E1355" s="3"/>
      <c r="F1355" s="8"/>
      <c r="G1355" s="215" t="str">
        <f>IF(AND($B1355="",OR(B1355&lt;&gt;"",C1355&lt;&gt;"",D1355&lt;&gt;"",E1355&lt;&gt;"",F1355&lt;&gt;"")),入力リスト!$K$34,IF($I1355=TRUE,入力リスト!$K$35,IF(J1355=FALSE,"「毎月の固定給与額」","")&amp;IF(AND(J1355=FALSE,OR(K1355=FALSE,L1355=FALSE,M1355=FALSE)),",","")&amp;IF(K1355=FALSE,"「賞与額等」","")&amp;IF(AND(K1355=FALSE,OR(L1355=FALSE,M1355=FALSE)),",","")&amp;IF(L1355=FALSE,"「残業手当」","")&amp;IF(AND(L1355=FALSE,M1355=FALSE),",","")&amp;IF(M1355=FALSE,"「残業時間」","")&amp;IF(OR(J1355=FALSE,K1355=FALSE,L1355=FALSE,M1355=FALSE),入力リスト!$K$36,"")&amp;IF(N1355,"",入力リスト!$K$37)))</f>
        <v/>
      </c>
      <c r="H1355" s="215"/>
      <c r="I1355" s="1" t="b">
        <f>IF(B1355="",FALSE,COUNTIF('従業員情報(給与以外)'!$A$4:$A$1000000,$B1355)=0)</f>
        <v>0</v>
      </c>
      <c r="J1355" s="8" t="b">
        <f t="shared" si="105"/>
        <v>1</v>
      </c>
      <c r="K1355" s="8" t="b">
        <f t="shared" si="106"/>
        <v>1</v>
      </c>
      <c r="L1355" s="8" t="b">
        <f t="shared" si="107"/>
        <v>1</v>
      </c>
      <c r="M1355" s="8" t="b">
        <f t="shared" si="108"/>
        <v>1</v>
      </c>
      <c r="N1355" s="1" t="b">
        <f t="shared" si="109"/>
        <v>1</v>
      </c>
      <c r="O1355" s="8" t="str">
        <f>IF(F1355="","",IF($F$2=入力リスト!$H$25,ROUNDDOWN(INT(F1355)+ROUNDDOWN((F1355-INT(F1355))*100,0)/60,2),F1355))</f>
        <v/>
      </c>
      <c r="P1355" s="7"/>
      <c r="Q1355" s="7"/>
    </row>
    <row r="1356" spans="1:17">
      <c r="A1356" s="105"/>
      <c r="B1356" s="2"/>
      <c r="C1356" s="3"/>
      <c r="D1356" s="3"/>
      <c r="E1356" s="3"/>
      <c r="F1356" s="8"/>
      <c r="G1356" s="215" t="str">
        <f>IF(AND($B1356="",OR(B1356&lt;&gt;"",C1356&lt;&gt;"",D1356&lt;&gt;"",E1356&lt;&gt;"",F1356&lt;&gt;"")),入力リスト!$K$34,IF($I1356=TRUE,入力リスト!$K$35,IF(J1356=FALSE,"「毎月の固定給与額」","")&amp;IF(AND(J1356=FALSE,OR(K1356=FALSE,L1356=FALSE,M1356=FALSE)),",","")&amp;IF(K1356=FALSE,"「賞与額等」","")&amp;IF(AND(K1356=FALSE,OR(L1356=FALSE,M1356=FALSE)),",","")&amp;IF(L1356=FALSE,"「残業手当」","")&amp;IF(AND(L1356=FALSE,M1356=FALSE),",","")&amp;IF(M1356=FALSE,"「残業時間」","")&amp;IF(OR(J1356=FALSE,K1356=FALSE,L1356=FALSE,M1356=FALSE),入力リスト!$K$36,"")&amp;IF(N1356,"",入力リスト!$K$37)))</f>
        <v/>
      </c>
      <c r="H1356" s="215"/>
      <c r="I1356" s="1" t="b">
        <f>IF(B1356="",FALSE,COUNTIF('従業員情報(給与以外)'!$A$4:$A$1000000,$B1356)=0)</f>
        <v>0</v>
      </c>
      <c r="J1356" s="8" t="b">
        <f t="shared" si="105"/>
        <v>1</v>
      </c>
      <c r="K1356" s="8" t="b">
        <f t="shared" si="106"/>
        <v>1</v>
      </c>
      <c r="L1356" s="8" t="b">
        <f t="shared" si="107"/>
        <v>1</v>
      </c>
      <c r="M1356" s="8" t="b">
        <f t="shared" si="108"/>
        <v>1</v>
      </c>
      <c r="N1356" s="1" t="b">
        <f t="shared" si="109"/>
        <v>1</v>
      </c>
      <c r="O1356" s="8" t="str">
        <f>IF(F1356="","",IF($F$2=入力リスト!$H$25,ROUNDDOWN(INT(F1356)+ROUNDDOWN((F1356-INT(F1356))*100,0)/60,2),F1356))</f>
        <v/>
      </c>
      <c r="P1356" s="7"/>
      <c r="Q1356" s="7"/>
    </row>
    <row r="1357" spans="1:17">
      <c r="A1357" s="105"/>
      <c r="B1357" s="2"/>
      <c r="C1357" s="3"/>
      <c r="D1357" s="3"/>
      <c r="E1357" s="3"/>
      <c r="F1357" s="8"/>
      <c r="G1357" s="215" t="str">
        <f>IF(AND($B1357="",OR(B1357&lt;&gt;"",C1357&lt;&gt;"",D1357&lt;&gt;"",E1357&lt;&gt;"",F1357&lt;&gt;"")),入力リスト!$K$34,IF($I1357=TRUE,入力リスト!$K$35,IF(J1357=FALSE,"「毎月の固定給与額」","")&amp;IF(AND(J1357=FALSE,OR(K1357=FALSE,L1357=FALSE,M1357=FALSE)),",","")&amp;IF(K1357=FALSE,"「賞与額等」","")&amp;IF(AND(K1357=FALSE,OR(L1357=FALSE,M1357=FALSE)),",","")&amp;IF(L1357=FALSE,"「残業手当」","")&amp;IF(AND(L1357=FALSE,M1357=FALSE),",","")&amp;IF(M1357=FALSE,"「残業時間」","")&amp;IF(OR(J1357=FALSE,K1357=FALSE,L1357=FALSE,M1357=FALSE),入力リスト!$K$36,"")&amp;IF(N1357,"",入力リスト!$K$37)))</f>
        <v/>
      </c>
      <c r="H1357" s="215"/>
      <c r="I1357" s="1" t="b">
        <f>IF(B1357="",FALSE,COUNTIF('従業員情報(給与以外)'!$A$4:$A$1000000,$B1357)=0)</f>
        <v>0</v>
      </c>
      <c r="J1357" s="8" t="b">
        <f t="shared" si="105"/>
        <v>1</v>
      </c>
      <c r="K1357" s="8" t="b">
        <f t="shared" si="106"/>
        <v>1</v>
      </c>
      <c r="L1357" s="8" t="b">
        <f t="shared" si="107"/>
        <v>1</v>
      </c>
      <c r="M1357" s="8" t="b">
        <f t="shared" si="108"/>
        <v>1</v>
      </c>
      <c r="N1357" s="1" t="b">
        <f t="shared" si="109"/>
        <v>1</v>
      </c>
      <c r="O1357" s="8" t="str">
        <f>IF(F1357="","",IF($F$2=入力リスト!$H$25,ROUNDDOWN(INT(F1357)+ROUNDDOWN((F1357-INT(F1357))*100,0)/60,2),F1357))</f>
        <v/>
      </c>
      <c r="P1357" s="7"/>
      <c r="Q1357" s="7"/>
    </row>
    <row r="1358" spans="1:17">
      <c r="A1358" s="105"/>
      <c r="B1358" s="2"/>
      <c r="C1358" s="3"/>
      <c r="D1358" s="3"/>
      <c r="E1358" s="3"/>
      <c r="F1358" s="8"/>
      <c r="G1358" s="215" t="str">
        <f>IF(AND($B1358="",OR(B1358&lt;&gt;"",C1358&lt;&gt;"",D1358&lt;&gt;"",E1358&lt;&gt;"",F1358&lt;&gt;"")),入力リスト!$K$34,IF($I1358=TRUE,入力リスト!$K$35,IF(J1358=FALSE,"「毎月の固定給与額」","")&amp;IF(AND(J1358=FALSE,OR(K1358=FALSE,L1358=FALSE,M1358=FALSE)),",","")&amp;IF(K1358=FALSE,"「賞与額等」","")&amp;IF(AND(K1358=FALSE,OR(L1358=FALSE,M1358=FALSE)),",","")&amp;IF(L1358=FALSE,"「残業手当」","")&amp;IF(AND(L1358=FALSE,M1358=FALSE),",","")&amp;IF(M1358=FALSE,"「残業時間」","")&amp;IF(OR(J1358=FALSE,K1358=FALSE,L1358=FALSE,M1358=FALSE),入力リスト!$K$36,"")&amp;IF(N1358,"",入力リスト!$K$37)))</f>
        <v/>
      </c>
      <c r="H1358" s="215"/>
      <c r="I1358" s="1" t="b">
        <f>IF(B1358="",FALSE,COUNTIF('従業員情報(給与以外)'!$A$4:$A$1000000,$B1358)=0)</f>
        <v>0</v>
      </c>
      <c r="J1358" s="8" t="b">
        <f t="shared" si="105"/>
        <v>1</v>
      </c>
      <c r="K1358" s="8" t="b">
        <f t="shared" si="106"/>
        <v>1</v>
      </c>
      <c r="L1358" s="8" t="b">
        <f t="shared" si="107"/>
        <v>1</v>
      </c>
      <c r="M1358" s="8" t="b">
        <f t="shared" si="108"/>
        <v>1</v>
      </c>
      <c r="N1358" s="1" t="b">
        <f t="shared" si="109"/>
        <v>1</v>
      </c>
      <c r="O1358" s="8" t="str">
        <f>IF(F1358="","",IF($F$2=入力リスト!$H$25,ROUNDDOWN(INT(F1358)+ROUNDDOWN((F1358-INT(F1358))*100,0)/60,2),F1358))</f>
        <v/>
      </c>
      <c r="P1358" s="7"/>
      <c r="Q1358" s="7"/>
    </row>
    <row r="1359" spans="1:17">
      <c r="A1359" s="105"/>
      <c r="B1359" s="2"/>
      <c r="C1359" s="3"/>
      <c r="D1359" s="3"/>
      <c r="E1359" s="3"/>
      <c r="F1359" s="8"/>
      <c r="G1359" s="215" t="str">
        <f>IF(AND($B1359="",OR(B1359&lt;&gt;"",C1359&lt;&gt;"",D1359&lt;&gt;"",E1359&lt;&gt;"",F1359&lt;&gt;"")),入力リスト!$K$34,IF($I1359=TRUE,入力リスト!$K$35,IF(J1359=FALSE,"「毎月の固定給与額」","")&amp;IF(AND(J1359=FALSE,OR(K1359=FALSE,L1359=FALSE,M1359=FALSE)),",","")&amp;IF(K1359=FALSE,"「賞与額等」","")&amp;IF(AND(K1359=FALSE,OR(L1359=FALSE,M1359=FALSE)),",","")&amp;IF(L1359=FALSE,"「残業手当」","")&amp;IF(AND(L1359=FALSE,M1359=FALSE),",","")&amp;IF(M1359=FALSE,"「残業時間」","")&amp;IF(OR(J1359=FALSE,K1359=FALSE,L1359=FALSE,M1359=FALSE),入力リスト!$K$36,"")&amp;IF(N1359,"",入力リスト!$K$37)))</f>
        <v/>
      </c>
      <c r="H1359" s="215"/>
      <c r="I1359" s="1" t="b">
        <f>IF(B1359="",FALSE,COUNTIF('従業員情報(給与以外)'!$A$4:$A$1000000,$B1359)=0)</f>
        <v>0</v>
      </c>
      <c r="J1359" s="8" t="b">
        <f t="shared" si="105"/>
        <v>1</v>
      </c>
      <c r="K1359" s="8" t="b">
        <f t="shared" si="106"/>
        <v>1</v>
      </c>
      <c r="L1359" s="8" t="b">
        <f t="shared" si="107"/>
        <v>1</v>
      </c>
      <c r="M1359" s="8" t="b">
        <f t="shared" si="108"/>
        <v>1</v>
      </c>
      <c r="N1359" s="1" t="b">
        <f t="shared" si="109"/>
        <v>1</v>
      </c>
      <c r="O1359" s="8" t="str">
        <f>IF(F1359="","",IF($F$2=入力リスト!$H$25,ROUNDDOWN(INT(F1359)+ROUNDDOWN((F1359-INT(F1359))*100,0)/60,2),F1359))</f>
        <v/>
      </c>
      <c r="P1359" s="7"/>
      <c r="Q1359" s="7"/>
    </row>
    <row r="1360" spans="1:17">
      <c r="A1360" s="105"/>
      <c r="B1360" s="2"/>
      <c r="C1360" s="3"/>
      <c r="D1360" s="3"/>
      <c r="E1360" s="3"/>
      <c r="F1360" s="8"/>
      <c r="G1360" s="215" t="str">
        <f>IF(AND($B1360="",OR(B1360&lt;&gt;"",C1360&lt;&gt;"",D1360&lt;&gt;"",E1360&lt;&gt;"",F1360&lt;&gt;"")),入力リスト!$K$34,IF($I1360=TRUE,入力リスト!$K$35,IF(J1360=FALSE,"「毎月の固定給与額」","")&amp;IF(AND(J1360=FALSE,OR(K1360=FALSE,L1360=FALSE,M1360=FALSE)),",","")&amp;IF(K1360=FALSE,"「賞与額等」","")&amp;IF(AND(K1360=FALSE,OR(L1360=FALSE,M1360=FALSE)),",","")&amp;IF(L1360=FALSE,"「残業手当」","")&amp;IF(AND(L1360=FALSE,M1360=FALSE),",","")&amp;IF(M1360=FALSE,"「残業時間」","")&amp;IF(OR(J1360=FALSE,K1360=FALSE,L1360=FALSE,M1360=FALSE),入力リスト!$K$36,"")&amp;IF(N1360,"",入力リスト!$K$37)))</f>
        <v/>
      </c>
      <c r="H1360" s="215"/>
      <c r="I1360" s="1" t="b">
        <f>IF(B1360="",FALSE,COUNTIF('従業員情報(給与以外)'!$A$4:$A$1000000,$B1360)=0)</f>
        <v>0</v>
      </c>
      <c r="J1360" s="8" t="b">
        <f t="shared" si="105"/>
        <v>1</v>
      </c>
      <c r="K1360" s="8" t="b">
        <f t="shared" si="106"/>
        <v>1</v>
      </c>
      <c r="L1360" s="8" t="b">
        <f t="shared" si="107"/>
        <v>1</v>
      </c>
      <c r="M1360" s="8" t="b">
        <f t="shared" si="108"/>
        <v>1</v>
      </c>
      <c r="N1360" s="1" t="b">
        <f t="shared" si="109"/>
        <v>1</v>
      </c>
      <c r="O1360" s="8" t="str">
        <f>IF(F1360="","",IF($F$2=入力リスト!$H$25,ROUNDDOWN(INT(F1360)+ROUNDDOWN((F1360-INT(F1360))*100,0)/60,2),F1360))</f>
        <v/>
      </c>
      <c r="P1360" s="7"/>
      <c r="Q1360" s="7"/>
    </row>
    <row r="1361" spans="1:17">
      <c r="A1361" s="105"/>
      <c r="B1361" s="2"/>
      <c r="C1361" s="3"/>
      <c r="D1361" s="3"/>
      <c r="E1361" s="3"/>
      <c r="F1361" s="8"/>
      <c r="G1361" s="215" t="str">
        <f>IF(AND($B1361="",OR(B1361&lt;&gt;"",C1361&lt;&gt;"",D1361&lt;&gt;"",E1361&lt;&gt;"",F1361&lt;&gt;"")),入力リスト!$K$34,IF($I1361=TRUE,入力リスト!$K$35,IF(J1361=FALSE,"「毎月の固定給与額」","")&amp;IF(AND(J1361=FALSE,OR(K1361=FALSE,L1361=FALSE,M1361=FALSE)),",","")&amp;IF(K1361=FALSE,"「賞与額等」","")&amp;IF(AND(K1361=FALSE,OR(L1361=FALSE,M1361=FALSE)),",","")&amp;IF(L1361=FALSE,"「残業手当」","")&amp;IF(AND(L1361=FALSE,M1361=FALSE),",","")&amp;IF(M1361=FALSE,"「残業時間」","")&amp;IF(OR(J1361=FALSE,K1361=FALSE,L1361=FALSE,M1361=FALSE),入力リスト!$K$36,"")&amp;IF(N1361,"",入力リスト!$K$37)))</f>
        <v/>
      </c>
      <c r="H1361" s="215"/>
      <c r="I1361" s="1" t="b">
        <f>IF(B1361="",FALSE,COUNTIF('従業員情報(給与以外)'!$A$4:$A$1000000,$B1361)=0)</f>
        <v>0</v>
      </c>
      <c r="J1361" s="8" t="b">
        <f t="shared" si="105"/>
        <v>1</v>
      </c>
      <c r="K1361" s="8" t="b">
        <f t="shared" si="106"/>
        <v>1</v>
      </c>
      <c r="L1361" s="8" t="b">
        <f t="shared" si="107"/>
        <v>1</v>
      </c>
      <c r="M1361" s="8" t="b">
        <f t="shared" si="108"/>
        <v>1</v>
      </c>
      <c r="N1361" s="1" t="b">
        <f t="shared" si="109"/>
        <v>1</v>
      </c>
      <c r="O1361" s="8" t="str">
        <f>IF(F1361="","",IF($F$2=入力リスト!$H$25,ROUNDDOWN(INT(F1361)+ROUNDDOWN((F1361-INT(F1361))*100,0)/60,2),F1361))</f>
        <v/>
      </c>
      <c r="P1361" s="7"/>
      <c r="Q1361" s="7"/>
    </row>
    <row r="1362" spans="1:17">
      <c r="A1362" s="105"/>
      <c r="B1362" s="2"/>
      <c r="C1362" s="3"/>
      <c r="D1362" s="3"/>
      <c r="E1362" s="3"/>
      <c r="F1362" s="8"/>
      <c r="G1362" s="215" t="str">
        <f>IF(AND($B1362="",OR(B1362&lt;&gt;"",C1362&lt;&gt;"",D1362&lt;&gt;"",E1362&lt;&gt;"",F1362&lt;&gt;"")),入力リスト!$K$34,IF($I1362=TRUE,入力リスト!$K$35,IF(J1362=FALSE,"「毎月の固定給与額」","")&amp;IF(AND(J1362=FALSE,OR(K1362=FALSE,L1362=FALSE,M1362=FALSE)),",","")&amp;IF(K1362=FALSE,"「賞与額等」","")&amp;IF(AND(K1362=FALSE,OR(L1362=FALSE,M1362=FALSE)),",","")&amp;IF(L1362=FALSE,"「残業手当」","")&amp;IF(AND(L1362=FALSE,M1362=FALSE),",","")&amp;IF(M1362=FALSE,"「残業時間」","")&amp;IF(OR(J1362=FALSE,K1362=FALSE,L1362=FALSE,M1362=FALSE),入力リスト!$K$36,"")&amp;IF(N1362,"",入力リスト!$K$37)))</f>
        <v/>
      </c>
      <c r="H1362" s="215"/>
      <c r="I1362" s="1" t="b">
        <f>IF(B1362="",FALSE,COUNTIF('従業員情報(給与以外)'!$A$4:$A$1000000,$B1362)=0)</f>
        <v>0</v>
      </c>
      <c r="J1362" s="8" t="b">
        <f t="shared" si="105"/>
        <v>1</v>
      </c>
      <c r="K1362" s="8" t="b">
        <f t="shared" si="106"/>
        <v>1</v>
      </c>
      <c r="L1362" s="8" t="b">
        <f t="shared" si="107"/>
        <v>1</v>
      </c>
      <c r="M1362" s="8" t="b">
        <f t="shared" si="108"/>
        <v>1</v>
      </c>
      <c r="N1362" s="1" t="b">
        <f t="shared" si="109"/>
        <v>1</v>
      </c>
      <c r="O1362" s="8" t="str">
        <f>IF(F1362="","",IF($F$2=入力リスト!$H$25,ROUNDDOWN(INT(F1362)+ROUNDDOWN((F1362-INT(F1362))*100,0)/60,2),F1362))</f>
        <v/>
      </c>
      <c r="P1362" s="7"/>
      <c r="Q1362" s="7"/>
    </row>
    <row r="1363" spans="1:17">
      <c r="A1363" s="105"/>
      <c r="B1363" s="2"/>
      <c r="C1363" s="3"/>
      <c r="D1363" s="3"/>
      <c r="E1363" s="3"/>
      <c r="F1363" s="8"/>
      <c r="G1363" s="215" t="str">
        <f>IF(AND($B1363="",OR(B1363&lt;&gt;"",C1363&lt;&gt;"",D1363&lt;&gt;"",E1363&lt;&gt;"",F1363&lt;&gt;"")),入力リスト!$K$34,IF($I1363=TRUE,入力リスト!$K$35,IF(J1363=FALSE,"「毎月の固定給与額」","")&amp;IF(AND(J1363=FALSE,OR(K1363=FALSE,L1363=FALSE,M1363=FALSE)),",","")&amp;IF(K1363=FALSE,"「賞与額等」","")&amp;IF(AND(K1363=FALSE,OR(L1363=FALSE,M1363=FALSE)),",","")&amp;IF(L1363=FALSE,"「残業手当」","")&amp;IF(AND(L1363=FALSE,M1363=FALSE),",","")&amp;IF(M1363=FALSE,"「残業時間」","")&amp;IF(OR(J1363=FALSE,K1363=FALSE,L1363=FALSE,M1363=FALSE),入力リスト!$K$36,"")&amp;IF(N1363,"",入力リスト!$K$37)))</f>
        <v/>
      </c>
      <c r="H1363" s="215"/>
      <c r="I1363" s="1" t="b">
        <f>IF(B1363="",FALSE,COUNTIF('従業員情報(給与以外)'!$A$4:$A$1000000,$B1363)=0)</f>
        <v>0</v>
      </c>
      <c r="J1363" s="8" t="b">
        <f t="shared" si="105"/>
        <v>1</v>
      </c>
      <c r="K1363" s="8" t="b">
        <f t="shared" si="106"/>
        <v>1</v>
      </c>
      <c r="L1363" s="8" t="b">
        <f t="shared" si="107"/>
        <v>1</v>
      </c>
      <c r="M1363" s="8" t="b">
        <f t="shared" si="108"/>
        <v>1</v>
      </c>
      <c r="N1363" s="1" t="b">
        <f t="shared" si="109"/>
        <v>1</v>
      </c>
      <c r="O1363" s="8" t="str">
        <f>IF(F1363="","",IF($F$2=入力リスト!$H$25,ROUNDDOWN(INT(F1363)+ROUNDDOWN((F1363-INT(F1363))*100,0)/60,2),F1363))</f>
        <v/>
      </c>
      <c r="P1363" s="7"/>
      <c r="Q1363" s="7"/>
    </row>
    <row r="1364" spans="1:17">
      <c r="A1364" s="105"/>
      <c r="B1364" s="2"/>
      <c r="C1364" s="3"/>
      <c r="D1364" s="3"/>
      <c r="E1364" s="3"/>
      <c r="F1364" s="8"/>
      <c r="G1364" s="215" t="str">
        <f>IF(AND($B1364="",OR(B1364&lt;&gt;"",C1364&lt;&gt;"",D1364&lt;&gt;"",E1364&lt;&gt;"",F1364&lt;&gt;"")),入力リスト!$K$34,IF($I1364=TRUE,入力リスト!$K$35,IF(J1364=FALSE,"「毎月の固定給与額」","")&amp;IF(AND(J1364=FALSE,OR(K1364=FALSE,L1364=FALSE,M1364=FALSE)),",","")&amp;IF(K1364=FALSE,"「賞与額等」","")&amp;IF(AND(K1364=FALSE,OR(L1364=FALSE,M1364=FALSE)),",","")&amp;IF(L1364=FALSE,"「残業手当」","")&amp;IF(AND(L1364=FALSE,M1364=FALSE),",","")&amp;IF(M1364=FALSE,"「残業時間」","")&amp;IF(OR(J1364=FALSE,K1364=FALSE,L1364=FALSE,M1364=FALSE),入力リスト!$K$36,"")&amp;IF(N1364,"",入力リスト!$K$37)))</f>
        <v/>
      </c>
      <c r="H1364" s="215"/>
      <c r="I1364" s="1" t="b">
        <f>IF(B1364="",FALSE,COUNTIF('従業員情報(給与以外)'!$A$4:$A$1000000,$B1364)=0)</f>
        <v>0</v>
      </c>
      <c r="J1364" s="8" t="b">
        <f t="shared" si="105"/>
        <v>1</v>
      </c>
      <c r="K1364" s="8" t="b">
        <f t="shared" si="106"/>
        <v>1</v>
      </c>
      <c r="L1364" s="8" t="b">
        <f t="shared" si="107"/>
        <v>1</v>
      </c>
      <c r="M1364" s="8" t="b">
        <f t="shared" si="108"/>
        <v>1</v>
      </c>
      <c r="N1364" s="1" t="b">
        <f t="shared" si="109"/>
        <v>1</v>
      </c>
      <c r="O1364" s="8" t="str">
        <f>IF(F1364="","",IF($F$2=入力リスト!$H$25,ROUNDDOWN(INT(F1364)+ROUNDDOWN((F1364-INT(F1364))*100,0)/60,2),F1364))</f>
        <v/>
      </c>
      <c r="P1364" s="7"/>
      <c r="Q1364" s="7"/>
    </row>
    <row r="1365" spans="1:17">
      <c r="A1365" s="105"/>
      <c r="B1365" s="2"/>
      <c r="C1365" s="3"/>
      <c r="D1365" s="3"/>
      <c r="E1365" s="3"/>
      <c r="F1365" s="8"/>
      <c r="G1365" s="215" t="str">
        <f>IF(AND($B1365="",OR(B1365&lt;&gt;"",C1365&lt;&gt;"",D1365&lt;&gt;"",E1365&lt;&gt;"",F1365&lt;&gt;"")),入力リスト!$K$34,IF($I1365=TRUE,入力リスト!$K$35,IF(J1365=FALSE,"「毎月の固定給与額」","")&amp;IF(AND(J1365=FALSE,OR(K1365=FALSE,L1365=FALSE,M1365=FALSE)),",","")&amp;IF(K1365=FALSE,"「賞与額等」","")&amp;IF(AND(K1365=FALSE,OR(L1365=FALSE,M1365=FALSE)),",","")&amp;IF(L1365=FALSE,"「残業手当」","")&amp;IF(AND(L1365=FALSE,M1365=FALSE),",","")&amp;IF(M1365=FALSE,"「残業時間」","")&amp;IF(OR(J1365=FALSE,K1365=FALSE,L1365=FALSE,M1365=FALSE),入力リスト!$K$36,"")&amp;IF(N1365,"",入力リスト!$K$37)))</f>
        <v/>
      </c>
      <c r="H1365" s="215"/>
      <c r="I1365" s="1" t="b">
        <f>IF(B1365="",FALSE,COUNTIF('従業員情報(給与以外)'!$A$4:$A$1000000,$B1365)=0)</f>
        <v>0</v>
      </c>
      <c r="J1365" s="8" t="b">
        <f t="shared" si="105"/>
        <v>1</v>
      </c>
      <c r="K1365" s="8" t="b">
        <f t="shared" si="106"/>
        <v>1</v>
      </c>
      <c r="L1365" s="8" t="b">
        <f t="shared" si="107"/>
        <v>1</v>
      </c>
      <c r="M1365" s="8" t="b">
        <f t="shared" si="108"/>
        <v>1</v>
      </c>
      <c r="N1365" s="1" t="b">
        <f t="shared" si="109"/>
        <v>1</v>
      </c>
      <c r="O1365" s="8" t="str">
        <f>IF(F1365="","",IF($F$2=入力リスト!$H$25,ROUNDDOWN(INT(F1365)+ROUNDDOWN((F1365-INT(F1365))*100,0)/60,2),F1365))</f>
        <v/>
      </c>
      <c r="P1365" s="7"/>
      <c r="Q1365" s="7"/>
    </row>
    <row r="1366" spans="1:17">
      <c r="A1366" s="105"/>
      <c r="B1366" s="2"/>
      <c r="C1366" s="3"/>
      <c r="D1366" s="3"/>
      <c r="E1366" s="3"/>
      <c r="F1366" s="8"/>
      <c r="G1366" s="215" t="str">
        <f>IF(AND($B1366="",OR(B1366&lt;&gt;"",C1366&lt;&gt;"",D1366&lt;&gt;"",E1366&lt;&gt;"",F1366&lt;&gt;"")),入力リスト!$K$34,IF($I1366=TRUE,入力リスト!$K$35,IF(J1366=FALSE,"「毎月の固定給与額」","")&amp;IF(AND(J1366=FALSE,OR(K1366=FALSE,L1366=FALSE,M1366=FALSE)),",","")&amp;IF(K1366=FALSE,"「賞与額等」","")&amp;IF(AND(K1366=FALSE,OR(L1366=FALSE,M1366=FALSE)),",","")&amp;IF(L1366=FALSE,"「残業手当」","")&amp;IF(AND(L1366=FALSE,M1366=FALSE),",","")&amp;IF(M1366=FALSE,"「残業時間」","")&amp;IF(OR(J1366=FALSE,K1366=FALSE,L1366=FALSE,M1366=FALSE),入力リスト!$K$36,"")&amp;IF(N1366,"",入力リスト!$K$37)))</f>
        <v/>
      </c>
      <c r="H1366" s="215"/>
      <c r="I1366" s="1" t="b">
        <f>IF(B1366="",FALSE,COUNTIF('従業員情報(給与以外)'!$A$4:$A$1000000,$B1366)=0)</f>
        <v>0</v>
      </c>
      <c r="J1366" s="8" t="b">
        <f t="shared" si="105"/>
        <v>1</v>
      </c>
      <c r="K1366" s="8" t="b">
        <f t="shared" si="106"/>
        <v>1</v>
      </c>
      <c r="L1366" s="8" t="b">
        <f t="shared" si="107"/>
        <v>1</v>
      </c>
      <c r="M1366" s="8" t="b">
        <f t="shared" si="108"/>
        <v>1</v>
      </c>
      <c r="N1366" s="1" t="b">
        <f t="shared" si="109"/>
        <v>1</v>
      </c>
      <c r="O1366" s="8" t="str">
        <f>IF(F1366="","",IF($F$2=入力リスト!$H$25,ROUNDDOWN(INT(F1366)+ROUNDDOWN((F1366-INT(F1366))*100,0)/60,2),F1366))</f>
        <v/>
      </c>
      <c r="P1366" s="7"/>
      <c r="Q1366" s="7"/>
    </row>
    <row r="1367" spans="1:17">
      <c r="A1367" s="105"/>
      <c r="B1367" s="2"/>
      <c r="C1367" s="3"/>
      <c r="D1367" s="3"/>
      <c r="E1367" s="3"/>
      <c r="F1367" s="8"/>
      <c r="G1367" s="215" t="str">
        <f>IF(AND($B1367="",OR(B1367&lt;&gt;"",C1367&lt;&gt;"",D1367&lt;&gt;"",E1367&lt;&gt;"",F1367&lt;&gt;"")),入力リスト!$K$34,IF($I1367=TRUE,入力リスト!$K$35,IF(J1367=FALSE,"「毎月の固定給与額」","")&amp;IF(AND(J1367=FALSE,OR(K1367=FALSE,L1367=FALSE,M1367=FALSE)),",","")&amp;IF(K1367=FALSE,"「賞与額等」","")&amp;IF(AND(K1367=FALSE,OR(L1367=FALSE,M1367=FALSE)),",","")&amp;IF(L1367=FALSE,"「残業手当」","")&amp;IF(AND(L1367=FALSE,M1367=FALSE),",","")&amp;IF(M1367=FALSE,"「残業時間」","")&amp;IF(OR(J1367=FALSE,K1367=FALSE,L1367=FALSE,M1367=FALSE),入力リスト!$K$36,"")&amp;IF(N1367,"",入力リスト!$K$37)))</f>
        <v/>
      </c>
      <c r="H1367" s="215"/>
      <c r="I1367" s="1" t="b">
        <f>IF(B1367="",FALSE,COUNTIF('従業員情報(給与以外)'!$A$4:$A$1000000,$B1367)=0)</f>
        <v>0</v>
      </c>
      <c r="J1367" s="8" t="b">
        <f t="shared" si="105"/>
        <v>1</v>
      </c>
      <c r="K1367" s="8" t="b">
        <f t="shared" si="106"/>
        <v>1</v>
      </c>
      <c r="L1367" s="8" t="b">
        <f t="shared" si="107"/>
        <v>1</v>
      </c>
      <c r="M1367" s="8" t="b">
        <f t="shared" si="108"/>
        <v>1</v>
      </c>
      <c r="N1367" s="1" t="b">
        <f t="shared" si="109"/>
        <v>1</v>
      </c>
      <c r="O1367" s="8" t="str">
        <f>IF(F1367="","",IF($F$2=入力リスト!$H$25,ROUNDDOWN(INT(F1367)+ROUNDDOWN((F1367-INT(F1367))*100,0)/60,2),F1367))</f>
        <v/>
      </c>
      <c r="P1367" s="7"/>
      <c r="Q1367" s="7"/>
    </row>
    <row r="1368" spans="1:17">
      <c r="A1368" s="105"/>
      <c r="B1368" s="2"/>
      <c r="C1368" s="3"/>
      <c r="D1368" s="3"/>
      <c r="E1368" s="3"/>
      <c r="F1368" s="8"/>
      <c r="G1368" s="215" t="str">
        <f>IF(AND($B1368="",OR(B1368&lt;&gt;"",C1368&lt;&gt;"",D1368&lt;&gt;"",E1368&lt;&gt;"",F1368&lt;&gt;"")),入力リスト!$K$34,IF($I1368=TRUE,入力リスト!$K$35,IF(J1368=FALSE,"「毎月の固定給与額」","")&amp;IF(AND(J1368=FALSE,OR(K1368=FALSE,L1368=FALSE,M1368=FALSE)),",","")&amp;IF(K1368=FALSE,"「賞与額等」","")&amp;IF(AND(K1368=FALSE,OR(L1368=FALSE,M1368=FALSE)),",","")&amp;IF(L1368=FALSE,"「残業手当」","")&amp;IF(AND(L1368=FALSE,M1368=FALSE),",","")&amp;IF(M1368=FALSE,"「残業時間」","")&amp;IF(OR(J1368=FALSE,K1368=FALSE,L1368=FALSE,M1368=FALSE),入力リスト!$K$36,"")&amp;IF(N1368,"",入力リスト!$K$37)))</f>
        <v/>
      </c>
      <c r="H1368" s="215"/>
      <c r="I1368" s="1" t="b">
        <f>IF(B1368="",FALSE,COUNTIF('従業員情報(給与以外)'!$A$4:$A$1000000,$B1368)=0)</f>
        <v>0</v>
      </c>
      <c r="J1368" s="8" t="b">
        <f t="shared" si="105"/>
        <v>1</v>
      </c>
      <c r="K1368" s="8" t="b">
        <f t="shared" si="106"/>
        <v>1</v>
      </c>
      <c r="L1368" s="8" t="b">
        <f t="shared" si="107"/>
        <v>1</v>
      </c>
      <c r="M1368" s="8" t="b">
        <f t="shared" si="108"/>
        <v>1</v>
      </c>
      <c r="N1368" s="1" t="b">
        <f t="shared" si="109"/>
        <v>1</v>
      </c>
      <c r="O1368" s="8" t="str">
        <f>IF(F1368="","",IF($F$2=入力リスト!$H$25,ROUNDDOWN(INT(F1368)+ROUNDDOWN((F1368-INT(F1368))*100,0)/60,2),F1368))</f>
        <v/>
      </c>
      <c r="P1368" s="7"/>
      <c r="Q1368" s="7"/>
    </row>
    <row r="1369" spans="1:17">
      <c r="A1369" s="105"/>
      <c r="B1369" s="2"/>
      <c r="C1369" s="3"/>
      <c r="D1369" s="3"/>
      <c r="E1369" s="3"/>
      <c r="F1369" s="8"/>
      <c r="G1369" s="215" t="str">
        <f>IF(AND($B1369="",OR(B1369&lt;&gt;"",C1369&lt;&gt;"",D1369&lt;&gt;"",E1369&lt;&gt;"",F1369&lt;&gt;"")),入力リスト!$K$34,IF($I1369=TRUE,入力リスト!$K$35,IF(J1369=FALSE,"「毎月の固定給与額」","")&amp;IF(AND(J1369=FALSE,OR(K1369=FALSE,L1369=FALSE,M1369=FALSE)),",","")&amp;IF(K1369=FALSE,"「賞与額等」","")&amp;IF(AND(K1369=FALSE,OR(L1369=FALSE,M1369=FALSE)),",","")&amp;IF(L1369=FALSE,"「残業手当」","")&amp;IF(AND(L1369=FALSE,M1369=FALSE),",","")&amp;IF(M1369=FALSE,"「残業時間」","")&amp;IF(OR(J1369=FALSE,K1369=FALSE,L1369=FALSE,M1369=FALSE),入力リスト!$K$36,"")&amp;IF(N1369,"",入力リスト!$K$37)))</f>
        <v/>
      </c>
      <c r="H1369" s="215"/>
      <c r="I1369" s="1" t="b">
        <f>IF(B1369="",FALSE,COUNTIF('従業員情報(給与以外)'!$A$4:$A$1000000,$B1369)=0)</f>
        <v>0</v>
      </c>
      <c r="J1369" s="8" t="b">
        <f t="shared" si="105"/>
        <v>1</v>
      </c>
      <c r="K1369" s="8" t="b">
        <f t="shared" si="106"/>
        <v>1</v>
      </c>
      <c r="L1369" s="8" t="b">
        <f t="shared" si="107"/>
        <v>1</v>
      </c>
      <c r="M1369" s="8" t="b">
        <f t="shared" si="108"/>
        <v>1</v>
      </c>
      <c r="N1369" s="1" t="b">
        <f t="shared" si="109"/>
        <v>1</v>
      </c>
      <c r="O1369" s="8" t="str">
        <f>IF(F1369="","",IF($F$2=入力リスト!$H$25,ROUNDDOWN(INT(F1369)+ROUNDDOWN((F1369-INT(F1369))*100,0)/60,2),F1369))</f>
        <v/>
      </c>
      <c r="P1369" s="7"/>
      <c r="Q1369" s="7"/>
    </row>
    <row r="1370" spans="1:17">
      <c r="A1370" s="105"/>
      <c r="B1370" s="2"/>
      <c r="C1370" s="3"/>
      <c r="D1370" s="3"/>
      <c r="E1370" s="3"/>
      <c r="F1370" s="8"/>
      <c r="G1370" s="215" t="str">
        <f>IF(AND($B1370="",OR(B1370&lt;&gt;"",C1370&lt;&gt;"",D1370&lt;&gt;"",E1370&lt;&gt;"",F1370&lt;&gt;"")),入力リスト!$K$34,IF($I1370=TRUE,入力リスト!$K$35,IF(J1370=FALSE,"「毎月の固定給与額」","")&amp;IF(AND(J1370=FALSE,OR(K1370=FALSE,L1370=FALSE,M1370=FALSE)),",","")&amp;IF(K1370=FALSE,"「賞与額等」","")&amp;IF(AND(K1370=FALSE,OR(L1370=FALSE,M1370=FALSE)),",","")&amp;IF(L1370=FALSE,"「残業手当」","")&amp;IF(AND(L1370=FALSE,M1370=FALSE),",","")&amp;IF(M1370=FALSE,"「残業時間」","")&amp;IF(OR(J1370=FALSE,K1370=FALSE,L1370=FALSE,M1370=FALSE),入力リスト!$K$36,"")&amp;IF(N1370,"",入力リスト!$K$37)))</f>
        <v/>
      </c>
      <c r="H1370" s="215"/>
      <c r="I1370" s="1" t="b">
        <f>IF(B1370="",FALSE,COUNTIF('従業員情報(給与以外)'!$A$4:$A$1000000,$B1370)=0)</f>
        <v>0</v>
      </c>
      <c r="J1370" s="8" t="b">
        <f t="shared" si="105"/>
        <v>1</v>
      </c>
      <c r="K1370" s="8" t="b">
        <f t="shared" si="106"/>
        <v>1</v>
      </c>
      <c r="L1370" s="8" t="b">
        <f t="shared" si="107"/>
        <v>1</v>
      </c>
      <c r="M1370" s="8" t="b">
        <f t="shared" si="108"/>
        <v>1</v>
      </c>
      <c r="N1370" s="1" t="b">
        <f t="shared" si="109"/>
        <v>1</v>
      </c>
      <c r="O1370" s="8" t="str">
        <f>IF(F1370="","",IF($F$2=入力リスト!$H$25,ROUNDDOWN(INT(F1370)+ROUNDDOWN((F1370-INT(F1370))*100,0)/60,2),F1370))</f>
        <v/>
      </c>
      <c r="P1370" s="7"/>
      <c r="Q1370" s="7"/>
    </row>
    <row r="1371" spans="1:17">
      <c r="A1371" s="105"/>
      <c r="B1371" s="2"/>
      <c r="C1371" s="3"/>
      <c r="D1371" s="3"/>
      <c r="E1371" s="3"/>
      <c r="F1371" s="8"/>
      <c r="G1371" s="215" t="str">
        <f>IF(AND($B1371="",OR(B1371&lt;&gt;"",C1371&lt;&gt;"",D1371&lt;&gt;"",E1371&lt;&gt;"",F1371&lt;&gt;"")),入力リスト!$K$34,IF($I1371=TRUE,入力リスト!$K$35,IF(J1371=FALSE,"「毎月の固定給与額」","")&amp;IF(AND(J1371=FALSE,OR(K1371=FALSE,L1371=FALSE,M1371=FALSE)),",","")&amp;IF(K1371=FALSE,"「賞与額等」","")&amp;IF(AND(K1371=FALSE,OR(L1371=FALSE,M1371=FALSE)),",","")&amp;IF(L1371=FALSE,"「残業手当」","")&amp;IF(AND(L1371=FALSE,M1371=FALSE),",","")&amp;IF(M1371=FALSE,"「残業時間」","")&amp;IF(OR(J1371=FALSE,K1371=FALSE,L1371=FALSE,M1371=FALSE),入力リスト!$K$36,"")&amp;IF(N1371,"",入力リスト!$K$37)))</f>
        <v/>
      </c>
      <c r="H1371" s="215"/>
      <c r="I1371" s="1" t="b">
        <f>IF(B1371="",FALSE,COUNTIF('従業員情報(給与以外)'!$A$4:$A$1000000,$B1371)=0)</f>
        <v>0</v>
      </c>
      <c r="J1371" s="8" t="b">
        <f t="shared" si="105"/>
        <v>1</v>
      </c>
      <c r="K1371" s="8" t="b">
        <f t="shared" si="106"/>
        <v>1</v>
      </c>
      <c r="L1371" s="8" t="b">
        <f t="shared" si="107"/>
        <v>1</v>
      </c>
      <c r="M1371" s="8" t="b">
        <f t="shared" si="108"/>
        <v>1</v>
      </c>
      <c r="N1371" s="1" t="b">
        <f t="shared" si="109"/>
        <v>1</v>
      </c>
      <c r="O1371" s="8" t="str">
        <f>IF(F1371="","",IF($F$2=入力リスト!$H$25,ROUNDDOWN(INT(F1371)+ROUNDDOWN((F1371-INT(F1371))*100,0)/60,2),F1371))</f>
        <v/>
      </c>
      <c r="P1371" s="7"/>
      <c r="Q1371" s="7"/>
    </row>
    <row r="1372" spans="1:17">
      <c r="A1372" s="105"/>
      <c r="B1372" s="2"/>
      <c r="C1372" s="3"/>
      <c r="D1372" s="3"/>
      <c r="E1372" s="3"/>
      <c r="F1372" s="8"/>
      <c r="G1372" s="215" t="str">
        <f>IF(AND($B1372="",OR(B1372&lt;&gt;"",C1372&lt;&gt;"",D1372&lt;&gt;"",E1372&lt;&gt;"",F1372&lt;&gt;"")),入力リスト!$K$34,IF($I1372=TRUE,入力リスト!$K$35,IF(J1372=FALSE,"「毎月の固定給与額」","")&amp;IF(AND(J1372=FALSE,OR(K1372=FALSE,L1372=FALSE,M1372=FALSE)),",","")&amp;IF(K1372=FALSE,"「賞与額等」","")&amp;IF(AND(K1372=FALSE,OR(L1372=FALSE,M1372=FALSE)),",","")&amp;IF(L1372=FALSE,"「残業手当」","")&amp;IF(AND(L1372=FALSE,M1372=FALSE),",","")&amp;IF(M1372=FALSE,"「残業時間」","")&amp;IF(OR(J1372=FALSE,K1372=FALSE,L1372=FALSE,M1372=FALSE),入力リスト!$K$36,"")&amp;IF(N1372,"",入力リスト!$K$37)))</f>
        <v/>
      </c>
      <c r="H1372" s="215"/>
      <c r="I1372" s="1" t="b">
        <f>IF(B1372="",FALSE,COUNTIF('従業員情報(給与以外)'!$A$4:$A$1000000,$B1372)=0)</f>
        <v>0</v>
      </c>
      <c r="J1372" s="8" t="b">
        <f t="shared" si="105"/>
        <v>1</v>
      </c>
      <c r="K1372" s="8" t="b">
        <f t="shared" si="106"/>
        <v>1</v>
      </c>
      <c r="L1372" s="8" t="b">
        <f t="shared" si="107"/>
        <v>1</v>
      </c>
      <c r="M1372" s="8" t="b">
        <f t="shared" si="108"/>
        <v>1</v>
      </c>
      <c r="N1372" s="1" t="b">
        <f t="shared" si="109"/>
        <v>1</v>
      </c>
      <c r="O1372" s="8" t="str">
        <f>IF(F1372="","",IF($F$2=入力リスト!$H$25,ROUNDDOWN(INT(F1372)+ROUNDDOWN((F1372-INT(F1372))*100,0)/60,2),F1372))</f>
        <v/>
      </c>
      <c r="P1372" s="7"/>
      <c r="Q1372" s="7"/>
    </row>
    <row r="1373" spans="1:17">
      <c r="A1373" s="105"/>
      <c r="B1373" s="2"/>
      <c r="C1373" s="3"/>
      <c r="D1373" s="3"/>
      <c r="E1373" s="3"/>
      <c r="F1373" s="8"/>
      <c r="G1373" s="215" t="str">
        <f>IF(AND($B1373="",OR(B1373&lt;&gt;"",C1373&lt;&gt;"",D1373&lt;&gt;"",E1373&lt;&gt;"",F1373&lt;&gt;"")),入力リスト!$K$34,IF($I1373=TRUE,入力リスト!$K$35,IF(J1373=FALSE,"「毎月の固定給与額」","")&amp;IF(AND(J1373=FALSE,OR(K1373=FALSE,L1373=FALSE,M1373=FALSE)),",","")&amp;IF(K1373=FALSE,"「賞与額等」","")&amp;IF(AND(K1373=FALSE,OR(L1373=FALSE,M1373=FALSE)),",","")&amp;IF(L1373=FALSE,"「残業手当」","")&amp;IF(AND(L1373=FALSE,M1373=FALSE),",","")&amp;IF(M1373=FALSE,"「残業時間」","")&amp;IF(OR(J1373=FALSE,K1373=FALSE,L1373=FALSE,M1373=FALSE),入力リスト!$K$36,"")&amp;IF(N1373,"",入力リスト!$K$37)))</f>
        <v/>
      </c>
      <c r="H1373" s="215"/>
      <c r="I1373" s="1" t="b">
        <f>IF(B1373="",FALSE,COUNTIF('従業員情報(給与以外)'!$A$4:$A$1000000,$B1373)=0)</f>
        <v>0</v>
      </c>
      <c r="J1373" s="8" t="b">
        <f t="shared" si="105"/>
        <v>1</v>
      </c>
      <c r="K1373" s="8" t="b">
        <f t="shared" si="106"/>
        <v>1</v>
      </c>
      <c r="L1373" s="8" t="b">
        <f t="shared" si="107"/>
        <v>1</v>
      </c>
      <c r="M1373" s="8" t="b">
        <f t="shared" si="108"/>
        <v>1</v>
      </c>
      <c r="N1373" s="1" t="b">
        <f t="shared" si="109"/>
        <v>1</v>
      </c>
      <c r="O1373" s="8" t="str">
        <f>IF(F1373="","",IF($F$2=入力リスト!$H$25,ROUNDDOWN(INT(F1373)+ROUNDDOWN((F1373-INT(F1373))*100,0)/60,2),F1373))</f>
        <v/>
      </c>
      <c r="P1373" s="7"/>
      <c r="Q1373" s="7"/>
    </row>
    <row r="1374" spans="1:17">
      <c r="A1374" s="105"/>
      <c r="B1374" s="2"/>
      <c r="C1374" s="3"/>
      <c r="D1374" s="3"/>
      <c r="E1374" s="3"/>
      <c r="F1374" s="8"/>
      <c r="G1374" s="215" t="str">
        <f>IF(AND($B1374="",OR(B1374&lt;&gt;"",C1374&lt;&gt;"",D1374&lt;&gt;"",E1374&lt;&gt;"",F1374&lt;&gt;"")),入力リスト!$K$34,IF($I1374=TRUE,入力リスト!$K$35,IF(J1374=FALSE,"「毎月の固定給与額」","")&amp;IF(AND(J1374=FALSE,OR(K1374=FALSE,L1374=FALSE,M1374=FALSE)),",","")&amp;IF(K1374=FALSE,"「賞与額等」","")&amp;IF(AND(K1374=FALSE,OR(L1374=FALSE,M1374=FALSE)),",","")&amp;IF(L1374=FALSE,"「残業手当」","")&amp;IF(AND(L1374=FALSE,M1374=FALSE),",","")&amp;IF(M1374=FALSE,"「残業時間」","")&amp;IF(OR(J1374=FALSE,K1374=FALSE,L1374=FALSE,M1374=FALSE),入力リスト!$K$36,"")&amp;IF(N1374,"",入力リスト!$K$37)))</f>
        <v/>
      </c>
      <c r="H1374" s="215"/>
      <c r="I1374" s="1" t="b">
        <f>IF(B1374="",FALSE,COUNTIF('従業員情報(給与以外)'!$A$4:$A$1000000,$B1374)=0)</f>
        <v>0</v>
      </c>
      <c r="J1374" s="8" t="b">
        <f t="shared" si="105"/>
        <v>1</v>
      </c>
      <c r="K1374" s="8" t="b">
        <f t="shared" si="106"/>
        <v>1</v>
      </c>
      <c r="L1374" s="8" t="b">
        <f t="shared" si="107"/>
        <v>1</v>
      </c>
      <c r="M1374" s="8" t="b">
        <f t="shared" si="108"/>
        <v>1</v>
      </c>
      <c r="N1374" s="1" t="b">
        <f t="shared" si="109"/>
        <v>1</v>
      </c>
      <c r="O1374" s="8" t="str">
        <f>IF(F1374="","",IF($F$2=入力リスト!$H$25,ROUNDDOWN(INT(F1374)+ROUNDDOWN((F1374-INT(F1374))*100,0)/60,2),F1374))</f>
        <v/>
      </c>
      <c r="P1374" s="7"/>
      <c r="Q1374" s="7"/>
    </row>
    <row r="1375" spans="1:17">
      <c r="A1375" s="105"/>
      <c r="B1375" s="2"/>
      <c r="C1375" s="3"/>
      <c r="D1375" s="3"/>
      <c r="E1375" s="3"/>
      <c r="F1375" s="8"/>
      <c r="G1375" s="215" t="str">
        <f>IF(AND($B1375="",OR(B1375&lt;&gt;"",C1375&lt;&gt;"",D1375&lt;&gt;"",E1375&lt;&gt;"",F1375&lt;&gt;"")),入力リスト!$K$34,IF($I1375=TRUE,入力リスト!$K$35,IF(J1375=FALSE,"「毎月の固定給与額」","")&amp;IF(AND(J1375=FALSE,OR(K1375=FALSE,L1375=FALSE,M1375=FALSE)),",","")&amp;IF(K1375=FALSE,"「賞与額等」","")&amp;IF(AND(K1375=FALSE,OR(L1375=FALSE,M1375=FALSE)),",","")&amp;IF(L1375=FALSE,"「残業手当」","")&amp;IF(AND(L1375=FALSE,M1375=FALSE),",","")&amp;IF(M1375=FALSE,"「残業時間」","")&amp;IF(OR(J1375=FALSE,K1375=FALSE,L1375=FALSE,M1375=FALSE),入力リスト!$K$36,"")&amp;IF(N1375,"",入力リスト!$K$37)))</f>
        <v/>
      </c>
      <c r="H1375" s="215"/>
      <c r="I1375" s="1" t="b">
        <f>IF(B1375="",FALSE,COUNTIF('従業員情報(給与以外)'!$A$4:$A$1000000,$B1375)=0)</f>
        <v>0</v>
      </c>
      <c r="J1375" s="8" t="b">
        <f t="shared" si="105"/>
        <v>1</v>
      </c>
      <c r="K1375" s="8" t="b">
        <f t="shared" si="106"/>
        <v>1</v>
      </c>
      <c r="L1375" s="8" t="b">
        <f t="shared" si="107"/>
        <v>1</v>
      </c>
      <c r="M1375" s="8" t="b">
        <f t="shared" si="108"/>
        <v>1</v>
      </c>
      <c r="N1375" s="1" t="b">
        <f t="shared" si="109"/>
        <v>1</v>
      </c>
      <c r="O1375" s="8" t="str">
        <f>IF(F1375="","",IF($F$2=入力リスト!$H$25,ROUNDDOWN(INT(F1375)+ROUNDDOWN((F1375-INT(F1375))*100,0)/60,2),F1375))</f>
        <v/>
      </c>
      <c r="P1375" s="7"/>
      <c r="Q1375" s="7"/>
    </row>
    <row r="1376" spans="1:17">
      <c r="A1376" s="105"/>
      <c r="B1376" s="2"/>
      <c r="C1376" s="3"/>
      <c r="D1376" s="3"/>
      <c r="E1376" s="3"/>
      <c r="F1376" s="8"/>
      <c r="G1376" s="215" t="str">
        <f>IF(AND($B1376="",OR(B1376&lt;&gt;"",C1376&lt;&gt;"",D1376&lt;&gt;"",E1376&lt;&gt;"",F1376&lt;&gt;"")),入力リスト!$K$34,IF($I1376=TRUE,入力リスト!$K$35,IF(J1376=FALSE,"「毎月の固定給与額」","")&amp;IF(AND(J1376=FALSE,OR(K1376=FALSE,L1376=FALSE,M1376=FALSE)),",","")&amp;IF(K1376=FALSE,"「賞与額等」","")&amp;IF(AND(K1376=FALSE,OR(L1376=FALSE,M1376=FALSE)),",","")&amp;IF(L1376=FALSE,"「残業手当」","")&amp;IF(AND(L1376=FALSE,M1376=FALSE),",","")&amp;IF(M1376=FALSE,"「残業時間」","")&amp;IF(OR(J1376=FALSE,K1376=FALSE,L1376=FALSE,M1376=FALSE),入力リスト!$K$36,"")&amp;IF(N1376,"",入力リスト!$K$37)))</f>
        <v/>
      </c>
      <c r="H1376" s="215"/>
      <c r="I1376" s="1" t="b">
        <f>IF(B1376="",FALSE,COUNTIF('従業員情報(給与以外)'!$A$4:$A$1000000,$B1376)=0)</f>
        <v>0</v>
      </c>
      <c r="J1376" s="8" t="b">
        <f t="shared" si="105"/>
        <v>1</v>
      </c>
      <c r="K1376" s="8" t="b">
        <f t="shared" si="106"/>
        <v>1</v>
      </c>
      <c r="L1376" s="8" t="b">
        <f t="shared" si="107"/>
        <v>1</v>
      </c>
      <c r="M1376" s="8" t="b">
        <f t="shared" si="108"/>
        <v>1</v>
      </c>
      <c r="N1376" s="1" t="b">
        <f t="shared" si="109"/>
        <v>1</v>
      </c>
      <c r="O1376" s="8" t="str">
        <f>IF(F1376="","",IF($F$2=入力リスト!$H$25,ROUNDDOWN(INT(F1376)+ROUNDDOWN((F1376-INT(F1376))*100,0)/60,2),F1376))</f>
        <v/>
      </c>
      <c r="P1376" s="7"/>
      <c r="Q1376" s="7"/>
    </row>
    <row r="1377" spans="1:17">
      <c r="A1377" s="105"/>
      <c r="B1377" s="2"/>
      <c r="C1377" s="3"/>
      <c r="D1377" s="3"/>
      <c r="E1377" s="3"/>
      <c r="F1377" s="8"/>
      <c r="G1377" s="215" t="str">
        <f>IF(AND($B1377="",OR(B1377&lt;&gt;"",C1377&lt;&gt;"",D1377&lt;&gt;"",E1377&lt;&gt;"",F1377&lt;&gt;"")),入力リスト!$K$34,IF($I1377=TRUE,入力リスト!$K$35,IF(J1377=FALSE,"「毎月の固定給与額」","")&amp;IF(AND(J1377=FALSE,OR(K1377=FALSE,L1377=FALSE,M1377=FALSE)),",","")&amp;IF(K1377=FALSE,"「賞与額等」","")&amp;IF(AND(K1377=FALSE,OR(L1377=FALSE,M1377=FALSE)),",","")&amp;IF(L1377=FALSE,"「残業手当」","")&amp;IF(AND(L1377=FALSE,M1377=FALSE),",","")&amp;IF(M1377=FALSE,"「残業時間」","")&amp;IF(OR(J1377=FALSE,K1377=FALSE,L1377=FALSE,M1377=FALSE),入力リスト!$K$36,"")&amp;IF(N1377,"",入力リスト!$K$37)))</f>
        <v/>
      </c>
      <c r="H1377" s="215"/>
      <c r="I1377" s="1" t="b">
        <f>IF(B1377="",FALSE,COUNTIF('従業員情報(給与以外)'!$A$4:$A$1000000,$B1377)=0)</f>
        <v>0</v>
      </c>
      <c r="J1377" s="8" t="b">
        <f t="shared" si="105"/>
        <v>1</v>
      </c>
      <c r="K1377" s="8" t="b">
        <f t="shared" si="106"/>
        <v>1</v>
      </c>
      <c r="L1377" s="8" t="b">
        <f t="shared" si="107"/>
        <v>1</v>
      </c>
      <c r="M1377" s="8" t="b">
        <f t="shared" si="108"/>
        <v>1</v>
      </c>
      <c r="N1377" s="1" t="b">
        <f t="shared" si="109"/>
        <v>1</v>
      </c>
      <c r="O1377" s="8" t="str">
        <f>IF(F1377="","",IF($F$2=入力リスト!$H$25,ROUNDDOWN(INT(F1377)+ROUNDDOWN((F1377-INT(F1377))*100,0)/60,2),F1377))</f>
        <v/>
      </c>
      <c r="P1377" s="7"/>
      <c r="Q1377" s="7"/>
    </row>
    <row r="1378" spans="1:17">
      <c r="A1378" s="105"/>
      <c r="B1378" s="2"/>
      <c r="C1378" s="3"/>
      <c r="D1378" s="3"/>
      <c r="E1378" s="3"/>
      <c r="F1378" s="8"/>
      <c r="G1378" s="215" t="str">
        <f>IF(AND($B1378="",OR(B1378&lt;&gt;"",C1378&lt;&gt;"",D1378&lt;&gt;"",E1378&lt;&gt;"",F1378&lt;&gt;"")),入力リスト!$K$34,IF($I1378=TRUE,入力リスト!$K$35,IF(J1378=FALSE,"「毎月の固定給与額」","")&amp;IF(AND(J1378=FALSE,OR(K1378=FALSE,L1378=FALSE,M1378=FALSE)),",","")&amp;IF(K1378=FALSE,"「賞与額等」","")&amp;IF(AND(K1378=FALSE,OR(L1378=FALSE,M1378=FALSE)),",","")&amp;IF(L1378=FALSE,"「残業手当」","")&amp;IF(AND(L1378=FALSE,M1378=FALSE),",","")&amp;IF(M1378=FALSE,"「残業時間」","")&amp;IF(OR(J1378=FALSE,K1378=FALSE,L1378=FALSE,M1378=FALSE),入力リスト!$K$36,"")&amp;IF(N1378,"",入力リスト!$K$37)))</f>
        <v/>
      </c>
      <c r="H1378" s="215"/>
      <c r="I1378" s="1" t="b">
        <f>IF(B1378="",FALSE,COUNTIF('従業員情報(給与以外)'!$A$4:$A$1000000,$B1378)=0)</f>
        <v>0</v>
      </c>
      <c r="J1378" s="8" t="b">
        <f t="shared" si="105"/>
        <v>1</v>
      </c>
      <c r="K1378" s="8" t="b">
        <f t="shared" si="106"/>
        <v>1</v>
      </c>
      <c r="L1378" s="8" t="b">
        <f t="shared" si="107"/>
        <v>1</v>
      </c>
      <c r="M1378" s="8" t="b">
        <f t="shared" si="108"/>
        <v>1</v>
      </c>
      <c r="N1378" s="1" t="b">
        <f t="shared" si="109"/>
        <v>1</v>
      </c>
      <c r="O1378" s="8" t="str">
        <f>IF(F1378="","",IF($F$2=入力リスト!$H$25,ROUNDDOWN(INT(F1378)+ROUNDDOWN((F1378-INT(F1378))*100,0)/60,2),F1378))</f>
        <v/>
      </c>
      <c r="P1378" s="7"/>
      <c r="Q1378" s="7"/>
    </row>
    <row r="1379" spans="1:17">
      <c r="A1379" s="105"/>
      <c r="B1379" s="2"/>
      <c r="C1379" s="3"/>
      <c r="D1379" s="3"/>
      <c r="E1379" s="3"/>
      <c r="F1379" s="8"/>
      <c r="G1379" s="215" t="str">
        <f>IF(AND($B1379="",OR(B1379&lt;&gt;"",C1379&lt;&gt;"",D1379&lt;&gt;"",E1379&lt;&gt;"",F1379&lt;&gt;"")),入力リスト!$K$34,IF($I1379=TRUE,入力リスト!$K$35,IF(J1379=FALSE,"「毎月の固定給与額」","")&amp;IF(AND(J1379=FALSE,OR(K1379=FALSE,L1379=FALSE,M1379=FALSE)),",","")&amp;IF(K1379=FALSE,"「賞与額等」","")&amp;IF(AND(K1379=FALSE,OR(L1379=FALSE,M1379=FALSE)),",","")&amp;IF(L1379=FALSE,"「残業手当」","")&amp;IF(AND(L1379=FALSE,M1379=FALSE),",","")&amp;IF(M1379=FALSE,"「残業時間」","")&amp;IF(OR(J1379=FALSE,K1379=FALSE,L1379=FALSE,M1379=FALSE),入力リスト!$K$36,"")&amp;IF(N1379,"",入力リスト!$K$37)))</f>
        <v/>
      </c>
      <c r="H1379" s="215"/>
      <c r="I1379" s="1" t="b">
        <f>IF(B1379="",FALSE,COUNTIF('従業員情報(給与以外)'!$A$4:$A$1000000,$B1379)=0)</f>
        <v>0</v>
      </c>
      <c r="J1379" s="8" t="b">
        <f t="shared" si="105"/>
        <v>1</v>
      </c>
      <c r="K1379" s="8" t="b">
        <f t="shared" si="106"/>
        <v>1</v>
      </c>
      <c r="L1379" s="8" t="b">
        <f t="shared" si="107"/>
        <v>1</v>
      </c>
      <c r="M1379" s="8" t="b">
        <f t="shared" si="108"/>
        <v>1</v>
      </c>
      <c r="N1379" s="1" t="b">
        <f t="shared" si="109"/>
        <v>1</v>
      </c>
      <c r="O1379" s="8" t="str">
        <f>IF(F1379="","",IF($F$2=入力リスト!$H$25,ROUNDDOWN(INT(F1379)+ROUNDDOWN((F1379-INT(F1379))*100,0)/60,2),F1379))</f>
        <v/>
      </c>
      <c r="P1379" s="7"/>
      <c r="Q1379" s="7"/>
    </row>
    <row r="1380" spans="1:17">
      <c r="A1380" s="105"/>
      <c r="B1380" s="2"/>
      <c r="C1380" s="3"/>
      <c r="D1380" s="3"/>
      <c r="E1380" s="3"/>
      <c r="F1380" s="8"/>
      <c r="G1380" s="215" t="str">
        <f>IF(AND($B1380="",OR(B1380&lt;&gt;"",C1380&lt;&gt;"",D1380&lt;&gt;"",E1380&lt;&gt;"",F1380&lt;&gt;"")),入力リスト!$K$34,IF($I1380=TRUE,入力リスト!$K$35,IF(J1380=FALSE,"「毎月の固定給与額」","")&amp;IF(AND(J1380=FALSE,OR(K1380=FALSE,L1380=FALSE,M1380=FALSE)),",","")&amp;IF(K1380=FALSE,"「賞与額等」","")&amp;IF(AND(K1380=FALSE,OR(L1380=FALSE,M1380=FALSE)),",","")&amp;IF(L1380=FALSE,"「残業手当」","")&amp;IF(AND(L1380=FALSE,M1380=FALSE),",","")&amp;IF(M1380=FALSE,"「残業時間」","")&amp;IF(OR(J1380=FALSE,K1380=FALSE,L1380=FALSE,M1380=FALSE),入力リスト!$K$36,"")&amp;IF(N1380,"",入力リスト!$K$37)))</f>
        <v/>
      </c>
      <c r="H1380" s="215"/>
      <c r="I1380" s="1" t="b">
        <f>IF(B1380="",FALSE,COUNTIF('従業員情報(給与以外)'!$A$4:$A$1000000,$B1380)=0)</f>
        <v>0</v>
      </c>
      <c r="J1380" s="8" t="b">
        <f t="shared" si="105"/>
        <v>1</v>
      </c>
      <c r="K1380" s="8" t="b">
        <f t="shared" si="106"/>
        <v>1</v>
      </c>
      <c r="L1380" s="8" t="b">
        <f t="shared" si="107"/>
        <v>1</v>
      </c>
      <c r="M1380" s="8" t="b">
        <f t="shared" si="108"/>
        <v>1</v>
      </c>
      <c r="N1380" s="1" t="b">
        <f t="shared" si="109"/>
        <v>1</v>
      </c>
      <c r="O1380" s="8" t="str">
        <f>IF(F1380="","",IF($F$2=入力リスト!$H$25,ROUNDDOWN(INT(F1380)+ROUNDDOWN((F1380-INT(F1380))*100,0)/60,2),F1380))</f>
        <v/>
      </c>
      <c r="P1380" s="7"/>
      <c r="Q1380" s="7"/>
    </row>
    <row r="1381" spans="1:17">
      <c r="A1381" s="105"/>
      <c r="B1381" s="2"/>
      <c r="C1381" s="3"/>
      <c r="D1381" s="3"/>
      <c r="E1381" s="3"/>
      <c r="F1381" s="8"/>
      <c r="G1381" s="215" t="str">
        <f>IF(AND($B1381="",OR(B1381&lt;&gt;"",C1381&lt;&gt;"",D1381&lt;&gt;"",E1381&lt;&gt;"",F1381&lt;&gt;"")),入力リスト!$K$34,IF($I1381=TRUE,入力リスト!$K$35,IF(J1381=FALSE,"「毎月の固定給与額」","")&amp;IF(AND(J1381=FALSE,OR(K1381=FALSE,L1381=FALSE,M1381=FALSE)),",","")&amp;IF(K1381=FALSE,"「賞与額等」","")&amp;IF(AND(K1381=FALSE,OR(L1381=FALSE,M1381=FALSE)),",","")&amp;IF(L1381=FALSE,"「残業手当」","")&amp;IF(AND(L1381=FALSE,M1381=FALSE),",","")&amp;IF(M1381=FALSE,"「残業時間」","")&amp;IF(OR(J1381=FALSE,K1381=FALSE,L1381=FALSE,M1381=FALSE),入力リスト!$K$36,"")&amp;IF(N1381,"",入力リスト!$K$37)))</f>
        <v/>
      </c>
      <c r="H1381" s="215"/>
      <c r="I1381" s="1" t="b">
        <f>IF(B1381="",FALSE,COUNTIF('従業員情報(給与以外)'!$A$4:$A$1000000,$B1381)=0)</f>
        <v>0</v>
      </c>
      <c r="J1381" s="8" t="b">
        <f t="shared" si="105"/>
        <v>1</v>
      </c>
      <c r="K1381" s="8" t="b">
        <f t="shared" si="106"/>
        <v>1</v>
      </c>
      <c r="L1381" s="8" t="b">
        <f t="shared" si="107"/>
        <v>1</v>
      </c>
      <c r="M1381" s="8" t="b">
        <f t="shared" si="108"/>
        <v>1</v>
      </c>
      <c r="N1381" s="1" t="b">
        <f t="shared" si="109"/>
        <v>1</v>
      </c>
      <c r="O1381" s="8" t="str">
        <f>IF(F1381="","",IF($F$2=入力リスト!$H$25,ROUNDDOWN(INT(F1381)+ROUNDDOWN((F1381-INT(F1381))*100,0)/60,2),F1381))</f>
        <v/>
      </c>
      <c r="P1381" s="7"/>
      <c r="Q1381" s="7"/>
    </row>
    <row r="1382" spans="1:17">
      <c r="A1382" s="105"/>
      <c r="B1382" s="2"/>
      <c r="C1382" s="3"/>
      <c r="D1382" s="3"/>
      <c r="E1382" s="3"/>
      <c r="F1382" s="8"/>
      <c r="G1382" s="215" t="str">
        <f>IF(AND($B1382="",OR(B1382&lt;&gt;"",C1382&lt;&gt;"",D1382&lt;&gt;"",E1382&lt;&gt;"",F1382&lt;&gt;"")),入力リスト!$K$34,IF($I1382=TRUE,入力リスト!$K$35,IF(J1382=FALSE,"「毎月の固定給与額」","")&amp;IF(AND(J1382=FALSE,OR(K1382=FALSE,L1382=FALSE,M1382=FALSE)),",","")&amp;IF(K1382=FALSE,"「賞与額等」","")&amp;IF(AND(K1382=FALSE,OR(L1382=FALSE,M1382=FALSE)),",","")&amp;IF(L1382=FALSE,"「残業手当」","")&amp;IF(AND(L1382=FALSE,M1382=FALSE),",","")&amp;IF(M1382=FALSE,"「残業時間」","")&amp;IF(OR(J1382=FALSE,K1382=FALSE,L1382=FALSE,M1382=FALSE),入力リスト!$K$36,"")&amp;IF(N1382,"",入力リスト!$K$37)))</f>
        <v/>
      </c>
      <c r="H1382" s="215"/>
      <c r="I1382" s="1" t="b">
        <f>IF(B1382="",FALSE,COUNTIF('従業員情報(給与以外)'!$A$4:$A$1000000,$B1382)=0)</f>
        <v>0</v>
      </c>
      <c r="J1382" s="8" t="b">
        <f t="shared" si="105"/>
        <v>1</v>
      </c>
      <c r="K1382" s="8" t="b">
        <f t="shared" si="106"/>
        <v>1</v>
      </c>
      <c r="L1382" s="8" t="b">
        <f t="shared" si="107"/>
        <v>1</v>
      </c>
      <c r="M1382" s="8" t="b">
        <f t="shared" si="108"/>
        <v>1</v>
      </c>
      <c r="N1382" s="1" t="b">
        <f t="shared" si="109"/>
        <v>1</v>
      </c>
      <c r="O1382" s="8" t="str">
        <f>IF(F1382="","",IF($F$2=入力リスト!$H$25,ROUNDDOWN(INT(F1382)+ROUNDDOWN((F1382-INT(F1382))*100,0)/60,2),F1382))</f>
        <v/>
      </c>
      <c r="P1382" s="7"/>
      <c r="Q1382" s="7"/>
    </row>
    <row r="1383" spans="1:17">
      <c r="A1383" s="105"/>
      <c r="B1383" s="2"/>
      <c r="C1383" s="3"/>
      <c r="D1383" s="3"/>
      <c r="E1383" s="3"/>
      <c r="F1383" s="8"/>
      <c r="G1383" s="215" t="str">
        <f>IF(AND($B1383="",OR(B1383&lt;&gt;"",C1383&lt;&gt;"",D1383&lt;&gt;"",E1383&lt;&gt;"",F1383&lt;&gt;"")),入力リスト!$K$34,IF($I1383=TRUE,入力リスト!$K$35,IF(J1383=FALSE,"「毎月の固定給与額」","")&amp;IF(AND(J1383=FALSE,OR(K1383=FALSE,L1383=FALSE,M1383=FALSE)),",","")&amp;IF(K1383=FALSE,"「賞与額等」","")&amp;IF(AND(K1383=FALSE,OR(L1383=FALSE,M1383=FALSE)),",","")&amp;IF(L1383=FALSE,"「残業手当」","")&amp;IF(AND(L1383=FALSE,M1383=FALSE),",","")&amp;IF(M1383=FALSE,"「残業時間」","")&amp;IF(OR(J1383=FALSE,K1383=FALSE,L1383=FALSE,M1383=FALSE),入力リスト!$K$36,"")&amp;IF(N1383,"",入力リスト!$K$37)))</f>
        <v/>
      </c>
      <c r="H1383" s="215"/>
      <c r="I1383" s="1" t="b">
        <f>IF(B1383="",FALSE,COUNTIF('従業員情報(給与以外)'!$A$4:$A$1000000,$B1383)=0)</f>
        <v>0</v>
      </c>
      <c r="J1383" s="8" t="b">
        <f t="shared" si="105"/>
        <v>1</v>
      </c>
      <c r="K1383" s="8" t="b">
        <f t="shared" si="106"/>
        <v>1</v>
      </c>
      <c r="L1383" s="8" t="b">
        <f t="shared" si="107"/>
        <v>1</v>
      </c>
      <c r="M1383" s="8" t="b">
        <f t="shared" si="108"/>
        <v>1</v>
      </c>
      <c r="N1383" s="1" t="b">
        <f t="shared" si="109"/>
        <v>1</v>
      </c>
      <c r="O1383" s="8" t="str">
        <f>IF(F1383="","",IF($F$2=入力リスト!$H$25,ROUNDDOWN(INT(F1383)+ROUNDDOWN((F1383-INT(F1383))*100,0)/60,2),F1383))</f>
        <v/>
      </c>
      <c r="P1383" s="7"/>
      <c r="Q1383" s="7"/>
    </row>
    <row r="1384" spans="1:17">
      <c r="A1384" s="105"/>
      <c r="B1384" s="2"/>
      <c r="C1384" s="3"/>
      <c r="D1384" s="3"/>
      <c r="E1384" s="3"/>
      <c r="F1384" s="8"/>
      <c r="G1384" s="215" t="str">
        <f>IF(AND($B1384="",OR(B1384&lt;&gt;"",C1384&lt;&gt;"",D1384&lt;&gt;"",E1384&lt;&gt;"",F1384&lt;&gt;"")),入力リスト!$K$34,IF($I1384=TRUE,入力リスト!$K$35,IF(J1384=FALSE,"「毎月の固定給与額」","")&amp;IF(AND(J1384=FALSE,OR(K1384=FALSE,L1384=FALSE,M1384=FALSE)),",","")&amp;IF(K1384=FALSE,"「賞与額等」","")&amp;IF(AND(K1384=FALSE,OR(L1384=FALSE,M1384=FALSE)),",","")&amp;IF(L1384=FALSE,"「残業手当」","")&amp;IF(AND(L1384=FALSE,M1384=FALSE),",","")&amp;IF(M1384=FALSE,"「残業時間」","")&amp;IF(OR(J1384=FALSE,K1384=FALSE,L1384=FALSE,M1384=FALSE),入力リスト!$K$36,"")&amp;IF(N1384,"",入力リスト!$K$37)))</f>
        <v/>
      </c>
      <c r="H1384" s="215"/>
      <c r="I1384" s="1" t="b">
        <f>IF(B1384="",FALSE,COUNTIF('従業員情報(給与以外)'!$A$4:$A$1000000,$B1384)=0)</f>
        <v>0</v>
      </c>
      <c r="J1384" s="8" t="b">
        <f t="shared" si="105"/>
        <v>1</v>
      </c>
      <c r="K1384" s="8" t="b">
        <f t="shared" si="106"/>
        <v>1</v>
      </c>
      <c r="L1384" s="8" t="b">
        <f t="shared" si="107"/>
        <v>1</v>
      </c>
      <c r="M1384" s="8" t="b">
        <f t="shared" si="108"/>
        <v>1</v>
      </c>
      <c r="N1384" s="1" t="b">
        <f t="shared" si="109"/>
        <v>1</v>
      </c>
      <c r="O1384" s="8" t="str">
        <f>IF(F1384="","",IF($F$2=入力リスト!$H$25,ROUNDDOWN(INT(F1384)+ROUNDDOWN((F1384-INT(F1384))*100,0)/60,2),F1384))</f>
        <v/>
      </c>
      <c r="P1384" s="7"/>
      <c r="Q1384" s="7"/>
    </row>
    <row r="1385" spans="1:17">
      <c r="A1385" s="105"/>
      <c r="B1385" s="2"/>
      <c r="C1385" s="3"/>
      <c r="D1385" s="3"/>
      <c r="E1385" s="3"/>
      <c r="F1385" s="8"/>
      <c r="G1385" s="215" t="str">
        <f>IF(AND($B1385="",OR(B1385&lt;&gt;"",C1385&lt;&gt;"",D1385&lt;&gt;"",E1385&lt;&gt;"",F1385&lt;&gt;"")),入力リスト!$K$34,IF($I1385=TRUE,入力リスト!$K$35,IF(J1385=FALSE,"「毎月の固定給与額」","")&amp;IF(AND(J1385=FALSE,OR(K1385=FALSE,L1385=FALSE,M1385=FALSE)),",","")&amp;IF(K1385=FALSE,"「賞与額等」","")&amp;IF(AND(K1385=FALSE,OR(L1385=FALSE,M1385=FALSE)),",","")&amp;IF(L1385=FALSE,"「残業手当」","")&amp;IF(AND(L1385=FALSE,M1385=FALSE),",","")&amp;IF(M1385=FALSE,"「残業時間」","")&amp;IF(OR(J1385=FALSE,K1385=FALSE,L1385=FALSE,M1385=FALSE),入力リスト!$K$36,"")&amp;IF(N1385,"",入力リスト!$K$37)))</f>
        <v/>
      </c>
      <c r="H1385" s="215"/>
      <c r="I1385" s="1" t="b">
        <f>IF(B1385="",FALSE,COUNTIF('従業員情報(給与以外)'!$A$4:$A$1000000,$B1385)=0)</f>
        <v>0</v>
      </c>
      <c r="J1385" s="8" t="b">
        <f t="shared" si="105"/>
        <v>1</v>
      </c>
      <c r="K1385" s="8" t="b">
        <f t="shared" si="106"/>
        <v>1</v>
      </c>
      <c r="L1385" s="8" t="b">
        <f t="shared" si="107"/>
        <v>1</v>
      </c>
      <c r="M1385" s="8" t="b">
        <f t="shared" si="108"/>
        <v>1</v>
      </c>
      <c r="N1385" s="1" t="b">
        <f t="shared" si="109"/>
        <v>1</v>
      </c>
      <c r="O1385" s="8" t="str">
        <f>IF(F1385="","",IF($F$2=入力リスト!$H$25,ROUNDDOWN(INT(F1385)+ROUNDDOWN((F1385-INT(F1385))*100,0)/60,2),F1385))</f>
        <v/>
      </c>
      <c r="P1385" s="7"/>
      <c r="Q1385" s="7"/>
    </row>
    <row r="1386" spans="1:17">
      <c r="A1386" s="105"/>
      <c r="B1386" s="2"/>
      <c r="C1386" s="3"/>
      <c r="D1386" s="3"/>
      <c r="E1386" s="3"/>
      <c r="F1386" s="8"/>
      <c r="G1386" s="215" t="str">
        <f>IF(AND($B1386="",OR(B1386&lt;&gt;"",C1386&lt;&gt;"",D1386&lt;&gt;"",E1386&lt;&gt;"",F1386&lt;&gt;"")),入力リスト!$K$34,IF($I1386=TRUE,入力リスト!$K$35,IF(J1386=FALSE,"「毎月の固定給与額」","")&amp;IF(AND(J1386=FALSE,OR(K1386=FALSE,L1386=FALSE,M1386=FALSE)),",","")&amp;IF(K1386=FALSE,"「賞与額等」","")&amp;IF(AND(K1386=FALSE,OR(L1386=FALSE,M1386=FALSE)),",","")&amp;IF(L1386=FALSE,"「残業手当」","")&amp;IF(AND(L1386=FALSE,M1386=FALSE),",","")&amp;IF(M1386=FALSE,"「残業時間」","")&amp;IF(OR(J1386=FALSE,K1386=FALSE,L1386=FALSE,M1386=FALSE),入力リスト!$K$36,"")&amp;IF(N1386,"",入力リスト!$K$37)))</f>
        <v/>
      </c>
      <c r="H1386" s="215"/>
      <c r="I1386" s="1" t="b">
        <f>IF(B1386="",FALSE,COUNTIF('従業員情報(給与以外)'!$A$4:$A$1000000,$B1386)=0)</f>
        <v>0</v>
      </c>
      <c r="J1386" s="8" t="b">
        <f t="shared" si="105"/>
        <v>1</v>
      </c>
      <c r="K1386" s="8" t="b">
        <f t="shared" si="106"/>
        <v>1</v>
      </c>
      <c r="L1386" s="8" t="b">
        <f t="shared" si="107"/>
        <v>1</v>
      </c>
      <c r="M1386" s="8" t="b">
        <f t="shared" si="108"/>
        <v>1</v>
      </c>
      <c r="N1386" s="1" t="b">
        <f t="shared" si="109"/>
        <v>1</v>
      </c>
      <c r="O1386" s="8" t="str">
        <f>IF(F1386="","",IF($F$2=入力リスト!$H$25,ROUNDDOWN(INT(F1386)+ROUNDDOWN((F1386-INT(F1386))*100,0)/60,2),F1386))</f>
        <v/>
      </c>
      <c r="P1386" s="7"/>
      <c r="Q1386" s="7"/>
    </row>
    <row r="1387" spans="1:17">
      <c r="A1387" s="105"/>
      <c r="B1387" s="2"/>
      <c r="C1387" s="3"/>
      <c r="D1387" s="3"/>
      <c r="E1387" s="3"/>
      <c r="F1387" s="8"/>
      <c r="G1387" s="215" t="str">
        <f>IF(AND($B1387="",OR(B1387&lt;&gt;"",C1387&lt;&gt;"",D1387&lt;&gt;"",E1387&lt;&gt;"",F1387&lt;&gt;"")),入力リスト!$K$34,IF($I1387=TRUE,入力リスト!$K$35,IF(J1387=FALSE,"「毎月の固定給与額」","")&amp;IF(AND(J1387=FALSE,OR(K1387=FALSE,L1387=FALSE,M1387=FALSE)),",","")&amp;IF(K1387=FALSE,"「賞与額等」","")&amp;IF(AND(K1387=FALSE,OR(L1387=FALSE,M1387=FALSE)),",","")&amp;IF(L1387=FALSE,"「残業手当」","")&amp;IF(AND(L1387=FALSE,M1387=FALSE),",","")&amp;IF(M1387=FALSE,"「残業時間」","")&amp;IF(OR(J1387=FALSE,K1387=FALSE,L1387=FALSE,M1387=FALSE),入力リスト!$K$36,"")&amp;IF(N1387,"",入力リスト!$K$37)))</f>
        <v/>
      </c>
      <c r="H1387" s="215"/>
      <c r="I1387" s="1" t="b">
        <f>IF(B1387="",FALSE,COUNTIF('従業員情報(給与以外)'!$A$4:$A$1000000,$B1387)=0)</f>
        <v>0</v>
      </c>
      <c r="J1387" s="8" t="b">
        <f t="shared" si="105"/>
        <v>1</v>
      </c>
      <c r="K1387" s="8" t="b">
        <f t="shared" si="106"/>
        <v>1</v>
      </c>
      <c r="L1387" s="8" t="b">
        <f t="shared" si="107"/>
        <v>1</v>
      </c>
      <c r="M1387" s="8" t="b">
        <f t="shared" si="108"/>
        <v>1</v>
      </c>
      <c r="N1387" s="1" t="b">
        <f t="shared" si="109"/>
        <v>1</v>
      </c>
      <c r="O1387" s="8" t="str">
        <f>IF(F1387="","",IF($F$2=入力リスト!$H$25,ROUNDDOWN(INT(F1387)+ROUNDDOWN((F1387-INT(F1387))*100,0)/60,2),F1387))</f>
        <v/>
      </c>
      <c r="P1387" s="7"/>
      <c r="Q1387" s="7"/>
    </row>
    <row r="1388" spans="1:17">
      <c r="A1388" s="105"/>
      <c r="B1388" s="2"/>
      <c r="C1388" s="3"/>
      <c r="D1388" s="3"/>
      <c r="E1388" s="3"/>
      <c r="F1388" s="8"/>
      <c r="G1388" s="215" t="str">
        <f>IF(AND($B1388="",OR(B1388&lt;&gt;"",C1388&lt;&gt;"",D1388&lt;&gt;"",E1388&lt;&gt;"",F1388&lt;&gt;"")),入力リスト!$K$34,IF($I1388=TRUE,入力リスト!$K$35,IF(J1388=FALSE,"「毎月の固定給与額」","")&amp;IF(AND(J1388=FALSE,OR(K1388=FALSE,L1388=FALSE,M1388=FALSE)),",","")&amp;IF(K1388=FALSE,"「賞与額等」","")&amp;IF(AND(K1388=FALSE,OR(L1388=FALSE,M1388=FALSE)),",","")&amp;IF(L1388=FALSE,"「残業手当」","")&amp;IF(AND(L1388=FALSE,M1388=FALSE),",","")&amp;IF(M1388=FALSE,"「残業時間」","")&amp;IF(OR(J1388=FALSE,K1388=FALSE,L1388=FALSE,M1388=FALSE),入力リスト!$K$36,"")&amp;IF(N1388,"",入力リスト!$K$37)))</f>
        <v/>
      </c>
      <c r="H1388" s="215"/>
      <c r="I1388" s="1" t="b">
        <f>IF(B1388="",FALSE,COUNTIF('従業員情報(給与以外)'!$A$4:$A$1000000,$B1388)=0)</f>
        <v>0</v>
      </c>
      <c r="J1388" s="8" t="b">
        <f t="shared" si="105"/>
        <v>1</v>
      </c>
      <c r="K1388" s="8" t="b">
        <f t="shared" si="106"/>
        <v>1</v>
      </c>
      <c r="L1388" s="8" t="b">
        <f t="shared" si="107"/>
        <v>1</v>
      </c>
      <c r="M1388" s="8" t="b">
        <f t="shared" si="108"/>
        <v>1</v>
      </c>
      <c r="N1388" s="1" t="b">
        <f t="shared" si="109"/>
        <v>1</v>
      </c>
      <c r="O1388" s="8" t="str">
        <f>IF(F1388="","",IF($F$2=入力リスト!$H$25,ROUNDDOWN(INT(F1388)+ROUNDDOWN((F1388-INT(F1388))*100,0)/60,2),F1388))</f>
        <v/>
      </c>
      <c r="P1388" s="7"/>
      <c r="Q1388" s="7"/>
    </row>
    <row r="1389" spans="1:17">
      <c r="A1389" s="105"/>
      <c r="B1389" s="2"/>
      <c r="C1389" s="3"/>
      <c r="D1389" s="3"/>
      <c r="E1389" s="3"/>
      <c r="F1389" s="8"/>
      <c r="G1389" s="215" t="str">
        <f>IF(AND($B1389="",OR(B1389&lt;&gt;"",C1389&lt;&gt;"",D1389&lt;&gt;"",E1389&lt;&gt;"",F1389&lt;&gt;"")),入力リスト!$K$34,IF($I1389=TRUE,入力リスト!$K$35,IF(J1389=FALSE,"「毎月の固定給与額」","")&amp;IF(AND(J1389=FALSE,OR(K1389=FALSE,L1389=FALSE,M1389=FALSE)),",","")&amp;IF(K1389=FALSE,"「賞与額等」","")&amp;IF(AND(K1389=FALSE,OR(L1389=FALSE,M1389=FALSE)),",","")&amp;IF(L1389=FALSE,"「残業手当」","")&amp;IF(AND(L1389=FALSE,M1389=FALSE),",","")&amp;IF(M1389=FALSE,"「残業時間」","")&amp;IF(OR(J1389=FALSE,K1389=FALSE,L1389=FALSE,M1389=FALSE),入力リスト!$K$36,"")&amp;IF(N1389,"",入力リスト!$K$37)))</f>
        <v/>
      </c>
      <c r="H1389" s="215"/>
      <c r="I1389" s="1" t="b">
        <f>IF(B1389="",FALSE,COUNTIF('従業員情報(給与以外)'!$A$4:$A$1000000,$B1389)=0)</f>
        <v>0</v>
      </c>
      <c r="J1389" s="8" t="b">
        <f t="shared" si="105"/>
        <v>1</v>
      </c>
      <c r="K1389" s="8" t="b">
        <f t="shared" si="106"/>
        <v>1</v>
      </c>
      <c r="L1389" s="8" t="b">
        <f t="shared" si="107"/>
        <v>1</v>
      </c>
      <c r="M1389" s="8" t="b">
        <f t="shared" si="108"/>
        <v>1</v>
      </c>
      <c r="N1389" s="1" t="b">
        <f t="shared" si="109"/>
        <v>1</v>
      </c>
      <c r="O1389" s="8" t="str">
        <f>IF(F1389="","",IF($F$2=入力リスト!$H$25,ROUNDDOWN(INT(F1389)+ROUNDDOWN((F1389-INT(F1389))*100,0)/60,2),F1389))</f>
        <v/>
      </c>
      <c r="P1389" s="7"/>
      <c r="Q1389" s="7"/>
    </row>
    <row r="1390" spans="1:17">
      <c r="A1390" s="105"/>
      <c r="B1390" s="2"/>
      <c r="C1390" s="3"/>
      <c r="D1390" s="3"/>
      <c r="E1390" s="3"/>
      <c r="F1390" s="8"/>
      <c r="G1390" s="215" t="str">
        <f>IF(AND($B1390="",OR(B1390&lt;&gt;"",C1390&lt;&gt;"",D1390&lt;&gt;"",E1390&lt;&gt;"",F1390&lt;&gt;"")),入力リスト!$K$34,IF($I1390=TRUE,入力リスト!$K$35,IF(J1390=FALSE,"「毎月の固定給与額」","")&amp;IF(AND(J1390=FALSE,OR(K1390=FALSE,L1390=FALSE,M1390=FALSE)),",","")&amp;IF(K1390=FALSE,"「賞与額等」","")&amp;IF(AND(K1390=FALSE,OR(L1390=FALSE,M1390=FALSE)),",","")&amp;IF(L1390=FALSE,"「残業手当」","")&amp;IF(AND(L1390=FALSE,M1390=FALSE),",","")&amp;IF(M1390=FALSE,"「残業時間」","")&amp;IF(OR(J1390=FALSE,K1390=FALSE,L1390=FALSE,M1390=FALSE),入力リスト!$K$36,"")&amp;IF(N1390,"",入力リスト!$K$37)))</f>
        <v/>
      </c>
      <c r="H1390" s="215"/>
      <c r="I1390" s="1" t="b">
        <f>IF(B1390="",FALSE,COUNTIF('従業員情報(給与以外)'!$A$4:$A$1000000,$B1390)=0)</f>
        <v>0</v>
      </c>
      <c r="J1390" s="8" t="b">
        <f t="shared" si="105"/>
        <v>1</v>
      </c>
      <c r="K1390" s="8" t="b">
        <f t="shared" si="106"/>
        <v>1</v>
      </c>
      <c r="L1390" s="8" t="b">
        <f t="shared" si="107"/>
        <v>1</v>
      </c>
      <c r="M1390" s="8" t="b">
        <f t="shared" si="108"/>
        <v>1</v>
      </c>
      <c r="N1390" s="1" t="b">
        <f t="shared" si="109"/>
        <v>1</v>
      </c>
      <c r="O1390" s="8" t="str">
        <f>IF(F1390="","",IF($F$2=入力リスト!$H$25,ROUNDDOWN(INT(F1390)+ROUNDDOWN((F1390-INT(F1390))*100,0)/60,2),F1390))</f>
        <v/>
      </c>
      <c r="P1390" s="7"/>
      <c r="Q1390" s="7"/>
    </row>
    <row r="1391" spans="1:17">
      <c r="A1391" s="105"/>
      <c r="B1391" s="2"/>
      <c r="C1391" s="3"/>
      <c r="D1391" s="3"/>
      <c r="E1391" s="3"/>
      <c r="F1391" s="8"/>
      <c r="G1391" s="215" t="str">
        <f>IF(AND($B1391="",OR(B1391&lt;&gt;"",C1391&lt;&gt;"",D1391&lt;&gt;"",E1391&lt;&gt;"",F1391&lt;&gt;"")),入力リスト!$K$34,IF($I1391=TRUE,入力リスト!$K$35,IF(J1391=FALSE,"「毎月の固定給与額」","")&amp;IF(AND(J1391=FALSE,OR(K1391=FALSE,L1391=FALSE,M1391=FALSE)),",","")&amp;IF(K1391=FALSE,"「賞与額等」","")&amp;IF(AND(K1391=FALSE,OR(L1391=FALSE,M1391=FALSE)),",","")&amp;IF(L1391=FALSE,"「残業手当」","")&amp;IF(AND(L1391=FALSE,M1391=FALSE),",","")&amp;IF(M1391=FALSE,"「残業時間」","")&amp;IF(OR(J1391=FALSE,K1391=FALSE,L1391=FALSE,M1391=FALSE),入力リスト!$K$36,"")&amp;IF(N1391,"",入力リスト!$K$37)))</f>
        <v/>
      </c>
      <c r="H1391" s="215"/>
      <c r="I1391" s="1" t="b">
        <f>IF(B1391="",FALSE,COUNTIF('従業員情報(給与以外)'!$A$4:$A$1000000,$B1391)=0)</f>
        <v>0</v>
      </c>
      <c r="J1391" s="8" t="b">
        <f t="shared" si="105"/>
        <v>1</v>
      </c>
      <c r="K1391" s="8" t="b">
        <f t="shared" si="106"/>
        <v>1</v>
      </c>
      <c r="L1391" s="8" t="b">
        <f t="shared" si="107"/>
        <v>1</v>
      </c>
      <c r="M1391" s="8" t="b">
        <f t="shared" si="108"/>
        <v>1</v>
      </c>
      <c r="N1391" s="1" t="b">
        <f t="shared" si="109"/>
        <v>1</v>
      </c>
      <c r="O1391" s="8" t="str">
        <f>IF(F1391="","",IF($F$2=入力リスト!$H$25,ROUNDDOWN(INT(F1391)+ROUNDDOWN((F1391-INT(F1391))*100,0)/60,2),F1391))</f>
        <v/>
      </c>
      <c r="P1391" s="7"/>
      <c r="Q1391" s="7"/>
    </row>
    <row r="1392" spans="1:17">
      <c r="A1392" s="105"/>
      <c r="B1392" s="2"/>
      <c r="C1392" s="3"/>
      <c r="D1392" s="3"/>
      <c r="E1392" s="3"/>
      <c r="F1392" s="8"/>
      <c r="G1392" s="215" t="str">
        <f>IF(AND($B1392="",OR(B1392&lt;&gt;"",C1392&lt;&gt;"",D1392&lt;&gt;"",E1392&lt;&gt;"",F1392&lt;&gt;"")),入力リスト!$K$34,IF($I1392=TRUE,入力リスト!$K$35,IF(J1392=FALSE,"「毎月の固定給与額」","")&amp;IF(AND(J1392=FALSE,OR(K1392=FALSE,L1392=FALSE,M1392=FALSE)),",","")&amp;IF(K1392=FALSE,"「賞与額等」","")&amp;IF(AND(K1392=FALSE,OR(L1392=FALSE,M1392=FALSE)),",","")&amp;IF(L1392=FALSE,"「残業手当」","")&amp;IF(AND(L1392=FALSE,M1392=FALSE),",","")&amp;IF(M1392=FALSE,"「残業時間」","")&amp;IF(OR(J1392=FALSE,K1392=FALSE,L1392=FALSE,M1392=FALSE),入力リスト!$K$36,"")&amp;IF(N1392,"",入力リスト!$K$37)))</f>
        <v/>
      </c>
      <c r="H1392" s="215"/>
      <c r="I1392" s="1" t="b">
        <f>IF(B1392="",FALSE,COUNTIF('従業員情報(給与以外)'!$A$4:$A$1000000,$B1392)=0)</f>
        <v>0</v>
      </c>
      <c r="J1392" s="8" t="b">
        <f t="shared" si="105"/>
        <v>1</v>
      </c>
      <c r="K1392" s="8" t="b">
        <f t="shared" si="106"/>
        <v>1</v>
      </c>
      <c r="L1392" s="8" t="b">
        <f t="shared" si="107"/>
        <v>1</v>
      </c>
      <c r="M1392" s="8" t="b">
        <f t="shared" si="108"/>
        <v>1</v>
      </c>
      <c r="N1392" s="1" t="b">
        <f t="shared" si="109"/>
        <v>1</v>
      </c>
      <c r="O1392" s="8" t="str">
        <f>IF(F1392="","",IF($F$2=入力リスト!$H$25,ROUNDDOWN(INT(F1392)+ROUNDDOWN((F1392-INT(F1392))*100,0)/60,2),F1392))</f>
        <v/>
      </c>
      <c r="P1392" s="7"/>
      <c r="Q1392" s="7"/>
    </row>
    <row r="1393" spans="1:17">
      <c r="A1393" s="105"/>
      <c r="B1393" s="2"/>
      <c r="C1393" s="3"/>
      <c r="D1393" s="3"/>
      <c r="E1393" s="3"/>
      <c r="F1393" s="8"/>
      <c r="G1393" s="215" t="str">
        <f>IF(AND($B1393="",OR(B1393&lt;&gt;"",C1393&lt;&gt;"",D1393&lt;&gt;"",E1393&lt;&gt;"",F1393&lt;&gt;"")),入力リスト!$K$34,IF($I1393=TRUE,入力リスト!$K$35,IF(J1393=FALSE,"「毎月の固定給与額」","")&amp;IF(AND(J1393=FALSE,OR(K1393=FALSE,L1393=FALSE,M1393=FALSE)),",","")&amp;IF(K1393=FALSE,"「賞与額等」","")&amp;IF(AND(K1393=FALSE,OR(L1393=FALSE,M1393=FALSE)),",","")&amp;IF(L1393=FALSE,"「残業手当」","")&amp;IF(AND(L1393=FALSE,M1393=FALSE),",","")&amp;IF(M1393=FALSE,"「残業時間」","")&amp;IF(OR(J1393=FALSE,K1393=FALSE,L1393=FALSE,M1393=FALSE),入力リスト!$K$36,"")&amp;IF(N1393,"",入力リスト!$K$37)))</f>
        <v/>
      </c>
      <c r="H1393" s="215"/>
      <c r="I1393" s="1" t="b">
        <f>IF(B1393="",FALSE,COUNTIF('従業員情報(給与以外)'!$A$4:$A$1000000,$B1393)=0)</f>
        <v>0</v>
      </c>
      <c r="J1393" s="8" t="b">
        <f t="shared" si="105"/>
        <v>1</v>
      </c>
      <c r="K1393" s="8" t="b">
        <f t="shared" si="106"/>
        <v>1</v>
      </c>
      <c r="L1393" s="8" t="b">
        <f t="shared" si="107"/>
        <v>1</v>
      </c>
      <c r="M1393" s="8" t="b">
        <f t="shared" si="108"/>
        <v>1</v>
      </c>
      <c r="N1393" s="1" t="b">
        <f t="shared" si="109"/>
        <v>1</v>
      </c>
      <c r="O1393" s="8" t="str">
        <f>IF(F1393="","",IF($F$2=入力リスト!$H$25,ROUNDDOWN(INT(F1393)+ROUNDDOWN((F1393-INT(F1393))*100,0)/60,2),F1393))</f>
        <v/>
      </c>
      <c r="P1393" s="7"/>
      <c r="Q1393" s="7"/>
    </row>
    <row r="1394" spans="1:17">
      <c r="A1394" s="105"/>
      <c r="B1394" s="2"/>
      <c r="C1394" s="3"/>
      <c r="D1394" s="3"/>
      <c r="E1394" s="3"/>
      <c r="F1394" s="8"/>
      <c r="G1394" s="215" t="str">
        <f>IF(AND($B1394="",OR(B1394&lt;&gt;"",C1394&lt;&gt;"",D1394&lt;&gt;"",E1394&lt;&gt;"",F1394&lt;&gt;"")),入力リスト!$K$34,IF($I1394=TRUE,入力リスト!$K$35,IF(J1394=FALSE,"「毎月の固定給与額」","")&amp;IF(AND(J1394=FALSE,OR(K1394=FALSE,L1394=FALSE,M1394=FALSE)),",","")&amp;IF(K1394=FALSE,"「賞与額等」","")&amp;IF(AND(K1394=FALSE,OR(L1394=FALSE,M1394=FALSE)),",","")&amp;IF(L1394=FALSE,"「残業手当」","")&amp;IF(AND(L1394=FALSE,M1394=FALSE),",","")&amp;IF(M1394=FALSE,"「残業時間」","")&amp;IF(OR(J1394=FALSE,K1394=FALSE,L1394=FALSE,M1394=FALSE),入力リスト!$K$36,"")&amp;IF(N1394,"",入力リスト!$K$37)))</f>
        <v/>
      </c>
      <c r="H1394" s="215"/>
      <c r="I1394" s="1" t="b">
        <f>IF(B1394="",FALSE,COUNTIF('従業員情報(給与以外)'!$A$4:$A$1000000,$B1394)=0)</f>
        <v>0</v>
      </c>
      <c r="J1394" s="8" t="b">
        <f t="shared" si="105"/>
        <v>1</v>
      </c>
      <c r="K1394" s="8" t="b">
        <f t="shared" si="106"/>
        <v>1</v>
      </c>
      <c r="L1394" s="8" t="b">
        <f t="shared" si="107"/>
        <v>1</v>
      </c>
      <c r="M1394" s="8" t="b">
        <f t="shared" si="108"/>
        <v>1</v>
      </c>
      <c r="N1394" s="1" t="b">
        <f t="shared" si="109"/>
        <v>1</v>
      </c>
      <c r="O1394" s="8" t="str">
        <f>IF(F1394="","",IF($F$2=入力リスト!$H$25,ROUNDDOWN(INT(F1394)+ROUNDDOWN((F1394-INT(F1394))*100,0)/60,2),F1394))</f>
        <v/>
      </c>
      <c r="P1394" s="7"/>
      <c r="Q1394" s="7"/>
    </row>
    <row r="1395" spans="1:17">
      <c r="A1395" s="105"/>
      <c r="B1395" s="2"/>
      <c r="C1395" s="3"/>
      <c r="D1395" s="3"/>
      <c r="E1395" s="3"/>
      <c r="F1395" s="8"/>
      <c r="G1395" s="215" t="str">
        <f>IF(AND($B1395="",OR(B1395&lt;&gt;"",C1395&lt;&gt;"",D1395&lt;&gt;"",E1395&lt;&gt;"",F1395&lt;&gt;"")),入力リスト!$K$34,IF($I1395=TRUE,入力リスト!$K$35,IF(J1395=FALSE,"「毎月の固定給与額」","")&amp;IF(AND(J1395=FALSE,OR(K1395=FALSE,L1395=FALSE,M1395=FALSE)),",","")&amp;IF(K1395=FALSE,"「賞与額等」","")&amp;IF(AND(K1395=FALSE,OR(L1395=FALSE,M1395=FALSE)),",","")&amp;IF(L1395=FALSE,"「残業手当」","")&amp;IF(AND(L1395=FALSE,M1395=FALSE),",","")&amp;IF(M1395=FALSE,"「残業時間」","")&amp;IF(OR(J1395=FALSE,K1395=FALSE,L1395=FALSE,M1395=FALSE),入力リスト!$K$36,"")&amp;IF(N1395,"",入力リスト!$K$37)))</f>
        <v/>
      </c>
      <c r="H1395" s="215"/>
      <c r="I1395" s="1" t="b">
        <f>IF(B1395="",FALSE,COUNTIF('従業員情報(給与以外)'!$A$4:$A$1000000,$B1395)=0)</f>
        <v>0</v>
      </c>
      <c r="J1395" s="8" t="b">
        <f t="shared" si="105"/>
        <v>1</v>
      </c>
      <c r="K1395" s="8" t="b">
        <f t="shared" si="106"/>
        <v>1</v>
      </c>
      <c r="L1395" s="8" t="b">
        <f t="shared" si="107"/>
        <v>1</v>
      </c>
      <c r="M1395" s="8" t="b">
        <f t="shared" si="108"/>
        <v>1</v>
      </c>
      <c r="N1395" s="1" t="b">
        <f t="shared" si="109"/>
        <v>1</v>
      </c>
      <c r="O1395" s="8" t="str">
        <f>IF(F1395="","",IF($F$2=入力リスト!$H$25,ROUNDDOWN(INT(F1395)+ROUNDDOWN((F1395-INT(F1395))*100,0)/60,2),F1395))</f>
        <v/>
      </c>
      <c r="P1395" s="7"/>
      <c r="Q1395" s="7"/>
    </row>
    <row r="1396" spans="1:17">
      <c r="A1396" s="105"/>
      <c r="B1396" s="2"/>
      <c r="C1396" s="3"/>
      <c r="D1396" s="3"/>
      <c r="E1396" s="3"/>
      <c r="F1396" s="8"/>
      <c r="G1396" s="215" t="str">
        <f>IF(AND($B1396="",OR(B1396&lt;&gt;"",C1396&lt;&gt;"",D1396&lt;&gt;"",E1396&lt;&gt;"",F1396&lt;&gt;"")),入力リスト!$K$34,IF($I1396=TRUE,入力リスト!$K$35,IF(J1396=FALSE,"「毎月の固定給与額」","")&amp;IF(AND(J1396=FALSE,OR(K1396=FALSE,L1396=FALSE,M1396=FALSE)),",","")&amp;IF(K1396=FALSE,"「賞与額等」","")&amp;IF(AND(K1396=FALSE,OR(L1396=FALSE,M1396=FALSE)),",","")&amp;IF(L1396=FALSE,"「残業手当」","")&amp;IF(AND(L1396=FALSE,M1396=FALSE),",","")&amp;IF(M1396=FALSE,"「残業時間」","")&amp;IF(OR(J1396=FALSE,K1396=FALSE,L1396=FALSE,M1396=FALSE),入力リスト!$K$36,"")&amp;IF(N1396,"",入力リスト!$K$37)))</f>
        <v/>
      </c>
      <c r="H1396" s="215"/>
      <c r="I1396" s="1" t="b">
        <f>IF(B1396="",FALSE,COUNTIF('従業員情報(給与以外)'!$A$4:$A$1000000,$B1396)=0)</f>
        <v>0</v>
      </c>
      <c r="J1396" s="8" t="b">
        <f t="shared" si="105"/>
        <v>1</v>
      </c>
      <c r="K1396" s="8" t="b">
        <f t="shared" si="106"/>
        <v>1</v>
      </c>
      <c r="L1396" s="8" t="b">
        <f t="shared" si="107"/>
        <v>1</v>
      </c>
      <c r="M1396" s="8" t="b">
        <f t="shared" si="108"/>
        <v>1</v>
      </c>
      <c r="N1396" s="1" t="b">
        <f t="shared" si="109"/>
        <v>1</v>
      </c>
      <c r="O1396" s="8" t="str">
        <f>IF(F1396="","",IF($F$2=入力リスト!$H$25,ROUNDDOWN(INT(F1396)+ROUNDDOWN((F1396-INT(F1396))*100,0)/60,2),F1396))</f>
        <v/>
      </c>
      <c r="P1396" s="7"/>
      <c r="Q1396" s="7"/>
    </row>
    <row r="1397" spans="1:17">
      <c r="A1397" s="105"/>
      <c r="B1397" s="2"/>
      <c r="C1397" s="3"/>
      <c r="D1397" s="3"/>
      <c r="E1397" s="3"/>
      <c r="F1397" s="8"/>
      <c r="G1397" s="215" t="str">
        <f>IF(AND($B1397="",OR(B1397&lt;&gt;"",C1397&lt;&gt;"",D1397&lt;&gt;"",E1397&lt;&gt;"",F1397&lt;&gt;"")),入力リスト!$K$34,IF($I1397=TRUE,入力リスト!$K$35,IF(J1397=FALSE,"「毎月の固定給与額」","")&amp;IF(AND(J1397=FALSE,OR(K1397=FALSE,L1397=FALSE,M1397=FALSE)),",","")&amp;IF(K1397=FALSE,"「賞与額等」","")&amp;IF(AND(K1397=FALSE,OR(L1397=FALSE,M1397=FALSE)),",","")&amp;IF(L1397=FALSE,"「残業手当」","")&amp;IF(AND(L1397=FALSE,M1397=FALSE),",","")&amp;IF(M1397=FALSE,"「残業時間」","")&amp;IF(OR(J1397=FALSE,K1397=FALSE,L1397=FALSE,M1397=FALSE),入力リスト!$K$36,"")&amp;IF(N1397,"",入力リスト!$K$37)))</f>
        <v/>
      </c>
      <c r="H1397" s="215"/>
      <c r="I1397" s="1" t="b">
        <f>IF(B1397="",FALSE,COUNTIF('従業員情報(給与以外)'!$A$4:$A$1000000,$B1397)=0)</f>
        <v>0</v>
      </c>
      <c r="J1397" s="8" t="b">
        <f t="shared" si="105"/>
        <v>1</v>
      </c>
      <c r="K1397" s="8" t="b">
        <f t="shared" si="106"/>
        <v>1</v>
      </c>
      <c r="L1397" s="8" t="b">
        <f t="shared" si="107"/>
        <v>1</v>
      </c>
      <c r="M1397" s="8" t="b">
        <f t="shared" si="108"/>
        <v>1</v>
      </c>
      <c r="N1397" s="1" t="b">
        <f t="shared" si="109"/>
        <v>1</v>
      </c>
      <c r="O1397" s="8" t="str">
        <f>IF(F1397="","",IF($F$2=入力リスト!$H$25,ROUNDDOWN(INT(F1397)+ROUNDDOWN((F1397-INT(F1397))*100,0)/60,2),F1397))</f>
        <v/>
      </c>
      <c r="P1397" s="7"/>
      <c r="Q1397" s="7"/>
    </row>
    <row r="1398" spans="1:17">
      <c r="A1398" s="105"/>
      <c r="B1398" s="2"/>
      <c r="C1398" s="3"/>
      <c r="D1398" s="3"/>
      <c r="E1398" s="3"/>
      <c r="F1398" s="8"/>
      <c r="G1398" s="215" t="str">
        <f>IF(AND($B1398="",OR(B1398&lt;&gt;"",C1398&lt;&gt;"",D1398&lt;&gt;"",E1398&lt;&gt;"",F1398&lt;&gt;"")),入力リスト!$K$34,IF($I1398=TRUE,入力リスト!$K$35,IF(J1398=FALSE,"「毎月の固定給与額」","")&amp;IF(AND(J1398=FALSE,OR(K1398=FALSE,L1398=FALSE,M1398=FALSE)),",","")&amp;IF(K1398=FALSE,"「賞与額等」","")&amp;IF(AND(K1398=FALSE,OR(L1398=FALSE,M1398=FALSE)),",","")&amp;IF(L1398=FALSE,"「残業手当」","")&amp;IF(AND(L1398=FALSE,M1398=FALSE),",","")&amp;IF(M1398=FALSE,"「残業時間」","")&amp;IF(OR(J1398=FALSE,K1398=FALSE,L1398=FALSE,M1398=FALSE),入力リスト!$K$36,"")&amp;IF(N1398,"",入力リスト!$K$37)))</f>
        <v/>
      </c>
      <c r="H1398" s="215"/>
      <c r="I1398" s="1" t="b">
        <f>IF(B1398="",FALSE,COUNTIF('従業員情報(給与以外)'!$A$4:$A$1000000,$B1398)=0)</f>
        <v>0</v>
      </c>
      <c r="J1398" s="8" t="b">
        <f t="shared" si="105"/>
        <v>1</v>
      </c>
      <c r="K1398" s="8" t="b">
        <f t="shared" si="106"/>
        <v>1</v>
      </c>
      <c r="L1398" s="8" t="b">
        <f t="shared" si="107"/>
        <v>1</v>
      </c>
      <c r="M1398" s="8" t="b">
        <f t="shared" si="108"/>
        <v>1</v>
      </c>
      <c r="N1398" s="1" t="b">
        <f t="shared" si="109"/>
        <v>1</v>
      </c>
      <c r="O1398" s="8" t="str">
        <f>IF(F1398="","",IF($F$2=入力リスト!$H$25,ROUNDDOWN(INT(F1398)+ROUNDDOWN((F1398-INT(F1398))*100,0)/60,2),F1398))</f>
        <v/>
      </c>
      <c r="P1398" s="7"/>
      <c r="Q1398" s="7"/>
    </row>
    <row r="1399" spans="1:17">
      <c r="A1399" s="105"/>
      <c r="B1399" s="2"/>
      <c r="C1399" s="3"/>
      <c r="D1399" s="3"/>
      <c r="E1399" s="3"/>
      <c r="F1399" s="8"/>
      <c r="G1399" s="215" t="str">
        <f>IF(AND($B1399="",OR(B1399&lt;&gt;"",C1399&lt;&gt;"",D1399&lt;&gt;"",E1399&lt;&gt;"",F1399&lt;&gt;"")),入力リスト!$K$34,IF($I1399=TRUE,入力リスト!$K$35,IF(J1399=FALSE,"「毎月の固定給与額」","")&amp;IF(AND(J1399=FALSE,OR(K1399=FALSE,L1399=FALSE,M1399=FALSE)),",","")&amp;IF(K1399=FALSE,"「賞与額等」","")&amp;IF(AND(K1399=FALSE,OR(L1399=FALSE,M1399=FALSE)),",","")&amp;IF(L1399=FALSE,"「残業手当」","")&amp;IF(AND(L1399=FALSE,M1399=FALSE),",","")&amp;IF(M1399=FALSE,"「残業時間」","")&amp;IF(OR(J1399=FALSE,K1399=FALSE,L1399=FALSE,M1399=FALSE),入力リスト!$K$36,"")&amp;IF(N1399,"",入力リスト!$K$37)))</f>
        <v/>
      </c>
      <c r="H1399" s="215"/>
      <c r="I1399" s="1" t="b">
        <f>IF(B1399="",FALSE,COUNTIF('従業員情報(給与以外)'!$A$4:$A$1000000,$B1399)=0)</f>
        <v>0</v>
      </c>
      <c r="J1399" s="8" t="b">
        <f t="shared" si="105"/>
        <v>1</v>
      </c>
      <c r="K1399" s="8" t="b">
        <f t="shared" si="106"/>
        <v>1</v>
      </c>
      <c r="L1399" s="8" t="b">
        <f t="shared" si="107"/>
        <v>1</v>
      </c>
      <c r="M1399" s="8" t="b">
        <f t="shared" si="108"/>
        <v>1</v>
      </c>
      <c r="N1399" s="1" t="b">
        <f t="shared" si="109"/>
        <v>1</v>
      </c>
      <c r="O1399" s="8" t="str">
        <f>IF(F1399="","",IF($F$2=入力リスト!$H$25,ROUNDDOWN(INT(F1399)+ROUNDDOWN((F1399-INT(F1399))*100,0)/60,2),F1399))</f>
        <v/>
      </c>
      <c r="P1399" s="7"/>
      <c r="Q1399" s="7"/>
    </row>
    <row r="1400" spans="1:17">
      <c r="A1400" s="105"/>
      <c r="B1400" s="2"/>
      <c r="C1400" s="3"/>
      <c r="D1400" s="3"/>
      <c r="E1400" s="3"/>
      <c r="F1400" s="8"/>
      <c r="G1400" s="215" t="str">
        <f>IF(AND($B1400="",OR(B1400&lt;&gt;"",C1400&lt;&gt;"",D1400&lt;&gt;"",E1400&lt;&gt;"",F1400&lt;&gt;"")),入力リスト!$K$34,IF($I1400=TRUE,入力リスト!$K$35,IF(J1400=FALSE,"「毎月の固定給与額」","")&amp;IF(AND(J1400=FALSE,OR(K1400=FALSE,L1400=FALSE,M1400=FALSE)),",","")&amp;IF(K1400=FALSE,"「賞与額等」","")&amp;IF(AND(K1400=FALSE,OR(L1400=FALSE,M1400=FALSE)),",","")&amp;IF(L1400=FALSE,"「残業手当」","")&amp;IF(AND(L1400=FALSE,M1400=FALSE),",","")&amp;IF(M1400=FALSE,"「残業時間」","")&amp;IF(OR(J1400=FALSE,K1400=FALSE,L1400=FALSE,M1400=FALSE),入力リスト!$K$36,"")&amp;IF(N1400,"",入力リスト!$K$37)))</f>
        <v/>
      </c>
      <c r="H1400" s="215"/>
      <c r="I1400" s="1" t="b">
        <f>IF(B1400="",FALSE,COUNTIF('従業員情報(給与以外)'!$A$4:$A$1000000,$B1400)=0)</f>
        <v>0</v>
      </c>
      <c r="J1400" s="8" t="b">
        <f t="shared" si="105"/>
        <v>1</v>
      </c>
      <c r="K1400" s="8" t="b">
        <f t="shared" si="106"/>
        <v>1</v>
      </c>
      <c r="L1400" s="8" t="b">
        <f t="shared" si="107"/>
        <v>1</v>
      </c>
      <c r="M1400" s="8" t="b">
        <f t="shared" si="108"/>
        <v>1</v>
      </c>
      <c r="N1400" s="1" t="b">
        <f t="shared" si="109"/>
        <v>1</v>
      </c>
      <c r="O1400" s="8" t="str">
        <f>IF(F1400="","",IF($F$2=入力リスト!$H$25,ROUNDDOWN(INT(F1400)+ROUNDDOWN((F1400-INT(F1400))*100,0)/60,2),F1400))</f>
        <v/>
      </c>
      <c r="P1400" s="7"/>
      <c r="Q1400" s="7"/>
    </row>
    <row r="1401" spans="1:17">
      <c r="A1401" s="105"/>
      <c r="B1401" s="2"/>
      <c r="C1401" s="3"/>
      <c r="D1401" s="3"/>
      <c r="E1401" s="3"/>
      <c r="F1401" s="8"/>
      <c r="G1401" s="215" t="str">
        <f>IF(AND($B1401="",OR(B1401&lt;&gt;"",C1401&lt;&gt;"",D1401&lt;&gt;"",E1401&lt;&gt;"",F1401&lt;&gt;"")),入力リスト!$K$34,IF($I1401=TRUE,入力リスト!$K$35,IF(J1401=FALSE,"「毎月の固定給与額」","")&amp;IF(AND(J1401=FALSE,OR(K1401=FALSE,L1401=FALSE,M1401=FALSE)),",","")&amp;IF(K1401=FALSE,"「賞与額等」","")&amp;IF(AND(K1401=FALSE,OR(L1401=FALSE,M1401=FALSE)),",","")&amp;IF(L1401=FALSE,"「残業手当」","")&amp;IF(AND(L1401=FALSE,M1401=FALSE),",","")&amp;IF(M1401=FALSE,"「残業時間」","")&amp;IF(OR(J1401=FALSE,K1401=FALSE,L1401=FALSE,M1401=FALSE),入力リスト!$K$36,"")&amp;IF(N1401,"",入力リスト!$K$37)))</f>
        <v/>
      </c>
      <c r="H1401" s="215"/>
      <c r="I1401" s="1" t="b">
        <f>IF(B1401="",FALSE,COUNTIF('従業員情報(給与以外)'!$A$4:$A$1000000,$B1401)=0)</f>
        <v>0</v>
      </c>
      <c r="J1401" s="8" t="b">
        <f t="shared" si="105"/>
        <v>1</v>
      </c>
      <c r="K1401" s="8" t="b">
        <f t="shared" si="106"/>
        <v>1</v>
      </c>
      <c r="L1401" s="8" t="b">
        <f t="shared" si="107"/>
        <v>1</v>
      </c>
      <c r="M1401" s="8" t="b">
        <f t="shared" si="108"/>
        <v>1</v>
      </c>
      <c r="N1401" s="1" t="b">
        <f t="shared" si="109"/>
        <v>1</v>
      </c>
      <c r="O1401" s="8" t="str">
        <f>IF(F1401="","",IF($F$2=入力リスト!$H$25,ROUNDDOWN(INT(F1401)+ROUNDDOWN((F1401-INT(F1401))*100,0)/60,2),F1401))</f>
        <v/>
      </c>
      <c r="P1401" s="7"/>
      <c r="Q1401" s="7"/>
    </row>
    <row r="1402" spans="1:17">
      <c r="A1402" s="105"/>
      <c r="B1402" s="2"/>
      <c r="C1402" s="3"/>
      <c r="D1402" s="3"/>
      <c r="E1402" s="3"/>
      <c r="F1402" s="8"/>
      <c r="G1402" s="215" t="str">
        <f>IF(AND($B1402="",OR(B1402&lt;&gt;"",C1402&lt;&gt;"",D1402&lt;&gt;"",E1402&lt;&gt;"",F1402&lt;&gt;"")),入力リスト!$K$34,IF($I1402=TRUE,入力リスト!$K$35,IF(J1402=FALSE,"「毎月の固定給与額」","")&amp;IF(AND(J1402=FALSE,OR(K1402=FALSE,L1402=FALSE,M1402=FALSE)),",","")&amp;IF(K1402=FALSE,"「賞与額等」","")&amp;IF(AND(K1402=FALSE,OR(L1402=FALSE,M1402=FALSE)),",","")&amp;IF(L1402=FALSE,"「残業手当」","")&amp;IF(AND(L1402=FALSE,M1402=FALSE),",","")&amp;IF(M1402=FALSE,"「残業時間」","")&amp;IF(OR(J1402=FALSE,K1402=FALSE,L1402=FALSE,M1402=FALSE),入力リスト!$K$36,"")&amp;IF(N1402,"",入力リスト!$K$37)))</f>
        <v/>
      </c>
      <c r="H1402" s="215"/>
      <c r="I1402" s="1" t="b">
        <f>IF(B1402="",FALSE,COUNTIF('従業員情報(給与以外)'!$A$4:$A$1000000,$B1402)=0)</f>
        <v>0</v>
      </c>
      <c r="J1402" s="8" t="b">
        <f t="shared" si="105"/>
        <v>1</v>
      </c>
      <c r="K1402" s="8" t="b">
        <f t="shared" si="106"/>
        <v>1</v>
      </c>
      <c r="L1402" s="8" t="b">
        <f t="shared" si="107"/>
        <v>1</v>
      </c>
      <c r="M1402" s="8" t="b">
        <f t="shared" si="108"/>
        <v>1</v>
      </c>
      <c r="N1402" s="1" t="b">
        <f t="shared" si="109"/>
        <v>1</v>
      </c>
      <c r="O1402" s="8" t="str">
        <f>IF(F1402="","",IF($F$2=入力リスト!$H$25,ROUNDDOWN(INT(F1402)+ROUNDDOWN((F1402-INT(F1402))*100,0)/60,2),F1402))</f>
        <v/>
      </c>
      <c r="P1402" s="7"/>
      <c r="Q1402" s="7"/>
    </row>
    <row r="1403" spans="1:17">
      <c r="A1403" s="105"/>
      <c r="B1403" s="2"/>
      <c r="C1403" s="3"/>
      <c r="D1403" s="3"/>
      <c r="E1403" s="3"/>
      <c r="F1403" s="8"/>
      <c r="G1403" s="215" t="str">
        <f>IF(AND($B1403="",OR(B1403&lt;&gt;"",C1403&lt;&gt;"",D1403&lt;&gt;"",E1403&lt;&gt;"",F1403&lt;&gt;"")),入力リスト!$K$34,IF($I1403=TRUE,入力リスト!$K$35,IF(J1403=FALSE,"「毎月の固定給与額」","")&amp;IF(AND(J1403=FALSE,OR(K1403=FALSE,L1403=FALSE,M1403=FALSE)),",","")&amp;IF(K1403=FALSE,"「賞与額等」","")&amp;IF(AND(K1403=FALSE,OR(L1403=FALSE,M1403=FALSE)),",","")&amp;IF(L1403=FALSE,"「残業手当」","")&amp;IF(AND(L1403=FALSE,M1403=FALSE),",","")&amp;IF(M1403=FALSE,"「残業時間」","")&amp;IF(OR(J1403=FALSE,K1403=FALSE,L1403=FALSE,M1403=FALSE),入力リスト!$K$36,"")&amp;IF(N1403,"",入力リスト!$K$37)))</f>
        <v/>
      </c>
      <c r="H1403" s="215"/>
      <c r="I1403" s="1" t="b">
        <f>IF(B1403="",FALSE,COUNTIF('従業員情報(給与以外)'!$A$4:$A$1000000,$B1403)=0)</f>
        <v>0</v>
      </c>
      <c r="J1403" s="8" t="b">
        <f t="shared" si="105"/>
        <v>1</v>
      </c>
      <c r="K1403" s="8" t="b">
        <f t="shared" si="106"/>
        <v>1</v>
      </c>
      <c r="L1403" s="8" t="b">
        <f t="shared" si="107"/>
        <v>1</v>
      </c>
      <c r="M1403" s="8" t="b">
        <f t="shared" si="108"/>
        <v>1</v>
      </c>
      <c r="N1403" s="1" t="b">
        <f t="shared" si="109"/>
        <v>1</v>
      </c>
      <c r="O1403" s="8" t="str">
        <f>IF(F1403="","",IF($F$2=入力リスト!$H$25,ROUNDDOWN(INT(F1403)+ROUNDDOWN((F1403-INT(F1403))*100,0)/60,2),F1403))</f>
        <v/>
      </c>
      <c r="P1403" s="7"/>
      <c r="Q1403" s="7"/>
    </row>
    <row r="1404" spans="1:17">
      <c r="A1404" s="105"/>
      <c r="B1404" s="2"/>
      <c r="C1404" s="3"/>
      <c r="D1404" s="3"/>
      <c r="E1404" s="3"/>
      <c r="F1404" s="8"/>
      <c r="G1404" s="215" t="str">
        <f>IF(AND($B1404="",OR(B1404&lt;&gt;"",C1404&lt;&gt;"",D1404&lt;&gt;"",E1404&lt;&gt;"",F1404&lt;&gt;"")),入力リスト!$K$34,IF($I1404=TRUE,入力リスト!$K$35,IF(J1404=FALSE,"「毎月の固定給与額」","")&amp;IF(AND(J1404=FALSE,OR(K1404=FALSE,L1404=FALSE,M1404=FALSE)),",","")&amp;IF(K1404=FALSE,"「賞与額等」","")&amp;IF(AND(K1404=FALSE,OR(L1404=FALSE,M1404=FALSE)),",","")&amp;IF(L1404=FALSE,"「残業手当」","")&amp;IF(AND(L1404=FALSE,M1404=FALSE),",","")&amp;IF(M1404=FALSE,"「残業時間」","")&amp;IF(OR(J1404=FALSE,K1404=FALSE,L1404=FALSE,M1404=FALSE),入力リスト!$K$36,"")&amp;IF(N1404,"",入力リスト!$K$37)))</f>
        <v/>
      </c>
      <c r="H1404" s="215"/>
      <c r="I1404" s="1" t="b">
        <f>IF(B1404="",FALSE,COUNTIF('従業員情報(給与以外)'!$A$4:$A$1000000,$B1404)=0)</f>
        <v>0</v>
      </c>
      <c r="J1404" s="8" t="b">
        <f t="shared" si="105"/>
        <v>1</v>
      </c>
      <c r="K1404" s="8" t="b">
        <f t="shared" si="106"/>
        <v>1</v>
      </c>
      <c r="L1404" s="8" t="b">
        <f t="shared" si="107"/>
        <v>1</v>
      </c>
      <c r="M1404" s="8" t="b">
        <f t="shared" si="108"/>
        <v>1</v>
      </c>
      <c r="N1404" s="1" t="b">
        <f t="shared" si="109"/>
        <v>1</v>
      </c>
      <c r="O1404" s="8" t="str">
        <f>IF(F1404="","",IF($F$2=入力リスト!$H$25,ROUNDDOWN(INT(F1404)+ROUNDDOWN((F1404-INT(F1404))*100,0)/60,2),F1404))</f>
        <v/>
      </c>
      <c r="P1404" s="7"/>
      <c r="Q1404" s="7"/>
    </row>
    <row r="1405" spans="1:17">
      <c r="A1405" s="105"/>
      <c r="B1405" s="2"/>
      <c r="C1405" s="3"/>
      <c r="D1405" s="3"/>
      <c r="E1405" s="3"/>
      <c r="F1405" s="8"/>
      <c r="G1405" s="215" t="str">
        <f>IF(AND($B1405="",OR(B1405&lt;&gt;"",C1405&lt;&gt;"",D1405&lt;&gt;"",E1405&lt;&gt;"",F1405&lt;&gt;"")),入力リスト!$K$34,IF($I1405=TRUE,入力リスト!$K$35,IF(J1405=FALSE,"「毎月の固定給与額」","")&amp;IF(AND(J1405=FALSE,OR(K1405=FALSE,L1405=FALSE,M1405=FALSE)),",","")&amp;IF(K1405=FALSE,"「賞与額等」","")&amp;IF(AND(K1405=FALSE,OR(L1405=FALSE,M1405=FALSE)),",","")&amp;IF(L1405=FALSE,"「残業手当」","")&amp;IF(AND(L1405=FALSE,M1405=FALSE),",","")&amp;IF(M1405=FALSE,"「残業時間」","")&amp;IF(OR(J1405=FALSE,K1405=FALSE,L1405=FALSE,M1405=FALSE),入力リスト!$K$36,"")&amp;IF(N1405,"",入力リスト!$K$37)))</f>
        <v/>
      </c>
      <c r="H1405" s="215"/>
      <c r="I1405" s="1" t="b">
        <f>IF(B1405="",FALSE,COUNTIF('従業員情報(給与以外)'!$A$4:$A$1000000,$B1405)=0)</f>
        <v>0</v>
      </c>
      <c r="J1405" s="8" t="b">
        <f t="shared" si="105"/>
        <v>1</v>
      </c>
      <c r="K1405" s="8" t="b">
        <f t="shared" si="106"/>
        <v>1</v>
      </c>
      <c r="L1405" s="8" t="b">
        <f t="shared" si="107"/>
        <v>1</v>
      </c>
      <c r="M1405" s="8" t="b">
        <f t="shared" si="108"/>
        <v>1</v>
      </c>
      <c r="N1405" s="1" t="b">
        <f t="shared" si="109"/>
        <v>1</v>
      </c>
      <c r="O1405" s="8" t="str">
        <f>IF(F1405="","",IF($F$2=入力リスト!$H$25,ROUNDDOWN(INT(F1405)+ROUNDDOWN((F1405-INT(F1405))*100,0)/60,2),F1405))</f>
        <v/>
      </c>
      <c r="P1405" s="7"/>
      <c r="Q1405" s="7"/>
    </row>
    <row r="1406" spans="1:17">
      <c r="A1406" s="105"/>
      <c r="B1406" s="2"/>
      <c r="C1406" s="3"/>
      <c r="D1406" s="3"/>
      <c r="E1406" s="3"/>
      <c r="F1406" s="8"/>
      <c r="G1406" s="215" t="str">
        <f>IF(AND($B1406="",OR(B1406&lt;&gt;"",C1406&lt;&gt;"",D1406&lt;&gt;"",E1406&lt;&gt;"",F1406&lt;&gt;"")),入力リスト!$K$34,IF($I1406=TRUE,入力リスト!$K$35,IF(J1406=FALSE,"「毎月の固定給与額」","")&amp;IF(AND(J1406=FALSE,OR(K1406=FALSE,L1406=FALSE,M1406=FALSE)),",","")&amp;IF(K1406=FALSE,"「賞与額等」","")&amp;IF(AND(K1406=FALSE,OR(L1406=FALSE,M1406=FALSE)),",","")&amp;IF(L1406=FALSE,"「残業手当」","")&amp;IF(AND(L1406=FALSE,M1406=FALSE),",","")&amp;IF(M1406=FALSE,"「残業時間」","")&amp;IF(OR(J1406=FALSE,K1406=FALSE,L1406=FALSE,M1406=FALSE),入力リスト!$K$36,"")&amp;IF(N1406,"",入力リスト!$K$37)))</f>
        <v/>
      </c>
      <c r="H1406" s="215"/>
      <c r="I1406" s="1" t="b">
        <f>IF(B1406="",FALSE,COUNTIF('従業員情報(給与以外)'!$A$4:$A$1000000,$B1406)=0)</f>
        <v>0</v>
      </c>
      <c r="J1406" s="8" t="b">
        <f t="shared" si="105"/>
        <v>1</v>
      </c>
      <c r="K1406" s="8" t="b">
        <f t="shared" si="106"/>
        <v>1</v>
      </c>
      <c r="L1406" s="8" t="b">
        <f t="shared" si="107"/>
        <v>1</v>
      </c>
      <c r="M1406" s="8" t="b">
        <f t="shared" si="108"/>
        <v>1</v>
      </c>
      <c r="N1406" s="1" t="b">
        <f t="shared" si="109"/>
        <v>1</v>
      </c>
      <c r="O1406" s="8" t="str">
        <f>IF(F1406="","",IF($F$2=入力リスト!$H$25,ROUNDDOWN(INT(F1406)+ROUNDDOWN((F1406-INT(F1406))*100,0)/60,2),F1406))</f>
        <v/>
      </c>
      <c r="P1406" s="7"/>
      <c r="Q1406" s="7"/>
    </row>
    <row r="1407" spans="1:17">
      <c r="A1407" s="105"/>
      <c r="B1407" s="2"/>
      <c r="C1407" s="3"/>
      <c r="D1407" s="3"/>
      <c r="E1407" s="3"/>
      <c r="F1407" s="8"/>
      <c r="G1407" s="215" t="str">
        <f>IF(AND($B1407="",OR(B1407&lt;&gt;"",C1407&lt;&gt;"",D1407&lt;&gt;"",E1407&lt;&gt;"",F1407&lt;&gt;"")),入力リスト!$K$34,IF($I1407=TRUE,入力リスト!$K$35,IF(J1407=FALSE,"「毎月の固定給与額」","")&amp;IF(AND(J1407=FALSE,OR(K1407=FALSE,L1407=FALSE,M1407=FALSE)),",","")&amp;IF(K1407=FALSE,"「賞与額等」","")&amp;IF(AND(K1407=FALSE,OR(L1407=FALSE,M1407=FALSE)),",","")&amp;IF(L1407=FALSE,"「残業手当」","")&amp;IF(AND(L1407=FALSE,M1407=FALSE),",","")&amp;IF(M1407=FALSE,"「残業時間」","")&amp;IF(OR(J1407=FALSE,K1407=FALSE,L1407=FALSE,M1407=FALSE),入力リスト!$K$36,"")&amp;IF(N1407,"",入力リスト!$K$37)))</f>
        <v/>
      </c>
      <c r="H1407" s="215"/>
      <c r="I1407" s="1" t="b">
        <f>IF(B1407="",FALSE,COUNTIF('従業員情報(給与以外)'!$A$4:$A$1000000,$B1407)=0)</f>
        <v>0</v>
      </c>
      <c r="J1407" s="8" t="b">
        <f t="shared" si="105"/>
        <v>1</v>
      </c>
      <c r="K1407" s="8" t="b">
        <f t="shared" si="106"/>
        <v>1</v>
      </c>
      <c r="L1407" s="8" t="b">
        <f t="shared" si="107"/>
        <v>1</v>
      </c>
      <c r="M1407" s="8" t="b">
        <f t="shared" si="108"/>
        <v>1</v>
      </c>
      <c r="N1407" s="1" t="b">
        <f t="shared" si="109"/>
        <v>1</v>
      </c>
      <c r="O1407" s="8" t="str">
        <f>IF(F1407="","",IF($F$2=入力リスト!$H$25,ROUNDDOWN(INT(F1407)+ROUNDDOWN((F1407-INT(F1407))*100,0)/60,2),F1407))</f>
        <v/>
      </c>
      <c r="P1407" s="7"/>
      <c r="Q1407" s="7"/>
    </row>
    <row r="1408" spans="1:17">
      <c r="A1408" s="105"/>
      <c r="B1408" s="2"/>
      <c r="C1408" s="3"/>
      <c r="D1408" s="3"/>
      <c r="E1408" s="3"/>
      <c r="F1408" s="8"/>
      <c r="G1408" s="215" t="str">
        <f>IF(AND($B1408="",OR(B1408&lt;&gt;"",C1408&lt;&gt;"",D1408&lt;&gt;"",E1408&lt;&gt;"",F1408&lt;&gt;"")),入力リスト!$K$34,IF($I1408=TRUE,入力リスト!$K$35,IF(J1408=FALSE,"「毎月の固定給与額」","")&amp;IF(AND(J1408=FALSE,OR(K1408=FALSE,L1408=FALSE,M1408=FALSE)),",","")&amp;IF(K1408=FALSE,"「賞与額等」","")&amp;IF(AND(K1408=FALSE,OR(L1408=FALSE,M1408=FALSE)),",","")&amp;IF(L1408=FALSE,"「残業手当」","")&amp;IF(AND(L1408=FALSE,M1408=FALSE),",","")&amp;IF(M1408=FALSE,"「残業時間」","")&amp;IF(OR(J1408=FALSE,K1408=FALSE,L1408=FALSE,M1408=FALSE),入力リスト!$K$36,"")&amp;IF(N1408,"",入力リスト!$K$37)))</f>
        <v/>
      </c>
      <c r="H1408" s="215"/>
      <c r="I1408" s="1" t="b">
        <f>IF(B1408="",FALSE,COUNTIF('従業員情報(給与以外)'!$A$4:$A$1000000,$B1408)=0)</f>
        <v>0</v>
      </c>
      <c r="J1408" s="8" t="b">
        <f t="shared" si="105"/>
        <v>1</v>
      </c>
      <c r="K1408" s="8" t="b">
        <f t="shared" si="106"/>
        <v>1</v>
      </c>
      <c r="L1408" s="8" t="b">
        <f t="shared" si="107"/>
        <v>1</v>
      </c>
      <c r="M1408" s="8" t="b">
        <f t="shared" si="108"/>
        <v>1</v>
      </c>
      <c r="N1408" s="1" t="b">
        <f t="shared" si="109"/>
        <v>1</v>
      </c>
      <c r="O1408" s="8" t="str">
        <f>IF(F1408="","",IF($F$2=入力リスト!$H$25,ROUNDDOWN(INT(F1408)+ROUNDDOWN((F1408-INT(F1408))*100,0)/60,2),F1408))</f>
        <v/>
      </c>
      <c r="P1408" s="7"/>
      <c r="Q1408" s="7"/>
    </row>
    <row r="1409" spans="1:17">
      <c r="A1409" s="105"/>
      <c r="B1409" s="2"/>
      <c r="C1409" s="3"/>
      <c r="D1409" s="3"/>
      <c r="E1409" s="3"/>
      <c r="F1409" s="8"/>
      <c r="G1409" s="215" t="str">
        <f>IF(AND($B1409="",OR(B1409&lt;&gt;"",C1409&lt;&gt;"",D1409&lt;&gt;"",E1409&lt;&gt;"",F1409&lt;&gt;"")),入力リスト!$K$34,IF($I1409=TRUE,入力リスト!$K$35,IF(J1409=FALSE,"「毎月の固定給与額」","")&amp;IF(AND(J1409=FALSE,OR(K1409=FALSE,L1409=FALSE,M1409=FALSE)),",","")&amp;IF(K1409=FALSE,"「賞与額等」","")&amp;IF(AND(K1409=FALSE,OR(L1409=FALSE,M1409=FALSE)),",","")&amp;IF(L1409=FALSE,"「残業手当」","")&amp;IF(AND(L1409=FALSE,M1409=FALSE),",","")&amp;IF(M1409=FALSE,"「残業時間」","")&amp;IF(OR(J1409=FALSE,K1409=FALSE,L1409=FALSE,M1409=FALSE),入力リスト!$K$36,"")&amp;IF(N1409,"",入力リスト!$K$37)))</f>
        <v/>
      </c>
      <c r="H1409" s="215"/>
      <c r="I1409" s="1" t="b">
        <f>IF(B1409="",FALSE,COUNTIF('従業員情報(給与以外)'!$A$4:$A$1000000,$B1409)=0)</f>
        <v>0</v>
      </c>
      <c r="J1409" s="8" t="b">
        <f t="shared" si="105"/>
        <v>1</v>
      </c>
      <c r="K1409" s="8" t="b">
        <f t="shared" si="106"/>
        <v>1</v>
      </c>
      <c r="L1409" s="8" t="b">
        <f t="shared" si="107"/>
        <v>1</v>
      </c>
      <c r="M1409" s="8" t="b">
        <f t="shared" si="108"/>
        <v>1</v>
      </c>
      <c r="N1409" s="1" t="b">
        <f t="shared" si="109"/>
        <v>1</v>
      </c>
      <c r="O1409" s="8" t="str">
        <f>IF(F1409="","",IF($F$2=入力リスト!$H$25,ROUNDDOWN(INT(F1409)+ROUNDDOWN((F1409-INT(F1409))*100,0)/60,2),F1409))</f>
        <v/>
      </c>
      <c r="P1409" s="7"/>
      <c r="Q1409" s="7"/>
    </row>
    <row r="1410" spans="1:17">
      <c r="A1410" s="105"/>
      <c r="B1410" s="2"/>
      <c r="C1410" s="3"/>
      <c r="D1410" s="3"/>
      <c r="E1410" s="3"/>
      <c r="F1410" s="8"/>
      <c r="G1410" s="215" t="str">
        <f>IF(AND($B1410="",OR(B1410&lt;&gt;"",C1410&lt;&gt;"",D1410&lt;&gt;"",E1410&lt;&gt;"",F1410&lt;&gt;"")),入力リスト!$K$34,IF($I1410=TRUE,入力リスト!$K$35,IF(J1410=FALSE,"「毎月の固定給与額」","")&amp;IF(AND(J1410=FALSE,OR(K1410=FALSE,L1410=FALSE,M1410=FALSE)),",","")&amp;IF(K1410=FALSE,"「賞与額等」","")&amp;IF(AND(K1410=FALSE,OR(L1410=FALSE,M1410=FALSE)),",","")&amp;IF(L1410=FALSE,"「残業手当」","")&amp;IF(AND(L1410=FALSE,M1410=FALSE),",","")&amp;IF(M1410=FALSE,"「残業時間」","")&amp;IF(OR(J1410=FALSE,K1410=FALSE,L1410=FALSE,M1410=FALSE),入力リスト!$K$36,"")&amp;IF(N1410,"",入力リスト!$K$37)))</f>
        <v/>
      </c>
      <c r="H1410" s="215"/>
      <c r="I1410" s="1" t="b">
        <f>IF(B1410="",FALSE,COUNTIF('従業員情報(給与以外)'!$A$4:$A$1000000,$B1410)=0)</f>
        <v>0</v>
      </c>
      <c r="J1410" s="8" t="b">
        <f t="shared" si="105"/>
        <v>1</v>
      </c>
      <c r="K1410" s="8" t="b">
        <f t="shared" si="106"/>
        <v>1</v>
      </c>
      <c r="L1410" s="8" t="b">
        <f t="shared" si="107"/>
        <v>1</v>
      </c>
      <c r="M1410" s="8" t="b">
        <f t="shared" si="108"/>
        <v>1</v>
      </c>
      <c r="N1410" s="1" t="b">
        <f t="shared" si="109"/>
        <v>1</v>
      </c>
      <c r="O1410" s="8" t="str">
        <f>IF(F1410="","",IF($F$2=入力リスト!$H$25,ROUNDDOWN(INT(F1410)+ROUNDDOWN((F1410-INT(F1410))*100,0)/60,2),F1410))</f>
        <v/>
      </c>
      <c r="P1410" s="7"/>
      <c r="Q1410" s="7"/>
    </row>
    <row r="1411" spans="1:17">
      <c r="A1411" s="105"/>
      <c r="B1411" s="2"/>
      <c r="C1411" s="3"/>
      <c r="D1411" s="3"/>
      <c r="E1411" s="3"/>
      <c r="F1411" s="8"/>
      <c r="G1411" s="215" t="str">
        <f>IF(AND($B1411="",OR(B1411&lt;&gt;"",C1411&lt;&gt;"",D1411&lt;&gt;"",E1411&lt;&gt;"",F1411&lt;&gt;"")),入力リスト!$K$34,IF($I1411=TRUE,入力リスト!$K$35,IF(J1411=FALSE,"「毎月の固定給与額」","")&amp;IF(AND(J1411=FALSE,OR(K1411=FALSE,L1411=FALSE,M1411=FALSE)),",","")&amp;IF(K1411=FALSE,"「賞与額等」","")&amp;IF(AND(K1411=FALSE,OR(L1411=FALSE,M1411=FALSE)),",","")&amp;IF(L1411=FALSE,"「残業手当」","")&amp;IF(AND(L1411=FALSE,M1411=FALSE),",","")&amp;IF(M1411=FALSE,"「残業時間」","")&amp;IF(OR(J1411=FALSE,K1411=FALSE,L1411=FALSE,M1411=FALSE),入力リスト!$K$36,"")&amp;IF(N1411,"",入力リスト!$K$37)))</f>
        <v/>
      </c>
      <c r="H1411" s="215"/>
      <c r="I1411" s="1" t="b">
        <f>IF(B1411="",FALSE,COUNTIF('従業員情報(給与以外)'!$A$4:$A$1000000,$B1411)=0)</f>
        <v>0</v>
      </c>
      <c r="J1411" s="8" t="b">
        <f t="shared" si="105"/>
        <v>1</v>
      </c>
      <c r="K1411" s="8" t="b">
        <f t="shared" si="106"/>
        <v>1</v>
      </c>
      <c r="L1411" s="8" t="b">
        <f t="shared" si="107"/>
        <v>1</v>
      </c>
      <c r="M1411" s="8" t="b">
        <f t="shared" si="108"/>
        <v>1</v>
      </c>
      <c r="N1411" s="1" t="b">
        <f t="shared" si="109"/>
        <v>1</v>
      </c>
      <c r="O1411" s="8" t="str">
        <f>IF(F1411="","",IF($F$2=入力リスト!$H$25,ROUNDDOWN(INT(F1411)+ROUNDDOWN((F1411-INT(F1411))*100,0)/60,2),F1411))</f>
        <v/>
      </c>
      <c r="P1411" s="7"/>
      <c r="Q1411" s="7"/>
    </row>
    <row r="1412" spans="1:17">
      <c r="A1412" s="105"/>
      <c r="B1412" s="2"/>
      <c r="C1412" s="3"/>
      <c r="D1412" s="3"/>
      <c r="E1412" s="3"/>
      <c r="F1412" s="8"/>
      <c r="G1412" s="215" t="str">
        <f>IF(AND($B1412="",OR(B1412&lt;&gt;"",C1412&lt;&gt;"",D1412&lt;&gt;"",E1412&lt;&gt;"",F1412&lt;&gt;"")),入力リスト!$K$34,IF($I1412=TRUE,入力リスト!$K$35,IF(J1412=FALSE,"「毎月の固定給与額」","")&amp;IF(AND(J1412=FALSE,OR(K1412=FALSE,L1412=FALSE,M1412=FALSE)),",","")&amp;IF(K1412=FALSE,"「賞与額等」","")&amp;IF(AND(K1412=FALSE,OR(L1412=FALSE,M1412=FALSE)),",","")&amp;IF(L1412=FALSE,"「残業手当」","")&amp;IF(AND(L1412=FALSE,M1412=FALSE),",","")&amp;IF(M1412=FALSE,"「残業時間」","")&amp;IF(OR(J1412=FALSE,K1412=FALSE,L1412=FALSE,M1412=FALSE),入力リスト!$K$36,"")&amp;IF(N1412,"",入力リスト!$K$37)))</f>
        <v/>
      </c>
      <c r="H1412" s="215"/>
      <c r="I1412" s="1" t="b">
        <f>IF(B1412="",FALSE,COUNTIF('従業員情報(給与以外)'!$A$4:$A$1000000,$B1412)=0)</f>
        <v>0</v>
      </c>
      <c r="J1412" s="8" t="b">
        <f t="shared" si="105"/>
        <v>1</v>
      </c>
      <c r="K1412" s="8" t="b">
        <f t="shared" si="106"/>
        <v>1</v>
      </c>
      <c r="L1412" s="8" t="b">
        <f t="shared" si="107"/>
        <v>1</v>
      </c>
      <c r="M1412" s="8" t="b">
        <f t="shared" si="108"/>
        <v>1</v>
      </c>
      <c r="N1412" s="1" t="b">
        <f t="shared" si="109"/>
        <v>1</v>
      </c>
      <c r="O1412" s="8" t="str">
        <f>IF(F1412="","",IF($F$2=入力リスト!$H$25,ROUNDDOWN(INT(F1412)+ROUNDDOWN((F1412-INT(F1412))*100,0)/60,2),F1412))</f>
        <v/>
      </c>
      <c r="P1412" s="7"/>
      <c r="Q1412" s="7"/>
    </row>
    <row r="1413" spans="1:17">
      <c r="A1413" s="105"/>
      <c r="B1413" s="2"/>
      <c r="C1413" s="3"/>
      <c r="D1413" s="3"/>
      <c r="E1413" s="3"/>
      <c r="F1413" s="8"/>
      <c r="G1413" s="215" t="str">
        <f>IF(AND($B1413="",OR(B1413&lt;&gt;"",C1413&lt;&gt;"",D1413&lt;&gt;"",E1413&lt;&gt;"",F1413&lt;&gt;"")),入力リスト!$K$34,IF($I1413=TRUE,入力リスト!$K$35,IF(J1413=FALSE,"「毎月の固定給与額」","")&amp;IF(AND(J1413=FALSE,OR(K1413=FALSE,L1413=FALSE,M1413=FALSE)),",","")&amp;IF(K1413=FALSE,"「賞与額等」","")&amp;IF(AND(K1413=FALSE,OR(L1413=FALSE,M1413=FALSE)),",","")&amp;IF(L1413=FALSE,"「残業手当」","")&amp;IF(AND(L1413=FALSE,M1413=FALSE),",","")&amp;IF(M1413=FALSE,"「残業時間」","")&amp;IF(OR(J1413=FALSE,K1413=FALSE,L1413=FALSE,M1413=FALSE),入力リスト!$K$36,"")&amp;IF(N1413,"",入力リスト!$K$37)))</f>
        <v/>
      </c>
      <c r="H1413" s="215"/>
      <c r="I1413" s="1" t="b">
        <f>IF(B1413="",FALSE,COUNTIF('従業員情報(給与以外)'!$A$4:$A$1000000,$B1413)=0)</f>
        <v>0</v>
      </c>
      <c r="J1413" s="8" t="b">
        <f t="shared" ref="J1413:J1476" si="110">OR(C1413="",ISNUMBER(C1413))</f>
        <v>1</v>
      </c>
      <c r="K1413" s="8" t="b">
        <f t="shared" ref="K1413:K1476" si="111">OR(D1413="",ISNUMBER(D1413))</f>
        <v>1</v>
      </c>
      <c r="L1413" s="8" t="b">
        <f t="shared" ref="L1413:L1476" si="112">OR(E1413="",ISNUMBER(E1413))</f>
        <v>1</v>
      </c>
      <c r="M1413" s="8" t="b">
        <f t="shared" ref="M1413:M1476" si="113">OR(F1413="",ISNUMBER(F1413))</f>
        <v>1</v>
      </c>
      <c r="N1413" s="1" t="b">
        <f t="shared" ref="N1413:N1476" si="114">IF($N$1,TRUE,IF($N$2,IF(F1413-INT(F1413)&lt;0.6,TRUE,FALSE),TRUE))</f>
        <v>1</v>
      </c>
      <c r="O1413" s="8" t="str">
        <f>IF(F1413="","",IF($F$2=入力リスト!$H$25,ROUNDDOWN(INT(F1413)+ROUNDDOWN((F1413-INT(F1413))*100,0)/60,2),F1413))</f>
        <v/>
      </c>
      <c r="P1413" s="7"/>
      <c r="Q1413" s="7"/>
    </row>
    <row r="1414" spans="1:17">
      <c r="A1414" s="105"/>
      <c r="B1414" s="2"/>
      <c r="C1414" s="3"/>
      <c r="D1414" s="3"/>
      <c r="E1414" s="3"/>
      <c r="F1414" s="8"/>
      <c r="G1414" s="215" t="str">
        <f>IF(AND($B1414="",OR(B1414&lt;&gt;"",C1414&lt;&gt;"",D1414&lt;&gt;"",E1414&lt;&gt;"",F1414&lt;&gt;"")),入力リスト!$K$34,IF($I1414=TRUE,入力リスト!$K$35,IF(J1414=FALSE,"「毎月の固定給与額」","")&amp;IF(AND(J1414=FALSE,OR(K1414=FALSE,L1414=FALSE,M1414=FALSE)),",","")&amp;IF(K1414=FALSE,"「賞与額等」","")&amp;IF(AND(K1414=FALSE,OR(L1414=FALSE,M1414=FALSE)),",","")&amp;IF(L1414=FALSE,"「残業手当」","")&amp;IF(AND(L1414=FALSE,M1414=FALSE),",","")&amp;IF(M1414=FALSE,"「残業時間」","")&amp;IF(OR(J1414=FALSE,K1414=FALSE,L1414=FALSE,M1414=FALSE),入力リスト!$K$36,"")&amp;IF(N1414,"",入力リスト!$K$37)))</f>
        <v/>
      </c>
      <c r="H1414" s="215"/>
      <c r="I1414" s="1" t="b">
        <f>IF(B1414="",FALSE,COUNTIF('従業員情報(給与以外)'!$A$4:$A$1000000,$B1414)=0)</f>
        <v>0</v>
      </c>
      <c r="J1414" s="8" t="b">
        <f t="shared" si="110"/>
        <v>1</v>
      </c>
      <c r="K1414" s="8" t="b">
        <f t="shared" si="111"/>
        <v>1</v>
      </c>
      <c r="L1414" s="8" t="b">
        <f t="shared" si="112"/>
        <v>1</v>
      </c>
      <c r="M1414" s="8" t="b">
        <f t="shared" si="113"/>
        <v>1</v>
      </c>
      <c r="N1414" s="1" t="b">
        <f t="shared" si="114"/>
        <v>1</v>
      </c>
      <c r="O1414" s="8" t="str">
        <f>IF(F1414="","",IF($F$2=入力リスト!$H$25,ROUNDDOWN(INT(F1414)+ROUNDDOWN((F1414-INT(F1414))*100,0)/60,2),F1414))</f>
        <v/>
      </c>
      <c r="P1414" s="7"/>
      <c r="Q1414" s="7"/>
    </row>
    <row r="1415" spans="1:17">
      <c r="A1415" s="105"/>
      <c r="B1415" s="2"/>
      <c r="C1415" s="3"/>
      <c r="D1415" s="3"/>
      <c r="E1415" s="3"/>
      <c r="F1415" s="8"/>
      <c r="G1415" s="215" t="str">
        <f>IF(AND($B1415="",OR(B1415&lt;&gt;"",C1415&lt;&gt;"",D1415&lt;&gt;"",E1415&lt;&gt;"",F1415&lt;&gt;"")),入力リスト!$K$34,IF($I1415=TRUE,入力リスト!$K$35,IF(J1415=FALSE,"「毎月の固定給与額」","")&amp;IF(AND(J1415=FALSE,OR(K1415=FALSE,L1415=FALSE,M1415=FALSE)),",","")&amp;IF(K1415=FALSE,"「賞与額等」","")&amp;IF(AND(K1415=FALSE,OR(L1415=FALSE,M1415=FALSE)),",","")&amp;IF(L1415=FALSE,"「残業手当」","")&amp;IF(AND(L1415=FALSE,M1415=FALSE),",","")&amp;IF(M1415=FALSE,"「残業時間」","")&amp;IF(OR(J1415=FALSE,K1415=FALSE,L1415=FALSE,M1415=FALSE),入力リスト!$K$36,"")&amp;IF(N1415,"",入力リスト!$K$37)))</f>
        <v/>
      </c>
      <c r="H1415" s="215"/>
      <c r="I1415" s="1" t="b">
        <f>IF(B1415="",FALSE,COUNTIF('従業員情報(給与以外)'!$A$4:$A$1000000,$B1415)=0)</f>
        <v>0</v>
      </c>
      <c r="J1415" s="8" t="b">
        <f t="shared" si="110"/>
        <v>1</v>
      </c>
      <c r="K1415" s="8" t="b">
        <f t="shared" si="111"/>
        <v>1</v>
      </c>
      <c r="L1415" s="8" t="b">
        <f t="shared" si="112"/>
        <v>1</v>
      </c>
      <c r="M1415" s="8" t="b">
        <f t="shared" si="113"/>
        <v>1</v>
      </c>
      <c r="N1415" s="1" t="b">
        <f t="shared" si="114"/>
        <v>1</v>
      </c>
      <c r="O1415" s="8" t="str">
        <f>IF(F1415="","",IF($F$2=入力リスト!$H$25,ROUNDDOWN(INT(F1415)+ROUNDDOWN((F1415-INT(F1415))*100,0)/60,2),F1415))</f>
        <v/>
      </c>
      <c r="P1415" s="7"/>
      <c r="Q1415" s="7"/>
    </row>
    <row r="1416" spans="1:17">
      <c r="A1416" s="105"/>
      <c r="B1416" s="2"/>
      <c r="C1416" s="3"/>
      <c r="D1416" s="3"/>
      <c r="E1416" s="3"/>
      <c r="F1416" s="8"/>
      <c r="G1416" s="215" t="str">
        <f>IF(AND($B1416="",OR(B1416&lt;&gt;"",C1416&lt;&gt;"",D1416&lt;&gt;"",E1416&lt;&gt;"",F1416&lt;&gt;"")),入力リスト!$K$34,IF($I1416=TRUE,入力リスト!$K$35,IF(J1416=FALSE,"「毎月の固定給与額」","")&amp;IF(AND(J1416=FALSE,OR(K1416=FALSE,L1416=FALSE,M1416=FALSE)),",","")&amp;IF(K1416=FALSE,"「賞与額等」","")&amp;IF(AND(K1416=FALSE,OR(L1416=FALSE,M1416=FALSE)),",","")&amp;IF(L1416=FALSE,"「残業手当」","")&amp;IF(AND(L1416=FALSE,M1416=FALSE),",","")&amp;IF(M1416=FALSE,"「残業時間」","")&amp;IF(OR(J1416=FALSE,K1416=FALSE,L1416=FALSE,M1416=FALSE),入力リスト!$K$36,"")&amp;IF(N1416,"",入力リスト!$K$37)))</f>
        <v/>
      </c>
      <c r="H1416" s="215"/>
      <c r="I1416" s="1" t="b">
        <f>IF(B1416="",FALSE,COUNTIF('従業員情報(給与以外)'!$A$4:$A$1000000,$B1416)=0)</f>
        <v>0</v>
      </c>
      <c r="J1416" s="8" t="b">
        <f t="shared" si="110"/>
        <v>1</v>
      </c>
      <c r="K1416" s="8" t="b">
        <f t="shared" si="111"/>
        <v>1</v>
      </c>
      <c r="L1416" s="8" t="b">
        <f t="shared" si="112"/>
        <v>1</v>
      </c>
      <c r="M1416" s="8" t="b">
        <f t="shared" si="113"/>
        <v>1</v>
      </c>
      <c r="N1416" s="1" t="b">
        <f t="shared" si="114"/>
        <v>1</v>
      </c>
      <c r="O1416" s="8" t="str">
        <f>IF(F1416="","",IF($F$2=入力リスト!$H$25,ROUNDDOWN(INT(F1416)+ROUNDDOWN((F1416-INT(F1416))*100,0)/60,2),F1416))</f>
        <v/>
      </c>
      <c r="P1416" s="7"/>
      <c r="Q1416" s="7"/>
    </row>
    <row r="1417" spans="1:17">
      <c r="A1417" s="105"/>
      <c r="B1417" s="2"/>
      <c r="C1417" s="3"/>
      <c r="D1417" s="3"/>
      <c r="E1417" s="3"/>
      <c r="F1417" s="8"/>
      <c r="G1417" s="215" t="str">
        <f>IF(AND($B1417="",OR(B1417&lt;&gt;"",C1417&lt;&gt;"",D1417&lt;&gt;"",E1417&lt;&gt;"",F1417&lt;&gt;"")),入力リスト!$K$34,IF($I1417=TRUE,入力リスト!$K$35,IF(J1417=FALSE,"「毎月の固定給与額」","")&amp;IF(AND(J1417=FALSE,OR(K1417=FALSE,L1417=FALSE,M1417=FALSE)),",","")&amp;IF(K1417=FALSE,"「賞与額等」","")&amp;IF(AND(K1417=FALSE,OR(L1417=FALSE,M1417=FALSE)),",","")&amp;IF(L1417=FALSE,"「残業手当」","")&amp;IF(AND(L1417=FALSE,M1417=FALSE),",","")&amp;IF(M1417=FALSE,"「残業時間」","")&amp;IF(OR(J1417=FALSE,K1417=FALSE,L1417=FALSE,M1417=FALSE),入力リスト!$K$36,"")&amp;IF(N1417,"",入力リスト!$K$37)))</f>
        <v/>
      </c>
      <c r="H1417" s="215"/>
      <c r="I1417" s="1" t="b">
        <f>IF(B1417="",FALSE,COUNTIF('従業員情報(給与以外)'!$A$4:$A$1000000,$B1417)=0)</f>
        <v>0</v>
      </c>
      <c r="J1417" s="8" t="b">
        <f t="shared" si="110"/>
        <v>1</v>
      </c>
      <c r="K1417" s="8" t="b">
        <f t="shared" si="111"/>
        <v>1</v>
      </c>
      <c r="L1417" s="8" t="b">
        <f t="shared" si="112"/>
        <v>1</v>
      </c>
      <c r="M1417" s="8" t="b">
        <f t="shared" si="113"/>
        <v>1</v>
      </c>
      <c r="N1417" s="1" t="b">
        <f t="shared" si="114"/>
        <v>1</v>
      </c>
      <c r="O1417" s="8" t="str">
        <f>IF(F1417="","",IF($F$2=入力リスト!$H$25,ROUNDDOWN(INT(F1417)+ROUNDDOWN((F1417-INT(F1417))*100,0)/60,2),F1417))</f>
        <v/>
      </c>
      <c r="P1417" s="7"/>
      <c r="Q1417" s="7"/>
    </row>
    <row r="1418" spans="1:17">
      <c r="A1418" s="105"/>
      <c r="B1418" s="2"/>
      <c r="C1418" s="3"/>
      <c r="D1418" s="3"/>
      <c r="E1418" s="3"/>
      <c r="F1418" s="8"/>
      <c r="G1418" s="215" t="str">
        <f>IF(AND($B1418="",OR(B1418&lt;&gt;"",C1418&lt;&gt;"",D1418&lt;&gt;"",E1418&lt;&gt;"",F1418&lt;&gt;"")),入力リスト!$K$34,IF($I1418=TRUE,入力リスト!$K$35,IF(J1418=FALSE,"「毎月の固定給与額」","")&amp;IF(AND(J1418=FALSE,OR(K1418=FALSE,L1418=FALSE,M1418=FALSE)),",","")&amp;IF(K1418=FALSE,"「賞与額等」","")&amp;IF(AND(K1418=FALSE,OR(L1418=FALSE,M1418=FALSE)),",","")&amp;IF(L1418=FALSE,"「残業手当」","")&amp;IF(AND(L1418=FALSE,M1418=FALSE),",","")&amp;IF(M1418=FALSE,"「残業時間」","")&amp;IF(OR(J1418=FALSE,K1418=FALSE,L1418=FALSE,M1418=FALSE),入力リスト!$K$36,"")&amp;IF(N1418,"",入力リスト!$K$37)))</f>
        <v/>
      </c>
      <c r="H1418" s="215"/>
      <c r="I1418" s="1" t="b">
        <f>IF(B1418="",FALSE,COUNTIF('従業員情報(給与以外)'!$A$4:$A$1000000,$B1418)=0)</f>
        <v>0</v>
      </c>
      <c r="J1418" s="8" t="b">
        <f t="shared" si="110"/>
        <v>1</v>
      </c>
      <c r="K1418" s="8" t="b">
        <f t="shared" si="111"/>
        <v>1</v>
      </c>
      <c r="L1418" s="8" t="b">
        <f t="shared" si="112"/>
        <v>1</v>
      </c>
      <c r="M1418" s="8" t="b">
        <f t="shared" si="113"/>
        <v>1</v>
      </c>
      <c r="N1418" s="1" t="b">
        <f t="shared" si="114"/>
        <v>1</v>
      </c>
      <c r="O1418" s="8" t="str">
        <f>IF(F1418="","",IF($F$2=入力リスト!$H$25,ROUNDDOWN(INT(F1418)+ROUNDDOWN((F1418-INT(F1418))*100,0)/60,2),F1418))</f>
        <v/>
      </c>
      <c r="P1418" s="7"/>
      <c r="Q1418" s="7"/>
    </row>
    <row r="1419" spans="1:17">
      <c r="A1419" s="105"/>
      <c r="B1419" s="2"/>
      <c r="C1419" s="3"/>
      <c r="D1419" s="3"/>
      <c r="E1419" s="3"/>
      <c r="F1419" s="8"/>
      <c r="G1419" s="215" t="str">
        <f>IF(AND($B1419="",OR(B1419&lt;&gt;"",C1419&lt;&gt;"",D1419&lt;&gt;"",E1419&lt;&gt;"",F1419&lt;&gt;"")),入力リスト!$K$34,IF($I1419=TRUE,入力リスト!$K$35,IF(J1419=FALSE,"「毎月の固定給与額」","")&amp;IF(AND(J1419=FALSE,OR(K1419=FALSE,L1419=FALSE,M1419=FALSE)),",","")&amp;IF(K1419=FALSE,"「賞与額等」","")&amp;IF(AND(K1419=FALSE,OR(L1419=FALSE,M1419=FALSE)),",","")&amp;IF(L1419=FALSE,"「残業手当」","")&amp;IF(AND(L1419=FALSE,M1419=FALSE),",","")&amp;IF(M1419=FALSE,"「残業時間」","")&amp;IF(OR(J1419=FALSE,K1419=FALSE,L1419=FALSE,M1419=FALSE),入力リスト!$K$36,"")&amp;IF(N1419,"",入力リスト!$K$37)))</f>
        <v/>
      </c>
      <c r="H1419" s="215"/>
      <c r="I1419" s="1" t="b">
        <f>IF(B1419="",FALSE,COUNTIF('従業員情報(給与以外)'!$A$4:$A$1000000,$B1419)=0)</f>
        <v>0</v>
      </c>
      <c r="J1419" s="8" t="b">
        <f t="shared" si="110"/>
        <v>1</v>
      </c>
      <c r="K1419" s="8" t="b">
        <f t="shared" si="111"/>
        <v>1</v>
      </c>
      <c r="L1419" s="8" t="b">
        <f t="shared" si="112"/>
        <v>1</v>
      </c>
      <c r="M1419" s="8" t="b">
        <f t="shared" si="113"/>
        <v>1</v>
      </c>
      <c r="N1419" s="1" t="b">
        <f t="shared" si="114"/>
        <v>1</v>
      </c>
      <c r="O1419" s="8" t="str">
        <f>IF(F1419="","",IF($F$2=入力リスト!$H$25,ROUNDDOWN(INT(F1419)+ROUNDDOWN((F1419-INT(F1419))*100,0)/60,2),F1419))</f>
        <v/>
      </c>
      <c r="P1419" s="7"/>
      <c r="Q1419" s="7"/>
    </row>
    <row r="1420" spans="1:17">
      <c r="A1420" s="105"/>
      <c r="B1420" s="2"/>
      <c r="C1420" s="3"/>
      <c r="D1420" s="3"/>
      <c r="E1420" s="3"/>
      <c r="F1420" s="8"/>
      <c r="G1420" s="215" t="str">
        <f>IF(AND($B1420="",OR(B1420&lt;&gt;"",C1420&lt;&gt;"",D1420&lt;&gt;"",E1420&lt;&gt;"",F1420&lt;&gt;"")),入力リスト!$K$34,IF($I1420=TRUE,入力リスト!$K$35,IF(J1420=FALSE,"「毎月の固定給与額」","")&amp;IF(AND(J1420=FALSE,OR(K1420=FALSE,L1420=FALSE,M1420=FALSE)),",","")&amp;IF(K1420=FALSE,"「賞与額等」","")&amp;IF(AND(K1420=FALSE,OR(L1420=FALSE,M1420=FALSE)),",","")&amp;IF(L1420=FALSE,"「残業手当」","")&amp;IF(AND(L1420=FALSE,M1420=FALSE),",","")&amp;IF(M1420=FALSE,"「残業時間」","")&amp;IF(OR(J1420=FALSE,K1420=FALSE,L1420=FALSE,M1420=FALSE),入力リスト!$K$36,"")&amp;IF(N1420,"",入力リスト!$K$37)))</f>
        <v/>
      </c>
      <c r="H1420" s="215"/>
      <c r="I1420" s="1" t="b">
        <f>IF(B1420="",FALSE,COUNTIF('従業員情報(給与以外)'!$A$4:$A$1000000,$B1420)=0)</f>
        <v>0</v>
      </c>
      <c r="J1420" s="8" t="b">
        <f t="shared" si="110"/>
        <v>1</v>
      </c>
      <c r="K1420" s="8" t="b">
        <f t="shared" si="111"/>
        <v>1</v>
      </c>
      <c r="L1420" s="8" t="b">
        <f t="shared" si="112"/>
        <v>1</v>
      </c>
      <c r="M1420" s="8" t="b">
        <f t="shared" si="113"/>
        <v>1</v>
      </c>
      <c r="N1420" s="1" t="b">
        <f t="shared" si="114"/>
        <v>1</v>
      </c>
      <c r="O1420" s="8" t="str">
        <f>IF(F1420="","",IF($F$2=入力リスト!$H$25,ROUNDDOWN(INT(F1420)+ROUNDDOWN((F1420-INT(F1420))*100,0)/60,2),F1420))</f>
        <v/>
      </c>
      <c r="P1420" s="7"/>
      <c r="Q1420" s="7"/>
    </row>
    <row r="1421" spans="1:17">
      <c r="A1421" s="105"/>
      <c r="B1421" s="2"/>
      <c r="C1421" s="3"/>
      <c r="D1421" s="3"/>
      <c r="E1421" s="3"/>
      <c r="F1421" s="8"/>
      <c r="G1421" s="215" t="str">
        <f>IF(AND($B1421="",OR(B1421&lt;&gt;"",C1421&lt;&gt;"",D1421&lt;&gt;"",E1421&lt;&gt;"",F1421&lt;&gt;"")),入力リスト!$K$34,IF($I1421=TRUE,入力リスト!$K$35,IF(J1421=FALSE,"「毎月の固定給与額」","")&amp;IF(AND(J1421=FALSE,OR(K1421=FALSE,L1421=FALSE,M1421=FALSE)),",","")&amp;IF(K1421=FALSE,"「賞与額等」","")&amp;IF(AND(K1421=FALSE,OR(L1421=FALSE,M1421=FALSE)),",","")&amp;IF(L1421=FALSE,"「残業手当」","")&amp;IF(AND(L1421=FALSE,M1421=FALSE),",","")&amp;IF(M1421=FALSE,"「残業時間」","")&amp;IF(OR(J1421=FALSE,K1421=FALSE,L1421=FALSE,M1421=FALSE),入力リスト!$K$36,"")&amp;IF(N1421,"",入力リスト!$K$37)))</f>
        <v/>
      </c>
      <c r="H1421" s="215"/>
      <c r="I1421" s="1" t="b">
        <f>IF(B1421="",FALSE,COUNTIF('従業員情報(給与以外)'!$A$4:$A$1000000,$B1421)=0)</f>
        <v>0</v>
      </c>
      <c r="J1421" s="8" t="b">
        <f t="shared" si="110"/>
        <v>1</v>
      </c>
      <c r="K1421" s="8" t="b">
        <f t="shared" si="111"/>
        <v>1</v>
      </c>
      <c r="L1421" s="8" t="b">
        <f t="shared" si="112"/>
        <v>1</v>
      </c>
      <c r="M1421" s="8" t="b">
        <f t="shared" si="113"/>
        <v>1</v>
      </c>
      <c r="N1421" s="1" t="b">
        <f t="shared" si="114"/>
        <v>1</v>
      </c>
      <c r="O1421" s="8" t="str">
        <f>IF(F1421="","",IF($F$2=入力リスト!$H$25,ROUNDDOWN(INT(F1421)+ROUNDDOWN((F1421-INT(F1421))*100,0)/60,2),F1421))</f>
        <v/>
      </c>
      <c r="P1421" s="7"/>
      <c r="Q1421" s="7"/>
    </row>
    <row r="1422" spans="1:17">
      <c r="A1422" s="105"/>
      <c r="B1422" s="2"/>
      <c r="C1422" s="3"/>
      <c r="D1422" s="3"/>
      <c r="E1422" s="3"/>
      <c r="F1422" s="8"/>
      <c r="G1422" s="215" t="str">
        <f>IF(AND($B1422="",OR(B1422&lt;&gt;"",C1422&lt;&gt;"",D1422&lt;&gt;"",E1422&lt;&gt;"",F1422&lt;&gt;"")),入力リスト!$K$34,IF($I1422=TRUE,入力リスト!$K$35,IF(J1422=FALSE,"「毎月の固定給与額」","")&amp;IF(AND(J1422=FALSE,OR(K1422=FALSE,L1422=FALSE,M1422=FALSE)),",","")&amp;IF(K1422=FALSE,"「賞与額等」","")&amp;IF(AND(K1422=FALSE,OR(L1422=FALSE,M1422=FALSE)),",","")&amp;IF(L1422=FALSE,"「残業手当」","")&amp;IF(AND(L1422=FALSE,M1422=FALSE),",","")&amp;IF(M1422=FALSE,"「残業時間」","")&amp;IF(OR(J1422=FALSE,K1422=FALSE,L1422=FALSE,M1422=FALSE),入力リスト!$K$36,"")&amp;IF(N1422,"",入力リスト!$K$37)))</f>
        <v/>
      </c>
      <c r="H1422" s="215"/>
      <c r="I1422" s="1" t="b">
        <f>IF(B1422="",FALSE,COUNTIF('従業員情報(給与以外)'!$A$4:$A$1000000,$B1422)=0)</f>
        <v>0</v>
      </c>
      <c r="J1422" s="8" t="b">
        <f t="shared" si="110"/>
        <v>1</v>
      </c>
      <c r="K1422" s="8" t="b">
        <f t="shared" si="111"/>
        <v>1</v>
      </c>
      <c r="L1422" s="8" t="b">
        <f t="shared" si="112"/>
        <v>1</v>
      </c>
      <c r="M1422" s="8" t="b">
        <f t="shared" si="113"/>
        <v>1</v>
      </c>
      <c r="N1422" s="1" t="b">
        <f t="shared" si="114"/>
        <v>1</v>
      </c>
      <c r="O1422" s="8" t="str">
        <f>IF(F1422="","",IF($F$2=入力リスト!$H$25,ROUNDDOWN(INT(F1422)+ROUNDDOWN((F1422-INT(F1422))*100,0)/60,2),F1422))</f>
        <v/>
      </c>
      <c r="P1422" s="7"/>
      <c r="Q1422" s="7"/>
    </row>
    <row r="1423" spans="1:17">
      <c r="A1423" s="105"/>
      <c r="B1423" s="2"/>
      <c r="C1423" s="3"/>
      <c r="D1423" s="3"/>
      <c r="E1423" s="3"/>
      <c r="F1423" s="8"/>
      <c r="G1423" s="215" t="str">
        <f>IF(AND($B1423="",OR(B1423&lt;&gt;"",C1423&lt;&gt;"",D1423&lt;&gt;"",E1423&lt;&gt;"",F1423&lt;&gt;"")),入力リスト!$K$34,IF($I1423=TRUE,入力リスト!$K$35,IF(J1423=FALSE,"「毎月の固定給与額」","")&amp;IF(AND(J1423=FALSE,OR(K1423=FALSE,L1423=FALSE,M1423=FALSE)),",","")&amp;IF(K1423=FALSE,"「賞与額等」","")&amp;IF(AND(K1423=FALSE,OR(L1423=FALSE,M1423=FALSE)),",","")&amp;IF(L1423=FALSE,"「残業手当」","")&amp;IF(AND(L1423=FALSE,M1423=FALSE),",","")&amp;IF(M1423=FALSE,"「残業時間」","")&amp;IF(OR(J1423=FALSE,K1423=FALSE,L1423=FALSE,M1423=FALSE),入力リスト!$K$36,"")&amp;IF(N1423,"",入力リスト!$K$37)))</f>
        <v/>
      </c>
      <c r="H1423" s="215"/>
      <c r="I1423" s="1" t="b">
        <f>IF(B1423="",FALSE,COUNTIF('従業員情報(給与以外)'!$A$4:$A$1000000,$B1423)=0)</f>
        <v>0</v>
      </c>
      <c r="J1423" s="8" t="b">
        <f t="shared" si="110"/>
        <v>1</v>
      </c>
      <c r="K1423" s="8" t="b">
        <f t="shared" si="111"/>
        <v>1</v>
      </c>
      <c r="L1423" s="8" t="b">
        <f t="shared" si="112"/>
        <v>1</v>
      </c>
      <c r="M1423" s="8" t="b">
        <f t="shared" si="113"/>
        <v>1</v>
      </c>
      <c r="N1423" s="1" t="b">
        <f t="shared" si="114"/>
        <v>1</v>
      </c>
      <c r="O1423" s="8" t="str">
        <f>IF(F1423="","",IF($F$2=入力リスト!$H$25,ROUNDDOWN(INT(F1423)+ROUNDDOWN((F1423-INT(F1423))*100,0)/60,2),F1423))</f>
        <v/>
      </c>
      <c r="P1423" s="7"/>
      <c r="Q1423" s="7"/>
    </row>
    <row r="1424" spans="1:17">
      <c r="A1424" s="105"/>
      <c r="B1424" s="2"/>
      <c r="C1424" s="3"/>
      <c r="D1424" s="3"/>
      <c r="E1424" s="3"/>
      <c r="F1424" s="8"/>
      <c r="G1424" s="215" t="str">
        <f>IF(AND($B1424="",OR(B1424&lt;&gt;"",C1424&lt;&gt;"",D1424&lt;&gt;"",E1424&lt;&gt;"",F1424&lt;&gt;"")),入力リスト!$K$34,IF($I1424=TRUE,入力リスト!$K$35,IF(J1424=FALSE,"「毎月の固定給与額」","")&amp;IF(AND(J1424=FALSE,OR(K1424=FALSE,L1424=FALSE,M1424=FALSE)),",","")&amp;IF(K1424=FALSE,"「賞与額等」","")&amp;IF(AND(K1424=FALSE,OR(L1424=FALSE,M1424=FALSE)),",","")&amp;IF(L1424=FALSE,"「残業手当」","")&amp;IF(AND(L1424=FALSE,M1424=FALSE),",","")&amp;IF(M1424=FALSE,"「残業時間」","")&amp;IF(OR(J1424=FALSE,K1424=FALSE,L1424=FALSE,M1424=FALSE),入力リスト!$K$36,"")&amp;IF(N1424,"",入力リスト!$K$37)))</f>
        <v/>
      </c>
      <c r="H1424" s="215"/>
      <c r="I1424" s="1" t="b">
        <f>IF(B1424="",FALSE,COUNTIF('従業員情報(給与以外)'!$A$4:$A$1000000,$B1424)=0)</f>
        <v>0</v>
      </c>
      <c r="J1424" s="8" t="b">
        <f t="shared" si="110"/>
        <v>1</v>
      </c>
      <c r="K1424" s="8" t="b">
        <f t="shared" si="111"/>
        <v>1</v>
      </c>
      <c r="L1424" s="8" t="b">
        <f t="shared" si="112"/>
        <v>1</v>
      </c>
      <c r="M1424" s="8" t="b">
        <f t="shared" si="113"/>
        <v>1</v>
      </c>
      <c r="N1424" s="1" t="b">
        <f t="shared" si="114"/>
        <v>1</v>
      </c>
      <c r="O1424" s="8" t="str">
        <f>IF(F1424="","",IF($F$2=入力リスト!$H$25,ROUNDDOWN(INT(F1424)+ROUNDDOWN((F1424-INT(F1424))*100,0)/60,2),F1424))</f>
        <v/>
      </c>
      <c r="P1424" s="7"/>
      <c r="Q1424" s="7"/>
    </row>
    <row r="1425" spans="1:17">
      <c r="A1425" s="105"/>
      <c r="B1425" s="2"/>
      <c r="C1425" s="3"/>
      <c r="D1425" s="3"/>
      <c r="E1425" s="3"/>
      <c r="F1425" s="8"/>
      <c r="G1425" s="215" t="str">
        <f>IF(AND($B1425="",OR(B1425&lt;&gt;"",C1425&lt;&gt;"",D1425&lt;&gt;"",E1425&lt;&gt;"",F1425&lt;&gt;"")),入力リスト!$K$34,IF($I1425=TRUE,入力リスト!$K$35,IF(J1425=FALSE,"「毎月の固定給与額」","")&amp;IF(AND(J1425=FALSE,OR(K1425=FALSE,L1425=FALSE,M1425=FALSE)),",","")&amp;IF(K1425=FALSE,"「賞与額等」","")&amp;IF(AND(K1425=FALSE,OR(L1425=FALSE,M1425=FALSE)),",","")&amp;IF(L1425=FALSE,"「残業手当」","")&amp;IF(AND(L1425=FALSE,M1425=FALSE),",","")&amp;IF(M1425=FALSE,"「残業時間」","")&amp;IF(OR(J1425=FALSE,K1425=FALSE,L1425=FALSE,M1425=FALSE),入力リスト!$K$36,"")&amp;IF(N1425,"",入力リスト!$K$37)))</f>
        <v/>
      </c>
      <c r="H1425" s="215"/>
      <c r="I1425" s="1" t="b">
        <f>IF(B1425="",FALSE,COUNTIF('従業員情報(給与以外)'!$A$4:$A$1000000,$B1425)=0)</f>
        <v>0</v>
      </c>
      <c r="J1425" s="8" t="b">
        <f t="shared" si="110"/>
        <v>1</v>
      </c>
      <c r="K1425" s="8" t="b">
        <f t="shared" si="111"/>
        <v>1</v>
      </c>
      <c r="L1425" s="8" t="b">
        <f t="shared" si="112"/>
        <v>1</v>
      </c>
      <c r="M1425" s="8" t="b">
        <f t="shared" si="113"/>
        <v>1</v>
      </c>
      <c r="N1425" s="1" t="b">
        <f t="shared" si="114"/>
        <v>1</v>
      </c>
      <c r="O1425" s="8" t="str">
        <f>IF(F1425="","",IF($F$2=入力リスト!$H$25,ROUNDDOWN(INT(F1425)+ROUNDDOWN((F1425-INT(F1425))*100,0)/60,2),F1425))</f>
        <v/>
      </c>
      <c r="P1425" s="7"/>
      <c r="Q1425" s="7"/>
    </row>
    <row r="1426" spans="1:17">
      <c r="A1426" s="105"/>
      <c r="B1426" s="2"/>
      <c r="C1426" s="3"/>
      <c r="D1426" s="3"/>
      <c r="E1426" s="3"/>
      <c r="F1426" s="8"/>
      <c r="G1426" s="215" t="str">
        <f>IF(AND($B1426="",OR(B1426&lt;&gt;"",C1426&lt;&gt;"",D1426&lt;&gt;"",E1426&lt;&gt;"",F1426&lt;&gt;"")),入力リスト!$K$34,IF($I1426=TRUE,入力リスト!$K$35,IF(J1426=FALSE,"「毎月の固定給与額」","")&amp;IF(AND(J1426=FALSE,OR(K1426=FALSE,L1426=FALSE,M1426=FALSE)),",","")&amp;IF(K1426=FALSE,"「賞与額等」","")&amp;IF(AND(K1426=FALSE,OR(L1426=FALSE,M1426=FALSE)),",","")&amp;IF(L1426=FALSE,"「残業手当」","")&amp;IF(AND(L1426=FALSE,M1426=FALSE),",","")&amp;IF(M1426=FALSE,"「残業時間」","")&amp;IF(OR(J1426=FALSE,K1426=FALSE,L1426=FALSE,M1426=FALSE),入力リスト!$K$36,"")&amp;IF(N1426,"",入力リスト!$K$37)))</f>
        <v/>
      </c>
      <c r="H1426" s="215"/>
      <c r="I1426" s="1" t="b">
        <f>IF(B1426="",FALSE,COUNTIF('従業員情報(給与以外)'!$A$4:$A$1000000,$B1426)=0)</f>
        <v>0</v>
      </c>
      <c r="J1426" s="8" t="b">
        <f t="shared" si="110"/>
        <v>1</v>
      </c>
      <c r="K1426" s="8" t="b">
        <f t="shared" si="111"/>
        <v>1</v>
      </c>
      <c r="L1426" s="8" t="b">
        <f t="shared" si="112"/>
        <v>1</v>
      </c>
      <c r="M1426" s="8" t="b">
        <f t="shared" si="113"/>
        <v>1</v>
      </c>
      <c r="N1426" s="1" t="b">
        <f t="shared" si="114"/>
        <v>1</v>
      </c>
      <c r="O1426" s="8" t="str">
        <f>IF(F1426="","",IF($F$2=入力リスト!$H$25,ROUNDDOWN(INT(F1426)+ROUNDDOWN((F1426-INT(F1426))*100,0)/60,2),F1426))</f>
        <v/>
      </c>
      <c r="P1426" s="7"/>
      <c r="Q1426" s="7"/>
    </row>
    <row r="1427" spans="1:17">
      <c r="A1427" s="105"/>
      <c r="B1427" s="2"/>
      <c r="C1427" s="3"/>
      <c r="D1427" s="3"/>
      <c r="E1427" s="3"/>
      <c r="F1427" s="8"/>
      <c r="G1427" s="215" t="str">
        <f>IF(AND($B1427="",OR(B1427&lt;&gt;"",C1427&lt;&gt;"",D1427&lt;&gt;"",E1427&lt;&gt;"",F1427&lt;&gt;"")),入力リスト!$K$34,IF($I1427=TRUE,入力リスト!$K$35,IF(J1427=FALSE,"「毎月の固定給与額」","")&amp;IF(AND(J1427=FALSE,OR(K1427=FALSE,L1427=FALSE,M1427=FALSE)),",","")&amp;IF(K1427=FALSE,"「賞与額等」","")&amp;IF(AND(K1427=FALSE,OR(L1427=FALSE,M1427=FALSE)),",","")&amp;IF(L1427=FALSE,"「残業手当」","")&amp;IF(AND(L1427=FALSE,M1427=FALSE),",","")&amp;IF(M1427=FALSE,"「残業時間」","")&amp;IF(OR(J1427=FALSE,K1427=FALSE,L1427=FALSE,M1427=FALSE),入力リスト!$K$36,"")&amp;IF(N1427,"",入力リスト!$K$37)))</f>
        <v/>
      </c>
      <c r="H1427" s="215"/>
      <c r="I1427" s="1" t="b">
        <f>IF(B1427="",FALSE,COUNTIF('従業員情報(給与以外)'!$A$4:$A$1000000,$B1427)=0)</f>
        <v>0</v>
      </c>
      <c r="J1427" s="8" t="b">
        <f t="shared" si="110"/>
        <v>1</v>
      </c>
      <c r="K1427" s="8" t="b">
        <f t="shared" si="111"/>
        <v>1</v>
      </c>
      <c r="L1427" s="8" t="b">
        <f t="shared" si="112"/>
        <v>1</v>
      </c>
      <c r="M1427" s="8" t="b">
        <f t="shared" si="113"/>
        <v>1</v>
      </c>
      <c r="N1427" s="1" t="b">
        <f t="shared" si="114"/>
        <v>1</v>
      </c>
      <c r="O1427" s="8" t="str">
        <f>IF(F1427="","",IF($F$2=入力リスト!$H$25,ROUNDDOWN(INT(F1427)+ROUNDDOWN((F1427-INT(F1427))*100,0)/60,2),F1427))</f>
        <v/>
      </c>
      <c r="P1427" s="7"/>
      <c r="Q1427" s="7"/>
    </row>
    <row r="1428" spans="1:17">
      <c r="A1428" s="105"/>
      <c r="B1428" s="2"/>
      <c r="C1428" s="3"/>
      <c r="D1428" s="3"/>
      <c r="E1428" s="3"/>
      <c r="F1428" s="8"/>
      <c r="G1428" s="215" t="str">
        <f>IF(AND($B1428="",OR(B1428&lt;&gt;"",C1428&lt;&gt;"",D1428&lt;&gt;"",E1428&lt;&gt;"",F1428&lt;&gt;"")),入力リスト!$K$34,IF($I1428=TRUE,入力リスト!$K$35,IF(J1428=FALSE,"「毎月の固定給与額」","")&amp;IF(AND(J1428=FALSE,OR(K1428=FALSE,L1428=FALSE,M1428=FALSE)),",","")&amp;IF(K1428=FALSE,"「賞与額等」","")&amp;IF(AND(K1428=FALSE,OR(L1428=FALSE,M1428=FALSE)),",","")&amp;IF(L1428=FALSE,"「残業手当」","")&amp;IF(AND(L1428=FALSE,M1428=FALSE),",","")&amp;IF(M1428=FALSE,"「残業時間」","")&amp;IF(OR(J1428=FALSE,K1428=FALSE,L1428=FALSE,M1428=FALSE),入力リスト!$K$36,"")&amp;IF(N1428,"",入力リスト!$K$37)))</f>
        <v/>
      </c>
      <c r="H1428" s="215"/>
      <c r="I1428" s="1" t="b">
        <f>IF(B1428="",FALSE,COUNTIF('従業員情報(給与以外)'!$A$4:$A$1000000,$B1428)=0)</f>
        <v>0</v>
      </c>
      <c r="J1428" s="8" t="b">
        <f t="shared" si="110"/>
        <v>1</v>
      </c>
      <c r="K1428" s="8" t="b">
        <f t="shared" si="111"/>
        <v>1</v>
      </c>
      <c r="L1428" s="8" t="b">
        <f t="shared" si="112"/>
        <v>1</v>
      </c>
      <c r="M1428" s="8" t="b">
        <f t="shared" si="113"/>
        <v>1</v>
      </c>
      <c r="N1428" s="1" t="b">
        <f t="shared" si="114"/>
        <v>1</v>
      </c>
      <c r="O1428" s="8" t="str">
        <f>IF(F1428="","",IF($F$2=入力リスト!$H$25,ROUNDDOWN(INT(F1428)+ROUNDDOWN((F1428-INT(F1428))*100,0)/60,2),F1428))</f>
        <v/>
      </c>
      <c r="P1428" s="7"/>
      <c r="Q1428" s="7"/>
    </row>
    <row r="1429" spans="1:17">
      <c r="A1429" s="105"/>
      <c r="B1429" s="2"/>
      <c r="C1429" s="3"/>
      <c r="D1429" s="3"/>
      <c r="E1429" s="3"/>
      <c r="F1429" s="8"/>
      <c r="G1429" s="215" t="str">
        <f>IF(AND($B1429="",OR(B1429&lt;&gt;"",C1429&lt;&gt;"",D1429&lt;&gt;"",E1429&lt;&gt;"",F1429&lt;&gt;"")),入力リスト!$K$34,IF($I1429=TRUE,入力リスト!$K$35,IF(J1429=FALSE,"「毎月の固定給与額」","")&amp;IF(AND(J1429=FALSE,OR(K1429=FALSE,L1429=FALSE,M1429=FALSE)),",","")&amp;IF(K1429=FALSE,"「賞与額等」","")&amp;IF(AND(K1429=FALSE,OR(L1429=FALSE,M1429=FALSE)),",","")&amp;IF(L1429=FALSE,"「残業手当」","")&amp;IF(AND(L1429=FALSE,M1429=FALSE),",","")&amp;IF(M1429=FALSE,"「残業時間」","")&amp;IF(OR(J1429=FALSE,K1429=FALSE,L1429=FALSE,M1429=FALSE),入力リスト!$K$36,"")&amp;IF(N1429,"",入力リスト!$K$37)))</f>
        <v/>
      </c>
      <c r="H1429" s="215"/>
      <c r="I1429" s="1" t="b">
        <f>IF(B1429="",FALSE,COUNTIF('従業員情報(給与以外)'!$A$4:$A$1000000,$B1429)=0)</f>
        <v>0</v>
      </c>
      <c r="J1429" s="8" t="b">
        <f t="shared" si="110"/>
        <v>1</v>
      </c>
      <c r="K1429" s="8" t="b">
        <f t="shared" si="111"/>
        <v>1</v>
      </c>
      <c r="L1429" s="8" t="b">
        <f t="shared" si="112"/>
        <v>1</v>
      </c>
      <c r="M1429" s="8" t="b">
        <f t="shared" si="113"/>
        <v>1</v>
      </c>
      <c r="N1429" s="1" t="b">
        <f t="shared" si="114"/>
        <v>1</v>
      </c>
      <c r="O1429" s="8" t="str">
        <f>IF(F1429="","",IF($F$2=入力リスト!$H$25,ROUNDDOWN(INT(F1429)+ROUNDDOWN((F1429-INT(F1429))*100,0)/60,2),F1429))</f>
        <v/>
      </c>
      <c r="P1429" s="7"/>
      <c r="Q1429" s="7"/>
    </row>
    <row r="1430" spans="1:17">
      <c r="A1430" s="105"/>
      <c r="B1430" s="2"/>
      <c r="C1430" s="3"/>
      <c r="D1430" s="3"/>
      <c r="E1430" s="3"/>
      <c r="F1430" s="8"/>
      <c r="G1430" s="215" t="str">
        <f>IF(AND($B1430="",OR(B1430&lt;&gt;"",C1430&lt;&gt;"",D1430&lt;&gt;"",E1430&lt;&gt;"",F1430&lt;&gt;"")),入力リスト!$K$34,IF($I1430=TRUE,入力リスト!$K$35,IF(J1430=FALSE,"「毎月の固定給与額」","")&amp;IF(AND(J1430=FALSE,OR(K1430=FALSE,L1430=FALSE,M1430=FALSE)),",","")&amp;IF(K1430=FALSE,"「賞与額等」","")&amp;IF(AND(K1430=FALSE,OR(L1430=FALSE,M1430=FALSE)),",","")&amp;IF(L1430=FALSE,"「残業手当」","")&amp;IF(AND(L1430=FALSE,M1430=FALSE),",","")&amp;IF(M1430=FALSE,"「残業時間」","")&amp;IF(OR(J1430=FALSE,K1430=FALSE,L1430=FALSE,M1430=FALSE),入力リスト!$K$36,"")&amp;IF(N1430,"",入力リスト!$K$37)))</f>
        <v/>
      </c>
      <c r="H1430" s="215"/>
      <c r="I1430" s="1" t="b">
        <f>IF(B1430="",FALSE,COUNTIF('従業員情報(給与以外)'!$A$4:$A$1000000,$B1430)=0)</f>
        <v>0</v>
      </c>
      <c r="J1430" s="8" t="b">
        <f t="shared" si="110"/>
        <v>1</v>
      </c>
      <c r="K1430" s="8" t="b">
        <f t="shared" si="111"/>
        <v>1</v>
      </c>
      <c r="L1430" s="8" t="b">
        <f t="shared" si="112"/>
        <v>1</v>
      </c>
      <c r="M1430" s="8" t="b">
        <f t="shared" si="113"/>
        <v>1</v>
      </c>
      <c r="N1430" s="1" t="b">
        <f t="shared" si="114"/>
        <v>1</v>
      </c>
      <c r="O1430" s="8" t="str">
        <f>IF(F1430="","",IF($F$2=入力リスト!$H$25,ROUNDDOWN(INT(F1430)+ROUNDDOWN((F1430-INT(F1430))*100,0)/60,2),F1430))</f>
        <v/>
      </c>
      <c r="P1430" s="7"/>
      <c r="Q1430" s="7"/>
    </row>
    <row r="1431" spans="1:17">
      <c r="A1431" s="105"/>
      <c r="B1431" s="2"/>
      <c r="C1431" s="3"/>
      <c r="D1431" s="3"/>
      <c r="E1431" s="3"/>
      <c r="F1431" s="8"/>
      <c r="G1431" s="215" t="str">
        <f>IF(AND($B1431="",OR(B1431&lt;&gt;"",C1431&lt;&gt;"",D1431&lt;&gt;"",E1431&lt;&gt;"",F1431&lt;&gt;"")),入力リスト!$K$34,IF($I1431=TRUE,入力リスト!$K$35,IF(J1431=FALSE,"「毎月の固定給与額」","")&amp;IF(AND(J1431=FALSE,OR(K1431=FALSE,L1431=FALSE,M1431=FALSE)),",","")&amp;IF(K1431=FALSE,"「賞与額等」","")&amp;IF(AND(K1431=FALSE,OR(L1431=FALSE,M1431=FALSE)),",","")&amp;IF(L1431=FALSE,"「残業手当」","")&amp;IF(AND(L1431=FALSE,M1431=FALSE),",","")&amp;IF(M1431=FALSE,"「残業時間」","")&amp;IF(OR(J1431=FALSE,K1431=FALSE,L1431=FALSE,M1431=FALSE),入力リスト!$K$36,"")&amp;IF(N1431,"",入力リスト!$K$37)))</f>
        <v/>
      </c>
      <c r="H1431" s="215"/>
      <c r="I1431" s="1" t="b">
        <f>IF(B1431="",FALSE,COUNTIF('従業員情報(給与以外)'!$A$4:$A$1000000,$B1431)=0)</f>
        <v>0</v>
      </c>
      <c r="J1431" s="8" t="b">
        <f t="shared" si="110"/>
        <v>1</v>
      </c>
      <c r="K1431" s="8" t="b">
        <f t="shared" si="111"/>
        <v>1</v>
      </c>
      <c r="L1431" s="8" t="b">
        <f t="shared" si="112"/>
        <v>1</v>
      </c>
      <c r="M1431" s="8" t="b">
        <f t="shared" si="113"/>
        <v>1</v>
      </c>
      <c r="N1431" s="1" t="b">
        <f t="shared" si="114"/>
        <v>1</v>
      </c>
      <c r="O1431" s="8" t="str">
        <f>IF(F1431="","",IF($F$2=入力リスト!$H$25,ROUNDDOWN(INT(F1431)+ROUNDDOWN((F1431-INT(F1431))*100,0)/60,2),F1431))</f>
        <v/>
      </c>
      <c r="P1431" s="7"/>
      <c r="Q1431" s="7"/>
    </row>
    <row r="1432" spans="1:17">
      <c r="A1432" s="105"/>
      <c r="B1432" s="2"/>
      <c r="C1432" s="3"/>
      <c r="D1432" s="3"/>
      <c r="E1432" s="3"/>
      <c r="F1432" s="8"/>
      <c r="G1432" s="215" t="str">
        <f>IF(AND($B1432="",OR(B1432&lt;&gt;"",C1432&lt;&gt;"",D1432&lt;&gt;"",E1432&lt;&gt;"",F1432&lt;&gt;"")),入力リスト!$K$34,IF($I1432=TRUE,入力リスト!$K$35,IF(J1432=FALSE,"「毎月の固定給与額」","")&amp;IF(AND(J1432=FALSE,OR(K1432=FALSE,L1432=FALSE,M1432=FALSE)),",","")&amp;IF(K1432=FALSE,"「賞与額等」","")&amp;IF(AND(K1432=FALSE,OR(L1432=FALSE,M1432=FALSE)),",","")&amp;IF(L1432=FALSE,"「残業手当」","")&amp;IF(AND(L1432=FALSE,M1432=FALSE),",","")&amp;IF(M1432=FALSE,"「残業時間」","")&amp;IF(OR(J1432=FALSE,K1432=FALSE,L1432=FALSE,M1432=FALSE),入力リスト!$K$36,"")&amp;IF(N1432,"",入力リスト!$K$37)))</f>
        <v/>
      </c>
      <c r="H1432" s="215"/>
      <c r="I1432" s="1" t="b">
        <f>IF(B1432="",FALSE,COUNTIF('従業員情報(給与以外)'!$A$4:$A$1000000,$B1432)=0)</f>
        <v>0</v>
      </c>
      <c r="J1432" s="8" t="b">
        <f t="shared" si="110"/>
        <v>1</v>
      </c>
      <c r="K1432" s="8" t="b">
        <f t="shared" si="111"/>
        <v>1</v>
      </c>
      <c r="L1432" s="8" t="b">
        <f t="shared" si="112"/>
        <v>1</v>
      </c>
      <c r="M1432" s="8" t="b">
        <f t="shared" si="113"/>
        <v>1</v>
      </c>
      <c r="N1432" s="1" t="b">
        <f t="shared" si="114"/>
        <v>1</v>
      </c>
      <c r="O1432" s="8" t="str">
        <f>IF(F1432="","",IF($F$2=入力リスト!$H$25,ROUNDDOWN(INT(F1432)+ROUNDDOWN((F1432-INT(F1432))*100,0)/60,2),F1432))</f>
        <v/>
      </c>
      <c r="P1432" s="7"/>
      <c r="Q1432" s="7"/>
    </row>
    <row r="1433" spans="1:17">
      <c r="A1433" s="105"/>
      <c r="B1433" s="2"/>
      <c r="C1433" s="3"/>
      <c r="D1433" s="3"/>
      <c r="E1433" s="3"/>
      <c r="F1433" s="8"/>
      <c r="G1433" s="215" t="str">
        <f>IF(AND($B1433="",OR(B1433&lt;&gt;"",C1433&lt;&gt;"",D1433&lt;&gt;"",E1433&lt;&gt;"",F1433&lt;&gt;"")),入力リスト!$K$34,IF($I1433=TRUE,入力リスト!$K$35,IF(J1433=FALSE,"「毎月の固定給与額」","")&amp;IF(AND(J1433=FALSE,OR(K1433=FALSE,L1433=FALSE,M1433=FALSE)),",","")&amp;IF(K1433=FALSE,"「賞与額等」","")&amp;IF(AND(K1433=FALSE,OR(L1433=FALSE,M1433=FALSE)),",","")&amp;IF(L1433=FALSE,"「残業手当」","")&amp;IF(AND(L1433=FALSE,M1433=FALSE),",","")&amp;IF(M1433=FALSE,"「残業時間」","")&amp;IF(OR(J1433=FALSE,K1433=FALSE,L1433=FALSE,M1433=FALSE),入力リスト!$K$36,"")&amp;IF(N1433,"",入力リスト!$K$37)))</f>
        <v/>
      </c>
      <c r="H1433" s="215"/>
      <c r="I1433" s="1" t="b">
        <f>IF(B1433="",FALSE,COUNTIF('従業員情報(給与以外)'!$A$4:$A$1000000,$B1433)=0)</f>
        <v>0</v>
      </c>
      <c r="J1433" s="8" t="b">
        <f t="shared" si="110"/>
        <v>1</v>
      </c>
      <c r="K1433" s="8" t="b">
        <f t="shared" si="111"/>
        <v>1</v>
      </c>
      <c r="L1433" s="8" t="b">
        <f t="shared" si="112"/>
        <v>1</v>
      </c>
      <c r="M1433" s="8" t="b">
        <f t="shared" si="113"/>
        <v>1</v>
      </c>
      <c r="N1433" s="1" t="b">
        <f t="shared" si="114"/>
        <v>1</v>
      </c>
      <c r="O1433" s="8" t="str">
        <f>IF(F1433="","",IF($F$2=入力リスト!$H$25,ROUNDDOWN(INT(F1433)+ROUNDDOWN((F1433-INT(F1433))*100,0)/60,2),F1433))</f>
        <v/>
      </c>
      <c r="P1433" s="7"/>
      <c r="Q1433" s="7"/>
    </row>
    <row r="1434" spans="1:17">
      <c r="A1434" s="105"/>
      <c r="B1434" s="2"/>
      <c r="C1434" s="3"/>
      <c r="D1434" s="3"/>
      <c r="E1434" s="3"/>
      <c r="F1434" s="8"/>
      <c r="G1434" s="215" t="str">
        <f>IF(AND($B1434="",OR(B1434&lt;&gt;"",C1434&lt;&gt;"",D1434&lt;&gt;"",E1434&lt;&gt;"",F1434&lt;&gt;"")),入力リスト!$K$34,IF($I1434=TRUE,入力リスト!$K$35,IF(J1434=FALSE,"「毎月の固定給与額」","")&amp;IF(AND(J1434=FALSE,OR(K1434=FALSE,L1434=FALSE,M1434=FALSE)),",","")&amp;IF(K1434=FALSE,"「賞与額等」","")&amp;IF(AND(K1434=FALSE,OR(L1434=FALSE,M1434=FALSE)),",","")&amp;IF(L1434=FALSE,"「残業手当」","")&amp;IF(AND(L1434=FALSE,M1434=FALSE),",","")&amp;IF(M1434=FALSE,"「残業時間」","")&amp;IF(OR(J1434=FALSE,K1434=FALSE,L1434=FALSE,M1434=FALSE),入力リスト!$K$36,"")&amp;IF(N1434,"",入力リスト!$K$37)))</f>
        <v/>
      </c>
      <c r="H1434" s="215"/>
      <c r="I1434" s="1" t="b">
        <f>IF(B1434="",FALSE,COUNTIF('従業員情報(給与以外)'!$A$4:$A$1000000,$B1434)=0)</f>
        <v>0</v>
      </c>
      <c r="J1434" s="8" t="b">
        <f t="shared" si="110"/>
        <v>1</v>
      </c>
      <c r="K1434" s="8" t="b">
        <f t="shared" si="111"/>
        <v>1</v>
      </c>
      <c r="L1434" s="8" t="b">
        <f t="shared" si="112"/>
        <v>1</v>
      </c>
      <c r="M1434" s="8" t="b">
        <f t="shared" si="113"/>
        <v>1</v>
      </c>
      <c r="N1434" s="1" t="b">
        <f t="shared" si="114"/>
        <v>1</v>
      </c>
      <c r="O1434" s="8" t="str">
        <f>IF(F1434="","",IF($F$2=入力リスト!$H$25,ROUNDDOWN(INT(F1434)+ROUNDDOWN((F1434-INT(F1434))*100,0)/60,2),F1434))</f>
        <v/>
      </c>
      <c r="P1434" s="7"/>
      <c r="Q1434" s="7"/>
    </row>
    <row r="1435" spans="1:17">
      <c r="A1435" s="105"/>
      <c r="B1435" s="2"/>
      <c r="C1435" s="3"/>
      <c r="D1435" s="3"/>
      <c r="E1435" s="3"/>
      <c r="F1435" s="8"/>
      <c r="G1435" s="215" t="str">
        <f>IF(AND($B1435="",OR(B1435&lt;&gt;"",C1435&lt;&gt;"",D1435&lt;&gt;"",E1435&lt;&gt;"",F1435&lt;&gt;"")),入力リスト!$K$34,IF($I1435=TRUE,入力リスト!$K$35,IF(J1435=FALSE,"「毎月の固定給与額」","")&amp;IF(AND(J1435=FALSE,OR(K1435=FALSE,L1435=FALSE,M1435=FALSE)),",","")&amp;IF(K1435=FALSE,"「賞与額等」","")&amp;IF(AND(K1435=FALSE,OR(L1435=FALSE,M1435=FALSE)),",","")&amp;IF(L1435=FALSE,"「残業手当」","")&amp;IF(AND(L1435=FALSE,M1435=FALSE),",","")&amp;IF(M1435=FALSE,"「残業時間」","")&amp;IF(OR(J1435=FALSE,K1435=FALSE,L1435=FALSE,M1435=FALSE),入力リスト!$K$36,"")&amp;IF(N1435,"",入力リスト!$K$37)))</f>
        <v/>
      </c>
      <c r="H1435" s="215"/>
      <c r="I1435" s="1" t="b">
        <f>IF(B1435="",FALSE,COUNTIF('従業員情報(給与以外)'!$A$4:$A$1000000,$B1435)=0)</f>
        <v>0</v>
      </c>
      <c r="J1435" s="8" t="b">
        <f t="shared" si="110"/>
        <v>1</v>
      </c>
      <c r="K1435" s="8" t="b">
        <f t="shared" si="111"/>
        <v>1</v>
      </c>
      <c r="L1435" s="8" t="b">
        <f t="shared" si="112"/>
        <v>1</v>
      </c>
      <c r="M1435" s="8" t="b">
        <f t="shared" si="113"/>
        <v>1</v>
      </c>
      <c r="N1435" s="1" t="b">
        <f t="shared" si="114"/>
        <v>1</v>
      </c>
      <c r="O1435" s="8" t="str">
        <f>IF(F1435="","",IF($F$2=入力リスト!$H$25,ROUNDDOWN(INT(F1435)+ROUNDDOWN((F1435-INT(F1435))*100,0)/60,2),F1435))</f>
        <v/>
      </c>
      <c r="P1435" s="7"/>
      <c r="Q1435" s="7"/>
    </row>
    <row r="1436" spans="1:17">
      <c r="A1436" s="105"/>
      <c r="B1436" s="2"/>
      <c r="C1436" s="3"/>
      <c r="D1436" s="3"/>
      <c r="E1436" s="3"/>
      <c r="F1436" s="8"/>
      <c r="G1436" s="215" t="str">
        <f>IF(AND($B1436="",OR(B1436&lt;&gt;"",C1436&lt;&gt;"",D1436&lt;&gt;"",E1436&lt;&gt;"",F1436&lt;&gt;"")),入力リスト!$K$34,IF($I1436=TRUE,入力リスト!$K$35,IF(J1436=FALSE,"「毎月の固定給与額」","")&amp;IF(AND(J1436=FALSE,OR(K1436=FALSE,L1436=FALSE,M1436=FALSE)),",","")&amp;IF(K1436=FALSE,"「賞与額等」","")&amp;IF(AND(K1436=FALSE,OR(L1436=FALSE,M1436=FALSE)),",","")&amp;IF(L1436=FALSE,"「残業手当」","")&amp;IF(AND(L1436=FALSE,M1436=FALSE),",","")&amp;IF(M1436=FALSE,"「残業時間」","")&amp;IF(OR(J1436=FALSE,K1436=FALSE,L1436=FALSE,M1436=FALSE),入力リスト!$K$36,"")&amp;IF(N1436,"",入力リスト!$K$37)))</f>
        <v/>
      </c>
      <c r="H1436" s="215"/>
      <c r="I1436" s="1" t="b">
        <f>IF(B1436="",FALSE,COUNTIF('従業員情報(給与以外)'!$A$4:$A$1000000,$B1436)=0)</f>
        <v>0</v>
      </c>
      <c r="J1436" s="8" t="b">
        <f t="shared" si="110"/>
        <v>1</v>
      </c>
      <c r="K1436" s="8" t="b">
        <f t="shared" si="111"/>
        <v>1</v>
      </c>
      <c r="L1436" s="8" t="b">
        <f t="shared" si="112"/>
        <v>1</v>
      </c>
      <c r="M1436" s="8" t="b">
        <f t="shared" si="113"/>
        <v>1</v>
      </c>
      <c r="N1436" s="1" t="b">
        <f t="shared" si="114"/>
        <v>1</v>
      </c>
      <c r="O1436" s="8" t="str">
        <f>IF(F1436="","",IF($F$2=入力リスト!$H$25,ROUNDDOWN(INT(F1436)+ROUNDDOWN((F1436-INT(F1436))*100,0)/60,2),F1436))</f>
        <v/>
      </c>
      <c r="P1436" s="7"/>
      <c r="Q1436" s="7"/>
    </row>
    <row r="1437" spans="1:17">
      <c r="A1437" s="105"/>
      <c r="B1437" s="2"/>
      <c r="C1437" s="3"/>
      <c r="D1437" s="3"/>
      <c r="E1437" s="3"/>
      <c r="F1437" s="8"/>
      <c r="G1437" s="215" t="str">
        <f>IF(AND($B1437="",OR(B1437&lt;&gt;"",C1437&lt;&gt;"",D1437&lt;&gt;"",E1437&lt;&gt;"",F1437&lt;&gt;"")),入力リスト!$K$34,IF($I1437=TRUE,入力リスト!$K$35,IF(J1437=FALSE,"「毎月の固定給与額」","")&amp;IF(AND(J1437=FALSE,OR(K1437=FALSE,L1437=FALSE,M1437=FALSE)),",","")&amp;IF(K1437=FALSE,"「賞与額等」","")&amp;IF(AND(K1437=FALSE,OR(L1437=FALSE,M1437=FALSE)),",","")&amp;IF(L1437=FALSE,"「残業手当」","")&amp;IF(AND(L1437=FALSE,M1437=FALSE),",","")&amp;IF(M1437=FALSE,"「残業時間」","")&amp;IF(OR(J1437=FALSE,K1437=FALSE,L1437=FALSE,M1437=FALSE),入力リスト!$K$36,"")&amp;IF(N1437,"",入力リスト!$K$37)))</f>
        <v/>
      </c>
      <c r="H1437" s="215"/>
      <c r="I1437" s="1" t="b">
        <f>IF(B1437="",FALSE,COUNTIF('従業員情報(給与以外)'!$A$4:$A$1000000,$B1437)=0)</f>
        <v>0</v>
      </c>
      <c r="J1437" s="8" t="b">
        <f t="shared" si="110"/>
        <v>1</v>
      </c>
      <c r="K1437" s="8" t="b">
        <f t="shared" si="111"/>
        <v>1</v>
      </c>
      <c r="L1437" s="8" t="b">
        <f t="shared" si="112"/>
        <v>1</v>
      </c>
      <c r="M1437" s="8" t="b">
        <f t="shared" si="113"/>
        <v>1</v>
      </c>
      <c r="N1437" s="1" t="b">
        <f t="shared" si="114"/>
        <v>1</v>
      </c>
      <c r="O1437" s="8" t="str">
        <f>IF(F1437="","",IF($F$2=入力リスト!$H$25,ROUNDDOWN(INT(F1437)+ROUNDDOWN((F1437-INT(F1437))*100,0)/60,2),F1437))</f>
        <v/>
      </c>
      <c r="P1437" s="7"/>
      <c r="Q1437" s="7"/>
    </row>
    <row r="1438" spans="1:17">
      <c r="A1438" s="105"/>
      <c r="B1438" s="2"/>
      <c r="C1438" s="3"/>
      <c r="D1438" s="3"/>
      <c r="E1438" s="3"/>
      <c r="F1438" s="8"/>
      <c r="G1438" s="215" t="str">
        <f>IF(AND($B1438="",OR(B1438&lt;&gt;"",C1438&lt;&gt;"",D1438&lt;&gt;"",E1438&lt;&gt;"",F1438&lt;&gt;"")),入力リスト!$K$34,IF($I1438=TRUE,入力リスト!$K$35,IF(J1438=FALSE,"「毎月の固定給与額」","")&amp;IF(AND(J1438=FALSE,OR(K1438=FALSE,L1438=FALSE,M1438=FALSE)),",","")&amp;IF(K1438=FALSE,"「賞与額等」","")&amp;IF(AND(K1438=FALSE,OR(L1438=FALSE,M1438=FALSE)),",","")&amp;IF(L1438=FALSE,"「残業手当」","")&amp;IF(AND(L1438=FALSE,M1438=FALSE),",","")&amp;IF(M1438=FALSE,"「残業時間」","")&amp;IF(OR(J1438=FALSE,K1438=FALSE,L1438=FALSE,M1438=FALSE),入力リスト!$K$36,"")&amp;IF(N1438,"",入力リスト!$K$37)))</f>
        <v/>
      </c>
      <c r="H1438" s="215"/>
      <c r="I1438" s="1" t="b">
        <f>IF(B1438="",FALSE,COUNTIF('従業員情報(給与以外)'!$A$4:$A$1000000,$B1438)=0)</f>
        <v>0</v>
      </c>
      <c r="J1438" s="8" t="b">
        <f t="shared" si="110"/>
        <v>1</v>
      </c>
      <c r="K1438" s="8" t="b">
        <f t="shared" si="111"/>
        <v>1</v>
      </c>
      <c r="L1438" s="8" t="b">
        <f t="shared" si="112"/>
        <v>1</v>
      </c>
      <c r="M1438" s="8" t="b">
        <f t="shared" si="113"/>
        <v>1</v>
      </c>
      <c r="N1438" s="1" t="b">
        <f t="shared" si="114"/>
        <v>1</v>
      </c>
      <c r="O1438" s="8" t="str">
        <f>IF(F1438="","",IF($F$2=入力リスト!$H$25,ROUNDDOWN(INT(F1438)+ROUNDDOWN((F1438-INT(F1438))*100,0)/60,2),F1438))</f>
        <v/>
      </c>
      <c r="P1438" s="7"/>
      <c r="Q1438" s="7"/>
    </row>
    <row r="1439" spans="1:17">
      <c r="A1439" s="105"/>
      <c r="B1439" s="2"/>
      <c r="C1439" s="3"/>
      <c r="D1439" s="3"/>
      <c r="E1439" s="3"/>
      <c r="F1439" s="8"/>
      <c r="G1439" s="215" t="str">
        <f>IF(AND($B1439="",OR(B1439&lt;&gt;"",C1439&lt;&gt;"",D1439&lt;&gt;"",E1439&lt;&gt;"",F1439&lt;&gt;"")),入力リスト!$K$34,IF($I1439=TRUE,入力リスト!$K$35,IF(J1439=FALSE,"「毎月の固定給与額」","")&amp;IF(AND(J1439=FALSE,OR(K1439=FALSE,L1439=FALSE,M1439=FALSE)),",","")&amp;IF(K1439=FALSE,"「賞与額等」","")&amp;IF(AND(K1439=FALSE,OR(L1439=FALSE,M1439=FALSE)),",","")&amp;IF(L1439=FALSE,"「残業手当」","")&amp;IF(AND(L1439=FALSE,M1439=FALSE),",","")&amp;IF(M1439=FALSE,"「残業時間」","")&amp;IF(OR(J1439=FALSE,K1439=FALSE,L1439=FALSE,M1439=FALSE),入力リスト!$K$36,"")&amp;IF(N1439,"",入力リスト!$K$37)))</f>
        <v/>
      </c>
      <c r="H1439" s="215"/>
      <c r="I1439" s="1" t="b">
        <f>IF(B1439="",FALSE,COUNTIF('従業員情報(給与以外)'!$A$4:$A$1000000,$B1439)=0)</f>
        <v>0</v>
      </c>
      <c r="J1439" s="8" t="b">
        <f t="shared" si="110"/>
        <v>1</v>
      </c>
      <c r="K1439" s="8" t="b">
        <f t="shared" si="111"/>
        <v>1</v>
      </c>
      <c r="L1439" s="8" t="b">
        <f t="shared" si="112"/>
        <v>1</v>
      </c>
      <c r="M1439" s="8" t="b">
        <f t="shared" si="113"/>
        <v>1</v>
      </c>
      <c r="N1439" s="1" t="b">
        <f t="shared" si="114"/>
        <v>1</v>
      </c>
      <c r="O1439" s="8" t="str">
        <f>IF(F1439="","",IF($F$2=入力リスト!$H$25,ROUNDDOWN(INT(F1439)+ROUNDDOWN((F1439-INT(F1439))*100,0)/60,2),F1439))</f>
        <v/>
      </c>
      <c r="P1439" s="7"/>
      <c r="Q1439" s="7"/>
    </row>
    <row r="1440" spans="1:17">
      <c r="A1440" s="105"/>
      <c r="B1440" s="2"/>
      <c r="C1440" s="3"/>
      <c r="D1440" s="3"/>
      <c r="E1440" s="3"/>
      <c r="F1440" s="8"/>
      <c r="G1440" s="215" t="str">
        <f>IF(AND($B1440="",OR(B1440&lt;&gt;"",C1440&lt;&gt;"",D1440&lt;&gt;"",E1440&lt;&gt;"",F1440&lt;&gt;"")),入力リスト!$K$34,IF($I1440=TRUE,入力リスト!$K$35,IF(J1440=FALSE,"「毎月の固定給与額」","")&amp;IF(AND(J1440=FALSE,OR(K1440=FALSE,L1440=FALSE,M1440=FALSE)),",","")&amp;IF(K1440=FALSE,"「賞与額等」","")&amp;IF(AND(K1440=FALSE,OR(L1440=FALSE,M1440=FALSE)),",","")&amp;IF(L1440=FALSE,"「残業手当」","")&amp;IF(AND(L1440=FALSE,M1440=FALSE),",","")&amp;IF(M1440=FALSE,"「残業時間」","")&amp;IF(OR(J1440=FALSE,K1440=FALSE,L1440=FALSE,M1440=FALSE),入力リスト!$K$36,"")&amp;IF(N1440,"",入力リスト!$K$37)))</f>
        <v/>
      </c>
      <c r="H1440" s="215"/>
      <c r="I1440" s="1" t="b">
        <f>IF(B1440="",FALSE,COUNTIF('従業員情報(給与以外)'!$A$4:$A$1000000,$B1440)=0)</f>
        <v>0</v>
      </c>
      <c r="J1440" s="8" t="b">
        <f t="shared" si="110"/>
        <v>1</v>
      </c>
      <c r="K1440" s="8" t="b">
        <f t="shared" si="111"/>
        <v>1</v>
      </c>
      <c r="L1440" s="8" t="b">
        <f t="shared" si="112"/>
        <v>1</v>
      </c>
      <c r="M1440" s="8" t="b">
        <f t="shared" si="113"/>
        <v>1</v>
      </c>
      <c r="N1440" s="1" t="b">
        <f t="shared" si="114"/>
        <v>1</v>
      </c>
      <c r="O1440" s="8" t="str">
        <f>IF(F1440="","",IF($F$2=入力リスト!$H$25,ROUNDDOWN(INT(F1440)+ROUNDDOWN((F1440-INT(F1440))*100,0)/60,2),F1440))</f>
        <v/>
      </c>
      <c r="P1440" s="7"/>
      <c r="Q1440" s="7"/>
    </row>
    <row r="1441" spans="1:17">
      <c r="A1441" s="105"/>
      <c r="B1441" s="2"/>
      <c r="C1441" s="3"/>
      <c r="D1441" s="3"/>
      <c r="E1441" s="3"/>
      <c r="F1441" s="8"/>
      <c r="G1441" s="215" t="str">
        <f>IF(AND($B1441="",OR(B1441&lt;&gt;"",C1441&lt;&gt;"",D1441&lt;&gt;"",E1441&lt;&gt;"",F1441&lt;&gt;"")),入力リスト!$K$34,IF($I1441=TRUE,入力リスト!$K$35,IF(J1441=FALSE,"「毎月の固定給与額」","")&amp;IF(AND(J1441=FALSE,OR(K1441=FALSE,L1441=FALSE,M1441=FALSE)),",","")&amp;IF(K1441=FALSE,"「賞与額等」","")&amp;IF(AND(K1441=FALSE,OR(L1441=FALSE,M1441=FALSE)),",","")&amp;IF(L1441=FALSE,"「残業手当」","")&amp;IF(AND(L1441=FALSE,M1441=FALSE),",","")&amp;IF(M1441=FALSE,"「残業時間」","")&amp;IF(OR(J1441=FALSE,K1441=FALSE,L1441=FALSE,M1441=FALSE),入力リスト!$K$36,"")&amp;IF(N1441,"",入力リスト!$K$37)))</f>
        <v/>
      </c>
      <c r="H1441" s="215"/>
      <c r="I1441" s="1" t="b">
        <f>IF(B1441="",FALSE,COUNTIF('従業員情報(給与以外)'!$A$4:$A$1000000,$B1441)=0)</f>
        <v>0</v>
      </c>
      <c r="J1441" s="8" t="b">
        <f t="shared" si="110"/>
        <v>1</v>
      </c>
      <c r="K1441" s="8" t="b">
        <f t="shared" si="111"/>
        <v>1</v>
      </c>
      <c r="L1441" s="8" t="b">
        <f t="shared" si="112"/>
        <v>1</v>
      </c>
      <c r="M1441" s="8" t="b">
        <f t="shared" si="113"/>
        <v>1</v>
      </c>
      <c r="N1441" s="1" t="b">
        <f t="shared" si="114"/>
        <v>1</v>
      </c>
      <c r="O1441" s="8" t="str">
        <f>IF(F1441="","",IF($F$2=入力リスト!$H$25,ROUNDDOWN(INT(F1441)+ROUNDDOWN((F1441-INT(F1441))*100,0)/60,2),F1441))</f>
        <v/>
      </c>
      <c r="P1441" s="7"/>
      <c r="Q1441" s="7"/>
    </row>
    <row r="1442" spans="1:17">
      <c r="A1442" s="105"/>
      <c r="B1442" s="2"/>
      <c r="C1442" s="3"/>
      <c r="D1442" s="3"/>
      <c r="E1442" s="3"/>
      <c r="F1442" s="8"/>
      <c r="G1442" s="215" t="str">
        <f>IF(AND($B1442="",OR(B1442&lt;&gt;"",C1442&lt;&gt;"",D1442&lt;&gt;"",E1442&lt;&gt;"",F1442&lt;&gt;"")),入力リスト!$K$34,IF($I1442=TRUE,入力リスト!$K$35,IF(J1442=FALSE,"「毎月の固定給与額」","")&amp;IF(AND(J1442=FALSE,OR(K1442=FALSE,L1442=FALSE,M1442=FALSE)),",","")&amp;IF(K1442=FALSE,"「賞与額等」","")&amp;IF(AND(K1442=FALSE,OR(L1442=FALSE,M1442=FALSE)),",","")&amp;IF(L1442=FALSE,"「残業手当」","")&amp;IF(AND(L1442=FALSE,M1442=FALSE),",","")&amp;IF(M1442=FALSE,"「残業時間」","")&amp;IF(OR(J1442=FALSE,K1442=FALSE,L1442=FALSE,M1442=FALSE),入力リスト!$K$36,"")&amp;IF(N1442,"",入力リスト!$K$37)))</f>
        <v/>
      </c>
      <c r="H1442" s="215"/>
      <c r="I1442" s="1" t="b">
        <f>IF(B1442="",FALSE,COUNTIF('従業員情報(給与以外)'!$A$4:$A$1000000,$B1442)=0)</f>
        <v>0</v>
      </c>
      <c r="J1442" s="8" t="b">
        <f t="shared" si="110"/>
        <v>1</v>
      </c>
      <c r="K1442" s="8" t="b">
        <f t="shared" si="111"/>
        <v>1</v>
      </c>
      <c r="L1442" s="8" t="b">
        <f t="shared" si="112"/>
        <v>1</v>
      </c>
      <c r="M1442" s="8" t="b">
        <f t="shared" si="113"/>
        <v>1</v>
      </c>
      <c r="N1442" s="1" t="b">
        <f t="shared" si="114"/>
        <v>1</v>
      </c>
      <c r="O1442" s="8" t="str">
        <f>IF(F1442="","",IF($F$2=入力リスト!$H$25,ROUNDDOWN(INT(F1442)+ROUNDDOWN((F1442-INT(F1442))*100,0)/60,2),F1442))</f>
        <v/>
      </c>
      <c r="P1442" s="7"/>
      <c r="Q1442" s="7"/>
    </row>
    <row r="1443" spans="1:17">
      <c r="A1443" s="105"/>
      <c r="B1443" s="2"/>
      <c r="C1443" s="3"/>
      <c r="D1443" s="3"/>
      <c r="E1443" s="3"/>
      <c r="F1443" s="8"/>
      <c r="G1443" s="215" t="str">
        <f>IF(AND($B1443="",OR(B1443&lt;&gt;"",C1443&lt;&gt;"",D1443&lt;&gt;"",E1443&lt;&gt;"",F1443&lt;&gt;"")),入力リスト!$K$34,IF($I1443=TRUE,入力リスト!$K$35,IF(J1443=FALSE,"「毎月の固定給与額」","")&amp;IF(AND(J1443=FALSE,OR(K1443=FALSE,L1443=FALSE,M1443=FALSE)),",","")&amp;IF(K1443=FALSE,"「賞与額等」","")&amp;IF(AND(K1443=FALSE,OR(L1443=FALSE,M1443=FALSE)),",","")&amp;IF(L1443=FALSE,"「残業手当」","")&amp;IF(AND(L1443=FALSE,M1443=FALSE),",","")&amp;IF(M1443=FALSE,"「残業時間」","")&amp;IF(OR(J1443=FALSE,K1443=FALSE,L1443=FALSE,M1443=FALSE),入力リスト!$K$36,"")&amp;IF(N1443,"",入力リスト!$K$37)))</f>
        <v/>
      </c>
      <c r="H1443" s="215"/>
      <c r="I1443" s="1" t="b">
        <f>IF(B1443="",FALSE,COUNTIF('従業員情報(給与以外)'!$A$4:$A$1000000,$B1443)=0)</f>
        <v>0</v>
      </c>
      <c r="J1443" s="8" t="b">
        <f t="shared" si="110"/>
        <v>1</v>
      </c>
      <c r="K1443" s="8" t="b">
        <f t="shared" si="111"/>
        <v>1</v>
      </c>
      <c r="L1443" s="8" t="b">
        <f t="shared" si="112"/>
        <v>1</v>
      </c>
      <c r="M1443" s="8" t="b">
        <f t="shared" si="113"/>
        <v>1</v>
      </c>
      <c r="N1443" s="1" t="b">
        <f t="shared" si="114"/>
        <v>1</v>
      </c>
      <c r="O1443" s="8" t="str">
        <f>IF(F1443="","",IF($F$2=入力リスト!$H$25,ROUNDDOWN(INT(F1443)+ROUNDDOWN((F1443-INT(F1443))*100,0)/60,2),F1443))</f>
        <v/>
      </c>
      <c r="P1443" s="7"/>
      <c r="Q1443" s="7"/>
    </row>
    <row r="1444" spans="1:17">
      <c r="A1444" s="105"/>
      <c r="B1444" s="2"/>
      <c r="C1444" s="3"/>
      <c r="D1444" s="3"/>
      <c r="E1444" s="3"/>
      <c r="F1444" s="8"/>
      <c r="G1444" s="215" t="str">
        <f>IF(AND($B1444="",OR(B1444&lt;&gt;"",C1444&lt;&gt;"",D1444&lt;&gt;"",E1444&lt;&gt;"",F1444&lt;&gt;"")),入力リスト!$K$34,IF($I1444=TRUE,入力リスト!$K$35,IF(J1444=FALSE,"「毎月の固定給与額」","")&amp;IF(AND(J1444=FALSE,OR(K1444=FALSE,L1444=FALSE,M1444=FALSE)),",","")&amp;IF(K1444=FALSE,"「賞与額等」","")&amp;IF(AND(K1444=FALSE,OR(L1444=FALSE,M1444=FALSE)),",","")&amp;IF(L1444=FALSE,"「残業手当」","")&amp;IF(AND(L1444=FALSE,M1444=FALSE),",","")&amp;IF(M1444=FALSE,"「残業時間」","")&amp;IF(OR(J1444=FALSE,K1444=FALSE,L1444=FALSE,M1444=FALSE),入力リスト!$K$36,"")&amp;IF(N1444,"",入力リスト!$K$37)))</f>
        <v/>
      </c>
      <c r="H1444" s="215"/>
      <c r="I1444" s="1" t="b">
        <f>IF(B1444="",FALSE,COUNTIF('従業員情報(給与以外)'!$A$4:$A$1000000,$B1444)=0)</f>
        <v>0</v>
      </c>
      <c r="J1444" s="8" t="b">
        <f t="shared" si="110"/>
        <v>1</v>
      </c>
      <c r="K1444" s="8" t="b">
        <f t="shared" si="111"/>
        <v>1</v>
      </c>
      <c r="L1444" s="8" t="b">
        <f t="shared" si="112"/>
        <v>1</v>
      </c>
      <c r="M1444" s="8" t="b">
        <f t="shared" si="113"/>
        <v>1</v>
      </c>
      <c r="N1444" s="1" t="b">
        <f t="shared" si="114"/>
        <v>1</v>
      </c>
      <c r="O1444" s="8" t="str">
        <f>IF(F1444="","",IF($F$2=入力リスト!$H$25,ROUNDDOWN(INT(F1444)+ROUNDDOWN((F1444-INT(F1444))*100,0)/60,2),F1444))</f>
        <v/>
      </c>
      <c r="P1444" s="7"/>
      <c r="Q1444" s="7"/>
    </row>
    <row r="1445" spans="1:17">
      <c r="A1445" s="105"/>
      <c r="B1445" s="2"/>
      <c r="C1445" s="3"/>
      <c r="D1445" s="3"/>
      <c r="E1445" s="3"/>
      <c r="F1445" s="8"/>
      <c r="G1445" s="215" t="str">
        <f>IF(AND($B1445="",OR(B1445&lt;&gt;"",C1445&lt;&gt;"",D1445&lt;&gt;"",E1445&lt;&gt;"",F1445&lt;&gt;"")),入力リスト!$K$34,IF($I1445=TRUE,入力リスト!$K$35,IF(J1445=FALSE,"「毎月の固定給与額」","")&amp;IF(AND(J1445=FALSE,OR(K1445=FALSE,L1445=FALSE,M1445=FALSE)),",","")&amp;IF(K1445=FALSE,"「賞与額等」","")&amp;IF(AND(K1445=FALSE,OR(L1445=FALSE,M1445=FALSE)),",","")&amp;IF(L1445=FALSE,"「残業手当」","")&amp;IF(AND(L1445=FALSE,M1445=FALSE),",","")&amp;IF(M1445=FALSE,"「残業時間」","")&amp;IF(OR(J1445=FALSE,K1445=FALSE,L1445=FALSE,M1445=FALSE),入力リスト!$K$36,"")&amp;IF(N1445,"",入力リスト!$K$37)))</f>
        <v/>
      </c>
      <c r="H1445" s="215"/>
      <c r="I1445" s="1" t="b">
        <f>IF(B1445="",FALSE,COUNTIF('従業員情報(給与以外)'!$A$4:$A$1000000,$B1445)=0)</f>
        <v>0</v>
      </c>
      <c r="J1445" s="8" t="b">
        <f t="shared" si="110"/>
        <v>1</v>
      </c>
      <c r="K1445" s="8" t="b">
        <f t="shared" si="111"/>
        <v>1</v>
      </c>
      <c r="L1445" s="8" t="b">
        <f t="shared" si="112"/>
        <v>1</v>
      </c>
      <c r="M1445" s="8" t="b">
        <f t="shared" si="113"/>
        <v>1</v>
      </c>
      <c r="N1445" s="1" t="b">
        <f t="shared" si="114"/>
        <v>1</v>
      </c>
      <c r="O1445" s="8" t="str">
        <f>IF(F1445="","",IF($F$2=入力リスト!$H$25,ROUNDDOWN(INT(F1445)+ROUNDDOWN((F1445-INT(F1445))*100,0)/60,2),F1445))</f>
        <v/>
      </c>
      <c r="P1445" s="7"/>
      <c r="Q1445" s="7"/>
    </row>
    <row r="1446" spans="1:17">
      <c r="A1446" s="105"/>
      <c r="B1446" s="2"/>
      <c r="C1446" s="3"/>
      <c r="D1446" s="3"/>
      <c r="E1446" s="3"/>
      <c r="F1446" s="8"/>
      <c r="G1446" s="215" t="str">
        <f>IF(AND($B1446="",OR(B1446&lt;&gt;"",C1446&lt;&gt;"",D1446&lt;&gt;"",E1446&lt;&gt;"",F1446&lt;&gt;"")),入力リスト!$K$34,IF($I1446=TRUE,入力リスト!$K$35,IF(J1446=FALSE,"「毎月の固定給与額」","")&amp;IF(AND(J1446=FALSE,OR(K1446=FALSE,L1446=FALSE,M1446=FALSE)),",","")&amp;IF(K1446=FALSE,"「賞与額等」","")&amp;IF(AND(K1446=FALSE,OR(L1446=FALSE,M1446=FALSE)),",","")&amp;IF(L1446=FALSE,"「残業手当」","")&amp;IF(AND(L1446=FALSE,M1446=FALSE),",","")&amp;IF(M1446=FALSE,"「残業時間」","")&amp;IF(OR(J1446=FALSE,K1446=FALSE,L1446=FALSE,M1446=FALSE),入力リスト!$K$36,"")&amp;IF(N1446,"",入力リスト!$K$37)))</f>
        <v/>
      </c>
      <c r="H1446" s="215"/>
      <c r="I1446" s="1" t="b">
        <f>IF(B1446="",FALSE,COUNTIF('従業員情報(給与以外)'!$A$4:$A$1000000,$B1446)=0)</f>
        <v>0</v>
      </c>
      <c r="J1446" s="8" t="b">
        <f t="shared" si="110"/>
        <v>1</v>
      </c>
      <c r="K1446" s="8" t="b">
        <f t="shared" si="111"/>
        <v>1</v>
      </c>
      <c r="L1446" s="8" t="b">
        <f t="shared" si="112"/>
        <v>1</v>
      </c>
      <c r="M1446" s="8" t="b">
        <f t="shared" si="113"/>
        <v>1</v>
      </c>
      <c r="N1446" s="1" t="b">
        <f t="shared" si="114"/>
        <v>1</v>
      </c>
      <c r="O1446" s="8" t="str">
        <f>IF(F1446="","",IF($F$2=入力リスト!$H$25,ROUNDDOWN(INT(F1446)+ROUNDDOWN((F1446-INT(F1446))*100,0)/60,2),F1446))</f>
        <v/>
      </c>
      <c r="P1446" s="7"/>
      <c r="Q1446" s="7"/>
    </row>
    <row r="1447" spans="1:17">
      <c r="A1447" s="105"/>
      <c r="B1447" s="2"/>
      <c r="C1447" s="3"/>
      <c r="D1447" s="3"/>
      <c r="E1447" s="3"/>
      <c r="F1447" s="8"/>
      <c r="G1447" s="215" t="str">
        <f>IF(AND($B1447="",OR(B1447&lt;&gt;"",C1447&lt;&gt;"",D1447&lt;&gt;"",E1447&lt;&gt;"",F1447&lt;&gt;"")),入力リスト!$K$34,IF($I1447=TRUE,入力リスト!$K$35,IF(J1447=FALSE,"「毎月の固定給与額」","")&amp;IF(AND(J1447=FALSE,OR(K1447=FALSE,L1447=FALSE,M1447=FALSE)),",","")&amp;IF(K1447=FALSE,"「賞与額等」","")&amp;IF(AND(K1447=FALSE,OR(L1447=FALSE,M1447=FALSE)),",","")&amp;IF(L1447=FALSE,"「残業手当」","")&amp;IF(AND(L1447=FALSE,M1447=FALSE),",","")&amp;IF(M1447=FALSE,"「残業時間」","")&amp;IF(OR(J1447=FALSE,K1447=FALSE,L1447=FALSE,M1447=FALSE),入力リスト!$K$36,"")&amp;IF(N1447,"",入力リスト!$K$37)))</f>
        <v/>
      </c>
      <c r="H1447" s="215"/>
      <c r="I1447" s="1" t="b">
        <f>IF(B1447="",FALSE,COUNTIF('従業員情報(給与以外)'!$A$4:$A$1000000,$B1447)=0)</f>
        <v>0</v>
      </c>
      <c r="J1447" s="8" t="b">
        <f t="shared" si="110"/>
        <v>1</v>
      </c>
      <c r="K1447" s="8" t="b">
        <f t="shared" si="111"/>
        <v>1</v>
      </c>
      <c r="L1447" s="8" t="b">
        <f t="shared" si="112"/>
        <v>1</v>
      </c>
      <c r="M1447" s="8" t="b">
        <f t="shared" si="113"/>
        <v>1</v>
      </c>
      <c r="N1447" s="1" t="b">
        <f t="shared" si="114"/>
        <v>1</v>
      </c>
      <c r="O1447" s="8" t="str">
        <f>IF(F1447="","",IF($F$2=入力リスト!$H$25,ROUNDDOWN(INT(F1447)+ROUNDDOWN((F1447-INT(F1447))*100,0)/60,2),F1447))</f>
        <v/>
      </c>
      <c r="P1447" s="7"/>
      <c r="Q1447" s="7"/>
    </row>
    <row r="1448" spans="1:17">
      <c r="A1448" s="105"/>
      <c r="B1448" s="2"/>
      <c r="C1448" s="3"/>
      <c r="D1448" s="3"/>
      <c r="E1448" s="3"/>
      <c r="F1448" s="8"/>
      <c r="G1448" s="215" t="str">
        <f>IF(AND($B1448="",OR(B1448&lt;&gt;"",C1448&lt;&gt;"",D1448&lt;&gt;"",E1448&lt;&gt;"",F1448&lt;&gt;"")),入力リスト!$K$34,IF($I1448=TRUE,入力リスト!$K$35,IF(J1448=FALSE,"「毎月の固定給与額」","")&amp;IF(AND(J1448=FALSE,OR(K1448=FALSE,L1448=FALSE,M1448=FALSE)),",","")&amp;IF(K1448=FALSE,"「賞与額等」","")&amp;IF(AND(K1448=FALSE,OR(L1448=FALSE,M1448=FALSE)),",","")&amp;IF(L1448=FALSE,"「残業手当」","")&amp;IF(AND(L1448=FALSE,M1448=FALSE),",","")&amp;IF(M1448=FALSE,"「残業時間」","")&amp;IF(OR(J1448=FALSE,K1448=FALSE,L1448=FALSE,M1448=FALSE),入力リスト!$K$36,"")&amp;IF(N1448,"",入力リスト!$K$37)))</f>
        <v/>
      </c>
      <c r="H1448" s="215"/>
      <c r="I1448" s="1" t="b">
        <f>IF(B1448="",FALSE,COUNTIF('従業員情報(給与以外)'!$A$4:$A$1000000,$B1448)=0)</f>
        <v>0</v>
      </c>
      <c r="J1448" s="8" t="b">
        <f t="shared" si="110"/>
        <v>1</v>
      </c>
      <c r="K1448" s="8" t="b">
        <f t="shared" si="111"/>
        <v>1</v>
      </c>
      <c r="L1448" s="8" t="b">
        <f t="shared" si="112"/>
        <v>1</v>
      </c>
      <c r="M1448" s="8" t="b">
        <f t="shared" si="113"/>
        <v>1</v>
      </c>
      <c r="N1448" s="1" t="b">
        <f t="shared" si="114"/>
        <v>1</v>
      </c>
      <c r="O1448" s="8" t="str">
        <f>IF(F1448="","",IF($F$2=入力リスト!$H$25,ROUNDDOWN(INT(F1448)+ROUNDDOWN((F1448-INT(F1448))*100,0)/60,2),F1448))</f>
        <v/>
      </c>
      <c r="P1448" s="7"/>
      <c r="Q1448" s="7"/>
    </row>
    <row r="1449" spans="1:17">
      <c r="A1449" s="105"/>
      <c r="B1449" s="2"/>
      <c r="C1449" s="3"/>
      <c r="D1449" s="3"/>
      <c r="E1449" s="3"/>
      <c r="F1449" s="8"/>
      <c r="G1449" s="215" t="str">
        <f>IF(AND($B1449="",OR(B1449&lt;&gt;"",C1449&lt;&gt;"",D1449&lt;&gt;"",E1449&lt;&gt;"",F1449&lt;&gt;"")),入力リスト!$K$34,IF($I1449=TRUE,入力リスト!$K$35,IF(J1449=FALSE,"「毎月の固定給与額」","")&amp;IF(AND(J1449=FALSE,OR(K1449=FALSE,L1449=FALSE,M1449=FALSE)),",","")&amp;IF(K1449=FALSE,"「賞与額等」","")&amp;IF(AND(K1449=FALSE,OR(L1449=FALSE,M1449=FALSE)),",","")&amp;IF(L1449=FALSE,"「残業手当」","")&amp;IF(AND(L1449=FALSE,M1449=FALSE),",","")&amp;IF(M1449=FALSE,"「残業時間」","")&amp;IF(OR(J1449=FALSE,K1449=FALSE,L1449=FALSE,M1449=FALSE),入力リスト!$K$36,"")&amp;IF(N1449,"",入力リスト!$K$37)))</f>
        <v/>
      </c>
      <c r="H1449" s="215"/>
      <c r="I1449" s="1" t="b">
        <f>IF(B1449="",FALSE,COUNTIF('従業員情報(給与以外)'!$A$4:$A$1000000,$B1449)=0)</f>
        <v>0</v>
      </c>
      <c r="J1449" s="8" t="b">
        <f t="shared" si="110"/>
        <v>1</v>
      </c>
      <c r="K1449" s="8" t="b">
        <f t="shared" si="111"/>
        <v>1</v>
      </c>
      <c r="L1449" s="8" t="b">
        <f t="shared" si="112"/>
        <v>1</v>
      </c>
      <c r="M1449" s="8" t="b">
        <f t="shared" si="113"/>
        <v>1</v>
      </c>
      <c r="N1449" s="1" t="b">
        <f t="shared" si="114"/>
        <v>1</v>
      </c>
      <c r="O1449" s="8" t="str">
        <f>IF(F1449="","",IF($F$2=入力リスト!$H$25,ROUNDDOWN(INT(F1449)+ROUNDDOWN((F1449-INT(F1449))*100,0)/60,2),F1449))</f>
        <v/>
      </c>
      <c r="P1449" s="7"/>
      <c r="Q1449" s="7"/>
    </row>
    <row r="1450" spans="1:17">
      <c r="A1450" s="105"/>
      <c r="B1450" s="2"/>
      <c r="C1450" s="3"/>
      <c r="D1450" s="3"/>
      <c r="E1450" s="3"/>
      <c r="F1450" s="8"/>
      <c r="G1450" s="215" t="str">
        <f>IF(AND($B1450="",OR(B1450&lt;&gt;"",C1450&lt;&gt;"",D1450&lt;&gt;"",E1450&lt;&gt;"",F1450&lt;&gt;"")),入力リスト!$K$34,IF($I1450=TRUE,入力リスト!$K$35,IF(J1450=FALSE,"「毎月の固定給与額」","")&amp;IF(AND(J1450=FALSE,OR(K1450=FALSE,L1450=FALSE,M1450=FALSE)),",","")&amp;IF(K1450=FALSE,"「賞与額等」","")&amp;IF(AND(K1450=FALSE,OR(L1450=FALSE,M1450=FALSE)),",","")&amp;IF(L1450=FALSE,"「残業手当」","")&amp;IF(AND(L1450=FALSE,M1450=FALSE),",","")&amp;IF(M1450=FALSE,"「残業時間」","")&amp;IF(OR(J1450=FALSE,K1450=FALSE,L1450=FALSE,M1450=FALSE),入力リスト!$K$36,"")&amp;IF(N1450,"",入力リスト!$K$37)))</f>
        <v/>
      </c>
      <c r="H1450" s="215"/>
      <c r="I1450" s="1" t="b">
        <f>IF(B1450="",FALSE,COUNTIF('従業員情報(給与以外)'!$A$4:$A$1000000,$B1450)=0)</f>
        <v>0</v>
      </c>
      <c r="J1450" s="8" t="b">
        <f t="shared" si="110"/>
        <v>1</v>
      </c>
      <c r="K1450" s="8" t="b">
        <f t="shared" si="111"/>
        <v>1</v>
      </c>
      <c r="L1450" s="8" t="b">
        <f t="shared" si="112"/>
        <v>1</v>
      </c>
      <c r="M1450" s="8" t="b">
        <f t="shared" si="113"/>
        <v>1</v>
      </c>
      <c r="N1450" s="1" t="b">
        <f t="shared" si="114"/>
        <v>1</v>
      </c>
      <c r="O1450" s="8" t="str">
        <f>IF(F1450="","",IF($F$2=入力リスト!$H$25,ROUNDDOWN(INT(F1450)+ROUNDDOWN((F1450-INT(F1450))*100,0)/60,2),F1450))</f>
        <v/>
      </c>
      <c r="P1450" s="7"/>
      <c r="Q1450" s="7"/>
    </row>
    <row r="1451" spans="1:17">
      <c r="A1451" s="105"/>
      <c r="B1451" s="2"/>
      <c r="C1451" s="3"/>
      <c r="D1451" s="3"/>
      <c r="E1451" s="3"/>
      <c r="F1451" s="8"/>
      <c r="G1451" s="215" t="str">
        <f>IF(AND($B1451="",OR(B1451&lt;&gt;"",C1451&lt;&gt;"",D1451&lt;&gt;"",E1451&lt;&gt;"",F1451&lt;&gt;"")),入力リスト!$K$34,IF($I1451=TRUE,入力リスト!$K$35,IF(J1451=FALSE,"「毎月の固定給与額」","")&amp;IF(AND(J1451=FALSE,OR(K1451=FALSE,L1451=FALSE,M1451=FALSE)),",","")&amp;IF(K1451=FALSE,"「賞与額等」","")&amp;IF(AND(K1451=FALSE,OR(L1451=FALSE,M1451=FALSE)),",","")&amp;IF(L1451=FALSE,"「残業手当」","")&amp;IF(AND(L1451=FALSE,M1451=FALSE),",","")&amp;IF(M1451=FALSE,"「残業時間」","")&amp;IF(OR(J1451=FALSE,K1451=FALSE,L1451=FALSE,M1451=FALSE),入力リスト!$K$36,"")&amp;IF(N1451,"",入力リスト!$K$37)))</f>
        <v/>
      </c>
      <c r="H1451" s="215"/>
      <c r="I1451" s="1" t="b">
        <f>IF(B1451="",FALSE,COUNTIF('従業員情報(給与以外)'!$A$4:$A$1000000,$B1451)=0)</f>
        <v>0</v>
      </c>
      <c r="J1451" s="8" t="b">
        <f t="shared" si="110"/>
        <v>1</v>
      </c>
      <c r="K1451" s="8" t="b">
        <f t="shared" si="111"/>
        <v>1</v>
      </c>
      <c r="L1451" s="8" t="b">
        <f t="shared" si="112"/>
        <v>1</v>
      </c>
      <c r="M1451" s="8" t="b">
        <f t="shared" si="113"/>
        <v>1</v>
      </c>
      <c r="N1451" s="1" t="b">
        <f t="shared" si="114"/>
        <v>1</v>
      </c>
      <c r="O1451" s="8" t="str">
        <f>IF(F1451="","",IF($F$2=入力リスト!$H$25,ROUNDDOWN(INT(F1451)+ROUNDDOWN((F1451-INT(F1451))*100,0)/60,2),F1451))</f>
        <v/>
      </c>
      <c r="P1451" s="7"/>
      <c r="Q1451" s="7"/>
    </row>
    <row r="1452" spans="1:17">
      <c r="A1452" s="105"/>
      <c r="B1452" s="2"/>
      <c r="C1452" s="3"/>
      <c r="D1452" s="3"/>
      <c r="E1452" s="3"/>
      <c r="F1452" s="8"/>
      <c r="G1452" s="215" t="str">
        <f>IF(AND($B1452="",OR(B1452&lt;&gt;"",C1452&lt;&gt;"",D1452&lt;&gt;"",E1452&lt;&gt;"",F1452&lt;&gt;"")),入力リスト!$K$34,IF($I1452=TRUE,入力リスト!$K$35,IF(J1452=FALSE,"「毎月の固定給与額」","")&amp;IF(AND(J1452=FALSE,OR(K1452=FALSE,L1452=FALSE,M1452=FALSE)),",","")&amp;IF(K1452=FALSE,"「賞与額等」","")&amp;IF(AND(K1452=FALSE,OR(L1452=FALSE,M1452=FALSE)),",","")&amp;IF(L1452=FALSE,"「残業手当」","")&amp;IF(AND(L1452=FALSE,M1452=FALSE),",","")&amp;IF(M1452=FALSE,"「残業時間」","")&amp;IF(OR(J1452=FALSE,K1452=FALSE,L1452=FALSE,M1452=FALSE),入力リスト!$K$36,"")&amp;IF(N1452,"",入力リスト!$K$37)))</f>
        <v/>
      </c>
      <c r="H1452" s="215"/>
      <c r="I1452" s="1" t="b">
        <f>IF(B1452="",FALSE,COUNTIF('従業員情報(給与以外)'!$A$4:$A$1000000,$B1452)=0)</f>
        <v>0</v>
      </c>
      <c r="J1452" s="8" t="b">
        <f t="shared" si="110"/>
        <v>1</v>
      </c>
      <c r="K1452" s="8" t="b">
        <f t="shared" si="111"/>
        <v>1</v>
      </c>
      <c r="L1452" s="8" t="b">
        <f t="shared" si="112"/>
        <v>1</v>
      </c>
      <c r="M1452" s="8" t="b">
        <f t="shared" si="113"/>
        <v>1</v>
      </c>
      <c r="N1452" s="1" t="b">
        <f t="shared" si="114"/>
        <v>1</v>
      </c>
      <c r="O1452" s="8" t="str">
        <f>IF(F1452="","",IF($F$2=入力リスト!$H$25,ROUNDDOWN(INT(F1452)+ROUNDDOWN((F1452-INT(F1452))*100,0)/60,2),F1452))</f>
        <v/>
      </c>
      <c r="P1452" s="7"/>
      <c r="Q1452" s="7"/>
    </row>
    <row r="1453" spans="1:17">
      <c r="A1453" s="105"/>
      <c r="B1453" s="2"/>
      <c r="C1453" s="3"/>
      <c r="D1453" s="3"/>
      <c r="E1453" s="3"/>
      <c r="F1453" s="8"/>
      <c r="G1453" s="215" t="str">
        <f>IF(AND($B1453="",OR(B1453&lt;&gt;"",C1453&lt;&gt;"",D1453&lt;&gt;"",E1453&lt;&gt;"",F1453&lt;&gt;"")),入力リスト!$K$34,IF($I1453=TRUE,入力リスト!$K$35,IF(J1453=FALSE,"「毎月の固定給与額」","")&amp;IF(AND(J1453=FALSE,OR(K1453=FALSE,L1453=FALSE,M1453=FALSE)),",","")&amp;IF(K1453=FALSE,"「賞与額等」","")&amp;IF(AND(K1453=FALSE,OR(L1453=FALSE,M1453=FALSE)),",","")&amp;IF(L1453=FALSE,"「残業手当」","")&amp;IF(AND(L1453=FALSE,M1453=FALSE),",","")&amp;IF(M1453=FALSE,"「残業時間」","")&amp;IF(OR(J1453=FALSE,K1453=FALSE,L1453=FALSE,M1453=FALSE),入力リスト!$K$36,"")&amp;IF(N1453,"",入力リスト!$K$37)))</f>
        <v/>
      </c>
      <c r="H1453" s="215"/>
      <c r="I1453" s="1" t="b">
        <f>IF(B1453="",FALSE,COUNTIF('従業員情報(給与以外)'!$A$4:$A$1000000,$B1453)=0)</f>
        <v>0</v>
      </c>
      <c r="J1453" s="8" t="b">
        <f t="shared" si="110"/>
        <v>1</v>
      </c>
      <c r="K1453" s="8" t="b">
        <f t="shared" si="111"/>
        <v>1</v>
      </c>
      <c r="L1453" s="8" t="b">
        <f t="shared" si="112"/>
        <v>1</v>
      </c>
      <c r="M1453" s="8" t="b">
        <f t="shared" si="113"/>
        <v>1</v>
      </c>
      <c r="N1453" s="1" t="b">
        <f t="shared" si="114"/>
        <v>1</v>
      </c>
      <c r="O1453" s="8" t="str">
        <f>IF(F1453="","",IF($F$2=入力リスト!$H$25,ROUNDDOWN(INT(F1453)+ROUNDDOWN((F1453-INT(F1453))*100,0)/60,2),F1453))</f>
        <v/>
      </c>
      <c r="P1453" s="7"/>
      <c r="Q1453" s="7"/>
    </row>
    <row r="1454" spans="1:17">
      <c r="A1454" s="105"/>
      <c r="B1454" s="2"/>
      <c r="C1454" s="3"/>
      <c r="D1454" s="3"/>
      <c r="E1454" s="3"/>
      <c r="F1454" s="8"/>
      <c r="G1454" s="215" t="str">
        <f>IF(AND($B1454="",OR(B1454&lt;&gt;"",C1454&lt;&gt;"",D1454&lt;&gt;"",E1454&lt;&gt;"",F1454&lt;&gt;"")),入力リスト!$K$34,IF($I1454=TRUE,入力リスト!$K$35,IF(J1454=FALSE,"「毎月の固定給与額」","")&amp;IF(AND(J1454=FALSE,OR(K1454=FALSE,L1454=FALSE,M1454=FALSE)),",","")&amp;IF(K1454=FALSE,"「賞与額等」","")&amp;IF(AND(K1454=FALSE,OR(L1454=FALSE,M1454=FALSE)),",","")&amp;IF(L1454=FALSE,"「残業手当」","")&amp;IF(AND(L1454=FALSE,M1454=FALSE),",","")&amp;IF(M1454=FALSE,"「残業時間」","")&amp;IF(OR(J1454=FALSE,K1454=FALSE,L1454=FALSE,M1454=FALSE),入力リスト!$K$36,"")&amp;IF(N1454,"",入力リスト!$K$37)))</f>
        <v/>
      </c>
      <c r="H1454" s="215"/>
      <c r="I1454" s="1" t="b">
        <f>IF(B1454="",FALSE,COUNTIF('従業員情報(給与以外)'!$A$4:$A$1000000,$B1454)=0)</f>
        <v>0</v>
      </c>
      <c r="J1454" s="8" t="b">
        <f t="shared" si="110"/>
        <v>1</v>
      </c>
      <c r="K1454" s="8" t="b">
        <f t="shared" si="111"/>
        <v>1</v>
      </c>
      <c r="L1454" s="8" t="b">
        <f t="shared" si="112"/>
        <v>1</v>
      </c>
      <c r="M1454" s="8" t="b">
        <f t="shared" si="113"/>
        <v>1</v>
      </c>
      <c r="N1454" s="1" t="b">
        <f t="shared" si="114"/>
        <v>1</v>
      </c>
      <c r="O1454" s="8" t="str">
        <f>IF(F1454="","",IF($F$2=入力リスト!$H$25,ROUNDDOWN(INT(F1454)+ROUNDDOWN((F1454-INT(F1454))*100,0)/60,2),F1454))</f>
        <v/>
      </c>
      <c r="P1454" s="7"/>
      <c r="Q1454" s="7"/>
    </row>
    <row r="1455" spans="1:17">
      <c r="A1455" s="105"/>
      <c r="B1455" s="2"/>
      <c r="C1455" s="3"/>
      <c r="D1455" s="3"/>
      <c r="E1455" s="3"/>
      <c r="F1455" s="8"/>
      <c r="G1455" s="215" t="str">
        <f>IF(AND($B1455="",OR(B1455&lt;&gt;"",C1455&lt;&gt;"",D1455&lt;&gt;"",E1455&lt;&gt;"",F1455&lt;&gt;"")),入力リスト!$K$34,IF($I1455=TRUE,入力リスト!$K$35,IF(J1455=FALSE,"「毎月の固定給与額」","")&amp;IF(AND(J1455=FALSE,OR(K1455=FALSE,L1455=FALSE,M1455=FALSE)),",","")&amp;IF(K1455=FALSE,"「賞与額等」","")&amp;IF(AND(K1455=FALSE,OR(L1455=FALSE,M1455=FALSE)),",","")&amp;IF(L1455=FALSE,"「残業手当」","")&amp;IF(AND(L1455=FALSE,M1455=FALSE),",","")&amp;IF(M1455=FALSE,"「残業時間」","")&amp;IF(OR(J1455=FALSE,K1455=FALSE,L1455=FALSE,M1455=FALSE),入力リスト!$K$36,"")&amp;IF(N1455,"",入力リスト!$K$37)))</f>
        <v/>
      </c>
      <c r="H1455" s="215"/>
      <c r="I1455" s="1" t="b">
        <f>IF(B1455="",FALSE,COUNTIF('従業員情報(給与以外)'!$A$4:$A$1000000,$B1455)=0)</f>
        <v>0</v>
      </c>
      <c r="J1455" s="8" t="b">
        <f t="shared" si="110"/>
        <v>1</v>
      </c>
      <c r="K1455" s="8" t="b">
        <f t="shared" si="111"/>
        <v>1</v>
      </c>
      <c r="L1455" s="8" t="b">
        <f t="shared" si="112"/>
        <v>1</v>
      </c>
      <c r="M1455" s="8" t="b">
        <f t="shared" si="113"/>
        <v>1</v>
      </c>
      <c r="N1455" s="1" t="b">
        <f t="shared" si="114"/>
        <v>1</v>
      </c>
      <c r="O1455" s="8" t="str">
        <f>IF(F1455="","",IF($F$2=入力リスト!$H$25,ROUNDDOWN(INT(F1455)+ROUNDDOWN((F1455-INT(F1455))*100,0)/60,2),F1455))</f>
        <v/>
      </c>
      <c r="P1455" s="7"/>
      <c r="Q1455" s="7"/>
    </row>
    <row r="1456" spans="1:17">
      <c r="A1456" s="105"/>
      <c r="B1456" s="2"/>
      <c r="C1456" s="3"/>
      <c r="D1456" s="3"/>
      <c r="E1456" s="3"/>
      <c r="F1456" s="8"/>
      <c r="G1456" s="215" t="str">
        <f>IF(AND($B1456="",OR(B1456&lt;&gt;"",C1456&lt;&gt;"",D1456&lt;&gt;"",E1456&lt;&gt;"",F1456&lt;&gt;"")),入力リスト!$K$34,IF($I1456=TRUE,入力リスト!$K$35,IF(J1456=FALSE,"「毎月の固定給与額」","")&amp;IF(AND(J1456=FALSE,OR(K1456=FALSE,L1456=FALSE,M1456=FALSE)),",","")&amp;IF(K1456=FALSE,"「賞与額等」","")&amp;IF(AND(K1456=FALSE,OR(L1456=FALSE,M1456=FALSE)),",","")&amp;IF(L1456=FALSE,"「残業手当」","")&amp;IF(AND(L1456=FALSE,M1456=FALSE),",","")&amp;IF(M1456=FALSE,"「残業時間」","")&amp;IF(OR(J1456=FALSE,K1456=FALSE,L1456=FALSE,M1456=FALSE),入力リスト!$K$36,"")&amp;IF(N1456,"",入力リスト!$K$37)))</f>
        <v/>
      </c>
      <c r="H1456" s="215"/>
      <c r="I1456" s="1" t="b">
        <f>IF(B1456="",FALSE,COUNTIF('従業員情報(給与以外)'!$A$4:$A$1000000,$B1456)=0)</f>
        <v>0</v>
      </c>
      <c r="J1456" s="8" t="b">
        <f t="shared" si="110"/>
        <v>1</v>
      </c>
      <c r="K1456" s="8" t="b">
        <f t="shared" si="111"/>
        <v>1</v>
      </c>
      <c r="L1456" s="8" t="b">
        <f t="shared" si="112"/>
        <v>1</v>
      </c>
      <c r="M1456" s="8" t="b">
        <f t="shared" si="113"/>
        <v>1</v>
      </c>
      <c r="N1456" s="1" t="b">
        <f t="shared" si="114"/>
        <v>1</v>
      </c>
      <c r="O1456" s="8" t="str">
        <f>IF(F1456="","",IF($F$2=入力リスト!$H$25,ROUNDDOWN(INT(F1456)+ROUNDDOWN((F1456-INT(F1456))*100,0)/60,2),F1456))</f>
        <v/>
      </c>
      <c r="P1456" s="7"/>
      <c r="Q1456" s="7"/>
    </row>
    <row r="1457" spans="1:17">
      <c r="A1457" s="105"/>
      <c r="B1457" s="2"/>
      <c r="C1457" s="3"/>
      <c r="D1457" s="3"/>
      <c r="E1457" s="3"/>
      <c r="F1457" s="8"/>
      <c r="G1457" s="215" t="str">
        <f>IF(AND($B1457="",OR(B1457&lt;&gt;"",C1457&lt;&gt;"",D1457&lt;&gt;"",E1457&lt;&gt;"",F1457&lt;&gt;"")),入力リスト!$K$34,IF($I1457=TRUE,入力リスト!$K$35,IF(J1457=FALSE,"「毎月の固定給与額」","")&amp;IF(AND(J1457=FALSE,OR(K1457=FALSE,L1457=FALSE,M1457=FALSE)),",","")&amp;IF(K1457=FALSE,"「賞与額等」","")&amp;IF(AND(K1457=FALSE,OR(L1457=FALSE,M1457=FALSE)),",","")&amp;IF(L1457=FALSE,"「残業手当」","")&amp;IF(AND(L1457=FALSE,M1457=FALSE),",","")&amp;IF(M1457=FALSE,"「残業時間」","")&amp;IF(OR(J1457=FALSE,K1457=FALSE,L1457=FALSE,M1457=FALSE),入力リスト!$K$36,"")&amp;IF(N1457,"",入力リスト!$K$37)))</f>
        <v/>
      </c>
      <c r="H1457" s="215"/>
      <c r="I1457" s="1" t="b">
        <f>IF(B1457="",FALSE,COUNTIF('従業員情報(給与以外)'!$A$4:$A$1000000,$B1457)=0)</f>
        <v>0</v>
      </c>
      <c r="J1457" s="8" t="b">
        <f t="shared" si="110"/>
        <v>1</v>
      </c>
      <c r="K1457" s="8" t="b">
        <f t="shared" si="111"/>
        <v>1</v>
      </c>
      <c r="L1457" s="8" t="b">
        <f t="shared" si="112"/>
        <v>1</v>
      </c>
      <c r="M1457" s="8" t="b">
        <f t="shared" si="113"/>
        <v>1</v>
      </c>
      <c r="N1457" s="1" t="b">
        <f t="shared" si="114"/>
        <v>1</v>
      </c>
      <c r="O1457" s="8" t="str">
        <f>IF(F1457="","",IF($F$2=入力リスト!$H$25,ROUNDDOWN(INT(F1457)+ROUNDDOWN((F1457-INT(F1457))*100,0)/60,2),F1457))</f>
        <v/>
      </c>
      <c r="P1457" s="7"/>
      <c r="Q1457" s="7"/>
    </row>
    <row r="1458" spans="1:17">
      <c r="A1458" s="105"/>
      <c r="B1458" s="2"/>
      <c r="C1458" s="3"/>
      <c r="D1458" s="3"/>
      <c r="E1458" s="3"/>
      <c r="F1458" s="8"/>
      <c r="G1458" s="215" t="str">
        <f>IF(AND($B1458="",OR(B1458&lt;&gt;"",C1458&lt;&gt;"",D1458&lt;&gt;"",E1458&lt;&gt;"",F1458&lt;&gt;"")),入力リスト!$K$34,IF($I1458=TRUE,入力リスト!$K$35,IF(J1458=FALSE,"「毎月の固定給与額」","")&amp;IF(AND(J1458=FALSE,OR(K1458=FALSE,L1458=FALSE,M1458=FALSE)),",","")&amp;IF(K1458=FALSE,"「賞与額等」","")&amp;IF(AND(K1458=FALSE,OR(L1458=FALSE,M1458=FALSE)),",","")&amp;IF(L1458=FALSE,"「残業手当」","")&amp;IF(AND(L1458=FALSE,M1458=FALSE),",","")&amp;IF(M1458=FALSE,"「残業時間」","")&amp;IF(OR(J1458=FALSE,K1458=FALSE,L1458=FALSE,M1458=FALSE),入力リスト!$K$36,"")&amp;IF(N1458,"",入力リスト!$K$37)))</f>
        <v/>
      </c>
      <c r="H1458" s="215"/>
      <c r="I1458" s="1" t="b">
        <f>IF(B1458="",FALSE,COUNTIF('従業員情報(給与以外)'!$A$4:$A$1000000,$B1458)=0)</f>
        <v>0</v>
      </c>
      <c r="J1458" s="8" t="b">
        <f t="shared" si="110"/>
        <v>1</v>
      </c>
      <c r="K1458" s="8" t="b">
        <f t="shared" si="111"/>
        <v>1</v>
      </c>
      <c r="L1458" s="8" t="b">
        <f t="shared" si="112"/>
        <v>1</v>
      </c>
      <c r="M1458" s="8" t="b">
        <f t="shared" si="113"/>
        <v>1</v>
      </c>
      <c r="N1458" s="1" t="b">
        <f t="shared" si="114"/>
        <v>1</v>
      </c>
      <c r="O1458" s="8" t="str">
        <f>IF(F1458="","",IF($F$2=入力リスト!$H$25,ROUNDDOWN(INT(F1458)+ROUNDDOWN((F1458-INT(F1458))*100,0)/60,2),F1458))</f>
        <v/>
      </c>
      <c r="P1458" s="7"/>
      <c r="Q1458" s="7"/>
    </row>
    <row r="1459" spans="1:17">
      <c r="A1459" s="105"/>
      <c r="B1459" s="2"/>
      <c r="C1459" s="3"/>
      <c r="D1459" s="3"/>
      <c r="E1459" s="3"/>
      <c r="F1459" s="8"/>
      <c r="G1459" s="215" t="str">
        <f>IF(AND($B1459="",OR(B1459&lt;&gt;"",C1459&lt;&gt;"",D1459&lt;&gt;"",E1459&lt;&gt;"",F1459&lt;&gt;"")),入力リスト!$K$34,IF($I1459=TRUE,入力リスト!$K$35,IF(J1459=FALSE,"「毎月の固定給与額」","")&amp;IF(AND(J1459=FALSE,OR(K1459=FALSE,L1459=FALSE,M1459=FALSE)),",","")&amp;IF(K1459=FALSE,"「賞与額等」","")&amp;IF(AND(K1459=FALSE,OR(L1459=FALSE,M1459=FALSE)),",","")&amp;IF(L1459=FALSE,"「残業手当」","")&amp;IF(AND(L1459=FALSE,M1459=FALSE),",","")&amp;IF(M1459=FALSE,"「残業時間」","")&amp;IF(OR(J1459=FALSE,K1459=FALSE,L1459=FALSE,M1459=FALSE),入力リスト!$K$36,"")&amp;IF(N1459,"",入力リスト!$K$37)))</f>
        <v/>
      </c>
      <c r="H1459" s="215"/>
      <c r="I1459" s="1" t="b">
        <f>IF(B1459="",FALSE,COUNTIF('従業員情報(給与以外)'!$A$4:$A$1000000,$B1459)=0)</f>
        <v>0</v>
      </c>
      <c r="J1459" s="8" t="b">
        <f t="shared" si="110"/>
        <v>1</v>
      </c>
      <c r="K1459" s="8" t="b">
        <f t="shared" si="111"/>
        <v>1</v>
      </c>
      <c r="L1459" s="8" t="b">
        <f t="shared" si="112"/>
        <v>1</v>
      </c>
      <c r="M1459" s="8" t="b">
        <f t="shared" si="113"/>
        <v>1</v>
      </c>
      <c r="N1459" s="1" t="b">
        <f t="shared" si="114"/>
        <v>1</v>
      </c>
      <c r="O1459" s="8" t="str">
        <f>IF(F1459="","",IF($F$2=入力リスト!$H$25,ROUNDDOWN(INT(F1459)+ROUNDDOWN((F1459-INT(F1459))*100,0)/60,2),F1459))</f>
        <v/>
      </c>
      <c r="P1459" s="7"/>
      <c r="Q1459" s="7"/>
    </row>
    <row r="1460" spans="1:17">
      <c r="A1460" s="105"/>
      <c r="B1460" s="2"/>
      <c r="C1460" s="3"/>
      <c r="D1460" s="3"/>
      <c r="E1460" s="3"/>
      <c r="F1460" s="8"/>
      <c r="G1460" s="215" t="str">
        <f>IF(AND($B1460="",OR(B1460&lt;&gt;"",C1460&lt;&gt;"",D1460&lt;&gt;"",E1460&lt;&gt;"",F1460&lt;&gt;"")),入力リスト!$K$34,IF($I1460=TRUE,入力リスト!$K$35,IF(J1460=FALSE,"「毎月の固定給与額」","")&amp;IF(AND(J1460=FALSE,OR(K1460=FALSE,L1460=FALSE,M1460=FALSE)),",","")&amp;IF(K1460=FALSE,"「賞与額等」","")&amp;IF(AND(K1460=FALSE,OR(L1460=FALSE,M1460=FALSE)),",","")&amp;IF(L1460=FALSE,"「残業手当」","")&amp;IF(AND(L1460=FALSE,M1460=FALSE),",","")&amp;IF(M1460=FALSE,"「残業時間」","")&amp;IF(OR(J1460=FALSE,K1460=FALSE,L1460=FALSE,M1460=FALSE),入力リスト!$K$36,"")&amp;IF(N1460,"",入力リスト!$K$37)))</f>
        <v/>
      </c>
      <c r="H1460" s="215"/>
      <c r="I1460" s="1" t="b">
        <f>IF(B1460="",FALSE,COUNTIF('従業員情報(給与以外)'!$A$4:$A$1000000,$B1460)=0)</f>
        <v>0</v>
      </c>
      <c r="J1460" s="8" t="b">
        <f t="shared" si="110"/>
        <v>1</v>
      </c>
      <c r="K1460" s="8" t="b">
        <f t="shared" si="111"/>
        <v>1</v>
      </c>
      <c r="L1460" s="8" t="b">
        <f t="shared" si="112"/>
        <v>1</v>
      </c>
      <c r="M1460" s="8" t="b">
        <f t="shared" si="113"/>
        <v>1</v>
      </c>
      <c r="N1460" s="1" t="b">
        <f t="shared" si="114"/>
        <v>1</v>
      </c>
      <c r="O1460" s="8" t="str">
        <f>IF(F1460="","",IF($F$2=入力リスト!$H$25,ROUNDDOWN(INT(F1460)+ROUNDDOWN((F1460-INT(F1460))*100,0)/60,2),F1460))</f>
        <v/>
      </c>
      <c r="P1460" s="7"/>
      <c r="Q1460" s="7"/>
    </row>
    <row r="1461" spans="1:17">
      <c r="A1461" s="105"/>
      <c r="B1461" s="2"/>
      <c r="C1461" s="3"/>
      <c r="D1461" s="3"/>
      <c r="E1461" s="3"/>
      <c r="F1461" s="8"/>
      <c r="G1461" s="215" t="str">
        <f>IF(AND($B1461="",OR(B1461&lt;&gt;"",C1461&lt;&gt;"",D1461&lt;&gt;"",E1461&lt;&gt;"",F1461&lt;&gt;"")),入力リスト!$K$34,IF($I1461=TRUE,入力リスト!$K$35,IF(J1461=FALSE,"「毎月の固定給与額」","")&amp;IF(AND(J1461=FALSE,OR(K1461=FALSE,L1461=FALSE,M1461=FALSE)),",","")&amp;IF(K1461=FALSE,"「賞与額等」","")&amp;IF(AND(K1461=FALSE,OR(L1461=FALSE,M1461=FALSE)),",","")&amp;IF(L1461=FALSE,"「残業手当」","")&amp;IF(AND(L1461=FALSE,M1461=FALSE),",","")&amp;IF(M1461=FALSE,"「残業時間」","")&amp;IF(OR(J1461=FALSE,K1461=FALSE,L1461=FALSE,M1461=FALSE),入力リスト!$K$36,"")&amp;IF(N1461,"",入力リスト!$K$37)))</f>
        <v/>
      </c>
      <c r="H1461" s="215"/>
      <c r="I1461" s="1" t="b">
        <f>IF(B1461="",FALSE,COUNTIF('従業員情報(給与以外)'!$A$4:$A$1000000,$B1461)=0)</f>
        <v>0</v>
      </c>
      <c r="J1461" s="8" t="b">
        <f t="shared" si="110"/>
        <v>1</v>
      </c>
      <c r="K1461" s="8" t="b">
        <f t="shared" si="111"/>
        <v>1</v>
      </c>
      <c r="L1461" s="8" t="b">
        <f t="shared" si="112"/>
        <v>1</v>
      </c>
      <c r="M1461" s="8" t="b">
        <f t="shared" si="113"/>
        <v>1</v>
      </c>
      <c r="N1461" s="1" t="b">
        <f t="shared" si="114"/>
        <v>1</v>
      </c>
      <c r="O1461" s="8" t="str">
        <f>IF(F1461="","",IF($F$2=入力リスト!$H$25,ROUNDDOWN(INT(F1461)+ROUNDDOWN((F1461-INT(F1461))*100,0)/60,2),F1461))</f>
        <v/>
      </c>
      <c r="P1461" s="7"/>
      <c r="Q1461" s="7"/>
    </row>
    <row r="1462" spans="1:17">
      <c r="A1462" s="105"/>
      <c r="B1462" s="2"/>
      <c r="C1462" s="3"/>
      <c r="D1462" s="3"/>
      <c r="E1462" s="3"/>
      <c r="F1462" s="8"/>
      <c r="G1462" s="215" t="str">
        <f>IF(AND($B1462="",OR(B1462&lt;&gt;"",C1462&lt;&gt;"",D1462&lt;&gt;"",E1462&lt;&gt;"",F1462&lt;&gt;"")),入力リスト!$K$34,IF($I1462=TRUE,入力リスト!$K$35,IF(J1462=FALSE,"「毎月の固定給与額」","")&amp;IF(AND(J1462=FALSE,OR(K1462=FALSE,L1462=FALSE,M1462=FALSE)),",","")&amp;IF(K1462=FALSE,"「賞与額等」","")&amp;IF(AND(K1462=FALSE,OR(L1462=FALSE,M1462=FALSE)),",","")&amp;IF(L1462=FALSE,"「残業手当」","")&amp;IF(AND(L1462=FALSE,M1462=FALSE),",","")&amp;IF(M1462=FALSE,"「残業時間」","")&amp;IF(OR(J1462=FALSE,K1462=FALSE,L1462=FALSE,M1462=FALSE),入力リスト!$K$36,"")&amp;IF(N1462,"",入力リスト!$K$37)))</f>
        <v/>
      </c>
      <c r="H1462" s="215"/>
      <c r="I1462" s="1" t="b">
        <f>IF(B1462="",FALSE,COUNTIF('従業員情報(給与以外)'!$A$4:$A$1000000,$B1462)=0)</f>
        <v>0</v>
      </c>
      <c r="J1462" s="8" t="b">
        <f t="shared" si="110"/>
        <v>1</v>
      </c>
      <c r="K1462" s="8" t="b">
        <f t="shared" si="111"/>
        <v>1</v>
      </c>
      <c r="L1462" s="8" t="b">
        <f t="shared" si="112"/>
        <v>1</v>
      </c>
      <c r="M1462" s="8" t="b">
        <f t="shared" si="113"/>
        <v>1</v>
      </c>
      <c r="N1462" s="1" t="b">
        <f t="shared" si="114"/>
        <v>1</v>
      </c>
      <c r="O1462" s="8" t="str">
        <f>IF(F1462="","",IF($F$2=入力リスト!$H$25,ROUNDDOWN(INT(F1462)+ROUNDDOWN((F1462-INT(F1462))*100,0)/60,2),F1462))</f>
        <v/>
      </c>
      <c r="P1462" s="7"/>
      <c r="Q1462" s="7"/>
    </row>
    <row r="1463" spans="1:17">
      <c r="A1463" s="105"/>
      <c r="B1463" s="2"/>
      <c r="C1463" s="3"/>
      <c r="D1463" s="3"/>
      <c r="E1463" s="3"/>
      <c r="F1463" s="8"/>
      <c r="G1463" s="215" t="str">
        <f>IF(AND($B1463="",OR(B1463&lt;&gt;"",C1463&lt;&gt;"",D1463&lt;&gt;"",E1463&lt;&gt;"",F1463&lt;&gt;"")),入力リスト!$K$34,IF($I1463=TRUE,入力リスト!$K$35,IF(J1463=FALSE,"「毎月の固定給与額」","")&amp;IF(AND(J1463=FALSE,OR(K1463=FALSE,L1463=FALSE,M1463=FALSE)),",","")&amp;IF(K1463=FALSE,"「賞与額等」","")&amp;IF(AND(K1463=FALSE,OR(L1463=FALSE,M1463=FALSE)),",","")&amp;IF(L1463=FALSE,"「残業手当」","")&amp;IF(AND(L1463=FALSE,M1463=FALSE),",","")&amp;IF(M1463=FALSE,"「残業時間」","")&amp;IF(OR(J1463=FALSE,K1463=FALSE,L1463=FALSE,M1463=FALSE),入力リスト!$K$36,"")&amp;IF(N1463,"",入力リスト!$K$37)))</f>
        <v/>
      </c>
      <c r="H1463" s="215"/>
      <c r="I1463" s="1" t="b">
        <f>IF(B1463="",FALSE,COUNTIF('従業員情報(給与以外)'!$A$4:$A$1000000,$B1463)=0)</f>
        <v>0</v>
      </c>
      <c r="J1463" s="8" t="b">
        <f t="shared" si="110"/>
        <v>1</v>
      </c>
      <c r="K1463" s="8" t="b">
        <f t="shared" si="111"/>
        <v>1</v>
      </c>
      <c r="L1463" s="8" t="b">
        <f t="shared" si="112"/>
        <v>1</v>
      </c>
      <c r="M1463" s="8" t="b">
        <f t="shared" si="113"/>
        <v>1</v>
      </c>
      <c r="N1463" s="1" t="b">
        <f t="shared" si="114"/>
        <v>1</v>
      </c>
      <c r="O1463" s="8" t="str">
        <f>IF(F1463="","",IF($F$2=入力リスト!$H$25,ROUNDDOWN(INT(F1463)+ROUNDDOWN((F1463-INT(F1463))*100,0)/60,2),F1463))</f>
        <v/>
      </c>
      <c r="P1463" s="7"/>
      <c r="Q1463" s="7"/>
    </row>
    <row r="1464" spans="1:17">
      <c r="A1464" s="105"/>
      <c r="B1464" s="2"/>
      <c r="C1464" s="3"/>
      <c r="D1464" s="3"/>
      <c r="E1464" s="3"/>
      <c r="F1464" s="8"/>
      <c r="G1464" s="215" t="str">
        <f>IF(AND($B1464="",OR(B1464&lt;&gt;"",C1464&lt;&gt;"",D1464&lt;&gt;"",E1464&lt;&gt;"",F1464&lt;&gt;"")),入力リスト!$K$34,IF($I1464=TRUE,入力リスト!$K$35,IF(J1464=FALSE,"「毎月の固定給与額」","")&amp;IF(AND(J1464=FALSE,OR(K1464=FALSE,L1464=FALSE,M1464=FALSE)),",","")&amp;IF(K1464=FALSE,"「賞与額等」","")&amp;IF(AND(K1464=FALSE,OR(L1464=FALSE,M1464=FALSE)),",","")&amp;IF(L1464=FALSE,"「残業手当」","")&amp;IF(AND(L1464=FALSE,M1464=FALSE),",","")&amp;IF(M1464=FALSE,"「残業時間」","")&amp;IF(OR(J1464=FALSE,K1464=FALSE,L1464=FALSE,M1464=FALSE),入力リスト!$K$36,"")&amp;IF(N1464,"",入力リスト!$K$37)))</f>
        <v/>
      </c>
      <c r="H1464" s="215"/>
      <c r="I1464" s="1" t="b">
        <f>IF(B1464="",FALSE,COUNTIF('従業員情報(給与以外)'!$A$4:$A$1000000,$B1464)=0)</f>
        <v>0</v>
      </c>
      <c r="J1464" s="8" t="b">
        <f t="shared" si="110"/>
        <v>1</v>
      </c>
      <c r="K1464" s="8" t="b">
        <f t="shared" si="111"/>
        <v>1</v>
      </c>
      <c r="L1464" s="8" t="b">
        <f t="shared" si="112"/>
        <v>1</v>
      </c>
      <c r="M1464" s="8" t="b">
        <f t="shared" si="113"/>
        <v>1</v>
      </c>
      <c r="N1464" s="1" t="b">
        <f t="shared" si="114"/>
        <v>1</v>
      </c>
      <c r="O1464" s="8" t="str">
        <f>IF(F1464="","",IF($F$2=入力リスト!$H$25,ROUNDDOWN(INT(F1464)+ROUNDDOWN((F1464-INT(F1464))*100,0)/60,2),F1464))</f>
        <v/>
      </c>
      <c r="P1464" s="7"/>
      <c r="Q1464" s="7"/>
    </row>
    <row r="1465" spans="1:17">
      <c r="A1465" s="105"/>
      <c r="B1465" s="2"/>
      <c r="C1465" s="3"/>
      <c r="D1465" s="3"/>
      <c r="E1465" s="3"/>
      <c r="F1465" s="8"/>
      <c r="G1465" s="215" t="str">
        <f>IF(AND($B1465="",OR(B1465&lt;&gt;"",C1465&lt;&gt;"",D1465&lt;&gt;"",E1465&lt;&gt;"",F1465&lt;&gt;"")),入力リスト!$K$34,IF($I1465=TRUE,入力リスト!$K$35,IF(J1465=FALSE,"「毎月の固定給与額」","")&amp;IF(AND(J1465=FALSE,OR(K1465=FALSE,L1465=FALSE,M1465=FALSE)),",","")&amp;IF(K1465=FALSE,"「賞与額等」","")&amp;IF(AND(K1465=FALSE,OR(L1465=FALSE,M1465=FALSE)),",","")&amp;IF(L1465=FALSE,"「残業手当」","")&amp;IF(AND(L1465=FALSE,M1465=FALSE),",","")&amp;IF(M1465=FALSE,"「残業時間」","")&amp;IF(OR(J1465=FALSE,K1465=FALSE,L1465=FALSE,M1465=FALSE),入力リスト!$K$36,"")&amp;IF(N1465,"",入力リスト!$K$37)))</f>
        <v/>
      </c>
      <c r="H1465" s="215"/>
      <c r="I1465" s="1" t="b">
        <f>IF(B1465="",FALSE,COUNTIF('従業員情報(給与以外)'!$A$4:$A$1000000,$B1465)=0)</f>
        <v>0</v>
      </c>
      <c r="J1465" s="8" t="b">
        <f t="shared" si="110"/>
        <v>1</v>
      </c>
      <c r="K1465" s="8" t="b">
        <f t="shared" si="111"/>
        <v>1</v>
      </c>
      <c r="L1465" s="8" t="b">
        <f t="shared" si="112"/>
        <v>1</v>
      </c>
      <c r="M1465" s="8" t="b">
        <f t="shared" si="113"/>
        <v>1</v>
      </c>
      <c r="N1465" s="1" t="b">
        <f t="shared" si="114"/>
        <v>1</v>
      </c>
      <c r="O1465" s="8" t="str">
        <f>IF(F1465="","",IF($F$2=入力リスト!$H$25,ROUNDDOWN(INT(F1465)+ROUNDDOWN((F1465-INT(F1465))*100,0)/60,2),F1465))</f>
        <v/>
      </c>
      <c r="P1465" s="7"/>
      <c r="Q1465" s="7"/>
    </row>
    <row r="1466" spans="1:17">
      <c r="A1466" s="105"/>
      <c r="B1466" s="2"/>
      <c r="C1466" s="3"/>
      <c r="D1466" s="3"/>
      <c r="E1466" s="3"/>
      <c r="F1466" s="8"/>
      <c r="G1466" s="215" t="str">
        <f>IF(AND($B1466="",OR(B1466&lt;&gt;"",C1466&lt;&gt;"",D1466&lt;&gt;"",E1466&lt;&gt;"",F1466&lt;&gt;"")),入力リスト!$K$34,IF($I1466=TRUE,入力リスト!$K$35,IF(J1466=FALSE,"「毎月の固定給与額」","")&amp;IF(AND(J1466=FALSE,OR(K1466=FALSE,L1466=FALSE,M1466=FALSE)),",","")&amp;IF(K1466=FALSE,"「賞与額等」","")&amp;IF(AND(K1466=FALSE,OR(L1466=FALSE,M1466=FALSE)),",","")&amp;IF(L1466=FALSE,"「残業手当」","")&amp;IF(AND(L1466=FALSE,M1466=FALSE),",","")&amp;IF(M1466=FALSE,"「残業時間」","")&amp;IF(OR(J1466=FALSE,K1466=FALSE,L1466=FALSE,M1466=FALSE),入力リスト!$K$36,"")&amp;IF(N1466,"",入力リスト!$K$37)))</f>
        <v/>
      </c>
      <c r="H1466" s="215"/>
      <c r="I1466" s="1" t="b">
        <f>IF(B1466="",FALSE,COUNTIF('従業員情報(給与以外)'!$A$4:$A$1000000,$B1466)=0)</f>
        <v>0</v>
      </c>
      <c r="J1466" s="8" t="b">
        <f t="shared" si="110"/>
        <v>1</v>
      </c>
      <c r="K1466" s="8" t="b">
        <f t="shared" si="111"/>
        <v>1</v>
      </c>
      <c r="L1466" s="8" t="b">
        <f t="shared" si="112"/>
        <v>1</v>
      </c>
      <c r="M1466" s="8" t="b">
        <f t="shared" si="113"/>
        <v>1</v>
      </c>
      <c r="N1466" s="1" t="b">
        <f t="shared" si="114"/>
        <v>1</v>
      </c>
      <c r="O1466" s="8" t="str">
        <f>IF(F1466="","",IF($F$2=入力リスト!$H$25,ROUNDDOWN(INT(F1466)+ROUNDDOWN((F1466-INT(F1466))*100,0)/60,2),F1466))</f>
        <v/>
      </c>
      <c r="P1466" s="7"/>
      <c r="Q1466" s="7"/>
    </row>
    <row r="1467" spans="1:17">
      <c r="A1467" s="105"/>
      <c r="B1467" s="2"/>
      <c r="C1467" s="3"/>
      <c r="D1467" s="3"/>
      <c r="E1467" s="3"/>
      <c r="F1467" s="8"/>
      <c r="G1467" s="215" t="str">
        <f>IF(AND($B1467="",OR(B1467&lt;&gt;"",C1467&lt;&gt;"",D1467&lt;&gt;"",E1467&lt;&gt;"",F1467&lt;&gt;"")),入力リスト!$K$34,IF($I1467=TRUE,入力リスト!$K$35,IF(J1467=FALSE,"「毎月の固定給与額」","")&amp;IF(AND(J1467=FALSE,OR(K1467=FALSE,L1467=FALSE,M1467=FALSE)),",","")&amp;IF(K1467=FALSE,"「賞与額等」","")&amp;IF(AND(K1467=FALSE,OR(L1467=FALSE,M1467=FALSE)),",","")&amp;IF(L1467=FALSE,"「残業手当」","")&amp;IF(AND(L1467=FALSE,M1467=FALSE),",","")&amp;IF(M1467=FALSE,"「残業時間」","")&amp;IF(OR(J1467=FALSE,K1467=FALSE,L1467=FALSE,M1467=FALSE),入力リスト!$K$36,"")&amp;IF(N1467,"",入力リスト!$K$37)))</f>
        <v/>
      </c>
      <c r="H1467" s="215"/>
      <c r="I1467" s="1" t="b">
        <f>IF(B1467="",FALSE,COUNTIF('従業員情報(給与以外)'!$A$4:$A$1000000,$B1467)=0)</f>
        <v>0</v>
      </c>
      <c r="J1467" s="8" t="b">
        <f t="shared" si="110"/>
        <v>1</v>
      </c>
      <c r="K1467" s="8" t="b">
        <f t="shared" si="111"/>
        <v>1</v>
      </c>
      <c r="L1467" s="8" t="b">
        <f t="shared" si="112"/>
        <v>1</v>
      </c>
      <c r="M1467" s="8" t="b">
        <f t="shared" si="113"/>
        <v>1</v>
      </c>
      <c r="N1467" s="1" t="b">
        <f t="shared" si="114"/>
        <v>1</v>
      </c>
      <c r="O1467" s="8" t="str">
        <f>IF(F1467="","",IF($F$2=入力リスト!$H$25,ROUNDDOWN(INT(F1467)+ROUNDDOWN((F1467-INT(F1467))*100,0)/60,2),F1467))</f>
        <v/>
      </c>
      <c r="P1467" s="7"/>
      <c r="Q1467" s="7"/>
    </row>
    <row r="1468" spans="1:17">
      <c r="A1468" s="105"/>
      <c r="B1468" s="2"/>
      <c r="C1468" s="3"/>
      <c r="D1468" s="3"/>
      <c r="E1468" s="3"/>
      <c r="F1468" s="8"/>
      <c r="G1468" s="215" t="str">
        <f>IF(AND($B1468="",OR(B1468&lt;&gt;"",C1468&lt;&gt;"",D1468&lt;&gt;"",E1468&lt;&gt;"",F1468&lt;&gt;"")),入力リスト!$K$34,IF($I1468=TRUE,入力リスト!$K$35,IF(J1468=FALSE,"「毎月の固定給与額」","")&amp;IF(AND(J1468=FALSE,OR(K1468=FALSE,L1468=FALSE,M1468=FALSE)),",","")&amp;IF(K1468=FALSE,"「賞与額等」","")&amp;IF(AND(K1468=FALSE,OR(L1468=FALSE,M1468=FALSE)),",","")&amp;IF(L1468=FALSE,"「残業手当」","")&amp;IF(AND(L1468=FALSE,M1468=FALSE),",","")&amp;IF(M1468=FALSE,"「残業時間」","")&amp;IF(OR(J1468=FALSE,K1468=FALSE,L1468=FALSE,M1468=FALSE),入力リスト!$K$36,"")&amp;IF(N1468,"",入力リスト!$K$37)))</f>
        <v/>
      </c>
      <c r="H1468" s="215"/>
      <c r="I1468" s="1" t="b">
        <f>IF(B1468="",FALSE,COUNTIF('従業員情報(給与以外)'!$A$4:$A$1000000,$B1468)=0)</f>
        <v>0</v>
      </c>
      <c r="J1468" s="8" t="b">
        <f t="shared" si="110"/>
        <v>1</v>
      </c>
      <c r="K1468" s="8" t="b">
        <f t="shared" si="111"/>
        <v>1</v>
      </c>
      <c r="L1468" s="8" t="b">
        <f t="shared" si="112"/>
        <v>1</v>
      </c>
      <c r="M1468" s="8" t="b">
        <f t="shared" si="113"/>
        <v>1</v>
      </c>
      <c r="N1468" s="1" t="b">
        <f t="shared" si="114"/>
        <v>1</v>
      </c>
      <c r="O1468" s="8" t="str">
        <f>IF(F1468="","",IF($F$2=入力リスト!$H$25,ROUNDDOWN(INT(F1468)+ROUNDDOWN((F1468-INT(F1468))*100,0)/60,2),F1468))</f>
        <v/>
      </c>
      <c r="P1468" s="7"/>
      <c r="Q1468" s="7"/>
    </row>
    <row r="1469" spans="1:17">
      <c r="A1469" s="105"/>
      <c r="B1469" s="2"/>
      <c r="C1469" s="3"/>
      <c r="D1469" s="3"/>
      <c r="E1469" s="3"/>
      <c r="F1469" s="8"/>
      <c r="G1469" s="215" t="str">
        <f>IF(AND($B1469="",OR(B1469&lt;&gt;"",C1469&lt;&gt;"",D1469&lt;&gt;"",E1469&lt;&gt;"",F1469&lt;&gt;"")),入力リスト!$K$34,IF($I1469=TRUE,入力リスト!$K$35,IF(J1469=FALSE,"「毎月の固定給与額」","")&amp;IF(AND(J1469=FALSE,OR(K1469=FALSE,L1469=FALSE,M1469=FALSE)),",","")&amp;IF(K1469=FALSE,"「賞与額等」","")&amp;IF(AND(K1469=FALSE,OR(L1469=FALSE,M1469=FALSE)),",","")&amp;IF(L1469=FALSE,"「残業手当」","")&amp;IF(AND(L1469=FALSE,M1469=FALSE),",","")&amp;IF(M1469=FALSE,"「残業時間」","")&amp;IF(OR(J1469=FALSE,K1469=FALSE,L1469=FALSE,M1469=FALSE),入力リスト!$K$36,"")&amp;IF(N1469,"",入力リスト!$K$37)))</f>
        <v/>
      </c>
      <c r="H1469" s="215"/>
      <c r="I1469" s="1" t="b">
        <f>IF(B1469="",FALSE,COUNTIF('従業員情報(給与以外)'!$A$4:$A$1000000,$B1469)=0)</f>
        <v>0</v>
      </c>
      <c r="J1469" s="8" t="b">
        <f t="shared" si="110"/>
        <v>1</v>
      </c>
      <c r="K1469" s="8" t="b">
        <f t="shared" si="111"/>
        <v>1</v>
      </c>
      <c r="L1469" s="8" t="b">
        <f t="shared" si="112"/>
        <v>1</v>
      </c>
      <c r="M1469" s="8" t="b">
        <f t="shared" si="113"/>
        <v>1</v>
      </c>
      <c r="N1469" s="1" t="b">
        <f t="shared" si="114"/>
        <v>1</v>
      </c>
      <c r="O1469" s="8" t="str">
        <f>IF(F1469="","",IF($F$2=入力リスト!$H$25,ROUNDDOWN(INT(F1469)+ROUNDDOWN((F1469-INT(F1469))*100,0)/60,2),F1469))</f>
        <v/>
      </c>
      <c r="P1469" s="7"/>
      <c r="Q1469" s="7"/>
    </row>
    <row r="1470" spans="1:17">
      <c r="A1470" s="105"/>
      <c r="B1470" s="2"/>
      <c r="C1470" s="3"/>
      <c r="D1470" s="3"/>
      <c r="E1470" s="3"/>
      <c r="F1470" s="8"/>
      <c r="G1470" s="215" t="str">
        <f>IF(AND($B1470="",OR(B1470&lt;&gt;"",C1470&lt;&gt;"",D1470&lt;&gt;"",E1470&lt;&gt;"",F1470&lt;&gt;"")),入力リスト!$K$34,IF($I1470=TRUE,入力リスト!$K$35,IF(J1470=FALSE,"「毎月の固定給与額」","")&amp;IF(AND(J1470=FALSE,OR(K1470=FALSE,L1470=FALSE,M1470=FALSE)),",","")&amp;IF(K1470=FALSE,"「賞与額等」","")&amp;IF(AND(K1470=FALSE,OR(L1470=FALSE,M1470=FALSE)),",","")&amp;IF(L1470=FALSE,"「残業手当」","")&amp;IF(AND(L1470=FALSE,M1470=FALSE),",","")&amp;IF(M1470=FALSE,"「残業時間」","")&amp;IF(OR(J1470=FALSE,K1470=FALSE,L1470=FALSE,M1470=FALSE),入力リスト!$K$36,"")&amp;IF(N1470,"",入力リスト!$K$37)))</f>
        <v/>
      </c>
      <c r="H1470" s="215"/>
      <c r="I1470" s="1" t="b">
        <f>IF(B1470="",FALSE,COUNTIF('従業員情報(給与以外)'!$A$4:$A$1000000,$B1470)=0)</f>
        <v>0</v>
      </c>
      <c r="J1470" s="8" t="b">
        <f t="shared" si="110"/>
        <v>1</v>
      </c>
      <c r="K1470" s="8" t="b">
        <f t="shared" si="111"/>
        <v>1</v>
      </c>
      <c r="L1470" s="8" t="b">
        <f t="shared" si="112"/>
        <v>1</v>
      </c>
      <c r="M1470" s="8" t="b">
        <f t="shared" si="113"/>
        <v>1</v>
      </c>
      <c r="N1470" s="1" t="b">
        <f t="shared" si="114"/>
        <v>1</v>
      </c>
      <c r="O1470" s="8" t="str">
        <f>IF(F1470="","",IF($F$2=入力リスト!$H$25,ROUNDDOWN(INT(F1470)+ROUNDDOWN((F1470-INT(F1470))*100,0)/60,2),F1470))</f>
        <v/>
      </c>
      <c r="P1470" s="7"/>
      <c r="Q1470" s="7"/>
    </row>
    <row r="1471" spans="1:17">
      <c r="A1471" s="105"/>
      <c r="B1471" s="2"/>
      <c r="C1471" s="3"/>
      <c r="D1471" s="3"/>
      <c r="E1471" s="3"/>
      <c r="F1471" s="8"/>
      <c r="G1471" s="215" t="str">
        <f>IF(AND($B1471="",OR(B1471&lt;&gt;"",C1471&lt;&gt;"",D1471&lt;&gt;"",E1471&lt;&gt;"",F1471&lt;&gt;"")),入力リスト!$K$34,IF($I1471=TRUE,入力リスト!$K$35,IF(J1471=FALSE,"「毎月の固定給与額」","")&amp;IF(AND(J1471=FALSE,OR(K1471=FALSE,L1471=FALSE,M1471=FALSE)),",","")&amp;IF(K1471=FALSE,"「賞与額等」","")&amp;IF(AND(K1471=FALSE,OR(L1471=FALSE,M1471=FALSE)),",","")&amp;IF(L1471=FALSE,"「残業手当」","")&amp;IF(AND(L1471=FALSE,M1471=FALSE),",","")&amp;IF(M1471=FALSE,"「残業時間」","")&amp;IF(OR(J1471=FALSE,K1471=FALSE,L1471=FALSE,M1471=FALSE),入力リスト!$K$36,"")&amp;IF(N1471,"",入力リスト!$K$37)))</f>
        <v/>
      </c>
      <c r="H1471" s="215"/>
      <c r="I1471" s="1" t="b">
        <f>IF(B1471="",FALSE,COUNTIF('従業員情報(給与以外)'!$A$4:$A$1000000,$B1471)=0)</f>
        <v>0</v>
      </c>
      <c r="J1471" s="8" t="b">
        <f t="shared" si="110"/>
        <v>1</v>
      </c>
      <c r="K1471" s="8" t="b">
        <f t="shared" si="111"/>
        <v>1</v>
      </c>
      <c r="L1471" s="8" t="b">
        <f t="shared" si="112"/>
        <v>1</v>
      </c>
      <c r="M1471" s="8" t="b">
        <f t="shared" si="113"/>
        <v>1</v>
      </c>
      <c r="N1471" s="1" t="b">
        <f t="shared" si="114"/>
        <v>1</v>
      </c>
      <c r="O1471" s="8" t="str">
        <f>IF(F1471="","",IF($F$2=入力リスト!$H$25,ROUNDDOWN(INT(F1471)+ROUNDDOWN((F1471-INT(F1471))*100,0)/60,2),F1471))</f>
        <v/>
      </c>
      <c r="P1471" s="7"/>
      <c r="Q1471" s="7"/>
    </row>
    <row r="1472" spans="1:17">
      <c r="A1472" s="105"/>
      <c r="B1472" s="2"/>
      <c r="C1472" s="3"/>
      <c r="D1472" s="3"/>
      <c r="E1472" s="3"/>
      <c r="F1472" s="8"/>
      <c r="G1472" s="215" t="str">
        <f>IF(AND($B1472="",OR(B1472&lt;&gt;"",C1472&lt;&gt;"",D1472&lt;&gt;"",E1472&lt;&gt;"",F1472&lt;&gt;"")),入力リスト!$K$34,IF($I1472=TRUE,入力リスト!$K$35,IF(J1472=FALSE,"「毎月の固定給与額」","")&amp;IF(AND(J1472=FALSE,OR(K1472=FALSE,L1472=FALSE,M1472=FALSE)),",","")&amp;IF(K1472=FALSE,"「賞与額等」","")&amp;IF(AND(K1472=FALSE,OR(L1472=FALSE,M1472=FALSE)),",","")&amp;IF(L1472=FALSE,"「残業手当」","")&amp;IF(AND(L1472=FALSE,M1472=FALSE),",","")&amp;IF(M1472=FALSE,"「残業時間」","")&amp;IF(OR(J1472=FALSE,K1472=FALSE,L1472=FALSE,M1472=FALSE),入力リスト!$K$36,"")&amp;IF(N1472,"",入力リスト!$K$37)))</f>
        <v/>
      </c>
      <c r="H1472" s="215"/>
      <c r="I1472" s="1" t="b">
        <f>IF(B1472="",FALSE,COUNTIF('従業員情報(給与以外)'!$A$4:$A$1000000,$B1472)=0)</f>
        <v>0</v>
      </c>
      <c r="J1472" s="8" t="b">
        <f t="shared" si="110"/>
        <v>1</v>
      </c>
      <c r="K1472" s="8" t="b">
        <f t="shared" si="111"/>
        <v>1</v>
      </c>
      <c r="L1472" s="8" t="b">
        <f t="shared" si="112"/>
        <v>1</v>
      </c>
      <c r="M1472" s="8" t="b">
        <f t="shared" si="113"/>
        <v>1</v>
      </c>
      <c r="N1472" s="1" t="b">
        <f t="shared" si="114"/>
        <v>1</v>
      </c>
      <c r="O1472" s="8" t="str">
        <f>IF(F1472="","",IF($F$2=入力リスト!$H$25,ROUNDDOWN(INT(F1472)+ROUNDDOWN((F1472-INT(F1472))*100,0)/60,2),F1472))</f>
        <v/>
      </c>
      <c r="P1472" s="7"/>
      <c r="Q1472" s="7"/>
    </row>
    <row r="1473" spans="1:17">
      <c r="A1473" s="105"/>
      <c r="B1473" s="2"/>
      <c r="C1473" s="3"/>
      <c r="D1473" s="3"/>
      <c r="E1473" s="3"/>
      <c r="F1473" s="8"/>
      <c r="G1473" s="215" t="str">
        <f>IF(AND($B1473="",OR(B1473&lt;&gt;"",C1473&lt;&gt;"",D1473&lt;&gt;"",E1473&lt;&gt;"",F1473&lt;&gt;"")),入力リスト!$K$34,IF($I1473=TRUE,入力リスト!$K$35,IF(J1473=FALSE,"「毎月の固定給与額」","")&amp;IF(AND(J1473=FALSE,OR(K1473=FALSE,L1473=FALSE,M1473=FALSE)),",","")&amp;IF(K1473=FALSE,"「賞与額等」","")&amp;IF(AND(K1473=FALSE,OR(L1473=FALSE,M1473=FALSE)),",","")&amp;IF(L1473=FALSE,"「残業手当」","")&amp;IF(AND(L1473=FALSE,M1473=FALSE),",","")&amp;IF(M1473=FALSE,"「残業時間」","")&amp;IF(OR(J1473=FALSE,K1473=FALSE,L1473=FALSE,M1473=FALSE),入力リスト!$K$36,"")&amp;IF(N1473,"",入力リスト!$K$37)))</f>
        <v/>
      </c>
      <c r="H1473" s="215"/>
      <c r="I1473" s="1" t="b">
        <f>IF(B1473="",FALSE,COUNTIF('従業員情報(給与以外)'!$A$4:$A$1000000,$B1473)=0)</f>
        <v>0</v>
      </c>
      <c r="J1473" s="8" t="b">
        <f t="shared" si="110"/>
        <v>1</v>
      </c>
      <c r="K1473" s="8" t="b">
        <f t="shared" si="111"/>
        <v>1</v>
      </c>
      <c r="L1473" s="8" t="b">
        <f t="shared" si="112"/>
        <v>1</v>
      </c>
      <c r="M1473" s="8" t="b">
        <f t="shared" si="113"/>
        <v>1</v>
      </c>
      <c r="N1473" s="1" t="b">
        <f t="shared" si="114"/>
        <v>1</v>
      </c>
      <c r="O1473" s="8" t="str">
        <f>IF(F1473="","",IF($F$2=入力リスト!$H$25,ROUNDDOWN(INT(F1473)+ROUNDDOWN((F1473-INT(F1473))*100,0)/60,2),F1473))</f>
        <v/>
      </c>
      <c r="P1473" s="7"/>
      <c r="Q1473" s="7"/>
    </row>
    <row r="1474" spans="1:17">
      <c r="A1474" s="105"/>
      <c r="B1474" s="2"/>
      <c r="C1474" s="3"/>
      <c r="D1474" s="3"/>
      <c r="E1474" s="3"/>
      <c r="F1474" s="8"/>
      <c r="G1474" s="215" t="str">
        <f>IF(AND($B1474="",OR(B1474&lt;&gt;"",C1474&lt;&gt;"",D1474&lt;&gt;"",E1474&lt;&gt;"",F1474&lt;&gt;"")),入力リスト!$K$34,IF($I1474=TRUE,入力リスト!$K$35,IF(J1474=FALSE,"「毎月の固定給与額」","")&amp;IF(AND(J1474=FALSE,OR(K1474=FALSE,L1474=FALSE,M1474=FALSE)),",","")&amp;IF(K1474=FALSE,"「賞与額等」","")&amp;IF(AND(K1474=FALSE,OR(L1474=FALSE,M1474=FALSE)),",","")&amp;IF(L1474=FALSE,"「残業手当」","")&amp;IF(AND(L1474=FALSE,M1474=FALSE),",","")&amp;IF(M1474=FALSE,"「残業時間」","")&amp;IF(OR(J1474=FALSE,K1474=FALSE,L1474=FALSE,M1474=FALSE),入力リスト!$K$36,"")&amp;IF(N1474,"",入力リスト!$K$37)))</f>
        <v/>
      </c>
      <c r="H1474" s="215"/>
      <c r="I1474" s="1" t="b">
        <f>IF(B1474="",FALSE,COUNTIF('従業員情報(給与以外)'!$A$4:$A$1000000,$B1474)=0)</f>
        <v>0</v>
      </c>
      <c r="J1474" s="8" t="b">
        <f t="shared" si="110"/>
        <v>1</v>
      </c>
      <c r="K1474" s="8" t="b">
        <f t="shared" si="111"/>
        <v>1</v>
      </c>
      <c r="L1474" s="8" t="b">
        <f t="shared" si="112"/>
        <v>1</v>
      </c>
      <c r="M1474" s="8" t="b">
        <f t="shared" si="113"/>
        <v>1</v>
      </c>
      <c r="N1474" s="1" t="b">
        <f t="shared" si="114"/>
        <v>1</v>
      </c>
      <c r="O1474" s="8" t="str">
        <f>IF(F1474="","",IF($F$2=入力リスト!$H$25,ROUNDDOWN(INT(F1474)+ROUNDDOWN((F1474-INT(F1474))*100,0)/60,2),F1474))</f>
        <v/>
      </c>
      <c r="P1474" s="7"/>
      <c r="Q1474" s="7"/>
    </row>
    <row r="1475" spans="1:17">
      <c r="A1475" s="105"/>
      <c r="B1475" s="2"/>
      <c r="C1475" s="3"/>
      <c r="D1475" s="3"/>
      <c r="E1475" s="3"/>
      <c r="F1475" s="8"/>
      <c r="G1475" s="215" t="str">
        <f>IF(AND($B1475="",OR(B1475&lt;&gt;"",C1475&lt;&gt;"",D1475&lt;&gt;"",E1475&lt;&gt;"",F1475&lt;&gt;"")),入力リスト!$K$34,IF($I1475=TRUE,入力リスト!$K$35,IF(J1475=FALSE,"「毎月の固定給与額」","")&amp;IF(AND(J1475=FALSE,OR(K1475=FALSE,L1475=FALSE,M1475=FALSE)),",","")&amp;IF(K1475=FALSE,"「賞与額等」","")&amp;IF(AND(K1475=FALSE,OR(L1475=FALSE,M1475=FALSE)),",","")&amp;IF(L1475=FALSE,"「残業手当」","")&amp;IF(AND(L1475=FALSE,M1475=FALSE),",","")&amp;IF(M1475=FALSE,"「残業時間」","")&amp;IF(OR(J1475=FALSE,K1475=FALSE,L1475=FALSE,M1475=FALSE),入力リスト!$K$36,"")&amp;IF(N1475,"",入力リスト!$K$37)))</f>
        <v/>
      </c>
      <c r="H1475" s="215"/>
      <c r="I1475" s="1" t="b">
        <f>IF(B1475="",FALSE,COUNTIF('従業員情報(給与以外)'!$A$4:$A$1000000,$B1475)=0)</f>
        <v>0</v>
      </c>
      <c r="J1475" s="8" t="b">
        <f t="shared" si="110"/>
        <v>1</v>
      </c>
      <c r="K1475" s="8" t="b">
        <f t="shared" si="111"/>
        <v>1</v>
      </c>
      <c r="L1475" s="8" t="b">
        <f t="shared" si="112"/>
        <v>1</v>
      </c>
      <c r="M1475" s="8" t="b">
        <f t="shared" si="113"/>
        <v>1</v>
      </c>
      <c r="N1475" s="1" t="b">
        <f t="shared" si="114"/>
        <v>1</v>
      </c>
      <c r="O1475" s="8" t="str">
        <f>IF(F1475="","",IF($F$2=入力リスト!$H$25,ROUNDDOWN(INT(F1475)+ROUNDDOWN((F1475-INT(F1475))*100,0)/60,2),F1475))</f>
        <v/>
      </c>
      <c r="P1475" s="7"/>
      <c r="Q1475" s="7"/>
    </row>
    <row r="1476" spans="1:17">
      <c r="A1476" s="105"/>
      <c r="B1476" s="2"/>
      <c r="C1476" s="3"/>
      <c r="D1476" s="3"/>
      <c r="E1476" s="3"/>
      <c r="F1476" s="8"/>
      <c r="G1476" s="215" t="str">
        <f>IF(AND($B1476="",OR(B1476&lt;&gt;"",C1476&lt;&gt;"",D1476&lt;&gt;"",E1476&lt;&gt;"",F1476&lt;&gt;"")),入力リスト!$K$34,IF($I1476=TRUE,入力リスト!$K$35,IF(J1476=FALSE,"「毎月の固定給与額」","")&amp;IF(AND(J1476=FALSE,OR(K1476=FALSE,L1476=FALSE,M1476=FALSE)),",","")&amp;IF(K1476=FALSE,"「賞与額等」","")&amp;IF(AND(K1476=FALSE,OR(L1476=FALSE,M1476=FALSE)),",","")&amp;IF(L1476=FALSE,"「残業手当」","")&amp;IF(AND(L1476=FALSE,M1476=FALSE),",","")&amp;IF(M1476=FALSE,"「残業時間」","")&amp;IF(OR(J1476=FALSE,K1476=FALSE,L1476=FALSE,M1476=FALSE),入力リスト!$K$36,"")&amp;IF(N1476,"",入力リスト!$K$37)))</f>
        <v/>
      </c>
      <c r="H1476" s="215"/>
      <c r="I1476" s="1" t="b">
        <f>IF(B1476="",FALSE,COUNTIF('従業員情報(給与以外)'!$A$4:$A$1000000,$B1476)=0)</f>
        <v>0</v>
      </c>
      <c r="J1476" s="8" t="b">
        <f t="shared" si="110"/>
        <v>1</v>
      </c>
      <c r="K1476" s="8" t="b">
        <f t="shared" si="111"/>
        <v>1</v>
      </c>
      <c r="L1476" s="8" t="b">
        <f t="shared" si="112"/>
        <v>1</v>
      </c>
      <c r="M1476" s="8" t="b">
        <f t="shared" si="113"/>
        <v>1</v>
      </c>
      <c r="N1476" s="1" t="b">
        <f t="shared" si="114"/>
        <v>1</v>
      </c>
      <c r="O1476" s="8" t="str">
        <f>IF(F1476="","",IF($F$2=入力リスト!$H$25,ROUNDDOWN(INT(F1476)+ROUNDDOWN((F1476-INT(F1476))*100,0)/60,2),F1476))</f>
        <v/>
      </c>
      <c r="P1476" s="7"/>
      <c r="Q1476" s="7"/>
    </row>
    <row r="1477" spans="1:17">
      <c r="A1477" s="105"/>
      <c r="B1477" s="2"/>
      <c r="C1477" s="3"/>
      <c r="D1477" s="3"/>
      <c r="E1477" s="3"/>
      <c r="F1477" s="8"/>
      <c r="G1477" s="215" t="str">
        <f>IF(AND($B1477="",OR(B1477&lt;&gt;"",C1477&lt;&gt;"",D1477&lt;&gt;"",E1477&lt;&gt;"",F1477&lt;&gt;"")),入力リスト!$K$34,IF($I1477=TRUE,入力リスト!$K$35,IF(J1477=FALSE,"「毎月の固定給与額」","")&amp;IF(AND(J1477=FALSE,OR(K1477=FALSE,L1477=FALSE,M1477=FALSE)),",","")&amp;IF(K1477=FALSE,"「賞与額等」","")&amp;IF(AND(K1477=FALSE,OR(L1477=FALSE,M1477=FALSE)),",","")&amp;IF(L1477=FALSE,"「残業手当」","")&amp;IF(AND(L1477=FALSE,M1477=FALSE),",","")&amp;IF(M1477=FALSE,"「残業時間」","")&amp;IF(OR(J1477=FALSE,K1477=FALSE,L1477=FALSE,M1477=FALSE),入力リスト!$K$36,"")&amp;IF(N1477,"",入力リスト!$K$37)))</f>
        <v/>
      </c>
      <c r="H1477" s="215"/>
      <c r="I1477" s="1" t="b">
        <f>IF(B1477="",FALSE,COUNTIF('従業員情報(給与以外)'!$A$4:$A$1000000,$B1477)=0)</f>
        <v>0</v>
      </c>
      <c r="J1477" s="8" t="b">
        <f t="shared" ref="J1477:J1540" si="115">OR(C1477="",ISNUMBER(C1477))</f>
        <v>1</v>
      </c>
      <c r="K1477" s="8" t="b">
        <f t="shared" ref="K1477:K1540" si="116">OR(D1477="",ISNUMBER(D1477))</f>
        <v>1</v>
      </c>
      <c r="L1477" s="8" t="b">
        <f t="shared" ref="L1477:L1540" si="117">OR(E1477="",ISNUMBER(E1477))</f>
        <v>1</v>
      </c>
      <c r="M1477" s="8" t="b">
        <f t="shared" ref="M1477:M1540" si="118">OR(F1477="",ISNUMBER(F1477))</f>
        <v>1</v>
      </c>
      <c r="N1477" s="1" t="b">
        <f t="shared" ref="N1477:N1540" si="119">IF($N$1,TRUE,IF($N$2,IF(F1477-INT(F1477)&lt;0.6,TRUE,FALSE),TRUE))</f>
        <v>1</v>
      </c>
      <c r="O1477" s="8" t="str">
        <f>IF(F1477="","",IF($F$2=入力リスト!$H$25,ROUNDDOWN(INT(F1477)+ROUNDDOWN((F1477-INT(F1477))*100,0)/60,2),F1477))</f>
        <v/>
      </c>
      <c r="P1477" s="7"/>
      <c r="Q1477" s="7"/>
    </row>
    <row r="1478" spans="1:17">
      <c r="A1478" s="105"/>
      <c r="B1478" s="2"/>
      <c r="C1478" s="3"/>
      <c r="D1478" s="3"/>
      <c r="E1478" s="3"/>
      <c r="F1478" s="8"/>
      <c r="G1478" s="215" t="str">
        <f>IF(AND($B1478="",OR(B1478&lt;&gt;"",C1478&lt;&gt;"",D1478&lt;&gt;"",E1478&lt;&gt;"",F1478&lt;&gt;"")),入力リスト!$K$34,IF($I1478=TRUE,入力リスト!$K$35,IF(J1478=FALSE,"「毎月の固定給与額」","")&amp;IF(AND(J1478=FALSE,OR(K1478=FALSE,L1478=FALSE,M1478=FALSE)),",","")&amp;IF(K1478=FALSE,"「賞与額等」","")&amp;IF(AND(K1478=FALSE,OR(L1478=FALSE,M1478=FALSE)),",","")&amp;IF(L1478=FALSE,"「残業手当」","")&amp;IF(AND(L1478=FALSE,M1478=FALSE),",","")&amp;IF(M1478=FALSE,"「残業時間」","")&amp;IF(OR(J1478=FALSE,K1478=FALSE,L1478=FALSE,M1478=FALSE),入力リスト!$K$36,"")&amp;IF(N1478,"",入力リスト!$K$37)))</f>
        <v/>
      </c>
      <c r="H1478" s="215"/>
      <c r="I1478" s="1" t="b">
        <f>IF(B1478="",FALSE,COUNTIF('従業員情報(給与以外)'!$A$4:$A$1000000,$B1478)=0)</f>
        <v>0</v>
      </c>
      <c r="J1478" s="8" t="b">
        <f t="shared" si="115"/>
        <v>1</v>
      </c>
      <c r="K1478" s="8" t="b">
        <f t="shared" si="116"/>
        <v>1</v>
      </c>
      <c r="L1478" s="8" t="b">
        <f t="shared" si="117"/>
        <v>1</v>
      </c>
      <c r="M1478" s="8" t="b">
        <f t="shared" si="118"/>
        <v>1</v>
      </c>
      <c r="N1478" s="1" t="b">
        <f t="shared" si="119"/>
        <v>1</v>
      </c>
      <c r="O1478" s="8" t="str">
        <f>IF(F1478="","",IF($F$2=入力リスト!$H$25,ROUNDDOWN(INT(F1478)+ROUNDDOWN((F1478-INT(F1478))*100,0)/60,2),F1478))</f>
        <v/>
      </c>
      <c r="P1478" s="7"/>
      <c r="Q1478" s="7"/>
    </row>
    <row r="1479" spans="1:17">
      <c r="A1479" s="105"/>
      <c r="B1479" s="2"/>
      <c r="C1479" s="3"/>
      <c r="D1479" s="3"/>
      <c r="E1479" s="3"/>
      <c r="F1479" s="8"/>
      <c r="G1479" s="215" t="str">
        <f>IF(AND($B1479="",OR(B1479&lt;&gt;"",C1479&lt;&gt;"",D1479&lt;&gt;"",E1479&lt;&gt;"",F1479&lt;&gt;"")),入力リスト!$K$34,IF($I1479=TRUE,入力リスト!$K$35,IF(J1479=FALSE,"「毎月の固定給与額」","")&amp;IF(AND(J1479=FALSE,OR(K1479=FALSE,L1479=FALSE,M1479=FALSE)),",","")&amp;IF(K1479=FALSE,"「賞与額等」","")&amp;IF(AND(K1479=FALSE,OR(L1479=FALSE,M1479=FALSE)),",","")&amp;IF(L1479=FALSE,"「残業手当」","")&amp;IF(AND(L1479=FALSE,M1479=FALSE),",","")&amp;IF(M1479=FALSE,"「残業時間」","")&amp;IF(OR(J1479=FALSE,K1479=FALSE,L1479=FALSE,M1479=FALSE),入力リスト!$K$36,"")&amp;IF(N1479,"",入力リスト!$K$37)))</f>
        <v/>
      </c>
      <c r="H1479" s="215"/>
      <c r="I1479" s="1" t="b">
        <f>IF(B1479="",FALSE,COUNTIF('従業員情報(給与以外)'!$A$4:$A$1000000,$B1479)=0)</f>
        <v>0</v>
      </c>
      <c r="J1479" s="8" t="b">
        <f t="shared" si="115"/>
        <v>1</v>
      </c>
      <c r="K1479" s="8" t="b">
        <f t="shared" si="116"/>
        <v>1</v>
      </c>
      <c r="L1479" s="8" t="b">
        <f t="shared" si="117"/>
        <v>1</v>
      </c>
      <c r="M1479" s="8" t="b">
        <f t="shared" si="118"/>
        <v>1</v>
      </c>
      <c r="N1479" s="1" t="b">
        <f t="shared" si="119"/>
        <v>1</v>
      </c>
      <c r="O1479" s="8" t="str">
        <f>IF(F1479="","",IF($F$2=入力リスト!$H$25,ROUNDDOWN(INT(F1479)+ROUNDDOWN((F1479-INT(F1479))*100,0)/60,2),F1479))</f>
        <v/>
      </c>
      <c r="P1479" s="7"/>
      <c r="Q1479" s="7"/>
    </row>
    <row r="1480" spans="1:17">
      <c r="A1480" s="105"/>
      <c r="B1480" s="2"/>
      <c r="C1480" s="3"/>
      <c r="D1480" s="3"/>
      <c r="E1480" s="3"/>
      <c r="F1480" s="8"/>
      <c r="G1480" s="215" t="str">
        <f>IF(AND($B1480="",OR(B1480&lt;&gt;"",C1480&lt;&gt;"",D1480&lt;&gt;"",E1480&lt;&gt;"",F1480&lt;&gt;"")),入力リスト!$K$34,IF($I1480=TRUE,入力リスト!$K$35,IF(J1480=FALSE,"「毎月の固定給与額」","")&amp;IF(AND(J1480=FALSE,OR(K1480=FALSE,L1480=FALSE,M1480=FALSE)),",","")&amp;IF(K1480=FALSE,"「賞与額等」","")&amp;IF(AND(K1480=FALSE,OR(L1480=FALSE,M1480=FALSE)),",","")&amp;IF(L1480=FALSE,"「残業手当」","")&amp;IF(AND(L1480=FALSE,M1480=FALSE),",","")&amp;IF(M1480=FALSE,"「残業時間」","")&amp;IF(OR(J1480=FALSE,K1480=FALSE,L1480=FALSE,M1480=FALSE),入力リスト!$K$36,"")&amp;IF(N1480,"",入力リスト!$K$37)))</f>
        <v/>
      </c>
      <c r="H1480" s="215"/>
      <c r="I1480" s="1" t="b">
        <f>IF(B1480="",FALSE,COUNTIF('従業員情報(給与以外)'!$A$4:$A$1000000,$B1480)=0)</f>
        <v>0</v>
      </c>
      <c r="J1480" s="8" t="b">
        <f t="shared" si="115"/>
        <v>1</v>
      </c>
      <c r="K1480" s="8" t="b">
        <f t="shared" si="116"/>
        <v>1</v>
      </c>
      <c r="L1480" s="8" t="b">
        <f t="shared" si="117"/>
        <v>1</v>
      </c>
      <c r="M1480" s="8" t="b">
        <f t="shared" si="118"/>
        <v>1</v>
      </c>
      <c r="N1480" s="1" t="b">
        <f t="shared" si="119"/>
        <v>1</v>
      </c>
      <c r="O1480" s="8" t="str">
        <f>IF(F1480="","",IF($F$2=入力リスト!$H$25,ROUNDDOWN(INT(F1480)+ROUNDDOWN((F1480-INT(F1480))*100,0)/60,2),F1480))</f>
        <v/>
      </c>
      <c r="P1480" s="7"/>
      <c r="Q1480" s="7"/>
    </row>
    <row r="1481" spans="1:17">
      <c r="A1481" s="105"/>
      <c r="B1481" s="2"/>
      <c r="C1481" s="3"/>
      <c r="D1481" s="3"/>
      <c r="E1481" s="3"/>
      <c r="F1481" s="8"/>
      <c r="G1481" s="215" t="str">
        <f>IF(AND($B1481="",OR(B1481&lt;&gt;"",C1481&lt;&gt;"",D1481&lt;&gt;"",E1481&lt;&gt;"",F1481&lt;&gt;"")),入力リスト!$K$34,IF($I1481=TRUE,入力リスト!$K$35,IF(J1481=FALSE,"「毎月の固定給与額」","")&amp;IF(AND(J1481=FALSE,OR(K1481=FALSE,L1481=FALSE,M1481=FALSE)),",","")&amp;IF(K1481=FALSE,"「賞与額等」","")&amp;IF(AND(K1481=FALSE,OR(L1481=FALSE,M1481=FALSE)),",","")&amp;IF(L1481=FALSE,"「残業手当」","")&amp;IF(AND(L1481=FALSE,M1481=FALSE),",","")&amp;IF(M1481=FALSE,"「残業時間」","")&amp;IF(OR(J1481=FALSE,K1481=FALSE,L1481=FALSE,M1481=FALSE),入力リスト!$K$36,"")&amp;IF(N1481,"",入力リスト!$K$37)))</f>
        <v/>
      </c>
      <c r="H1481" s="215"/>
      <c r="I1481" s="1" t="b">
        <f>IF(B1481="",FALSE,COUNTIF('従業員情報(給与以外)'!$A$4:$A$1000000,$B1481)=0)</f>
        <v>0</v>
      </c>
      <c r="J1481" s="8" t="b">
        <f t="shared" si="115"/>
        <v>1</v>
      </c>
      <c r="K1481" s="8" t="b">
        <f t="shared" si="116"/>
        <v>1</v>
      </c>
      <c r="L1481" s="8" t="b">
        <f t="shared" si="117"/>
        <v>1</v>
      </c>
      <c r="M1481" s="8" t="b">
        <f t="shared" si="118"/>
        <v>1</v>
      </c>
      <c r="N1481" s="1" t="b">
        <f t="shared" si="119"/>
        <v>1</v>
      </c>
      <c r="O1481" s="8" t="str">
        <f>IF(F1481="","",IF($F$2=入力リスト!$H$25,ROUNDDOWN(INT(F1481)+ROUNDDOWN((F1481-INT(F1481))*100,0)/60,2),F1481))</f>
        <v/>
      </c>
      <c r="P1481" s="7"/>
      <c r="Q1481" s="7"/>
    </row>
    <row r="1482" spans="1:17">
      <c r="A1482" s="105"/>
      <c r="B1482" s="2"/>
      <c r="C1482" s="3"/>
      <c r="D1482" s="3"/>
      <c r="E1482" s="3"/>
      <c r="F1482" s="8"/>
      <c r="G1482" s="215" t="str">
        <f>IF(AND($B1482="",OR(B1482&lt;&gt;"",C1482&lt;&gt;"",D1482&lt;&gt;"",E1482&lt;&gt;"",F1482&lt;&gt;"")),入力リスト!$K$34,IF($I1482=TRUE,入力リスト!$K$35,IF(J1482=FALSE,"「毎月の固定給与額」","")&amp;IF(AND(J1482=FALSE,OR(K1482=FALSE,L1482=FALSE,M1482=FALSE)),",","")&amp;IF(K1482=FALSE,"「賞与額等」","")&amp;IF(AND(K1482=FALSE,OR(L1482=FALSE,M1482=FALSE)),",","")&amp;IF(L1482=FALSE,"「残業手当」","")&amp;IF(AND(L1482=FALSE,M1482=FALSE),",","")&amp;IF(M1482=FALSE,"「残業時間」","")&amp;IF(OR(J1482=FALSE,K1482=FALSE,L1482=FALSE,M1482=FALSE),入力リスト!$K$36,"")&amp;IF(N1482,"",入力リスト!$K$37)))</f>
        <v/>
      </c>
      <c r="H1482" s="215"/>
      <c r="I1482" s="1" t="b">
        <f>IF(B1482="",FALSE,COUNTIF('従業員情報(給与以外)'!$A$4:$A$1000000,$B1482)=0)</f>
        <v>0</v>
      </c>
      <c r="J1482" s="8" t="b">
        <f t="shared" si="115"/>
        <v>1</v>
      </c>
      <c r="K1482" s="8" t="b">
        <f t="shared" si="116"/>
        <v>1</v>
      </c>
      <c r="L1482" s="8" t="b">
        <f t="shared" si="117"/>
        <v>1</v>
      </c>
      <c r="M1482" s="8" t="b">
        <f t="shared" si="118"/>
        <v>1</v>
      </c>
      <c r="N1482" s="1" t="b">
        <f t="shared" si="119"/>
        <v>1</v>
      </c>
      <c r="O1482" s="8" t="str">
        <f>IF(F1482="","",IF($F$2=入力リスト!$H$25,ROUNDDOWN(INT(F1482)+ROUNDDOWN((F1482-INT(F1482))*100,0)/60,2),F1482))</f>
        <v/>
      </c>
      <c r="P1482" s="7"/>
      <c r="Q1482" s="7"/>
    </row>
    <row r="1483" spans="1:17">
      <c r="A1483" s="105"/>
      <c r="B1483" s="2"/>
      <c r="C1483" s="3"/>
      <c r="D1483" s="3"/>
      <c r="E1483" s="3"/>
      <c r="F1483" s="8"/>
      <c r="G1483" s="215" t="str">
        <f>IF(AND($B1483="",OR(B1483&lt;&gt;"",C1483&lt;&gt;"",D1483&lt;&gt;"",E1483&lt;&gt;"",F1483&lt;&gt;"")),入力リスト!$K$34,IF($I1483=TRUE,入力リスト!$K$35,IF(J1483=FALSE,"「毎月の固定給与額」","")&amp;IF(AND(J1483=FALSE,OR(K1483=FALSE,L1483=FALSE,M1483=FALSE)),",","")&amp;IF(K1483=FALSE,"「賞与額等」","")&amp;IF(AND(K1483=FALSE,OR(L1483=FALSE,M1483=FALSE)),",","")&amp;IF(L1483=FALSE,"「残業手当」","")&amp;IF(AND(L1483=FALSE,M1483=FALSE),",","")&amp;IF(M1483=FALSE,"「残業時間」","")&amp;IF(OR(J1483=FALSE,K1483=FALSE,L1483=FALSE,M1483=FALSE),入力リスト!$K$36,"")&amp;IF(N1483,"",入力リスト!$K$37)))</f>
        <v/>
      </c>
      <c r="H1483" s="215"/>
      <c r="I1483" s="1" t="b">
        <f>IF(B1483="",FALSE,COUNTIF('従業員情報(給与以外)'!$A$4:$A$1000000,$B1483)=0)</f>
        <v>0</v>
      </c>
      <c r="J1483" s="8" t="b">
        <f t="shared" si="115"/>
        <v>1</v>
      </c>
      <c r="K1483" s="8" t="b">
        <f t="shared" si="116"/>
        <v>1</v>
      </c>
      <c r="L1483" s="8" t="b">
        <f t="shared" si="117"/>
        <v>1</v>
      </c>
      <c r="M1483" s="8" t="b">
        <f t="shared" si="118"/>
        <v>1</v>
      </c>
      <c r="N1483" s="1" t="b">
        <f t="shared" si="119"/>
        <v>1</v>
      </c>
      <c r="O1483" s="8" t="str">
        <f>IF(F1483="","",IF($F$2=入力リスト!$H$25,ROUNDDOWN(INT(F1483)+ROUNDDOWN((F1483-INT(F1483))*100,0)/60,2),F1483))</f>
        <v/>
      </c>
      <c r="P1483" s="7"/>
      <c r="Q1483" s="7"/>
    </row>
    <row r="1484" spans="1:17">
      <c r="A1484" s="105"/>
      <c r="B1484" s="2"/>
      <c r="C1484" s="3"/>
      <c r="D1484" s="3"/>
      <c r="E1484" s="3"/>
      <c r="F1484" s="8"/>
      <c r="G1484" s="215" t="str">
        <f>IF(AND($B1484="",OR(B1484&lt;&gt;"",C1484&lt;&gt;"",D1484&lt;&gt;"",E1484&lt;&gt;"",F1484&lt;&gt;"")),入力リスト!$K$34,IF($I1484=TRUE,入力リスト!$K$35,IF(J1484=FALSE,"「毎月の固定給与額」","")&amp;IF(AND(J1484=FALSE,OR(K1484=FALSE,L1484=FALSE,M1484=FALSE)),",","")&amp;IF(K1484=FALSE,"「賞与額等」","")&amp;IF(AND(K1484=FALSE,OR(L1484=FALSE,M1484=FALSE)),",","")&amp;IF(L1484=FALSE,"「残業手当」","")&amp;IF(AND(L1484=FALSE,M1484=FALSE),",","")&amp;IF(M1484=FALSE,"「残業時間」","")&amp;IF(OR(J1484=FALSE,K1484=FALSE,L1484=FALSE,M1484=FALSE),入力リスト!$K$36,"")&amp;IF(N1484,"",入力リスト!$K$37)))</f>
        <v/>
      </c>
      <c r="H1484" s="215"/>
      <c r="I1484" s="1" t="b">
        <f>IF(B1484="",FALSE,COUNTIF('従業員情報(給与以外)'!$A$4:$A$1000000,$B1484)=0)</f>
        <v>0</v>
      </c>
      <c r="J1484" s="8" t="b">
        <f t="shared" si="115"/>
        <v>1</v>
      </c>
      <c r="K1484" s="8" t="b">
        <f t="shared" si="116"/>
        <v>1</v>
      </c>
      <c r="L1484" s="8" t="b">
        <f t="shared" si="117"/>
        <v>1</v>
      </c>
      <c r="M1484" s="8" t="b">
        <f t="shared" si="118"/>
        <v>1</v>
      </c>
      <c r="N1484" s="1" t="b">
        <f t="shared" si="119"/>
        <v>1</v>
      </c>
      <c r="O1484" s="8" t="str">
        <f>IF(F1484="","",IF($F$2=入力リスト!$H$25,ROUNDDOWN(INT(F1484)+ROUNDDOWN((F1484-INT(F1484))*100,0)/60,2),F1484))</f>
        <v/>
      </c>
      <c r="P1484" s="7"/>
      <c r="Q1484" s="7"/>
    </row>
    <row r="1485" spans="1:17">
      <c r="A1485" s="105"/>
      <c r="B1485" s="2"/>
      <c r="C1485" s="3"/>
      <c r="D1485" s="3"/>
      <c r="E1485" s="3"/>
      <c r="F1485" s="8"/>
      <c r="G1485" s="215" t="str">
        <f>IF(AND($B1485="",OR(B1485&lt;&gt;"",C1485&lt;&gt;"",D1485&lt;&gt;"",E1485&lt;&gt;"",F1485&lt;&gt;"")),入力リスト!$K$34,IF($I1485=TRUE,入力リスト!$K$35,IF(J1485=FALSE,"「毎月の固定給与額」","")&amp;IF(AND(J1485=FALSE,OR(K1485=FALSE,L1485=FALSE,M1485=FALSE)),",","")&amp;IF(K1485=FALSE,"「賞与額等」","")&amp;IF(AND(K1485=FALSE,OR(L1485=FALSE,M1485=FALSE)),",","")&amp;IF(L1485=FALSE,"「残業手当」","")&amp;IF(AND(L1485=FALSE,M1485=FALSE),",","")&amp;IF(M1485=FALSE,"「残業時間」","")&amp;IF(OR(J1485=FALSE,K1485=FALSE,L1485=FALSE,M1485=FALSE),入力リスト!$K$36,"")&amp;IF(N1485,"",入力リスト!$K$37)))</f>
        <v/>
      </c>
      <c r="H1485" s="215"/>
      <c r="I1485" s="1" t="b">
        <f>IF(B1485="",FALSE,COUNTIF('従業員情報(給与以外)'!$A$4:$A$1000000,$B1485)=0)</f>
        <v>0</v>
      </c>
      <c r="J1485" s="8" t="b">
        <f t="shared" si="115"/>
        <v>1</v>
      </c>
      <c r="K1485" s="8" t="b">
        <f t="shared" si="116"/>
        <v>1</v>
      </c>
      <c r="L1485" s="8" t="b">
        <f t="shared" si="117"/>
        <v>1</v>
      </c>
      <c r="M1485" s="8" t="b">
        <f t="shared" si="118"/>
        <v>1</v>
      </c>
      <c r="N1485" s="1" t="b">
        <f t="shared" si="119"/>
        <v>1</v>
      </c>
      <c r="O1485" s="8" t="str">
        <f>IF(F1485="","",IF($F$2=入力リスト!$H$25,ROUNDDOWN(INT(F1485)+ROUNDDOWN((F1485-INT(F1485))*100,0)/60,2),F1485))</f>
        <v/>
      </c>
      <c r="P1485" s="7"/>
      <c r="Q1485" s="7"/>
    </row>
    <row r="1486" spans="1:17">
      <c r="A1486" s="105"/>
      <c r="B1486" s="2"/>
      <c r="C1486" s="3"/>
      <c r="D1486" s="3"/>
      <c r="E1486" s="3"/>
      <c r="F1486" s="8"/>
      <c r="G1486" s="215" t="str">
        <f>IF(AND($B1486="",OR(B1486&lt;&gt;"",C1486&lt;&gt;"",D1486&lt;&gt;"",E1486&lt;&gt;"",F1486&lt;&gt;"")),入力リスト!$K$34,IF($I1486=TRUE,入力リスト!$K$35,IF(J1486=FALSE,"「毎月の固定給与額」","")&amp;IF(AND(J1486=FALSE,OR(K1486=FALSE,L1486=FALSE,M1486=FALSE)),",","")&amp;IF(K1486=FALSE,"「賞与額等」","")&amp;IF(AND(K1486=FALSE,OR(L1486=FALSE,M1486=FALSE)),",","")&amp;IF(L1486=FALSE,"「残業手当」","")&amp;IF(AND(L1486=FALSE,M1486=FALSE),",","")&amp;IF(M1486=FALSE,"「残業時間」","")&amp;IF(OR(J1486=FALSE,K1486=FALSE,L1486=FALSE,M1486=FALSE),入力リスト!$K$36,"")&amp;IF(N1486,"",入力リスト!$K$37)))</f>
        <v/>
      </c>
      <c r="H1486" s="215"/>
      <c r="I1486" s="1" t="b">
        <f>IF(B1486="",FALSE,COUNTIF('従業員情報(給与以外)'!$A$4:$A$1000000,$B1486)=0)</f>
        <v>0</v>
      </c>
      <c r="J1486" s="8" t="b">
        <f t="shared" si="115"/>
        <v>1</v>
      </c>
      <c r="K1486" s="8" t="b">
        <f t="shared" si="116"/>
        <v>1</v>
      </c>
      <c r="L1486" s="8" t="b">
        <f t="shared" si="117"/>
        <v>1</v>
      </c>
      <c r="M1486" s="8" t="b">
        <f t="shared" si="118"/>
        <v>1</v>
      </c>
      <c r="N1486" s="1" t="b">
        <f t="shared" si="119"/>
        <v>1</v>
      </c>
      <c r="O1486" s="8" t="str">
        <f>IF(F1486="","",IF($F$2=入力リスト!$H$25,ROUNDDOWN(INT(F1486)+ROUNDDOWN((F1486-INT(F1486))*100,0)/60,2),F1486))</f>
        <v/>
      </c>
      <c r="P1486" s="7"/>
      <c r="Q1486" s="7"/>
    </row>
    <row r="1487" spans="1:17">
      <c r="A1487" s="105"/>
      <c r="B1487" s="2"/>
      <c r="C1487" s="3"/>
      <c r="D1487" s="3"/>
      <c r="E1487" s="3"/>
      <c r="F1487" s="8"/>
      <c r="G1487" s="215" t="str">
        <f>IF(AND($B1487="",OR(B1487&lt;&gt;"",C1487&lt;&gt;"",D1487&lt;&gt;"",E1487&lt;&gt;"",F1487&lt;&gt;"")),入力リスト!$K$34,IF($I1487=TRUE,入力リスト!$K$35,IF(J1487=FALSE,"「毎月の固定給与額」","")&amp;IF(AND(J1487=FALSE,OR(K1487=FALSE,L1487=FALSE,M1487=FALSE)),",","")&amp;IF(K1487=FALSE,"「賞与額等」","")&amp;IF(AND(K1487=FALSE,OR(L1487=FALSE,M1487=FALSE)),",","")&amp;IF(L1487=FALSE,"「残業手当」","")&amp;IF(AND(L1487=FALSE,M1487=FALSE),",","")&amp;IF(M1487=FALSE,"「残業時間」","")&amp;IF(OR(J1487=FALSE,K1487=FALSE,L1487=FALSE,M1487=FALSE),入力リスト!$K$36,"")&amp;IF(N1487,"",入力リスト!$K$37)))</f>
        <v/>
      </c>
      <c r="H1487" s="215"/>
      <c r="I1487" s="1" t="b">
        <f>IF(B1487="",FALSE,COUNTIF('従業員情報(給与以外)'!$A$4:$A$1000000,$B1487)=0)</f>
        <v>0</v>
      </c>
      <c r="J1487" s="8" t="b">
        <f t="shared" si="115"/>
        <v>1</v>
      </c>
      <c r="K1487" s="8" t="b">
        <f t="shared" si="116"/>
        <v>1</v>
      </c>
      <c r="L1487" s="8" t="b">
        <f t="shared" si="117"/>
        <v>1</v>
      </c>
      <c r="M1487" s="8" t="b">
        <f t="shared" si="118"/>
        <v>1</v>
      </c>
      <c r="N1487" s="1" t="b">
        <f t="shared" si="119"/>
        <v>1</v>
      </c>
      <c r="O1487" s="8" t="str">
        <f>IF(F1487="","",IF($F$2=入力リスト!$H$25,ROUNDDOWN(INT(F1487)+ROUNDDOWN((F1487-INT(F1487))*100,0)/60,2),F1487))</f>
        <v/>
      </c>
      <c r="P1487" s="7"/>
      <c r="Q1487" s="7"/>
    </row>
    <row r="1488" spans="1:17">
      <c r="A1488" s="105"/>
      <c r="B1488" s="2"/>
      <c r="C1488" s="3"/>
      <c r="D1488" s="3"/>
      <c r="E1488" s="3"/>
      <c r="F1488" s="8"/>
      <c r="G1488" s="215" t="str">
        <f>IF(AND($B1488="",OR(B1488&lt;&gt;"",C1488&lt;&gt;"",D1488&lt;&gt;"",E1488&lt;&gt;"",F1488&lt;&gt;"")),入力リスト!$K$34,IF($I1488=TRUE,入力リスト!$K$35,IF(J1488=FALSE,"「毎月の固定給与額」","")&amp;IF(AND(J1488=FALSE,OR(K1488=FALSE,L1488=FALSE,M1488=FALSE)),",","")&amp;IF(K1488=FALSE,"「賞与額等」","")&amp;IF(AND(K1488=FALSE,OR(L1488=FALSE,M1488=FALSE)),",","")&amp;IF(L1488=FALSE,"「残業手当」","")&amp;IF(AND(L1488=FALSE,M1488=FALSE),",","")&amp;IF(M1488=FALSE,"「残業時間」","")&amp;IF(OR(J1488=FALSE,K1488=FALSE,L1488=FALSE,M1488=FALSE),入力リスト!$K$36,"")&amp;IF(N1488,"",入力リスト!$K$37)))</f>
        <v/>
      </c>
      <c r="H1488" s="215"/>
      <c r="I1488" s="1" t="b">
        <f>IF(B1488="",FALSE,COUNTIF('従業員情報(給与以外)'!$A$4:$A$1000000,$B1488)=0)</f>
        <v>0</v>
      </c>
      <c r="J1488" s="8" t="b">
        <f t="shared" si="115"/>
        <v>1</v>
      </c>
      <c r="K1488" s="8" t="b">
        <f t="shared" si="116"/>
        <v>1</v>
      </c>
      <c r="L1488" s="8" t="b">
        <f t="shared" si="117"/>
        <v>1</v>
      </c>
      <c r="M1488" s="8" t="b">
        <f t="shared" si="118"/>
        <v>1</v>
      </c>
      <c r="N1488" s="1" t="b">
        <f t="shared" si="119"/>
        <v>1</v>
      </c>
      <c r="O1488" s="8" t="str">
        <f>IF(F1488="","",IF($F$2=入力リスト!$H$25,ROUNDDOWN(INT(F1488)+ROUNDDOWN((F1488-INT(F1488))*100,0)/60,2),F1488))</f>
        <v/>
      </c>
      <c r="P1488" s="7"/>
      <c r="Q1488" s="7"/>
    </row>
    <row r="1489" spans="1:17">
      <c r="A1489" s="105"/>
      <c r="B1489" s="2"/>
      <c r="C1489" s="3"/>
      <c r="D1489" s="3"/>
      <c r="E1489" s="3"/>
      <c r="F1489" s="8"/>
      <c r="G1489" s="215" t="str">
        <f>IF(AND($B1489="",OR(B1489&lt;&gt;"",C1489&lt;&gt;"",D1489&lt;&gt;"",E1489&lt;&gt;"",F1489&lt;&gt;"")),入力リスト!$K$34,IF($I1489=TRUE,入力リスト!$K$35,IF(J1489=FALSE,"「毎月の固定給与額」","")&amp;IF(AND(J1489=FALSE,OR(K1489=FALSE,L1489=FALSE,M1489=FALSE)),",","")&amp;IF(K1489=FALSE,"「賞与額等」","")&amp;IF(AND(K1489=FALSE,OR(L1489=FALSE,M1489=FALSE)),",","")&amp;IF(L1489=FALSE,"「残業手当」","")&amp;IF(AND(L1489=FALSE,M1489=FALSE),",","")&amp;IF(M1489=FALSE,"「残業時間」","")&amp;IF(OR(J1489=FALSE,K1489=FALSE,L1489=FALSE,M1489=FALSE),入力リスト!$K$36,"")&amp;IF(N1489,"",入力リスト!$K$37)))</f>
        <v/>
      </c>
      <c r="H1489" s="215"/>
      <c r="I1489" s="1" t="b">
        <f>IF(B1489="",FALSE,COUNTIF('従業員情報(給与以外)'!$A$4:$A$1000000,$B1489)=0)</f>
        <v>0</v>
      </c>
      <c r="J1489" s="8" t="b">
        <f t="shared" si="115"/>
        <v>1</v>
      </c>
      <c r="K1489" s="8" t="b">
        <f t="shared" si="116"/>
        <v>1</v>
      </c>
      <c r="L1489" s="8" t="b">
        <f t="shared" si="117"/>
        <v>1</v>
      </c>
      <c r="M1489" s="8" t="b">
        <f t="shared" si="118"/>
        <v>1</v>
      </c>
      <c r="N1489" s="1" t="b">
        <f t="shared" si="119"/>
        <v>1</v>
      </c>
      <c r="O1489" s="8" t="str">
        <f>IF(F1489="","",IF($F$2=入力リスト!$H$25,ROUNDDOWN(INT(F1489)+ROUNDDOWN((F1489-INT(F1489))*100,0)/60,2),F1489))</f>
        <v/>
      </c>
      <c r="P1489" s="7"/>
      <c r="Q1489" s="7"/>
    </row>
    <row r="1490" spans="1:17">
      <c r="A1490" s="105"/>
      <c r="B1490" s="2"/>
      <c r="C1490" s="3"/>
      <c r="D1490" s="3"/>
      <c r="E1490" s="3"/>
      <c r="F1490" s="8"/>
      <c r="G1490" s="215" t="str">
        <f>IF(AND($B1490="",OR(B1490&lt;&gt;"",C1490&lt;&gt;"",D1490&lt;&gt;"",E1490&lt;&gt;"",F1490&lt;&gt;"")),入力リスト!$K$34,IF($I1490=TRUE,入力リスト!$K$35,IF(J1490=FALSE,"「毎月の固定給与額」","")&amp;IF(AND(J1490=FALSE,OR(K1490=FALSE,L1490=FALSE,M1490=FALSE)),",","")&amp;IF(K1490=FALSE,"「賞与額等」","")&amp;IF(AND(K1490=FALSE,OR(L1490=FALSE,M1490=FALSE)),",","")&amp;IF(L1490=FALSE,"「残業手当」","")&amp;IF(AND(L1490=FALSE,M1490=FALSE),",","")&amp;IF(M1490=FALSE,"「残業時間」","")&amp;IF(OR(J1490=FALSE,K1490=FALSE,L1490=FALSE,M1490=FALSE),入力リスト!$K$36,"")&amp;IF(N1490,"",入力リスト!$K$37)))</f>
        <v/>
      </c>
      <c r="H1490" s="215"/>
      <c r="I1490" s="1" t="b">
        <f>IF(B1490="",FALSE,COUNTIF('従業員情報(給与以外)'!$A$4:$A$1000000,$B1490)=0)</f>
        <v>0</v>
      </c>
      <c r="J1490" s="8" t="b">
        <f t="shared" si="115"/>
        <v>1</v>
      </c>
      <c r="K1490" s="8" t="b">
        <f t="shared" si="116"/>
        <v>1</v>
      </c>
      <c r="L1490" s="8" t="b">
        <f t="shared" si="117"/>
        <v>1</v>
      </c>
      <c r="M1490" s="8" t="b">
        <f t="shared" si="118"/>
        <v>1</v>
      </c>
      <c r="N1490" s="1" t="b">
        <f t="shared" si="119"/>
        <v>1</v>
      </c>
      <c r="O1490" s="8" t="str">
        <f>IF(F1490="","",IF($F$2=入力リスト!$H$25,ROUNDDOWN(INT(F1490)+ROUNDDOWN((F1490-INT(F1490))*100,0)/60,2),F1490))</f>
        <v/>
      </c>
      <c r="P1490" s="7"/>
      <c r="Q1490" s="7"/>
    </row>
    <row r="1491" spans="1:17">
      <c r="A1491" s="105"/>
      <c r="B1491" s="2"/>
      <c r="C1491" s="3"/>
      <c r="D1491" s="3"/>
      <c r="E1491" s="3"/>
      <c r="F1491" s="8"/>
      <c r="G1491" s="215" t="str">
        <f>IF(AND($B1491="",OR(B1491&lt;&gt;"",C1491&lt;&gt;"",D1491&lt;&gt;"",E1491&lt;&gt;"",F1491&lt;&gt;"")),入力リスト!$K$34,IF($I1491=TRUE,入力リスト!$K$35,IF(J1491=FALSE,"「毎月の固定給与額」","")&amp;IF(AND(J1491=FALSE,OR(K1491=FALSE,L1491=FALSE,M1491=FALSE)),",","")&amp;IF(K1491=FALSE,"「賞与額等」","")&amp;IF(AND(K1491=FALSE,OR(L1491=FALSE,M1491=FALSE)),",","")&amp;IF(L1491=FALSE,"「残業手当」","")&amp;IF(AND(L1491=FALSE,M1491=FALSE),",","")&amp;IF(M1491=FALSE,"「残業時間」","")&amp;IF(OR(J1491=FALSE,K1491=FALSE,L1491=FALSE,M1491=FALSE),入力リスト!$K$36,"")&amp;IF(N1491,"",入力リスト!$K$37)))</f>
        <v/>
      </c>
      <c r="H1491" s="215"/>
      <c r="I1491" s="1" t="b">
        <f>IF(B1491="",FALSE,COUNTIF('従業員情報(給与以外)'!$A$4:$A$1000000,$B1491)=0)</f>
        <v>0</v>
      </c>
      <c r="J1491" s="8" t="b">
        <f t="shared" si="115"/>
        <v>1</v>
      </c>
      <c r="K1491" s="8" t="b">
        <f t="shared" si="116"/>
        <v>1</v>
      </c>
      <c r="L1491" s="8" t="b">
        <f t="shared" si="117"/>
        <v>1</v>
      </c>
      <c r="M1491" s="8" t="b">
        <f t="shared" si="118"/>
        <v>1</v>
      </c>
      <c r="N1491" s="1" t="b">
        <f t="shared" si="119"/>
        <v>1</v>
      </c>
      <c r="O1491" s="8" t="str">
        <f>IF(F1491="","",IF($F$2=入力リスト!$H$25,ROUNDDOWN(INT(F1491)+ROUNDDOWN((F1491-INT(F1491))*100,0)/60,2),F1491))</f>
        <v/>
      </c>
      <c r="P1491" s="7"/>
      <c r="Q1491" s="7"/>
    </row>
    <row r="1492" spans="1:17">
      <c r="A1492" s="105"/>
      <c r="B1492" s="2"/>
      <c r="C1492" s="3"/>
      <c r="D1492" s="3"/>
      <c r="E1492" s="3"/>
      <c r="F1492" s="8"/>
      <c r="G1492" s="215" t="str">
        <f>IF(AND($B1492="",OR(B1492&lt;&gt;"",C1492&lt;&gt;"",D1492&lt;&gt;"",E1492&lt;&gt;"",F1492&lt;&gt;"")),入力リスト!$K$34,IF($I1492=TRUE,入力リスト!$K$35,IF(J1492=FALSE,"「毎月の固定給与額」","")&amp;IF(AND(J1492=FALSE,OR(K1492=FALSE,L1492=FALSE,M1492=FALSE)),",","")&amp;IF(K1492=FALSE,"「賞与額等」","")&amp;IF(AND(K1492=FALSE,OR(L1492=FALSE,M1492=FALSE)),",","")&amp;IF(L1492=FALSE,"「残業手当」","")&amp;IF(AND(L1492=FALSE,M1492=FALSE),",","")&amp;IF(M1492=FALSE,"「残業時間」","")&amp;IF(OR(J1492=FALSE,K1492=FALSE,L1492=FALSE,M1492=FALSE),入力リスト!$K$36,"")&amp;IF(N1492,"",入力リスト!$K$37)))</f>
        <v/>
      </c>
      <c r="H1492" s="215"/>
      <c r="I1492" s="1" t="b">
        <f>IF(B1492="",FALSE,COUNTIF('従業員情報(給与以外)'!$A$4:$A$1000000,$B1492)=0)</f>
        <v>0</v>
      </c>
      <c r="J1492" s="8" t="b">
        <f t="shared" si="115"/>
        <v>1</v>
      </c>
      <c r="K1492" s="8" t="b">
        <f t="shared" si="116"/>
        <v>1</v>
      </c>
      <c r="L1492" s="8" t="b">
        <f t="shared" si="117"/>
        <v>1</v>
      </c>
      <c r="M1492" s="8" t="b">
        <f t="shared" si="118"/>
        <v>1</v>
      </c>
      <c r="N1492" s="1" t="b">
        <f t="shared" si="119"/>
        <v>1</v>
      </c>
      <c r="O1492" s="8" t="str">
        <f>IF(F1492="","",IF($F$2=入力リスト!$H$25,ROUNDDOWN(INT(F1492)+ROUNDDOWN((F1492-INT(F1492))*100,0)/60,2),F1492))</f>
        <v/>
      </c>
      <c r="P1492" s="7"/>
      <c r="Q1492" s="7"/>
    </row>
    <row r="1493" spans="1:17">
      <c r="A1493" s="105"/>
      <c r="B1493" s="2"/>
      <c r="C1493" s="3"/>
      <c r="D1493" s="3"/>
      <c r="E1493" s="3"/>
      <c r="F1493" s="8"/>
      <c r="G1493" s="215" t="str">
        <f>IF(AND($B1493="",OR(B1493&lt;&gt;"",C1493&lt;&gt;"",D1493&lt;&gt;"",E1493&lt;&gt;"",F1493&lt;&gt;"")),入力リスト!$K$34,IF($I1493=TRUE,入力リスト!$K$35,IF(J1493=FALSE,"「毎月の固定給与額」","")&amp;IF(AND(J1493=FALSE,OR(K1493=FALSE,L1493=FALSE,M1493=FALSE)),",","")&amp;IF(K1493=FALSE,"「賞与額等」","")&amp;IF(AND(K1493=FALSE,OR(L1493=FALSE,M1493=FALSE)),",","")&amp;IF(L1493=FALSE,"「残業手当」","")&amp;IF(AND(L1493=FALSE,M1493=FALSE),",","")&amp;IF(M1493=FALSE,"「残業時間」","")&amp;IF(OR(J1493=FALSE,K1493=FALSE,L1493=FALSE,M1493=FALSE),入力リスト!$K$36,"")&amp;IF(N1493,"",入力リスト!$K$37)))</f>
        <v/>
      </c>
      <c r="H1493" s="215"/>
      <c r="I1493" s="1" t="b">
        <f>IF(B1493="",FALSE,COUNTIF('従業員情報(給与以外)'!$A$4:$A$1000000,$B1493)=0)</f>
        <v>0</v>
      </c>
      <c r="J1493" s="8" t="b">
        <f t="shared" si="115"/>
        <v>1</v>
      </c>
      <c r="K1493" s="8" t="b">
        <f t="shared" si="116"/>
        <v>1</v>
      </c>
      <c r="L1493" s="8" t="b">
        <f t="shared" si="117"/>
        <v>1</v>
      </c>
      <c r="M1493" s="8" t="b">
        <f t="shared" si="118"/>
        <v>1</v>
      </c>
      <c r="N1493" s="1" t="b">
        <f t="shared" si="119"/>
        <v>1</v>
      </c>
      <c r="O1493" s="8" t="str">
        <f>IF(F1493="","",IF($F$2=入力リスト!$H$25,ROUNDDOWN(INT(F1493)+ROUNDDOWN((F1493-INT(F1493))*100,0)/60,2),F1493))</f>
        <v/>
      </c>
      <c r="P1493" s="7"/>
      <c r="Q1493" s="7"/>
    </row>
    <row r="1494" spans="1:17">
      <c r="A1494" s="105"/>
      <c r="B1494" s="2"/>
      <c r="C1494" s="3"/>
      <c r="D1494" s="3"/>
      <c r="E1494" s="3"/>
      <c r="F1494" s="8"/>
      <c r="G1494" s="215" t="str">
        <f>IF(AND($B1494="",OR(B1494&lt;&gt;"",C1494&lt;&gt;"",D1494&lt;&gt;"",E1494&lt;&gt;"",F1494&lt;&gt;"")),入力リスト!$K$34,IF($I1494=TRUE,入力リスト!$K$35,IF(J1494=FALSE,"「毎月の固定給与額」","")&amp;IF(AND(J1494=FALSE,OR(K1494=FALSE,L1494=FALSE,M1494=FALSE)),",","")&amp;IF(K1494=FALSE,"「賞与額等」","")&amp;IF(AND(K1494=FALSE,OR(L1494=FALSE,M1494=FALSE)),",","")&amp;IF(L1494=FALSE,"「残業手当」","")&amp;IF(AND(L1494=FALSE,M1494=FALSE),",","")&amp;IF(M1494=FALSE,"「残業時間」","")&amp;IF(OR(J1494=FALSE,K1494=FALSE,L1494=FALSE,M1494=FALSE),入力リスト!$K$36,"")&amp;IF(N1494,"",入力リスト!$K$37)))</f>
        <v/>
      </c>
      <c r="H1494" s="215"/>
      <c r="I1494" s="1" t="b">
        <f>IF(B1494="",FALSE,COUNTIF('従業員情報(給与以外)'!$A$4:$A$1000000,$B1494)=0)</f>
        <v>0</v>
      </c>
      <c r="J1494" s="8" t="b">
        <f t="shared" si="115"/>
        <v>1</v>
      </c>
      <c r="K1494" s="8" t="b">
        <f t="shared" si="116"/>
        <v>1</v>
      </c>
      <c r="L1494" s="8" t="b">
        <f t="shared" si="117"/>
        <v>1</v>
      </c>
      <c r="M1494" s="8" t="b">
        <f t="shared" si="118"/>
        <v>1</v>
      </c>
      <c r="N1494" s="1" t="b">
        <f t="shared" si="119"/>
        <v>1</v>
      </c>
      <c r="O1494" s="8" t="str">
        <f>IF(F1494="","",IF($F$2=入力リスト!$H$25,ROUNDDOWN(INT(F1494)+ROUNDDOWN((F1494-INT(F1494))*100,0)/60,2),F1494))</f>
        <v/>
      </c>
      <c r="P1494" s="7"/>
      <c r="Q1494" s="7"/>
    </row>
    <row r="1495" spans="1:17">
      <c r="A1495" s="105"/>
      <c r="B1495" s="2"/>
      <c r="C1495" s="3"/>
      <c r="D1495" s="3"/>
      <c r="E1495" s="3"/>
      <c r="F1495" s="8"/>
      <c r="G1495" s="215" t="str">
        <f>IF(AND($B1495="",OR(B1495&lt;&gt;"",C1495&lt;&gt;"",D1495&lt;&gt;"",E1495&lt;&gt;"",F1495&lt;&gt;"")),入力リスト!$K$34,IF($I1495=TRUE,入力リスト!$K$35,IF(J1495=FALSE,"「毎月の固定給与額」","")&amp;IF(AND(J1495=FALSE,OR(K1495=FALSE,L1495=FALSE,M1495=FALSE)),",","")&amp;IF(K1495=FALSE,"「賞与額等」","")&amp;IF(AND(K1495=FALSE,OR(L1495=FALSE,M1495=FALSE)),",","")&amp;IF(L1495=FALSE,"「残業手当」","")&amp;IF(AND(L1495=FALSE,M1495=FALSE),",","")&amp;IF(M1495=FALSE,"「残業時間」","")&amp;IF(OR(J1495=FALSE,K1495=FALSE,L1495=FALSE,M1495=FALSE),入力リスト!$K$36,"")&amp;IF(N1495,"",入力リスト!$K$37)))</f>
        <v/>
      </c>
      <c r="H1495" s="215"/>
      <c r="I1495" s="1" t="b">
        <f>IF(B1495="",FALSE,COUNTIF('従業員情報(給与以外)'!$A$4:$A$1000000,$B1495)=0)</f>
        <v>0</v>
      </c>
      <c r="J1495" s="8" t="b">
        <f t="shared" si="115"/>
        <v>1</v>
      </c>
      <c r="K1495" s="8" t="b">
        <f t="shared" si="116"/>
        <v>1</v>
      </c>
      <c r="L1495" s="8" t="b">
        <f t="shared" si="117"/>
        <v>1</v>
      </c>
      <c r="M1495" s="8" t="b">
        <f t="shared" si="118"/>
        <v>1</v>
      </c>
      <c r="N1495" s="1" t="b">
        <f t="shared" si="119"/>
        <v>1</v>
      </c>
      <c r="O1495" s="8" t="str">
        <f>IF(F1495="","",IF($F$2=入力リスト!$H$25,ROUNDDOWN(INT(F1495)+ROUNDDOWN((F1495-INT(F1495))*100,0)/60,2),F1495))</f>
        <v/>
      </c>
      <c r="P1495" s="7"/>
      <c r="Q1495" s="7"/>
    </row>
    <row r="1496" spans="1:17">
      <c r="A1496" s="105"/>
      <c r="B1496" s="2"/>
      <c r="C1496" s="3"/>
      <c r="D1496" s="3"/>
      <c r="E1496" s="3"/>
      <c r="F1496" s="8"/>
      <c r="G1496" s="215" t="str">
        <f>IF(AND($B1496="",OR(B1496&lt;&gt;"",C1496&lt;&gt;"",D1496&lt;&gt;"",E1496&lt;&gt;"",F1496&lt;&gt;"")),入力リスト!$K$34,IF($I1496=TRUE,入力リスト!$K$35,IF(J1496=FALSE,"「毎月の固定給与額」","")&amp;IF(AND(J1496=FALSE,OR(K1496=FALSE,L1496=FALSE,M1496=FALSE)),",","")&amp;IF(K1496=FALSE,"「賞与額等」","")&amp;IF(AND(K1496=FALSE,OR(L1496=FALSE,M1496=FALSE)),",","")&amp;IF(L1496=FALSE,"「残業手当」","")&amp;IF(AND(L1496=FALSE,M1496=FALSE),",","")&amp;IF(M1496=FALSE,"「残業時間」","")&amp;IF(OR(J1496=FALSE,K1496=FALSE,L1496=FALSE,M1496=FALSE),入力リスト!$K$36,"")&amp;IF(N1496,"",入力リスト!$K$37)))</f>
        <v/>
      </c>
      <c r="H1496" s="215"/>
      <c r="I1496" s="1" t="b">
        <f>IF(B1496="",FALSE,COUNTIF('従業員情報(給与以外)'!$A$4:$A$1000000,$B1496)=0)</f>
        <v>0</v>
      </c>
      <c r="J1496" s="8" t="b">
        <f t="shared" si="115"/>
        <v>1</v>
      </c>
      <c r="K1496" s="8" t="b">
        <f t="shared" si="116"/>
        <v>1</v>
      </c>
      <c r="L1496" s="8" t="b">
        <f t="shared" si="117"/>
        <v>1</v>
      </c>
      <c r="M1496" s="8" t="b">
        <f t="shared" si="118"/>
        <v>1</v>
      </c>
      <c r="N1496" s="1" t="b">
        <f t="shared" si="119"/>
        <v>1</v>
      </c>
      <c r="O1496" s="8" t="str">
        <f>IF(F1496="","",IF($F$2=入力リスト!$H$25,ROUNDDOWN(INT(F1496)+ROUNDDOWN((F1496-INT(F1496))*100,0)/60,2),F1496))</f>
        <v/>
      </c>
      <c r="P1496" s="7"/>
      <c r="Q1496" s="7"/>
    </row>
    <row r="1497" spans="1:17">
      <c r="A1497" s="105"/>
      <c r="B1497" s="2"/>
      <c r="C1497" s="3"/>
      <c r="D1497" s="3"/>
      <c r="E1497" s="3"/>
      <c r="F1497" s="8"/>
      <c r="G1497" s="215" t="str">
        <f>IF(AND($B1497="",OR(B1497&lt;&gt;"",C1497&lt;&gt;"",D1497&lt;&gt;"",E1497&lt;&gt;"",F1497&lt;&gt;"")),入力リスト!$K$34,IF($I1497=TRUE,入力リスト!$K$35,IF(J1497=FALSE,"「毎月の固定給与額」","")&amp;IF(AND(J1497=FALSE,OR(K1497=FALSE,L1497=FALSE,M1497=FALSE)),",","")&amp;IF(K1497=FALSE,"「賞与額等」","")&amp;IF(AND(K1497=FALSE,OR(L1497=FALSE,M1497=FALSE)),",","")&amp;IF(L1497=FALSE,"「残業手当」","")&amp;IF(AND(L1497=FALSE,M1497=FALSE),",","")&amp;IF(M1497=FALSE,"「残業時間」","")&amp;IF(OR(J1497=FALSE,K1497=FALSE,L1497=FALSE,M1497=FALSE),入力リスト!$K$36,"")&amp;IF(N1497,"",入力リスト!$K$37)))</f>
        <v/>
      </c>
      <c r="H1497" s="215"/>
      <c r="I1497" s="1" t="b">
        <f>IF(B1497="",FALSE,COUNTIF('従業員情報(給与以外)'!$A$4:$A$1000000,$B1497)=0)</f>
        <v>0</v>
      </c>
      <c r="J1497" s="8" t="b">
        <f t="shared" si="115"/>
        <v>1</v>
      </c>
      <c r="K1497" s="8" t="b">
        <f t="shared" si="116"/>
        <v>1</v>
      </c>
      <c r="L1497" s="8" t="b">
        <f t="shared" si="117"/>
        <v>1</v>
      </c>
      <c r="M1497" s="8" t="b">
        <f t="shared" si="118"/>
        <v>1</v>
      </c>
      <c r="N1497" s="1" t="b">
        <f t="shared" si="119"/>
        <v>1</v>
      </c>
      <c r="O1497" s="8" t="str">
        <f>IF(F1497="","",IF($F$2=入力リスト!$H$25,ROUNDDOWN(INT(F1497)+ROUNDDOWN((F1497-INT(F1497))*100,0)/60,2),F1497))</f>
        <v/>
      </c>
      <c r="P1497" s="7"/>
      <c r="Q1497" s="7"/>
    </row>
    <row r="1498" spans="1:17">
      <c r="A1498" s="105"/>
      <c r="B1498" s="2"/>
      <c r="C1498" s="3"/>
      <c r="D1498" s="3"/>
      <c r="E1498" s="3"/>
      <c r="F1498" s="8"/>
      <c r="G1498" s="215" t="str">
        <f>IF(AND($B1498="",OR(B1498&lt;&gt;"",C1498&lt;&gt;"",D1498&lt;&gt;"",E1498&lt;&gt;"",F1498&lt;&gt;"")),入力リスト!$K$34,IF($I1498=TRUE,入力リスト!$K$35,IF(J1498=FALSE,"「毎月の固定給与額」","")&amp;IF(AND(J1498=FALSE,OR(K1498=FALSE,L1498=FALSE,M1498=FALSE)),",","")&amp;IF(K1498=FALSE,"「賞与額等」","")&amp;IF(AND(K1498=FALSE,OR(L1498=FALSE,M1498=FALSE)),",","")&amp;IF(L1498=FALSE,"「残業手当」","")&amp;IF(AND(L1498=FALSE,M1498=FALSE),",","")&amp;IF(M1498=FALSE,"「残業時間」","")&amp;IF(OR(J1498=FALSE,K1498=FALSE,L1498=FALSE,M1498=FALSE),入力リスト!$K$36,"")&amp;IF(N1498,"",入力リスト!$K$37)))</f>
        <v/>
      </c>
      <c r="H1498" s="215"/>
      <c r="I1498" s="1" t="b">
        <f>IF(B1498="",FALSE,COUNTIF('従業員情報(給与以外)'!$A$4:$A$1000000,$B1498)=0)</f>
        <v>0</v>
      </c>
      <c r="J1498" s="8" t="b">
        <f t="shared" si="115"/>
        <v>1</v>
      </c>
      <c r="K1498" s="8" t="b">
        <f t="shared" si="116"/>
        <v>1</v>
      </c>
      <c r="L1498" s="8" t="b">
        <f t="shared" si="117"/>
        <v>1</v>
      </c>
      <c r="M1498" s="8" t="b">
        <f t="shared" si="118"/>
        <v>1</v>
      </c>
      <c r="N1498" s="1" t="b">
        <f t="shared" si="119"/>
        <v>1</v>
      </c>
      <c r="O1498" s="8" t="str">
        <f>IF(F1498="","",IF($F$2=入力リスト!$H$25,ROUNDDOWN(INT(F1498)+ROUNDDOWN((F1498-INT(F1498))*100,0)/60,2),F1498))</f>
        <v/>
      </c>
      <c r="P1498" s="7"/>
      <c r="Q1498" s="7"/>
    </row>
    <row r="1499" spans="1:17">
      <c r="A1499" s="105"/>
      <c r="B1499" s="2"/>
      <c r="C1499" s="3"/>
      <c r="D1499" s="3"/>
      <c r="E1499" s="3"/>
      <c r="F1499" s="8"/>
      <c r="G1499" s="215" t="str">
        <f>IF(AND($B1499="",OR(B1499&lt;&gt;"",C1499&lt;&gt;"",D1499&lt;&gt;"",E1499&lt;&gt;"",F1499&lt;&gt;"")),入力リスト!$K$34,IF($I1499=TRUE,入力リスト!$K$35,IF(J1499=FALSE,"「毎月の固定給与額」","")&amp;IF(AND(J1499=FALSE,OR(K1499=FALSE,L1499=FALSE,M1499=FALSE)),",","")&amp;IF(K1499=FALSE,"「賞与額等」","")&amp;IF(AND(K1499=FALSE,OR(L1499=FALSE,M1499=FALSE)),",","")&amp;IF(L1499=FALSE,"「残業手当」","")&amp;IF(AND(L1499=FALSE,M1499=FALSE),",","")&amp;IF(M1499=FALSE,"「残業時間」","")&amp;IF(OR(J1499=FALSE,K1499=FALSE,L1499=FALSE,M1499=FALSE),入力リスト!$K$36,"")&amp;IF(N1499,"",入力リスト!$K$37)))</f>
        <v/>
      </c>
      <c r="H1499" s="215"/>
      <c r="I1499" s="1" t="b">
        <f>IF(B1499="",FALSE,COUNTIF('従業員情報(給与以外)'!$A$4:$A$1000000,$B1499)=0)</f>
        <v>0</v>
      </c>
      <c r="J1499" s="8" t="b">
        <f t="shared" si="115"/>
        <v>1</v>
      </c>
      <c r="K1499" s="8" t="b">
        <f t="shared" si="116"/>
        <v>1</v>
      </c>
      <c r="L1499" s="8" t="b">
        <f t="shared" si="117"/>
        <v>1</v>
      </c>
      <c r="M1499" s="8" t="b">
        <f t="shared" si="118"/>
        <v>1</v>
      </c>
      <c r="N1499" s="1" t="b">
        <f t="shared" si="119"/>
        <v>1</v>
      </c>
      <c r="O1499" s="8" t="str">
        <f>IF(F1499="","",IF($F$2=入力リスト!$H$25,ROUNDDOWN(INT(F1499)+ROUNDDOWN((F1499-INT(F1499))*100,0)/60,2),F1499))</f>
        <v/>
      </c>
      <c r="P1499" s="7"/>
      <c r="Q1499" s="7"/>
    </row>
    <row r="1500" spans="1:17">
      <c r="A1500" s="105"/>
      <c r="B1500" s="2"/>
      <c r="C1500" s="3"/>
      <c r="D1500" s="3"/>
      <c r="E1500" s="3"/>
      <c r="F1500" s="8"/>
      <c r="G1500" s="215" t="str">
        <f>IF(AND($B1500="",OR(B1500&lt;&gt;"",C1500&lt;&gt;"",D1500&lt;&gt;"",E1500&lt;&gt;"",F1500&lt;&gt;"")),入力リスト!$K$34,IF($I1500=TRUE,入力リスト!$K$35,IF(J1500=FALSE,"「毎月の固定給与額」","")&amp;IF(AND(J1500=FALSE,OR(K1500=FALSE,L1500=FALSE,M1500=FALSE)),",","")&amp;IF(K1500=FALSE,"「賞与額等」","")&amp;IF(AND(K1500=FALSE,OR(L1500=FALSE,M1500=FALSE)),",","")&amp;IF(L1500=FALSE,"「残業手当」","")&amp;IF(AND(L1500=FALSE,M1500=FALSE),",","")&amp;IF(M1500=FALSE,"「残業時間」","")&amp;IF(OR(J1500=FALSE,K1500=FALSE,L1500=FALSE,M1500=FALSE),入力リスト!$K$36,"")&amp;IF(N1500,"",入力リスト!$K$37)))</f>
        <v/>
      </c>
      <c r="H1500" s="215"/>
      <c r="I1500" s="1" t="b">
        <f>IF(B1500="",FALSE,COUNTIF('従業員情報(給与以外)'!$A$4:$A$1000000,$B1500)=0)</f>
        <v>0</v>
      </c>
      <c r="J1500" s="8" t="b">
        <f t="shared" si="115"/>
        <v>1</v>
      </c>
      <c r="K1500" s="8" t="b">
        <f t="shared" si="116"/>
        <v>1</v>
      </c>
      <c r="L1500" s="8" t="b">
        <f t="shared" si="117"/>
        <v>1</v>
      </c>
      <c r="M1500" s="8" t="b">
        <f t="shared" si="118"/>
        <v>1</v>
      </c>
      <c r="N1500" s="1" t="b">
        <f t="shared" si="119"/>
        <v>1</v>
      </c>
      <c r="O1500" s="8" t="str">
        <f>IF(F1500="","",IF($F$2=入力リスト!$H$25,ROUNDDOWN(INT(F1500)+ROUNDDOWN((F1500-INT(F1500))*100,0)/60,2),F1500))</f>
        <v/>
      </c>
      <c r="P1500" s="7"/>
      <c r="Q1500" s="7"/>
    </row>
    <row r="1501" spans="1:17">
      <c r="A1501" s="105"/>
      <c r="B1501" s="2"/>
      <c r="C1501" s="3"/>
      <c r="D1501" s="3"/>
      <c r="E1501" s="3"/>
      <c r="F1501" s="8"/>
      <c r="G1501" s="215" t="str">
        <f>IF(AND($B1501="",OR(B1501&lt;&gt;"",C1501&lt;&gt;"",D1501&lt;&gt;"",E1501&lt;&gt;"",F1501&lt;&gt;"")),入力リスト!$K$34,IF($I1501=TRUE,入力リスト!$K$35,IF(J1501=FALSE,"「毎月の固定給与額」","")&amp;IF(AND(J1501=FALSE,OR(K1501=FALSE,L1501=FALSE,M1501=FALSE)),",","")&amp;IF(K1501=FALSE,"「賞与額等」","")&amp;IF(AND(K1501=FALSE,OR(L1501=FALSE,M1501=FALSE)),",","")&amp;IF(L1501=FALSE,"「残業手当」","")&amp;IF(AND(L1501=FALSE,M1501=FALSE),",","")&amp;IF(M1501=FALSE,"「残業時間」","")&amp;IF(OR(J1501=FALSE,K1501=FALSE,L1501=FALSE,M1501=FALSE),入力リスト!$K$36,"")&amp;IF(N1501,"",入力リスト!$K$37)))</f>
        <v/>
      </c>
      <c r="H1501" s="215"/>
      <c r="I1501" s="1" t="b">
        <f>IF(B1501="",FALSE,COUNTIF('従業員情報(給与以外)'!$A$4:$A$1000000,$B1501)=0)</f>
        <v>0</v>
      </c>
      <c r="J1501" s="8" t="b">
        <f t="shared" si="115"/>
        <v>1</v>
      </c>
      <c r="K1501" s="8" t="b">
        <f t="shared" si="116"/>
        <v>1</v>
      </c>
      <c r="L1501" s="8" t="b">
        <f t="shared" si="117"/>
        <v>1</v>
      </c>
      <c r="M1501" s="8" t="b">
        <f t="shared" si="118"/>
        <v>1</v>
      </c>
      <c r="N1501" s="1" t="b">
        <f t="shared" si="119"/>
        <v>1</v>
      </c>
      <c r="O1501" s="8" t="str">
        <f>IF(F1501="","",IF($F$2=入力リスト!$H$25,ROUNDDOWN(INT(F1501)+ROUNDDOWN((F1501-INT(F1501))*100,0)/60,2),F1501))</f>
        <v/>
      </c>
      <c r="P1501" s="7"/>
      <c r="Q1501" s="7"/>
    </row>
    <row r="1502" spans="1:17">
      <c r="A1502" s="105"/>
      <c r="B1502" s="2"/>
      <c r="C1502" s="3"/>
      <c r="D1502" s="3"/>
      <c r="E1502" s="3"/>
      <c r="F1502" s="8"/>
      <c r="G1502" s="215" t="str">
        <f>IF(AND($B1502="",OR(B1502&lt;&gt;"",C1502&lt;&gt;"",D1502&lt;&gt;"",E1502&lt;&gt;"",F1502&lt;&gt;"")),入力リスト!$K$34,IF($I1502=TRUE,入力リスト!$K$35,IF(J1502=FALSE,"「毎月の固定給与額」","")&amp;IF(AND(J1502=FALSE,OR(K1502=FALSE,L1502=FALSE,M1502=FALSE)),",","")&amp;IF(K1502=FALSE,"「賞与額等」","")&amp;IF(AND(K1502=FALSE,OR(L1502=FALSE,M1502=FALSE)),",","")&amp;IF(L1502=FALSE,"「残業手当」","")&amp;IF(AND(L1502=FALSE,M1502=FALSE),",","")&amp;IF(M1502=FALSE,"「残業時間」","")&amp;IF(OR(J1502=FALSE,K1502=FALSE,L1502=FALSE,M1502=FALSE),入力リスト!$K$36,"")&amp;IF(N1502,"",入力リスト!$K$37)))</f>
        <v/>
      </c>
      <c r="H1502" s="215"/>
      <c r="I1502" s="1" t="b">
        <f>IF(B1502="",FALSE,COUNTIF('従業員情報(給与以外)'!$A$4:$A$1000000,$B1502)=0)</f>
        <v>0</v>
      </c>
      <c r="J1502" s="8" t="b">
        <f t="shared" si="115"/>
        <v>1</v>
      </c>
      <c r="K1502" s="8" t="b">
        <f t="shared" si="116"/>
        <v>1</v>
      </c>
      <c r="L1502" s="8" t="b">
        <f t="shared" si="117"/>
        <v>1</v>
      </c>
      <c r="M1502" s="8" t="b">
        <f t="shared" si="118"/>
        <v>1</v>
      </c>
      <c r="N1502" s="1" t="b">
        <f t="shared" si="119"/>
        <v>1</v>
      </c>
      <c r="O1502" s="8" t="str">
        <f>IF(F1502="","",IF($F$2=入力リスト!$H$25,ROUNDDOWN(INT(F1502)+ROUNDDOWN((F1502-INT(F1502))*100,0)/60,2),F1502))</f>
        <v/>
      </c>
      <c r="P1502" s="7"/>
      <c r="Q1502" s="7"/>
    </row>
    <row r="1503" spans="1:17">
      <c r="A1503" s="105"/>
      <c r="B1503" s="2"/>
      <c r="C1503" s="3"/>
      <c r="D1503" s="3"/>
      <c r="E1503" s="3"/>
      <c r="F1503" s="8"/>
      <c r="G1503" s="215" t="str">
        <f>IF(AND($B1503="",OR(B1503&lt;&gt;"",C1503&lt;&gt;"",D1503&lt;&gt;"",E1503&lt;&gt;"",F1503&lt;&gt;"")),入力リスト!$K$34,IF($I1503=TRUE,入力リスト!$K$35,IF(J1503=FALSE,"「毎月の固定給与額」","")&amp;IF(AND(J1503=FALSE,OR(K1503=FALSE,L1503=FALSE,M1503=FALSE)),",","")&amp;IF(K1503=FALSE,"「賞与額等」","")&amp;IF(AND(K1503=FALSE,OR(L1503=FALSE,M1503=FALSE)),",","")&amp;IF(L1503=FALSE,"「残業手当」","")&amp;IF(AND(L1503=FALSE,M1503=FALSE),",","")&amp;IF(M1503=FALSE,"「残業時間」","")&amp;IF(OR(J1503=FALSE,K1503=FALSE,L1503=FALSE,M1503=FALSE),入力リスト!$K$36,"")&amp;IF(N1503,"",入力リスト!$K$37)))</f>
        <v/>
      </c>
      <c r="H1503" s="215"/>
      <c r="I1503" s="1" t="b">
        <f>IF(B1503="",FALSE,COUNTIF('従業員情報(給与以外)'!$A$4:$A$1000000,$B1503)=0)</f>
        <v>0</v>
      </c>
      <c r="J1503" s="8" t="b">
        <f t="shared" si="115"/>
        <v>1</v>
      </c>
      <c r="K1503" s="8" t="b">
        <f t="shared" si="116"/>
        <v>1</v>
      </c>
      <c r="L1503" s="8" t="b">
        <f t="shared" si="117"/>
        <v>1</v>
      </c>
      <c r="M1503" s="8" t="b">
        <f t="shared" si="118"/>
        <v>1</v>
      </c>
      <c r="N1503" s="1" t="b">
        <f t="shared" si="119"/>
        <v>1</v>
      </c>
      <c r="O1503" s="8" t="str">
        <f>IF(F1503="","",IF($F$2=入力リスト!$H$25,ROUNDDOWN(INT(F1503)+ROUNDDOWN((F1503-INT(F1503))*100,0)/60,2),F1503))</f>
        <v/>
      </c>
      <c r="P1503" s="7"/>
      <c r="Q1503" s="7"/>
    </row>
    <row r="1504" spans="1:17">
      <c r="A1504" s="105"/>
      <c r="B1504" s="2"/>
      <c r="C1504" s="3"/>
      <c r="D1504" s="3"/>
      <c r="E1504" s="3"/>
      <c r="F1504" s="8"/>
      <c r="G1504" s="215" t="str">
        <f>IF(AND($B1504="",OR(B1504&lt;&gt;"",C1504&lt;&gt;"",D1504&lt;&gt;"",E1504&lt;&gt;"",F1504&lt;&gt;"")),入力リスト!$K$34,IF($I1504=TRUE,入力リスト!$K$35,IF(J1504=FALSE,"「毎月の固定給与額」","")&amp;IF(AND(J1504=FALSE,OR(K1504=FALSE,L1504=FALSE,M1504=FALSE)),",","")&amp;IF(K1504=FALSE,"「賞与額等」","")&amp;IF(AND(K1504=FALSE,OR(L1504=FALSE,M1504=FALSE)),",","")&amp;IF(L1504=FALSE,"「残業手当」","")&amp;IF(AND(L1504=FALSE,M1504=FALSE),",","")&amp;IF(M1504=FALSE,"「残業時間」","")&amp;IF(OR(J1504=FALSE,K1504=FALSE,L1504=FALSE,M1504=FALSE),入力リスト!$K$36,"")&amp;IF(N1504,"",入力リスト!$K$37)))</f>
        <v/>
      </c>
      <c r="H1504" s="215"/>
      <c r="I1504" s="1" t="b">
        <f>IF(B1504="",FALSE,COUNTIF('従業員情報(給与以外)'!$A$4:$A$1000000,$B1504)=0)</f>
        <v>0</v>
      </c>
      <c r="J1504" s="8" t="b">
        <f t="shared" si="115"/>
        <v>1</v>
      </c>
      <c r="K1504" s="8" t="b">
        <f t="shared" si="116"/>
        <v>1</v>
      </c>
      <c r="L1504" s="8" t="b">
        <f t="shared" si="117"/>
        <v>1</v>
      </c>
      <c r="M1504" s="8" t="b">
        <f t="shared" si="118"/>
        <v>1</v>
      </c>
      <c r="N1504" s="1" t="b">
        <f t="shared" si="119"/>
        <v>1</v>
      </c>
      <c r="O1504" s="8" t="str">
        <f>IF(F1504="","",IF($F$2=入力リスト!$H$25,ROUNDDOWN(INT(F1504)+ROUNDDOWN((F1504-INT(F1504))*100,0)/60,2),F1504))</f>
        <v/>
      </c>
      <c r="P1504" s="7"/>
      <c r="Q1504" s="7"/>
    </row>
    <row r="1505" spans="1:17">
      <c r="A1505" s="105"/>
      <c r="B1505" s="2"/>
      <c r="C1505" s="3"/>
      <c r="D1505" s="3"/>
      <c r="E1505" s="3"/>
      <c r="F1505" s="8"/>
      <c r="G1505" s="215" t="str">
        <f>IF(AND($B1505="",OR(B1505&lt;&gt;"",C1505&lt;&gt;"",D1505&lt;&gt;"",E1505&lt;&gt;"",F1505&lt;&gt;"")),入力リスト!$K$34,IF($I1505=TRUE,入力リスト!$K$35,IF(J1505=FALSE,"「毎月の固定給与額」","")&amp;IF(AND(J1505=FALSE,OR(K1505=FALSE,L1505=FALSE,M1505=FALSE)),",","")&amp;IF(K1505=FALSE,"「賞与額等」","")&amp;IF(AND(K1505=FALSE,OR(L1505=FALSE,M1505=FALSE)),",","")&amp;IF(L1505=FALSE,"「残業手当」","")&amp;IF(AND(L1505=FALSE,M1505=FALSE),",","")&amp;IF(M1505=FALSE,"「残業時間」","")&amp;IF(OR(J1505=FALSE,K1505=FALSE,L1505=FALSE,M1505=FALSE),入力リスト!$K$36,"")&amp;IF(N1505,"",入力リスト!$K$37)))</f>
        <v/>
      </c>
      <c r="H1505" s="215"/>
      <c r="I1505" s="1" t="b">
        <f>IF(B1505="",FALSE,COUNTIF('従業員情報(給与以外)'!$A$4:$A$1000000,$B1505)=0)</f>
        <v>0</v>
      </c>
      <c r="J1505" s="8" t="b">
        <f t="shared" si="115"/>
        <v>1</v>
      </c>
      <c r="K1505" s="8" t="b">
        <f t="shared" si="116"/>
        <v>1</v>
      </c>
      <c r="L1505" s="8" t="b">
        <f t="shared" si="117"/>
        <v>1</v>
      </c>
      <c r="M1505" s="8" t="b">
        <f t="shared" si="118"/>
        <v>1</v>
      </c>
      <c r="N1505" s="1" t="b">
        <f t="shared" si="119"/>
        <v>1</v>
      </c>
      <c r="O1505" s="8" t="str">
        <f>IF(F1505="","",IF($F$2=入力リスト!$H$25,ROUNDDOWN(INT(F1505)+ROUNDDOWN((F1505-INT(F1505))*100,0)/60,2),F1505))</f>
        <v/>
      </c>
      <c r="P1505" s="7"/>
      <c r="Q1505" s="7"/>
    </row>
    <row r="1506" spans="1:17">
      <c r="A1506" s="105"/>
      <c r="B1506" s="2"/>
      <c r="C1506" s="3"/>
      <c r="D1506" s="3"/>
      <c r="E1506" s="3"/>
      <c r="F1506" s="8"/>
      <c r="G1506" s="215" t="str">
        <f>IF(AND($B1506="",OR(B1506&lt;&gt;"",C1506&lt;&gt;"",D1506&lt;&gt;"",E1506&lt;&gt;"",F1506&lt;&gt;"")),入力リスト!$K$34,IF($I1506=TRUE,入力リスト!$K$35,IF(J1506=FALSE,"「毎月の固定給与額」","")&amp;IF(AND(J1506=FALSE,OR(K1506=FALSE,L1506=FALSE,M1506=FALSE)),",","")&amp;IF(K1506=FALSE,"「賞与額等」","")&amp;IF(AND(K1506=FALSE,OR(L1506=FALSE,M1506=FALSE)),",","")&amp;IF(L1506=FALSE,"「残業手当」","")&amp;IF(AND(L1506=FALSE,M1506=FALSE),",","")&amp;IF(M1506=FALSE,"「残業時間」","")&amp;IF(OR(J1506=FALSE,K1506=FALSE,L1506=FALSE,M1506=FALSE),入力リスト!$K$36,"")&amp;IF(N1506,"",入力リスト!$K$37)))</f>
        <v/>
      </c>
      <c r="H1506" s="215"/>
      <c r="I1506" s="1" t="b">
        <f>IF(B1506="",FALSE,COUNTIF('従業員情報(給与以外)'!$A$4:$A$1000000,$B1506)=0)</f>
        <v>0</v>
      </c>
      <c r="J1506" s="8" t="b">
        <f t="shared" si="115"/>
        <v>1</v>
      </c>
      <c r="K1506" s="8" t="b">
        <f t="shared" si="116"/>
        <v>1</v>
      </c>
      <c r="L1506" s="8" t="b">
        <f t="shared" si="117"/>
        <v>1</v>
      </c>
      <c r="M1506" s="8" t="b">
        <f t="shared" si="118"/>
        <v>1</v>
      </c>
      <c r="N1506" s="1" t="b">
        <f t="shared" si="119"/>
        <v>1</v>
      </c>
      <c r="O1506" s="8" t="str">
        <f>IF(F1506="","",IF($F$2=入力リスト!$H$25,ROUNDDOWN(INT(F1506)+ROUNDDOWN((F1506-INT(F1506))*100,0)/60,2),F1506))</f>
        <v/>
      </c>
      <c r="P1506" s="7"/>
      <c r="Q1506" s="7"/>
    </row>
    <row r="1507" spans="1:17">
      <c r="A1507" s="105"/>
      <c r="B1507" s="2"/>
      <c r="C1507" s="3"/>
      <c r="D1507" s="3"/>
      <c r="E1507" s="3"/>
      <c r="F1507" s="8"/>
      <c r="G1507" s="215" t="str">
        <f>IF(AND($B1507="",OR(B1507&lt;&gt;"",C1507&lt;&gt;"",D1507&lt;&gt;"",E1507&lt;&gt;"",F1507&lt;&gt;"")),入力リスト!$K$34,IF($I1507=TRUE,入力リスト!$K$35,IF(J1507=FALSE,"「毎月の固定給与額」","")&amp;IF(AND(J1507=FALSE,OR(K1507=FALSE,L1507=FALSE,M1507=FALSE)),",","")&amp;IF(K1507=FALSE,"「賞与額等」","")&amp;IF(AND(K1507=FALSE,OR(L1507=FALSE,M1507=FALSE)),",","")&amp;IF(L1507=FALSE,"「残業手当」","")&amp;IF(AND(L1507=FALSE,M1507=FALSE),",","")&amp;IF(M1507=FALSE,"「残業時間」","")&amp;IF(OR(J1507=FALSE,K1507=FALSE,L1507=FALSE,M1507=FALSE),入力リスト!$K$36,"")&amp;IF(N1507,"",入力リスト!$K$37)))</f>
        <v/>
      </c>
      <c r="H1507" s="215"/>
      <c r="I1507" s="1" t="b">
        <f>IF(B1507="",FALSE,COUNTIF('従業員情報(給与以外)'!$A$4:$A$1000000,$B1507)=0)</f>
        <v>0</v>
      </c>
      <c r="J1507" s="8" t="b">
        <f t="shared" si="115"/>
        <v>1</v>
      </c>
      <c r="K1507" s="8" t="b">
        <f t="shared" si="116"/>
        <v>1</v>
      </c>
      <c r="L1507" s="8" t="b">
        <f t="shared" si="117"/>
        <v>1</v>
      </c>
      <c r="M1507" s="8" t="b">
        <f t="shared" si="118"/>
        <v>1</v>
      </c>
      <c r="N1507" s="1" t="b">
        <f t="shared" si="119"/>
        <v>1</v>
      </c>
      <c r="O1507" s="8" t="str">
        <f>IF(F1507="","",IF($F$2=入力リスト!$H$25,ROUNDDOWN(INT(F1507)+ROUNDDOWN((F1507-INT(F1507))*100,0)/60,2),F1507))</f>
        <v/>
      </c>
      <c r="P1507" s="7"/>
      <c r="Q1507" s="7"/>
    </row>
    <row r="1508" spans="1:17">
      <c r="A1508" s="105"/>
      <c r="B1508" s="2"/>
      <c r="C1508" s="3"/>
      <c r="D1508" s="3"/>
      <c r="E1508" s="3"/>
      <c r="F1508" s="8"/>
      <c r="G1508" s="215" t="str">
        <f>IF(AND($B1508="",OR(B1508&lt;&gt;"",C1508&lt;&gt;"",D1508&lt;&gt;"",E1508&lt;&gt;"",F1508&lt;&gt;"")),入力リスト!$K$34,IF($I1508=TRUE,入力リスト!$K$35,IF(J1508=FALSE,"「毎月の固定給与額」","")&amp;IF(AND(J1508=FALSE,OR(K1508=FALSE,L1508=FALSE,M1508=FALSE)),",","")&amp;IF(K1508=FALSE,"「賞与額等」","")&amp;IF(AND(K1508=FALSE,OR(L1508=FALSE,M1508=FALSE)),",","")&amp;IF(L1508=FALSE,"「残業手当」","")&amp;IF(AND(L1508=FALSE,M1508=FALSE),",","")&amp;IF(M1508=FALSE,"「残業時間」","")&amp;IF(OR(J1508=FALSE,K1508=FALSE,L1508=FALSE,M1508=FALSE),入力リスト!$K$36,"")&amp;IF(N1508,"",入力リスト!$K$37)))</f>
        <v/>
      </c>
      <c r="H1508" s="215"/>
      <c r="I1508" s="1" t="b">
        <f>IF(B1508="",FALSE,COUNTIF('従業員情報(給与以外)'!$A$4:$A$1000000,$B1508)=0)</f>
        <v>0</v>
      </c>
      <c r="J1508" s="8" t="b">
        <f t="shared" si="115"/>
        <v>1</v>
      </c>
      <c r="K1508" s="8" t="b">
        <f t="shared" si="116"/>
        <v>1</v>
      </c>
      <c r="L1508" s="8" t="b">
        <f t="shared" si="117"/>
        <v>1</v>
      </c>
      <c r="M1508" s="8" t="b">
        <f t="shared" si="118"/>
        <v>1</v>
      </c>
      <c r="N1508" s="1" t="b">
        <f t="shared" si="119"/>
        <v>1</v>
      </c>
      <c r="O1508" s="8" t="str">
        <f>IF(F1508="","",IF($F$2=入力リスト!$H$25,ROUNDDOWN(INT(F1508)+ROUNDDOWN((F1508-INT(F1508))*100,0)/60,2),F1508))</f>
        <v/>
      </c>
      <c r="P1508" s="7"/>
      <c r="Q1508" s="7"/>
    </row>
    <row r="1509" spans="1:17">
      <c r="A1509" s="105"/>
      <c r="B1509" s="2"/>
      <c r="C1509" s="3"/>
      <c r="D1509" s="3"/>
      <c r="E1509" s="3"/>
      <c r="F1509" s="8"/>
      <c r="G1509" s="215" t="str">
        <f>IF(AND($B1509="",OR(B1509&lt;&gt;"",C1509&lt;&gt;"",D1509&lt;&gt;"",E1509&lt;&gt;"",F1509&lt;&gt;"")),入力リスト!$K$34,IF($I1509=TRUE,入力リスト!$K$35,IF(J1509=FALSE,"「毎月の固定給与額」","")&amp;IF(AND(J1509=FALSE,OR(K1509=FALSE,L1509=FALSE,M1509=FALSE)),",","")&amp;IF(K1509=FALSE,"「賞与額等」","")&amp;IF(AND(K1509=FALSE,OR(L1509=FALSE,M1509=FALSE)),",","")&amp;IF(L1509=FALSE,"「残業手当」","")&amp;IF(AND(L1509=FALSE,M1509=FALSE),",","")&amp;IF(M1509=FALSE,"「残業時間」","")&amp;IF(OR(J1509=FALSE,K1509=FALSE,L1509=FALSE,M1509=FALSE),入力リスト!$K$36,"")&amp;IF(N1509,"",入力リスト!$K$37)))</f>
        <v/>
      </c>
      <c r="H1509" s="215"/>
      <c r="I1509" s="1" t="b">
        <f>IF(B1509="",FALSE,COUNTIF('従業員情報(給与以外)'!$A$4:$A$1000000,$B1509)=0)</f>
        <v>0</v>
      </c>
      <c r="J1509" s="8" t="b">
        <f t="shared" si="115"/>
        <v>1</v>
      </c>
      <c r="K1509" s="8" t="b">
        <f t="shared" si="116"/>
        <v>1</v>
      </c>
      <c r="L1509" s="8" t="b">
        <f t="shared" si="117"/>
        <v>1</v>
      </c>
      <c r="M1509" s="8" t="b">
        <f t="shared" si="118"/>
        <v>1</v>
      </c>
      <c r="N1509" s="1" t="b">
        <f t="shared" si="119"/>
        <v>1</v>
      </c>
      <c r="O1509" s="8" t="str">
        <f>IF(F1509="","",IF($F$2=入力リスト!$H$25,ROUNDDOWN(INT(F1509)+ROUNDDOWN((F1509-INT(F1509))*100,0)/60,2),F1509))</f>
        <v/>
      </c>
      <c r="P1509" s="7"/>
      <c r="Q1509" s="7"/>
    </row>
    <row r="1510" spans="1:17">
      <c r="A1510" s="105"/>
      <c r="B1510" s="2"/>
      <c r="C1510" s="3"/>
      <c r="D1510" s="3"/>
      <c r="E1510" s="3"/>
      <c r="F1510" s="8"/>
      <c r="G1510" s="215" t="str">
        <f>IF(AND($B1510="",OR(B1510&lt;&gt;"",C1510&lt;&gt;"",D1510&lt;&gt;"",E1510&lt;&gt;"",F1510&lt;&gt;"")),入力リスト!$K$34,IF($I1510=TRUE,入力リスト!$K$35,IF(J1510=FALSE,"「毎月の固定給与額」","")&amp;IF(AND(J1510=FALSE,OR(K1510=FALSE,L1510=FALSE,M1510=FALSE)),",","")&amp;IF(K1510=FALSE,"「賞与額等」","")&amp;IF(AND(K1510=FALSE,OR(L1510=FALSE,M1510=FALSE)),",","")&amp;IF(L1510=FALSE,"「残業手当」","")&amp;IF(AND(L1510=FALSE,M1510=FALSE),",","")&amp;IF(M1510=FALSE,"「残業時間」","")&amp;IF(OR(J1510=FALSE,K1510=FALSE,L1510=FALSE,M1510=FALSE),入力リスト!$K$36,"")&amp;IF(N1510,"",入力リスト!$K$37)))</f>
        <v/>
      </c>
      <c r="H1510" s="215"/>
      <c r="I1510" s="1" t="b">
        <f>IF(B1510="",FALSE,COUNTIF('従業員情報(給与以外)'!$A$4:$A$1000000,$B1510)=0)</f>
        <v>0</v>
      </c>
      <c r="J1510" s="8" t="b">
        <f t="shared" si="115"/>
        <v>1</v>
      </c>
      <c r="K1510" s="8" t="b">
        <f t="shared" si="116"/>
        <v>1</v>
      </c>
      <c r="L1510" s="8" t="b">
        <f t="shared" si="117"/>
        <v>1</v>
      </c>
      <c r="M1510" s="8" t="b">
        <f t="shared" si="118"/>
        <v>1</v>
      </c>
      <c r="N1510" s="1" t="b">
        <f t="shared" si="119"/>
        <v>1</v>
      </c>
      <c r="O1510" s="8" t="str">
        <f>IF(F1510="","",IF($F$2=入力リスト!$H$25,ROUNDDOWN(INT(F1510)+ROUNDDOWN((F1510-INT(F1510))*100,0)/60,2),F1510))</f>
        <v/>
      </c>
      <c r="P1510" s="7"/>
      <c r="Q1510" s="7"/>
    </row>
    <row r="1511" spans="1:17">
      <c r="A1511" s="105"/>
      <c r="B1511" s="2"/>
      <c r="C1511" s="3"/>
      <c r="D1511" s="3"/>
      <c r="E1511" s="3"/>
      <c r="F1511" s="8"/>
      <c r="G1511" s="215" t="str">
        <f>IF(AND($B1511="",OR(B1511&lt;&gt;"",C1511&lt;&gt;"",D1511&lt;&gt;"",E1511&lt;&gt;"",F1511&lt;&gt;"")),入力リスト!$K$34,IF($I1511=TRUE,入力リスト!$K$35,IF(J1511=FALSE,"「毎月の固定給与額」","")&amp;IF(AND(J1511=FALSE,OR(K1511=FALSE,L1511=FALSE,M1511=FALSE)),",","")&amp;IF(K1511=FALSE,"「賞与額等」","")&amp;IF(AND(K1511=FALSE,OR(L1511=FALSE,M1511=FALSE)),",","")&amp;IF(L1511=FALSE,"「残業手当」","")&amp;IF(AND(L1511=FALSE,M1511=FALSE),",","")&amp;IF(M1511=FALSE,"「残業時間」","")&amp;IF(OR(J1511=FALSE,K1511=FALSE,L1511=FALSE,M1511=FALSE),入力リスト!$K$36,"")&amp;IF(N1511,"",入力リスト!$K$37)))</f>
        <v/>
      </c>
      <c r="H1511" s="215"/>
      <c r="I1511" s="1" t="b">
        <f>IF(B1511="",FALSE,COUNTIF('従業員情報(給与以外)'!$A$4:$A$1000000,$B1511)=0)</f>
        <v>0</v>
      </c>
      <c r="J1511" s="8" t="b">
        <f t="shared" si="115"/>
        <v>1</v>
      </c>
      <c r="K1511" s="8" t="b">
        <f t="shared" si="116"/>
        <v>1</v>
      </c>
      <c r="L1511" s="8" t="b">
        <f t="shared" si="117"/>
        <v>1</v>
      </c>
      <c r="M1511" s="8" t="b">
        <f t="shared" si="118"/>
        <v>1</v>
      </c>
      <c r="N1511" s="1" t="b">
        <f t="shared" si="119"/>
        <v>1</v>
      </c>
      <c r="O1511" s="8" t="str">
        <f>IF(F1511="","",IF($F$2=入力リスト!$H$25,ROUNDDOWN(INT(F1511)+ROUNDDOWN((F1511-INT(F1511))*100,0)/60,2),F1511))</f>
        <v/>
      </c>
      <c r="P1511" s="7"/>
      <c r="Q1511" s="7"/>
    </row>
    <row r="1512" spans="1:17">
      <c r="A1512" s="105"/>
      <c r="B1512" s="2"/>
      <c r="C1512" s="3"/>
      <c r="D1512" s="3"/>
      <c r="E1512" s="3"/>
      <c r="F1512" s="8"/>
      <c r="G1512" s="215" t="str">
        <f>IF(AND($B1512="",OR(B1512&lt;&gt;"",C1512&lt;&gt;"",D1512&lt;&gt;"",E1512&lt;&gt;"",F1512&lt;&gt;"")),入力リスト!$K$34,IF($I1512=TRUE,入力リスト!$K$35,IF(J1512=FALSE,"「毎月の固定給与額」","")&amp;IF(AND(J1512=FALSE,OR(K1512=FALSE,L1512=FALSE,M1512=FALSE)),",","")&amp;IF(K1512=FALSE,"「賞与額等」","")&amp;IF(AND(K1512=FALSE,OR(L1512=FALSE,M1512=FALSE)),",","")&amp;IF(L1512=FALSE,"「残業手当」","")&amp;IF(AND(L1512=FALSE,M1512=FALSE),",","")&amp;IF(M1512=FALSE,"「残業時間」","")&amp;IF(OR(J1512=FALSE,K1512=FALSE,L1512=FALSE,M1512=FALSE),入力リスト!$K$36,"")&amp;IF(N1512,"",入力リスト!$K$37)))</f>
        <v/>
      </c>
      <c r="H1512" s="215"/>
      <c r="I1512" s="1" t="b">
        <f>IF(B1512="",FALSE,COUNTIF('従業員情報(給与以外)'!$A$4:$A$1000000,$B1512)=0)</f>
        <v>0</v>
      </c>
      <c r="J1512" s="8" t="b">
        <f t="shared" si="115"/>
        <v>1</v>
      </c>
      <c r="K1512" s="8" t="b">
        <f t="shared" si="116"/>
        <v>1</v>
      </c>
      <c r="L1512" s="8" t="b">
        <f t="shared" si="117"/>
        <v>1</v>
      </c>
      <c r="M1512" s="8" t="b">
        <f t="shared" si="118"/>
        <v>1</v>
      </c>
      <c r="N1512" s="1" t="b">
        <f t="shared" si="119"/>
        <v>1</v>
      </c>
      <c r="O1512" s="8" t="str">
        <f>IF(F1512="","",IF($F$2=入力リスト!$H$25,ROUNDDOWN(INT(F1512)+ROUNDDOWN((F1512-INT(F1512))*100,0)/60,2),F1512))</f>
        <v/>
      </c>
      <c r="P1512" s="7"/>
      <c r="Q1512" s="7"/>
    </row>
    <row r="1513" spans="1:17">
      <c r="A1513" s="105"/>
      <c r="B1513" s="2"/>
      <c r="C1513" s="3"/>
      <c r="D1513" s="3"/>
      <c r="E1513" s="3"/>
      <c r="F1513" s="8"/>
      <c r="G1513" s="215" t="str">
        <f>IF(AND($B1513="",OR(B1513&lt;&gt;"",C1513&lt;&gt;"",D1513&lt;&gt;"",E1513&lt;&gt;"",F1513&lt;&gt;"")),入力リスト!$K$34,IF($I1513=TRUE,入力リスト!$K$35,IF(J1513=FALSE,"「毎月の固定給与額」","")&amp;IF(AND(J1513=FALSE,OR(K1513=FALSE,L1513=FALSE,M1513=FALSE)),",","")&amp;IF(K1513=FALSE,"「賞与額等」","")&amp;IF(AND(K1513=FALSE,OR(L1513=FALSE,M1513=FALSE)),",","")&amp;IF(L1513=FALSE,"「残業手当」","")&amp;IF(AND(L1513=FALSE,M1513=FALSE),",","")&amp;IF(M1513=FALSE,"「残業時間」","")&amp;IF(OR(J1513=FALSE,K1513=FALSE,L1513=FALSE,M1513=FALSE),入力リスト!$K$36,"")&amp;IF(N1513,"",入力リスト!$K$37)))</f>
        <v/>
      </c>
      <c r="H1513" s="215"/>
      <c r="I1513" s="1" t="b">
        <f>IF(B1513="",FALSE,COUNTIF('従業員情報(給与以外)'!$A$4:$A$1000000,$B1513)=0)</f>
        <v>0</v>
      </c>
      <c r="J1513" s="8" t="b">
        <f t="shared" si="115"/>
        <v>1</v>
      </c>
      <c r="K1513" s="8" t="b">
        <f t="shared" si="116"/>
        <v>1</v>
      </c>
      <c r="L1513" s="8" t="b">
        <f t="shared" si="117"/>
        <v>1</v>
      </c>
      <c r="M1513" s="8" t="b">
        <f t="shared" si="118"/>
        <v>1</v>
      </c>
      <c r="N1513" s="1" t="b">
        <f t="shared" si="119"/>
        <v>1</v>
      </c>
      <c r="O1513" s="8" t="str">
        <f>IF(F1513="","",IF($F$2=入力リスト!$H$25,ROUNDDOWN(INT(F1513)+ROUNDDOWN((F1513-INT(F1513))*100,0)/60,2),F1513))</f>
        <v/>
      </c>
      <c r="P1513" s="7"/>
      <c r="Q1513" s="7"/>
    </row>
    <row r="1514" spans="1:17">
      <c r="A1514" s="105"/>
      <c r="B1514" s="2"/>
      <c r="C1514" s="3"/>
      <c r="D1514" s="3"/>
      <c r="E1514" s="3"/>
      <c r="F1514" s="8"/>
      <c r="G1514" s="215" t="str">
        <f>IF(AND($B1514="",OR(B1514&lt;&gt;"",C1514&lt;&gt;"",D1514&lt;&gt;"",E1514&lt;&gt;"",F1514&lt;&gt;"")),入力リスト!$K$34,IF($I1514=TRUE,入力リスト!$K$35,IF(J1514=FALSE,"「毎月の固定給与額」","")&amp;IF(AND(J1514=FALSE,OR(K1514=FALSE,L1514=FALSE,M1514=FALSE)),",","")&amp;IF(K1514=FALSE,"「賞与額等」","")&amp;IF(AND(K1514=FALSE,OR(L1514=FALSE,M1514=FALSE)),",","")&amp;IF(L1514=FALSE,"「残業手当」","")&amp;IF(AND(L1514=FALSE,M1514=FALSE),",","")&amp;IF(M1514=FALSE,"「残業時間」","")&amp;IF(OR(J1514=FALSE,K1514=FALSE,L1514=FALSE,M1514=FALSE),入力リスト!$K$36,"")&amp;IF(N1514,"",入力リスト!$K$37)))</f>
        <v/>
      </c>
      <c r="H1514" s="215"/>
      <c r="I1514" s="1" t="b">
        <f>IF(B1514="",FALSE,COUNTIF('従業員情報(給与以外)'!$A$4:$A$1000000,$B1514)=0)</f>
        <v>0</v>
      </c>
      <c r="J1514" s="8" t="b">
        <f t="shared" si="115"/>
        <v>1</v>
      </c>
      <c r="K1514" s="8" t="b">
        <f t="shared" si="116"/>
        <v>1</v>
      </c>
      <c r="L1514" s="8" t="b">
        <f t="shared" si="117"/>
        <v>1</v>
      </c>
      <c r="M1514" s="8" t="b">
        <f t="shared" si="118"/>
        <v>1</v>
      </c>
      <c r="N1514" s="1" t="b">
        <f t="shared" si="119"/>
        <v>1</v>
      </c>
      <c r="O1514" s="8" t="str">
        <f>IF(F1514="","",IF($F$2=入力リスト!$H$25,ROUNDDOWN(INT(F1514)+ROUNDDOWN((F1514-INT(F1514))*100,0)/60,2),F1514))</f>
        <v/>
      </c>
      <c r="P1514" s="7"/>
      <c r="Q1514" s="7"/>
    </row>
    <row r="1515" spans="1:17">
      <c r="A1515" s="105"/>
      <c r="B1515" s="2"/>
      <c r="C1515" s="3"/>
      <c r="D1515" s="3"/>
      <c r="E1515" s="3"/>
      <c r="F1515" s="8"/>
      <c r="G1515" s="215" t="str">
        <f>IF(AND($B1515="",OR(B1515&lt;&gt;"",C1515&lt;&gt;"",D1515&lt;&gt;"",E1515&lt;&gt;"",F1515&lt;&gt;"")),入力リスト!$K$34,IF($I1515=TRUE,入力リスト!$K$35,IF(J1515=FALSE,"「毎月の固定給与額」","")&amp;IF(AND(J1515=FALSE,OR(K1515=FALSE,L1515=FALSE,M1515=FALSE)),",","")&amp;IF(K1515=FALSE,"「賞与額等」","")&amp;IF(AND(K1515=FALSE,OR(L1515=FALSE,M1515=FALSE)),",","")&amp;IF(L1515=FALSE,"「残業手当」","")&amp;IF(AND(L1515=FALSE,M1515=FALSE),",","")&amp;IF(M1515=FALSE,"「残業時間」","")&amp;IF(OR(J1515=FALSE,K1515=FALSE,L1515=FALSE,M1515=FALSE),入力リスト!$K$36,"")&amp;IF(N1515,"",入力リスト!$K$37)))</f>
        <v/>
      </c>
      <c r="H1515" s="215"/>
      <c r="I1515" s="1" t="b">
        <f>IF(B1515="",FALSE,COUNTIF('従業員情報(給与以外)'!$A$4:$A$1000000,$B1515)=0)</f>
        <v>0</v>
      </c>
      <c r="J1515" s="8" t="b">
        <f t="shared" si="115"/>
        <v>1</v>
      </c>
      <c r="K1515" s="8" t="b">
        <f t="shared" si="116"/>
        <v>1</v>
      </c>
      <c r="L1515" s="8" t="b">
        <f t="shared" si="117"/>
        <v>1</v>
      </c>
      <c r="M1515" s="8" t="b">
        <f t="shared" si="118"/>
        <v>1</v>
      </c>
      <c r="N1515" s="1" t="b">
        <f t="shared" si="119"/>
        <v>1</v>
      </c>
      <c r="O1515" s="8" t="str">
        <f>IF(F1515="","",IF($F$2=入力リスト!$H$25,ROUNDDOWN(INT(F1515)+ROUNDDOWN((F1515-INT(F1515))*100,0)/60,2),F1515))</f>
        <v/>
      </c>
      <c r="P1515" s="7"/>
      <c r="Q1515" s="7"/>
    </row>
    <row r="1516" spans="1:17">
      <c r="A1516" s="105"/>
      <c r="B1516" s="2"/>
      <c r="C1516" s="3"/>
      <c r="D1516" s="3"/>
      <c r="E1516" s="3"/>
      <c r="F1516" s="8"/>
      <c r="G1516" s="215" t="str">
        <f>IF(AND($B1516="",OR(B1516&lt;&gt;"",C1516&lt;&gt;"",D1516&lt;&gt;"",E1516&lt;&gt;"",F1516&lt;&gt;"")),入力リスト!$K$34,IF($I1516=TRUE,入力リスト!$K$35,IF(J1516=FALSE,"「毎月の固定給与額」","")&amp;IF(AND(J1516=FALSE,OR(K1516=FALSE,L1516=FALSE,M1516=FALSE)),",","")&amp;IF(K1516=FALSE,"「賞与額等」","")&amp;IF(AND(K1516=FALSE,OR(L1516=FALSE,M1516=FALSE)),",","")&amp;IF(L1516=FALSE,"「残業手当」","")&amp;IF(AND(L1516=FALSE,M1516=FALSE),",","")&amp;IF(M1516=FALSE,"「残業時間」","")&amp;IF(OR(J1516=FALSE,K1516=FALSE,L1516=FALSE,M1516=FALSE),入力リスト!$K$36,"")&amp;IF(N1516,"",入力リスト!$K$37)))</f>
        <v/>
      </c>
      <c r="H1516" s="215"/>
      <c r="I1516" s="1" t="b">
        <f>IF(B1516="",FALSE,COUNTIF('従業員情報(給与以外)'!$A$4:$A$1000000,$B1516)=0)</f>
        <v>0</v>
      </c>
      <c r="J1516" s="8" t="b">
        <f t="shared" si="115"/>
        <v>1</v>
      </c>
      <c r="K1516" s="8" t="b">
        <f t="shared" si="116"/>
        <v>1</v>
      </c>
      <c r="L1516" s="8" t="b">
        <f t="shared" si="117"/>
        <v>1</v>
      </c>
      <c r="M1516" s="8" t="b">
        <f t="shared" si="118"/>
        <v>1</v>
      </c>
      <c r="N1516" s="1" t="b">
        <f t="shared" si="119"/>
        <v>1</v>
      </c>
      <c r="O1516" s="8" t="str">
        <f>IF(F1516="","",IF($F$2=入力リスト!$H$25,ROUNDDOWN(INT(F1516)+ROUNDDOWN((F1516-INT(F1516))*100,0)/60,2),F1516))</f>
        <v/>
      </c>
      <c r="P1516" s="7"/>
      <c r="Q1516" s="7"/>
    </row>
    <row r="1517" spans="1:17">
      <c r="A1517" s="105"/>
      <c r="B1517" s="2"/>
      <c r="C1517" s="3"/>
      <c r="D1517" s="3"/>
      <c r="E1517" s="3"/>
      <c r="F1517" s="8"/>
      <c r="G1517" s="215" t="str">
        <f>IF(AND($B1517="",OR(B1517&lt;&gt;"",C1517&lt;&gt;"",D1517&lt;&gt;"",E1517&lt;&gt;"",F1517&lt;&gt;"")),入力リスト!$K$34,IF($I1517=TRUE,入力リスト!$K$35,IF(J1517=FALSE,"「毎月の固定給与額」","")&amp;IF(AND(J1517=FALSE,OR(K1517=FALSE,L1517=FALSE,M1517=FALSE)),",","")&amp;IF(K1517=FALSE,"「賞与額等」","")&amp;IF(AND(K1517=FALSE,OR(L1517=FALSE,M1517=FALSE)),",","")&amp;IF(L1517=FALSE,"「残業手当」","")&amp;IF(AND(L1517=FALSE,M1517=FALSE),",","")&amp;IF(M1517=FALSE,"「残業時間」","")&amp;IF(OR(J1517=FALSE,K1517=FALSE,L1517=FALSE,M1517=FALSE),入力リスト!$K$36,"")&amp;IF(N1517,"",入力リスト!$K$37)))</f>
        <v/>
      </c>
      <c r="H1517" s="215"/>
      <c r="I1517" s="1" t="b">
        <f>IF(B1517="",FALSE,COUNTIF('従業員情報(給与以外)'!$A$4:$A$1000000,$B1517)=0)</f>
        <v>0</v>
      </c>
      <c r="J1517" s="8" t="b">
        <f t="shared" si="115"/>
        <v>1</v>
      </c>
      <c r="K1517" s="8" t="b">
        <f t="shared" si="116"/>
        <v>1</v>
      </c>
      <c r="L1517" s="8" t="b">
        <f t="shared" si="117"/>
        <v>1</v>
      </c>
      <c r="M1517" s="8" t="b">
        <f t="shared" si="118"/>
        <v>1</v>
      </c>
      <c r="N1517" s="1" t="b">
        <f t="shared" si="119"/>
        <v>1</v>
      </c>
      <c r="O1517" s="8" t="str">
        <f>IF(F1517="","",IF($F$2=入力リスト!$H$25,ROUNDDOWN(INT(F1517)+ROUNDDOWN((F1517-INT(F1517))*100,0)/60,2),F1517))</f>
        <v/>
      </c>
      <c r="P1517" s="7"/>
      <c r="Q1517" s="7"/>
    </row>
    <row r="1518" spans="1:17">
      <c r="A1518" s="105"/>
      <c r="B1518" s="2"/>
      <c r="C1518" s="3"/>
      <c r="D1518" s="3"/>
      <c r="E1518" s="3"/>
      <c r="F1518" s="8"/>
      <c r="G1518" s="215" t="str">
        <f>IF(AND($B1518="",OR(B1518&lt;&gt;"",C1518&lt;&gt;"",D1518&lt;&gt;"",E1518&lt;&gt;"",F1518&lt;&gt;"")),入力リスト!$K$34,IF($I1518=TRUE,入力リスト!$K$35,IF(J1518=FALSE,"「毎月の固定給与額」","")&amp;IF(AND(J1518=FALSE,OR(K1518=FALSE,L1518=FALSE,M1518=FALSE)),",","")&amp;IF(K1518=FALSE,"「賞与額等」","")&amp;IF(AND(K1518=FALSE,OR(L1518=FALSE,M1518=FALSE)),",","")&amp;IF(L1518=FALSE,"「残業手当」","")&amp;IF(AND(L1518=FALSE,M1518=FALSE),",","")&amp;IF(M1518=FALSE,"「残業時間」","")&amp;IF(OR(J1518=FALSE,K1518=FALSE,L1518=FALSE,M1518=FALSE),入力リスト!$K$36,"")&amp;IF(N1518,"",入力リスト!$K$37)))</f>
        <v/>
      </c>
      <c r="H1518" s="215"/>
      <c r="I1518" s="1" t="b">
        <f>IF(B1518="",FALSE,COUNTIF('従業員情報(給与以外)'!$A$4:$A$1000000,$B1518)=0)</f>
        <v>0</v>
      </c>
      <c r="J1518" s="8" t="b">
        <f t="shared" si="115"/>
        <v>1</v>
      </c>
      <c r="K1518" s="8" t="b">
        <f t="shared" si="116"/>
        <v>1</v>
      </c>
      <c r="L1518" s="8" t="b">
        <f t="shared" si="117"/>
        <v>1</v>
      </c>
      <c r="M1518" s="8" t="b">
        <f t="shared" si="118"/>
        <v>1</v>
      </c>
      <c r="N1518" s="1" t="b">
        <f t="shared" si="119"/>
        <v>1</v>
      </c>
      <c r="O1518" s="8" t="str">
        <f>IF(F1518="","",IF($F$2=入力リスト!$H$25,ROUNDDOWN(INT(F1518)+ROUNDDOWN((F1518-INT(F1518))*100,0)/60,2),F1518))</f>
        <v/>
      </c>
      <c r="P1518" s="7"/>
      <c r="Q1518" s="7"/>
    </row>
    <row r="1519" spans="1:17">
      <c r="A1519" s="105"/>
      <c r="B1519" s="2"/>
      <c r="C1519" s="3"/>
      <c r="D1519" s="3"/>
      <c r="E1519" s="3"/>
      <c r="F1519" s="8"/>
      <c r="G1519" s="215" t="str">
        <f>IF(AND($B1519="",OR(B1519&lt;&gt;"",C1519&lt;&gt;"",D1519&lt;&gt;"",E1519&lt;&gt;"",F1519&lt;&gt;"")),入力リスト!$K$34,IF($I1519=TRUE,入力リスト!$K$35,IF(J1519=FALSE,"「毎月の固定給与額」","")&amp;IF(AND(J1519=FALSE,OR(K1519=FALSE,L1519=FALSE,M1519=FALSE)),",","")&amp;IF(K1519=FALSE,"「賞与額等」","")&amp;IF(AND(K1519=FALSE,OR(L1519=FALSE,M1519=FALSE)),",","")&amp;IF(L1519=FALSE,"「残業手当」","")&amp;IF(AND(L1519=FALSE,M1519=FALSE),",","")&amp;IF(M1519=FALSE,"「残業時間」","")&amp;IF(OR(J1519=FALSE,K1519=FALSE,L1519=FALSE,M1519=FALSE),入力リスト!$K$36,"")&amp;IF(N1519,"",入力リスト!$K$37)))</f>
        <v/>
      </c>
      <c r="H1519" s="215"/>
      <c r="I1519" s="1" t="b">
        <f>IF(B1519="",FALSE,COUNTIF('従業員情報(給与以外)'!$A$4:$A$1000000,$B1519)=0)</f>
        <v>0</v>
      </c>
      <c r="J1519" s="8" t="b">
        <f t="shared" si="115"/>
        <v>1</v>
      </c>
      <c r="K1519" s="8" t="b">
        <f t="shared" si="116"/>
        <v>1</v>
      </c>
      <c r="L1519" s="8" t="b">
        <f t="shared" si="117"/>
        <v>1</v>
      </c>
      <c r="M1519" s="8" t="b">
        <f t="shared" si="118"/>
        <v>1</v>
      </c>
      <c r="N1519" s="1" t="b">
        <f t="shared" si="119"/>
        <v>1</v>
      </c>
      <c r="O1519" s="8" t="str">
        <f>IF(F1519="","",IF($F$2=入力リスト!$H$25,ROUNDDOWN(INT(F1519)+ROUNDDOWN((F1519-INT(F1519))*100,0)/60,2),F1519))</f>
        <v/>
      </c>
      <c r="P1519" s="7"/>
      <c r="Q1519" s="7"/>
    </row>
    <row r="1520" spans="1:17">
      <c r="A1520" s="105"/>
      <c r="B1520" s="2"/>
      <c r="C1520" s="3"/>
      <c r="D1520" s="3"/>
      <c r="E1520" s="3"/>
      <c r="F1520" s="8"/>
      <c r="G1520" s="215" t="str">
        <f>IF(AND($B1520="",OR(B1520&lt;&gt;"",C1520&lt;&gt;"",D1520&lt;&gt;"",E1520&lt;&gt;"",F1520&lt;&gt;"")),入力リスト!$K$34,IF($I1520=TRUE,入力リスト!$K$35,IF(J1520=FALSE,"「毎月の固定給与額」","")&amp;IF(AND(J1520=FALSE,OR(K1520=FALSE,L1520=FALSE,M1520=FALSE)),",","")&amp;IF(K1520=FALSE,"「賞与額等」","")&amp;IF(AND(K1520=FALSE,OR(L1520=FALSE,M1520=FALSE)),",","")&amp;IF(L1520=FALSE,"「残業手当」","")&amp;IF(AND(L1520=FALSE,M1520=FALSE),",","")&amp;IF(M1520=FALSE,"「残業時間」","")&amp;IF(OR(J1520=FALSE,K1520=FALSE,L1520=FALSE,M1520=FALSE),入力リスト!$K$36,"")&amp;IF(N1520,"",入力リスト!$K$37)))</f>
        <v/>
      </c>
      <c r="H1520" s="215"/>
      <c r="I1520" s="1" t="b">
        <f>IF(B1520="",FALSE,COUNTIF('従業員情報(給与以外)'!$A$4:$A$1000000,$B1520)=0)</f>
        <v>0</v>
      </c>
      <c r="J1520" s="8" t="b">
        <f t="shared" si="115"/>
        <v>1</v>
      </c>
      <c r="K1520" s="8" t="b">
        <f t="shared" si="116"/>
        <v>1</v>
      </c>
      <c r="L1520" s="8" t="b">
        <f t="shared" si="117"/>
        <v>1</v>
      </c>
      <c r="M1520" s="8" t="b">
        <f t="shared" si="118"/>
        <v>1</v>
      </c>
      <c r="N1520" s="1" t="b">
        <f t="shared" si="119"/>
        <v>1</v>
      </c>
      <c r="O1520" s="8" t="str">
        <f>IF(F1520="","",IF($F$2=入力リスト!$H$25,ROUNDDOWN(INT(F1520)+ROUNDDOWN((F1520-INT(F1520))*100,0)/60,2),F1520))</f>
        <v/>
      </c>
      <c r="P1520" s="7"/>
      <c r="Q1520" s="7"/>
    </row>
    <row r="1521" spans="1:17">
      <c r="A1521" s="105"/>
      <c r="B1521" s="2"/>
      <c r="C1521" s="3"/>
      <c r="D1521" s="3"/>
      <c r="E1521" s="3"/>
      <c r="F1521" s="8"/>
      <c r="G1521" s="215" t="str">
        <f>IF(AND($B1521="",OR(B1521&lt;&gt;"",C1521&lt;&gt;"",D1521&lt;&gt;"",E1521&lt;&gt;"",F1521&lt;&gt;"")),入力リスト!$K$34,IF($I1521=TRUE,入力リスト!$K$35,IF(J1521=FALSE,"「毎月の固定給与額」","")&amp;IF(AND(J1521=FALSE,OR(K1521=FALSE,L1521=FALSE,M1521=FALSE)),",","")&amp;IF(K1521=FALSE,"「賞与額等」","")&amp;IF(AND(K1521=FALSE,OR(L1521=FALSE,M1521=FALSE)),",","")&amp;IF(L1521=FALSE,"「残業手当」","")&amp;IF(AND(L1521=FALSE,M1521=FALSE),",","")&amp;IF(M1521=FALSE,"「残業時間」","")&amp;IF(OR(J1521=FALSE,K1521=FALSE,L1521=FALSE,M1521=FALSE),入力リスト!$K$36,"")&amp;IF(N1521,"",入力リスト!$K$37)))</f>
        <v/>
      </c>
      <c r="H1521" s="215"/>
      <c r="I1521" s="1" t="b">
        <f>IF(B1521="",FALSE,COUNTIF('従業員情報(給与以外)'!$A$4:$A$1000000,$B1521)=0)</f>
        <v>0</v>
      </c>
      <c r="J1521" s="8" t="b">
        <f t="shared" si="115"/>
        <v>1</v>
      </c>
      <c r="K1521" s="8" t="b">
        <f t="shared" si="116"/>
        <v>1</v>
      </c>
      <c r="L1521" s="8" t="b">
        <f t="shared" si="117"/>
        <v>1</v>
      </c>
      <c r="M1521" s="8" t="b">
        <f t="shared" si="118"/>
        <v>1</v>
      </c>
      <c r="N1521" s="1" t="b">
        <f t="shared" si="119"/>
        <v>1</v>
      </c>
      <c r="O1521" s="8" t="str">
        <f>IF(F1521="","",IF($F$2=入力リスト!$H$25,ROUNDDOWN(INT(F1521)+ROUNDDOWN((F1521-INT(F1521))*100,0)/60,2),F1521))</f>
        <v/>
      </c>
      <c r="P1521" s="7"/>
      <c r="Q1521" s="7"/>
    </row>
    <row r="1522" spans="1:17">
      <c r="A1522" s="105"/>
      <c r="B1522" s="2"/>
      <c r="C1522" s="3"/>
      <c r="D1522" s="3"/>
      <c r="E1522" s="3"/>
      <c r="F1522" s="8"/>
      <c r="G1522" s="215" t="str">
        <f>IF(AND($B1522="",OR(B1522&lt;&gt;"",C1522&lt;&gt;"",D1522&lt;&gt;"",E1522&lt;&gt;"",F1522&lt;&gt;"")),入力リスト!$K$34,IF($I1522=TRUE,入力リスト!$K$35,IF(J1522=FALSE,"「毎月の固定給与額」","")&amp;IF(AND(J1522=FALSE,OR(K1522=FALSE,L1522=FALSE,M1522=FALSE)),",","")&amp;IF(K1522=FALSE,"「賞与額等」","")&amp;IF(AND(K1522=FALSE,OR(L1522=FALSE,M1522=FALSE)),",","")&amp;IF(L1522=FALSE,"「残業手当」","")&amp;IF(AND(L1522=FALSE,M1522=FALSE),",","")&amp;IF(M1522=FALSE,"「残業時間」","")&amp;IF(OR(J1522=FALSE,K1522=FALSE,L1522=FALSE,M1522=FALSE),入力リスト!$K$36,"")&amp;IF(N1522,"",入力リスト!$K$37)))</f>
        <v/>
      </c>
      <c r="H1522" s="215"/>
      <c r="I1522" s="1" t="b">
        <f>IF(B1522="",FALSE,COUNTIF('従業員情報(給与以外)'!$A$4:$A$1000000,$B1522)=0)</f>
        <v>0</v>
      </c>
      <c r="J1522" s="8" t="b">
        <f t="shared" si="115"/>
        <v>1</v>
      </c>
      <c r="K1522" s="8" t="b">
        <f t="shared" si="116"/>
        <v>1</v>
      </c>
      <c r="L1522" s="8" t="b">
        <f t="shared" si="117"/>
        <v>1</v>
      </c>
      <c r="M1522" s="8" t="b">
        <f t="shared" si="118"/>
        <v>1</v>
      </c>
      <c r="N1522" s="1" t="b">
        <f t="shared" si="119"/>
        <v>1</v>
      </c>
      <c r="O1522" s="8" t="str">
        <f>IF(F1522="","",IF($F$2=入力リスト!$H$25,ROUNDDOWN(INT(F1522)+ROUNDDOWN((F1522-INT(F1522))*100,0)/60,2),F1522))</f>
        <v/>
      </c>
      <c r="P1522" s="7"/>
      <c r="Q1522" s="7"/>
    </row>
    <row r="1523" spans="1:17">
      <c r="A1523" s="105"/>
      <c r="B1523" s="2"/>
      <c r="C1523" s="3"/>
      <c r="D1523" s="3"/>
      <c r="E1523" s="3"/>
      <c r="F1523" s="8"/>
      <c r="G1523" s="215" t="str">
        <f>IF(AND($B1523="",OR(B1523&lt;&gt;"",C1523&lt;&gt;"",D1523&lt;&gt;"",E1523&lt;&gt;"",F1523&lt;&gt;"")),入力リスト!$K$34,IF($I1523=TRUE,入力リスト!$K$35,IF(J1523=FALSE,"「毎月の固定給与額」","")&amp;IF(AND(J1523=FALSE,OR(K1523=FALSE,L1523=FALSE,M1523=FALSE)),",","")&amp;IF(K1523=FALSE,"「賞与額等」","")&amp;IF(AND(K1523=FALSE,OR(L1523=FALSE,M1523=FALSE)),",","")&amp;IF(L1523=FALSE,"「残業手当」","")&amp;IF(AND(L1523=FALSE,M1523=FALSE),",","")&amp;IF(M1523=FALSE,"「残業時間」","")&amp;IF(OR(J1523=FALSE,K1523=FALSE,L1523=FALSE,M1523=FALSE),入力リスト!$K$36,"")&amp;IF(N1523,"",入力リスト!$K$37)))</f>
        <v/>
      </c>
      <c r="H1523" s="215"/>
      <c r="I1523" s="1" t="b">
        <f>IF(B1523="",FALSE,COUNTIF('従業員情報(給与以外)'!$A$4:$A$1000000,$B1523)=0)</f>
        <v>0</v>
      </c>
      <c r="J1523" s="8" t="b">
        <f t="shared" si="115"/>
        <v>1</v>
      </c>
      <c r="K1523" s="8" t="b">
        <f t="shared" si="116"/>
        <v>1</v>
      </c>
      <c r="L1523" s="8" t="b">
        <f t="shared" si="117"/>
        <v>1</v>
      </c>
      <c r="M1523" s="8" t="b">
        <f t="shared" si="118"/>
        <v>1</v>
      </c>
      <c r="N1523" s="1" t="b">
        <f t="shared" si="119"/>
        <v>1</v>
      </c>
      <c r="O1523" s="8" t="str">
        <f>IF(F1523="","",IF($F$2=入力リスト!$H$25,ROUNDDOWN(INT(F1523)+ROUNDDOWN((F1523-INT(F1523))*100,0)/60,2),F1523))</f>
        <v/>
      </c>
      <c r="P1523" s="7"/>
      <c r="Q1523" s="7"/>
    </row>
    <row r="1524" spans="1:17">
      <c r="A1524" s="105"/>
      <c r="B1524" s="2"/>
      <c r="C1524" s="3"/>
      <c r="D1524" s="3"/>
      <c r="E1524" s="3"/>
      <c r="F1524" s="8"/>
      <c r="G1524" s="215" t="str">
        <f>IF(AND($B1524="",OR(B1524&lt;&gt;"",C1524&lt;&gt;"",D1524&lt;&gt;"",E1524&lt;&gt;"",F1524&lt;&gt;"")),入力リスト!$K$34,IF($I1524=TRUE,入力リスト!$K$35,IF(J1524=FALSE,"「毎月の固定給与額」","")&amp;IF(AND(J1524=FALSE,OR(K1524=FALSE,L1524=FALSE,M1524=FALSE)),",","")&amp;IF(K1524=FALSE,"「賞与額等」","")&amp;IF(AND(K1524=FALSE,OR(L1524=FALSE,M1524=FALSE)),",","")&amp;IF(L1524=FALSE,"「残業手当」","")&amp;IF(AND(L1524=FALSE,M1524=FALSE),",","")&amp;IF(M1524=FALSE,"「残業時間」","")&amp;IF(OR(J1524=FALSE,K1524=FALSE,L1524=FALSE,M1524=FALSE),入力リスト!$K$36,"")&amp;IF(N1524,"",入力リスト!$K$37)))</f>
        <v/>
      </c>
      <c r="H1524" s="215"/>
      <c r="I1524" s="1" t="b">
        <f>IF(B1524="",FALSE,COUNTIF('従業員情報(給与以外)'!$A$4:$A$1000000,$B1524)=0)</f>
        <v>0</v>
      </c>
      <c r="J1524" s="8" t="b">
        <f t="shared" si="115"/>
        <v>1</v>
      </c>
      <c r="K1524" s="8" t="b">
        <f t="shared" si="116"/>
        <v>1</v>
      </c>
      <c r="L1524" s="8" t="b">
        <f t="shared" si="117"/>
        <v>1</v>
      </c>
      <c r="M1524" s="8" t="b">
        <f t="shared" si="118"/>
        <v>1</v>
      </c>
      <c r="N1524" s="1" t="b">
        <f t="shared" si="119"/>
        <v>1</v>
      </c>
      <c r="O1524" s="8" t="str">
        <f>IF(F1524="","",IF($F$2=入力リスト!$H$25,ROUNDDOWN(INT(F1524)+ROUNDDOWN((F1524-INT(F1524))*100,0)/60,2),F1524))</f>
        <v/>
      </c>
      <c r="P1524" s="7"/>
      <c r="Q1524" s="7"/>
    </row>
    <row r="1525" spans="1:17">
      <c r="A1525" s="105"/>
      <c r="B1525" s="2"/>
      <c r="C1525" s="3"/>
      <c r="D1525" s="3"/>
      <c r="E1525" s="3"/>
      <c r="F1525" s="8"/>
      <c r="G1525" s="215" t="str">
        <f>IF(AND($B1525="",OR(B1525&lt;&gt;"",C1525&lt;&gt;"",D1525&lt;&gt;"",E1525&lt;&gt;"",F1525&lt;&gt;"")),入力リスト!$K$34,IF($I1525=TRUE,入力リスト!$K$35,IF(J1525=FALSE,"「毎月の固定給与額」","")&amp;IF(AND(J1525=FALSE,OR(K1525=FALSE,L1525=FALSE,M1525=FALSE)),",","")&amp;IF(K1525=FALSE,"「賞与額等」","")&amp;IF(AND(K1525=FALSE,OR(L1525=FALSE,M1525=FALSE)),",","")&amp;IF(L1525=FALSE,"「残業手当」","")&amp;IF(AND(L1525=FALSE,M1525=FALSE),",","")&amp;IF(M1525=FALSE,"「残業時間」","")&amp;IF(OR(J1525=FALSE,K1525=FALSE,L1525=FALSE,M1525=FALSE),入力リスト!$K$36,"")&amp;IF(N1525,"",入力リスト!$K$37)))</f>
        <v/>
      </c>
      <c r="H1525" s="215"/>
      <c r="I1525" s="1" t="b">
        <f>IF(B1525="",FALSE,COUNTIF('従業員情報(給与以外)'!$A$4:$A$1000000,$B1525)=0)</f>
        <v>0</v>
      </c>
      <c r="J1525" s="8" t="b">
        <f t="shared" si="115"/>
        <v>1</v>
      </c>
      <c r="K1525" s="8" t="b">
        <f t="shared" si="116"/>
        <v>1</v>
      </c>
      <c r="L1525" s="8" t="b">
        <f t="shared" si="117"/>
        <v>1</v>
      </c>
      <c r="M1525" s="8" t="b">
        <f t="shared" si="118"/>
        <v>1</v>
      </c>
      <c r="N1525" s="1" t="b">
        <f t="shared" si="119"/>
        <v>1</v>
      </c>
      <c r="O1525" s="8" t="str">
        <f>IF(F1525="","",IF($F$2=入力リスト!$H$25,ROUNDDOWN(INT(F1525)+ROUNDDOWN((F1525-INT(F1525))*100,0)/60,2),F1525))</f>
        <v/>
      </c>
      <c r="P1525" s="7"/>
      <c r="Q1525" s="7"/>
    </row>
    <row r="1526" spans="1:17">
      <c r="A1526" s="105"/>
      <c r="B1526" s="2"/>
      <c r="C1526" s="3"/>
      <c r="D1526" s="3"/>
      <c r="E1526" s="3"/>
      <c r="F1526" s="8"/>
      <c r="G1526" s="215" t="str">
        <f>IF(AND($B1526="",OR(B1526&lt;&gt;"",C1526&lt;&gt;"",D1526&lt;&gt;"",E1526&lt;&gt;"",F1526&lt;&gt;"")),入力リスト!$K$34,IF($I1526=TRUE,入力リスト!$K$35,IF(J1526=FALSE,"「毎月の固定給与額」","")&amp;IF(AND(J1526=FALSE,OR(K1526=FALSE,L1526=FALSE,M1526=FALSE)),",","")&amp;IF(K1526=FALSE,"「賞与額等」","")&amp;IF(AND(K1526=FALSE,OR(L1526=FALSE,M1526=FALSE)),",","")&amp;IF(L1526=FALSE,"「残業手当」","")&amp;IF(AND(L1526=FALSE,M1526=FALSE),",","")&amp;IF(M1526=FALSE,"「残業時間」","")&amp;IF(OR(J1526=FALSE,K1526=FALSE,L1526=FALSE,M1526=FALSE),入力リスト!$K$36,"")&amp;IF(N1526,"",入力リスト!$K$37)))</f>
        <v/>
      </c>
      <c r="H1526" s="215"/>
      <c r="I1526" s="1" t="b">
        <f>IF(B1526="",FALSE,COUNTIF('従業員情報(給与以外)'!$A$4:$A$1000000,$B1526)=0)</f>
        <v>0</v>
      </c>
      <c r="J1526" s="8" t="b">
        <f t="shared" si="115"/>
        <v>1</v>
      </c>
      <c r="K1526" s="8" t="b">
        <f t="shared" si="116"/>
        <v>1</v>
      </c>
      <c r="L1526" s="8" t="b">
        <f t="shared" si="117"/>
        <v>1</v>
      </c>
      <c r="M1526" s="8" t="b">
        <f t="shared" si="118"/>
        <v>1</v>
      </c>
      <c r="N1526" s="1" t="b">
        <f t="shared" si="119"/>
        <v>1</v>
      </c>
      <c r="O1526" s="8" t="str">
        <f>IF(F1526="","",IF($F$2=入力リスト!$H$25,ROUNDDOWN(INT(F1526)+ROUNDDOWN((F1526-INT(F1526))*100,0)/60,2),F1526))</f>
        <v/>
      </c>
      <c r="P1526" s="7"/>
      <c r="Q1526" s="7"/>
    </row>
    <row r="1527" spans="1:17">
      <c r="A1527" s="105"/>
      <c r="B1527" s="2"/>
      <c r="C1527" s="3"/>
      <c r="D1527" s="3"/>
      <c r="E1527" s="3"/>
      <c r="F1527" s="8"/>
      <c r="G1527" s="215" t="str">
        <f>IF(AND($B1527="",OR(B1527&lt;&gt;"",C1527&lt;&gt;"",D1527&lt;&gt;"",E1527&lt;&gt;"",F1527&lt;&gt;"")),入力リスト!$K$34,IF($I1527=TRUE,入力リスト!$K$35,IF(J1527=FALSE,"「毎月の固定給与額」","")&amp;IF(AND(J1527=FALSE,OR(K1527=FALSE,L1527=FALSE,M1527=FALSE)),",","")&amp;IF(K1527=FALSE,"「賞与額等」","")&amp;IF(AND(K1527=FALSE,OR(L1527=FALSE,M1527=FALSE)),",","")&amp;IF(L1527=FALSE,"「残業手当」","")&amp;IF(AND(L1527=FALSE,M1527=FALSE),",","")&amp;IF(M1527=FALSE,"「残業時間」","")&amp;IF(OR(J1527=FALSE,K1527=FALSE,L1527=FALSE,M1527=FALSE),入力リスト!$K$36,"")&amp;IF(N1527,"",入力リスト!$K$37)))</f>
        <v/>
      </c>
      <c r="H1527" s="215"/>
      <c r="I1527" s="1" t="b">
        <f>IF(B1527="",FALSE,COUNTIF('従業員情報(給与以外)'!$A$4:$A$1000000,$B1527)=0)</f>
        <v>0</v>
      </c>
      <c r="J1527" s="8" t="b">
        <f t="shared" si="115"/>
        <v>1</v>
      </c>
      <c r="K1527" s="8" t="b">
        <f t="shared" si="116"/>
        <v>1</v>
      </c>
      <c r="L1527" s="8" t="b">
        <f t="shared" si="117"/>
        <v>1</v>
      </c>
      <c r="M1527" s="8" t="b">
        <f t="shared" si="118"/>
        <v>1</v>
      </c>
      <c r="N1527" s="1" t="b">
        <f t="shared" si="119"/>
        <v>1</v>
      </c>
      <c r="O1527" s="8" t="str">
        <f>IF(F1527="","",IF($F$2=入力リスト!$H$25,ROUNDDOWN(INT(F1527)+ROUNDDOWN((F1527-INT(F1527))*100,0)/60,2),F1527))</f>
        <v/>
      </c>
      <c r="P1527" s="7"/>
      <c r="Q1527" s="7"/>
    </row>
    <row r="1528" spans="1:17">
      <c r="A1528" s="105"/>
      <c r="B1528" s="2"/>
      <c r="C1528" s="3"/>
      <c r="D1528" s="3"/>
      <c r="E1528" s="3"/>
      <c r="F1528" s="8"/>
      <c r="G1528" s="215" t="str">
        <f>IF(AND($B1528="",OR(B1528&lt;&gt;"",C1528&lt;&gt;"",D1528&lt;&gt;"",E1528&lt;&gt;"",F1528&lt;&gt;"")),入力リスト!$K$34,IF($I1528=TRUE,入力リスト!$K$35,IF(J1528=FALSE,"「毎月の固定給与額」","")&amp;IF(AND(J1528=FALSE,OR(K1528=FALSE,L1528=FALSE,M1528=FALSE)),",","")&amp;IF(K1528=FALSE,"「賞与額等」","")&amp;IF(AND(K1528=FALSE,OR(L1528=FALSE,M1528=FALSE)),",","")&amp;IF(L1528=FALSE,"「残業手当」","")&amp;IF(AND(L1528=FALSE,M1528=FALSE),",","")&amp;IF(M1528=FALSE,"「残業時間」","")&amp;IF(OR(J1528=FALSE,K1528=FALSE,L1528=FALSE,M1528=FALSE),入力リスト!$K$36,"")&amp;IF(N1528,"",入力リスト!$K$37)))</f>
        <v/>
      </c>
      <c r="H1528" s="215"/>
      <c r="I1528" s="1" t="b">
        <f>IF(B1528="",FALSE,COUNTIF('従業員情報(給与以外)'!$A$4:$A$1000000,$B1528)=0)</f>
        <v>0</v>
      </c>
      <c r="J1528" s="8" t="b">
        <f t="shared" si="115"/>
        <v>1</v>
      </c>
      <c r="K1528" s="8" t="b">
        <f t="shared" si="116"/>
        <v>1</v>
      </c>
      <c r="L1528" s="8" t="b">
        <f t="shared" si="117"/>
        <v>1</v>
      </c>
      <c r="M1528" s="8" t="b">
        <f t="shared" si="118"/>
        <v>1</v>
      </c>
      <c r="N1528" s="1" t="b">
        <f t="shared" si="119"/>
        <v>1</v>
      </c>
      <c r="O1528" s="8" t="str">
        <f>IF(F1528="","",IF($F$2=入力リスト!$H$25,ROUNDDOWN(INT(F1528)+ROUNDDOWN((F1528-INT(F1528))*100,0)/60,2),F1528))</f>
        <v/>
      </c>
      <c r="P1528" s="7"/>
      <c r="Q1528" s="7"/>
    </row>
    <row r="1529" spans="1:17">
      <c r="A1529" s="105"/>
      <c r="B1529" s="2"/>
      <c r="C1529" s="3"/>
      <c r="D1529" s="3"/>
      <c r="E1529" s="3"/>
      <c r="F1529" s="8"/>
      <c r="G1529" s="215" t="str">
        <f>IF(AND($B1529="",OR(B1529&lt;&gt;"",C1529&lt;&gt;"",D1529&lt;&gt;"",E1529&lt;&gt;"",F1529&lt;&gt;"")),入力リスト!$K$34,IF($I1529=TRUE,入力リスト!$K$35,IF(J1529=FALSE,"「毎月の固定給与額」","")&amp;IF(AND(J1529=FALSE,OR(K1529=FALSE,L1529=FALSE,M1529=FALSE)),",","")&amp;IF(K1529=FALSE,"「賞与額等」","")&amp;IF(AND(K1529=FALSE,OR(L1529=FALSE,M1529=FALSE)),",","")&amp;IF(L1529=FALSE,"「残業手当」","")&amp;IF(AND(L1529=FALSE,M1529=FALSE),",","")&amp;IF(M1529=FALSE,"「残業時間」","")&amp;IF(OR(J1529=FALSE,K1529=FALSE,L1529=FALSE,M1529=FALSE),入力リスト!$K$36,"")&amp;IF(N1529,"",入力リスト!$K$37)))</f>
        <v/>
      </c>
      <c r="H1529" s="215"/>
      <c r="I1529" s="1" t="b">
        <f>IF(B1529="",FALSE,COUNTIF('従業員情報(給与以外)'!$A$4:$A$1000000,$B1529)=0)</f>
        <v>0</v>
      </c>
      <c r="J1529" s="8" t="b">
        <f t="shared" si="115"/>
        <v>1</v>
      </c>
      <c r="K1529" s="8" t="b">
        <f t="shared" si="116"/>
        <v>1</v>
      </c>
      <c r="L1529" s="8" t="b">
        <f t="shared" si="117"/>
        <v>1</v>
      </c>
      <c r="M1529" s="8" t="b">
        <f t="shared" si="118"/>
        <v>1</v>
      </c>
      <c r="N1529" s="1" t="b">
        <f t="shared" si="119"/>
        <v>1</v>
      </c>
      <c r="O1529" s="8" t="str">
        <f>IF(F1529="","",IF($F$2=入力リスト!$H$25,ROUNDDOWN(INT(F1529)+ROUNDDOWN((F1529-INT(F1529))*100,0)/60,2),F1529))</f>
        <v/>
      </c>
      <c r="P1529" s="7"/>
      <c r="Q1529" s="7"/>
    </row>
    <row r="1530" spans="1:17">
      <c r="A1530" s="105"/>
      <c r="B1530" s="2"/>
      <c r="C1530" s="3"/>
      <c r="D1530" s="3"/>
      <c r="E1530" s="3"/>
      <c r="F1530" s="8"/>
      <c r="G1530" s="215" t="str">
        <f>IF(AND($B1530="",OR(B1530&lt;&gt;"",C1530&lt;&gt;"",D1530&lt;&gt;"",E1530&lt;&gt;"",F1530&lt;&gt;"")),入力リスト!$K$34,IF($I1530=TRUE,入力リスト!$K$35,IF(J1530=FALSE,"「毎月の固定給与額」","")&amp;IF(AND(J1530=FALSE,OR(K1530=FALSE,L1530=FALSE,M1530=FALSE)),",","")&amp;IF(K1530=FALSE,"「賞与額等」","")&amp;IF(AND(K1530=FALSE,OR(L1530=FALSE,M1530=FALSE)),",","")&amp;IF(L1530=FALSE,"「残業手当」","")&amp;IF(AND(L1530=FALSE,M1530=FALSE),",","")&amp;IF(M1530=FALSE,"「残業時間」","")&amp;IF(OR(J1530=FALSE,K1530=FALSE,L1530=FALSE,M1530=FALSE),入力リスト!$K$36,"")&amp;IF(N1530,"",入力リスト!$K$37)))</f>
        <v/>
      </c>
      <c r="H1530" s="215"/>
      <c r="I1530" s="1" t="b">
        <f>IF(B1530="",FALSE,COUNTIF('従業員情報(給与以外)'!$A$4:$A$1000000,$B1530)=0)</f>
        <v>0</v>
      </c>
      <c r="J1530" s="8" t="b">
        <f t="shared" si="115"/>
        <v>1</v>
      </c>
      <c r="K1530" s="8" t="b">
        <f t="shared" si="116"/>
        <v>1</v>
      </c>
      <c r="L1530" s="8" t="b">
        <f t="shared" si="117"/>
        <v>1</v>
      </c>
      <c r="M1530" s="8" t="b">
        <f t="shared" si="118"/>
        <v>1</v>
      </c>
      <c r="N1530" s="1" t="b">
        <f t="shared" si="119"/>
        <v>1</v>
      </c>
      <c r="O1530" s="8" t="str">
        <f>IF(F1530="","",IF($F$2=入力リスト!$H$25,ROUNDDOWN(INT(F1530)+ROUNDDOWN((F1530-INT(F1530))*100,0)/60,2),F1530))</f>
        <v/>
      </c>
      <c r="P1530" s="7"/>
      <c r="Q1530" s="7"/>
    </row>
    <row r="1531" spans="1:17">
      <c r="A1531" s="105"/>
      <c r="B1531" s="2"/>
      <c r="C1531" s="3"/>
      <c r="D1531" s="3"/>
      <c r="E1531" s="3"/>
      <c r="F1531" s="8"/>
      <c r="G1531" s="215" t="str">
        <f>IF(AND($B1531="",OR(B1531&lt;&gt;"",C1531&lt;&gt;"",D1531&lt;&gt;"",E1531&lt;&gt;"",F1531&lt;&gt;"")),入力リスト!$K$34,IF($I1531=TRUE,入力リスト!$K$35,IF(J1531=FALSE,"「毎月の固定給与額」","")&amp;IF(AND(J1531=FALSE,OR(K1531=FALSE,L1531=FALSE,M1531=FALSE)),",","")&amp;IF(K1531=FALSE,"「賞与額等」","")&amp;IF(AND(K1531=FALSE,OR(L1531=FALSE,M1531=FALSE)),",","")&amp;IF(L1531=FALSE,"「残業手当」","")&amp;IF(AND(L1531=FALSE,M1531=FALSE),",","")&amp;IF(M1531=FALSE,"「残業時間」","")&amp;IF(OR(J1531=FALSE,K1531=FALSE,L1531=FALSE,M1531=FALSE),入力リスト!$K$36,"")&amp;IF(N1531,"",入力リスト!$K$37)))</f>
        <v/>
      </c>
      <c r="H1531" s="215"/>
      <c r="I1531" s="1" t="b">
        <f>IF(B1531="",FALSE,COUNTIF('従業員情報(給与以外)'!$A$4:$A$1000000,$B1531)=0)</f>
        <v>0</v>
      </c>
      <c r="J1531" s="8" t="b">
        <f t="shared" si="115"/>
        <v>1</v>
      </c>
      <c r="K1531" s="8" t="b">
        <f t="shared" si="116"/>
        <v>1</v>
      </c>
      <c r="L1531" s="8" t="b">
        <f t="shared" si="117"/>
        <v>1</v>
      </c>
      <c r="M1531" s="8" t="b">
        <f t="shared" si="118"/>
        <v>1</v>
      </c>
      <c r="N1531" s="1" t="b">
        <f t="shared" si="119"/>
        <v>1</v>
      </c>
      <c r="O1531" s="8" t="str">
        <f>IF(F1531="","",IF($F$2=入力リスト!$H$25,ROUNDDOWN(INT(F1531)+ROUNDDOWN((F1531-INT(F1531))*100,0)/60,2),F1531))</f>
        <v/>
      </c>
      <c r="P1531" s="7"/>
      <c r="Q1531" s="7"/>
    </row>
    <row r="1532" spans="1:17">
      <c r="A1532" s="105"/>
      <c r="B1532" s="2"/>
      <c r="C1532" s="3"/>
      <c r="D1532" s="3"/>
      <c r="E1532" s="3"/>
      <c r="F1532" s="8"/>
      <c r="G1532" s="215" t="str">
        <f>IF(AND($B1532="",OR(B1532&lt;&gt;"",C1532&lt;&gt;"",D1532&lt;&gt;"",E1532&lt;&gt;"",F1532&lt;&gt;"")),入力リスト!$K$34,IF($I1532=TRUE,入力リスト!$K$35,IF(J1532=FALSE,"「毎月の固定給与額」","")&amp;IF(AND(J1532=FALSE,OR(K1532=FALSE,L1532=FALSE,M1532=FALSE)),",","")&amp;IF(K1532=FALSE,"「賞与額等」","")&amp;IF(AND(K1532=FALSE,OR(L1532=FALSE,M1532=FALSE)),",","")&amp;IF(L1532=FALSE,"「残業手当」","")&amp;IF(AND(L1532=FALSE,M1532=FALSE),",","")&amp;IF(M1532=FALSE,"「残業時間」","")&amp;IF(OR(J1532=FALSE,K1532=FALSE,L1532=FALSE,M1532=FALSE),入力リスト!$K$36,"")&amp;IF(N1532,"",入力リスト!$K$37)))</f>
        <v/>
      </c>
      <c r="H1532" s="215"/>
      <c r="I1532" s="1" t="b">
        <f>IF(B1532="",FALSE,COUNTIF('従業員情報(給与以外)'!$A$4:$A$1000000,$B1532)=0)</f>
        <v>0</v>
      </c>
      <c r="J1532" s="8" t="b">
        <f t="shared" si="115"/>
        <v>1</v>
      </c>
      <c r="K1532" s="8" t="b">
        <f t="shared" si="116"/>
        <v>1</v>
      </c>
      <c r="L1532" s="8" t="b">
        <f t="shared" si="117"/>
        <v>1</v>
      </c>
      <c r="M1532" s="8" t="b">
        <f t="shared" si="118"/>
        <v>1</v>
      </c>
      <c r="N1532" s="1" t="b">
        <f t="shared" si="119"/>
        <v>1</v>
      </c>
      <c r="O1532" s="8" t="str">
        <f>IF(F1532="","",IF($F$2=入力リスト!$H$25,ROUNDDOWN(INT(F1532)+ROUNDDOWN((F1532-INT(F1532))*100,0)/60,2),F1532))</f>
        <v/>
      </c>
      <c r="P1532" s="7"/>
      <c r="Q1532" s="7"/>
    </row>
    <row r="1533" spans="1:17">
      <c r="A1533" s="105"/>
      <c r="B1533" s="2"/>
      <c r="C1533" s="3"/>
      <c r="D1533" s="3"/>
      <c r="E1533" s="3"/>
      <c r="F1533" s="8"/>
      <c r="G1533" s="215" t="str">
        <f>IF(AND($B1533="",OR(B1533&lt;&gt;"",C1533&lt;&gt;"",D1533&lt;&gt;"",E1533&lt;&gt;"",F1533&lt;&gt;"")),入力リスト!$K$34,IF($I1533=TRUE,入力リスト!$K$35,IF(J1533=FALSE,"「毎月の固定給与額」","")&amp;IF(AND(J1533=FALSE,OR(K1533=FALSE,L1533=FALSE,M1533=FALSE)),",","")&amp;IF(K1533=FALSE,"「賞与額等」","")&amp;IF(AND(K1533=FALSE,OR(L1533=FALSE,M1533=FALSE)),",","")&amp;IF(L1533=FALSE,"「残業手当」","")&amp;IF(AND(L1533=FALSE,M1533=FALSE),",","")&amp;IF(M1533=FALSE,"「残業時間」","")&amp;IF(OR(J1533=FALSE,K1533=FALSE,L1533=FALSE,M1533=FALSE),入力リスト!$K$36,"")&amp;IF(N1533,"",入力リスト!$K$37)))</f>
        <v/>
      </c>
      <c r="H1533" s="215"/>
      <c r="I1533" s="1" t="b">
        <f>IF(B1533="",FALSE,COUNTIF('従業員情報(給与以外)'!$A$4:$A$1000000,$B1533)=0)</f>
        <v>0</v>
      </c>
      <c r="J1533" s="8" t="b">
        <f t="shared" si="115"/>
        <v>1</v>
      </c>
      <c r="K1533" s="8" t="b">
        <f t="shared" si="116"/>
        <v>1</v>
      </c>
      <c r="L1533" s="8" t="b">
        <f t="shared" si="117"/>
        <v>1</v>
      </c>
      <c r="M1533" s="8" t="b">
        <f t="shared" si="118"/>
        <v>1</v>
      </c>
      <c r="N1533" s="1" t="b">
        <f t="shared" si="119"/>
        <v>1</v>
      </c>
      <c r="O1533" s="8" t="str">
        <f>IF(F1533="","",IF($F$2=入力リスト!$H$25,ROUNDDOWN(INT(F1533)+ROUNDDOWN((F1533-INT(F1533))*100,0)/60,2),F1533))</f>
        <v/>
      </c>
      <c r="P1533" s="7"/>
      <c r="Q1533" s="7"/>
    </row>
    <row r="1534" spans="1:17">
      <c r="A1534" s="105"/>
      <c r="B1534" s="2"/>
      <c r="C1534" s="3"/>
      <c r="D1534" s="3"/>
      <c r="E1534" s="3"/>
      <c r="F1534" s="8"/>
      <c r="G1534" s="215" t="str">
        <f>IF(AND($B1534="",OR(B1534&lt;&gt;"",C1534&lt;&gt;"",D1534&lt;&gt;"",E1534&lt;&gt;"",F1534&lt;&gt;"")),入力リスト!$K$34,IF($I1534=TRUE,入力リスト!$K$35,IF(J1534=FALSE,"「毎月の固定給与額」","")&amp;IF(AND(J1534=FALSE,OR(K1534=FALSE,L1534=FALSE,M1534=FALSE)),",","")&amp;IF(K1534=FALSE,"「賞与額等」","")&amp;IF(AND(K1534=FALSE,OR(L1534=FALSE,M1534=FALSE)),",","")&amp;IF(L1534=FALSE,"「残業手当」","")&amp;IF(AND(L1534=FALSE,M1534=FALSE),",","")&amp;IF(M1534=FALSE,"「残業時間」","")&amp;IF(OR(J1534=FALSE,K1534=FALSE,L1534=FALSE,M1534=FALSE),入力リスト!$K$36,"")&amp;IF(N1534,"",入力リスト!$K$37)))</f>
        <v/>
      </c>
      <c r="H1534" s="215"/>
      <c r="I1534" s="1" t="b">
        <f>IF(B1534="",FALSE,COUNTIF('従業員情報(給与以外)'!$A$4:$A$1000000,$B1534)=0)</f>
        <v>0</v>
      </c>
      <c r="J1534" s="8" t="b">
        <f t="shared" si="115"/>
        <v>1</v>
      </c>
      <c r="K1534" s="8" t="b">
        <f t="shared" si="116"/>
        <v>1</v>
      </c>
      <c r="L1534" s="8" t="b">
        <f t="shared" si="117"/>
        <v>1</v>
      </c>
      <c r="M1534" s="8" t="b">
        <f t="shared" si="118"/>
        <v>1</v>
      </c>
      <c r="N1534" s="1" t="b">
        <f t="shared" si="119"/>
        <v>1</v>
      </c>
      <c r="O1534" s="8" t="str">
        <f>IF(F1534="","",IF($F$2=入力リスト!$H$25,ROUNDDOWN(INT(F1534)+ROUNDDOWN((F1534-INT(F1534))*100,0)/60,2),F1534))</f>
        <v/>
      </c>
      <c r="P1534" s="7"/>
      <c r="Q1534" s="7"/>
    </row>
    <row r="1535" spans="1:17">
      <c r="A1535" s="105"/>
      <c r="B1535" s="2"/>
      <c r="C1535" s="3"/>
      <c r="D1535" s="3"/>
      <c r="E1535" s="3"/>
      <c r="F1535" s="8"/>
      <c r="G1535" s="215" t="str">
        <f>IF(AND($B1535="",OR(B1535&lt;&gt;"",C1535&lt;&gt;"",D1535&lt;&gt;"",E1535&lt;&gt;"",F1535&lt;&gt;"")),入力リスト!$K$34,IF($I1535=TRUE,入力リスト!$K$35,IF(J1535=FALSE,"「毎月の固定給与額」","")&amp;IF(AND(J1535=FALSE,OR(K1535=FALSE,L1535=FALSE,M1535=FALSE)),",","")&amp;IF(K1535=FALSE,"「賞与額等」","")&amp;IF(AND(K1535=FALSE,OR(L1535=FALSE,M1535=FALSE)),",","")&amp;IF(L1535=FALSE,"「残業手当」","")&amp;IF(AND(L1535=FALSE,M1535=FALSE),",","")&amp;IF(M1535=FALSE,"「残業時間」","")&amp;IF(OR(J1535=FALSE,K1535=FALSE,L1535=FALSE,M1535=FALSE),入力リスト!$K$36,"")&amp;IF(N1535,"",入力リスト!$K$37)))</f>
        <v/>
      </c>
      <c r="H1535" s="215"/>
      <c r="I1535" s="1" t="b">
        <f>IF(B1535="",FALSE,COUNTIF('従業員情報(給与以外)'!$A$4:$A$1000000,$B1535)=0)</f>
        <v>0</v>
      </c>
      <c r="J1535" s="8" t="b">
        <f t="shared" si="115"/>
        <v>1</v>
      </c>
      <c r="K1535" s="8" t="b">
        <f t="shared" si="116"/>
        <v>1</v>
      </c>
      <c r="L1535" s="8" t="b">
        <f t="shared" si="117"/>
        <v>1</v>
      </c>
      <c r="M1535" s="8" t="b">
        <f t="shared" si="118"/>
        <v>1</v>
      </c>
      <c r="N1535" s="1" t="b">
        <f t="shared" si="119"/>
        <v>1</v>
      </c>
      <c r="O1535" s="8" t="str">
        <f>IF(F1535="","",IF($F$2=入力リスト!$H$25,ROUNDDOWN(INT(F1535)+ROUNDDOWN((F1535-INT(F1535))*100,0)/60,2),F1535))</f>
        <v/>
      </c>
      <c r="P1535" s="7"/>
      <c r="Q1535" s="7"/>
    </row>
    <row r="1536" spans="1:17">
      <c r="A1536" s="105"/>
      <c r="B1536" s="2"/>
      <c r="C1536" s="3"/>
      <c r="D1536" s="3"/>
      <c r="E1536" s="3"/>
      <c r="F1536" s="8"/>
      <c r="G1536" s="215" t="str">
        <f>IF(AND($B1536="",OR(B1536&lt;&gt;"",C1536&lt;&gt;"",D1536&lt;&gt;"",E1536&lt;&gt;"",F1536&lt;&gt;"")),入力リスト!$K$34,IF($I1536=TRUE,入力リスト!$K$35,IF(J1536=FALSE,"「毎月の固定給与額」","")&amp;IF(AND(J1536=FALSE,OR(K1536=FALSE,L1536=FALSE,M1536=FALSE)),",","")&amp;IF(K1536=FALSE,"「賞与額等」","")&amp;IF(AND(K1536=FALSE,OR(L1536=FALSE,M1536=FALSE)),",","")&amp;IF(L1536=FALSE,"「残業手当」","")&amp;IF(AND(L1536=FALSE,M1536=FALSE),",","")&amp;IF(M1536=FALSE,"「残業時間」","")&amp;IF(OR(J1536=FALSE,K1536=FALSE,L1536=FALSE,M1536=FALSE),入力リスト!$K$36,"")&amp;IF(N1536,"",入力リスト!$K$37)))</f>
        <v/>
      </c>
      <c r="H1536" s="215"/>
      <c r="I1536" s="1" t="b">
        <f>IF(B1536="",FALSE,COUNTIF('従業員情報(給与以外)'!$A$4:$A$1000000,$B1536)=0)</f>
        <v>0</v>
      </c>
      <c r="J1536" s="8" t="b">
        <f t="shared" si="115"/>
        <v>1</v>
      </c>
      <c r="K1536" s="8" t="b">
        <f t="shared" si="116"/>
        <v>1</v>
      </c>
      <c r="L1536" s="8" t="b">
        <f t="shared" si="117"/>
        <v>1</v>
      </c>
      <c r="M1536" s="8" t="b">
        <f t="shared" si="118"/>
        <v>1</v>
      </c>
      <c r="N1536" s="1" t="b">
        <f t="shared" si="119"/>
        <v>1</v>
      </c>
      <c r="O1536" s="8" t="str">
        <f>IF(F1536="","",IF($F$2=入力リスト!$H$25,ROUNDDOWN(INT(F1536)+ROUNDDOWN((F1536-INT(F1536))*100,0)/60,2),F1536))</f>
        <v/>
      </c>
      <c r="P1536" s="7"/>
      <c r="Q1536" s="7"/>
    </row>
    <row r="1537" spans="1:17">
      <c r="A1537" s="105"/>
      <c r="B1537" s="2"/>
      <c r="C1537" s="3"/>
      <c r="D1537" s="3"/>
      <c r="E1537" s="3"/>
      <c r="F1537" s="8"/>
      <c r="G1537" s="215" t="str">
        <f>IF(AND($B1537="",OR(B1537&lt;&gt;"",C1537&lt;&gt;"",D1537&lt;&gt;"",E1537&lt;&gt;"",F1537&lt;&gt;"")),入力リスト!$K$34,IF($I1537=TRUE,入力リスト!$K$35,IF(J1537=FALSE,"「毎月の固定給与額」","")&amp;IF(AND(J1537=FALSE,OR(K1537=FALSE,L1537=FALSE,M1537=FALSE)),",","")&amp;IF(K1537=FALSE,"「賞与額等」","")&amp;IF(AND(K1537=FALSE,OR(L1537=FALSE,M1537=FALSE)),",","")&amp;IF(L1537=FALSE,"「残業手当」","")&amp;IF(AND(L1537=FALSE,M1537=FALSE),",","")&amp;IF(M1537=FALSE,"「残業時間」","")&amp;IF(OR(J1537=FALSE,K1537=FALSE,L1537=FALSE,M1537=FALSE),入力リスト!$K$36,"")&amp;IF(N1537,"",入力リスト!$K$37)))</f>
        <v/>
      </c>
      <c r="H1537" s="215"/>
      <c r="I1537" s="1" t="b">
        <f>IF(B1537="",FALSE,COUNTIF('従業員情報(給与以外)'!$A$4:$A$1000000,$B1537)=0)</f>
        <v>0</v>
      </c>
      <c r="J1537" s="8" t="b">
        <f t="shared" si="115"/>
        <v>1</v>
      </c>
      <c r="K1537" s="8" t="b">
        <f t="shared" si="116"/>
        <v>1</v>
      </c>
      <c r="L1537" s="8" t="b">
        <f t="shared" si="117"/>
        <v>1</v>
      </c>
      <c r="M1537" s="8" t="b">
        <f t="shared" si="118"/>
        <v>1</v>
      </c>
      <c r="N1537" s="1" t="b">
        <f t="shared" si="119"/>
        <v>1</v>
      </c>
      <c r="O1537" s="8" t="str">
        <f>IF(F1537="","",IF($F$2=入力リスト!$H$25,ROUNDDOWN(INT(F1537)+ROUNDDOWN((F1537-INT(F1537))*100,0)/60,2),F1537))</f>
        <v/>
      </c>
      <c r="P1537" s="7"/>
      <c r="Q1537" s="7"/>
    </row>
    <row r="1538" spans="1:17">
      <c r="A1538" s="105"/>
      <c r="B1538" s="2"/>
      <c r="C1538" s="3"/>
      <c r="D1538" s="3"/>
      <c r="E1538" s="3"/>
      <c r="F1538" s="8"/>
      <c r="G1538" s="215" t="str">
        <f>IF(AND($B1538="",OR(B1538&lt;&gt;"",C1538&lt;&gt;"",D1538&lt;&gt;"",E1538&lt;&gt;"",F1538&lt;&gt;"")),入力リスト!$K$34,IF($I1538=TRUE,入力リスト!$K$35,IF(J1538=FALSE,"「毎月の固定給与額」","")&amp;IF(AND(J1538=FALSE,OR(K1538=FALSE,L1538=FALSE,M1538=FALSE)),",","")&amp;IF(K1538=FALSE,"「賞与額等」","")&amp;IF(AND(K1538=FALSE,OR(L1538=FALSE,M1538=FALSE)),",","")&amp;IF(L1538=FALSE,"「残業手当」","")&amp;IF(AND(L1538=FALSE,M1538=FALSE),",","")&amp;IF(M1538=FALSE,"「残業時間」","")&amp;IF(OR(J1538=FALSE,K1538=FALSE,L1538=FALSE,M1538=FALSE),入力リスト!$K$36,"")&amp;IF(N1538,"",入力リスト!$K$37)))</f>
        <v/>
      </c>
      <c r="H1538" s="215"/>
      <c r="I1538" s="1" t="b">
        <f>IF(B1538="",FALSE,COUNTIF('従業員情報(給与以外)'!$A$4:$A$1000000,$B1538)=0)</f>
        <v>0</v>
      </c>
      <c r="J1538" s="8" t="b">
        <f t="shared" si="115"/>
        <v>1</v>
      </c>
      <c r="K1538" s="8" t="b">
        <f t="shared" si="116"/>
        <v>1</v>
      </c>
      <c r="L1538" s="8" t="b">
        <f t="shared" si="117"/>
        <v>1</v>
      </c>
      <c r="M1538" s="8" t="b">
        <f t="shared" si="118"/>
        <v>1</v>
      </c>
      <c r="N1538" s="1" t="b">
        <f t="shared" si="119"/>
        <v>1</v>
      </c>
      <c r="O1538" s="8" t="str">
        <f>IF(F1538="","",IF($F$2=入力リスト!$H$25,ROUNDDOWN(INT(F1538)+ROUNDDOWN((F1538-INT(F1538))*100,0)/60,2),F1538))</f>
        <v/>
      </c>
      <c r="P1538" s="7"/>
      <c r="Q1538" s="7"/>
    </row>
    <row r="1539" spans="1:17">
      <c r="A1539" s="105"/>
      <c r="B1539" s="2"/>
      <c r="C1539" s="3"/>
      <c r="D1539" s="3"/>
      <c r="E1539" s="3"/>
      <c r="F1539" s="8"/>
      <c r="G1539" s="215" t="str">
        <f>IF(AND($B1539="",OR(B1539&lt;&gt;"",C1539&lt;&gt;"",D1539&lt;&gt;"",E1539&lt;&gt;"",F1539&lt;&gt;"")),入力リスト!$K$34,IF($I1539=TRUE,入力リスト!$K$35,IF(J1539=FALSE,"「毎月の固定給与額」","")&amp;IF(AND(J1539=FALSE,OR(K1539=FALSE,L1539=FALSE,M1539=FALSE)),",","")&amp;IF(K1539=FALSE,"「賞与額等」","")&amp;IF(AND(K1539=FALSE,OR(L1539=FALSE,M1539=FALSE)),",","")&amp;IF(L1539=FALSE,"「残業手当」","")&amp;IF(AND(L1539=FALSE,M1539=FALSE),",","")&amp;IF(M1539=FALSE,"「残業時間」","")&amp;IF(OR(J1539=FALSE,K1539=FALSE,L1539=FALSE,M1539=FALSE),入力リスト!$K$36,"")&amp;IF(N1539,"",入力リスト!$K$37)))</f>
        <v/>
      </c>
      <c r="H1539" s="215"/>
      <c r="I1539" s="1" t="b">
        <f>IF(B1539="",FALSE,COUNTIF('従業員情報(給与以外)'!$A$4:$A$1000000,$B1539)=0)</f>
        <v>0</v>
      </c>
      <c r="J1539" s="8" t="b">
        <f t="shared" si="115"/>
        <v>1</v>
      </c>
      <c r="K1539" s="8" t="b">
        <f t="shared" si="116"/>
        <v>1</v>
      </c>
      <c r="L1539" s="8" t="b">
        <f t="shared" si="117"/>
        <v>1</v>
      </c>
      <c r="M1539" s="8" t="b">
        <f t="shared" si="118"/>
        <v>1</v>
      </c>
      <c r="N1539" s="1" t="b">
        <f t="shared" si="119"/>
        <v>1</v>
      </c>
      <c r="O1539" s="8" t="str">
        <f>IF(F1539="","",IF($F$2=入力リスト!$H$25,ROUNDDOWN(INT(F1539)+ROUNDDOWN((F1539-INT(F1539))*100,0)/60,2),F1539))</f>
        <v/>
      </c>
      <c r="P1539" s="7"/>
      <c r="Q1539" s="7"/>
    </row>
    <row r="1540" spans="1:17">
      <c r="A1540" s="105"/>
      <c r="B1540" s="2"/>
      <c r="C1540" s="3"/>
      <c r="D1540" s="3"/>
      <c r="E1540" s="3"/>
      <c r="F1540" s="8"/>
      <c r="G1540" s="215" t="str">
        <f>IF(AND($B1540="",OR(B1540&lt;&gt;"",C1540&lt;&gt;"",D1540&lt;&gt;"",E1540&lt;&gt;"",F1540&lt;&gt;"")),入力リスト!$K$34,IF($I1540=TRUE,入力リスト!$K$35,IF(J1540=FALSE,"「毎月の固定給与額」","")&amp;IF(AND(J1540=FALSE,OR(K1540=FALSE,L1540=FALSE,M1540=FALSE)),",","")&amp;IF(K1540=FALSE,"「賞与額等」","")&amp;IF(AND(K1540=FALSE,OR(L1540=FALSE,M1540=FALSE)),",","")&amp;IF(L1540=FALSE,"「残業手当」","")&amp;IF(AND(L1540=FALSE,M1540=FALSE),",","")&amp;IF(M1540=FALSE,"「残業時間」","")&amp;IF(OR(J1540=FALSE,K1540=FALSE,L1540=FALSE,M1540=FALSE),入力リスト!$K$36,"")&amp;IF(N1540,"",入力リスト!$K$37)))</f>
        <v/>
      </c>
      <c r="H1540" s="215"/>
      <c r="I1540" s="1" t="b">
        <f>IF(B1540="",FALSE,COUNTIF('従業員情報(給与以外)'!$A$4:$A$1000000,$B1540)=0)</f>
        <v>0</v>
      </c>
      <c r="J1540" s="8" t="b">
        <f t="shared" si="115"/>
        <v>1</v>
      </c>
      <c r="K1540" s="8" t="b">
        <f t="shared" si="116"/>
        <v>1</v>
      </c>
      <c r="L1540" s="8" t="b">
        <f t="shared" si="117"/>
        <v>1</v>
      </c>
      <c r="M1540" s="8" t="b">
        <f t="shared" si="118"/>
        <v>1</v>
      </c>
      <c r="N1540" s="1" t="b">
        <f t="shared" si="119"/>
        <v>1</v>
      </c>
      <c r="O1540" s="8" t="str">
        <f>IF(F1540="","",IF($F$2=入力リスト!$H$25,ROUNDDOWN(INT(F1540)+ROUNDDOWN((F1540-INT(F1540))*100,0)/60,2),F1540))</f>
        <v/>
      </c>
      <c r="P1540" s="7"/>
      <c r="Q1540" s="7"/>
    </row>
    <row r="1541" spans="1:17">
      <c r="A1541" s="105"/>
      <c r="B1541" s="2"/>
      <c r="C1541" s="3"/>
      <c r="D1541" s="3"/>
      <c r="E1541" s="3"/>
      <c r="F1541" s="8"/>
      <c r="G1541" s="215" t="str">
        <f>IF(AND($B1541="",OR(B1541&lt;&gt;"",C1541&lt;&gt;"",D1541&lt;&gt;"",E1541&lt;&gt;"",F1541&lt;&gt;"")),入力リスト!$K$34,IF($I1541=TRUE,入力リスト!$K$35,IF(J1541=FALSE,"「毎月の固定給与額」","")&amp;IF(AND(J1541=FALSE,OR(K1541=FALSE,L1541=FALSE,M1541=FALSE)),",","")&amp;IF(K1541=FALSE,"「賞与額等」","")&amp;IF(AND(K1541=FALSE,OR(L1541=FALSE,M1541=FALSE)),",","")&amp;IF(L1541=FALSE,"「残業手当」","")&amp;IF(AND(L1541=FALSE,M1541=FALSE),",","")&amp;IF(M1541=FALSE,"「残業時間」","")&amp;IF(OR(J1541=FALSE,K1541=FALSE,L1541=FALSE,M1541=FALSE),入力リスト!$K$36,"")&amp;IF(N1541,"",入力リスト!$K$37)))</f>
        <v/>
      </c>
      <c r="H1541" s="215"/>
      <c r="I1541" s="1" t="b">
        <f>IF(B1541="",FALSE,COUNTIF('従業員情報(給与以外)'!$A$4:$A$1000000,$B1541)=0)</f>
        <v>0</v>
      </c>
      <c r="J1541" s="8" t="b">
        <f t="shared" ref="J1541:J1604" si="120">OR(C1541="",ISNUMBER(C1541))</f>
        <v>1</v>
      </c>
      <c r="K1541" s="8" t="b">
        <f t="shared" ref="K1541:K1604" si="121">OR(D1541="",ISNUMBER(D1541))</f>
        <v>1</v>
      </c>
      <c r="L1541" s="8" t="b">
        <f t="shared" ref="L1541:L1604" si="122">OR(E1541="",ISNUMBER(E1541))</f>
        <v>1</v>
      </c>
      <c r="M1541" s="8" t="b">
        <f t="shared" ref="M1541:M1604" si="123">OR(F1541="",ISNUMBER(F1541))</f>
        <v>1</v>
      </c>
      <c r="N1541" s="1" t="b">
        <f t="shared" ref="N1541:N1604" si="124">IF($N$1,TRUE,IF($N$2,IF(F1541-INT(F1541)&lt;0.6,TRUE,FALSE),TRUE))</f>
        <v>1</v>
      </c>
      <c r="O1541" s="8" t="str">
        <f>IF(F1541="","",IF($F$2=入力リスト!$H$25,ROUNDDOWN(INT(F1541)+ROUNDDOWN((F1541-INT(F1541))*100,0)/60,2),F1541))</f>
        <v/>
      </c>
      <c r="P1541" s="7"/>
      <c r="Q1541" s="7"/>
    </row>
    <row r="1542" spans="1:17">
      <c r="A1542" s="105"/>
      <c r="B1542" s="2"/>
      <c r="C1542" s="3"/>
      <c r="D1542" s="3"/>
      <c r="E1542" s="3"/>
      <c r="F1542" s="8"/>
      <c r="G1542" s="215" t="str">
        <f>IF(AND($B1542="",OR(B1542&lt;&gt;"",C1542&lt;&gt;"",D1542&lt;&gt;"",E1542&lt;&gt;"",F1542&lt;&gt;"")),入力リスト!$K$34,IF($I1542=TRUE,入力リスト!$K$35,IF(J1542=FALSE,"「毎月の固定給与額」","")&amp;IF(AND(J1542=FALSE,OR(K1542=FALSE,L1542=FALSE,M1542=FALSE)),",","")&amp;IF(K1542=FALSE,"「賞与額等」","")&amp;IF(AND(K1542=FALSE,OR(L1542=FALSE,M1542=FALSE)),",","")&amp;IF(L1542=FALSE,"「残業手当」","")&amp;IF(AND(L1542=FALSE,M1542=FALSE),",","")&amp;IF(M1542=FALSE,"「残業時間」","")&amp;IF(OR(J1542=FALSE,K1542=FALSE,L1542=FALSE,M1542=FALSE),入力リスト!$K$36,"")&amp;IF(N1542,"",入力リスト!$K$37)))</f>
        <v/>
      </c>
      <c r="H1542" s="215"/>
      <c r="I1542" s="1" t="b">
        <f>IF(B1542="",FALSE,COUNTIF('従業員情報(給与以外)'!$A$4:$A$1000000,$B1542)=0)</f>
        <v>0</v>
      </c>
      <c r="J1542" s="8" t="b">
        <f t="shared" si="120"/>
        <v>1</v>
      </c>
      <c r="K1542" s="8" t="b">
        <f t="shared" si="121"/>
        <v>1</v>
      </c>
      <c r="L1542" s="8" t="b">
        <f t="shared" si="122"/>
        <v>1</v>
      </c>
      <c r="M1542" s="8" t="b">
        <f t="shared" si="123"/>
        <v>1</v>
      </c>
      <c r="N1542" s="1" t="b">
        <f t="shared" si="124"/>
        <v>1</v>
      </c>
      <c r="O1542" s="8" t="str">
        <f>IF(F1542="","",IF($F$2=入力リスト!$H$25,ROUNDDOWN(INT(F1542)+ROUNDDOWN((F1542-INT(F1542))*100,0)/60,2),F1542))</f>
        <v/>
      </c>
      <c r="P1542" s="7"/>
      <c r="Q1542" s="7"/>
    </row>
    <row r="1543" spans="1:17">
      <c r="A1543" s="105"/>
      <c r="B1543" s="2"/>
      <c r="C1543" s="3"/>
      <c r="D1543" s="3"/>
      <c r="E1543" s="3"/>
      <c r="F1543" s="8"/>
      <c r="G1543" s="215" t="str">
        <f>IF(AND($B1543="",OR(B1543&lt;&gt;"",C1543&lt;&gt;"",D1543&lt;&gt;"",E1543&lt;&gt;"",F1543&lt;&gt;"")),入力リスト!$K$34,IF($I1543=TRUE,入力リスト!$K$35,IF(J1543=FALSE,"「毎月の固定給与額」","")&amp;IF(AND(J1543=FALSE,OR(K1543=FALSE,L1543=FALSE,M1543=FALSE)),",","")&amp;IF(K1543=FALSE,"「賞与額等」","")&amp;IF(AND(K1543=FALSE,OR(L1543=FALSE,M1543=FALSE)),",","")&amp;IF(L1543=FALSE,"「残業手当」","")&amp;IF(AND(L1543=FALSE,M1543=FALSE),",","")&amp;IF(M1543=FALSE,"「残業時間」","")&amp;IF(OR(J1543=FALSE,K1543=FALSE,L1543=FALSE,M1543=FALSE),入力リスト!$K$36,"")&amp;IF(N1543,"",入力リスト!$K$37)))</f>
        <v/>
      </c>
      <c r="H1543" s="215"/>
      <c r="I1543" s="1" t="b">
        <f>IF(B1543="",FALSE,COUNTIF('従業員情報(給与以外)'!$A$4:$A$1000000,$B1543)=0)</f>
        <v>0</v>
      </c>
      <c r="J1543" s="8" t="b">
        <f t="shared" si="120"/>
        <v>1</v>
      </c>
      <c r="K1543" s="8" t="b">
        <f t="shared" si="121"/>
        <v>1</v>
      </c>
      <c r="L1543" s="8" t="b">
        <f t="shared" si="122"/>
        <v>1</v>
      </c>
      <c r="M1543" s="8" t="b">
        <f t="shared" si="123"/>
        <v>1</v>
      </c>
      <c r="N1543" s="1" t="b">
        <f t="shared" si="124"/>
        <v>1</v>
      </c>
      <c r="O1543" s="8" t="str">
        <f>IF(F1543="","",IF($F$2=入力リスト!$H$25,ROUNDDOWN(INT(F1543)+ROUNDDOWN((F1543-INT(F1543))*100,0)/60,2),F1543))</f>
        <v/>
      </c>
      <c r="P1543" s="7"/>
      <c r="Q1543" s="7"/>
    </row>
    <row r="1544" spans="1:17">
      <c r="A1544" s="105"/>
      <c r="B1544" s="2"/>
      <c r="C1544" s="3"/>
      <c r="D1544" s="3"/>
      <c r="E1544" s="3"/>
      <c r="F1544" s="8"/>
      <c r="G1544" s="215" t="str">
        <f>IF(AND($B1544="",OR(B1544&lt;&gt;"",C1544&lt;&gt;"",D1544&lt;&gt;"",E1544&lt;&gt;"",F1544&lt;&gt;"")),入力リスト!$K$34,IF($I1544=TRUE,入力リスト!$K$35,IF(J1544=FALSE,"「毎月の固定給与額」","")&amp;IF(AND(J1544=FALSE,OR(K1544=FALSE,L1544=FALSE,M1544=FALSE)),",","")&amp;IF(K1544=FALSE,"「賞与額等」","")&amp;IF(AND(K1544=FALSE,OR(L1544=FALSE,M1544=FALSE)),",","")&amp;IF(L1544=FALSE,"「残業手当」","")&amp;IF(AND(L1544=FALSE,M1544=FALSE),",","")&amp;IF(M1544=FALSE,"「残業時間」","")&amp;IF(OR(J1544=FALSE,K1544=FALSE,L1544=FALSE,M1544=FALSE),入力リスト!$K$36,"")&amp;IF(N1544,"",入力リスト!$K$37)))</f>
        <v/>
      </c>
      <c r="H1544" s="215"/>
      <c r="I1544" s="1" t="b">
        <f>IF(B1544="",FALSE,COUNTIF('従業員情報(給与以外)'!$A$4:$A$1000000,$B1544)=0)</f>
        <v>0</v>
      </c>
      <c r="J1544" s="8" t="b">
        <f t="shared" si="120"/>
        <v>1</v>
      </c>
      <c r="K1544" s="8" t="b">
        <f t="shared" si="121"/>
        <v>1</v>
      </c>
      <c r="L1544" s="8" t="b">
        <f t="shared" si="122"/>
        <v>1</v>
      </c>
      <c r="M1544" s="8" t="b">
        <f t="shared" si="123"/>
        <v>1</v>
      </c>
      <c r="N1544" s="1" t="b">
        <f t="shared" si="124"/>
        <v>1</v>
      </c>
      <c r="O1544" s="8" t="str">
        <f>IF(F1544="","",IF($F$2=入力リスト!$H$25,ROUNDDOWN(INT(F1544)+ROUNDDOWN((F1544-INT(F1544))*100,0)/60,2),F1544))</f>
        <v/>
      </c>
      <c r="P1544" s="7"/>
      <c r="Q1544" s="7"/>
    </row>
    <row r="1545" spans="1:17">
      <c r="A1545" s="105"/>
      <c r="B1545" s="2"/>
      <c r="C1545" s="3"/>
      <c r="D1545" s="3"/>
      <c r="E1545" s="3"/>
      <c r="F1545" s="8"/>
      <c r="G1545" s="215" t="str">
        <f>IF(AND($B1545="",OR(B1545&lt;&gt;"",C1545&lt;&gt;"",D1545&lt;&gt;"",E1545&lt;&gt;"",F1545&lt;&gt;"")),入力リスト!$K$34,IF($I1545=TRUE,入力リスト!$K$35,IF(J1545=FALSE,"「毎月の固定給与額」","")&amp;IF(AND(J1545=FALSE,OR(K1545=FALSE,L1545=FALSE,M1545=FALSE)),",","")&amp;IF(K1545=FALSE,"「賞与額等」","")&amp;IF(AND(K1545=FALSE,OR(L1545=FALSE,M1545=FALSE)),",","")&amp;IF(L1545=FALSE,"「残業手当」","")&amp;IF(AND(L1545=FALSE,M1545=FALSE),",","")&amp;IF(M1545=FALSE,"「残業時間」","")&amp;IF(OR(J1545=FALSE,K1545=FALSE,L1545=FALSE,M1545=FALSE),入力リスト!$K$36,"")&amp;IF(N1545,"",入力リスト!$K$37)))</f>
        <v/>
      </c>
      <c r="H1545" s="215"/>
      <c r="I1545" s="1" t="b">
        <f>IF(B1545="",FALSE,COUNTIF('従業員情報(給与以外)'!$A$4:$A$1000000,$B1545)=0)</f>
        <v>0</v>
      </c>
      <c r="J1545" s="8" t="b">
        <f t="shared" si="120"/>
        <v>1</v>
      </c>
      <c r="K1545" s="8" t="b">
        <f t="shared" si="121"/>
        <v>1</v>
      </c>
      <c r="L1545" s="8" t="b">
        <f t="shared" si="122"/>
        <v>1</v>
      </c>
      <c r="M1545" s="8" t="b">
        <f t="shared" si="123"/>
        <v>1</v>
      </c>
      <c r="N1545" s="1" t="b">
        <f t="shared" si="124"/>
        <v>1</v>
      </c>
      <c r="O1545" s="8" t="str">
        <f>IF(F1545="","",IF($F$2=入力リスト!$H$25,ROUNDDOWN(INT(F1545)+ROUNDDOWN((F1545-INT(F1545))*100,0)/60,2),F1545))</f>
        <v/>
      </c>
      <c r="P1545" s="7"/>
      <c r="Q1545" s="7"/>
    </row>
    <row r="1546" spans="1:17">
      <c r="A1546" s="105"/>
      <c r="B1546" s="2"/>
      <c r="C1546" s="3"/>
      <c r="D1546" s="3"/>
      <c r="E1546" s="3"/>
      <c r="F1546" s="8"/>
      <c r="G1546" s="215" t="str">
        <f>IF(AND($B1546="",OR(B1546&lt;&gt;"",C1546&lt;&gt;"",D1546&lt;&gt;"",E1546&lt;&gt;"",F1546&lt;&gt;"")),入力リスト!$K$34,IF($I1546=TRUE,入力リスト!$K$35,IF(J1546=FALSE,"「毎月の固定給与額」","")&amp;IF(AND(J1546=FALSE,OR(K1546=FALSE,L1546=FALSE,M1546=FALSE)),",","")&amp;IF(K1546=FALSE,"「賞与額等」","")&amp;IF(AND(K1546=FALSE,OR(L1546=FALSE,M1546=FALSE)),",","")&amp;IF(L1546=FALSE,"「残業手当」","")&amp;IF(AND(L1546=FALSE,M1546=FALSE),",","")&amp;IF(M1546=FALSE,"「残業時間」","")&amp;IF(OR(J1546=FALSE,K1546=FALSE,L1546=FALSE,M1546=FALSE),入力リスト!$K$36,"")&amp;IF(N1546,"",入力リスト!$K$37)))</f>
        <v/>
      </c>
      <c r="H1546" s="215"/>
      <c r="I1546" s="1" t="b">
        <f>IF(B1546="",FALSE,COUNTIF('従業員情報(給与以外)'!$A$4:$A$1000000,$B1546)=0)</f>
        <v>0</v>
      </c>
      <c r="J1546" s="8" t="b">
        <f t="shared" si="120"/>
        <v>1</v>
      </c>
      <c r="K1546" s="8" t="b">
        <f t="shared" si="121"/>
        <v>1</v>
      </c>
      <c r="L1546" s="8" t="b">
        <f t="shared" si="122"/>
        <v>1</v>
      </c>
      <c r="M1546" s="8" t="b">
        <f t="shared" si="123"/>
        <v>1</v>
      </c>
      <c r="N1546" s="1" t="b">
        <f t="shared" si="124"/>
        <v>1</v>
      </c>
      <c r="O1546" s="8" t="str">
        <f>IF(F1546="","",IF($F$2=入力リスト!$H$25,ROUNDDOWN(INT(F1546)+ROUNDDOWN((F1546-INT(F1546))*100,0)/60,2),F1546))</f>
        <v/>
      </c>
      <c r="P1546" s="7"/>
      <c r="Q1546" s="7"/>
    </row>
    <row r="1547" spans="1:17">
      <c r="A1547" s="105"/>
      <c r="B1547" s="2"/>
      <c r="C1547" s="3"/>
      <c r="D1547" s="3"/>
      <c r="E1547" s="3"/>
      <c r="F1547" s="8"/>
      <c r="G1547" s="215" t="str">
        <f>IF(AND($B1547="",OR(B1547&lt;&gt;"",C1547&lt;&gt;"",D1547&lt;&gt;"",E1547&lt;&gt;"",F1547&lt;&gt;"")),入力リスト!$K$34,IF($I1547=TRUE,入力リスト!$K$35,IF(J1547=FALSE,"「毎月の固定給与額」","")&amp;IF(AND(J1547=FALSE,OR(K1547=FALSE,L1547=FALSE,M1547=FALSE)),",","")&amp;IF(K1547=FALSE,"「賞与額等」","")&amp;IF(AND(K1547=FALSE,OR(L1547=FALSE,M1547=FALSE)),",","")&amp;IF(L1547=FALSE,"「残業手当」","")&amp;IF(AND(L1547=FALSE,M1547=FALSE),",","")&amp;IF(M1547=FALSE,"「残業時間」","")&amp;IF(OR(J1547=FALSE,K1547=FALSE,L1547=FALSE,M1547=FALSE),入力リスト!$K$36,"")&amp;IF(N1547,"",入力リスト!$K$37)))</f>
        <v/>
      </c>
      <c r="H1547" s="215"/>
      <c r="I1547" s="1" t="b">
        <f>IF(B1547="",FALSE,COUNTIF('従業員情報(給与以外)'!$A$4:$A$1000000,$B1547)=0)</f>
        <v>0</v>
      </c>
      <c r="J1547" s="8" t="b">
        <f t="shared" si="120"/>
        <v>1</v>
      </c>
      <c r="K1547" s="8" t="b">
        <f t="shared" si="121"/>
        <v>1</v>
      </c>
      <c r="L1547" s="8" t="b">
        <f t="shared" si="122"/>
        <v>1</v>
      </c>
      <c r="M1547" s="8" t="b">
        <f t="shared" si="123"/>
        <v>1</v>
      </c>
      <c r="N1547" s="1" t="b">
        <f t="shared" si="124"/>
        <v>1</v>
      </c>
      <c r="O1547" s="8" t="str">
        <f>IF(F1547="","",IF($F$2=入力リスト!$H$25,ROUNDDOWN(INT(F1547)+ROUNDDOWN((F1547-INT(F1547))*100,0)/60,2),F1547))</f>
        <v/>
      </c>
      <c r="P1547" s="7"/>
      <c r="Q1547" s="7"/>
    </row>
    <row r="1548" spans="1:17">
      <c r="A1548" s="105"/>
      <c r="B1548" s="2"/>
      <c r="C1548" s="3"/>
      <c r="D1548" s="3"/>
      <c r="E1548" s="3"/>
      <c r="F1548" s="8"/>
      <c r="G1548" s="215" t="str">
        <f>IF(AND($B1548="",OR(B1548&lt;&gt;"",C1548&lt;&gt;"",D1548&lt;&gt;"",E1548&lt;&gt;"",F1548&lt;&gt;"")),入力リスト!$K$34,IF($I1548=TRUE,入力リスト!$K$35,IF(J1548=FALSE,"「毎月の固定給与額」","")&amp;IF(AND(J1548=FALSE,OR(K1548=FALSE,L1548=FALSE,M1548=FALSE)),",","")&amp;IF(K1548=FALSE,"「賞与額等」","")&amp;IF(AND(K1548=FALSE,OR(L1548=FALSE,M1548=FALSE)),",","")&amp;IF(L1548=FALSE,"「残業手当」","")&amp;IF(AND(L1548=FALSE,M1548=FALSE),",","")&amp;IF(M1548=FALSE,"「残業時間」","")&amp;IF(OR(J1548=FALSE,K1548=FALSE,L1548=FALSE,M1548=FALSE),入力リスト!$K$36,"")&amp;IF(N1548,"",入力リスト!$K$37)))</f>
        <v/>
      </c>
      <c r="H1548" s="215"/>
      <c r="I1548" s="1" t="b">
        <f>IF(B1548="",FALSE,COUNTIF('従業員情報(給与以外)'!$A$4:$A$1000000,$B1548)=0)</f>
        <v>0</v>
      </c>
      <c r="J1548" s="8" t="b">
        <f t="shared" si="120"/>
        <v>1</v>
      </c>
      <c r="K1548" s="8" t="b">
        <f t="shared" si="121"/>
        <v>1</v>
      </c>
      <c r="L1548" s="8" t="b">
        <f t="shared" si="122"/>
        <v>1</v>
      </c>
      <c r="M1548" s="8" t="b">
        <f t="shared" si="123"/>
        <v>1</v>
      </c>
      <c r="N1548" s="1" t="b">
        <f t="shared" si="124"/>
        <v>1</v>
      </c>
      <c r="O1548" s="8" t="str">
        <f>IF(F1548="","",IF($F$2=入力リスト!$H$25,ROUNDDOWN(INT(F1548)+ROUNDDOWN((F1548-INT(F1548))*100,0)/60,2),F1548))</f>
        <v/>
      </c>
      <c r="P1548" s="7"/>
      <c r="Q1548" s="7"/>
    </row>
    <row r="1549" spans="1:17">
      <c r="A1549" s="105"/>
      <c r="B1549" s="2"/>
      <c r="C1549" s="3"/>
      <c r="D1549" s="3"/>
      <c r="E1549" s="3"/>
      <c r="F1549" s="8"/>
      <c r="G1549" s="215" t="str">
        <f>IF(AND($B1549="",OR(B1549&lt;&gt;"",C1549&lt;&gt;"",D1549&lt;&gt;"",E1549&lt;&gt;"",F1549&lt;&gt;"")),入力リスト!$K$34,IF($I1549=TRUE,入力リスト!$K$35,IF(J1549=FALSE,"「毎月の固定給与額」","")&amp;IF(AND(J1549=FALSE,OR(K1549=FALSE,L1549=FALSE,M1549=FALSE)),",","")&amp;IF(K1549=FALSE,"「賞与額等」","")&amp;IF(AND(K1549=FALSE,OR(L1549=FALSE,M1549=FALSE)),",","")&amp;IF(L1549=FALSE,"「残業手当」","")&amp;IF(AND(L1549=FALSE,M1549=FALSE),",","")&amp;IF(M1549=FALSE,"「残業時間」","")&amp;IF(OR(J1549=FALSE,K1549=FALSE,L1549=FALSE,M1549=FALSE),入力リスト!$K$36,"")&amp;IF(N1549,"",入力リスト!$K$37)))</f>
        <v/>
      </c>
      <c r="H1549" s="215"/>
      <c r="I1549" s="1" t="b">
        <f>IF(B1549="",FALSE,COUNTIF('従業員情報(給与以外)'!$A$4:$A$1000000,$B1549)=0)</f>
        <v>0</v>
      </c>
      <c r="J1549" s="8" t="b">
        <f t="shared" si="120"/>
        <v>1</v>
      </c>
      <c r="K1549" s="8" t="b">
        <f t="shared" si="121"/>
        <v>1</v>
      </c>
      <c r="L1549" s="8" t="b">
        <f t="shared" si="122"/>
        <v>1</v>
      </c>
      <c r="M1549" s="8" t="b">
        <f t="shared" si="123"/>
        <v>1</v>
      </c>
      <c r="N1549" s="1" t="b">
        <f t="shared" si="124"/>
        <v>1</v>
      </c>
      <c r="O1549" s="8" t="str">
        <f>IF(F1549="","",IF($F$2=入力リスト!$H$25,ROUNDDOWN(INT(F1549)+ROUNDDOWN((F1549-INT(F1549))*100,0)/60,2),F1549))</f>
        <v/>
      </c>
      <c r="P1549" s="7"/>
      <c r="Q1549" s="7"/>
    </row>
    <row r="1550" spans="1:17">
      <c r="A1550" s="105"/>
      <c r="B1550" s="2"/>
      <c r="C1550" s="3"/>
      <c r="D1550" s="3"/>
      <c r="E1550" s="3"/>
      <c r="F1550" s="8"/>
      <c r="G1550" s="215" t="str">
        <f>IF(AND($B1550="",OR(B1550&lt;&gt;"",C1550&lt;&gt;"",D1550&lt;&gt;"",E1550&lt;&gt;"",F1550&lt;&gt;"")),入力リスト!$K$34,IF($I1550=TRUE,入力リスト!$K$35,IF(J1550=FALSE,"「毎月の固定給与額」","")&amp;IF(AND(J1550=FALSE,OR(K1550=FALSE,L1550=FALSE,M1550=FALSE)),",","")&amp;IF(K1550=FALSE,"「賞与額等」","")&amp;IF(AND(K1550=FALSE,OR(L1550=FALSE,M1550=FALSE)),",","")&amp;IF(L1550=FALSE,"「残業手当」","")&amp;IF(AND(L1550=FALSE,M1550=FALSE),",","")&amp;IF(M1550=FALSE,"「残業時間」","")&amp;IF(OR(J1550=FALSE,K1550=FALSE,L1550=FALSE,M1550=FALSE),入力リスト!$K$36,"")&amp;IF(N1550,"",入力リスト!$K$37)))</f>
        <v/>
      </c>
      <c r="H1550" s="215"/>
      <c r="I1550" s="1" t="b">
        <f>IF(B1550="",FALSE,COUNTIF('従業員情報(給与以外)'!$A$4:$A$1000000,$B1550)=0)</f>
        <v>0</v>
      </c>
      <c r="J1550" s="8" t="b">
        <f t="shared" si="120"/>
        <v>1</v>
      </c>
      <c r="K1550" s="8" t="b">
        <f t="shared" si="121"/>
        <v>1</v>
      </c>
      <c r="L1550" s="8" t="b">
        <f t="shared" si="122"/>
        <v>1</v>
      </c>
      <c r="M1550" s="8" t="b">
        <f t="shared" si="123"/>
        <v>1</v>
      </c>
      <c r="N1550" s="1" t="b">
        <f t="shared" si="124"/>
        <v>1</v>
      </c>
      <c r="O1550" s="8" t="str">
        <f>IF(F1550="","",IF($F$2=入力リスト!$H$25,ROUNDDOWN(INT(F1550)+ROUNDDOWN((F1550-INT(F1550))*100,0)/60,2),F1550))</f>
        <v/>
      </c>
      <c r="P1550" s="7"/>
      <c r="Q1550" s="7"/>
    </row>
    <row r="1551" spans="1:17">
      <c r="A1551" s="105"/>
      <c r="B1551" s="2"/>
      <c r="C1551" s="3"/>
      <c r="D1551" s="3"/>
      <c r="E1551" s="3"/>
      <c r="F1551" s="8"/>
      <c r="G1551" s="215" t="str">
        <f>IF(AND($B1551="",OR(B1551&lt;&gt;"",C1551&lt;&gt;"",D1551&lt;&gt;"",E1551&lt;&gt;"",F1551&lt;&gt;"")),入力リスト!$K$34,IF($I1551=TRUE,入力リスト!$K$35,IF(J1551=FALSE,"「毎月の固定給与額」","")&amp;IF(AND(J1551=FALSE,OR(K1551=FALSE,L1551=FALSE,M1551=FALSE)),",","")&amp;IF(K1551=FALSE,"「賞与額等」","")&amp;IF(AND(K1551=FALSE,OR(L1551=FALSE,M1551=FALSE)),",","")&amp;IF(L1551=FALSE,"「残業手当」","")&amp;IF(AND(L1551=FALSE,M1551=FALSE),",","")&amp;IF(M1551=FALSE,"「残業時間」","")&amp;IF(OR(J1551=FALSE,K1551=FALSE,L1551=FALSE,M1551=FALSE),入力リスト!$K$36,"")&amp;IF(N1551,"",入力リスト!$K$37)))</f>
        <v/>
      </c>
      <c r="H1551" s="215"/>
      <c r="I1551" s="1" t="b">
        <f>IF(B1551="",FALSE,COUNTIF('従業員情報(給与以外)'!$A$4:$A$1000000,$B1551)=0)</f>
        <v>0</v>
      </c>
      <c r="J1551" s="8" t="b">
        <f t="shared" si="120"/>
        <v>1</v>
      </c>
      <c r="K1551" s="8" t="b">
        <f t="shared" si="121"/>
        <v>1</v>
      </c>
      <c r="L1551" s="8" t="b">
        <f t="shared" si="122"/>
        <v>1</v>
      </c>
      <c r="M1551" s="8" t="b">
        <f t="shared" si="123"/>
        <v>1</v>
      </c>
      <c r="N1551" s="1" t="b">
        <f t="shared" si="124"/>
        <v>1</v>
      </c>
      <c r="O1551" s="8" t="str">
        <f>IF(F1551="","",IF($F$2=入力リスト!$H$25,ROUNDDOWN(INT(F1551)+ROUNDDOWN((F1551-INT(F1551))*100,0)/60,2),F1551))</f>
        <v/>
      </c>
      <c r="P1551" s="7"/>
      <c r="Q1551" s="7"/>
    </row>
    <row r="1552" spans="1:17">
      <c r="A1552" s="105"/>
      <c r="B1552" s="2"/>
      <c r="C1552" s="3"/>
      <c r="D1552" s="3"/>
      <c r="E1552" s="3"/>
      <c r="F1552" s="8"/>
      <c r="G1552" s="215" t="str">
        <f>IF(AND($B1552="",OR(B1552&lt;&gt;"",C1552&lt;&gt;"",D1552&lt;&gt;"",E1552&lt;&gt;"",F1552&lt;&gt;"")),入力リスト!$K$34,IF($I1552=TRUE,入力リスト!$K$35,IF(J1552=FALSE,"「毎月の固定給与額」","")&amp;IF(AND(J1552=FALSE,OR(K1552=FALSE,L1552=FALSE,M1552=FALSE)),",","")&amp;IF(K1552=FALSE,"「賞与額等」","")&amp;IF(AND(K1552=FALSE,OR(L1552=FALSE,M1552=FALSE)),",","")&amp;IF(L1552=FALSE,"「残業手当」","")&amp;IF(AND(L1552=FALSE,M1552=FALSE),",","")&amp;IF(M1552=FALSE,"「残業時間」","")&amp;IF(OR(J1552=FALSE,K1552=FALSE,L1552=FALSE,M1552=FALSE),入力リスト!$K$36,"")&amp;IF(N1552,"",入力リスト!$K$37)))</f>
        <v/>
      </c>
      <c r="H1552" s="215"/>
      <c r="I1552" s="1" t="b">
        <f>IF(B1552="",FALSE,COUNTIF('従業員情報(給与以外)'!$A$4:$A$1000000,$B1552)=0)</f>
        <v>0</v>
      </c>
      <c r="J1552" s="8" t="b">
        <f t="shared" si="120"/>
        <v>1</v>
      </c>
      <c r="K1552" s="8" t="b">
        <f t="shared" si="121"/>
        <v>1</v>
      </c>
      <c r="L1552" s="8" t="b">
        <f t="shared" si="122"/>
        <v>1</v>
      </c>
      <c r="M1552" s="8" t="b">
        <f t="shared" si="123"/>
        <v>1</v>
      </c>
      <c r="N1552" s="1" t="b">
        <f t="shared" si="124"/>
        <v>1</v>
      </c>
      <c r="O1552" s="8" t="str">
        <f>IF(F1552="","",IF($F$2=入力リスト!$H$25,ROUNDDOWN(INT(F1552)+ROUNDDOWN((F1552-INT(F1552))*100,0)/60,2),F1552))</f>
        <v/>
      </c>
      <c r="P1552" s="7"/>
      <c r="Q1552" s="7"/>
    </row>
    <row r="1553" spans="1:17">
      <c r="A1553" s="105"/>
      <c r="B1553" s="2"/>
      <c r="C1553" s="3"/>
      <c r="D1553" s="3"/>
      <c r="E1553" s="3"/>
      <c r="F1553" s="8"/>
      <c r="G1553" s="215" t="str">
        <f>IF(AND($B1553="",OR(B1553&lt;&gt;"",C1553&lt;&gt;"",D1553&lt;&gt;"",E1553&lt;&gt;"",F1553&lt;&gt;"")),入力リスト!$K$34,IF($I1553=TRUE,入力リスト!$K$35,IF(J1553=FALSE,"「毎月の固定給与額」","")&amp;IF(AND(J1553=FALSE,OR(K1553=FALSE,L1553=FALSE,M1553=FALSE)),",","")&amp;IF(K1553=FALSE,"「賞与額等」","")&amp;IF(AND(K1553=FALSE,OR(L1553=FALSE,M1553=FALSE)),",","")&amp;IF(L1553=FALSE,"「残業手当」","")&amp;IF(AND(L1553=FALSE,M1553=FALSE),",","")&amp;IF(M1553=FALSE,"「残業時間」","")&amp;IF(OR(J1553=FALSE,K1553=FALSE,L1553=FALSE,M1553=FALSE),入力リスト!$K$36,"")&amp;IF(N1553,"",入力リスト!$K$37)))</f>
        <v/>
      </c>
      <c r="H1553" s="215"/>
      <c r="I1553" s="1" t="b">
        <f>IF(B1553="",FALSE,COUNTIF('従業員情報(給与以外)'!$A$4:$A$1000000,$B1553)=0)</f>
        <v>0</v>
      </c>
      <c r="J1553" s="8" t="b">
        <f t="shared" si="120"/>
        <v>1</v>
      </c>
      <c r="K1553" s="8" t="b">
        <f t="shared" si="121"/>
        <v>1</v>
      </c>
      <c r="L1553" s="8" t="b">
        <f t="shared" si="122"/>
        <v>1</v>
      </c>
      <c r="M1553" s="8" t="b">
        <f t="shared" si="123"/>
        <v>1</v>
      </c>
      <c r="N1553" s="1" t="b">
        <f t="shared" si="124"/>
        <v>1</v>
      </c>
      <c r="O1553" s="8" t="str">
        <f>IF(F1553="","",IF($F$2=入力リスト!$H$25,ROUNDDOWN(INT(F1553)+ROUNDDOWN((F1553-INT(F1553))*100,0)/60,2),F1553))</f>
        <v/>
      </c>
      <c r="P1553" s="7"/>
      <c r="Q1553" s="7"/>
    </row>
    <row r="1554" spans="1:17">
      <c r="A1554" s="105"/>
      <c r="B1554" s="2"/>
      <c r="C1554" s="3"/>
      <c r="D1554" s="3"/>
      <c r="E1554" s="3"/>
      <c r="F1554" s="8"/>
      <c r="G1554" s="215" t="str">
        <f>IF(AND($B1554="",OR(B1554&lt;&gt;"",C1554&lt;&gt;"",D1554&lt;&gt;"",E1554&lt;&gt;"",F1554&lt;&gt;"")),入力リスト!$K$34,IF($I1554=TRUE,入力リスト!$K$35,IF(J1554=FALSE,"「毎月の固定給与額」","")&amp;IF(AND(J1554=FALSE,OR(K1554=FALSE,L1554=FALSE,M1554=FALSE)),",","")&amp;IF(K1554=FALSE,"「賞与額等」","")&amp;IF(AND(K1554=FALSE,OR(L1554=FALSE,M1554=FALSE)),",","")&amp;IF(L1554=FALSE,"「残業手当」","")&amp;IF(AND(L1554=FALSE,M1554=FALSE),",","")&amp;IF(M1554=FALSE,"「残業時間」","")&amp;IF(OR(J1554=FALSE,K1554=FALSE,L1554=FALSE,M1554=FALSE),入力リスト!$K$36,"")&amp;IF(N1554,"",入力リスト!$K$37)))</f>
        <v/>
      </c>
      <c r="H1554" s="215"/>
      <c r="I1554" s="1" t="b">
        <f>IF(B1554="",FALSE,COUNTIF('従業員情報(給与以外)'!$A$4:$A$1000000,$B1554)=0)</f>
        <v>0</v>
      </c>
      <c r="J1554" s="8" t="b">
        <f t="shared" si="120"/>
        <v>1</v>
      </c>
      <c r="K1554" s="8" t="b">
        <f t="shared" si="121"/>
        <v>1</v>
      </c>
      <c r="L1554" s="8" t="b">
        <f t="shared" si="122"/>
        <v>1</v>
      </c>
      <c r="M1554" s="8" t="b">
        <f t="shared" si="123"/>
        <v>1</v>
      </c>
      <c r="N1554" s="1" t="b">
        <f t="shared" si="124"/>
        <v>1</v>
      </c>
      <c r="O1554" s="8" t="str">
        <f>IF(F1554="","",IF($F$2=入力リスト!$H$25,ROUNDDOWN(INT(F1554)+ROUNDDOWN((F1554-INT(F1554))*100,0)/60,2),F1554))</f>
        <v/>
      </c>
      <c r="P1554" s="7"/>
      <c r="Q1554" s="7"/>
    </row>
    <row r="1555" spans="1:17">
      <c r="A1555" s="105"/>
      <c r="B1555" s="2"/>
      <c r="C1555" s="3"/>
      <c r="D1555" s="3"/>
      <c r="E1555" s="3"/>
      <c r="F1555" s="8"/>
      <c r="G1555" s="215" t="str">
        <f>IF(AND($B1555="",OR(B1555&lt;&gt;"",C1555&lt;&gt;"",D1555&lt;&gt;"",E1555&lt;&gt;"",F1555&lt;&gt;"")),入力リスト!$K$34,IF($I1555=TRUE,入力リスト!$K$35,IF(J1555=FALSE,"「毎月の固定給与額」","")&amp;IF(AND(J1555=FALSE,OR(K1555=FALSE,L1555=FALSE,M1555=FALSE)),",","")&amp;IF(K1555=FALSE,"「賞与額等」","")&amp;IF(AND(K1555=FALSE,OR(L1555=FALSE,M1555=FALSE)),",","")&amp;IF(L1555=FALSE,"「残業手当」","")&amp;IF(AND(L1555=FALSE,M1555=FALSE),",","")&amp;IF(M1555=FALSE,"「残業時間」","")&amp;IF(OR(J1555=FALSE,K1555=FALSE,L1555=FALSE,M1555=FALSE),入力リスト!$K$36,"")&amp;IF(N1555,"",入力リスト!$K$37)))</f>
        <v/>
      </c>
      <c r="H1555" s="215"/>
      <c r="I1555" s="1" t="b">
        <f>IF(B1555="",FALSE,COUNTIF('従業員情報(給与以外)'!$A$4:$A$1000000,$B1555)=0)</f>
        <v>0</v>
      </c>
      <c r="J1555" s="8" t="b">
        <f t="shared" si="120"/>
        <v>1</v>
      </c>
      <c r="K1555" s="8" t="b">
        <f t="shared" si="121"/>
        <v>1</v>
      </c>
      <c r="L1555" s="8" t="b">
        <f t="shared" si="122"/>
        <v>1</v>
      </c>
      <c r="M1555" s="8" t="b">
        <f t="shared" si="123"/>
        <v>1</v>
      </c>
      <c r="N1555" s="1" t="b">
        <f t="shared" si="124"/>
        <v>1</v>
      </c>
      <c r="O1555" s="8" t="str">
        <f>IF(F1555="","",IF($F$2=入力リスト!$H$25,ROUNDDOWN(INT(F1555)+ROUNDDOWN((F1555-INT(F1555))*100,0)/60,2),F1555))</f>
        <v/>
      </c>
      <c r="P1555" s="7"/>
      <c r="Q1555" s="7"/>
    </row>
    <row r="1556" spans="1:17">
      <c r="A1556" s="105"/>
      <c r="B1556" s="2"/>
      <c r="C1556" s="3"/>
      <c r="D1556" s="3"/>
      <c r="E1556" s="3"/>
      <c r="F1556" s="8"/>
      <c r="G1556" s="215" t="str">
        <f>IF(AND($B1556="",OR(B1556&lt;&gt;"",C1556&lt;&gt;"",D1556&lt;&gt;"",E1556&lt;&gt;"",F1556&lt;&gt;"")),入力リスト!$K$34,IF($I1556=TRUE,入力リスト!$K$35,IF(J1556=FALSE,"「毎月の固定給与額」","")&amp;IF(AND(J1556=FALSE,OR(K1556=FALSE,L1556=FALSE,M1556=FALSE)),",","")&amp;IF(K1556=FALSE,"「賞与額等」","")&amp;IF(AND(K1556=FALSE,OR(L1556=FALSE,M1556=FALSE)),",","")&amp;IF(L1556=FALSE,"「残業手当」","")&amp;IF(AND(L1556=FALSE,M1556=FALSE),",","")&amp;IF(M1556=FALSE,"「残業時間」","")&amp;IF(OR(J1556=FALSE,K1556=FALSE,L1556=FALSE,M1556=FALSE),入力リスト!$K$36,"")&amp;IF(N1556,"",入力リスト!$K$37)))</f>
        <v/>
      </c>
      <c r="H1556" s="215"/>
      <c r="I1556" s="1" t="b">
        <f>IF(B1556="",FALSE,COUNTIF('従業員情報(給与以外)'!$A$4:$A$1000000,$B1556)=0)</f>
        <v>0</v>
      </c>
      <c r="J1556" s="8" t="b">
        <f t="shared" si="120"/>
        <v>1</v>
      </c>
      <c r="K1556" s="8" t="b">
        <f t="shared" si="121"/>
        <v>1</v>
      </c>
      <c r="L1556" s="8" t="b">
        <f t="shared" si="122"/>
        <v>1</v>
      </c>
      <c r="M1556" s="8" t="b">
        <f t="shared" si="123"/>
        <v>1</v>
      </c>
      <c r="N1556" s="1" t="b">
        <f t="shared" si="124"/>
        <v>1</v>
      </c>
      <c r="O1556" s="8" t="str">
        <f>IF(F1556="","",IF($F$2=入力リスト!$H$25,ROUNDDOWN(INT(F1556)+ROUNDDOWN((F1556-INT(F1556))*100,0)/60,2),F1556))</f>
        <v/>
      </c>
      <c r="P1556" s="7"/>
      <c r="Q1556" s="7"/>
    </row>
    <row r="1557" spans="1:17">
      <c r="A1557" s="105"/>
      <c r="B1557" s="2"/>
      <c r="C1557" s="3"/>
      <c r="D1557" s="3"/>
      <c r="E1557" s="3"/>
      <c r="F1557" s="8"/>
      <c r="G1557" s="215" t="str">
        <f>IF(AND($B1557="",OR(B1557&lt;&gt;"",C1557&lt;&gt;"",D1557&lt;&gt;"",E1557&lt;&gt;"",F1557&lt;&gt;"")),入力リスト!$K$34,IF($I1557=TRUE,入力リスト!$K$35,IF(J1557=FALSE,"「毎月の固定給与額」","")&amp;IF(AND(J1557=FALSE,OR(K1557=FALSE,L1557=FALSE,M1557=FALSE)),",","")&amp;IF(K1557=FALSE,"「賞与額等」","")&amp;IF(AND(K1557=FALSE,OR(L1557=FALSE,M1557=FALSE)),",","")&amp;IF(L1557=FALSE,"「残業手当」","")&amp;IF(AND(L1557=FALSE,M1557=FALSE),",","")&amp;IF(M1557=FALSE,"「残業時間」","")&amp;IF(OR(J1557=FALSE,K1557=FALSE,L1557=FALSE,M1557=FALSE),入力リスト!$K$36,"")&amp;IF(N1557,"",入力リスト!$K$37)))</f>
        <v/>
      </c>
      <c r="H1557" s="215"/>
      <c r="I1557" s="1" t="b">
        <f>IF(B1557="",FALSE,COUNTIF('従業員情報(給与以外)'!$A$4:$A$1000000,$B1557)=0)</f>
        <v>0</v>
      </c>
      <c r="J1557" s="8" t="b">
        <f t="shared" si="120"/>
        <v>1</v>
      </c>
      <c r="K1557" s="8" t="b">
        <f t="shared" si="121"/>
        <v>1</v>
      </c>
      <c r="L1557" s="8" t="b">
        <f t="shared" si="122"/>
        <v>1</v>
      </c>
      <c r="M1557" s="8" t="b">
        <f t="shared" si="123"/>
        <v>1</v>
      </c>
      <c r="N1557" s="1" t="b">
        <f t="shared" si="124"/>
        <v>1</v>
      </c>
      <c r="O1557" s="8" t="str">
        <f>IF(F1557="","",IF($F$2=入力リスト!$H$25,ROUNDDOWN(INT(F1557)+ROUNDDOWN((F1557-INT(F1557))*100,0)/60,2),F1557))</f>
        <v/>
      </c>
      <c r="P1557" s="7"/>
      <c r="Q1557" s="7"/>
    </row>
    <row r="1558" spans="1:17">
      <c r="A1558" s="105"/>
      <c r="B1558" s="2"/>
      <c r="C1558" s="3"/>
      <c r="D1558" s="3"/>
      <c r="E1558" s="3"/>
      <c r="F1558" s="8"/>
      <c r="G1558" s="215" t="str">
        <f>IF(AND($B1558="",OR(B1558&lt;&gt;"",C1558&lt;&gt;"",D1558&lt;&gt;"",E1558&lt;&gt;"",F1558&lt;&gt;"")),入力リスト!$K$34,IF($I1558=TRUE,入力リスト!$K$35,IF(J1558=FALSE,"「毎月の固定給与額」","")&amp;IF(AND(J1558=FALSE,OR(K1558=FALSE,L1558=FALSE,M1558=FALSE)),",","")&amp;IF(K1558=FALSE,"「賞与額等」","")&amp;IF(AND(K1558=FALSE,OR(L1558=FALSE,M1558=FALSE)),",","")&amp;IF(L1558=FALSE,"「残業手当」","")&amp;IF(AND(L1558=FALSE,M1558=FALSE),",","")&amp;IF(M1558=FALSE,"「残業時間」","")&amp;IF(OR(J1558=FALSE,K1558=FALSE,L1558=FALSE,M1558=FALSE),入力リスト!$K$36,"")&amp;IF(N1558,"",入力リスト!$K$37)))</f>
        <v/>
      </c>
      <c r="H1558" s="215"/>
      <c r="I1558" s="1" t="b">
        <f>IF(B1558="",FALSE,COUNTIF('従業員情報(給与以外)'!$A$4:$A$1000000,$B1558)=0)</f>
        <v>0</v>
      </c>
      <c r="J1558" s="8" t="b">
        <f t="shared" si="120"/>
        <v>1</v>
      </c>
      <c r="K1558" s="8" t="b">
        <f t="shared" si="121"/>
        <v>1</v>
      </c>
      <c r="L1558" s="8" t="b">
        <f t="shared" si="122"/>
        <v>1</v>
      </c>
      <c r="M1558" s="8" t="b">
        <f t="shared" si="123"/>
        <v>1</v>
      </c>
      <c r="N1558" s="1" t="b">
        <f t="shared" si="124"/>
        <v>1</v>
      </c>
      <c r="O1558" s="8" t="str">
        <f>IF(F1558="","",IF($F$2=入力リスト!$H$25,ROUNDDOWN(INT(F1558)+ROUNDDOWN((F1558-INT(F1558))*100,0)/60,2),F1558))</f>
        <v/>
      </c>
      <c r="P1558" s="7"/>
      <c r="Q1558" s="7"/>
    </row>
    <row r="1559" spans="1:17">
      <c r="A1559" s="105"/>
      <c r="B1559" s="2"/>
      <c r="C1559" s="3"/>
      <c r="D1559" s="3"/>
      <c r="E1559" s="3"/>
      <c r="F1559" s="8"/>
      <c r="G1559" s="215" t="str">
        <f>IF(AND($B1559="",OR(B1559&lt;&gt;"",C1559&lt;&gt;"",D1559&lt;&gt;"",E1559&lt;&gt;"",F1559&lt;&gt;"")),入力リスト!$K$34,IF($I1559=TRUE,入力リスト!$K$35,IF(J1559=FALSE,"「毎月の固定給与額」","")&amp;IF(AND(J1559=FALSE,OR(K1559=FALSE,L1559=FALSE,M1559=FALSE)),",","")&amp;IF(K1559=FALSE,"「賞与額等」","")&amp;IF(AND(K1559=FALSE,OR(L1559=FALSE,M1559=FALSE)),",","")&amp;IF(L1559=FALSE,"「残業手当」","")&amp;IF(AND(L1559=FALSE,M1559=FALSE),",","")&amp;IF(M1559=FALSE,"「残業時間」","")&amp;IF(OR(J1559=FALSE,K1559=FALSE,L1559=FALSE,M1559=FALSE),入力リスト!$K$36,"")&amp;IF(N1559,"",入力リスト!$K$37)))</f>
        <v/>
      </c>
      <c r="H1559" s="215"/>
      <c r="I1559" s="1" t="b">
        <f>IF(B1559="",FALSE,COUNTIF('従業員情報(給与以外)'!$A$4:$A$1000000,$B1559)=0)</f>
        <v>0</v>
      </c>
      <c r="J1559" s="8" t="b">
        <f t="shared" si="120"/>
        <v>1</v>
      </c>
      <c r="K1559" s="8" t="b">
        <f t="shared" si="121"/>
        <v>1</v>
      </c>
      <c r="L1559" s="8" t="b">
        <f t="shared" si="122"/>
        <v>1</v>
      </c>
      <c r="M1559" s="8" t="b">
        <f t="shared" si="123"/>
        <v>1</v>
      </c>
      <c r="N1559" s="1" t="b">
        <f t="shared" si="124"/>
        <v>1</v>
      </c>
      <c r="O1559" s="8" t="str">
        <f>IF(F1559="","",IF($F$2=入力リスト!$H$25,ROUNDDOWN(INT(F1559)+ROUNDDOWN((F1559-INT(F1559))*100,0)/60,2),F1559))</f>
        <v/>
      </c>
      <c r="P1559" s="7"/>
      <c r="Q1559" s="7"/>
    </row>
    <row r="1560" spans="1:17">
      <c r="A1560" s="105"/>
      <c r="B1560" s="2"/>
      <c r="C1560" s="3"/>
      <c r="D1560" s="3"/>
      <c r="E1560" s="3"/>
      <c r="F1560" s="8"/>
      <c r="G1560" s="215" t="str">
        <f>IF(AND($B1560="",OR(B1560&lt;&gt;"",C1560&lt;&gt;"",D1560&lt;&gt;"",E1560&lt;&gt;"",F1560&lt;&gt;"")),入力リスト!$K$34,IF($I1560=TRUE,入力リスト!$K$35,IF(J1560=FALSE,"「毎月の固定給与額」","")&amp;IF(AND(J1560=FALSE,OR(K1560=FALSE,L1560=FALSE,M1560=FALSE)),",","")&amp;IF(K1560=FALSE,"「賞与額等」","")&amp;IF(AND(K1560=FALSE,OR(L1560=FALSE,M1560=FALSE)),",","")&amp;IF(L1560=FALSE,"「残業手当」","")&amp;IF(AND(L1560=FALSE,M1560=FALSE),",","")&amp;IF(M1560=FALSE,"「残業時間」","")&amp;IF(OR(J1560=FALSE,K1560=FALSE,L1560=FALSE,M1560=FALSE),入力リスト!$K$36,"")&amp;IF(N1560,"",入力リスト!$K$37)))</f>
        <v/>
      </c>
      <c r="H1560" s="215"/>
      <c r="I1560" s="1" t="b">
        <f>IF(B1560="",FALSE,COUNTIF('従業員情報(給与以外)'!$A$4:$A$1000000,$B1560)=0)</f>
        <v>0</v>
      </c>
      <c r="J1560" s="8" t="b">
        <f t="shared" si="120"/>
        <v>1</v>
      </c>
      <c r="K1560" s="8" t="b">
        <f t="shared" si="121"/>
        <v>1</v>
      </c>
      <c r="L1560" s="8" t="b">
        <f t="shared" si="122"/>
        <v>1</v>
      </c>
      <c r="M1560" s="8" t="b">
        <f t="shared" si="123"/>
        <v>1</v>
      </c>
      <c r="N1560" s="1" t="b">
        <f t="shared" si="124"/>
        <v>1</v>
      </c>
      <c r="O1560" s="8" t="str">
        <f>IF(F1560="","",IF($F$2=入力リスト!$H$25,ROUNDDOWN(INT(F1560)+ROUNDDOWN((F1560-INT(F1560))*100,0)/60,2),F1560))</f>
        <v/>
      </c>
      <c r="P1560" s="7"/>
      <c r="Q1560" s="7"/>
    </row>
    <row r="1561" spans="1:17">
      <c r="A1561" s="105"/>
      <c r="B1561" s="2"/>
      <c r="C1561" s="3"/>
      <c r="D1561" s="3"/>
      <c r="E1561" s="3"/>
      <c r="F1561" s="8"/>
      <c r="G1561" s="215" t="str">
        <f>IF(AND($B1561="",OR(B1561&lt;&gt;"",C1561&lt;&gt;"",D1561&lt;&gt;"",E1561&lt;&gt;"",F1561&lt;&gt;"")),入力リスト!$K$34,IF($I1561=TRUE,入力リスト!$K$35,IF(J1561=FALSE,"「毎月の固定給与額」","")&amp;IF(AND(J1561=FALSE,OR(K1561=FALSE,L1561=FALSE,M1561=FALSE)),",","")&amp;IF(K1561=FALSE,"「賞与額等」","")&amp;IF(AND(K1561=FALSE,OR(L1561=FALSE,M1561=FALSE)),",","")&amp;IF(L1561=FALSE,"「残業手当」","")&amp;IF(AND(L1561=FALSE,M1561=FALSE),",","")&amp;IF(M1561=FALSE,"「残業時間」","")&amp;IF(OR(J1561=FALSE,K1561=FALSE,L1561=FALSE,M1561=FALSE),入力リスト!$K$36,"")&amp;IF(N1561,"",入力リスト!$K$37)))</f>
        <v/>
      </c>
      <c r="H1561" s="215"/>
      <c r="I1561" s="1" t="b">
        <f>IF(B1561="",FALSE,COUNTIF('従業員情報(給与以外)'!$A$4:$A$1000000,$B1561)=0)</f>
        <v>0</v>
      </c>
      <c r="J1561" s="8" t="b">
        <f t="shared" si="120"/>
        <v>1</v>
      </c>
      <c r="K1561" s="8" t="b">
        <f t="shared" si="121"/>
        <v>1</v>
      </c>
      <c r="L1561" s="8" t="b">
        <f t="shared" si="122"/>
        <v>1</v>
      </c>
      <c r="M1561" s="8" t="b">
        <f t="shared" si="123"/>
        <v>1</v>
      </c>
      <c r="N1561" s="1" t="b">
        <f t="shared" si="124"/>
        <v>1</v>
      </c>
      <c r="O1561" s="8" t="str">
        <f>IF(F1561="","",IF($F$2=入力リスト!$H$25,ROUNDDOWN(INT(F1561)+ROUNDDOWN((F1561-INT(F1561))*100,0)/60,2),F1561))</f>
        <v/>
      </c>
      <c r="P1561" s="7"/>
      <c r="Q1561" s="7"/>
    </row>
    <row r="1562" spans="1:17">
      <c r="A1562" s="105"/>
      <c r="B1562" s="2"/>
      <c r="C1562" s="3"/>
      <c r="D1562" s="3"/>
      <c r="E1562" s="3"/>
      <c r="F1562" s="8"/>
      <c r="G1562" s="215" t="str">
        <f>IF(AND($B1562="",OR(B1562&lt;&gt;"",C1562&lt;&gt;"",D1562&lt;&gt;"",E1562&lt;&gt;"",F1562&lt;&gt;"")),入力リスト!$K$34,IF($I1562=TRUE,入力リスト!$K$35,IF(J1562=FALSE,"「毎月の固定給与額」","")&amp;IF(AND(J1562=FALSE,OR(K1562=FALSE,L1562=FALSE,M1562=FALSE)),",","")&amp;IF(K1562=FALSE,"「賞与額等」","")&amp;IF(AND(K1562=FALSE,OR(L1562=FALSE,M1562=FALSE)),",","")&amp;IF(L1562=FALSE,"「残業手当」","")&amp;IF(AND(L1562=FALSE,M1562=FALSE),",","")&amp;IF(M1562=FALSE,"「残業時間」","")&amp;IF(OR(J1562=FALSE,K1562=FALSE,L1562=FALSE,M1562=FALSE),入力リスト!$K$36,"")&amp;IF(N1562,"",入力リスト!$K$37)))</f>
        <v/>
      </c>
      <c r="H1562" s="215"/>
      <c r="I1562" s="1" t="b">
        <f>IF(B1562="",FALSE,COUNTIF('従業員情報(給与以外)'!$A$4:$A$1000000,$B1562)=0)</f>
        <v>0</v>
      </c>
      <c r="J1562" s="8" t="b">
        <f t="shared" si="120"/>
        <v>1</v>
      </c>
      <c r="K1562" s="8" t="b">
        <f t="shared" si="121"/>
        <v>1</v>
      </c>
      <c r="L1562" s="8" t="b">
        <f t="shared" si="122"/>
        <v>1</v>
      </c>
      <c r="M1562" s="8" t="b">
        <f t="shared" si="123"/>
        <v>1</v>
      </c>
      <c r="N1562" s="1" t="b">
        <f t="shared" si="124"/>
        <v>1</v>
      </c>
      <c r="O1562" s="8" t="str">
        <f>IF(F1562="","",IF($F$2=入力リスト!$H$25,ROUNDDOWN(INT(F1562)+ROUNDDOWN((F1562-INT(F1562))*100,0)/60,2),F1562))</f>
        <v/>
      </c>
      <c r="P1562" s="7"/>
      <c r="Q1562" s="7"/>
    </row>
    <row r="1563" spans="1:17">
      <c r="A1563" s="105"/>
      <c r="B1563" s="2"/>
      <c r="C1563" s="3"/>
      <c r="D1563" s="3"/>
      <c r="E1563" s="3"/>
      <c r="F1563" s="8"/>
      <c r="G1563" s="215" t="str">
        <f>IF(AND($B1563="",OR(B1563&lt;&gt;"",C1563&lt;&gt;"",D1563&lt;&gt;"",E1563&lt;&gt;"",F1563&lt;&gt;"")),入力リスト!$K$34,IF($I1563=TRUE,入力リスト!$K$35,IF(J1563=FALSE,"「毎月の固定給与額」","")&amp;IF(AND(J1563=FALSE,OR(K1563=FALSE,L1563=FALSE,M1563=FALSE)),",","")&amp;IF(K1563=FALSE,"「賞与額等」","")&amp;IF(AND(K1563=FALSE,OR(L1563=FALSE,M1563=FALSE)),",","")&amp;IF(L1563=FALSE,"「残業手当」","")&amp;IF(AND(L1563=FALSE,M1563=FALSE),",","")&amp;IF(M1563=FALSE,"「残業時間」","")&amp;IF(OR(J1563=FALSE,K1563=FALSE,L1563=FALSE,M1563=FALSE),入力リスト!$K$36,"")&amp;IF(N1563,"",入力リスト!$K$37)))</f>
        <v/>
      </c>
      <c r="H1563" s="215"/>
      <c r="I1563" s="1" t="b">
        <f>IF(B1563="",FALSE,COUNTIF('従業員情報(給与以外)'!$A$4:$A$1000000,$B1563)=0)</f>
        <v>0</v>
      </c>
      <c r="J1563" s="8" t="b">
        <f t="shared" si="120"/>
        <v>1</v>
      </c>
      <c r="K1563" s="8" t="b">
        <f t="shared" si="121"/>
        <v>1</v>
      </c>
      <c r="L1563" s="8" t="b">
        <f t="shared" si="122"/>
        <v>1</v>
      </c>
      <c r="M1563" s="8" t="b">
        <f t="shared" si="123"/>
        <v>1</v>
      </c>
      <c r="N1563" s="1" t="b">
        <f t="shared" si="124"/>
        <v>1</v>
      </c>
      <c r="O1563" s="8" t="str">
        <f>IF(F1563="","",IF($F$2=入力リスト!$H$25,ROUNDDOWN(INT(F1563)+ROUNDDOWN((F1563-INT(F1563))*100,0)/60,2),F1563))</f>
        <v/>
      </c>
      <c r="P1563" s="7"/>
      <c r="Q1563" s="7"/>
    </row>
    <row r="1564" spans="1:17">
      <c r="A1564" s="105"/>
      <c r="B1564" s="2"/>
      <c r="C1564" s="3"/>
      <c r="D1564" s="3"/>
      <c r="E1564" s="3"/>
      <c r="F1564" s="8"/>
      <c r="G1564" s="215" t="str">
        <f>IF(AND($B1564="",OR(B1564&lt;&gt;"",C1564&lt;&gt;"",D1564&lt;&gt;"",E1564&lt;&gt;"",F1564&lt;&gt;"")),入力リスト!$K$34,IF($I1564=TRUE,入力リスト!$K$35,IF(J1564=FALSE,"「毎月の固定給与額」","")&amp;IF(AND(J1564=FALSE,OR(K1564=FALSE,L1564=FALSE,M1564=FALSE)),",","")&amp;IF(K1564=FALSE,"「賞与額等」","")&amp;IF(AND(K1564=FALSE,OR(L1564=FALSE,M1564=FALSE)),",","")&amp;IF(L1564=FALSE,"「残業手当」","")&amp;IF(AND(L1564=FALSE,M1564=FALSE),",","")&amp;IF(M1564=FALSE,"「残業時間」","")&amp;IF(OR(J1564=FALSE,K1564=FALSE,L1564=FALSE,M1564=FALSE),入力リスト!$K$36,"")&amp;IF(N1564,"",入力リスト!$K$37)))</f>
        <v/>
      </c>
      <c r="H1564" s="215"/>
      <c r="I1564" s="1" t="b">
        <f>IF(B1564="",FALSE,COUNTIF('従業員情報(給与以外)'!$A$4:$A$1000000,$B1564)=0)</f>
        <v>0</v>
      </c>
      <c r="J1564" s="8" t="b">
        <f t="shared" si="120"/>
        <v>1</v>
      </c>
      <c r="K1564" s="8" t="b">
        <f t="shared" si="121"/>
        <v>1</v>
      </c>
      <c r="L1564" s="8" t="b">
        <f t="shared" si="122"/>
        <v>1</v>
      </c>
      <c r="M1564" s="8" t="b">
        <f t="shared" si="123"/>
        <v>1</v>
      </c>
      <c r="N1564" s="1" t="b">
        <f t="shared" si="124"/>
        <v>1</v>
      </c>
      <c r="O1564" s="8" t="str">
        <f>IF(F1564="","",IF($F$2=入力リスト!$H$25,ROUNDDOWN(INT(F1564)+ROUNDDOWN((F1564-INT(F1564))*100,0)/60,2),F1564))</f>
        <v/>
      </c>
      <c r="P1564" s="7"/>
      <c r="Q1564" s="7"/>
    </row>
    <row r="1565" spans="1:17">
      <c r="A1565" s="105"/>
      <c r="B1565" s="2"/>
      <c r="C1565" s="3"/>
      <c r="D1565" s="3"/>
      <c r="E1565" s="3"/>
      <c r="F1565" s="8"/>
      <c r="G1565" s="215" t="str">
        <f>IF(AND($B1565="",OR(B1565&lt;&gt;"",C1565&lt;&gt;"",D1565&lt;&gt;"",E1565&lt;&gt;"",F1565&lt;&gt;"")),入力リスト!$K$34,IF($I1565=TRUE,入力リスト!$K$35,IF(J1565=FALSE,"「毎月の固定給与額」","")&amp;IF(AND(J1565=FALSE,OR(K1565=FALSE,L1565=FALSE,M1565=FALSE)),",","")&amp;IF(K1565=FALSE,"「賞与額等」","")&amp;IF(AND(K1565=FALSE,OR(L1565=FALSE,M1565=FALSE)),",","")&amp;IF(L1565=FALSE,"「残業手当」","")&amp;IF(AND(L1565=FALSE,M1565=FALSE),",","")&amp;IF(M1565=FALSE,"「残業時間」","")&amp;IF(OR(J1565=FALSE,K1565=FALSE,L1565=FALSE,M1565=FALSE),入力リスト!$K$36,"")&amp;IF(N1565,"",入力リスト!$K$37)))</f>
        <v/>
      </c>
      <c r="H1565" s="215"/>
      <c r="I1565" s="1" t="b">
        <f>IF(B1565="",FALSE,COUNTIF('従業員情報(給与以外)'!$A$4:$A$1000000,$B1565)=0)</f>
        <v>0</v>
      </c>
      <c r="J1565" s="8" t="b">
        <f t="shared" si="120"/>
        <v>1</v>
      </c>
      <c r="K1565" s="8" t="b">
        <f t="shared" si="121"/>
        <v>1</v>
      </c>
      <c r="L1565" s="8" t="b">
        <f t="shared" si="122"/>
        <v>1</v>
      </c>
      <c r="M1565" s="8" t="b">
        <f t="shared" si="123"/>
        <v>1</v>
      </c>
      <c r="N1565" s="1" t="b">
        <f t="shared" si="124"/>
        <v>1</v>
      </c>
      <c r="O1565" s="8" t="str">
        <f>IF(F1565="","",IF($F$2=入力リスト!$H$25,ROUNDDOWN(INT(F1565)+ROUNDDOWN((F1565-INT(F1565))*100,0)/60,2),F1565))</f>
        <v/>
      </c>
      <c r="P1565" s="7"/>
      <c r="Q1565" s="7"/>
    </row>
    <row r="1566" spans="1:17">
      <c r="A1566" s="105"/>
      <c r="B1566" s="2"/>
      <c r="C1566" s="3"/>
      <c r="D1566" s="3"/>
      <c r="E1566" s="3"/>
      <c r="F1566" s="8"/>
      <c r="G1566" s="215" t="str">
        <f>IF(AND($B1566="",OR(B1566&lt;&gt;"",C1566&lt;&gt;"",D1566&lt;&gt;"",E1566&lt;&gt;"",F1566&lt;&gt;"")),入力リスト!$K$34,IF($I1566=TRUE,入力リスト!$K$35,IF(J1566=FALSE,"「毎月の固定給与額」","")&amp;IF(AND(J1566=FALSE,OR(K1566=FALSE,L1566=FALSE,M1566=FALSE)),",","")&amp;IF(K1566=FALSE,"「賞与額等」","")&amp;IF(AND(K1566=FALSE,OR(L1566=FALSE,M1566=FALSE)),",","")&amp;IF(L1566=FALSE,"「残業手当」","")&amp;IF(AND(L1566=FALSE,M1566=FALSE),",","")&amp;IF(M1566=FALSE,"「残業時間」","")&amp;IF(OR(J1566=FALSE,K1566=FALSE,L1566=FALSE,M1566=FALSE),入力リスト!$K$36,"")&amp;IF(N1566,"",入力リスト!$K$37)))</f>
        <v/>
      </c>
      <c r="H1566" s="215"/>
      <c r="I1566" s="1" t="b">
        <f>IF(B1566="",FALSE,COUNTIF('従業員情報(給与以外)'!$A$4:$A$1000000,$B1566)=0)</f>
        <v>0</v>
      </c>
      <c r="J1566" s="8" t="b">
        <f t="shared" si="120"/>
        <v>1</v>
      </c>
      <c r="K1566" s="8" t="b">
        <f t="shared" si="121"/>
        <v>1</v>
      </c>
      <c r="L1566" s="8" t="b">
        <f t="shared" si="122"/>
        <v>1</v>
      </c>
      <c r="M1566" s="8" t="b">
        <f t="shared" si="123"/>
        <v>1</v>
      </c>
      <c r="N1566" s="1" t="b">
        <f t="shared" si="124"/>
        <v>1</v>
      </c>
      <c r="O1566" s="8" t="str">
        <f>IF(F1566="","",IF($F$2=入力リスト!$H$25,ROUNDDOWN(INT(F1566)+ROUNDDOWN((F1566-INT(F1566))*100,0)/60,2),F1566))</f>
        <v/>
      </c>
      <c r="P1566" s="7"/>
      <c r="Q1566" s="7"/>
    </row>
    <row r="1567" spans="1:17">
      <c r="A1567" s="105"/>
      <c r="B1567" s="2"/>
      <c r="C1567" s="3"/>
      <c r="D1567" s="3"/>
      <c r="E1567" s="3"/>
      <c r="F1567" s="8"/>
      <c r="G1567" s="215" t="str">
        <f>IF(AND($B1567="",OR(B1567&lt;&gt;"",C1567&lt;&gt;"",D1567&lt;&gt;"",E1567&lt;&gt;"",F1567&lt;&gt;"")),入力リスト!$K$34,IF($I1567=TRUE,入力リスト!$K$35,IF(J1567=FALSE,"「毎月の固定給与額」","")&amp;IF(AND(J1567=FALSE,OR(K1567=FALSE,L1567=FALSE,M1567=FALSE)),",","")&amp;IF(K1567=FALSE,"「賞与額等」","")&amp;IF(AND(K1567=FALSE,OR(L1567=FALSE,M1567=FALSE)),",","")&amp;IF(L1567=FALSE,"「残業手当」","")&amp;IF(AND(L1567=FALSE,M1567=FALSE),",","")&amp;IF(M1567=FALSE,"「残業時間」","")&amp;IF(OR(J1567=FALSE,K1567=FALSE,L1567=FALSE,M1567=FALSE),入力リスト!$K$36,"")&amp;IF(N1567,"",入力リスト!$K$37)))</f>
        <v/>
      </c>
      <c r="H1567" s="215"/>
      <c r="I1567" s="1" t="b">
        <f>IF(B1567="",FALSE,COUNTIF('従業員情報(給与以外)'!$A$4:$A$1000000,$B1567)=0)</f>
        <v>0</v>
      </c>
      <c r="J1567" s="8" t="b">
        <f t="shared" si="120"/>
        <v>1</v>
      </c>
      <c r="K1567" s="8" t="b">
        <f t="shared" si="121"/>
        <v>1</v>
      </c>
      <c r="L1567" s="8" t="b">
        <f t="shared" si="122"/>
        <v>1</v>
      </c>
      <c r="M1567" s="8" t="b">
        <f t="shared" si="123"/>
        <v>1</v>
      </c>
      <c r="N1567" s="1" t="b">
        <f t="shared" si="124"/>
        <v>1</v>
      </c>
      <c r="O1567" s="8" t="str">
        <f>IF(F1567="","",IF($F$2=入力リスト!$H$25,ROUNDDOWN(INT(F1567)+ROUNDDOWN((F1567-INT(F1567))*100,0)/60,2),F1567))</f>
        <v/>
      </c>
      <c r="P1567" s="7"/>
      <c r="Q1567" s="7"/>
    </row>
    <row r="1568" spans="1:17">
      <c r="A1568" s="105"/>
      <c r="B1568" s="2"/>
      <c r="C1568" s="3"/>
      <c r="D1568" s="3"/>
      <c r="E1568" s="3"/>
      <c r="F1568" s="8"/>
      <c r="G1568" s="215" t="str">
        <f>IF(AND($B1568="",OR(B1568&lt;&gt;"",C1568&lt;&gt;"",D1568&lt;&gt;"",E1568&lt;&gt;"",F1568&lt;&gt;"")),入力リスト!$K$34,IF($I1568=TRUE,入力リスト!$K$35,IF(J1568=FALSE,"「毎月の固定給与額」","")&amp;IF(AND(J1568=FALSE,OR(K1568=FALSE,L1568=FALSE,M1568=FALSE)),",","")&amp;IF(K1568=FALSE,"「賞与額等」","")&amp;IF(AND(K1568=FALSE,OR(L1568=FALSE,M1568=FALSE)),",","")&amp;IF(L1568=FALSE,"「残業手当」","")&amp;IF(AND(L1568=FALSE,M1568=FALSE),",","")&amp;IF(M1568=FALSE,"「残業時間」","")&amp;IF(OR(J1568=FALSE,K1568=FALSE,L1568=FALSE,M1568=FALSE),入力リスト!$K$36,"")&amp;IF(N1568,"",入力リスト!$K$37)))</f>
        <v/>
      </c>
      <c r="H1568" s="215"/>
      <c r="I1568" s="1" t="b">
        <f>IF(B1568="",FALSE,COUNTIF('従業員情報(給与以外)'!$A$4:$A$1000000,$B1568)=0)</f>
        <v>0</v>
      </c>
      <c r="J1568" s="8" t="b">
        <f t="shared" si="120"/>
        <v>1</v>
      </c>
      <c r="K1568" s="8" t="b">
        <f t="shared" si="121"/>
        <v>1</v>
      </c>
      <c r="L1568" s="8" t="b">
        <f t="shared" si="122"/>
        <v>1</v>
      </c>
      <c r="M1568" s="8" t="b">
        <f t="shared" si="123"/>
        <v>1</v>
      </c>
      <c r="N1568" s="1" t="b">
        <f t="shared" si="124"/>
        <v>1</v>
      </c>
      <c r="O1568" s="8" t="str">
        <f>IF(F1568="","",IF($F$2=入力リスト!$H$25,ROUNDDOWN(INT(F1568)+ROUNDDOWN((F1568-INT(F1568))*100,0)/60,2),F1568))</f>
        <v/>
      </c>
      <c r="P1568" s="7"/>
      <c r="Q1568" s="7"/>
    </row>
    <row r="1569" spans="1:17">
      <c r="A1569" s="105"/>
      <c r="B1569" s="2"/>
      <c r="C1569" s="3"/>
      <c r="D1569" s="3"/>
      <c r="E1569" s="3"/>
      <c r="F1569" s="8"/>
      <c r="G1569" s="215" t="str">
        <f>IF(AND($B1569="",OR(B1569&lt;&gt;"",C1569&lt;&gt;"",D1569&lt;&gt;"",E1569&lt;&gt;"",F1569&lt;&gt;"")),入力リスト!$K$34,IF($I1569=TRUE,入力リスト!$K$35,IF(J1569=FALSE,"「毎月の固定給与額」","")&amp;IF(AND(J1569=FALSE,OR(K1569=FALSE,L1569=FALSE,M1569=FALSE)),",","")&amp;IF(K1569=FALSE,"「賞与額等」","")&amp;IF(AND(K1569=FALSE,OR(L1569=FALSE,M1569=FALSE)),",","")&amp;IF(L1569=FALSE,"「残業手当」","")&amp;IF(AND(L1569=FALSE,M1569=FALSE),",","")&amp;IF(M1569=FALSE,"「残業時間」","")&amp;IF(OR(J1569=FALSE,K1569=FALSE,L1569=FALSE,M1569=FALSE),入力リスト!$K$36,"")&amp;IF(N1569,"",入力リスト!$K$37)))</f>
        <v/>
      </c>
      <c r="H1569" s="215"/>
      <c r="I1569" s="1" t="b">
        <f>IF(B1569="",FALSE,COUNTIF('従業員情報(給与以外)'!$A$4:$A$1000000,$B1569)=0)</f>
        <v>0</v>
      </c>
      <c r="J1569" s="8" t="b">
        <f t="shared" si="120"/>
        <v>1</v>
      </c>
      <c r="K1569" s="8" t="b">
        <f t="shared" si="121"/>
        <v>1</v>
      </c>
      <c r="L1569" s="8" t="b">
        <f t="shared" si="122"/>
        <v>1</v>
      </c>
      <c r="M1569" s="8" t="b">
        <f t="shared" si="123"/>
        <v>1</v>
      </c>
      <c r="N1569" s="1" t="b">
        <f t="shared" si="124"/>
        <v>1</v>
      </c>
      <c r="O1569" s="8" t="str">
        <f>IF(F1569="","",IF($F$2=入力リスト!$H$25,ROUNDDOWN(INT(F1569)+ROUNDDOWN((F1569-INT(F1569))*100,0)/60,2),F1569))</f>
        <v/>
      </c>
      <c r="P1569" s="7"/>
      <c r="Q1569" s="7"/>
    </row>
    <row r="1570" spans="1:17">
      <c r="A1570" s="105"/>
      <c r="B1570" s="2"/>
      <c r="C1570" s="3"/>
      <c r="D1570" s="3"/>
      <c r="E1570" s="3"/>
      <c r="F1570" s="8"/>
      <c r="G1570" s="215" t="str">
        <f>IF(AND($B1570="",OR(B1570&lt;&gt;"",C1570&lt;&gt;"",D1570&lt;&gt;"",E1570&lt;&gt;"",F1570&lt;&gt;"")),入力リスト!$K$34,IF($I1570=TRUE,入力リスト!$K$35,IF(J1570=FALSE,"「毎月の固定給与額」","")&amp;IF(AND(J1570=FALSE,OR(K1570=FALSE,L1570=FALSE,M1570=FALSE)),",","")&amp;IF(K1570=FALSE,"「賞与額等」","")&amp;IF(AND(K1570=FALSE,OR(L1570=FALSE,M1570=FALSE)),",","")&amp;IF(L1570=FALSE,"「残業手当」","")&amp;IF(AND(L1570=FALSE,M1570=FALSE),",","")&amp;IF(M1570=FALSE,"「残業時間」","")&amp;IF(OR(J1570=FALSE,K1570=FALSE,L1570=FALSE,M1570=FALSE),入力リスト!$K$36,"")&amp;IF(N1570,"",入力リスト!$K$37)))</f>
        <v/>
      </c>
      <c r="H1570" s="215"/>
      <c r="I1570" s="1" t="b">
        <f>IF(B1570="",FALSE,COUNTIF('従業員情報(給与以外)'!$A$4:$A$1000000,$B1570)=0)</f>
        <v>0</v>
      </c>
      <c r="J1570" s="8" t="b">
        <f t="shared" si="120"/>
        <v>1</v>
      </c>
      <c r="K1570" s="8" t="b">
        <f t="shared" si="121"/>
        <v>1</v>
      </c>
      <c r="L1570" s="8" t="b">
        <f t="shared" si="122"/>
        <v>1</v>
      </c>
      <c r="M1570" s="8" t="b">
        <f t="shared" si="123"/>
        <v>1</v>
      </c>
      <c r="N1570" s="1" t="b">
        <f t="shared" si="124"/>
        <v>1</v>
      </c>
      <c r="O1570" s="8" t="str">
        <f>IF(F1570="","",IF($F$2=入力リスト!$H$25,ROUNDDOWN(INT(F1570)+ROUNDDOWN((F1570-INT(F1570))*100,0)/60,2),F1570))</f>
        <v/>
      </c>
      <c r="P1570" s="7"/>
      <c r="Q1570" s="7"/>
    </row>
    <row r="1571" spans="1:17">
      <c r="A1571" s="105"/>
      <c r="B1571" s="2"/>
      <c r="C1571" s="3"/>
      <c r="D1571" s="3"/>
      <c r="E1571" s="3"/>
      <c r="F1571" s="8"/>
      <c r="G1571" s="215" t="str">
        <f>IF(AND($B1571="",OR(B1571&lt;&gt;"",C1571&lt;&gt;"",D1571&lt;&gt;"",E1571&lt;&gt;"",F1571&lt;&gt;"")),入力リスト!$K$34,IF($I1571=TRUE,入力リスト!$K$35,IF(J1571=FALSE,"「毎月の固定給与額」","")&amp;IF(AND(J1571=FALSE,OR(K1571=FALSE,L1571=FALSE,M1571=FALSE)),",","")&amp;IF(K1571=FALSE,"「賞与額等」","")&amp;IF(AND(K1571=FALSE,OR(L1571=FALSE,M1571=FALSE)),",","")&amp;IF(L1571=FALSE,"「残業手当」","")&amp;IF(AND(L1571=FALSE,M1571=FALSE),",","")&amp;IF(M1571=FALSE,"「残業時間」","")&amp;IF(OR(J1571=FALSE,K1571=FALSE,L1571=FALSE,M1571=FALSE),入力リスト!$K$36,"")&amp;IF(N1571,"",入力リスト!$K$37)))</f>
        <v/>
      </c>
      <c r="H1571" s="215"/>
      <c r="I1571" s="1" t="b">
        <f>IF(B1571="",FALSE,COUNTIF('従業員情報(給与以外)'!$A$4:$A$1000000,$B1571)=0)</f>
        <v>0</v>
      </c>
      <c r="J1571" s="8" t="b">
        <f t="shared" si="120"/>
        <v>1</v>
      </c>
      <c r="K1571" s="8" t="b">
        <f t="shared" si="121"/>
        <v>1</v>
      </c>
      <c r="L1571" s="8" t="b">
        <f t="shared" si="122"/>
        <v>1</v>
      </c>
      <c r="M1571" s="8" t="b">
        <f t="shared" si="123"/>
        <v>1</v>
      </c>
      <c r="N1571" s="1" t="b">
        <f t="shared" si="124"/>
        <v>1</v>
      </c>
      <c r="O1571" s="8" t="str">
        <f>IF(F1571="","",IF($F$2=入力リスト!$H$25,ROUNDDOWN(INT(F1571)+ROUNDDOWN((F1571-INT(F1571))*100,0)/60,2),F1571))</f>
        <v/>
      </c>
      <c r="P1571" s="7"/>
      <c r="Q1571" s="7"/>
    </row>
    <row r="1572" spans="1:17">
      <c r="A1572" s="105"/>
      <c r="B1572" s="2"/>
      <c r="C1572" s="3"/>
      <c r="D1572" s="3"/>
      <c r="E1572" s="3"/>
      <c r="F1572" s="8"/>
      <c r="G1572" s="215" t="str">
        <f>IF(AND($B1572="",OR(B1572&lt;&gt;"",C1572&lt;&gt;"",D1572&lt;&gt;"",E1572&lt;&gt;"",F1572&lt;&gt;"")),入力リスト!$K$34,IF($I1572=TRUE,入力リスト!$K$35,IF(J1572=FALSE,"「毎月の固定給与額」","")&amp;IF(AND(J1572=FALSE,OR(K1572=FALSE,L1572=FALSE,M1572=FALSE)),",","")&amp;IF(K1572=FALSE,"「賞与額等」","")&amp;IF(AND(K1572=FALSE,OR(L1572=FALSE,M1572=FALSE)),",","")&amp;IF(L1572=FALSE,"「残業手当」","")&amp;IF(AND(L1572=FALSE,M1572=FALSE),",","")&amp;IF(M1572=FALSE,"「残業時間」","")&amp;IF(OR(J1572=FALSE,K1572=FALSE,L1572=FALSE,M1572=FALSE),入力リスト!$K$36,"")&amp;IF(N1572,"",入力リスト!$K$37)))</f>
        <v/>
      </c>
      <c r="H1572" s="215"/>
      <c r="I1572" s="1" t="b">
        <f>IF(B1572="",FALSE,COUNTIF('従業員情報(給与以外)'!$A$4:$A$1000000,$B1572)=0)</f>
        <v>0</v>
      </c>
      <c r="J1572" s="8" t="b">
        <f t="shared" si="120"/>
        <v>1</v>
      </c>
      <c r="K1572" s="8" t="b">
        <f t="shared" si="121"/>
        <v>1</v>
      </c>
      <c r="L1572" s="8" t="b">
        <f t="shared" si="122"/>
        <v>1</v>
      </c>
      <c r="M1572" s="8" t="b">
        <f t="shared" si="123"/>
        <v>1</v>
      </c>
      <c r="N1572" s="1" t="b">
        <f t="shared" si="124"/>
        <v>1</v>
      </c>
      <c r="O1572" s="8" t="str">
        <f>IF(F1572="","",IF($F$2=入力リスト!$H$25,ROUNDDOWN(INT(F1572)+ROUNDDOWN((F1572-INT(F1572))*100,0)/60,2),F1572))</f>
        <v/>
      </c>
      <c r="P1572" s="7"/>
      <c r="Q1572" s="7"/>
    </row>
    <row r="1573" spans="1:17">
      <c r="A1573" s="105"/>
      <c r="B1573" s="2"/>
      <c r="C1573" s="3"/>
      <c r="D1573" s="3"/>
      <c r="E1573" s="3"/>
      <c r="F1573" s="8"/>
      <c r="G1573" s="215" t="str">
        <f>IF(AND($B1573="",OR(B1573&lt;&gt;"",C1573&lt;&gt;"",D1573&lt;&gt;"",E1573&lt;&gt;"",F1573&lt;&gt;"")),入力リスト!$K$34,IF($I1573=TRUE,入力リスト!$K$35,IF(J1573=FALSE,"「毎月の固定給与額」","")&amp;IF(AND(J1573=FALSE,OR(K1573=FALSE,L1573=FALSE,M1573=FALSE)),",","")&amp;IF(K1573=FALSE,"「賞与額等」","")&amp;IF(AND(K1573=FALSE,OR(L1573=FALSE,M1573=FALSE)),",","")&amp;IF(L1573=FALSE,"「残業手当」","")&amp;IF(AND(L1573=FALSE,M1573=FALSE),",","")&amp;IF(M1573=FALSE,"「残業時間」","")&amp;IF(OR(J1573=FALSE,K1573=FALSE,L1573=FALSE,M1573=FALSE),入力リスト!$K$36,"")&amp;IF(N1573,"",入力リスト!$K$37)))</f>
        <v/>
      </c>
      <c r="H1573" s="215"/>
      <c r="I1573" s="1" t="b">
        <f>IF(B1573="",FALSE,COUNTIF('従業員情報(給与以外)'!$A$4:$A$1000000,$B1573)=0)</f>
        <v>0</v>
      </c>
      <c r="J1573" s="8" t="b">
        <f t="shared" si="120"/>
        <v>1</v>
      </c>
      <c r="K1573" s="8" t="b">
        <f t="shared" si="121"/>
        <v>1</v>
      </c>
      <c r="L1573" s="8" t="b">
        <f t="shared" si="122"/>
        <v>1</v>
      </c>
      <c r="M1573" s="8" t="b">
        <f t="shared" si="123"/>
        <v>1</v>
      </c>
      <c r="N1573" s="1" t="b">
        <f t="shared" si="124"/>
        <v>1</v>
      </c>
      <c r="O1573" s="8" t="str">
        <f>IF(F1573="","",IF($F$2=入力リスト!$H$25,ROUNDDOWN(INT(F1573)+ROUNDDOWN((F1573-INT(F1573))*100,0)/60,2),F1573))</f>
        <v/>
      </c>
      <c r="P1573" s="7"/>
      <c r="Q1573" s="7"/>
    </row>
    <row r="1574" spans="1:17">
      <c r="A1574" s="105"/>
      <c r="B1574" s="2"/>
      <c r="C1574" s="3"/>
      <c r="D1574" s="3"/>
      <c r="E1574" s="3"/>
      <c r="F1574" s="8"/>
      <c r="G1574" s="215" t="str">
        <f>IF(AND($B1574="",OR(B1574&lt;&gt;"",C1574&lt;&gt;"",D1574&lt;&gt;"",E1574&lt;&gt;"",F1574&lt;&gt;"")),入力リスト!$K$34,IF($I1574=TRUE,入力リスト!$K$35,IF(J1574=FALSE,"「毎月の固定給与額」","")&amp;IF(AND(J1574=FALSE,OR(K1574=FALSE,L1574=FALSE,M1574=FALSE)),",","")&amp;IF(K1574=FALSE,"「賞与額等」","")&amp;IF(AND(K1574=FALSE,OR(L1574=FALSE,M1574=FALSE)),",","")&amp;IF(L1574=FALSE,"「残業手当」","")&amp;IF(AND(L1574=FALSE,M1574=FALSE),",","")&amp;IF(M1574=FALSE,"「残業時間」","")&amp;IF(OR(J1574=FALSE,K1574=FALSE,L1574=FALSE,M1574=FALSE),入力リスト!$K$36,"")&amp;IF(N1574,"",入力リスト!$K$37)))</f>
        <v/>
      </c>
      <c r="H1574" s="215"/>
      <c r="I1574" s="1" t="b">
        <f>IF(B1574="",FALSE,COUNTIF('従業員情報(給与以外)'!$A$4:$A$1000000,$B1574)=0)</f>
        <v>0</v>
      </c>
      <c r="J1574" s="8" t="b">
        <f t="shared" si="120"/>
        <v>1</v>
      </c>
      <c r="K1574" s="8" t="b">
        <f t="shared" si="121"/>
        <v>1</v>
      </c>
      <c r="L1574" s="8" t="b">
        <f t="shared" si="122"/>
        <v>1</v>
      </c>
      <c r="M1574" s="8" t="b">
        <f t="shared" si="123"/>
        <v>1</v>
      </c>
      <c r="N1574" s="1" t="b">
        <f t="shared" si="124"/>
        <v>1</v>
      </c>
      <c r="O1574" s="8" t="str">
        <f>IF(F1574="","",IF($F$2=入力リスト!$H$25,ROUNDDOWN(INT(F1574)+ROUNDDOWN((F1574-INT(F1574))*100,0)/60,2),F1574))</f>
        <v/>
      </c>
      <c r="P1574" s="7"/>
      <c r="Q1574" s="7"/>
    </row>
    <row r="1575" spans="1:17">
      <c r="A1575" s="105"/>
      <c r="B1575" s="2"/>
      <c r="C1575" s="3"/>
      <c r="D1575" s="3"/>
      <c r="E1575" s="3"/>
      <c r="F1575" s="8"/>
      <c r="G1575" s="215" t="str">
        <f>IF(AND($B1575="",OR(B1575&lt;&gt;"",C1575&lt;&gt;"",D1575&lt;&gt;"",E1575&lt;&gt;"",F1575&lt;&gt;"")),入力リスト!$K$34,IF($I1575=TRUE,入力リスト!$K$35,IF(J1575=FALSE,"「毎月の固定給与額」","")&amp;IF(AND(J1575=FALSE,OR(K1575=FALSE,L1575=FALSE,M1575=FALSE)),",","")&amp;IF(K1575=FALSE,"「賞与額等」","")&amp;IF(AND(K1575=FALSE,OR(L1575=FALSE,M1575=FALSE)),",","")&amp;IF(L1575=FALSE,"「残業手当」","")&amp;IF(AND(L1575=FALSE,M1575=FALSE),",","")&amp;IF(M1575=FALSE,"「残業時間」","")&amp;IF(OR(J1575=FALSE,K1575=FALSE,L1575=FALSE,M1575=FALSE),入力リスト!$K$36,"")&amp;IF(N1575,"",入力リスト!$K$37)))</f>
        <v/>
      </c>
      <c r="H1575" s="215"/>
      <c r="I1575" s="1" t="b">
        <f>IF(B1575="",FALSE,COUNTIF('従業員情報(給与以外)'!$A$4:$A$1000000,$B1575)=0)</f>
        <v>0</v>
      </c>
      <c r="J1575" s="8" t="b">
        <f t="shared" si="120"/>
        <v>1</v>
      </c>
      <c r="K1575" s="8" t="b">
        <f t="shared" si="121"/>
        <v>1</v>
      </c>
      <c r="L1575" s="8" t="b">
        <f t="shared" si="122"/>
        <v>1</v>
      </c>
      <c r="M1575" s="8" t="b">
        <f t="shared" si="123"/>
        <v>1</v>
      </c>
      <c r="N1575" s="1" t="b">
        <f t="shared" si="124"/>
        <v>1</v>
      </c>
      <c r="O1575" s="8" t="str">
        <f>IF(F1575="","",IF($F$2=入力リスト!$H$25,ROUNDDOWN(INT(F1575)+ROUNDDOWN((F1575-INT(F1575))*100,0)/60,2),F1575))</f>
        <v/>
      </c>
      <c r="P1575" s="7"/>
      <c r="Q1575" s="7"/>
    </row>
    <row r="1576" spans="1:17">
      <c r="A1576" s="105"/>
      <c r="B1576" s="2"/>
      <c r="C1576" s="3"/>
      <c r="D1576" s="3"/>
      <c r="E1576" s="3"/>
      <c r="F1576" s="8"/>
      <c r="G1576" s="215" t="str">
        <f>IF(AND($B1576="",OR(B1576&lt;&gt;"",C1576&lt;&gt;"",D1576&lt;&gt;"",E1576&lt;&gt;"",F1576&lt;&gt;"")),入力リスト!$K$34,IF($I1576=TRUE,入力リスト!$K$35,IF(J1576=FALSE,"「毎月の固定給与額」","")&amp;IF(AND(J1576=FALSE,OR(K1576=FALSE,L1576=FALSE,M1576=FALSE)),",","")&amp;IF(K1576=FALSE,"「賞与額等」","")&amp;IF(AND(K1576=FALSE,OR(L1576=FALSE,M1576=FALSE)),",","")&amp;IF(L1576=FALSE,"「残業手当」","")&amp;IF(AND(L1576=FALSE,M1576=FALSE),",","")&amp;IF(M1576=FALSE,"「残業時間」","")&amp;IF(OR(J1576=FALSE,K1576=FALSE,L1576=FALSE,M1576=FALSE),入力リスト!$K$36,"")&amp;IF(N1576,"",入力リスト!$K$37)))</f>
        <v/>
      </c>
      <c r="H1576" s="215"/>
      <c r="I1576" s="1" t="b">
        <f>IF(B1576="",FALSE,COUNTIF('従業員情報(給与以外)'!$A$4:$A$1000000,$B1576)=0)</f>
        <v>0</v>
      </c>
      <c r="J1576" s="8" t="b">
        <f t="shared" si="120"/>
        <v>1</v>
      </c>
      <c r="K1576" s="8" t="b">
        <f t="shared" si="121"/>
        <v>1</v>
      </c>
      <c r="L1576" s="8" t="b">
        <f t="shared" si="122"/>
        <v>1</v>
      </c>
      <c r="M1576" s="8" t="b">
        <f t="shared" si="123"/>
        <v>1</v>
      </c>
      <c r="N1576" s="1" t="b">
        <f t="shared" si="124"/>
        <v>1</v>
      </c>
      <c r="O1576" s="8" t="str">
        <f>IF(F1576="","",IF($F$2=入力リスト!$H$25,ROUNDDOWN(INT(F1576)+ROUNDDOWN((F1576-INT(F1576))*100,0)/60,2),F1576))</f>
        <v/>
      </c>
      <c r="P1576" s="7"/>
      <c r="Q1576" s="7"/>
    </row>
    <row r="1577" spans="1:17">
      <c r="A1577" s="105"/>
      <c r="B1577" s="2"/>
      <c r="C1577" s="3"/>
      <c r="D1577" s="3"/>
      <c r="E1577" s="3"/>
      <c r="F1577" s="8"/>
      <c r="G1577" s="215" t="str">
        <f>IF(AND($B1577="",OR(B1577&lt;&gt;"",C1577&lt;&gt;"",D1577&lt;&gt;"",E1577&lt;&gt;"",F1577&lt;&gt;"")),入力リスト!$K$34,IF($I1577=TRUE,入力リスト!$K$35,IF(J1577=FALSE,"「毎月の固定給与額」","")&amp;IF(AND(J1577=FALSE,OR(K1577=FALSE,L1577=FALSE,M1577=FALSE)),",","")&amp;IF(K1577=FALSE,"「賞与額等」","")&amp;IF(AND(K1577=FALSE,OR(L1577=FALSE,M1577=FALSE)),",","")&amp;IF(L1577=FALSE,"「残業手当」","")&amp;IF(AND(L1577=FALSE,M1577=FALSE),",","")&amp;IF(M1577=FALSE,"「残業時間」","")&amp;IF(OR(J1577=FALSE,K1577=FALSE,L1577=FALSE,M1577=FALSE),入力リスト!$K$36,"")&amp;IF(N1577,"",入力リスト!$K$37)))</f>
        <v/>
      </c>
      <c r="H1577" s="215"/>
      <c r="I1577" s="1" t="b">
        <f>IF(B1577="",FALSE,COUNTIF('従業員情報(給与以外)'!$A$4:$A$1000000,$B1577)=0)</f>
        <v>0</v>
      </c>
      <c r="J1577" s="8" t="b">
        <f t="shared" si="120"/>
        <v>1</v>
      </c>
      <c r="K1577" s="8" t="b">
        <f t="shared" si="121"/>
        <v>1</v>
      </c>
      <c r="L1577" s="8" t="b">
        <f t="shared" si="122"/>
        <v>1</v>
      </c>
      <c r="M1577" s="8" t="b">
        <f t="shared" si="123"/>
        <v>1</v>
      </c>
      <c r="N1577" s="1" t="b">
        <f t="shared" si="124"/>
        <v>1</v>
      </c>
      <c r="O1577" s="8" t="str">
        <f>IF(F1577="","",IF($F$2=入力リスト!$H$25,ROUNDDOWN(INT(F1577)+ROUNDDOWN((F1577-INT(F1577))*100,0)/60,2),F1577))</f>
        <v/>
      </c>
      <c r="P1577" s="7"/>
      <c r="Q1577" s="7"/>
    </row>
    <row r="1578" spans="1:17">
      <c r="A1578" s="105"/>
      <c r="B1578" s="2"/>
      <c r="C1578" s="3"/>
      <c r="D1578" s="3"/>
      <c r="E1578" s="3"/>
      <c r="F1578" s="8"/>
      <c r="G1578" s="215" t="str">
        <f>IF(AND($B1578="",OR(B1578&lt;&gt;"",C1578&lt;&gt;"",D1578&lt;&gt;"",E1578&lt;&gt;"",F1578&lt;&gt;"")),入力リスト!$K$34,IF($I1578=TRUE,入力リスト!$K$35,IF(J1578=FALSE,"「毎月の固定給与額」","")&amp;IF(AND(J1578=FALSE,OR(K1578=FALSE,L1578=FALSE,M1578=FALSE)),",","")&amp;IF(K1578=FALSE,"「賞与額等」","")&amp;IF(AND(K1578=FALSE,OR(L1578=FALSE,M1578=FALSE)),",","")&amp;IF(L1578=FALSE,"「残業手当」","")&amp;IF(AND(L1578=FALSE,M1578=FALSE),",","")&amp;IF(M1578=FALSE,"「残業時間」","")&amp;IF(OR(J1578=FALSE,K1578=FALSE,L1578=FALSE,M1578=FALSE),入力リスト!$K$36,"")&amp;IF(N1578,"",入力リスト!$K$37)))</f>
        <v/>
      </c>
      <c r="H1578" s="215"/>
      <c r="I1578" s="1" t="b">
        <f>IF(B1578="",FALSE,COUNTIF('従業員情報(給与以外)'!$A$4:$A$1000000,$B1578)=0)</f>
        <v>0</v>
      </c>
      <c r="J1578" s="8" t="b">
        <f t="shared" si="120"/>
        <v>1</v>
      </c>
      <c r="K1578" s="8" t="b">
        <f t="shared" si="121"/>
        <v>1</v>
      </c>
      <c r="L1578" s="8" t="b">
        <f t="shared" si="122"/>
        <v>1</v>
      </c>
      <c r="M1578" s="8" t="b">
        <f t="shared" si="123"/>
        <v>1</v>
      </c>
      <c r="N1578" s="1" t="b">
        <f t="shared" si="124"/>
        <v>1</v>
      </c>
      <c r="O1578" s="8" t="str">
        <f>IF(F1578="","",IF($F$2=入力リスト!$H$25,ROUNDDOWN(INT(F1578)+ROUNDDOWN((F1578-INT(F1578))*100,0)/60,2),F1578))</f>
        <v/>
      </c>
      <c r="P1578" s="7"/>
      <c r="Q1578" s="7"/>
    </row>
    <row r="1579" spans="1:17">
      <c r="A1579" s="105"/>
      <c r="B1579" s="2"/>
      <c r="C1579" s="3"/>
      <c r="D1579" s="3"/>
      <c r="E1579" s="3"/>
      <c r="F1579" s="8"/>
      <c r="G1579" s="215" t="str">
        <f>IF(AND($B1579="",OR(B1579&lt;&gt;"",C1579&lt;&gt;"",D1579&lt;&gt;"",E1579&lt;&gt;"",F1579&lt;&gt;"")),入力リスト!$K$34,IF($I1579=TRUE,入力リスト!$K$35,IF(J1579=FALSE,"「毎月の固定給与額」","")&amp;IF(AND(J1579=FALSE,OR(K1579=FALSE,L1579=FALSE,M1579=FALSE)),",","")&amp;IF(K1579=FALSE,"「賞与額等」","")&amp;IF(AND(K1579=FALSE,OR(L1579=FALSE,M1579=FALSE)),",","")&amp;IF(L1579=FALSE,"「残業手当」","")&amp;IF(AND(L1579=FALSE,M1579=FALSE),",","")&amp;IF(M1579=FALSE,"「残業時間」","")&amp;IF(OR(J1579=FALSE,K1579=FALSE,L1579=FALSE,M1579=FALSE),入力リスト!$K$36,"")&amp;IF(N1579,"",入力リスト!$K$37)))</f>
        <v/>
      </c>
      <c r="H1579" s="215"/>
      <c r="I1579" s="1" t="b">
        <f>IF(B1579="",FALSE,COUNTIF('従業員情報(給与以外)'!$A$4:$A$1000000,$B1579)=0)</f>
        <v>0</v>
      </c>
      <c r="J1579" s="8" t="b">
        <f t="shared" si="120"/>
        <v>1</v>
      </c>
      <c r="K1579" s="8" t="b">
        <f t="shared" si="121"/>
        <v>1</v>
      </c>
      <c r="L1579" s="8" t="b">
        <f t="shared" si="122"/>
        <v>1</v>
      </c>
      <c r="M1579" s="8" t="b">
        <f t="shared" si="123"/>
        <v>1</v>
      </c>
      <c r="N1579" s="1" t="b">
        <f t="shared" si="124"/>
        <v>1</v>
      </c>
      <c r="O1579" s="8" t="str">
        <f>IF(F1579="","",IF($F$2=入力リスト!$H$25,ROUNDDOWN(INT(F1579)+ROUNDDOWN((F1579-INT(F1579))*100,0)/60,2),F1579))</f>
        <v/>
      </c>
      <c r="P1579" s="7"/>
      <c r="Q1579" s="7"/>
    </row>
    <row r="1580" spans="1:17">
      <c r="A1580" s="105"/>
      <c r="B1580" s="2"/>
      <c r="C1580" s="3"/>
      <c r="D1580" s="3"/>
      <c r="E1580" s="3"/>
      <c r="F1580" s="8"/>
      <c r="G1580" s="215" t="str">
        <f>IF(AND($B1580="",OR(B1580&lt;&gt;"",C1580&lt;&gt;"",D1580&lt;&gt;"",E1580&lt;&gt;"",F1580&lt;&gt;"")),入力リスト!$K$34,IF($I1580=TRUE,入力リスト!$K$35,IF(J1580=FALSE,"「毎月の固定給与額」","")&amp;IF(AND(J1580=FALSE,OR(K1580=FALSE,L1580=FALSE,M1580=FALSE)),",","")&amp;IF(K1580=FALSE,"「賞与額等」","")&amp;IF(AND(K1580=FALSE,OR(L1580=FALSE,M1580=FALSE)),",","")&amp;IF(L1580=FALSE,"「残業手当」","")&amp;IF(AND(L1580=FALSE,M1580=FALSE),",","")&amp;IF(M1580=FALSE,"「残業時間」","")&amp;IF(OR(J1580=FALSE,K1580=FALSE,L1580=FALSE,M1580=FALSE),入力リスト!$K$36,"")&amp;IF(N1580,"",入力リスト!$K$37)))</f>
        <v/>
      </c>
      <c r="H1580" s="215"/>
      <c r="I1580" s="1" t="b">
        <f>IF(B1580="",FALSE,COUNTIF('従業員情報(給与以外)'!$A$4:$A$1000000,$B1580)=0)</f>
        <v>0</v>
      </c>
      <c r="J1580" s="8" t="b">
        <f t="shared" si="120"/>
        <v>1</v>
      </c>
      <c r="K1580" s="8" t="b">
        <f t="shared" si="121"/>
        <v>1</v>
      </c>
      <c r="L1580" s="8" t="b">
        <f t="shared" si="122"/>
        <v>1</v>
      </c>
      <c r="M1580" s="8" t="b">
        <f t="shared" si="123"/>
        <v>1</v>
      </c>
      <c r="N1580" s="1" t="b">
        <f t="shared" si="124"/>
        <v>1</v>
      </c>
      <c r="O1580" s="8" t="str">
        <f>IF(F1580="","",IF($F$2=入力リスト!$H$25,ROUNDDOWN(INT(F1580)+ROUNDDOWN((F1580-INT(F1580))*100,0)/60,2),F1580))</f>
        <v/>
      </c>
      <c r="P1580" s="7"/>
      <c r="Q1580" s="7"/>
    </row>
    <row r="1581" spans="1:17">
      <c r="A1581" s="105"/>
      <c r="B1581" s="2"/>
      <c r="C1581" s="3"/>
      <c r="D1581" s="3"/>
      <c r="E1581" s="3"/>
      <c r="F1581" s="8"/>
      <c r="G1581" s="215" t="str">
        <f>IF(AND($B1581="",OR(B1581&lt;&gt;"",C1581&lt;&gt;"",D1581&lt;&gt;"",E1581&lt;&gt;"",F1581&lt;&gt;"")),入力リスト!$K$34,IF($I1581=TRUE,入力リスト!$K$35,IF(J1581=FALSE,"「毎月の固定給与額」","")&amp;IF(AND(J1581=FALSE,OR(K1581=FALSE,L1581=FALSE,M1581=FALSE)),",","")&amp;IF(K1581=FALSE,"「賞与額等」","")&amp;IF(AND(K1581=FALSE,OR(L1581=FALSE,M1581=FALSE)),",","")&amp;IF(L1581=FALSE,"「残業手当」","")&amp;IF(AND(L1581=FALSE,M1581=FALSE),",","")&amp;IF(M1581=FALSE,"「残業時間」","")&amp;IF(OR(J1581=FALSE,K1581=FALSE,L1581=FALSE,M1581=FALSE),入力リスト!$K$36,"")&amp;IF(N1581,"",入力リスト!$K$37)))</f>
        <v/>
      </c>
      <c r="H1581" s="215"/>
      <c r="I1581" s="1" t="b">
        <f>IF(B1581="",FALSE,COUNTIF('従業員情報(給与以外)'!$A$4:$A$1000000,$B1581)=0)</f>
        <v>0</v>
      </c>
      <c r="J1581" s="8" t="b">
        <f t="shared" si="120"/>
        <v>1</v>
      </c>
      <c r="K1581" s="8" t="b">
        <f t="shared" si="121"/>
        <v>1</v>
      </c>
      <c r="L1581" s="8" t="b">
        <f t="shared" si="122"/>
        <v>1</v>
      </c>
      <c r="M1581" s="8" t="b">
        <f t="shared" si="123"/>
        <v>1</v>
      </c>
      <c r="N1581" s="1" t="b">
        <f t="shared" si="124"/>
        <v>1</v>
      </c>
      <c r="O1581" s="8" t="str">
        <f>IF(F1581="","",IF($F$2=入力リスト!$H$25,ROUNDDOWN(INT(F1581)+ROUNDDOWN((F1581-INT(F1581))*100,0)/60,2),F1581))</f>
        <v/>
      </c>
      <c r="P1581" s="7"/>
      <c r="Q1581" s="7"/>
    </row>
    <row r="1582" spans="1:17">
      <c r="A1582" s="105"/>
      <c r="B1582" s="2"/>
      <c r="C1582" s="3"/>
      <c r="D1582" s="3"/>
      <c r="E1582" s="3"/>
      <c r="F1582" s="8"/>
      <c r="G1582" s="215" t="str">
        <f>IF(AND($B1582="",OR(B1582&lt;&gt;"",C1582&lt;&gt;"",D1582&lt;&gt;"",E1582&lt;&gt;"",F1582&lt;&gt;"")),入力リスト!$K$34,IF($I1582=TRUE,入力リスト!$K$35,IF(J1582=FALSE,"「毎月の固定給与額」","")&amp;IF(AND(J1582=FALSE,OR(K1582=FALSE,L1582=FALSE,M1582=FALSE)),",","")&amp;IF(K1582=FALSE,"「賞与額等」","")&amp;IF(AND(K1582=FALSE,OR(L1582=FALSE,M1582=FALSE)),",","")&amp;IF(L1582=FALSE,"「残業手当」","")&amp;IF(AND(L1582=FALSE,M1582=FALSE),",","")&amp;IF(M1582=FALSE,"「残業時間」","")&amp;IF(OR(J1582=FALSE,K1582=FALSE,L1582=FALSE,M1582=FALSE),入力リスト!$K$36,"")&amp;IF(N1582,"",入力リスト!$K$37)))</f>
        <v/>
      </c>
      <c r="H1582" s="215"/>
      <c r="I1582" s="1" t="b">
        <f>IF(B1582="",FALSE,COUNTIF('従業員情報(給与以外)'!$A$4:$A$1000000,$B1582)=0)</f>
        <v>0</v>
      </c>
      <c r="J1582" s="8" t="b">
        <f t="shared" si="120"/>
        <v>1</v>
      </c>
      <c r="K1582" s="8" t="b">
        <f t="shared" si="121"/>
        <v>1</v>
      </c>
      <c r="L1582" s="8" t="b">
        <f t="shared" si="122"/>
        <v>1</v>
      </c>
      <c r="M1582" s="8" t="b">
        <f t="shared" si="123"/>
        <v>1</v>
      </c>
      <c r="N1582" s="1" t="b">
        <f t="shared" si="124"/>
        <v>1</v>
      </c>
      <c r="O1582" s="8" t="str">
        <f>IF(F1582="","",IF($F$2=入力リスト!$H$25,ROUNDDOWN(INT(F1582)+ROUNDDOWN((F1582-INT(F1582))*100,0)/60,2),F1582))</f>
        <v/>
      </c>
      <c r="P1582" s="7"/>
      <c r="Q1582" s="7"/>
    </row>
    <row r="1583" spans="1:17">
      <c r="A1583" s="105"/>
      <c r="B1583" s="2"/>
      <c r="C1583" s="3"/>
      <c r="D1583" s="3"/>
      <c r="E1583" s="3"/>
      <c r="F1583" s="8"/>
      <c r="G1583" s="215" t="str">
        <f>IF(AND($B1583="",OR(B1583&lt;&gt;"",C1583&lt;&gt;"",D1583&lt;&gt;"",E1583&lt;&gt;"",F1583&lt;&gt;"")),入力リスト!$K$34,IF($I1583=TRUE,入力リスト!$K$35,IF(J1583=FALSE,"「毎月の固定給与額」","")&amp;IF(AND(J1583=FALSE,OR(K1583=FALSE,L1583=FALSE,M1583=FALSE)),",","")&amp;IF(K1583=FALSE,"「賞与額等」","")&amp;IF(AND(K1583=FALSE,OR(L1583=FALSE,M1583=FALSE)),",","")&amp;IF(L1583=FALSE,"「残業手当」","")&amp;IF(AND(L1583=FALSE,M1583=FALSE),",","")&amp;IF(M1583=FALSE,"「残業時間」","")&amp;IF(OR(J1583=FALSE,K1583=FALSE,L1583=FALSE,M1583=FALSE),入力リスト!$K$36,"")&amp;IF(N1583,"",入力リスト!$K$37)))</f>
        <v/>
      </c>
      <c r="H1583" s="215"/>
      <c r="I1583" s="1" t="b">
        <f>IF(B1583="",FALSE,COUNTIF('従業員情報(給与以外)'!$A$4:$A$1000000,$B1583)=0)</f>
        <v>0</v>
      </c>
      <c r="J1583" s="8" t="b">
        <f t="shared" si="120"/>
        <v>1</v>
      </c>
      <c r="K1583" s="8" t="b">
        <f t="shared" si="121"/>
        <v>1</v>
      </c>
      <c r="L1583" s="8" t="b">
        <f t="shared" si="122"/>
        <v>1</v>
      </c>
      <c r="M1583" s="8" t="b">
        <f t="shared" si="123"/>
        <v>1</v>
      </c>
      <c r="N1583" s="1" t="b">
        <f t="shared" si="124"/>
        <v>1</v>
      </c>
      <c r="O1583" s="8" t="str">
        <f>IF(F1583="","",IF($F$2=入力リスト!$H$25,ROUNDDOWN(INT(F1583)+ROUNDDOWN((F1583-INT(F1583))*100,0)/60,2),F1583))</f>
        <v/>
      </c>
      <c r="P1583" s="7"/>
      <c r="Q1583" s="7"/>
    </row>
    <row r="1584" spans="1:17">
      <c r="A1584" s="105"/>
      <c r="B1584" s="2"/>
      <c r="C1584" s="3"/>
      <c r="D1584" s="3"/>
      <c r="E1584" s="3"/>
      <c r="F1584" s="8"/>
      <c r="G1584" s="215" t="str">
        <f>IF(AND($B1584="",OR(B1584&lt;&gt;"",C1584&lt;&gt;"",D1584&lt;&gt;"",E1584&lt;&gt;"",F1584&lt;&gt;"")),入力リスト!$K$34,IF($I1584=TRUE,入力リスト!$K$35,IF(J1584=FALSE,"「毎月の固定給与額」","")&amp;IF(AND(J1584=FALSE,OR(K1584=FALSE,L1584=FALSE,M1584=FALSE)),",","")&amp;IF(K1584=FALSE,"「賞与額等」","")&amp;IF(AND(K1584=FALSE,OR(L1584=FALSE,M1584=FALSE)),",","")&amp;IF(L1584=FALSE,"「残業手当」","")&amp;IF(AND(L1584=FALSE,M1584=FALSE),",","")&amp;IF(M1584=FALSE,"「残業時間」","")&amp;IF(OR(J1584=FALSE,K1584=FALSE,L1584=FALSE,M1584=FALSE),入力リスト!$K$36,"")&amp;IF(N1584,"",入力リスト!$K$37)))</f>
        <v/>
      </c>
      <c r="H1584" s="215"/>
      <c r="I1584" s="1" t="b">
        <f>IF(B1584="",FALSE,COUNTIF('従業員情報(給与以外)'!$A$4:$A$1000000,$B1584)=0)</f>
        <v>0</v>
      </c>
      <c r="J1584" s="8" t="b">
        <f t="shared" si="120"/>
        <v>1</v>
      </c>
      <c r="K1584" s="8" t="b">
        <f t="shared" si="121"/>
        <v>1</v>
      </c>
      <c r="L1584" s="8" t="b">
        <f t="shared" si="122"/>
        <v>1</v>
      </c>
      <c r="M1584" s="8" t="b">
        <f t="shared" si="123"/>
        <v>1</v>
      </c>
      <c r="N1584" s="1" t="b">
        <f t="shared" si="124"/>
        <v>1</v>
      </c>
      <c r="O1584" s="8" t="str">
        <f>IF(F1584="","",IF($F$2=入力リスト!$H$25,ROUNDDOWN(INT(F1584)+ROUNDDOWN((F1584-INT(F1584))*100,0)/60,2),F1584))</f>
        <v/>
      </c>
      <c r="P1584" s="7"/>
      <c r="Q1584" s="7"/>
    </row>
    <row r="1585" spans="1:17">
      <c r="A1585" s="105"/>
      <c r="B1585" s="2"/>
      <c r="C1585" s="3"/>
      <c r="D1585" s="3"/>
      <c r="E1585" s="3"/>
      <c r="F1585" s="8"/>
      <c r="G1585" s="215" t="str">
        <f>IF(AND($B1585="",OR(B1585&lt;&gt;"",C1585&lt;&gt;"",D1585&lt;&gt;"",E1585&lt;&gt;"",F1585&lt;&gt;"")),入力リスト!$K$34,IF($I1585=TRUE,入力リスト!$K$35,IF(J1585=FALSE,"「毎月の固定給与額」","")&amp;IF(AND(J1585=FALSE,OR(K1585=FALSE,L1585=FALSE,M1585=FALSE)),",","")&amp;IF(K1585=FALSE,"「賞与額等」","")&amp;IF(AND(K1585=FALSE,OR(L1585=FALSE,M1585=FALSE)),",","")&amp;IF(L1585=FALSE,"「残業手当」","")&amp;IF(AND(L1585=FALSE,M1585=FALSE),",","")&amp;IF(M1585=FALSE,"「残業時間」","")&amp;IF(OR(J1585=FALSE,K1585=FALSE,L1585=FALSE,M1585=FALSE),入力リスト!$K$36,"")&amp;IF(N1585,"",入力リスト!$K$37)))</f>
        <v/>
      </c>
      <c r="H1585" s="215"/>
      <c r="I1585" s="1" t="b">
        <f>IF(B1585="",FALSE,COUNTIF('従業員情報(給与以外)'!$A$4:$A$1000000,$B1585)=0)</f>
        <v>0</v>
      </c>
      <c r="J1585" s="8" t="b">
        <f t="shared" si="120"/>
        <v>1</v>
      </c>
      <c r="K1585" s="8" t="b">
        <f t="shared" si="121"/>
        <v>1</v>
      </c>
      <c r="L1585" s="8" t="b">
        <f t="shared" si="122"/>
        <v>1</v>
      </c>
      <c r="M1585" s="8" t="b">
        <f t="shared" si="123"/>
        <v>1</v>
      </c>
      <c r="N1585" s="1" t="b">
        <f t="shared" si="124"/>
        <v>1</v>
      </c>
      <c r="O1585" s="8" t="str">
        <f>IF(F1585="","",IF($F$2=入力リスト!$H$25,ROUNDDOWN(INT(F1585)+ROUNDDOWN((F1585-INT(F1585))*100,0)/60,2),F1585))</f>
        <v/>
      </c>
      <c r="P1585" s="7"/>
      <c r="Q1585" s="7"/>
    </row>
    <row r="1586" spans="1:17">
      <c r="A1586" s="105"/>
      <c r="B1586" s="2"/>
      <c r="C1586" s="3"/>
      <c r="D1586" s="3"/>
      <c r="E1586" s="3"/>
      <c r="F1586" s="8"/>
      <c r="G1586" s="215" t="str">
        <f>IF(AND($B1586="",OR(B1586&lt;&gt;"",C1586&lt;&gt;"",D1586&lt;&gt;"",E1586&lt;&gt;"",F1586&lt;&gt;"")),入力リスト!$K$34,IF($I1586=TRUE,入力リスト!$K$35,IF(J1586=FALSE,"「毎月の固定給与額」","")&amp;IF(AND(J1586=FALSE,OR(K1586=FALSE,L1586=FALSE,M1586=FALSE)),",","")&amp;IF(K1586=FALSE,"「賞与額等」","")&amp;IF(AND(K1586=FALSE,OR(L1586=FALSE,M1586=FALSE)),",","")&amp;IF(L1586=FALSE,"「残業手当」","")&amp;IF(AND(L1586=FALSE,M1586=FALSE),",","")&amp;IF(M1586=FALSE,"「残業時間」","")&amp;IF(OR(J1586=FALSE,K1586=FALSE,L1586=FALSE,M1586=FALSE),入力リスト!$K$36,"")&amp;IF(N1586,"",入力リスト!$K$37)))</f>
        <v/>
      </c>
      <c r="H1586" s="215"/>
      <c r="I1586" s="1" t="b">
        <f>IF(B1586="",FALSE,COUNTIF('従業員情報(給与以外)'!$A$4:$A$1000000,$B1586)=0)</f>
        <v>0</v>
      </c>
      <c r="J1586" s="8" t="b">
        <f t="shared" si="120"/>
        <v>1</v>
      </c>
      <c r="K1586" s="8" t="b">
        <f t="shared" si="121"/>
        <v>1</v>
      </c>
      <c r="L1586" s="8" t="b">
        <f t="shared" si="122"/>
        <v>1</v>
      </c>
      <c r="M1586" s="8" t="b">
        <f t="shared" si="123"/>
        <v>1</v>
      </c>
      <c r="N1586" s="1" t="b">
        <f t="shared" si="124"/>
        <v>1</v>
      </c>
      <c r="O1586" s="8" t="str">
        <f>IF(F1586="","",IF($F$2=入力リスト!$H$25,ROUNDDOWN(INT(F1586)+ROUNDDOWN((F1586-INT(F1586))*100,0)/60,2),F1586))</f>
        <v/>
      </c>
      <c r="P1586" s="7"/>
      <c r="Q1586" s="7"/>
    </row>
    <row r="1587" spans="1:17">
      <c r="A1587" s="105"/>
      <c r="B1587" s="2"/>
      <c r="C1587" s="3"/>
      <c r="D1587" s="3"/>
      <c r="E1587" s="3"/>
      <c r="F1587" s="8"/>
      <c r="G1587" s="215" t="str">
        <f>IF(AND($B1587="",OR(B1587&lt;&gt;"",C1587&lt;&gt;"",D1587&lt;&gt;"",E1587&lt;&gt;"",F1587&lt;&gt;"")),入力リスト!$K$34,IF($I1587=TRUE,入力リスト!$K$35,IF(J1587=FALSE,"「毎月の固定給与額」","")&amp;IF(AND(J1587=FALSE,OR(K1587=FALSE,L1587=FALSE,M1587=FALSE)),",","")&amp;IF(K1587=FALSE,"「賞与額等」","")&amp;IF(AND(K1587=FALSE,OR(L1587=FALSE,M1587=FALSE)),",","")&amp;IF(L1587=FALSE,"「残業手当」","")&amp;IF(AND(L1587=FALSE,M1587=FALSE),",","")&amp;IF(M1587=FALSE,"「残業時間」","")&amp;IF(OR(J1587=FALSE,K1587=FALSE,L1587=FALSE,M1587=FALSE),入力リスト!$K$36,"")&amp;IF(N1587,"",入力リスト!$K$37)))</f>
        <v/>
      </c>
      <c r="H1587" s="215"/>
      <c r="I1587" s="1" t="b">
        <f>IF(B1587="",FALSE,COUNTIF('従業員情報(給与以外)'!$A$4:$A$1000000,$B1587)=0)</f>
        <v>0</v>
      </c>
      <c r="J1587" s="8" t="b">
        <f t="shared" si="120"/>
        <v>1</v>
      </c>
      <c r="K1587" s="8" t="b">
        <f t="shared" si="121"/>
        <v>1</v>
      </c>
      <c r="L1587" s="8" t="b">
        <f t="shared" si="122"/>
        <v>1</v>
      </c>
      <c r="M1587" s="8" t="b">
        <f t="shared" si="123"/>
        <v>1</v>
      </c>
      <c r="N1587" s="1" t="b">
        <f t="shared" si="124"/>
        <v>1</v>
      </c>
      <c r="O1587" s="8" t="str">
        <f>IF(F1587="","",IF($F$2=入力リスト!$H$25,ROUNDDOWN(INT(F1587)+ROUNDDOWN((F1587-INT(F1587))*100,0)/60,2),F1587))</f>
        <v/>
      </c>
      <c r="P1587" s="7"/>
      <c r="Q1587" s="7"/>
    </row>
    <row r="1588" spans="1:17">
      <c r="A1588" s="105"/>
      <c r="B1588" s="2"/>
      <c r="C1588" s="3"/>
      <c r="D1588" s="3"/>
      <c r="E1588" s="3"/>
      <c r="F1588" s="8"/>
      <c r="G1588" s="215" t="str">
        <f>IF(AND($B1588="",OR(B1588&lt;&gt;"",C1588&lt;&gt;"",D1588&lt;&gt;"",E1588&lt;&gt;"",F1588&lt;&gt;"")),入力リスト!$K$34,IF($I1588=TRUE,入力リスト!$K$35,IF(J1588=FALSE,"「毎月の固定給与額」","")&amp;IF(AND(J1588=FALSE,OR(K1588=FALSE,L1588=FALSE,M1588=FALSE)),",","")&amp;IF(K1588=FALSE,"「賞与額等」","")&amp;IF(AND(K1588=FALSE,OR(L1588=FALSE,M1588=FALSE)),",","")&amp;IF(L1588=FALSE,"「残業手当」","")&amp;IF(AND(L1588=FALSE,M1588=FALSE),",","")&amp;IF(M1588=FALSE,"「残業時間」","")&amp;IF(OR(J1588=FALSE,K1588=FALSE,L1588=FALSE,M1588=FALSE),入力リスト!$K$36,"")&amp;IF(N1588,"",入力リスト!$K$37)))</f>
        <v/>
      </c>
      <c r="H1588" s="215"/>
      <c r="I1588" s="1" t="b">
        <f>IF(B1588="",FALSE,COUNTIF('従業員情報(給与以外)'!$A$4:$A$1000000,$B1588)=0)</f>
        <v>0</v>
      </c>
      <c r="J1588" s="8" t="b">
        <f t="shared" si="120"/>
        <v>1</v>
      </c>
      <c r="K1588" s="8" t="b">
        <f t="shared" si="121"/>
        <v>1</v>
      </c>
      <c r="L1588" s="8" t="b">
        <f t="shared" si="122"/>
        <v>1</v>
      </c>
      <c r="M1588" s="8" t="b">
        <f t="shared" si="123"/>
        <v>1</v>
      </c>
      <c r="N1588" s="1" t="b">
        <f t="shared" si="124"/>
        <v>1</v>
      </c>
      <c r="O1588" s="8" t="str">
        <f>IF(F1588="","",IF($F$2=入力リスト!$H$25,ROUNDDOWN(INT(F1588)+ROUNDDOWN((F1588-INT(F1588))*100,0)/60,2),F1588))</f>
        <v/>
      </c>
      <c r="P1588" s="7"/>
      <c r="Q1588" s="7"/>
    </row>
    <row r="1589" spans="1:17">
      <c r="A1589" s="105"/>
      <c r="B1589" s="2"/>
      <c r="C1589" s="3"/>
      <c r="D1589" s="3"/>
      <c r="E1589" s="3"/>
      <c r="F1589" s="8"/>
      <c r="G1589" s="215" t="str">
        <f>IF(AND($B1589="",OR(B1589&lt;&gt;"",C1589&lt;&gt;"",D1589&lt;&gt;"",E1589&lt;&gt;"",F1589&lt;&gt;"")),入力リスト!$K$34,IF($I1589=TRUE,入力リスト!$K$35,IF(J1589=FALSE,"「毎月の固定給与額」","")&amp;IF(AND(J1589=FALSE,OR(K1589=FALSE,L1589=FALSE,M1589=FALSE)),",","")&amp;IF(K1589=FALSE,"「賞与額等」","")&amp;IF(AND(K1589=FALSE,OR(L1589=FALSE,M1589=FALSE)),",","")&amp;IF(L1589=FALSE,"「残業手当」","")&amp;IF(AND(L1589=FALSE,M1589=FALSE),",","")&amp;IF(M1589=FALSE,"「残業時間」","")&amp;IF(OR(J1589=FALSE,K1589=FALSE,L1589=FALSE,M1589=FALSE),入力リスト!$K$36,"")&amp;IF(N1589,"",入力リスト!$K$37)))</f>
        <v/>
      </c>
      <c r="H1589" s="215"/>
      <c r="I1589" s="1" t="b">
        <f>IF(B1589="",FALSE,COUNTIF('従業員情報(給与以外)'!$A$4:$A$1000000,$B1589)=0)</f>
        <v>0</v>
      </c>
      <c r="J1589" s="8" t="b">
        <f t="shared" si="120"/>
        <v>1</v>
      </c>
      <c r="K1589" s="8" t="b">
        <f t="shared" si="121"/>
        <v>1</v>
      </c>
      <c r="L1589" s="8" t="b">
        <f t="shared" si="122"/>
        <v>1</v>
      </c>
      <c r="M1589" s="8" t="b">
        <f t="shared" si="123"/>
        <v>1</v>
      </c>
      <c r="N1589" s="1" t="b">
        <f t="shared" si="124"/>
        <v>1</v>
      </c>
      <c r="O1589" s="8" t="str">
        <f>IF(F1589="","",IF($F$2=入力リスト!$H$25,ROUNDDOWN(INT(F1589)+ROUNDDOWN((F1589-INT(F1589))*100,0)/60,2),F1589))</f>
        <v/>
      </c>
      <c r="P1589" s="7"/>
      <c r="Q1589" s="7"/>
    </row>
    <row r="1590" spans="1:17">
      <c r="A1590" s="105"/>
      <c r="B1590" s="2"/>
      <c r="C1590" s="3"/>
      <c r="D1590" s="3"/>
      <c r="E1590" s="3"/>
      <c r="F1590" s="8"/>
      <c r="G1590" s="215" t="str">
        <f>IF(AND($B1590="",OR(B1590&lt;&gt;"",C1590&lt;&gt;"",D1590&lt;&gt;"",E1590&lt;&gt;"",F1590&lt;&gt;"")),入力リスト!$K$34,IF($I1590=TRUE,入力リスト!$K$35,IF(J1590=FALSE,"「毎月の固定給与額」","")&amp;IF(AND(J1590=FALSE,OR(K1590=FALSE,L1590=FALSE,M1590=FALSE)),",","")&amp;IF(K1590=FALSE,"「賞与額等」","")&amp;IF(AND(K1590=FALSE,OR(L1590=FALSE,M1590=FALSE)),",","")&amp;IF(L1590=FALSE,"「残業手当」","")&amp;IF(AND(L1590=FALSE,M1590=FALSE),",","")&amp;IF(M1590=FALSE,"「残業時間」","")&amp;IF(OR(J1590=FALSE,K1590=FALSE,L1590=FALSE,M1590=FALSE),入力リスト!$K$36,"")&amp;IF(N1590,"",入力リスト!$K$37)))</f>
        <v/>
      </c>
      <c r="H1590" s="215"/>
      <c r="I1590" s="1" t="b">
        <f>IF(B1590="",FALSE,COUNTIF('従業員情報(給与以外)'!$A$4:$A$1000000,$B1590)=0)</f>
        <v>0</v>
      </c>
      <c r="J1590" s="8" t="b">
        <f t="shared" si="120"/>
        <v>1</v>
      </c>
      <c r="K1590" s="8" t="b">
        <f t="shared" si="121"/>
        <v>1</v>
      </c>
      <c r="L1590" s="8" t="b">
        <f t="shared" si="122"/>
        <v>1</v>
      </c>
      <c r="M1590" s="8" t="b">
        <f t="shared" si="123"/>
        <v>1</v>
      </c>
      <c r="N1590" s="1" t="b">
        <f t="shared" si="124"/>
        <v>1</v>
      </c>
      <c r="O1590" s="8" t="str">
        <f>IF(F1590="","",IF($F$2=入力リスト!$H$25,ROUNDDOWN(INT(F1590)+ROUNDDOWN((F1590-INT(F1590))*100,0)/60,2),F1590))</f>
        <v/>
      </c>
      <c r="P1590" s="7"/>
      <c r="Q1590" s="7"/>
    </row>
    <row r="1591" spans="1:17">
      <c r="A1591" s="105"/>
      <c r="B1591" s="2"/>
      <c r="C1591" s="3"/>
      <c r="D1591" s="3"/>
      <c r="E1591" s="3"/>
      <c r="F1591" s="8"/>
      <c r="G1591" s="215" t="str">
        <f>IF(AND($B1591="",OR(B1591&lt;&gt;"",C1591&lt;&gt;"",D1591&lt;&gt;"",E1591&lt;&gt;"",F1591&lt;&gt;"")),入力リスト!$K$34,IF($I1591=TRUE,入力リスト!$K$35,IF(J1591=FALSE,"「毎月の固定給与額」","")&amp;IF(AND(J1591=FALSE,OR(K1591=FALSE,L1591=FALSE,M1591=FALSE)),",","")&amp;IF(K1591=FALSE,"「賞与額等」","")&amp;IF(AND(K1591=FALSE,OR(L1591=FALSE,M1591=FALSE)),",","")&amp;IF(L1591=FALSE,"「残業手当」","")&amp;IF(AND(L1591=FALSE,M1591=FALSE),",","")&amp;IF(M1591=FALSE,"「残業時間」","")&amp;IF(OR(J1591=FALSE,K1591=FALSE,L1591=FALSE,M1591=FALSE),入力リスト!$K$36,"")&amp;IF(N1591,"",入力リスト!$K$37)))</f>
        <v/>
      </c>
      <c r="H1591" s="215"/>
      <c r="I1591" s="1" t="b">
        <f>IF(B1591="",FALSE,COUNTIF('従業員情報(給与以外)'!$A$4:$A$1000000,$B1591)=0)</f>
        <v>0</v>
      </c>
      <c r="J1591" s="8" t="b">
        <f t="shared" si="120"/>
        <v>1</v>
      </c>
      <c r="K1591" s="8" t="b">
        <f t="shared" si="121"/>
        <v>1</v>
      </c>
      <c r="L1591" s="8" t="b">
        <f t="shared" si="122"/>
        <v>1</v>
      </c>
      <c r="M1591" s="8" t="b">
        <f t="shared" si="123"/>
        <v>1</v>
      </c>
      <c r="N1591" s="1" t="b">
        <f t="shared" si="124"/>
        <v>1</v>
      </c>
      <c r="O1591" s="8" t="str">
        <f>IF(F1591="","",IF($F$2=入力リスト!$H$25,ROUNDDOWN(INT(F1591)+ROUNDDOWN((F1591-INT(F1591))*100,0)/60,2),F1591))</f>
        <v/>
      </c>
      <c r="P1591" s="7"/>
      <c r="Q1591" s="7"/>
    </row>
    <row r="1592" spans="1:17">
      <c r="A1592" s="105"/>
      <c r="B1592" s="2"/>
      <c r="C1592" s="3"/>
      <c r="D1592" s="3"/>
      <c r="E1592" s="3"/>
      <c r="F1592" s="8"/>
      <c r="G1592" s="215" t="str">
        <f>IF(AND($B1592="",OR(B1592&lt;&gt;"",C1592&lt;&gt;"",D1592&lt;&gt;"",E1592&lt;&gt;"",F1592&lt;&gt;"")),入力リスト!$K$34,IF($I1592=TRUE,入力リスト!$K$35,IF(J1592=FALSE,"「毎月の固定給与額」","")&amp;IF(AND(J1592=FALSE,OR(K1592=FALSE,L1592=FALSE,M1592=FALSE)),",","")&amp;IF(K1592=FALSE,"「賞与額等」","")&amp;IF(AND(K1592=FALSE,OR(L1592=FALSE,M1592=FALSE)),",","")&amp;IF(L1592=FALSE,"「残業手当」","")&amp;IF(AND(L1592=FALSE,M1592=FALSE),",","")&amp;IF(M1592=FALSE,"「残業時間」","")&amp;IF(OR(J1592=FALSE,K1592=FALSE,L1592=FALSE,M1592=FALSE),入力リスト!$K$36,"")&amp;IF(N1592,"",入力リスト!$K$37)))</f>
        <v/>
      </c>
      <c r="H1592" s="215"/>
      <c r="I1592" s="1" t="b">
        <f>IF(B1592="",FALSE,COUNTIF('従業員情報(給与以外)'!$A$4:$A$1000000,$B1592)=0)</f>
        <v>0</v>
      </c>
      <c r="J1592" s="8" t="b">
        <f t="shared" si="120"/>
        <v>1</v>
      </c>
      <c r="K1592" s="8" t="b">
        <f t="shared" si="121"/>
        <v>1</v>
      </c>
      <c r="L1592" s="8" t="b">
        <f t="shared" si="122"/>
        <v>1</v>
      </c>
      <c r="M1592" s="8" t="b">
        <f t="shared" si="123"/>
        <v>1</v>
      </c>
      <c r="N1592" s="1" t="b">
        <f t="shared" si="124"/>
        <v>1</v>
      </c>
      <c r="O1592" s="8" t="str">
        <f>IF(F1592="","",IF($F$2=入力リスト!$H$25,ROUNDDOWN(INT(F1592)+ROUNDDOWN((F1592-INT(F1592))*100,0)/60,2),F1592))</f>
        <v/>
      </c>
      <c r="P1592" s="7"/>
      <c r="Q1592" s="7"/>
    </row>
    <row r="1593" spans="1:17">
      <c r="A1593" s="105"/>
      <c r="B1593" s="2"/>
      <c r="C1593" s="3"/>
      <c r="D1593" s="3"/>
      <c r="E1593" s="3"/>
      <c r="F1593" s="8"/>
      <c r="G1593" s="215" t="str">
        <f>IF(AND($B1593="",OR(B1593&lt;&gt;"",C1593&lt;&gt;"",D1593&lt;&gt;"",E1593&lt;&gt;"",F1593&lt;&gt;"")),入力リスト!$K$34,IF($I1593=TRUE,入力リスト!$K$35,IF(J1593=FALSE,"「毎月の固定給与額」","")&amp;IF(AND(J1593=FALSE,OR(K1593=FALSE,L1593=FALSE,M1593=FALSE)),",","")&amp;IF(K1593=FALSE,"「賞与額等」","")&amp;IF(AND(K1593=FALSE,OR(L1593=FALSE,M1593=FALSE)),",","")&amp;IF(L1593=FALSE,"「残業手当」","")&amp;IF(AND(L1593=FALSE,M1593=FALSE),",","")&amp;IF(M1593=FALSE,"「残業時間」","")&amp;IF(OR(J1593=FALSE,K1593=FALSE,L1593=FALSE,M1593=FALSE),入力リスト!$K$36,"")&amp;IF(N1593,"",入力リスト!$K$37)))</f>
        <v/>
      </c>
      <c r="H1593" s="215"/>
      <c r="I1593" s="1" t="b">
        <f>IF(B1593="",FALSE,COUNTIF('従業員情報(給与以外)'!$A$4:$A$1000000,$B1593)=0)</f>
        <v>0</v>
      </c>
      <c r="J1593" s="8" t="b">
        <f t="shared" si="120"/>
        <v>1</v>
      </c>
      <c r="K1593" s="8" t="b">
        <f t="shared" si="121"/>
        <v>1</v>
      </c>
      <c r="L1593" s="8" t="b">
        <f t="shared" si="122"/>
        <v>1</v>
      </c>
      <c r="M1593" s="8" t="b">
        <f t="shared" si="123"/>
        <v>1</v>
      </c>
      <c r="N1593" s="1" t="b">
        <f t="shared" si="124"/>
        <v>1</v>
      </c>
      <c r="O1593" s="8" t="str">
        <f>IF(F1593="","",IF($F$2=入力リスト!$H$25,ROUNDDOWN(INT(F1593)+ROUNDDOWN((F1593-INT(F1593))*100,0)/60,2),F1593))</f>
        <v/>
      </c>
      <c r="P1593" s="7"/>
      <c r="Q1593" s="7"/>
    </row>
    <row r="1594" spans="1:17">
      <c r="A1594" s="105"/>
      <c r="B1594" s="2"/>
      <c r="C1594" s="3"/>
      <c r="D1594" s="3"/>
      <c r="E1594" s="3"/>
      <c r="F1594" s="8"/>
      <c r="G1594" s="215" t="str">
        <f>IF(AND($B1594="",OR(B1594&lt;&gt;"",C1594&lt;&gt;"",D1594&lt;&gt;"",E1594&lt;&gt;"",F1594&lt;&gt;"")),入力リスト!$K$34,IF($I1594=TRUE,入力リスト!$K$35,IF(J1594=FALSE,"「毎月の固定給与額」","")&amp;IF(AND(J1594=FALSE,OR(K1594=FALSE,L1594=FALSE,M1594=FALSE)),",","")&amp;IF(K1594=FALSE,"「賞与額等」","")&amp;IF(AND(K1594=FALSE,OR(L1594=FALSE,M1594=FALSE)),",","")&amp;IF(L1594=FALSE,"「残業手当」","")&amp;IF(AND(L1594=FALSE,M1594=FALSE),",","")&amp;IF(M1594=FALSE,"「残業時間」","")&amp;IF(OR(J1594=FALSE,K1594=FALSE,L1594=FALSE,M1594=FALSE),入力リスト!$K$36,"")&amp;IF(N1594,"",入力リスト!$K$37)))</f>
        <v/>
      </c>
      <c r="H1594" s="215"/>
      <c r="I1594" s="1" t="b">
        <f>IF(B1594="",FALSE,COUNTIF('従業員情報(給与以外)'!$A$4:$A$1000000,$B1594)=0)</f>
        <v>0</v>
      </c>
      <c r="J1594" s="8" t="b">
        <f t="shared" si="120"/>
        <v>1</v>
      </c>
      <c r="K1594" s="8" t="b">
        <f t="shared" si="121"/>
        <v>1</v>
      </c>
      <c r="L1594" s="8" t="b">
        <f t="shared" si="122"/>
        <v>1</v>
      </c>
      <c r="M1594" s="8" t="b">
        <f t="shared" si="123"/>
        <v>1</v>
      </c>
      <c r="N1594" s="1" t="b">
        <f t="shared" si="124"/>
        <v>1</v>
      </c>
      <c r="O1594" s="8" t="str">
        <f>IF(F1594="","",IF($F$2=入力リスト!$H$25,ROUNDDOWN(INT(F1594)+ROUNDDOWN((F1594-INT(F1594))*100,0)/60,2),F1594))</f>
        <v/>
      </c>
      <c r="P1594" s="7"/>
      <c r="Q1594" s="7"/>
    </row>
    <row r="1595" spans="1:17">
      <c r="A1595" s="105"/>
      <c r="B1595" s="2"/>
      <c r="C1595" s="3"/>
      <c r="D1595" s="3"/>
      <c r="E1595" s="3"/>
      <c r="F1595" s="8"/>
      <c r="G1595" s="215" t="str">
        <f>IF(AND($B1595="",OR(B1595&lt;&gt;"",C1595&lt;&gt;"",D1595&lt;&gt;"",E1595&lt;&gt;"",F1595&lt;&gt;"")),入力リスト!$K$34,IF($I1595=TRUE,入力リスト!$K$35,IF(J1595=FALSE,"「毎月の固定給与額」","")&amp;IF(AND(J1595=FALSE,OR(K1595=FALSE,L1595=FALSE,M1595=FALSE)),",","")&amp;IF(K1595=FALSE,"「賞与額等」","")&amp;IF(AND(K1595=FALSE,OR(L1595=FALSE,M1595=FALSE)),",","")&amp;IF(L1595=FALSE,"「残業手当」","")&amp;IF(AND(L1595=FALSE,M1595=FALSE),",","")&amp;IF(M1595=FALSE,"「残業時間」","")&amp;IF(OR(J1595=FALSE,K1595=FALSE,L1595=FALSE,M1595=FALSE),入力リスト!$K$36,"")&amp;IF(N1595,"",入力リスト!$K$37)))</f>
        <v/>
      </c>
      <c r="H1595" s="215"/>
      <c r="I1595" s="1" t="b">
        <f>IF(B1595="",FALSE,COUNTIF('従業員情報(給与以外)'!$A$4:$A$1000000,$B1595)=0)</f>
        <v>0</v>
      </c>
      <c r="J1595" s="8" t="b">
        <f t="shared" si="120"/>
        <v>1</v>
      </c>
      <c r="K1595" s="8" t="b">
        <f t="shared" si="121"/>
        <v>1</v>
      </c>
      <c r="L1595" s="8" t="b">
        <f t="shared" si="122"/>
        <v>1</v>
      </c>
      <c r="M1595" s="8" t="b">
        <f t="shared" si="123"/>
        <v>1</v>
      </c>
      <c r="N1595" s="1" t="b">
        <f t="shared" si="124"/>
        <v>1</v>
      </c>
      <c r="O1595" s="8" t="str">
        <f>IF(F1595="","",IF($F$2=入力リスト!$H$25,ROUNDDOWN(INT(F1595)+ROUNDDOWN((F1595-INT(F1595))*100,0)/60,2),F1595))</f>
        <v/>
      </c>
      <c r="P1595" s="7"/>
      <c r="Q1595" s="7"/>
    </row>
    <row r="1596" spans="1:17">
      <c r="A1596" s="105"/>
      <c r="B1596" s="2"/>
      <c r="C1596" s="3"/>
      <c r="D1596" s="3"/>
      <c r="E1596" s="3"/>
      <c r="F1596" s="8"/>
      <c r="G1596" s="215" t="str">
        <f>IF(AND($B1596="",OR(B1596&lt;&gt;"",C1596&lt;&gt;"",D1596&lt;&gt;"",E1596&lt;&gt;"",F1596&lt;&gt;"")),入力リスト!$K$34,IF($I1596=TRUE,入力リスト!$K$35,IF(J1596=FALSE,"「毎月の固定給与額」","")&amp;IF(AND(J1596=FALSE,OR(K1596=FALSE,L1596=FALSE,M1596=FALSE)),",","")&amp;IF(K1596=FALSE,"「賞与額等」","")&amp;IF(AND(K1596=FALSE,OR(L1596=FALSE,M1596=FALSE)),",","")&amp;IF(L1596=FALSE,"「残業手当」","")&amp;IF(AND(L1596=FALSE,M1596=FALSE),",","")&amp;IF(M1596=FALSE,"「残業時間」","")&amp;IF(OR(J1596=FALSE,K1596=FALSE,L1596=FALSE,M1596=FALSE),入力リスト!$K$36,"")&amp;IF(N1596,"",入力リスト!$K$37)))</f>
        <v/>
      </c>
      <c r="H1596" s="215"/>
      <c r="I1596" s="1" t="b">
        <f>IF(B1596="",FALSE,COUNTIF('従業員情報(給与以外)'!$A$4:$A$1000000,$B1596)=0)</f>
        <v>0</v>
      </c>
      <c r="J1596" s="8" t="b">
        <f t="shared" si="120"/>
        <v>1</v>
      </c>
      <c r="K1596" s="8" t="b">
        <f t="shared" si="121"/>
        <v>1</v>
      </c>
      <c r="L1596" s="8" t="b">
        <f t="shared" si="122"/>
        <v>1</v>
      </c>
      <c r="M1596" s="8" t="b">
        <f t="shared" si="123"/>
        <v>1</v>
      </c>
      <c r="N1596" s="1" t="b">
        <f t="shared" si="124"/>
        <v>1</v>
      </c>
      <c r="O1596" s="8" t="str">
        <f>IF(F1596="","",IF($F$2=入力リスト!$H$25,ROUNDDOWN(INT(F1596)+ROUNDDOWN((F1596-INT(F1596))*100,0)/60,2),F1596))</f>
        <v/>
      </c>
      <c r="P1596" s="7"/>
      <c r="Q1596" s="7"/>
    </row>
    <row r="1597" spans="1:17">
      <c r="A1597" s="105"/>
      <c r="B1597" s="2"/>
      <c r="C1597" s="3"/>
      <c r="D1597" s="3"/>
      <c r="E1597" s="3"/>
      <c r="F1597" s="8"/>
      <c r="G1597" s="215" t="str">
        <f>IF(AND($B1597="",OR(B1597&lt;&gt;"",C1597&lt;&gt;"",D1597&lt;&gt;"",E1597&lt;&gt;"",F1597&lt;&gt;"")),入力リスト!$K$34,IF($I1597=TRUE,入力リスト!$K$35,IF(J1597=FALSE,"「毎月の固定給与額」","")&amp;IF(AND(J1597=FALSE,OR(K1597=FALSE,L1597=FALSE,M1597=FALSE)),",","")&amp;IF(K1597=FALSE,"「賞与額等」","")&amp;IF(AND(K1597=FALSE,OR(L1597=FALSE,M1597=FALSE)),",","")&amp;IF(L1597=FALSE,"「残業手当」","")&amp;IF(AND(L1597=FALSE,M1597=FALSE),",","")&amp;IF(M1597=FALSE,"「残業時間」","")&amp;IF(OR(J1597=FALSE,K1597=FALSE,L1597=FALSE,M1597=FALSE),入力リスト!$K$36,"")&amp;IF(N1597,"",入力リスト!$K$37)))</f>
        <v/>
      </c>
      <c r="H1597" s="215"/>
      <c r="I1597" s="1" t="b">
        <f>IF(B1597="",FALSE,COUNTIF('従業員情報(給与以外)'!$A$4:$A$1000000,$B1597)=0)</f>
        <v>0</v>
      </c>
      <c r="J1597" s="8" t="b">
        <f t="shared" si="120"/>
        <v>1</v>
      </c>
      <c r="K1597" s="8" t="b">
        <f t="shared" si="121"/>
        <v>1</v>
      </c>
      <c r="L1597" s="8" t="b">
        <f t="shared" si="122"/>
        <v>1</v>
      </c>
      <c r="M1597" s="8" t="b">
        <f t="shared" si="123"/>
        <v>1</v>
      </c>
      <c r="N1597" s="1" t="b">
        <f t="shared" si="124"/>
        <v>1</v>
      </c>
      <c r="O1597" s="8" t="str">
        <f>IF(F1597="","",IF($F$2=入力リスト!$H$25,ROUNDDOWN(INT(F1597)+ROUNDDOWN((F1597-INT(F1597))*100,0)/60,2),F1597))</f>
        <v/>
      </c>
      <c r="P1597" s="7"/>
      <c r="Q1597" s="7"/>
    </row>
    <row r="1598" spans="1:17">
      <c r="A1598" s="105"/>
      <c r="B1598" s="2"/>
      <c r="C1598" s="3"/>
      <c r="D1598" s="3"/>
      <c r="E1598" s="3"/>
      <c r="F1598" s="8"/>
      <c r="G1598" s="215" t="str">
        <f>IF(AND($B1598="",OR(B1598&lt;&gt;"",C1598&lt;&gt;"",D1598&lt;&gt;"",E1598&lt;&gt;"",F1598&lt;&gt;"")),入力リスト!$K$34,IF($I1598=TRUE,入力リスト!$K$35,IF(J1598=FALSE,"「毎月の固定給与額」","")&amp;IF(AND(J1598=FALSE,OR(K1598=FALSE,L1598=FALSE,M1598=FALSE)),",","")&amp;IF(K1598=FALSE,"「賞与額等」","")&amp;IF(AND(K1598=FALSE,OR(L1598=FALSE,M1598=FALSE)),",","")&amp;IF(L1598=FALSE,"「残業手当」","")&amp;IF(AND(L1598=FALSE,M1598=FALSE),",","")&amp;IF(M1598=FALSE,"「残業時間」","")&amp;IF(OR(J1598=FALSE,K1598=FALSE,L1598=FALSE,M1598=FALSE),入力リスト!$K$36,"")&amp;IF(N1598,"",入力リスト!$K$37)))</f>
        <v/>
      </c>
      <c r="H1598" s="215"/>
      <c r="I1598" s="1" t="b">
        <f>IF(B1598="",FALSE,COUNTIF('従業員情報(給与以外)'!$A$4:$A$1000000,$B1598)=0)</f>
        <v>0</v>
      </c>
      <c r="J1598" s="8" t="b">
        <f t="shared" si="120"/>
        <v>1</v>
      </c>
      <c r="K1598" s="8" t="b">
        <f t="shared" si="121"/>
        <v>1</v>
      </c>
      <c r="L1598" s="8" t="b">
        <f t="shared" si="122"/>
        <v>1</v>
      </c>
      <c r="M1598" s="8" t="b">
        <f t="shared" si="123"/>
        <v>1</v>
      </c>
      <c r="N1598" s="1" t="b">
        <f t="shared" si="124"/>
        <v>1</v>
      </c>
      <c r="O1598" s="8" t="str">
        <f>IF(F1598="","",IF($F$2=入力リスト!$H$25,ROUNDDOWN(INT(F1598)+ROUNDDOWN((F1598-INT(F1598))*100,0)/60,2),F1598))</f>
        <v/>
      </c>
      <c r="P1598" s="7"/>
      <c r="Q1598" s="7"/>
    </row>
    <row r="1599" spans="1:17">
      <c r="A1599" s="105"/>
      <c r="B1599" s="2"/>
      <c r="C1599" s="3"/>
      <c r="D1599" s="3"/>
      <c r="E1599" s="3"/>
      <c r="F1599" s="8"/>
      <c r="G1599" s="215" t="str">
        <f>IF(AND($B1599="",OR(B1599&lt;&gt;"",C1599&lt;&gt;"",D1599&lt;&gt;"",E1599&lt;&gt;"",F1599&lt;&gt;"")),入力リスト!$K$34,IF($I1599=TRUE,入力リスト!$K$35,IF(J1599=FALSE,"「毎月の固定給与額」","")&amp;IF(AND(J1599=FALSE,OR(K1599=FALSE,L1599=FALSE,M1599=FALSE)),",","")&amp;IF(K1599=FALSE,"「賞与額等」","")&amp;IF(AND(K1599=FALSE,OR(L1599=FALSE,M1599=FALSE)),",","")&amp;IF(L1599=FALSE,"「残業手当」","")&amp;IF(AND(L1599=FALSE,M1599=FALSE),",","")&amp;IF(M1599=FALSE,"「残業時間」","")&amp;IF(OR(J1599=FALSE,K1599=FALSE,L1599=FALSE,M1599=FALSE),入力リスト!$K$36,"")&amp;IF(N1599,"",入力リスト!$K$37)))</f>
        <v/>
      </c>
      <c r="H1599" s="215"/>
      <c r="I1599" s="1" t="b">
        <f>IF(B1599="",FALSE,COUNTIF('従業員情報(給与以外)'!$A$4:$A$1000000,$B1599)=0)</f>
        <v>0</v>
      </c>
      <c r="J1599" s="8" t="b">
        <f t="shared" si="120"/>
        <v>1</v>
      </c>
      <c r="K1599" s="8" t="b">
        <f t="shared" si="121"/>
        <v>1</v>
      </c>
      <c r="L1599" s="8" t="b">
        <f t="shared" si="122"/>
        <v>1</v>
      </c>
      <c r="M1599" s="8" t="b">
        <f t="shared" si="123"/>
        <v>1</v>
      </c>
      <c r="N1599" s="1" t="b">
        <f t="shared" si="124"/>
        <v>1</v>
      </c>
      <c r="O1599" s="8" t="str">
        <f>IF(F1599="","",IF($F$2=入力リスト!$H$25,ROUNDDOWN(INT(F1599)+ROUNDDOWN((F1599-INT(F1599))*100,0)/60,2),F1599))</f>
        <v/>
      </c>
      <c r="P1599" s="7"/>
      <c r="Q1599" s="7"/>
    </row>
    <row r="1600" spans="1:17">
      <c r="A1600" s="105"/>
      <c r="B1600" s="2"/>
      <c r="C1600" s="3"/>
      <c r="D1600" s="3"/>
      <c r="E1600" s="3"/>
      <c r="F1600" s="8"/>
      <c r="G1600" s="215" t="str">
        <f>IF(AND($B1600="",OR(B1600&lt;&gt;"",C1600&lt;&gt;"",D1600&lt;&gt;"",E1600&lt;&gt;"",F1600&lt;&gt;"")),入力リスト!$K$34,IF($I1600=TRUE,入力リスト!$K$35,IF(J1600=FALSE,"「毎月の固定給与額」","")&amp;IF(AND(J1600=FALSE,OR(K1600=FALSE,L1600=FALSE,M1600=FALSE)),",","")&amp;IF(K1600=FALSE,"「賞与額等」","")&amp;IF(AND(K1600=FALSE,OR(L1600=FALSE,M1600=FALSE)),",","")&amp;IF(L1600=FALSE,"「残業手当」","")&amp;IF(AND(L1600=FALSE,M1600=FALSE),",","")&amp;IF(M1600=FALSE,"「残業時間」","")&amp;IF(OR(J1600=FALSE,K1600=FALSE,L1600=FALSE,M1600=FALSE),入力リスト!$K$36,"")&amp;IF(N1600,"",入力リスト!$K$37)))</f>
        <v/>
      </c>
      <c r="H1600" s="215"/>
      <c r="I1600" s="1" t="b">
        <f>IF(B1600="",FALSE,COUNTIF('従業員情報(給与以外)'!$A$4:$A$1000000,$B1600)=0)</f>
        <v>0</v>
      </c>
      <c r="J1600" s="8" t="b">
        <f t="shared" si="120"/>
        <v>1</v>
      </c>
      <c r="K1600" s="8" t="b">
        <f t="shared" si="121"/>
        <v>1</v>
      </c>
      <c r="L1600" s="8" t="b">
        <f t="shared" si="122"/>
        <v>1</v>
      </c>
      <c r="M1600" s="8" t="b">
        <f t="shared" si="123"/>
        <v>1</v>
      </c>
      <c r="N1600" s="1" t="b">
        <f t="shared" si="124"/>
        <v>1</v>
      </c>
      <c r="O1600" s="8" t="str">
        <f>IF(F1600="","",IF($F$2=入力リスト!$H$25,ROUNDDOWN(INT(F1600)+ROUNDDOWN((F1600-INT(F1600))*100,0)/60,2),F1600))</f>
        <v/>
      </c>
      <c r="P1600" s="7"/>
      <c r="Q1600" s="7"/>
    </row>
    <row r="1601" spans="1:17">
      <c r="A1601" s="105"/>
      <c r="B1601" s="2"/>
      <c r="C1601" s="3"/>
      <c r="D1601" s="3"/>
      <c r="E1601" s="3"/>
      <c r="F1601" s="8"/>
      <c r="G1601" s="215" t="str">
        <f>IF(AND($B1601="",OR(B1601&lt;&gt;"",C1601&lt;&gt;"",D1601&lt;&gt;"",E1601&lt;&gt;"",F1601&lt;&gt;"")),入力リスト!$K$34,IF($I1601=TRUE,入力リスト!$K$35,IF(J1601=FALSE,"「毎月の固定給与額」","")&amp;IF(AND(J1601=FALSE,OR(K1601=FALSE,L1601=FALSE,M1601=FALSE)),",","")&amp;IF(K1601=FALSE,"「賞与額等」","")&amp;IF(AND(K1601=FALSE,OR(L1601=FALSE,M1601=FALSE)),",","")&amp;IF(L1601=FALSE,"「残業手当」","")&amp;IF(AND(L1601=FALSE,M1601=FALSE),",","")&amp;IF(M1601=FALSE,"「残業時間」","")&amp;IF(OR(J1601=FALSE,K1601=FALSE,L1601=FALSE,M1601=FALSE),入力リスト!$K$36,"")&amp;IF(N1601,"",入力リスト!$K$37)))</f>
        <v/>
      </c>
      <c r="H1601" s="215"/>
      <c r="I1601" s="1" t="b">
        <f>IF(B1601="",FALSE,COUNTIF('従業員情報(給与以外)'!$A$4:$A$1000000,$B1601)=0)</f>
        <v>0</v>
      </c>
      <c r="J1601" s="8" t="b">
        <f t="shared" si="120"/>
        <v>1</v>
      </c>
      <c r="K1601" s="8" t="b">
        <f t="shared" si="121"/>
        <v>1</v>
      </c>
      <c r="L1601" s="8" t="b">
        <f t="shared" si="122"/>
        <v>1</v>
      </c>
      <c r="M1601" s="8" t="b">
        <f t="shared" si="123"/>
        <v>1</v>
      </c>
      <c r="N1601" s="1" t="b">
        <f t="shared" si="124"/>
        <v>1</v>
      </c>
      <c r="O1601" s="8" t="str">
        <f>IF(F1601="","",IF($F$2=入力リスト!$H$25,ROUNDDOWN(INT(F1601)+ROUNDDOWN((F1601-INT(F1601))*100,0)/60,2),F1601))</f>
        <v/>
      </c>
      <c r="P1601" s="7"/>
      <c r="Q1601" s="7"/>
    </row>
    <row r="1602" spans="1:17">
      <c r="A1602" s="105"/>
      <c r="B1602" s="2"/>
      <c r="C1602" s="3"/>
      <c r="D1602" s="3"/>
      <c r="E1602" s="3"/>
      <c r="F1602" s="8"/>
      <c r="G1602" s="215" t="str">
        <f>IF(AND($B1602="",OR(B1602&lt;&gt;"",C1602&lt;&gt;"",D1602&lt;&gt;"",E1602&lt;&gt;"",F1602&lt;&gt;"")),入力リスト!$K$34,IF($I1602=TRUE,入力リスト!$K$35,IF(J1602=FALSE,"「毎月の固定給与額」","")&amp;IF(AND(J1602=FALSE,OR(K1602=FALSE,L1602=FALSE,M1602=FALSE)),",","")&amp;IF(K1602=FALSE,"「賞与額等」","")&amp;IF(AND(K1602=FALSE,OR(L1602=FALSE,M1602=FALSE)),",","")&amp;IF(L1602=FALSE,"「残業手当」","")&amp;IF(AND(L1602=FALSE,M1602=FALSE),",","")&amp;IF(M1602=FALSE,"「残業時間」","")&amp;IF(OR(J1602=FALSE,K1602=FALSE,L1602=FALSE,M1602=FALSE),入力リスト!$K$36,"")&amp;IF(N1602,"",入力リスト!$K$37)))</f>
        <v/>
      </c>
      <c r="H1602" s="215"/>
      <c r="I1602" s="1" t="b">
        <f>IF(B1602="",FALSE,COUNTIF('従業員情報(給与以外)'!$A$4:$A$1000000,$B1602)=0)</f>
        <v>0</v>
      </c>
      <c r="J1602" s="8" t="b">
        <f t="shared" si="120"/>
        <v>1</v>
      </c>
      <c r="K1602" s="8" t="b">
        <f t="shared" si="121"/>
        <v>1</v>
      </c>
      <c r="L1602" s="8" t="b">
        <f t="shared" si="122"/>
        <v>1</v>
      </c>
      <c r="M1602" s="8" t="b">
        <f t="shared" si="123"/>
        <v>1</v>
      </c>
      <c r="N1602" s="1" t="b">
        <f t="shared" si="124"/>
        <v>1</v>
      </c>
      <c r="O1602" s="8" t="str">
        <f>IF(F1602="","",IF($F$2=入力リスト!$H$25,ROUNDDOWN(INT(F1602)+ROUNDDOWN((F1602-INT(F1602))*100,0)/60,2),F1602))</f>
        <v/>
      </c>
      <c r="P1602" s="7"/>
      <c r="Q1602" s="7"/>
    </row>
    <row r="1603" spans="1:17">
      <c r="A1603" s="105"/>
      <c r="B1603" s="2"/>
      <c r="C1603" s="3"/>
      <c r="D1603" s="3"/>
      <c r="E1603" s="3"/>
      <c r="F1603" s="8"/>
      <c r="G1603" s="215" t="str">
        <f>IF(AND($B1603="",OR(B1603&lt;&gt;"",C1603&lt;&gt;"",D1603&lt;&gt;"",E1603&lt;&gt;"",F1603&lt;&gt;"")),入力リスト!$K$34,IF($I1603=TRUE,入力リスト!$K$35,IF(J1603=FALSE,"「毎月の固定給与額」","")&amp;IF(AND(J1603=FALSE,OR(K1603=FALSE,L1603=FALSE,M1603=FALSE)),",","")&amp;IF(K1603=FALSE,"「賞与額等」","")&amp;IF(AND(K1603=FALSE,OR(L1603=FALSE,M1603=FALSE)),",","")&amp;IF(L1603=FALSE,"「残業手当」","")&amp;IF(AND(L1603=FALSE,M1603=FALSE),",","")&amp;IF(M1603=FALSE,"「残業時間」","")&amp;IF(OR(J1603=FALSE,K1603=FALSE,L1603=FALSE,M1603=FALSE),入力リスト!$K$36,"")&amp;IF(N1603,"",入力リスト!$K$37)))</f>
        <v/>
      </c>
      <c r="H1603" s="215"/>
      <c r="I1603" s="1" t="b">
        <f>IF(B1603="",FALSE,COUNTIF('従業員情報(給与以外)'!$A$4:$A$1000000,$B1603)=0)</f>
        <v>0</v>
      </c>
      <c r="J1603" s="8" t="b">
        <f t="shared" si="120"/>
        <v>1</v>
      </c>
      <c r="K1603" s="8" t="b">
        <f t="shared" si="121"/>
        <v>1</v>
      </c>
      <c r="L1603" s="8" t="b">
        <f t="shared" si="122"/>
        <v>1</v>
      </c>
      <c r="M1603" s="8" t="b">
        <f t="shared" si="123"/>
        <v>1</v>
      </c>
      <c r="N1603" s="1" t="b">
        <f t="shared" si="124"/>
        <v>1</v>
      </c>
      <c r="O1603" s="8" t="str">
        <f>IF(F1603="","",IF($F$2=入力リスト!$H$25,ROUNDDOWN(INT(F1603)+ROUNDDOWN((F1603-INT(F1603))*100,0)/60,2),F1603))</f>
        <v/>
      </c>
      <c r="P1603" s="7"/>
      <c r="Q1603" s="7"/>
    </row>
    <row r="1604" spans="1:17">
      <c r="A1604" s="105"/>
      <c r="B1604" s="2"/>
      <c r="C1604" s="3"/>
      <c r="D1604" s="3"/>
      <c r="E1604" s="3"/>
      <c r="F1604" s="8"/>
      <c r="G1604" s="215" t="str">
        <f>IF(AND($B1604="",OR(B1604&lt;&gt;"",C1604&lt;&gt;"",D1604&lt;&gt;"",E1604&lt;&gt;"",F1604&lt;&gt;"")),入力リスト!$K$34,IF($I1604=TRUE,入力リスト!$K$35,IF(J1604=FALSE,"「毎月の固定給与額」","")&amp;IF(AND(J1604=FALSE,OR(K1604=FALSE,L1604=FALSE,M1604=FALSE)),",","")&amp;IF(K1604=FALSE,"「賞与額等」","")&amp;IF(AND(K1604=FALSE,OR(L1604=FALSE,M1604=FALSE)),",","")&amp;IF(L1604=FALSE,"「残業手当」","")&amp;IF(AND(L1604=FALSE,M1604=FALSE),",","")&amp;IF(M1604=FALSE,"「残業時間」","")&amp;IF(OR(J1604=FALSE,K1604=FALSE,L1604=FALSE,M1604=FALSE),入力リスト!$K$36,"")&amp;IF(N1604,"",入力リスト!$K$37)))</f>
        <v/>
      </c>
      <c r="H1604" s="215"/>
      <c r="I1604" s="1" t="b">
        <f>IF(B1604="",FALSE,COUNTIF('従業員情報(給与以外)'!$A$4:$A$1000000,$B1604)=0)</f>
        <v>0</v>
      </c>
      <c r="J1604" s="8" t="b">
        <f t="shared" si="120"/>
        <v>1</v>
      </c>
      <c r="K1604" s="8" t="b">
        <f t="shared" si="121"/>
        <v>1</v>
      </c>
      <c r="L1604" s="8" t="b">
        <f t="shared" si="122"/>
        <v>1</v>
      </c>
      <c r="M1604" s="8" t="b">
        <f t="shared" si="123"/>
        <v>1</v>
      </c>
      <c r="N1604" s="1" t="b">
        <f t="shared" si="124"/>
        <v>1</v>
      </c>
      <c r="O1604" s="8" t="str">
        <f>IF(F1604="","",IF($F$2=入力リスト!$H$25,ROUNDDOWN(INT(F1604)+ROUNDDOWN((F1604-INT(F1604))*100,0)/60,2),F1604))</f>
        <v/>
      </c>
      <c r="P1604" s="7"/>
      <c r="Q1604" s="7"/>
    </row>
    <row r="1605" spans="1:17">
      <c r="A1605" s="105"/>
      <c r="B1605" s="2"/>
      <c r="C1605" s="3"/>
      <c r="D1605" s="3"/>
      <c r="E1605" s="3"/>
      <c r="F1605" s="8"/>
      <c r="G1605" s="215" t="str">
        <f>IF(AND($B1605="",OR(B1605&lt;&gt;"",C1605&lt;&gt;"",D1605&lt;&gt;"",E1605&lt;&gt;"",F1605&lt;&gt;"")),入力リスト!$K$34,IF($I1605=TRUE,入力リスト!$K$35,IF(J1605=FALSE,"「毎月の固定給与額」","")&amp;IF(AND(J1605=FALSE,OR(K1605=FALSE,L1605=FALSE,M1605=FALSE)),",","")&amp;IF(K1605=FALSE,"「賞与額等」","")&amp;IF(AND(K1605=FALSE,OR(L1605=FALSE,M1605=FALSE)),",","")&amp;IF(L1605=FALSE,"「残業手当」","")&amp;IF(AND(L1605=FALSE,M1605=FALSE),",","")&amp;IF(M1605=FALSE,"「残業時間」","")&amp;IF(OR(J1605=FALSE,K1605=FALSE,L1605=FALSE,M1605=FALSE),入力リスト!$K$36,"")&amp;IF(N1605,"",入力リスト!$K$37)))</f>
        <v/>
      </c>
      <c r="H1605" s="215"/>
      <c r="I1605" s="1" t="b">
        <f>IF(B1605="",FALSE,COUNTIF('従業員情報(給与以外)'!$A$4:$A$1000000,$B1605)=0)</f>
        <v>0</v>
      </c>
      <c r="J1605" s="8" t="b">
        <f t="shared" ref="J1605:J1668" si="125">OR(C1605="",ISNUMBER(C1605))</f>
        <v>1</v>
      </c>
      <c r="K1605" s="8" t="b">
        <f t="shared" ref="K1605:K1668" si="126">OR(D1605="",ISNUMBER(D1605))</f>
        <v>1</v>
      </c>
      <c r="L1605" s="8" t="b">
        <f t="shared" ref="L1605:L1668" si="127">OR(E1605="",ISNUMBER(E1605))</f>
        <v>1</v>
      </c>
      <c r="M1605" s="8" t="b">
        <f t="shared" ref="M1605:M1668" si="128">OR(F1605="",ISNUMBER(F1605))</f>
        <v>1</v>
      </c>
      <c r="N1605" s="1" t="b">
        <f t="shared" ref="N1605:N1668" si="129">IF($N$1,TRUE,IF($N$2,IF(F1605-INT(F1605)&lt;0.6,TRUE,FALSE),TRUE))</f>
        <v>1</v>
      </c>
      <c r="O1605" s="8" t="str">
        <f>IF(F1605="","",IF($F$2=入力リスト!$H$25,ROUNDDOWN(INT(F1605)+ROUNDDOWN((F1605-INT(F1605))*100,0)/60,2),F1605))</f>
        <v/>
      </c>
      <c r="P1605" s="7"/>
      <c r="Q1605" s="7"/>
    </row>
    <row r="1606" spans="1:17">
      <c r="A1606" s="105"/>
      <c r="B1606" s="2"/>
      <c r="C1606" s="3"/>
      <c r="D1606" s="3"/>
      <c r="E1606" s="3"/>
      <c r="F1606" s="8"/>
      <c r="G1606" s="215" t="str">
        <f>IF(AND($B1606="",OR(B1606&lt;&gt;"",C1606&lt;&gt;"",D1606&lt;&gt;"",E1606&lt;&gt;"",F1606&lt;&gt;"")),入力リスト!$K$34,IF($I1606=TRUE,入力リスト!$K$35,IF(J1606=FALSE,"「毎月の固定給与額」","")&amp;IF(AND(J1606=FALSE,OR(K1606=FALSE,L1606=FALSE,M1606=FALSE)),",","")&amp;IF(K1606=FALSE,"「賞与額等」","")&amp;IF(AND(K1606=FALSE,OR(L1606=FALSE,M1606=FALSE)),",","")&amp;IF(L1606=FALSE,"「残業手当」","")&amp;IF(AND(L1606=FALSE,M1606=FALSE),",","")&amp;IF(M1606=FALSE,"「残業時間」","")&amp;IF(OR(J1606=FALSE,K1606=FALSE,L1606=FALSE,M1606=FALSE),入力リスト!$K$36,"")&amp;IF(N1606,"",入力リスト!$K$37)))</f>
        <v/>
      </c>
      <c r="H1606" s="215"/>
      <c r="I1606" s="1" t="b">
        <f>IF(B1606="",FALSE,COUNTIF('従業員情報(給与以外)'!$A$4:$A$1000000,$B1606)=0)</f>
        <v>0</v>
      </c>
      <c r="J1606" s="8" t="b">
        <f t="shared" si="125"/>
        <v>1</v>
      </c>
      <c r="K1606" s="8" t="b">
        <f t="shared" si="126"/>
        <v>1</v>
      </c>
      <c r="L1606" s="8" t="b">
        <f t="shared" si="127"/>
        <v>1</v>
      </c>
      <c r="M1606" s="8" t="b">
        <f t="shared" si="128"/>
        <v>1</v>
      </c>
      <c r="N1606" s="1" t="b">
        <f t="shared" si="129"/>
        <v>1</v>
      </c>
      <c r="O1606" s="8" t="str">
        <f>IF(F1606="","",IF($F$2=入力リスト!$H$25,ROUNDDOWN(INT(F1606)+ROUNDDOWN((F1606-INT(F1606))*100,0)/60,2),F1606))</f>
        <v/>
      </c>
      <c r="P1606" s="7"/>
      <c r="Q1606" s="7"/>
    </row>
    <row r="1607" spans="1:17">
      <c r="A1607" s="105"/>
      <c r="B1607" s="2"/>
      <c r="C1607" s="3"/>
      <c r="D1607" s="3"/>
      <c r="E1607" s="3"/>
      <c r="F1607" s="8"/>
      <c r="G1607" s="215" t="str">
        <f>IF(AND($B1607="",OR(B1607&lt;&gt;"",C1607&lt;&gt;"",D1607&lt;&gt;"",E1607&lt;&gt;"",F1607&lt;&gt;"")),入力リスト!$K$34,IF($I1607=TRUE,入力リスト!$K$35,IF(J1607=FALSE,"「毎月の固定給与額」","")&amp;IF(AND(J1607=FALSE,OR(K1607=FALSE,L1607=FALSE,M1607=FALSE)),",","")&amp;IF(K1607=FALSE,"「賞与額等」","")&amp;IF(AND(K1607=FALSE,OR(L1607=FALSE,M1607=FALSE)),",","")&amp;IF(L1607=FALSE,"「残業手当」","")&amp;IF(AND(L1607=FALSE,M1607=FALSE),",","")&amp;IF(M1607=FALSE,"「残業時間」","")&amp;IF(OR(J1607=FALSE,K1607=FALSE,L1607=FALSE,M1607=FALSE),入力リスト!$K$36,"")&amp;IF(N1607,"",入力リスト!$K$37)))</f>
        <v/>
      </c>
      <c r="H1607" s="215"/>
      <c r="I1607" s="1" t="b">
        <f>IF(B1607="",FALSE,COUNTIF('従業員情報(給与以外)'!$A$4:$A$1000000,$B1607)=0)</f>
        <v>0</v>
      </c>
      <c r="J1607" s="8" t="b">
        <f t="shared" si="125"/>
        <v>1</v>
      </c>
      <c r="K1607" s="8" t="b">
        <f t="shared" si="126"/>
        <v>1</v>
      </c>
      <c r="L1607" s="8" t="b">
        <f t="shared" si="127"/>
        <v>1</v>
      </c>
      <c r="M1607" s="8" t="b">
        <f t="shared" si="128"/>
        <v>1</v>
      </c>
      <c r="N1607" s="1" t="b">
        <f t="shared" si="129"/>
        <v>1</v>
      </c>
      <c r="O1607" s="8" t="str">
        <f>IF(F1607="","",IF($F$2=入力リスト!$H$25,ROUNDDOWN(INT(F1607)+ROUNDDOWN((F1607-INT(F1607))*100,0)/60,2),F1607))</f>
        <v/>
      </c>
      <c r="P1607" s="7"/>
      <c r="Q1607" s="7"/>
    </row>
    <row r="1608" spans="1:17">
      <c r="A1608" s="105"/>
      <c r="B1608" s="2"/>
      <c r="C1608" s="3"/>
      <c r="D1608" s="3"/>
      <c r="E1608" s="3"/>
      <c r="F1608" s="8"/>
      <c r="G1608" s="215" t="str">
        <f>IF(AND($B1608="",OR(B1608&lt;&gt;"",C1608&lt;&gt;"",D1608&lt;&gt;"",E1608&lt;&gt;"",F1608&lt;&gt;"")),入力リスト!$K$34,IF($I1608=TRUE,入力リスト!$K$35,IF(J1608=FALSE,"「毎月の固定給与額」","")&amp;IF(AND(J1608=FALSE,OR(K1608=FALSE,L1608=FALSE,M1608=FALSE)),",","")&amp;IF(K1608=FALSE,"「賞与額等」","")&amp;IF(AND(K1608=FALSE,OR(L1608=FALSE,M1608=FALSE)),",","")&amp;IF(L1608=FALSE,"「残業手当」","")&amp;IF(AND(L1608=FALSE,M1608=FALSE),",","")&amp;IF(M1608=FALSE,"「残業時間」","")&amp;IF(OR(J1608=FALSE,K1608=FALSE,L1608=FALSE,M1608=FALSE),入力リスト!$K$36,"")&amp;IF(N1608,"",入力リスト!$K$37)))</f>
        <v/>
      </c>
      <c r="H1608" s="215"/>
      <c r="I1608" s="1" t="b">
        <f>IF(B1608="",FALSE,COUNTIF('従業員情報(給与以外)'!$A$4:$A$1000000,$B1608)=0)</f>
        <v>0</v>
      </c>
      <c r="J1608" s="8" t="b">
        <f t="shared" si="125"/>
        <v>1</v>
      </c>
      <c r="K1608" s="8" t="b">
        <f t="shared" si="126"/>
        <v>1</v>
      </c>
      <c r="L1608" s="8" t="b">
        <f t="shared" si="127"/>
        <v>1</v>
      </c>
      <c r="M1608" s="8" t="b">
        <f t="shared" si="128"/>
        <v>1</v>
      </c>
      <c r="N1608" s="1" t="b">
        <f t="shared" si="129"/>
        <v>1</v>
      </c>
      <c r="O1608" s="8" t="str">
        <f>IF(F1608="","",IF($F$2=入力リスト!$H$25,ROUNDDOWN(INT(F1608)+ROUNDDOWN((F1608-INT(F1608))*100,0)/60,2),F1608))</f>
        <v/>
      </c>
      <c r="P1608" s="7"/>
      <c r="Q1608" s="7"/>
    </row>
    <row r="1609" spans="1:17">
      <c r="A1609" s="105"/>
      <c r="B1609" s="2"/>
      <c r="C1609" s="3"/>
      <c r="D1609" s="3"/>
      <c r="E1609" s="3"/>
      <c r="F1609" s="8"/>
      <c r="G1609" s="215" t="str">
        <f>IF(AND($B1609="",OR(B1609&lt;&gt;"",C1609&lt;&gt;"",D1609&lt;&gt;"",E1609&lt;&gt;"",F1609&lt;&gt;"")),入力リスト!$K$34,IF($I1609=TRUE,入力リスト!$K$35,IF(J1609=FALSE,"「毎月の固定給与額」","")&amp;IF(AND(J1609=FALSE,OR(K1609=FALSE,L1609=FALSE,M1609=FALSE)),",","")&amp;IF(K1609=FALSE,"「賞与額等」","")&amp;IF(AND(K1609=FALSE,OR(L1609=FALSE,M1609=FALSE)),",","")&amp;IF(L1609=FALSE,"「残業手当」","")&amp;IF(AND(L1609=FALSE,M1609=FALSE),",","")&amp;IF(M1609=FALSE,"「残業時間」","")&amp;IF(OR(J1609=FALSE,K1609=FALSE,L1609=FALSE,M1609=FALSE),入力リスト!$K$36,"")&amp;IF(N1609,"",入力リスト!$K$37)))</f>
        <v/>
      </c>
      <c r="H1609" s="215"/>
      <c r="I1609" s="1" t="b">
        <f>IF(B1609="",FALSE,COUNTIF('従業員情報(給与以外)'!$A$4:$A$1000000,$B1609)=0)</f>
        <v>0</v>
      </c>
      <c r="J1609" s="8" t="b">
        <f t="shared" si="125"/>
        <v>1</v>
      </c>
      <c r="K1609" s="8" t="b">
        <f t="shared" si="126"/>
        <v>1</v>
      </c>
      <c r="L1609" s="8" t="b">
        <f t="shared" si="127"/>
        <v>1</v>
      </c>
      <c r="M1609" s="8" t="b">
        <f t="shared" si="128"/>
        <v>1</v>
      </c>
      <c r="N1609" s="1" t="b">
        <f t="shared" si="129"/>
        <v>1</v>
      </c>
      <c r="O1609" s="8" t="str">
        <f>IF(F1609="","",IF($F$2=入力リスト!$H$25,ROUNDDOWN(INT(F1609)+ROUNDDOWN((F1609-INT(F1609))*100,0)/60,2),F1609))</f>
        <v/>
      </c>
      <c r="P1609" s="7"/>
      <c r="Q1609" s="7"/>
    </row>
    <row r="1610" spans="1:17">
      <c r="A1610" s="105"/>
      <c r="B1610" s="2"/>
      <c r="C1610" s="3"/>
      <c r="D1610" s="3"/>
      <c r="E1610" s="3"/>
      <c r="F1610" s="8"/>
      <c r="G1610" s="215" t="str">
        <f>IF(AND($B1610="",OR(B1610&lt;&gt;"",C1610&lt;&gt;"",D1610&lt;&gt;"",E1610&lt;&gt;"",F1610&lt;&gt;"")),入力リスト!$K$34,IF($I1610=TRUE,入力リスト!$K$35,IF(J1610=FALSE,"「毎月の固定給与額」","")&amp;IF(AND(J1610=FALSE,OR(K1610=FALSE,L1610=FALSE,M1610=FALSE)),",","")&amp;IF(K1610=FALSE,"「賞与額等」","")&amp;IF(AND(K1610=FALSE,OR(L1610=FALSE,M1610=FALSE)),",","")&amp;IF(L1610=FALSE,"「残業手当」","")&amp;IF(AND(L1610=FALSE,M1610=FALSE),",","")&amp;IF(M1610=FALSE,"「残業時間」","")&amp;IF(OR(J1610=FALSE,K1610=FALSE,L1610=FALSE,M1610=FALSE),入力リスト!$K$36,"")&amp;IF(N1610,"",入力リスト!$K$37)))</f>
        <v/>
      </c>
      <c r="H1610" s="215"/>
      <c r="I1610" s="1" t="b">
        <f>IF(B1610="",FALSE,COUNTIF('従業員情報(給与以外)'!$A$4:$A$1000000,$B1610)=0)</f>
        <v>0</v>
      </c>
      <c r="J1610" s="8" t="b">
        <f t="shared" si="125"/>
        <v>1</v>
      </c>
      <c r="K1610" s="8" t="b">
        <f t="shared" si="126"/>
        <v>1</v>
      </c>
      <c r="L1610" s="8" t="b">
        <f t="shared" si="127"/>
        <v>1</v>
      </c>
      <c r="M1610" s="8" t="b">
        <f t="shared" si="128"/>
        <v>1</v>
      </c>
      <c r="N1610" s="1" t="b">
        <f t="shared" si="129"/>
        <v>1</v>
      </c>
      <c r="O1610" s="8" t="str">
        <f>IF(F1610="","",IF($F$2=入力リスト!$H$25,ROUNDDOWN(INT(F1610)+ROUNDDOWN((F1610-INT(F1610))*100,0)/60,2),F1610))</f>
        <v/>
      </c>
      <c r="P1610" s="7"/>
      <c r="Q1610" s="7"/>
    </row>
    <row r="1611" spans="1:17">
      <c r="A1611" s="105"/>
      <c r="B1611" s="2"/>
      <c r="C1611" s="3"/>
      <c r="D1611" s="3"/>
      <c r="E1611" s="3"/>
      <c r="F1611" s="8"/>
      <c r="G1611" s="215" t="str">
        <f>IF(AND($B1611="",OR(B1611&lt;&gt;"",C1611&lt;&gt;"",D1611&lt;&gt;"",E1611&lt;&gt;"",F1611&lt;&gt;"")),入力リスト!$K$34,IF($I1611=TRUE,入力リスト!$K$35,IF(J1611=FALSE,"「毎月の固定給与額」","")&amp;IF(AND(J1611=FALSE,OR(K1611=FALSE,L1611=FALSE,M1611=FALSE)),",","")&amp;IF(K1611=FALSE,"「賞与額等」","")&amp;IF(AND(K1611=FALSE,OR(L1611=FALSE,M1611=FALSE)),",","")&amp;IF(L1611=FALSE,"「残業手当」","")&amp;IF(AND(L1611=FALSE,M1611=FALSE),",","")&amp;IF(M1611=FALSE,"「残業時間」","")&amp;IF(OR(J1611=FALSE,K1611=FALSE,L1611=FALSE,M1611=FALSE),入力リスト!$K$36,"")&amp;IF(N1611,"",入力リスト!$K$37)))</f>
        <v/>
      </c>
      <c r="H1611" s="215"/>
      <c r="I1611" s="1" t="b">
        <f>IF(B1611="",FALSE,COUNTIF('従業員情報(給与以外)'!$A$4:$A$1000000,$B1611)=0)</f>
        <v>0</v>
      </c>
      <c r="J1611" s="8" t="b">
        <f t="shared" si="125"/>
        <v>1</v>
      </c>
      <c r="K1611" s="8" t="b">
        <f t="shared" si="126"/>
        <v>1</v>
      </c>
      <c r="L1611" s="8" t="b">
        <f t="shared" si="127"/>
        <v>1</v>
      </c>
      <c r="M1611" s="8" t="b">
        <f t="shared" si="128"/>
        <v>1</v>
      </c>
      <c r="N1611" s="1" t="b">
        <f t="shared" si="129"/>
        <v>1</v>
      </c>
      <c r="O1611" s="8" t="str">
        <f>IF(F1611="","",IF($F$2=入力リスト!$H$25,ROUNDDOWN(INT(F1611)+ROUNDDOWN((F1611-INT(F1611))*100,0)/60,2),F1611))</f>
        <v/>
      </c>
      <c r="P1611" s="7"/>
      <c r="Q1611" s="7"/>
    </row>
    <row r="1612" spans="1:17">
      <c r="A1612" s="105"/>
      <c r="B1612" s="2"/>
      <c r="C1612" s="3"/>
      <c r="D1612" s="3"/>
      <c r="E1612" s="3"/>
      <c r="F1612" s="8"/>
      <c r="G1612" s="215" t="str">
        <f>IF(AND($B1612="",OR(B1612&lt;&gt;"",C1612&lt;&gt;"",D1612&lt;&gt;"",E1612&lt;&gt;"",F1612&lt;&gt;"")),入力リスト!$K$34,IF($I1612=TRUE,入力リスト!$K$35,IF(J1612=FALSE,"「毎月の固定給与額」","")&amp;IF(AND(J1612=FALSE,OR(K1612=FALSE,L1612=FALSE,M1612=FALSE)),",","")&amp;IF(K1612=FALSE,"「賞与額等」","")&amp;IF(AND(K1612=FALSE,OR(L1612=FALSE,M1612=FALSE)),",","")&amp;IF(L1612=FALSE,"「残業手当」","")&amp;IF(AND(L1612=FALSE,M1612=FALSE),",","")&amp;IF(M1612=FALSE,"「残業時間」","")&amp;IF(OR(J1612=FALSE,K1612=FALSE,L1612=FALSE,M1612=FALSE),入力リスト!$K$36,"")&amp;IF(N1612,"",入力リスト!$K$37)))</f>
        <v/>
      </c>
      <c r="H1612" s="215"/>
      <c r="I1612" s="1" t="b">
        <f>IF(B1612="",FALSE,COUNTIF('従業員情報(給与以外)'!$A$4:$A$1000000,$B1612)=0)</f>
        <v>0</v>
      </c>
      <c r="J1612" s="8" t="b">
        <f t="shared" si="125"/>
        <v>1</v>
      </c>
      <c r="K1612" s="8" t="b">
        <f t="shared" si="126"/>
        <v>1</v>
      </c>
      <c r="L1612" s="8" t="b">
        <f t="shared" si="127"/>
        <v>1</v>
      </c>
      <c r="M1612" s="8" t="b">
        <f t="shared" si="128"/>
        <v>1</v>
      </c>
      <c r="N1612" s="1" t="b">
        <f t="shared" si="129"/>
        <v>1</v>
      </c>
      <c r="O1612" s="8" t="str">
        <f>IF(F1612="","",IF($F$2=入力リスト!$H$25,ROUNDDOWN(INT(F1612)+ROUNDDOWN((F1612-INT(F1612))*100,0)/60,2),F1612))</f>
        <v/>
      </c>
      <c r="P1612" s="7"/>
      <c r="Q1612" s="7"/>
    </row>
    <row r="1613" spans="1:17">
      <c r="A1613" s="105"/>
      <c r="B1613" s="2"/>
      <c r="C1613" s="3"/>
      <c r="D1613" s="3"/>
      <c r="E1613" s="3"/>
      <c r="F1613" s="8"/>
      <c r="G1613" s="215" t="str">
        <f>IF(AND($B1613="",OR(B1613&lt;&gt;"",C1613&lt;&gt;"",D1613&lt;&gt;"",E1613&lt;&gt;"",F1613&lt;&gt;"")),入力リスト!$K$34,IF($I1613=TRUE,入力リスト!$K$35,IF(J1613=FALSE,"「毎月の固定給与額」","")&amp;IF(AND(J1613=FALSE,OR(K1613=FALSE,L1613=FALSE,M1613=FALSE)),",","")&amp;IF(K1613=FALSE,"「賞与額等」","")&amp;IF(AND(K1613=FALSE,OR(L1613=FALSE,M1613=FALSE)),",","")&amp;IF(L1613=FALSE,"「残業手当」","")&amp;IF(AND(L1613=FALSE,M1613=FALSE),",","")&amp;IF(M1613=FALSE,"「残業時間」","")&amp;IF(OR(J1613=FALSE,K1613=FALSE,L1613=FALSE,M1613=FALSE),入力リスト!$K$36,"")&amp;IF(N1613,"",入力リスト!$K$37)))</f>
        <v/>
      </c>
      <c r="H1613" s="215"/>
      <c r="I1613" s="1" t="b">
        <f>IF(B1613="",FALSE,COUNTIF('従業員情報(給与以外)'!$A$4:$A$1000000,$B1613)=0)</f>
        <v>0</v>
      </c>
      <c r="J1613" s="8" t="b">
        <f t="shared" si="125"/>
        <v>1</v>
      </c>
      <c r="K1613" s="8" t="b">
        <f t="shared" si="126"/>
        <v>1</v>
      </c>
      <c r="L1613" s="8" t="b">
        <f t="shared" si="127"/>
        <v>1</v>
      </c>
      <c r="M1613" s="8" t="b">
        <f t="shared" si="128"/>
        <v>1</v>
      </c>
      <c r="N1613" s="1" t="b">
        <f t="shared" si="129"/>
        <v>1</v>
      </c>
      <c r="O1613" s="8" t="str">
        <f>IF(F1613="","",IF($F$2=入力リスト!$H$25,ROUNDDOWN(INT(F1613)+ROUNDDOWN((F1613-INT(F1613))*100,0)/60,2),F1613))</f>
        <v/>
      </c>
      <c r="P1613" s="7"/>
      <c r="Q1613" s="7"/>
    </row>
    <row r="1614" spans="1:17">
      <c r="A1614" s="105"/>
      <c r="B1614" s="2"/>
      <c r="C1614" s="3"/>
      <c r="D1614" s="3"/>
      <c r="E1614" s="3"/>
      <c r="F1614" s="8"/>
      <c r="G1614" s="215" t="str">
        <f>IF(AND($B1614="",OR(B1614&lt;&gt;"",C1614&lt;&gt;"",D1614&lt;&gt;"",E1614&lt;&gt;"",F1614&lt;&gt;"")),入力リスト!$K$34,IF($I1614=TRUE,入力リスト!$K$35,IF(J1614=FALSE,"「毎月の固定給与額」","")&amp;IF(AND(J1614=FALSE,OR(K1614=FALSE,L1614=FALSE,M1614=FALSE)),",","")&amp;IF(K1614=FALSE,"「賞与額等」","")&amp;IF(AND(K1614=FALSE,OR(L1614=FALSE,M1614=FALSE)),",","")&amp;IF(L1614=FALSE,"「残業手当」","")&amp;IF(AND(L1614=FALSE,M1614=FALSE),",","")&amp;IF(M1614=FALSE,"「残業時間」","")&amp;IF(OR(J1614=FALSE,K1614=FALSE,L1614=FALSE,M1614=FALSE),入力リスト!$K$36,"")&amp;IF(N1614,"",入力リスト!$K$37)))</f>
        <v/>
      </c>
      <c r="H1614" s="215"/>
      <c r="I1614" s="1" t="b">
        <f>IF(B1614="",FALSE,COUNTIF('従業員情報(給与以外)'!$A$4:$A$1000000,$B1614)=0)</f>
        <v>0</v>
      </c>
      <c r="J1614" s="8" t="b">
        <f t="shared" si="125"/>
        <v>1</v>
      </c>
      <c r="K1614" s="8" t="b">
        <f t="shared" si="126"/>
        <v>1</v>
      </c>
      <c r="L1614" s="8" t="b">
        <f t="shared" si="127"/>
        <v>1</v>
      </c>
      <c r="M1614" s="8" t="b">
        <f t="shared" si="128"/>
        <v>1</v>
      </c>
      <c r="N1614" s="1" t="b">
        <f t="shared" si="129"/>
        <v>1</v>
      </c>
      <c r="O1614" s="8" t="str">
        <f>IF(F1614="","",IF($F$2=入力リスト!$H$25,ROUNDDOWN(INT(F1614)+ROUNDDOWN((F1614-INT(F1614))*100,0)/60,2),F1614))</f>
        <v/>
      </c>
      <c r="P1614" s="7"/>
      <c r="Q1614" s="7"/>
    </row>
    <row r="1615" spans="1:17">
      <c r="A1615" s="105"/>
      <c r="B1615" s="2"/>
      <c r="C1615" s="3"/>
      <c r="D1615" s="3"/>
      <c r="E1615" s="3"/>
      <c r="F1615" s="8"/>
      <c r="G1615" s="215" t="str">
        <f>IF(AND($B1615="",OR(B1615&lt;&gt;"",C1615&lt;&gt;"",D1615&lt;&gt;"",E1615&lt;&gt;"",F1615&lt;&gt;"")),入力リスト!$K$34,IF($I1615=TRUE,入力リスト!$K$35,IF(J1615=FALSE,"「毎月の固定給与額」","")&amp;IF(AND(J1615=FALSE,OR(K1615=FALSE,L1615=FALSE,M1615=FALSE)),",","")&amp;IF(K1615=FALSE,"「賞与額等」","")&amp;IF(AND(K1615=FALSE,OR(L1615=FALSE,M1615=FALSE)),",","")&amp;IF(L1615=FALSE,"「残業手当」","")&amp;IF(AND(L1615=FALSE,M1615=FALSE),",","")&amp;IF(M1615=FALSE,"「残業時間」","")&amp;IF(OR(J1615=FALSE,K1615=FALSE,L1615=FALSE,M1615=FALSE),入力リスト!$K$36,"")&amp;IF(N1615,"",入力リスト!$K$37)))</f>
        <v/>
      </c>
      <c r="H1615" s="215"/>
      <c r="I1615" s="1" t="b">
        <f>IF(B1615="",FALSE,COUNTIF('従業員情報(給与以外)'!$A$4:$A$1000000,$B1615)=0)</f>
        <v>0</v>
      </c>
      <c r="J1615" s="8" t="b">
        <f t="shared" si="125"/>
        <v>1</v>
      </c>
      <c r="K1615" s="8" t="b">
        <f t="shared" si="126"/>
        <v>1</v>
      </c>
      <c r="L1615" s="8" t="b">
        <f t="shared" si="127"/>
        <v>1</v>
      </c>
      <c r="M1615" s="8" t="b">
        <f t="shared" si="128"/>
        <v>1</v>
      </c>
      <c r="N1615" s="1" t="b">
        <f t="shared" si="129"/>
        <v>1</v>
      </c>
      <c r="O1615" s="8" t="str">
        <f>IF(F1615="","",IF($F$2=入力リスト!$H$25,ROUNDDOWN(INT(F1615)+ROUNDDOWN((F1615-INT(F1615))*100,0)/60,2),F1615))</f>
        <v/>
      </c>
      <c r="P1615" s="7"/>
      <c r="Q1615" s="7"/>
    </row>
    <row r="1616" spans="1:17">
      <c r="A1616" s="105"/>
      <c r="B1616" s="2"/>
      <c r="C1616" s="3"/>
      <c r="D1616" s="3"/>
      <c r="E1616" s="3"/>
      <c r="F1616" s="8"/>
      <c r="G1616" s="215" t="str">
        <f>IF(AND($B1616="",OR(B1616&lt;&gt;"",C1616&lt;&gt;"",D1616&lt;&gt;"",E1616&lt;&gt;"",F1616&lt;&gt;"")),入力リスト!$K$34,IF($I1616=TRUE,入力リスト!$K$35,IF(J1616=FALSE,"「毎月の固定給与額」","")&amp;IF(AND(J1616=FALSE,OR(K1616=FALSE,L1616=FALSE,M1616=FALSE)),",","")&amp;IF(K1616=FALSE,"「賞与額等」","")&amp;IF(AND(K1616=FALSE,OR(L1616=FALSE,M1616=FALSE)),",","")&amp;IF(L1616=FALSE,"「残業手当」","")&amp;IF(AND(L1616=FALSE,M1616=FALSE),",","")&amp;IF(M1616=FALSE,"「残業時間」","")&amp;IF(OR(J1616=FALSE,K1616=FALSE,L1616=FALSE,M1616=FALSE),入力リスト!$K$36,"")&amp;IF(N1616,"",入力リスト!$K$37)))</f>
        <v/>
      </c>
      <c r="H1616" s="215"/>
      <c r="I1616" s="1" t="b">
        <f>IF(B1616="",FALSE,COUNTIF('従業員情報(給与以外)'!$A$4:$A$1000000,$B1616)=0)</f>
        <v>0</v>
      </c>
      <c r="J1616" s="8" t="b">
        <f t="shared" si="125"/>
        <v>1</v>
      </c>
      <c r="K1616" s="8" t="b">
        <f t="shared" si="126"/>
        <v>1</v>
      </c>
      <c r="L1616" s="8" t="b">
        <f t="shared" si="127"/>
        <v>1</v>
      </c>
      <c r="M1616" s="8" t="b">
        <f t="shared" si="128"/>
        <v>1</v>
      </c>
      <c r="N1616" s="1" t="b">
        <f t="shared" si="129"/>
        <v>1</v>
      </c>
      <c r="O1616" s="8" t="str">
        <f>IF(F1616="","",IF($F$2=入力リスト!$H$25,ROUNDDOWN(INT(F1616)+ROUNDDOWN((F1616-INT(F1616))*100,0)/60,2),F1616))</f>
        <v/>
      </c>
      <c r="P1616" s="7"/>
      <c r="Q1616" s="7"/>
    </row>
    <row r="1617" spans="1:17">
      <c r="A1617" s="105"/>
      <c r="B1617" s="2"/>
      <c r="C1617" s="3"/>
      <c r="D1617" s="3"/>
      <c r="E1617" s="3"/>
      <c r="F1617" s="8"/>
      <c r="G1617" s="215" t="str">
        <f>IF(AND($B1617="",OR(B1617&lt;&gt;"",C1617&lt;&gt;"",D1617&lt;&gt;"",E1617&lt;&gt;"",F1617&lt;&gt;"")),入力リスト!$K$34,IF($I1617=TRUE,入力リスト!$K$35,IF(J1617=FALSE,"「毎月の固定給与額」","")&amp;IF(AND(J1617=FALSE,OR(K1617=FALSE,L1617=FALSE,M1617=FALSE)),",","")&amp;IF(K1617=FALSE,"「賞与額等」","")&amp;IF(AND(K1617=FALSE,OR(L1617=FALSE,M1617=FALSE)),",","")&amp;IF(L1617=FALSE,"「残業手当」","")&amp;IF(AND(L1617=FALSE,M1617=FALSE),",","")&amp;IF(M1617=FALSE,"「残業時間」","")&amp;IF(OR(J1617=FALSE,K1617=FALSE,L1617=FALSE,M1617=FALSE),入力リスト!$K$36,"")&amp;IF(N1617,"",入力リスト!$K$37)))</f>
        <v/>
      </c>
      <c r="H1617" s="215"/>
      <c r="I1617" s="1" t="b">
        <f>IF(B1617="",FALSE,COUNTIF('従業員情報(給与以外)'!$A$4:$A$1000000,$B1617)=0)</f>
        <v>0</v>
      </c>
      <c r="J1617" s="8" t="b">
        <f t="shared" si="125"/>
        <v>1</v>
      </c>
      <c r="K1617" s="8" t="b">
        <f t="shared" si="126"/>
        <v>1</v>
      </c>
      <c r="L1617" s="8" t="b">
        <f t="shared" si="127"/>
        <v>1</v>
      </c>
      <c r="M1617" s="8" t="b">
        <f t="shared" si="128"/>
        <v>1</v>
      </c>
      <c r="N1617" s="1" t="b">
        <f t="shared" si="129"/>
        <v>1</v>
      </c>
      <c r="O1617" s="8" t="str">
        <f>IF(F1617="","",IF($F$2=入力リスト!$H$25,ROUNDDOWN(INT(F1617)+ROUNDDOWN((F1617-INT(F1617))*100,0)/60,2),F1617))</f>
        <v/>
      </c>
      <c r="P1617" s="7"/>
      <c r="Q1617" s="7"/>
    </row>
    <row r="1618" spans="1:17">
      <c r="A1618" s="105"/>
      <c r="B1618" s="2"/>
      <c r="C1618" s="3"/>
      <c r="D1618" s="3"/>
      <c r="E1618" s="3"/>
      <c r="F1618" s="8"/>
      <c r="G1618" s="215" t="str">
        <f>IF(AND($B1618="",OR(B1618&lt;&gt;"",C1618&lt;&gt;"",D1618&lt;&gt;"",E1618&lt;&gt;"",F1618&lt;&gt;"")),入力リスト!$K$34,IF($I1618=TRUE,入力リスト!$K$35,IF(J1618=FALSE,"「毎月の固定給与額」","")&amp;IF(AND(J1618=FALSE,OR(K1618=FALSE,L1618=FALSE,M1618=FALSE)),",","")&amp;IF(K1618=FALSE,"「賞与額等」","")&amp;IF(AND(K1618=FALSE,OR(L1618=FALSE,M1618=FALSE)),",","")&amp;IF(L1618=FALSE,"「残業手当」","")&amp;IF(AND(L1618=FALSE,M1618=FALSE),",","")&amp;IF(M1618=FALSE,"「残業時間」","")&amp;IF(OR(J1618=FALSE,K1618=FALSE,L1618=FALSE,M1618=FALSE),入力リスト!$K$36,"")&amp;IF(N1618,"",入力リスト!$K$37)))</f>
        <v/>
      </c>
      <c r="H1618" s="215"/>
      <c r="I1618" s="1" t="b">
        <f>IF(B1618="",FALSE,COUNTIF('従業員情報(給与以外)'!$A$4:$A$1000000,$B1618)=0)</f>
        <v>0</v>
      </c>
      <c r="J1618" s="8" t="b">
        <f t="shared" si="125"/>
        <v>1</v>
      </c>
      <c r="K1618" s="8" t="b">
        <f t="shared" si="126"/>
        <v>1</v>
      </c>
      <c r="L1618" s="8" t="b">
        <f t="shared" si="127"/>
        <v>1</v>
      </c>
      <c r="M1618" s="8" t="b">
        <f t="shared" si="128"/>
        <v>1</v>
      </c>
      <c r="N1618" s="1" t="b">
        <f t="shared" si="129"/>
        <v>1</v>
      </c>
      <c r="O1618" s="8" t="str">
        <f>IF(F1618="","",IF($F$2=入力リスト!$H$25,ROUNDDOWN(INT(F1618)+ROUNDDOWN((F1618-INT(F1618))*100,0)/60,2),F1618))</f>
        <v/>
      </c>
      <c r="P1618" s="7"/>
      <c r="Q1618" s="7"/>
    </row>
    <row r="1619" spans="1:17">
      <c r="A1619" s="105"/>
      <c r="B1619" s="2"/>
      <c r="C1619" s="3"/>
      <c r="D1619" s="3"/>
      <c r="E1619" s="3"/>
      <c r="F1619" s="8"/>
      <c r="G1619" s="215" t="str">
        <f>IF(AND($B1619="",OR(B1619&lt;&gt;"",C1619&lt;&gt;"",D1619&lt;&gt;"",E1619&lt;&gt;"",F1619&lt;&gt;"")),入力リスト!$K$34,IF($I1619=TRUE,入力リスト!$K$35,IF(J1619=FALSE,"「毎月の固定給与額」","")&amp;IF(AND(J1619=FALSE,OR(K1619=FALSE,L1619=FALSE,M1619=FALSE)),",","")&amp;IF(K1619=FALSE,"「賞与額等」","")&amp;IF(AND(K1619=FALSE,OR(L1619=FALSE,M1619=FALSE)),",","")&amp;IF(L1619=FALSE,"「残業手当」","")&amp;IF(AND(L1619=FALSE,M1619=FALSE),",","")&amp;IF(M1619=FALSE,"「残業時間」","")&amp;IF(OR(J1619=FALSE,K1619=FALSE,L1619=FALSE,M1619=FALSE),入力リスト!$K$36,"")&amp;IF(N1619,"",入力リスト!$K$37)))</f>
        <v/>
      </c>
      <c r="H1619" s="215"/>
      <c r="I1619" s="1" t="b">
        <f>IF(B1619="",FALSE,COUNTIF('従業員情報(給与以外)'!$A$4:$A$1000000,$B1619)=0)</f>
        <v>0</v>
      </c>
      <c r="J1619" s="8" t="b">
        <f t="shared" si="125"/>
        <v>1</v>
      </c>
      <c r="K1619" s="8" t="b">
        <f t="shared" si="126"/>
        <v>1</v>
      </c>
      <c r="L1619" s="8" t="b">
        <f t="shared" si="127"/>
        <v>1</v>
      </c>
      <c r="M1619" s="8" t="b">
        <f t="shared" si="128"/>
        <v>1</v>
      </c>
      <c r="N1619" s="1" t="b">
        <f t="shared" si="129"/>
        <v>1</v>
      </c>
      <c r="O1619" s="8" t="str">
        <f>IF(F1619="","",IF($F$2=入力リスト!$H$25,ROUNDDOWN(INT(F1619)+ROUNDDOWN((F1619-INT(F1619))*100,0)/60,2),F1619))</f>
        <v/>
      </c>
      <c r="P1619" s="7"/>
      <c r="Q1619" s="7"/>
    </row>
    <row r="1620" spans="1:17">
      <c r="A1620" s="105"/>
      <c r="B1620" s="2"/>
      <c r="C1620" s="3"/>
      <c r="D1620" s="3"/>
      <c r="E1620" s="3"/>
      <c r="F1620" s="8"/>
      <c r="G1620" s="215" t="str">
        <f>IF(AND($B1620="",OR(B1620&lt;&gt;"",C1620&lt;&gt;"",D1620&lt;&gt;"",E1620&lt;&gt;"",F1620&lt;&gt;"")),入力リスト!$K$34,IF($I1620=TRUE,入力リスト!$K$35,IF(J1620=FALSE,"「毎月の固定給与額」","")&amp;IF(AND(J1620=FALSE,OR(K1620=FALSE,L1620=FALSE,M1620=FALSE)),",","")&amp;IF(K1620=FALSE,"「賞与額等」","")&amp;IF(AND(K1620=FALSE,OR(L1620=FALSE,M1620=FALSE)),",","")&amp;IF(L1620=FALSE,"「残業手当」","")&amp;IF(AND(L1620=FALSE,M1620=FALSE),",","")&amp;IF(M1620=FALSE,"「残業時間」","")&amp;IF(OR(J1620=FALSE,K1620=FALSE,L1620=FALSE,M1620=FALSE),入力リスト!$K$36,"")&amp;IF(N1620,"",入力リスト!$K$37)))</f>
        <v/>
      </c>
      <c r="H1620" s="215"/>
      <c r="I1620" s="1" t="b">
        <f>IF(B1620="",FALSE,COUNTIF('従業員情報(給与以外)'!$A$4:$A$1000000,$B1620)=0)</f>
        <v>0</v>
      </c>
      <c r="J1620" s="8" t="b">
        <f t="shared" si="125"/>
        <v>1</v>
      </c>
      <c r="K1620" s="8" t="b">
        <f t="shared" si="126"/>
        <v>1</v>
      </c>
      <c r="L1620" s="8" t="b">
        <f t="shared" si="127"/>
        <v>1</v>
      </c>
      <c r="M1620" s="8" t="b">
        <f t="shared" si="128"/>
        <v>1</v>
      </c>
      <c r="N1620" s="1" t="b">
        <f t="shared" si="129"/>
        <v>1</v>
      </c>
      <c r="O1620" s="8" t="str">
        <f>IF(F1620="","",IF($F$2=入力リスト!$H$25,ROUNDDOWN(INT(F1620)+ROUNDDOWN((F1620-INT(F1620))*100,0)/60,2),F1620))</f>
        <v/>
      </c>
      <c r="P1620" s="7"/>
      <c r="Q1620" s="7"/>
    </row>
    <row r="1621" spans="1:17">
      <c r="A1621" s="105"/>
      <c r="B1621" s="2"/>
      <c r="C1621" s="3"/>
      <c r="D1621" s="3"/>
      <c r="E1621" s="3"/>
      <c r="F1621" s="8"/>
      <c r="G1621" s="215" t="str">
        <f>IF(AND($B1621="",OR(B1621&lt;&gt;"",C1621&lt;&gt;"",D1621&lt;&gt;"",E1621&lt;&gt;"",F1621&lt;&gt;"")),入力リスト!$K$34,IF($I1621=TRUE,入力リスト!$K$35,IF(J1621=FALSE,"「毎月の固定給与額」","")&amp;IF(AND(J1621=FALSE,OR(K1621=FALSE,L1621=FALSE,M1621=FALSE)),",","")&amp;IF(K1621=FALSE,"「賞与額等」","")&amp;IF(AND(K1621=FALSE,OR(L1621=FALSE,M1621=FALSE)),",","")&amp;IF(L1621=FALSE,"「残業手当」","")&amp;IF(AND(L1621=FALSE,M1621=FALSE),",","")&amp;IF(M1621=FALSE,"「残業時間」","")&amp;IF(OR(J1621=FALSE,K1621=FALSE,L1621=FALSE,M1621=FALSE),入力リスト!$K$36,"")&amp;IF(N1621,"",入力リスト!$K$37)))</f>
        <v/>
      </c>
      <c r="H1621" s="215"/>
      <c r="I1621" s="1" t="b">
        <f>IF(B1621="",FALSE,COUNTIF('従業員情報(給与以外)'!$A$4:$A$1000000,$B1621)=0)</f>
        <v>0</v>
      </c>
      <c r="J1621" s="8" t="b">
        <f t="shared" si="125"/>
        <v>1</v>
      </c>
      <c r="K1621" s="8" t="b">
        <f t="shared" si="126"/>
        <v>1</v>
      </c>
      <c r="L1621" s="8" t="b">
        <f t="shared" si="127"/>
        <v>1</v>
      </c>
      <c r="M1621" s="8" t="b">
        <f t="shared" si="128"/>
        <v>1</v>
      </c>
      <c r="N1621" s="1" t="b">
        <f t="shared" si="129"/>
        <v>1</v>
      </c>
      <c r="O1621" s="8" t="str">
        <f>IF(F1621="","",IF($F$2=入力リスト!$H$25,ROUNDDOWN(INT(F1621)+ROUNDDOWN((F1621-INT(F1621))*100,0)/60,2),F1621))</f>
        <v/>
      </c>
      <c r="P1621" s="7"/>
      <c r="Q1621" s="7"/>
    </row>
    <row r="1622" spans="1:17">
      <c r="A1622" s="105"/>
      <c r="B1622" s="2"/>
      <c r="C1622" s="3"/>
      <c r="D1622" s="3"/>
      <c r="E1622" s="3"/>
      <c r="F1622" s="8"/>
      <c r="G1622" s="215" t="str">
        <f>IF(AND($B1622="",OR(B1622&lt;&gt;"",C1622&lt;&gt;"",D1622&lt;&gt;"",E1622&lt;&gt;"",F1622&lt;&gt;"")),入力リスト!$K$34,IF($I1622=TRUE,入力リスト!$K$35,IF(J1622=FALSE,"「毎月の固定給与額」","")&amp;IF(AND(J1622=FALSE,OR(K1622=FALSE,L1622=FALSE,M1622=FALSE)),",","")&amp;IF(K1622=FALSE,"「賞与額等」","")&amp;IF(AND(K1622=FALSE,OR(L1622=FALSE,M1622=FALSE)),",","")&amp;IF(L1622=FALSE,"「残業手当」","")&amp;IF(AND(L1622=FALSE,M1622=FALSE),",","")&amp;IF(M1622=FALSE,"「残業時間」","")&amp;IF(OR(J1622=FALSE,K1622=FALSE,L1622=FALSE,M1622=FALSE),入力リスト!$K$36,"")&amp;IF(N1622,"",入力リスト!$K$37)))</f>
        <v/>
      </c>
      <c r="H1622" s="215"/>
      <c r="I1622" s="1" t="b">
        <f>IF(B1622="",FALSE,COUNTIF('従業員情報(給与以外)'!$A$4:$A$1000000,$B1622)=0)</f>
        <v>0</v>
      </c>
      <c r="J1622" s="8" t="b">
        <f t="shared" si="125"/>
        <v>1</v>
      </c>
      <c r="K1622" s="8" t="b">
        <f t="shared" si="126"/>
        <v>1</v>
      </c>
      <c r="L1622" s="8" t="b">
        <f t="shared" si="127"/>
        <v>1</v>
      </c>
      <c r="M1622" s="8" t="b">
        <f t="shared" si="128"/>
        <v>1</v>
      </c>
      <c r="N1622" s="1" t="b">
        <f t="shared" si="129"/>
        <v>1</v>
      </c>
      <c r="O1622" s="8" t="str">
        <f>IF(F1622="","",IF($F$2=入力リスト!$H$25,ROUNDDOWN(INT(F1622)+ROUNDDOWN((F1622-INT(F1622))*100,0)/60,2),F1622))</f>
        <v/>
      </c>
      <c r="P1622" s="7"/>
      <c r="Q1622" s="7"/>
    </row>
    <row r="1623" spans="1:17">
      <c r="A1623" s="105"/>
      <c r="B1623" s="2"/>
      <c r="C1623" s="3"/>
      <c r="D1623" s="3"/>
      <c r="E1623" s="3"/>
      <c r="F1623" s="8"/>
      <c r="G1623" s="215" t="str">
        <f>IF(AND($B1623="",OR(B1623&lt;&gt;"",C1623&lt;&gt;"",D1623&lt;&gt;"",E1623&lt;&gt;"",F1623&lt;&gt;"")),入力リスト!$K$34,IF($I1623=TRUE,入力リスト!$K$35,IF(J1623=FALSE,"「毎月の固定給与額」","")&amp;IF(AND(J1623=FALSE,OR(K1623=FALSE,L1623=FALSE,M1623=FALSE)),",","")&amp;IF(K1623=FALSE,"「賞与額等」","")&amp;IF(AND(K1623=FALSE,OR(L1623=FALSE,M1623=FALSE)),",","")&amp;IF(L1623=FALSE,"「残業手当」","")&amp;IF(AND(L1623=FALSE,M1623=FALSE),",","")&amp;IF(M1623=FALSE,"「残業時間」","")&amp;IF(OR(J1623=FALSE,K1623=FALSE,L1623=FALSE,M1623=FALSE),入力リスト!$K$36,"")&amp;IF(N1623,"",入力リスト!$K$37)))</f>
        <v/>
      </c>
      <c r="H1623" s="215"/>
      <c r="I1623" s="1" t="b">
        <f>IF(B1623="",FALSE,COUNTIF('従業員情報(給与以外)'!$A$4:$A$1000000,$B1623)=0)</f>
        <v>0</v>
      </c>
      <c r="J1623" s="8" t="b">
        <f t="shared" si="125"/>
        <v>1</v>
      </c>
      <c r="K1623" s="8" t="b">
        <f t="shared" si="126"/>
        <v>1</v>
      </c>
      <c r="L1623" s="8" t="b">
        <f t="shared" si="127"/>
        <v>1</v>
      </c>
      <c r="M1623" s="8" t="b">
        <f t="shared" si="128"/>
        <v>1</v>
      </c>
      <c r="N1623" s="1" t="b">
        <f t="shared" si="129"/>
        <v>1</v>
      </c>
      <c r="O1623" s="8" t="str">
        <f>IF(F1623="","",IF($F$2=入力リスト!$H$25,ROUNDDOWN(INT(F1623)+ROUNDDOWN((F1623-INT(F1623))*100,0)/60,2),F1623))</f>
        <v/>
      </c>
      <c r="P1623" s="7"/>
      <c r="Q1623" s="7"/>
    </row>
    <row r="1624" spans="1:17">
      <c r="A1624" s="105"/>
      <c r="B1624" s="2"/>
      <c r="C1624" s="3"/>
      <c r="D1624" s="3"/>
      <c r="E1624" s="3"/>
      <c r="F1624" s="8"/>
      <c r="G1624" s="215" t="str">
        <f>IF(AND($B1624="",OR(B1624&lt;&gt;"",C1624&lt;&gt;"",D1624&lt;&gt;"",E1624&lt;&gt;"",F1624&lt;&gt;"")),入力リスト!$K$34,IF($I1624=TRUE,入力リスト!$K$35,IF(J1624=FALSE,"「毎月の固定給与額」","")&amp;IF(AND(J1624=FALSE,OR(K1624=FALSE,L1624=FALSE,M1624=FALSE)),",","")&amp;IF(K1624=FALSE,"「賞与額等」","")&amp;IF(AND(K1624=FALSE,OR(L1624=FALSE,M1624=FALSE)),",","")&amp;IF(L1624=FALSE,"「残業手当」","")&amp;IF(AND(L1624=FALSE,M1624=FALSE),",","")&amp;IF(M1624=FALSE,"「残業時間」","")&amp;IF(OR(J1624=FALSE,K1624=FALSE,L1624=FALSE,M1624=FALSE),入力リスト!$K$36,"")&amp;IF(N1624,"",入力リスト!$K$37)))</f>
        <v/>
      </c>
      <c r="H1624" s="215"/>
      <c r="I1624" s="1" t="b">
        <f>IF(B1624="",FALSE,COUNTIF('従業員情報(給与以外)'!$A$4:$A$1000000,$B1624)=0)</f>
        <v>0</v>
      </c>
      <c r="J1624" s="8" t="b">
        <f t="shared" si="125"/>
        <v>1</v>
      </c>
      <c r="K1624" s="8" t="b">
        <f t="shared" si="126"/>
        <v>1</v>
      </c>
      <c r="L1624" s="8" t="b">
        <f t="shared" si="127"/>
        <v>1</v>
      </c>
      <c r="M1624" s="8" t="b">
        <f t="shared" si="128"/>
        <v>1</v>
      </c>
      <c r="N1624" s="1" t="b">
        <f t="shared" si="129"/>
        <v>1</v>
      </c>
      <c r="O1624" s="8" t="str">
        <f>IF(F1624="","",IF($F$2=入力リスト!$H$25,ROUNDDOWN(INT(F1624)+ROUNDDOWN((F1624-INT(F1624))*100,0)/60,2),F1624))</f>
        <v/>
      </c>
      <c r="P1624" s="7"/>
      <c r="Q1624" s="7"/>
    </row>
    <row r="1625" spans="1:17">
      <c r="A1625" s="105"/>
      <c r="B1625" s="2"/>
      <c r="C1625" s="3"/>
      <c r="D1625" s="3"/>
      <c r="E1625" s="3"/>
      <c r="F1625" s="8"/>
      <c r="G1625" s="215" t="str">
        <f>IF(AND($B1625="",OR(B1625&lt;&gt;"",C1625&lt;&gt;"",D1625&lt;&gt;"",E1625&lt;&gt;"",F1625&lt;&gt;"")),入力リスト!$K$34,IF($I1625=TRUE,入力リスト!$K$35,IF(J1625=FALSE,"「毎月の固定給与額」","")&amp;IF(AND(J1625=FALSE,OR(K1625=FALSE,L1625=FALSE,M1625=FALSE)),",","")&amp;IF(K1625=FALSE,"「賞与額等」","")&amp;IF(AND(K1625=FALSE,OR(L1625=FALSE,M1625=FALSE)),",","")&amp;IF(L1625=FALSE,"「残業手当」","")&amp;IF(AND(L1625=FALSE,M1625=FALSE),",","")&amp;IF(M1625=FALSE,"「残業時間」","")&amp;IF(OR(J1625=FALSE,K1625=FALSE,L1625=FALSE,M1625=FALSE),入力リスト!$K$36,"")&amp;IF(N1625,"",入力リスト!$K$37)))</f>
        <v/>
      </c>
      <c r="H1625" s="215"/>
      <c r="I1625" s="1" t="b">
        <f>IF(B1625="",FALSE,COUNTIF('従業員情報(給与以外)'!$A$4:$A$1000000,$B1625)=0)</f>
        <v>0</v>
      </c>
      <c r="J1625" s="8" t="b">
        <f t="shared" si="125"/>
        <v>1</v>
      </c>
      <c r="K1625" s="8" t="b">
        <f t="shared" si="126"/>
        <v>1</v>
      </c>
      <c r="L1625" s="8" t="b">
        <f t="shared" si="127"/>
        <v>1</v>
      </c>
      <c r="M1625" s="8" t="b">
        <f t="shared" si="128"/>
        <v>1</v>
      </c>
      <c r="N1625" s="1" t="b">
        <f t="shared" si="129"/>
        <v>1</v>
      </c>
      <c r="O1625" s="8" t="str">
        <f>IF(F1625="","",IF($F$2=入力リスト!$H$25,ROUNDDOWN(INT(F1625)+ROUNDDOWN((F1625-INT(F1625))*100,0)/60,2),F1625))</f>
        <v/>
      </c>
      <c r="P1625" s="7"/>
      <c r="Q1625" s="7"/>
    </row>
    <row r="1626" spans="1:17">
      <c r="A1626" s="105"/>
      <c r="B1626" s="2"/>
      <c r="C1626" s="3"/>
      <c r="D1626" s="3"/>
      <c r="E1626" s="3"/>
      <c r="F1626" s="8"/>
      <c r="G1626" s="215" t="str">
        <f>IF(AND($B1626="",OR(B1626&lt;&gt;"",C1626&lt;&gt;"",D1626&lt;&gt;"",E1626&lt;&gt;"",F1626&lt;&gt;"")),入力リスト!$K$34,IF($I1626=TRUE,入力リスト!$K$35,IF(J1626=FALSE,"「毎月の固定給与額」","")&amp;IF(AND(J1626=FALSE,OR(K1626=FALSE,L1626=FALSE,M1626=FALSE)),",","")&amp;IF(K1626=FALSE,"「賞与額等」","")&amp;IF(AND(K1626=FALSE,OR(L1626=FALSE,M1626=FALSE)),",","")&amp;IF(L1626=FALSE,"「残業手当」","")&amp;IF(AND(L1626=FALSE,M1626=FALSE),",","")&amp;IF(M1626=FALSE,"「残業時間」","")&amp;IF(OR(J1626=FALSE,K1626=FALSE,L1626=FALSE,M1626=FALSE),入力リスト!$K$36,"")&amp;IF(N1626,"",入力リスト!$K$37)))</f>
        <v/>
      </c>
      <c r="H1626" s="215"/>
      <c r="I1626" s="1" t="b">
        <f>IF(B1626="",FALSE,COUNTIF('従業員情報(給与以外)'!$A$4:$A$1000000,$B1626)=0)</f>
        <v>0</v>
      </c>
      <c r="J1626" s="8" t="b">
        <f t="shared" si="125"/>
        <v>1</v>
      </c>
      <c r="K1626" s="8" t="b">
        <f t="shared" si="126"/>
        <v>1</v>
      </c>
      <c r="L1626" s="8" t="b">
        <f t="shared" si="127"/>
        <v>1</v>
      </c>
      <c r="M1626" s="8" t="b">
        <f t="shared" si="128"/>
        <v>1</v>
      </c>
      <c r="N1626" s="1" t="b">
        <f t="shared" si="129"/>
        <v>1</v>
      </c>
      <c r="O1626" s="8" t="str">
        <f>IF(F1626="","",IF($F$2=入力リスト!$H$25,ROUNDDOWN(INT(F1626)+ROUNDDOWN((F1626-INT(F1626))*100,0)/60,2),F1626))</f>
        <v/>
      </c>
      <c r="P1626" s="7"/>
      <c r="Q1626" s="7"/>
    </row>
    <row r="1627" spans="1:17">
      <c r="A1627" s="105"/>
      <c r="B1627" s="2"/>
      <c r="C1627" s="3"/>
      <c r="D1627" s="3"/>
      <c r="E1627" s="3"/>
      <c r="F1627" s="8"/>
      <c r="G1627" s="215" t="str">
        <f>IF(AND($B1627="",OR(B1627&lt;&gt;"",C1627&lt;&gt;"",D1627&lt;&gt;"",E1627&lt;&gt;"",F1627&lt;&gt;"")),入力リスト!$K$34,IF($I1627=TRUE,入力リスト!$K$35,IF(J1627=FALSE,"「毎月の固定給与額」","")&amp;IF(AND(J1627=FALSE,OR(K1627=FALSE,L1627=FALSE,M1627=FALSE)),",","")&amp;IF(K1627=FALSE,"「賞与額等」","")&amp;IF(AND(K1627=FALSE,OR(L1627=FALSE,M1627=FALSE)),",","")&amp;IF(L1627=FALSE,"「残業手当」","")&amp;IF(AND(L1627=FALSE,M1627=FALSE),",","")&amp;IF(M1627=FALSE,"「残業時間」","")&amp;IF(OR(J1627=FALSE,K1627=FALSE,L1627=FALSE,M1627=FALSE),入力リスト!$K$36,"")&amp;IF(N1627,"",入力リスト!$K$37)))</f>
        <v/>
      </c>
      <c r="H1627" s="215"/>
      <c r="I1627" s="1" t="b">
        <f>IF(B1627="",FALSE,COUNTIF('従業員情報(給与以外)'!$A$4:$A$1000000,$B1627)=0)</f>
        <v>0</v>
      </c>
      <c r="J1627" s="8" t="b">
        <f t="shared" si="125"/>
        <v>1</v>
      </c>
      <c r="K1627" s="8" t="b">
        <f t="shared" si="126"/>
        <v>1</v>
      </c>
      <c r="L1627" s="8" t="b">
        <f t="shared" si="127"/>
        <v>1</v>
      </c>
      <c r="M1627" s="8" t="b">
        <f t="shared" si="128"/>
        <v>1</v>
      </c>
      <c r="N1627" s="1" t="b">
        <f t="shared" si="129"/>
        <v>1</v>
      </c>
      <c r="O1627" s="8" t="str">
        <f>IF(F1627="","",IF($F$2=入力リスト!$H$25,ROUNDDOWN(INT(F1627)+ROUNDDOWN((F1627-INT(F1627))*100,0)/60,2),F1627))</f>
        <v/>
      </c>
      <c r="P1627" s="7"/>
      <c r="Q1627" s="7"/>
    </row>
    <row r="1628" spans="1:17">
      <c r="A1628" s="105"/>
      <c r="B1628" s="2"/>
      <c r="C1628" s="3"/>
      <c r="D1628" s="3"/>
      <c r="E1628" s="3"/>
      <c r="F1628" s="8"/>
      <c r="G1628" s="215" t="str">
        <f>IF(AND($B1628="",OR(B1628&lt;&gt;"",C1628&lt;&gt;"",D1628&lt;&gt;"",E1628&lt;&gt;"",F1628&lt;&gt;"")),入力リスト!$K$34,IF($I1628=TRUE,入力リスト!$K$35,IF(J1628=FALSE,"「毎月の固定給与額」","")&amp;IF(AND(J1628=FALSE,OR(K1628=FALSE,L1628=FALSE,M1628=FALSE)),",","")&amp;IF(K1628=FALSE,"「賞与額等」","")&amp;IF(AND(K1628=FALSE,OR(L1628=FALSE,M1628=FALSE)),",","")&amp;IF(L1628=FALSE,"「残業手当」","")&amp;IF(AND(L1628=FALSE,M1628=FALSE),",","")&amp;IF(M1628=FALSE,"「残業時間」","")&amp;IF(OR(J1628=FALSE,K1628=FALSE,L1628=FALSE,M1628=FALSE),入力リスト!$K$36,"")&amp;IF(N1628,"",入力リスト!$K$37)))</f>
        <v/>
      </c>
      <c r="H1628" s="215"/>
      <c r="I1628" s="1" t="b">
        <f>IF(B1628="",FALSE,COUNTIF('従業員情報(給与以外)'!$A$4:$A$1000000,$B1628)=0)</f>
        <v>0</v>
      </c>
      <c r="J1628" s="8" t="b">
        <f t="shared" si="125"/>
        <v>1</v>
      </c>
      <c r="K1628" s="8" t="b">
        <f t="shared" si="126"/>
        <v>1</v>
      </c>
      <c r="L1628" s="8" t="b">
        <f t="shared" si="127"/>
        <v>1</v>
      </c>
      <c r="M1628" s="8" t="b">
        <f t="shared" si="128"/>
        <v>1</v>
      </c>
      <c r="N1628" s="1" t="b">
        <f t="shared" si="129"/>
        <v>1</v>
      </c>
      <c r="O1628" s="8" t="str">
        <f>IF(F1628="","",IF($F$2=入力リスト!$H$25,ROUNDDOWN(INT(F1628)+ROUNDDOWN((F1628-INT(F1628))*100,0)/60,2),F1628))</f>
        <v/>
      </c>
      <c r="P1628" s="7"/>
      <c r="Q1628" s="7"/>
    </row>
    <row r="1629" spans="1:17">
      <c r="A1629" s="105"/>
      <c r="B1629" s="2"/>
      <c r="C1629" s="3"/>
      <c r="D1629" s="3"/>
      <c r="E1629" s="3"/>
      <c r="F1629" s="8"/>
      <c r="G1629" s="215" t="str">
        <f>IF(AND($B1629="",OR(B1629&lt;&gt;"",C1629&lt;&gt;"",D1629&lt;&gt;"",E1629&lt;&gt;"",F1629&lt;&gt;"")),入力リスト!$K$34,IF($I1629=TRUE,入力リスト!$K$35,IF(J1629=FALSE,"「毎月の固定給与額」","")&amp;IF(AND(J1629=FALSE,OR(K1629=FALSE,L1629=FALSE,M1629=FALSE)),",","")&amp;IF(K1629=FALSE,"「賞与額等」","")&amp;IF(AND(K1629=FALSE,OR(L1629=FALSE,M1629=FALSE)),",","")&amp;IF(L1629=FALSE,"「残業手当」","")&amp;IF(AND(L1629=FALSE,M1629=FALSE),",","")&amp;IF(M1629=FALSE,"「残業時間」","")&amp;IF(OR(J1629=FALSE,K1629=FALSE,L1629=FALSE,M1629=FALSE),入力リスト!$K$36,"")&amp;IF(N1629,"",入力リスト!$K$37)))</f>
        <v/>
      </c>
      <c r="H1629" s="215"/>
      <c r="I1629" s="1" t="b">
        <f>IF(B1629="",FALSE,COUNTIF('従業員情報(給与以外)'!$A$4:$A$1000000,$B1629)=0)</f>
        <v>0</v>
      </c>
      <c r="J1629" s="8" t="b">
        <f t="shared" si="125"/>
        <v>1</v>
      </c>
      <c r="K1629" s="8" t="b">
        <f t="shared" si="126"/>
        <v>1</v>
      </c>
      <c r="L1629" s="8" t="b">
        <f t="shared" si="127"/>
        <v>1</v>
      </c>
      <c r="M1629" s="8" t="b">
        <f t="shared" si="128"/>
        <v>1</v>
      </c>
      <c r="N1629" s="1" t="b">
        <f t="shared" si="129"/>
        <v>1</v>
      </c>
      <c r="O1629" s="8" t="str">
        <f>IF(F1629="","",IF($F$2=入力リスト!$H$25,ROUNDDOWN(INT(F1629)+ROUNDDOWN((F1629-INT(F1629))*100,0)/60,2),F1629))</f>
        <v/>
      </c>
      <c r="P1629" s="7"/>
      <c r="Q1629" s="7"/>
    </row>
    <row r="1630" spans="1:17">
      <c r="A1630" s="105"/>
      <c r="B1630" s="2"/>
      <c r="C1630" s="3"/>
      <c r="D1630" s="3"/>
      <c r="E1630" s="3"/>
      <c r="F1630" s="8"/>
      <c r="G1630" s="215" t="str">
        <f>IF(AND($B1630="",OR(B1630&lt;&gt;"",C1630&lt;&gt;"",D1630&lt;&gt;"",E1630&lt;&gt;"",F1630&lt;&gt;"")),入力リスト!$K$34,IF($I1630=TRUE,入力リスト!$K$35,IF(J1630=FALSE,"「毎月の固定給与額」","")&amp;IF(AND(J1630=FALSE,OR(K1630=FALSE,L1630=FALSE,M1630=FALSE)),",","")&amp;IF(K1630=FALSE,"「賞与額等」","")&amp;IF(AND(K1630=FALSE,OR(L1630=FALSE,M1630=FALSE)),",","")&amp;IF(L1630=FALSE,"「残業手当」","")&amp;IF(AND(L1630=FALSE,M1630=FALSE),",","")&amp;IF(M1630=FALSE,"「残業時間」","")&amp;IF(OR(J1630=FALSE,K1630=FALSE,L1630=FALSE,M1630=FALSE),入力リスト!$K$36,"")&amp;IF(N1630,"",入力リスト!$K$37)))</f>
        <v/>
      </c>
      <c r="H1630" s="215"/>
      <c r="I1630" s="1" t="b">
        <f>IF(B1630="",FALSE,COUNTIF('従業員情報(給与以外)'!$A$4:$A$1000000,$B1630)=0)</f>
        <v>0</v>
      </c>
      <c r="J1630" s="8" t="b">
        <f t="shared" si="125"/>
        <v>1</v>
      </c>
      <c r="K1630" s="8" t="b">
        <f t="shared" si="126"/>
        <v>1</v>
      </c>
      <c r="L1630" s="8" t="b">
        <f t="shared" si="127"/>
        <v>1</v>
      </c>
      <c r="M1630" s="8" t="b">
        <f t="shared" si="128"/>
        <v>1</v>
      </c>
      <c r="N1630" s="1" t="b">
        <f t="shared" si="129"/>
        <v>1</v>
      </c>
      <c r="O1630" s="8" t="str">
        <f>IF(F1630="","",IF($F$2=入力リスト!$H$25,ROUNDDOWN(INT(F1630)+ROUNDDOWN((F1630-INT(F1630))*100,0)/60,2),F1630))</f>
        <v/>
      </c>
      <c r="P1630" s="7"/>
      <c r="Q1630" s="7"/>
    </row>
    <row r="1631" spans="1:17">
      <c r="A1631" s="105"/>
      <c r="B1631" s="2"/>
      <c r="C1631" s="3"/>
      <c r="D1631" s="3"/>
      <c r="E1631" s="3"/>
      <c r="F1631" s="8"/>
      <c r="G1631" s="215" t="str">
        <f>IF(AND($B1631="",OR(B1631&lt;&gt;"",C1631&lt;&gt;"",D1631&lt;&gt;"",E1631&lt;&gt;"",F1631&lt;&gt;"")),入力リスト!$K$34,IF($I1631=TRUE,入力リスト!$K$35,IF(J1631=FALSE,"「毎月の固定給与額」","")&amp;IF(AND(J1631=FALSE,OR(K1631=FALSE,L1631=FALSE,M1631=FALSE)),",","")&amp;IF(K1631=FALSE,"「賞与額等」","")&amp;IF(AND(K1631=FALSE,OR(L1631=FALSE,M1631=FALSE)),",","")&amp;IF(L1631=FALSE,"「残業手当」","")&amp;IF(AND(L1631=FALSE,M1631=FALSE),",","")&amp;IF(M1631=FALSE,"「残業時間」","")&amp;IF(OR(J1631=FALSE,K1631=FALSE,L1631=FALSE,M1631=FALSE),入力リスト!$K$36,"")&amp;IF(N1631,"",入力リスト!$K$37)))</f>
        <v/>
      </c>
      <c r="H1631" s="215"/>
      <c r="I1631" s="1" t="b">
        <f>IF(B1631="",FALSE,COUNTIF('従業員情報(給与以外)'!$A$4:$A$1000000,$B1631)=0)</f>
        <v>0</v>
      </c>
      <c r="J1631" s="8" t="b">
        <f t="shared" si="125"/>
        <v>1</v>
      </c>
      <c r="K1631" s="8" t="b">
        <f t="shared" si="126"/>
        <v>1</v>
      </c>
      <c r="L1631" s="8" t="b">
        <f t="shared" si="127"/>
        <v>1</v>
      </c>
      <c r="M1631" s="8" t="b">
        <f t="shared" si="128"/>
        <v>1</v>
      </c>
      <c r="N1631" s="1" t="b">
        <f t="shared" si="129"/>
        <v>1</v>
      </c>
      <c r="O1631" s="8" t="str">
        <f>IF(F1631="","",IF($F$2=入力リスト!$H$25,ROUNDDOWN(INT(F1631)+ROUNDDOWN((F1631-INT(F1631))*100,0)/60,2),F1631))</f>
        <v/>
      </c>
      <c r="P1631" s="7"/>
      <c r="Q1631" s="7"/>
    </row>
    <row r="1632" spans="1:17">
      <c r="A1632" s="105"/>
      <c r="B1632" s="2"/>
      <c r="C1632" s="3"/>
      <c r="D1632" s="3"/>
      <c r="E1632" s="3"/>
      <c r="F1632" s="8"/>
      <c r="G1632" s="215" t="str">
        <f>IF(AND($B1632="",OR(B1632&lt;&gt;"",C1632&lt;&gt;"",D1632&lt;&gt;"",E1632&lt;&gt;"",F1632&lt;&gt;"")),入力リスト!$K$34,IF($I1632=TRUE,入力リスト!$K$35,IF(J1632=FALSE,"「毎月の固定給与額」","")&amp;IF(AND(J1632=FALSE,OR(K1632=FALSE,L1632=FALSE,M1632=FALSE)),",","")&amp;IF(K1632=FALSE,"「賞与額等」","")&amp;IF(AND(K1632=FALSE,OR(L1632=FALSE,M1632=FALSE)),",","")&amp;IF(L1632=FALSE,"「残業手当」","")&amp;IF(AND(L1632=FALSE,M1632=FALSE),",","")&amp;IF(M1632=FALSE,"「残業時間」","")&amp;IF(OR(J1632=FALSE,K1632=FALSE,L1632=FALSE,M1632=FALSE),入力リスト!$K$36,"")&amp;IF(N1632,"",入力リスト!$K$37)))</f>
        <v/>
      </c>
      <c r="H1632" s="215"/>
      <c r="I1632" s="1" t="b">
        <f>IF(B1632="",FALSE,COUNTIF('従業員情報(給与以外)'!$A$4:$A$1000000,$B1632)=0)</f>
        <v>0</v>
      </c>
      <c r="J1632" s="8" t="b">
        <f t="shared" si="125"/>
        <v>1</v>
      </c>
      <c r="K1632" s="8" t="b">
        <f t="shared" si="126"/>
        <v>1</v>
      </c>
      <c r="L1632" s="8" t="b">
        <f t="shared" si="127"/>
        <v>1</v>
      </c>
      <c r="M1632" s="8" t="b">
        <f t="shared" si="128"/>
        <v>1</v>
      </c>
      <c r="N1632" s="1" t="b">
        <f t="shared" si="129"/>
        <v>1</v>
      </c>
      <c r="O1632" s="8" t="str">
        <f>IF(F1632="","",IF($F$2=入力リスト!$H$25,ROUNDDOWN(INT(F1632)+ROUNDDOWN((F1632-INT(F1632))*100,0)/60,2),F1632))</f>
        <v/>
      </c>
      <c r="P1632" s="7"/>
      <c r="Q1632" s="7"/>
    </row>
    <row r="1633" spans="1:17">
      <c r="A1633" s="105"/>
      <c r="B1633" s="2"/>
      <c r="C1633" s="3"/>
      <c r="D1633" s="3"/>
      <c r="E1633" s="3"/>
      <c r="F1633" s="8"/>
      <c r="G1633" s="215" t="str">
        <f>IF(AND($B1633="",OR(B1633&lt;&gt;"",C1633&lt;&gt;"",D1633&lt;&gt;"",E1633&lt;&gt;"",F1633&lt;&gt;"")),入力リスト!$K$34,IF($I1633=TRUE,入力リスト!$K$35,IF(J1633=FALSE,"「毎月の固定給与額」","")&amp;IF(AND(J1633=FALSE,OR(K1633=FALSE,L1633=FALSE,M1633=FALSE)),",","")&amp;IF(K1633=FALSE,"「賞与額等」","")&amp;IF(AND(K1633=FALSE,OR(L1633=FALSE,M1633=FALSE)),",","")&amp;IF(L1633=FALSE,"「残業手当」","")&amp;IF(AND(L1633=FALSE,M1633=FALSE),",","")&amp;IF(M1633=FALSE,"「残業時間」","")&amp;IF(OR(J1633=FALSE,K1633=FALSE,L1633=FALSE,M1633=FALSE),入力リスト!$K$36,"")&amp;IF(N1633,"",入力リスト!$K$37)))</f>
        <v/>
      </c>
      <c r="H1633" s="215"/>
      <c r="I1633" s="1" t="b">
        <f>IF(B1633="",FALSE,COUNTIF('従業員情報(給与以外)'!$A$4:$A$1000000,$B1633)=0)</f>
        <v>0</v>
      </c>
      <c r="J1633" s="8" t="b">
        <f t="shared" si="125"/>
        <v>1</v>
      </c>
      <c r="K1633" s="8" t="b">
        <f t="shared" si="126"/>
        <v>1</v>
      </c>
      <c r="L1633" s="8" t="b">
        <f t="shared" si="127"/>
        <v>1</v>
      </c>
      <c r="M1633" s="8" t="b">
        <f t="shared" si="128"/>
        <v>1</v>
      </c>
      <c r="N1633" s="1" t="b">
        <f t="shared" si="129"/>
        <v>1</v>
      </c>
      <c r="O1633" s="8" t="str">
        <f>IF(F1633="","",IF($F$2=入力リスト!$H$25,ROUNDDOWN(INT(F1633)+ROUNDDOWN((F1633-INT(F1633))*100,0)/60,2),F1633))</f>
        <v/>
      </c>
      <c r="P1633" s="7"/>
      <c r="Q1633" s="7"/>
    </row>
    <row r="1634" spans="1:17">
      <c r="A1634" s="105"/>
      <c r="B1634" s="2"/>
      <c r="C1634" s="3"/>
      <c r="D1634" s="3"/>
      <c r="E1634" s="3"/>
      <c r="F1634" s="8"/>
      <c r="G1634" s="215" t="str">
        <f>IF(AND($B1634="",OR(B1634&lt;&gt;"",C1634&lt;&gt;"",D1634&lt;&gt;"",E1634&lt;&gt;"",F1634&lt;&gt;"")),入力リスト!$K$34,IF($I1634=TRUE,入力リスト!$K$35,IF(J1634=FALSE,"「毎月の固定給与額」","")&amp;IF(AND(J1634=FALSE,OR(K1634=FALSE,L1634=FALSE,M1634=FALSE)),",","")&amp;IF(K1634=FALSE,"「賞与額等」","")&amp;IF(AND(K1634=FALSE,OR(L1634=FALSE,M1634=FALSE)),",","")&amp;IF(L1634=FALSE,"「残業手当」","")&amp;IF(AND(L1634=FALSE,M1634=FALSE),",","")&amp;IF(M1634=FALSE,"「残業時間」","")&amp;IF(OR(J1634=FALSE,K1634=FALSE,L1634=FALSE,M1634=FALSE),入力リスト!$K$36,"")&amp;IF(N1634,"",入力リスト!$K$37)))</f>
        <v/>
      </c>
      <c r="H1634" s="215"/>
      <c r="I1634" s="1" t="b">
        <f>IF(B1634="",FALSE,COUNTIF('従業員情報(給与以外)'!$A$4:$A$1000000,$B1634)=0)</f>
        <v>0</v>
      </c>
      <c r="J1634" s="8" t="b">
        <f t="shared" si="125"/>
        <v>1</v>
      </c>
      <c r="K1634" s="8" t="b">
        <f t="shared" si="126"/>
        <v>1</v>
      </c>
      <c r="L1634" s="8" t="b">
        <f t="shared" si="127"/>
        <v>1</v>
      </c>
      <c r="M1634" s="8" t="b">
        <f t="shared" si="128"/>
        <v>1</v>
      </c>
      <c r="N1634" s="1" t="b">
        <f t="shared" si="129"/>
        <v>1</v>
      </c>
      <c r="O1634" s="8" t="str">
        <f>IF(F1634="","",IF($F$2=入力リスト!$H$25,ROUNDDOWN(INT(F1634)+ROUNDDOWN((F1634-INT(F1634))*100,0)/60,2),F1634))</f>
        <v/>
      </c>
      <c r="P1634" s="7"/>
      <c r="Q1634" s="7"/>
    </row>
    <row r="1635" spans="1:17">
      <c r="A1635" s="105"/>
      <c r="B1635" s="2"/>
      <c r="C1635" s="3"/>
      <c r="D1635" s="3"/>
      <c r="E1635" s="3"/>
      <c r="F1635" s="8"/>
      <c r="G1635" s="215" t="str">
        <f>IF(AND($B1635="",OR(B1635&lt;&gt;"",C1635&lt;&gt;"",D1635&lt;&gt;"",E1635&lt;&gt;"",F1635&lt;&gt;"")),入力リスト!$K$34,IF($I1635=TRUE,入力リスト!$K$35,IF(J1635=FALSE,"「毎月の固定給与額」","")&amp;IF(AND(J1635=FALSE,OR(K1635=FALSE,L1635=FALSE,M1635=FALSE)),",","")&amp;IF(K1635=FALSE,"「賞与額等」","")&amp;IF(AND(K1635=FALSE,OR(L1635=FALSE,M1635=FALSE)),",","")&amp;IF(L1635=FALSE,"「残業手当」","")&amp;IF(AND(L1635=FALSE,M1635=FALSE),",","")&amp;IF(M1635=FALSE,"「残業時間」","")&amp;IF(OR(J1635=FALSE,K1635=FALSE,L1635=FALSE,M1635=FALSE),入力リスト!$K$36,"")&amp;IF(N1635,"",入力リスト!$K$37)))</f>
        <v/>
      </c>
      <c r="H1635" s="215"/>
      <c r="I1635" s="1" t="b">
        <f>IF(B1635="",FALSE,COUNTIF('従業員情報(給与以外)'!$A$4:$A$1000000,$B1635)=0)</f>
        <v>0</v>
      </c>
      <c r="J1635" s="8" t="b">
        <f t="shared" si="125"/>
        <v>1</v>
      </c>
      <c r="K1635" s="8" t="b">
        <f t="shared" si="126"/>
        <v>1</v>
      </c>
      <c r="L1635" s="8" t="b">
        <f t="shared" si="127"/>
        <v>1</v>
      </c>
      <c r="M1635" s="8" t="b">
        <f t="shared" si="128"/>
        <v>1</v>
      </c>
      <c r="N1635" s="1" t="b">
        <f t="shared" si="129"/>
        <v>1</v>
      </c>
      <c r="O1635" s="8" t="str">
        <f>IF(F1635="","",IF($F$2=入力リスト!$H$25,ROUNDDOWN(INT(F1635)+ROUNDDOWN((F1635-INT(F1635))*100,0)/60,2),F1635))</f>
        <v/>
      </c>
      <c r="P1635" s="7"/>
      <c r="Q1635" s="7"/>
    </row>
    <row r="1636" spans="1:17">
      <c r="A1636" s="105"/>
      <c r="B1636" s="2"/>
      <c r="C1636" s="3"/>
      <c r="D1636" s="3"/>
      <c r="E1636" s="3"/>
      <c r="F1636" s="8"/>
      <c r="G1636" s="215" t="str">
        <f>IF(AND($B1636="",OR(B1636&lt;&gt;"",C1636&lt;&gt;"",D1636&lt;&gt;"",E1636&lt;&gt;"",F1636&lt;&gt;"")),入力リスト!$K$34,IF($I1636=TRUE,入力リスト!$K$35,IF(J1636=FALSE,"「毎月の固定給与額」","")&amp;IF(AND(J1636=FALSE,OR(K1636=FALSE,L1636=FALSE,M1636=FALSE)),",","")&amp;IF(K1636=FALSE,"「賞与額等」","")&amp;IF(AND(K1636=FALSE,OR(L1636=FALSE,M1636=FALSE)),",","")&amp;IF(L1636=FALSE,"「残業手当」","")&amp;IF(AND(L1636=FALSE,M1636=FALSE),",","")&amp;IF(M1636=FALSE,"「残業時間」","")&amp;IF(OR(J1636=FALSE,K1636=FALSE,L1636=FALSE,M1636=FALSE),入力リスト!$K$36,"")&amp;IF(N1636,"",入力リスト!$K$37)))</f>
        <v/>
      </c>
      <c r="H1636" s="215"/>
      <c r="I1636" s="1" t="b">
        <f>IF(B1636="",FALSE,COUNTIF('従業員情報(給与以外)'!$A$4:$A$1000000,$B1636)=0)</f>
        <v>0</v>
      </c>
      <c r="J1636" s="8" t="b">
        <f t="shared" si="125"/>
        <v>1</v>
      </c>
      <c r="K1636" s="8" t="b">
        <f t="shared" si="126"/>
        <v>1</v>
      </c>
      <c r="L1636" s="8" t="b">
        <f t="shared" si="127"/>
        <v>1</v>
      </c>
      <c r="M1636" s="8" t="b">
        <f t="shared" si="128"/>
        <v>1</v>
      </c>
      <c r="N1636" s="1" t="b">
        <f t="shared" si="129"/>
        <v>1</v>
      </c>
      <c r="O1636" s="8" t="str">
        <f>IF(F1636="","",IF($F$2=入力リスト!$H$25,ROUNDDOWN(INT(F1636)+ROUNDDOWN((F1636-INT(F1636))*100,0)/60,2),F1636))</f>
        <v/>
      </c>
      <c r="P1636" s="7"/>
      <c r="Q1636" s="7"/>
    </row>
    <row r="1637" spans="1:17">
      <c r="A1637" s="105"/>
      <c r="B1637" s="2"/>
      <c r="C1637" s="3"/>
      <c r="D1637" s="3"/>
      <c r="E1637" s="3"/>
      <c r="F1637" s="8"/>
      <c r="G1637" s="215" t="str">
        <f>IF(AND($B1637="",OR(B1637&lt;&gt;"",C1637&lt;&gt;"",D1637&lt;&gt;"",E1637&lt;&gt;"",F1637&lt;&gt;"")),入力リスト!$K$34,IF($I1637=TRUE,入力リスト!$K$35,IF(J1637=FALSE,"「毎月の固定給与額」","")&amp;IF(AND(J1637=FALSE,OR(K1637=FALSE,L1637=FALSE,M1637=FALSE)),",","")&amp;IF(K1637=FALSE,"「賞与額等」","")&amp;IF(AND(K1637=FALSE,OR(L1637=FALSE,M1637=FALSE)),",","")&amp;IF(L1637=FALSE,"「残業手当」","")&amp;IF(AND(L1637=FALSE,M1637=FALSE),",","")&amp;IF(M1637=FALSE,"「残業時間」","")&amp;IF(OR(J1637=FALSE,K1637=FALSE,L1637=FALSE,M1637=FALSE),入力リスト!$K$36,"")&amp;IF(N1637,"",入力リスト!$K$37)))</f>
        <v/>
      </c>
      <c r="H1637" s="215"/>
      <c r="I1637" s="1" t="b">
        <f>IF(B1637="",FALSE,COUNTIF('従業員情報(給与以外)'!$A$4:$A$1000000,$B1637)=0)</f>
        <v>0</v>
      </c>
      <c r="J1637" s="8" t="b">
        <f t="shared" si="125"/>
        <v>1</v>
      </c>
      <c r="K1637" s="8" t="b">
        <f t="shared" si="126"/>
        <v>1</v>
      </c>
      <c r="L1637" s="8" t="b">
        <f t="shared" si="127"/>
        <v>1</v>
      </c>
      <c r="M1637" s="8" t="b">
        <f t="shared" si="128"/>
        <v>1</v>
      </c>
      <c r="N1637" s="1" t="b">
        <f t="shared" si="129"/>
        <v>1</v>
      </c>
      <c r="O1637" s="8" t="str">
        <f>IF(F1637="","",IF($F$2=入力リスト!$H$25,ROUNDDOWN(INT(F1637)+ROUNDDOWN((F1637-INT(F1637))*100,0)/60,2),F1637))</f>
        <v/>
      </c>
      <c r="P1637" s="7"/>
      <c r="Q1637" s="7"/>
    </row>
    <row r="1638" spans="1:17">
      <c r="A1638" s="105"/>
      <c r="B1638" s="2"/>
      <c r="C1638" s="3"/>
      <c r="D1638" s="3"/>
      <c r="E1638" s="3"/>
      <c r="F1638" s="8"/>
      <c r="G1638" s="215" t="str">
        <f>IF(AND($B1638="",OR(B1638&lt;&gt;"",C1638&lt;&gt;"",D1638&lt;&gt;"",E1638&lt;&gt;"",F1638&lt;&gt;"")),入力リスト!$K$34,IF($I1638=TRUE,入力リスト!$K$35,IF(J1638=FALSE,"「毎月の固定給与額」","")&amp;IF(AND(J1638=FALSE,OR(K1638=FALSE,L1638=FALSE,M1638=FALSE)),",","")&amp;IF(K1638=FALSE,"「賞与額等」","")&amp;IF(AND(K1638=FALSE,OR(L1638=FALSE,M1638=FALSE)),",","")&amp;IF(L1638=FALSE,"「残業手当」","")&amp;IF(AND(L1638=FALSE,M1638=FALSE),",","")&amp;IF(M1638=FALSE,"「残業時間」","")&amp;IF(OR(J1638=FALSE,K1638=FALSE,L1638=FALSE,M1638=FALSE),入力リスト!$K$36,"")&amp;IF(N1638,"",入力リスト!$K$37)))</f>
        <v/>
      </c>
      <c r="H1638" s="215"/>
      <c r="I1638" s="1" t="b">
        <f>IF(B1638="",FALSE,COUNTIF('従業員情報(給与以外)'!$A$4:$A$1000000,$B1638)=0)</f>
        <v>0</v>
      </c>
      <c r="J1638" s="8" t="b">
        <f t="shared" si="125"/>
        <v>1</v>
      </c>
      <c r="K1638" s="8" t="b">
        <f t="shared" si="126"/>
        <v>1</v>
      </c>
      <c r="L1638" s="8" t="b">
        <f t="shared" si="127"/>
        <v>1</v>
      </c>
      <c r="M1638" s="8" t="b">
        <f t="shared" si="128"/>
        <v>1</v>
      </c>
      <c r="N1638" s="1" t="b">
        <f t="shared" si="129"/>
        <v>1</v>
      </c>
      <c r="O1638" s="8" t="str">
        <f>IF(F1638="","",IF($F$2=入力リスト!$H$25,ROUNDDOWN(INT(F1638)+ROUNDDOWN((F1638-INT(F1638))*100,0)/60,2),F1638))</f>
        <v/>
      </c>
      <c r="P1638" s="7"/>
      <c r="Q1638" s="7"/>
    </row>
    <row r="1639" spans="1:17">
      <c r="A1639" s="105"/>
      <c r="B1639" s="2"/>
      <c r="C1639" s="3"/>
      <c r="D1639" s="3"/>
      <c r="E1639" s="3"/>
      <c r="F1639" s="8"/>
      <c r="G1639" s="215" t="str">
        <f>IF(AND($B1639="",OR(B1639&lt;&gt;"",C1639&lt;&gt;"",D1639&lt;&gt;"",E1639&lt;&gt;"",F1639&lt;&gt;"")),入力リスト!$K$34,IF($I1639=TRUE,入力リスト!$K$35,IF(J1639=FALSE,"「毎月の固定給与額」","")&amp;IF(AND(J1639=FALSE,OR(K1639=FALSE,L1639=FALSE,M1639=FALSE)),",","")&amp;IF(K1639=FALSE,"「賞与額等」","")&amp;IF(AND(K1639=FALSE,OR(L1639=FALSE,M1639=FALSE)),",","")&amp;IF(L1639=FALSE,"「残業手当」","")&amp;IF(AND(L1639=FALSE,M1639=FALSE),",","")&amp;IF(M1639=FALSE,"「残業時間」","")&amp;IF(OR(J1639=FALSE,K1639=FALSE,L1639=FALSE,M1639=FALSE),入力リスト!$K$36,"")&amp;IF(N1639,"",入力リスト!$K$37)))</f>
        <v/>
      </c>
      <c r="H1639" s="215"/>
      <c r="I1639" s="1" t="b">
        <f>IF(B1639="",FALSE,COUNTIF('従業員情報(給与以外)'!$A$4:$A$1000000,$B1639)=0)</f>
        <v>0</v>
      </c>
      <c r="J1639" s="8" t="b">
        <f t="shared" si="125"/>
        <v>1</v>
      </c>
      <c r="K1639" s="8" t="b">
        <f t="shared" si="126"/>
        <v>1</v>
      </c>
      <c r="L1639" s="8" t="b">
        <f t="shared" si="127"/>
        <v>1</v>
      </c>
      <c r="M1639" s="8" t="b">
        <f t="shared" si="128"/>
        <v>1</v>
      </c>
      <c r="N1639" s="1" t="b">
        <f t="shared" si="129"/>
        <v>1</v>
      </c>
      <c r="O1639" s="8" t="str">
        <f>IF(F1639="","",IF($F$2=入力リスト!$H$25,ROUNDDOWN(INT(F1639)+ROUNDDOWN((F1639-INT(F1639))*100,0)/60,2),F1639))</f>
        <v/>
      </c>
      <c r="P1639" s="7"/>
      <c r="Q1639" s="7"/>
    </row>
    <row r="1640" spans="1:17">
      <c r="A1640" s="105"/>
      <c r="B1640" s="2"/>
      <c r="C1640" s="3"/>
      <c r="D1640" s="3"/>
      <c r="E1640" s="3"/>
      <c r="F1640" s="8"/>
      <c r="G1640" s="215" t="str">
        <f>IF(AND($B1640="",OR(B1640&lt;&gt;"",C1640&lt;&gt;"",D1640&lt;&gt;"",E1640&lt;&gt;"",F1640&lt;&gt;"")),入力リスト!$K$34,IF($I1640=TRUE,入力リスト!$K$35,IF(J1640=FALSE,"「毎月の固定給与額」","")&amp;IF(AND(J1640=FALSE,OR(K1640=FALSE,L1640=FALSE,M1640=FALSE)),",","")&amp;IF(K1640=FALSE,"「賞与額等」","")&amp;IF(AND(K1640=FALSE,OR(L1640=FALSE,M1640=FALSE)),",","")&amp;IF(L1640=FALSE,"「残業手当」","")&amp;IF(AND(L1640=FALSE,M1640=FALSE),",","")&amp;IF(M1640=FALSE,"「残業時間」","")&amp;IF(OR(J1640=FALSE,K1640=FALSE,L1640=FALSE,M1640=FALSE),入力リスト!$K$36,"")&amp;IF(N1640,"",入力リスト!$K$37)))</f>
        <v/>
      </c>
      <c r="H1640" s="215"/>
      <c r="I1640" s="1" t="b">
        <f>IF(B1640="",FALSE,COUNTIF('従業員情報(給与以外)'!$A$4:$A$1000000,$B1640)=0)</f>
        <v>0</v>
      </c>
      <c r="J1640" s="8" t="b">
        <f t="shared" si="125"/>
        <v>1</v>
      </c>
      <c r="K1640" s="8" t="b">
        <f t="shared" si="126"/>
        <v>1</v>
      </c>
      <c r="L1640" s="8" t="b">
        <f t="shared" si="127"/>
        <v>1</v>
      </c>
      <c r="M1640" s="8" t="b">
        <f t="shared" si="128"/>
        <v>1</v>
      </c>
      <c r="N1640" s="1" t="b">
        <f t="shared" si="129"/>
        <v>1</v>
      </c>
      <c r="O1640" s="8" t="str">
        <f>IF(F1640="","",IF($F$2=入力リスト!$H$25,ROUNDDOWN(INT(F1640)+ROUNDDOWN((F1640-INT(F1640))*100,0)/60,2),F1640))</f>
        <v/>
      </c>
      <c r="P1640" s="7"/>
      <c r="Q1640" s="7"/>
    </row>
    <row r="1641" spans="1:17">
      <c r="A1641" s="105"/>
      <c r="B1641" s="2"/>
      <c r="C1641" s="3"/>
      <c r="D1641" s="3"/>
      <c r="E1641" s="3"/>
      <c r="F1641" s="8"/>
      <c r="G1641" s="215" t="str">
        <f>IF(AND($B1641="",OR(B1641&lt;&gt;"",C1641&lt;&gt;"",D1641&lt;&gt;"",E1641&lt;&gt;"",F1641&lt;&gt;"")),入力リスト!$K$34,IF($I1641=TRUE,入力リスト!$K$35,IF(J1641=FALSE,"「毎月の固定給与額」","")&amp;IF(AND(J1641=FALSE,OR(K1641=FALSE,L1641=FALSE,M1641=FALSE)),",","")&amp;IF(K1641=FALSE,"「賞与額等」","")&amp;IF(AND(K1641=FALSE,OR(L1641=FALSE,M1641=FALSE)),",","")&amp;IF(L1641=FALSE,"「残業手当」","")&amp;IF(AND(L1641=FALSE,M1641=FALSE),",","")&amp;IF(M1641=FALSE,"「残業時間」","")&amp;IF(OR(J1641=FALSE,K1641=FALSE,L1641=FALSE,M1641=FALSE),入力リスト!$K$36,"")&amp;IF(N1641,"",入力リスト!$K$37)))</f>
        <v/>
      </c>
      <c r="H1641" s="215"/>
      <c r="I1641" s="1" t="b">
        <f>IF(B1641="",FALSE,COUNTIF('従業員情報(給与以外)'!$A$4:$A$1000000,$B1641)=0)</f>
        <v>0</v>
      </c>
      <c r="J1641" s="8" t="b">
        <f t="shared" si="125"/>
        <v>1</v>
      </c>
      <c r="K1641" s="8" t="b">
        <f t="shared" si="126"/>
        <v>1</v>
      </c>
      <c r="L1641" s="8" t="b">
        <f t="shared" si="127"/>
        <v>1</v>
      </c>
      <c r="M1641" s="8" t="b">
        <f t="shared" si="128"/>
        <v>1</v>
      </c>
      <c r="N1641" s="1" t="b">
        <f t="shared" si="129"/>
        <v>1</v>
      </c>
      <c r="O1641" s="8" t="str">
        <f>IF(F1641="","",IF($F$2=入力リスト!$H$25,ROUNDDOWN(INT(F1641)+ROUNDDOWN((F1641-INT(F1641))*100,0)/60,2),F1641))</f>
        <v/>
      </c>
      <c r="P1641" s="7"/>
      <c r="Q1641" s="7"/>
    </row>
    <row r="1642" spans="1:17">
      <c r="A1642" s="105"/>
      <c r="B1642" s="2"/>
      <c r="C1642" s="3"/>
      <c r="D1642" s="3"/>
      <c r="E1642" s="3"/>
      <c r="F1642" s="8"/>
      <c r="G1642" s="215" t="str">
        <f>IF(AND($B1642="",OR(B1642&lt;&gt;"",C1642&lt;&gt;"",D1642&lt;&gt;"",E1642&lt;&gt;"",F1642&lt;&gt;"")),入力リスト!$K$34,IF($I1642=TRUE,入力リスト!$K$35,IF(J1642=FALSE,"「毎月の固定給与額」","")&amp;IF(AND(J1642=FALSE,OR(K1642=FALSE,L1642=FALSE,M1642=FALSE)),",","")&amp;IF(K1642=FALSE,"「賞与額等」","")&amp;IF(AND(K1642=FALSE,OR(L1642=FALSE,M1642=FALSE)),",","")&amp;IF(L1642=FALSE,"「残業手当」","")&amp;IF(AND(L1642=FALSE,M1642=FALSE),",","")&amp;IF(M1642=FALSE,"「残業時間」","")&amp;IF(OR(J1642=FALSE,K1642=FALSE,L1642=FALSE,M1642=FALSE),入力リスト!$K$36,"")&amp;IF(N1642,"",入力リスト!$K$37)))</f>
        <v/>
      </c>
      <c r="H1642" s="215"/>
      <c r="I1642" s="1" t="b">
        <f>IF(B1642="",FALSE,COUNTIF('従業員情報(給与以外)'!$A$4:$A$1000000,$B1642)=0)</f>
        <v>0</v>
      </c>
      <c r="J1642" s="8" t="b">
        <f t="shared" si="125"/>
        <v>1</v>
      </c>
      <c r="K1642" s="8" t="b">
        <f t="shared" si="126"/>
        <v>1</v>
      </c>
      <c r="L1642" s="8" t="b">
        <f t="shared" si="127"/>
        <v>1</v>
      </c>
      <c r="M1642" s="8" t="b">
        <f t="shared" si="128"/>
        <v>1</v>
      </c>
      <c r="N1642" s="1" t="b">
        <f t="shared" si="129"/>
        <v>1</v>
      </c>
      <c r="O1642" s="8" t="str">
        <f>IF(F1642="","",IF($F$2=入力リスト!$H$25,ROUNDDOWN(INT(F1642)+ROUNDDOWN((F1642-INT(F1642))*100,0)/60,2),F1642))</f>
        <v/>
      </c>
      <c r="P1642" s="7"/>
      <c r="Q1642" s="7"/>
    </row>
    <row r="1643" spans="1:17">
      <c r="A1643" s="105"/>
      <c r="B1643" s="2"/>
      <c r="C1643" s="3"/>
      <c r="D1643" s="3"/>
      <c r="E1643" s="3"/>
      <c r="F1643" s="8"/>
      <c r="G1643" s="215" t="str">
        <f>IF(AND($B1643="",OR(B1643&lt;&gt;"",C1643&lt;&gt;"",D1643&lt;&gt;"",E1643&lt;&gt;"",F1643&lt;&gt;"")),入力リスト!$K$34,IF($I1643=TRUE,入力リスト!$K$35,IF(J1643=FALSE,"「毎月の固定給与額」","")&amp;IF(AND(J1643=FALSE,OR(K1643=FALSE,L1643=FALSE,M1643=FALSE)),",","")&amp;IF(K1643=FALSE,"「賞与額等」","")&amp;IF(AND(K1643=FALSE,OR(L1643=FALSE,M1643=FALSE)),",","")&amp;IF(L1643=FALSE,"「残業手当」","")&amp;IF(AND(L1643=FALSE,M1643=FALSE),",","")&amp;IF(M1643=FALSE,"「残業時間」","")&amp;IF(OR(J1643=FALSE,K1643=FALSE,L1643=FALSE,M1643=FALSE),入力リスト!$K$36,"")&amp;IF(N1643,"",入力リスト!$K$37)))</f>
        <v/>
      </c>
      <c r="H1643" s="215"/>
      <c r="I1643" s="1" t="b">
        <f>IF(B1643="",FALSE,COUNTIF('従業員情報(給与以外)'!$A$4:$A$1000000,$B1643)=0)</f>
        <v>0</v>
      </c>
      <c r="J1643" s="8" t="b">
        <f t="shared" si="125"/>
        <v>1</v>
      </c>
      <c r="K1643" s="8" t="b">
        <f t="shared" si="126"/>
        <v>1</v>
      </c>
      <c r="L1643" s="8" t="b">
        <f t="shared" si="127"/>
        <v>1</v>
      </c>
      <c r="M1643" s="8" t="b">
        <f t="shared" si="128"/>
        <v>1</v>
      </c>
      <c r="N1643" s="1" t="b">
        <f t="shared" si="129"/>
        <v>1</v>
      </c>
      <c r="O1643" s="8" t="str">
        <f>IF(F1643="","",IF($F$2=入力リスト!$H$25,ROUNDDOWN(INT(F1643)+ROUNDDOWN((F1643-INT(F1643))*100,0)/60,2),F1643))</f>
        <v/>
      </c>
      <c r="P1643" s="7"/>
      <c r="Q1643" s="7"/>
    </row>
    <row r="1644" spans="1:17">
      <c r="A1644" s="105"/>
      <c r="B1644" s="2"/>
      <c r="C1644" s="3"/>
      <c r="D1644" s="3"/>
      <c r="E1644" s="3"/>
      <c r="F1644" s="8"/>
      <c r="G1644" s="215" t="str">
        <f>IF(AND($B1644="",OR(B1644&lt;&gt;"",C1644&lt;&gt;"",D1644&lt;&gt;"",E1644&lt;&gt;"",F1644&lt;&gt;"")),入力リスト!$K$34,IF($I1644=TRUE,入力リスト!$K$35,IF(J1644=FALSE,"「毎月の固定給与額」","")&amp;IF(AND(J1644=FALSE,OR(K1644=FALSE,L1644=FALSE,M1644=FALSE)),",","")&amp;IF(K1644=FALSE,"「賞与額等」","")&amp;IF(AND(K1644=FALSE,OR(L1644=FALSE,M1644=FALSE)),",","")&amp;IF(L1644=FALSE,"「残業手当」","")&amp;IF(AND(L1644=FALSE,M1644=FALSE),",","")&amp;IF(M1644=FALSE,"「残業時間」","")&amp;IF(OR(J1644=FALSE,K1644=FALSE,L1644=FALSE,M1644=FALSE),入力リスト!$K$36,"")&amp;IF(N1644,"",入力リスト!$K$37)))</f>
        <v/>
      </c>
      <c r="H1644" s="215"/>
      <c r="I1644" s="1" t="b">
        <f>IF(B1644="",FALSE,COUNTIF('従業員情報(給与以外)'!$A$4:$A$1000000,$B1644)=0)</f>
        <v>0</v>
      </c>
      <c r="J1644" s="8" t="b">
        <f t="shared" si="125"/>
        <v>1</v>
      </c>
      <c r="K1644" s="8" t="b">
        <f t="shared" si="126"/>
        <v>1</v>
      </c>
      <c r="L1644" s="8" t="b">
        <f t="shared" si="127"/>
        <v>1</v>
      </c>
      <c r="M1644" s="8" t="b">
        <f t="shared" si="128"/>
        <v>1</v>
      </c>
      <c r="N1644" s="1" t="b">
        <f t="shared" si="129"/>
        <v>1</v>
      </c>
      <c r="O1644" s="8" t="str">
        <f>IF(F1644="","",IF($F$2=入力リスト!$H$25,ROUNDDOWN(INT(F1644)+ROUNDDOWN((F1644-INT(F1644))*100,0)/60,2),F1644))</f>
        <v/>
      </c>
      <c r="P1644" s="7"/>
      <c r="Q1644" s="7"/>
    </row>
    <row r="1645" spans="1:17">
      <c r="A1645" s="105"/>
      <c r="B1645" s="2"/>
      <c r="C1645" s="3"/>
      <c r="D1645" s="3"/>
      <c r="E1645" s="3"/>
      <c r="F1645" s="8"/>
      <c r="G1645" s="215" t="str">
        <f>IF(AND($B1645="",OR(B1645&lt;&gt;"",C1645&lt;&gt;"",D1645&lt;&gt;"",E1645&lt;&gt;"",F1645&lt;&gt;"")),入力リスト!$K$34,IF($I1645=TRUE,入力リスト!$K$35,IF(J1645=FALSE,"「毎月の固定給与額」","")&amp;IF(AND(J1645=FALSE,OR(K1645=FALSE,L1645=FALSE,M1645=FALSE)),",","")&amp;IF(K1645=FALSE,"「賞与額等」","")&amp;IF(AND(K1645=FALSE,OR(L1645=FALSE,M1645=FALSE)),",","")&amp;IF(L1645=FALSE,"「残業手当」","")&amp;IF(AND(L1645=FALSE,M1645=FALSE),",","")&amp;IF(M1645=FALSE,"「残業時間」","")&amp;IF(OR(J1645=FALSE,K1645=FALSE,L1645=FALSE,M1645=FALSE),入力リスト!$K$36,"")&amp;IF(N1645,"",入力リスト!$K$37)))</f>
        <v/>
      </c>
      <c r="H1645" s="215"/>
      <c r="I1645" s="1" t="b">
        <f>IF(B1645="",FALSE,COUNTIF('従業員情報(給与以外)'!$A$4:$A$1000000,$B1645)=0)</f>
        <v>0</v>
      </c>
      <c r="J1645" s="8" t="b">
        <f t="shared" si="125"/>
        <v>1</v>
      </c>
      <c r="K1645" s="8" t="b">
        <f t="shared" si="126"/>
        <v>1</v>
      </c>
      <c r="L1645" s="8" t="b">
        <f t="shared" si="127"/>
        <v>1</v>
      </c>
      <c r="M1645" s="8" t="b">
        <f t="shared" si="128"/>
        <v>1</v>
      </c>
      <c r="N1645" s="1" t="b">
        <f t="shared" si="129"/>
        <v>1</v>
      </c>
      <c r="O1645" s="8" t="str">
        <f>IF(F1645="","",IF($F$2=入力リスト!$H$25,ROUNDDOWN(INT(F1645)+ROUNDDOWN((F1645-INT(F1645))*100,0)/60,2),F1645))</f>
        <v/>
      </c>
      <c r="P1645" s="7"/>
      <c r="Q1645" s="7"/>
    </row>
    <row r="1646" spans="1:17">
      <c r="A1646" s="105"/>
      <c r="B1646" s="2"/>
      <c r="C1646" s="3"/>
      <c r="D1646" s="3"/>
      <c r="E1646" s="3"/>
      <c r="F1646" s="8"/>
      <c r="G1646" s="215" t="str">
        <f>IF(AND($B1646="",OR(B1646&lt;&gt;"",C1646&lt;&gt;"",D1646&lt;&gt;"",E1646&lt;&gt;"",F1646&lt;&gt;"")),入力リスト!$K$34,IF($I1646=TRUE,入力リスト!$K$35,IF(J1646=FALSE,"「毎月の固定給与額」","")&amp;IF(AND(J1646=FALSE,OR(K1646=FALSE,L1646=FALSE,M1646=FALSE)),",","")&amp;IF(K1646=FALSE,"「賞与額等」","")&amp;IF(AND(K1646=FALSE,OR(L1646=FALSE,M1646=FALSE)),",","")&amp;IF(L1646=FALSE,"「残業手当」","")&amp;IF(AND(L1646=FALSE,M1646=FALSE),",","")&amp;IF(M1646=FALSE,"「残業時間」","")&amp;IF(OR(J1646=FALSE,K1646=FALSE,L1646=FALSE,M1646=FALSE),入力リスト!$K$36,"")&amp;IF(N1646,"",入力リスト!$K$37)))</f>
        <v/>
      </c>
      <c r="H1646" s="215"/>
      <c r="I1646" s="1" t="b">
        <f>IF(B1646="",FALSE,COUNTIF('従業員情報(給与以外)'!$A$4:$A$1000000,$B1646)=0)</f>
        <v>0</v>
      </c>
      <c r="J1646" s="8" t="b">
        <f t="shared" si="125"/>
        <v>1</v>
      </c>
      <c r="K1646" s="8" t="b">
        <f t="shared" si="126"/>
        <v>1</v>
      </c>
      <c r="L1646" s="8" t="b">
        <f t="shared" si="127"/>
        <v>1</v>
      </c>
      <c r="M1646" s="8" t="b">
        <f t="shared" si="128"/>
        <v>1</v>
      </c>
      <c r="N1646" s="1" t="b">
        <f t="shared" si="129"/>
        <v>1</v>
      </c>
      <c r="O1646" s="8" t="str">
        <f>IF(F1646="","",IF($F$2=入力リスト!$H$25,ROUNDDOWN(INT(F1646)+ROUNDDOWN((F1646-INT(F1646))*100,0)/60,2),F1646))</f>
        <v/>
      </c>
      <c r="P1646" s="7"/>
      <c r="Q1646" s="7"/>
    </row>
    <row r="1647" spans="1:17">
      <c r="A1647" s="105"/>
      <c r="B1647" s="2"/>
      <c r="C1647" s="3"/>
      <c r="D1647" s="3"/>
      <c r="E1647" s="3"/>
      <c r="F1647" s="8"/>
      <c r="G1647" s="215" t="str">
        <f>IF(AND($B1647="",OR(B1647&lt;&gt;"",C1647&lt;&gt;"",D1647&lt;&gt;"",E1647&lt;&gt;"",F1647&lt;&gt;"")),入力リスト!$K$34,IF($I1647=TRUE,入力リスト!$K$35,IF(J1647=FALSE,"「毎月の固定給与額」","")&amp;IF(AND(J1647=FALSE,OR(K1647=FALSE,L1647=FALSE,M1647=FALSE)),",","")&amp;IF(K1647=FALSE,"「賞与額等」","")&amp;IF(AND(K1647=FALSE,OR(L1647=FALSE,M1647=FALSE)),",","")&amp;IF(L1647=FALSE,"「残業手当」","")&amp;IF(AND(L1647=FALSE,M1647=FALSE),",","")&amp;IF(M1647=FALSE,"「残業時間」","")&amp;IF(OR(J1647=FALSE,K1647=FALSE,L1647=FALSE,M1647=FALSE),入力リスト!$K$36,"")&amp;IF(N1647,"",入力リスト!$K$37)))</f>
        <v/>
      </c>
      <c r="H1647" s="215"/>
      <c r="I1647" s="1" t="b">
        <f>IF(B1647="",FALSE,COUNTIF('従業員情報(給与以外)'!$A$4:$A$1000000,$B1647)=0)</f>
        <v>0</v>
      </c>
      <c r="J1647" s="8" t="b">
        <f t="shared" si="125"/>
        <v>1</v>
      </c>
      <c r="K1647" s="8" t="b">
        <f t="shared" si="126"/>
        <v>1</v>
      </c>
      <c r="L1647" s="8" t="b">
        <f t="shared" si="127"/>
        <v>1</v>
      </c>
      <c r="M1647" s="8" t="b">
        <f t="shared" si="128"/>
        <v>1</v>
      </c>
      <c r="N1647" s="1" t="b">
        <f t="shared" si="129"/>
        <v>1</v>
      </c>
      <c r="O1647" s="8" t="str">
        <f>IF(F1647="","",IF($F$2=入力リスト!$H$25,ROUNDDOWN(INT(F1647)+ROUNDDOWN((F1647-INT(F1647))*100,0)/60,2),F1647))</f>
        <v/>
      </c>
      <c r="P1647" s="7"/>
      <c r="Q1647" s="7"/>
    </row>
    <row r="1648" spans="1:17">
      <c r="A1648" s="105"/>
      <c r="B1648" s="2"/>
      <c r="C1648" s="3"/>
      <c r="D1648" s="3"/>
      <c r="E1648" s="3"/>
      <c r="F1648" s="8"/>
      <c r="G1648" s="215" t="str">
        <f>IF(AND($B1648="",OR(B1648&lt;&gt;"",C1648&lt;&gt;"",D1648&lt;&gt;"",E1648&lt;&gt;"",F1648&lt;&gt;"")),入力リスト!$K$34,IF($I1648=TRUE,入力リスト!$K$35,IF(J1648=FALSE,"「毎月の固定給与額」","")&amp;IF(AND(J1648=FALSE,OR(K1648=FALSE,L1648=FALSE,M1648=FALSE)),",","")&amp;IF(K1648=FALSE,"「賞与額等」","")&amp;IF(AND(K1648=FALSE,OR(L1648=FALSE,M1648=FALSE)),",","")&amp;IF(L1648=FALSE,"「残業手当」","")&amp;IF(AND(L1648=FALSE,M1648=FALSE),",","")&amp;IF(M1648=FALSE,"「残業時間」","")&amp;IF(OR(J1648=FALSE,K1648=FALSE,L1648=FALSE,M1648=FALSE),入力リスト!$K$36,"")&amp;IF(N1648,"",入力リスト!$K$37)))</f>
        <v/>
      </c>
      <c r="H1648" s="215"/>
      <c r="I1648" s="1" t="b">
        <f>IF(B1648="",FALSE,COUNTIF('従業員情報(給与以外)'!$A$4:$A$1000000,$B1648)=0)</f>
        <v>0</v>
      </c>
      <c r="J1648" s="8" t="b">
        <f t="shared" si="125"/>
        <v>1</v>
      </c>
      <c r="K1648" s="8" t="b">
        <f t="shared" si="126"/>
        <v>1</v>
      </c>
      <c r="L1648" s="8" t="b">
        <f t="shared" si="127"/>
        <v>1</v>
      </c>
      <c r="M1648" s="8" t="b">
        <f t="shared" si="128"/>
        <v>1</v>
      </c>
      <c r="N1648" s="1" t="b">
        <f t="shared" si="129"/>
        <v>1</v>
      </c>
      <c r="O1648" s="8" t="str">
        <f>IF(F1648="","",IF($F$2=入力リスト!$H$25,ROUNDDOWN(INT(F1648)+ROUNDDOWN((F1648-INT(F1648))*100,0)/60,2),F1648))</f>
        <v/>
      </c>
      <c r="P1648" s="7"/>
      <c r="Q1648" s="7"/>
    </row>
    <row r="1649" spans="1:17">
      <c r="A1649" s="105"/>
      <c r="B1649" s="2"/>
      <c r="C1649" s="3"/>
      <c r="D1649" s="3"/>
      <c r="E1649" s="3"/>
      <c r="F1649" s="8"/>
      <c r="G1649" s="215" t="str">
        <f>IF(AND($B1649="",OR(B1649&lt;&gt;"",C1649&lt;&gt;"",D1649&lt;&gt;"",E1649&lt;&gt;"",F1649&lt;&gt;"")),入力リスト!$K$34,IF($I1649=TRUE,入力リスト!$K$35,IF(J1649=FALSE,"「毎月の固定給与額」","")&amp;IF(AND(J1649=FALSE,OR(K1649=FALSE,L1649=FALSE,M1649=FALSE)),",","")&amp;IF(K1649=FALSE,"「賞与額等」","")&amp;IF(AND(K1649=FALSE,OR(L1649=FALSE,M1649=FALSE)),",","")&amp;IF(L1649=FALSE,"「残業手当」","")&amp;IF(AND(L1649=FALSE,M1649=FALSE),",","")&amp;IF(M1649=FALSE,"「残業時間」","")&amp;IF(OR(J1649=FALSE,K1649=FALSE,L1649=FALSE,M1649=FALSE),入力リスト!$K$36,"")&amp;IF(N1649,"",入力リスト!$K$37)))</f>
        <v/>
      </c>
      <c r="H1649" s="215"/>
      <c r="I1649" s="1" t="b">
        <f>IF(B1649="",FALSE,COUNTIF('従業員情報(給与以外)'!$A$4:$A$1000000,$B1649)=0)</f>
        <v>0</v>
      </c>
      <c r="J1649" s="8" t="b">
        <f t="shared" si="125"/>
        <v>1</v>
      </c>
      <c r="K1649" s="8" t="b">
        <f t="shared" si="126"/>
        <v>1</v>
      </c>
      <c r="L1649" s="8" t="b">
        <f t="shared" si="127"/>
        <v>1</v>
      </c>
      <c r="M1649" s="8" t="b">
        <f t="shared" si="128"/>
        <v>1</v>
      </c>
      <c r="N1649" s="1" t="b">
        <f t="shared" si="129"/>
        <v>1</v>
      </c>
      <c r="O1649" s="8" t="str">
        <f>IF(F1649="","",IF($F$2=入力リスト!$H$25,ROUNDDOWN(INT(F1649)+ROUNDDOWN((F1649-INT(F1649))*100,0)/60,2),F1649))</f>
        <v/>
      </c>
      <c r="P1649" s="7"/>
      <c r="Q1649" s="7"/>
    </row>
    <row r="1650" spans="1:17">
      <c r="A1650" s="105"/>
      <c r="B1650" s="2"/>
      <c r="C1650" s="3"/>
      <c r="D1650" s="3"/>
      <c r="E1650" s="3"/>
      <c r="F1650" s="8"/>
      <c r="G1650" s="215" t="str">
        <f>IF(AND($B1650="",OR(B1650&lt;&gt;"",C1650&lt;&gt;"",D1650&lt;&gt;"",E1650&lt;&gt;"",F1650&lt;&gt;"")),入力リスト!$K$34,IF($I1650=TRUE,入力リスト!$K$35,IF(J1650=FALSE,"「毎月の固定給与額」","")&amp;IF(AND(J1650=FALSE,OR(K1650=FALSE,L1650=FALSE,M1650=FALSE)),",","")&amp;IF(K1650=FALSE,"「賞与額等」","")&amp;IF(AND(K1650=FALSE,OR(L1650=FALSE,M1650=FALSE)),",","")&amp;IF(L1650=FALSE,"「残業手当」","")&amp;IF(AND(L1650=FALSE,M1650=FALSE),",","")&amp;IF(M1650=FALSE,"「残業時間」","")&amp;IF(OR(J1650=FALSE,K1650=FALSE,L1650=FALSE,M1650=FALSE),入力リスト!$K$36,"")&amp;IF(N1650,"",入力リスト!$K$37)))</f>
        <v/>
      </c>
      <c r="H1650" s="215"/>
      <c r="I1650" s="1" t="b">
        <f>IF(B1650="",FALSE,COUNTIF('従業員情報(給与以外)'!$A$4:$A$1000000,$B1650)=0)</f>
        <v>0</v>
      </c>
      <c r="J1650" s="8" t="b">
        <f t="shared" si="125"/>
        <v>1</v>
      </c>
      <c r="K1650" s="8" t="b">
        <f t="shared" si="126"/>
        <v>1</v>
      </c>
      <c r="L1650" s="8" t="b">
        <f t="shared" si="127"/>
        <v>1</v>
      </c>
      <c r="M1650" s="8" t="b">
        <f t="shared" si="128"/>
        <v>1</v>
      </c>
      <c r="N1650" s="1" t="b">
        <f t="shared" si="129"/>
        <v>1</v>
      </c>
      <c r="O1650" s="8" t="str">
        <f>IF(F1650="","",IF($F$2=入力リスト!$H$25,ROUNDDOWN(INT(F1650)+ROUNDDOWN((F1650-INT(F1650))*100,0)/60,2),F1650))</f>
        <v/>
      </c>
      <c r="P1650" s="7"/>
      <c r="Q1650" s="7"/>
    </row>
    <row r="1651" spans="1:17">
      <c r="A1651" s="105"/>
      <c r="B1651" s="2"/>
      <c r="C1651" s="3"/>
      <c r="D1651" s="3"/>
      <c r="E1651" s="3"/>
      <c r="F1651" s="8"/>
      <c r="G1651" s="215" t="str">
        <f>IF(AND($B1651="",OR(B1651&lt;&gt;"",C1651&lt;&gt;"",D1651&lt;&gt;"",E1651&lt;&gt;"",F1651&lt;&gt;"")),入力リスト!$K$34,IF($I1651=TRUE,入力リスト!$K$35,IF(J1651=FALSE,"「毎月の固定給与額」","")&amp;IF(AND(J1651=FALSE,OR(K1651=FALSE,L1651=FALSE,M1651=FALSE)),",","")&amp;IF(K1651=FALSE,"「賞与額等」","")&amp;IF(AND(K1651=FALSE,OR(L1651=FALSE,M1651=FALSE)),",","")&amp;IF(L1651=FALSE,"「残業手当」","")&amp;IF(AND(L1651=FALSE,M1651=FALSE),",","")&amp;IF(M1651=FALSE,"「残業時間」","")&amp;IF(OR(J1651=FALSE,K1651=FALSE,L1651=FALSE,M1651=FALSE),入力リスト!$K$36,"")&amp;IF(N1651,"",入力リスト!$K$37)))</f>
        <v/>
      </c>
      <c r="H1651" s="215"/>
      <c r="I1651" s="1" t="b">
        <f>IF(B1651="",FALSE,COUNTIF('従業員情報(給与以外)'!$A$4:$A$1000000,$B1651)=0)</f>
        <v>0</v>
      </c>
      <c r="J1651" s="8" t="b">
        <f t="shared" si="125"/>
        <v>1</v>
      </c>
      <c r="K1651" s="8" t="b">
        <f t="shared" si="126"/>
        <v>1</v>
      </c>
      <c r="L1651" s="8" t="b">
        <f t="shared" si="127"/>
        <v>1</v>
      </c>
      <c r="M1651" s="8" t="b">
        <f t="shared" si="128"/>
        <v>1</v>
      </c>
      <c r="N1651" s="1" t="b">
        <f t="shared" si="129"/>
        <v>1</v>
      </c>
      <c r="O1651" s="8" t="str">
        <f>IF(F1651="","",IF($F$2=入力リスト!$H$25,ROUNDDOWN(INT(F1651)+ROUNDDOWN((F1651-INT(F1651))*100,0)/60,2),F1651))</f>
        <v/>
      </c>
      <c r="P1651" s="7"/>
      <c r="Q1651" s="7"/>
    </row>
    <row r="1652" spans="1:17">
      <c r="A1652" s="105"/>
      <c r="B1652" s="2"/>
      <c r="C1652" s="3"/>
      <c r="D1652" s="3"/>
      <c r="E1652" s="3"/>
      <c r="F1652" s="8"/>
      <c r="G1652" s="215" t="str">
        <f>IF(AND($B1652="",OR(B1652&lt;&gt;"",C1652&lt;&gt;"",D1652&lt;&gt;"",E1652&lt;&gt;"",F1652&lt;&gt;"")),入力リスト!$K$34,IF($I1652=TRUE,入力リスト!$K$35,IF(J1652=FALSE,"「毎月の固定給与額」","")&amp;IF(AND(J1652=FALSE,OR(K1652=FALSE,L1652=FALSE,M1652=FALSE)),",","")&amp;IF(K1652=FALSE,"「賞与額等」","")&amp;IF(AND(K1652=FALSE,OR(L1652=FALSE,M1652=FALSE)),",","")&amp;IF(L1652=FALSE,"「残業手当」","")&amp;IF(AND(L1652=FALSE,M1652=FALSE),",","")&amp;IF(M1652=FALSE,"「残業時間」","")&amp;IF(OR(J1652=FALSE,K1652=FALSE,L1652=FALSE,M1652=FALSE),入力リスト!$K$36,"")&amp;IF(N1652,"",入力リスト!$K$37)))</f>
        <v/>
      </c>
      <c r="H1652" s="215"/>
      <c r="I1652" s="1" t="b">
        <f>IF(B1652="",FALSE,COUNTIF('従業員情報(給与以外)'!$A$4:$A$1000000,$B1652)=0)</f>
        <v>0</v>
      </c>
      <c r="J1652" s="8" t="b">
        <f t="shared" si="125"/>
        <v>1</v>
      </c>
      <c r="K1652" s="8" t="b">
        <f t="shared" si="126"/>
        <v>1</v>
      </c>
      <c r="L1652" s="8" t="b">
        <f t="shared" si="127"/>
        <v>1</v>
      </c>
      <c r="M1652" s="8" t="b">
        <f t="shared" si="128"/>
        <v>1</v>
      </c>
      <c r="N1652" s="1" t="b">
        <f t="shared" si="129"/>
        <v>1</v>
      </c>
      <c r="O1652" s="8" t="str">
        <f>IF(F1652="","",IF($F$2=入力リスト!$H$25,ROUNDDOWN(INT(F1652)+ROUNDDOWN((F1652-INT(F1652))*100,0)/60,2),F1652))</f>
        <v/>
      </c>
      <c r="P1652" s="7"/>
      <c r="Q1652" s="7"/>
    </row>
    <row r="1653" spans="1:17">
      <c r="A1653" s="105"/>
      <c r="B1653" s="2"/>
      <c r="C1653" s="3"/>
      <c r="D1653" s="3"/>
      <c r="E1653" s="3"/>
      <c r="F1653" s="8"/>
      <c r="G1653" s="215" t="str">
        <f>IF(AND($B1653="",OR(B1653&lt;&gt;"",C1653&lt;&gt;"",D1653&lt;&gt;"",E1653&lt;&gt;"",F1653&lt;&gt;"")),入力リスト!$K$34,IF($I1653=TRUE,入力リスト!$K$35,IF(J1653=FALSE,"「毎月の固定給与額」","")&amp;IF(AND(J1653=FALSE,OR(K1653=FALSE,L1653=FALSE,M1653=FALSE)),",","")&amp;IF(K1653=FALSE,"「賞与額等」","")&amp;IF(AND(K1653=FALSE,OR(L1653=FALSE,M1653=FALSE)),",","")&amp;IF(L1653=FALSE,"「残業手当」","")&amp;IF(AND(L1653=FALSE,M1653=FALSE),",","")&amp;IF(M1653=FALSE,"「残業時間」","")&amp;IF(OR(J1653=FALSE,K1653=FALSE,L1653=FALSE,M1653=FALSE),入力リスト!$K$36,"")&amp;IF(N1653,"",入力リスト!$K$37)))</f>
        <v/>
      </c>
      <c r="H1653" s="215"/>
      <c r="I1653" s="1" t="b">
        <f>IF(B1653="",FALSE,COUNTIF('従業員情報(給与以外)'!$A$4:$A$1000000,$B1653)=0)</f>
        <v>0</v>
      </c>
      <c r="J1653" s="8" t="b">
        <f t="shared" si="125"/>
        <v>1</v>
      </c>
      <c r="K1653" s="8" t="b">
        <f t="shared" si="126"/>
        <v>1</v>
      </c>
      <c r="L1653" s="8" t="b">
        <f t="shared" si="127"/>
        <v>1</v>
      </c>
      <c r="M1653" s="8" t="b">
        <f t="shared" si="128"/>
        <v>1</v>
      </c>
      <c r="N1653" s="1" t="b">
        <f t="shared" si="129"/>
        <v>1</v>
      </c>
      <c r="O1653" s="8" t="str">
        <f>IF(F1653="","",IF($F$2=入力リスト!$H$25,ROUNDDOWN(INT(F1653)+ROUNDDOWN((F1653-INT(F1653))*100,0)/60,2),F1653))</f>
        <v/>
      </c>
      <c r="P1653" s="7"/>
      <c r="Q1653" s="7"/>
    </row>
    <row r="1654" spans="1:17">
      <c r="A1654" s="105"/>
      <c r="B1654" s="2"/>
      <c r="C1654" s="3"/>
      <c r="D1654" s="3"/>
      <c r="E1654" s="3"/>
      <c r="F1654" s="8"/>
      <c r="G1654" s="215" t="str">
        <f>IF(AND($B1654="",OR(B1654&lt;&gt;"",C1654&lt;&gt;"",D1654&lt;&gt;"",E1654&lt;&gt;"",F1654&lt;&gt;"")),入力リスト!$K$34,IF($I1654=TRUE,入力リスト!$K$35,IF(J1654=FALSE,"「毎月の固定給与額」","")&amp;IF(AND(J1654=FALSE,OR(K1654=FALSE,L1654=FALSE,M1654=FALSE)),",","")&amp;IF(K1654=FALSE,"「賞与額等」","")&amp;IF(AND(K1654=FALSE,OR(L1654=FALSE,M1654=FALSE)),",","")&amp;IF(L1654=FALSE,"「残業手当」","")&amp;IF(AND(L1654=FALSE,M1654=FALSE),",","")&amp;IF(M1654=FALSE,"「残業時間」","")&amp;IF(OR(J1654=FALSE,K1654=FALSE,L1654=FALSE,M1654=FALSE),入力リスト!$K$36,"")&amp;IF(N1654,"",入力リスト!$K$37)))</f>
        <v/>
      </c>
      <c r="H1654" s="215"/>
      <c r="I1654" s="1" t="b">
        <f>IF(B1654="",FALSE,COUNTIF('従業員情報(給与以外)'!$A$4:$A$1000000,$B1654)=0)</f>
        <v>0</v>
      </c>
      <c r="J1654" s="8" t="b">
        <f t="shared" si="125"/>
        <v>1</v>
      </c>
      <c r="K1654" s="8" t="b">
        <f t="shared" si="126"/>
        <v>1</v>
      </c>
      <c r="L1654" s="8" t="b">
        <f t="shared" si="127"/>
        <v>1</v>
      </c>
      <c r="M1654" s="8" t="b">
        <f t="shared" si="128"/>
        <v>1</v>
      </c>
      <c r="N1654" s="1" t="b">
        <f t="shared" si="129"/>
        <v>1</v>
      </c>
      <c r="O1654" s="8" t="str">
        <f>IF(F1654="","",IF($F$2=入力リスト!$H$25,ROUNDDOWN(INT(F1654)+ROUNDDOWN((F1654-INT(F1654))*100,0)/60,2),F1654))</f>
        <v/>
      </c>
      <c r="P1654" s="7"/>
      <c r="Q1654" s="7"/>
    </row>
    <row r="1655" spans="1:17">
      <c r="A1655" s="105"/>
      <c r="B1655" s="2"/>
      <c r="C1655" s="3"/>
      <c r="D1655" s="3"/>
      <c r="E1655" s="3"/>
      <c r="F1655" s="8"/>
      <c r="G1655" s="215" t="str">
        <f>IF(AND($B1655="",OR(B1655&lt;&gt;"",C1655&lt;&gt;"",D1655&lt;&gt;"",E1655&lt;&gt;"",F1655&lt;&gt;"")),入力リスト!$K$34,IF($I1655=TRUE,入力リスト!$K$35,IF(J1655=FALSE,"「毎月の固定給与額」","")&amp;IF(AND(J1655=FALSE,OR(K1655=FALSE,L1655=FALSE,M1655=FALSE)),",","")&amp;IF(K1655=FALSE,"「賞与額等」","")&amp;IF(AND(K1655=FALSE,OR(L1655=FALSE,M1655=FALSE)),",","")&amp;IF(L1655=FALSE,"「残業手当」","")&amp;IF(AND(L1655=FALSE,M1655=FALSE),",","")&amp;IF(M1655=FALSE,"「残業時間」","")&amp;IF(OR(J1655=FALSE,K1655=FALSE,L1655=FALSE,M1655=FALSE),入力リスト!$K$36,"")&amp;IF(N1655,"",入力リスト!$K$37)))</f>
        <v/>
      </c>
      <c r="H1655" s="215"/>
      <c r="I1655" s="1" t="b">
        <f>IF(B1655="",FALSE,COUNTIF('従業員情報(給与以外)'!$A$4:$A$1000000,$B1655)=0)</f>
        <v>0</v>
      </c>
      <c r="J1655" s="8" t="b">
        <f t="shared" si="125"/>
        <v>1</v>
      </c>
      <c r="K1655" s="8" t="b">
        <f t="shared" si="126"/>
        <v>1</v>
      </c>
      <c r="L1655" s="8" t="b">
        <f t="shared" si="127"/>
        <v>1</v>
      </c>
      <c r="M1655" s="8" t="b">
        <f t="shared" si="128"/>
        <v>1</v>
      </c>
      <c r="N1655" s="1" t="b">
        <f t="shared" si="129"/>
        <v>1</v>
      </c>
      <c r="O1655" s="8" t="str">
        <f>IF(F1655="","",IF($F$2=入力リスト!$H$25,ROUNDDOWN(INT(F1655)+ROUNDDOWN((F1655-INT(F1655))*100,0)/60,2),F1655))</f>
        <v/>
      </c>
      <c r="P1655" s="7"/>
      <c r="Q1655" s="7"/>
    </row>
    <row r="1656" spans="1:17">
      <c r="A1656" s="105"/>
      <c r="B1656" s="2"/>
      <c r="C1656" s="3"/>
      <c r="D1656" s="3"/>
      <c r="E1656" s="3"/>
      <c r="F1656" s="8"/>
      <c r="G1656" s="215" t="str">
        <f>IF(AND($B1656="",OR(B1656&lt;&gt;"",C1656&lt;&gt;"",D1656&lt;&gt;"",E1656&lt;&gt;"",F1656&lt;&gt;"")),入力リスト!$K$34,IF($I1656=TRUE,入力リスト!$K$35,IF(J1656=FALSE,"「毎月の固定給与額」","")&amp;IF(AND(J1656=FALSE,OR(K1656=FALSE,L1656=FALSE,M1656=FALSE)),",","")&amp;IF(K1656=FALSE,"「賞与額等」","")&amp;IF(AND(K1656=FALSE,OR(L1656=FALSE,M1656=FALSE)),",","")&amp;IF(L1656=FALSE,"「残業手当」","")&amp;IF(AND(L1656=FALSE,M1656=FALSE),",","")&amp;IF(M1656=FALSE,"「残業時間」","")&amp;IF(OR(J1656=FALSE,K1656=FALSE,L1656=FALSE,M1656=FALSE),入力リスト!$K$36,"")&amp;IF(N1656,"",入力リスト!$K$37)))</f>
        <v/>
      </c>
      <c r="H1656" s="215"/>
      <c r="I1656" s="1" t="b">
        <f>IF(B1656="",FALSE,COUNTIF('従業員情報(給与以外)'!$A$4:$A$1000000,$B1656)=0)</f>
        <v>0</v>
      </c>
      <c r="J1656" s="8" t="b">
        <f t="shared" si="125"/>
        <v>1</v>
      </c>
      <c r="K1656" s="8" t="b">
        <f t="shared" si="126"/>
        <v>1</v>
      </c>
      <c r="L1656" s="8" t="b">
        <f t="shared" si="127"/>
        <v>1</v>
      </c>
      <c r="M1656" s="8" t="b">
        <f t="shared" si="128"/>
        <v>1</v>
      </c>
      <c r="N1656" s="1" t="b">
        <f t="shared" si="129"/>
        <v>1</v>
      </c>
      <c r="O1656" s="8" t="str">
        <f>IF(F1656="","",IF($F$2=入力リスト!$H$25,ROUNDDOWN(INT(F1656)+ROUNDDOWN((F1656-INT(F1656))*100,0)/60,2),F1656))</f>
        <v/>
      </c>
      <c r="P1656" s="7"/>
      <c r="Q1656" s="7"/>
    </row>
    <row r="1657" spans="1:17">
      <c r="A1657" s="105"/>
      <c r="B1657" s="2"/>
      <c r="C1657" s="3"/>
      <c r="D1657" s="3"/>
      <c r="E1657" s="3"/>
      <c r="F1657" s="8"/>
      <c r="G1657" s="215" t="str">
        <f>IF(AND($B1657="",OR(B1657&lt;&gt;"",C1657&lt;&gt;"",D1657&lt;&gt;"",E1657&lt;&gt;"",F1657&lt;&gt;"")),入力リスト!$K$34,IF($I1657=TRUE,入力リスト!$K$35,IF(J1657=FALSE,"「毎月の固定給与額」","")&amp;IF(AND(J1657=FALSE,OR(K1657=FALSE,L1657=FALSE,M1657=FALSE)),",","")&amp;IF(K1657=FALSE,"「賞与額等」","")&amp;IF(AND(K1657=FALSE,OR(L1657=FALSE,M1657=FALSE)),",","")&amp;IF(L1657=FALSE,"「残業手当」","")&amp;IF(AND(L1657=FALSE,M1657=FALSE),",","")&amp;IF(M1657=FALSE,"「残業時間」","")&amp;IF(OR(J1657=FALSE,K1657=FALSE,L1657=FALSE,M1657=FALSE),入力リスト!$K$36,"")&amp;IF(N1657,"",入力リスト!$K$37)))</f>
        <v/>
      </c>
      <c r="H1657" s="215"/>
      <c r="I1657" s="1" t="b">
        <f>IF(B1657="",FALSE,COUNTIF('従業員情報(給与以外)'!$A$4:$A$1000000,$B1657)=0)</f>
        <v>0</v>
      </c>
      <c r="J1657" s="8" t="b">
        <f t="shared" si="125"/>
        <v>1</v>
      </c>
      <c r="K1657" s="8" t="b">
        <f t="shared" si="126"/>
        <v>1</v>
      </c>
      <c r="L1657" s="8" t="b">
        <f t="shared" si="127"/>
        <v>1</v>
      </c>
      <c r="M1657" s="8" t="b">
        <f t="shared" si="128"/>
        <v>1</v>
      </c>
      <c r="N1657" s="1" t="b">
        <f t="shared" si="129"/>
        <v>1</v>
      </c>
      <c r="O1657" s="8" t="str">
        <f>IF(F1657="","",IF($F$2=入力リスト!$H$25,ROUNDDOWN(INT(F1657)+ROUNDDOWN((F1657-INT(F1657))*100,0)/60,2),F1657))</f>
        <v/>
      </c>
      <c r="P1657" s="7"/>
      <c r="Q1657" s="7"/>
    </row>
    <row r="1658" spans="1:17">
      <c r="A1658" s="105"/>
      <c r="B1658" s="2"/>
      <c r="C1658" s="3"/>
      <c r="D1658" s="3"/>
      <c r="E1658" s="3"/>
      <c r="F1658" s="8"/>
      <c r="G1658" s="215" t="str">
        <f>IF(AND($B1658="",OR(B1658&lt;&gt;"",C1658&lt;&gt;"",D1658&lt;&gt;"",E1658&lt;&gt;"",F1658&lt;&gt;"")),入力リスト!$K$34,IF($I1658=TRUE,入力リスト!$K$35,IF(J1658=FALSE,"「毎月の固定給与額」","")&amp;IF(AND(J1658=FALSE,OR(K1658=FALSE,L1658=FALSE,M1658=FALSE)),",","")&amp;IF(K1658=FALSE,"「賞与額等」","")&amp;IF(AND(K1658=FALSE,OR(L1658=FALSE,M1658=FALSE)),",","")&amp;IF(L1658=FALSE,"「残業手当」","")&amp;IF(AND(L1658=FALSE,M1658=FALSE),",","")&amp;IF(M1658=FALSE,"「残業時間」","")&amp;IF(OR(J1658=FALSE,K1658=FALSE,L1658=FALSE,M1658=FALSE),入力リスト!$K$36,"")&amp;IF(N1658,"",入力リスト!$K$37)))</f>
        <v/>
      </c>
      <c r="H1658" s="215"/>
      <c r="I1658" s="1" t="b">
        <f>IF(B1658="",FALSE,COUNTIF('従業員情報(給与以外)'!$A$4:$A$1000000,$B1658)=0)</f>
        <v>0</v>
      </c>
      <c r="J1658" s="8" t="b">
        <f t="shared" si="125"/>
        <v>1</v>
      </c>
      <c r="K1658" s="8" t="b">
        <f t="shared" si="126"/>
        <v>1</v>
      </c>
      <c r="L1658" s="8" t="b">
        <f t="shared" si="127"/>
        <v>1</v>
      </c>
      <c r="M1658" s="8" t="b">
        <f t="shared" si="128"/>
        <v>1</v>
      </c>
      <c r="N1658" s="1" t="b">
        <f t="shared" si="129"/>
        <v>1</v>
      </c>
      <c r="O1658" s="8" t="str">
        <f>IF(F1658="","",IF($F$2=入力リスト!$H$25,ROUNDDOWN(INT(F1658)+ROUNDDOWN((F1658-INT(F1658))*100,0)/60,2),F1658))</f>
        <v/>
      </c>
      <c r="P1658" s="7"/>
      <c r="Q1658" s="7"/>
    </row>
    <row r="1659" spans="1:17">
      <c r="A1659" s="105"/>
      <c r="B1659" s="2"/>
      <c r="C1659" s="3"/>
      <c r="D1659" s="3"/>
      <c r="E1659" s="3"/>
      <c r="F1659" s="8"/>
      <c r="G1659" s="215" t="str">
        <f>IF(AND($B1659="",OR(B1659&lt;&gt;"",C1659&lt;&gt;"",D1659&lt;&gt;"",E1659&lt;&gt;"",F1659&lt;&gt;"")),入力リスト!$K$34,IF($I1659=TRUE,入力リスト!$K$35,IF(J1659=FALSE,"「毎月の固定給与額」","")&amp;IF(AND(J1659=FALSE,OR(K1659=FALSE,L1659=FALSE,M1659=FALSE)),",","")&amp;IF(K1659=FALSE,"「賞与額等」","")&amp;IF(AND(K1659=FALSE,OR(L1659=FALSE,M1659=FALSE)),",","")&amp;IF(L1659=FALSE,"「残業手当」","")&amp;IF(AND(L1659=FALSE,M1659=FALSE),",","")&amp;IF(M1659=FALSE,"「残業時間」","")&amp;IF(OR(J1659=FALSE,K1659=FALSE,L1659=FALSE,M1659=FALSE),入力リスト!$K$36,"")&amp;IF(N1659,"",入力リスト!$K$37)))</f>
        <v/>
      </c>
      <c r="H1659" s="215"/>
      <c r="I1659" s="1" t="b">
        <f>IF(B1659="",FALSE,COUNTIF('従業員情報(給与以外)'!$A$4:$A$1000000,$B1659)=0)</f>
        <v>0</v>
      </c>
      <c r="J1659" s="8" t="b">
        <f t="shared" si="125"/>
        <v>1</v>
      </c>
      <c r="K1659" s="8" t="b">
        <f t="shared" si="126"/>
        <v>1</v>
      </c>
      <c r="L1659" s="8" t="b">
        <f t="shared" si="127"/>
        <v>1</v>
      </c>
      <c r="M1659" s="8" t="b">
        <f t="shared" si="128"/>
        <v>1</v>
      </c>
      <c r="N1659" s="1" t="b">
        <f t="shared" si="129"/>
        <v>1</v>
      </c>
      <c r="O1659" s="8" t="str">
        <f>IF(F1659="","",IF($F$2=入力リスト!$H$25,ROUNDDOWN(INT(F1659)+ROUNDDOWN((F1659-INT(F1659))*100,0)/60,2),F1659))</f>
        <v/>
      </c>
      <c r="P1659" s="7"/>
      <c r="Q1659" s="7"/>
    </row>
    <row r="1660" spans="1:17">
      <c r="A1660" s="105"/>
      <c r="B1660" s="2"/>
      <c r="C1660" s="3"/>
      <c r="D1660" s="3"/>
      <c r="E1660" s="3"/>
      <c r="F1660" s="8"/>
      <c r="G1660" s="215" t="str">
        <f>IF(AND($B1660="",OR(B1660&lt;&gt;"",C1660&lt;&gt;"",D1660&lt;&gt;"",E1660&lt;&gt;"",F1660&lt;&gt;"")),入力リスト!$K$34,IF($I1660=TRUE,入力リスト!$K$35,IF(J1660=FALSE,"「毎月の固定給与額」","")&amp;IF(AND(J1660=FALSE,OR(K1660=FALSE,L1660=FALSE,M1660=FALSE)),",","")&amp;IF(K1660=FALSE,"「賞与額等」","")&amp;IF(AND(K1660=FALSE,OR(L1660=FALSE,M1660=FALSE)),",","")&amp;IF(L1660=FALSE,"「残業手当」","")&amp;IF(AND(L1660=FALSE,M1660=FALSE),",","")&amp;IF(M1660=FALSE,"「残業時間」","")&amp;IF(OR(J1660=FALSE,K1660=FALSE,L1660=FALSE,M1660=FALSE),入力リスト!$K$36,"")&amp;IF(N1660,"",入力リスト!$K$37)))</f>
        <v/>
      </c>
      <c r="H1660" s="215"/>
      <c r="I1660" s="1" t="b">
        <f>IF(B1660="",FALSE,COUNTIF('従業員情報(給与以外)'!$A$4:$A$1000000,$B1660)=0)</f>
        <v>0</v>
      </c>
      <c r="J1660" s="8" t="b">
        <f t="shared" si="125"/>
        <v>1</v>
      </c>
      <c r="K1660" s="8" t="b">
        <f t="shared" si="126"/>
        <v>1</v>
      </c>
      <c r="L1660" s="8" t="b">
        <f t="shared" si="127"/>
        <v>1</v>
      </c>
      <c r="M1660" s="8" t="b">
        <f t="shared" si="128"/>
        <v>1</v>
      </c>
      <c r="N1660" s="1" t="b">
        <f t="shared" si="129"/>
        <v>1</v>
      </c>
      <c r="O1660" s="8" t="str">
        <f>IF(F1660="","",IF($F$2=入力リスト!$H$25,ROUNDDOWN(INT(F1660)+ROUNDDOWN((F1660-INT(F1660))*100,0)/60,2),F1660))</f>
        <v/>
      </c>
      <c r="P1660" s="7"/>
      <c r="Q1660" s="7"/>
    </row>
    <row r="1661" spans="1:17">
      <c r="A1661" s="105"/>
      <c r="B1661" s="2"/>
      <c r="C1661" s="3"/>
      <c r="D1661" s="3"/>
      <c r="E1661" s="3"/>
      <c r="F1661" s="8"/>
      <c r="G1661" s="215" t="str">
        <f>IF(AND($B1661="",OR(B1661&lt;&gt;"",C1661&lt;&gt;"",D1661&lt;&gt;"",E1661&lt;&gt;"",F1661&lt;&gt;"")),入力リスト!$K$34,IF($I1661=TRUE,入力リスト!$K$35,IF(J1661=FALSE,"「毎月の固定給与額」","")&amp;IF(AND(J1661=FALSE,OR(K1661=FALSE,L1661=FALSE,M1661=FALSE)),",","")&amp;IF(K1661=FALSE,"「賞与額等」","")&amp;IF(AND(K1661=FALSE,OR(L1661=FALSE,M1661=FALSE)),",","")&amp;IF(L1661=FALSE,"「残業手当」","")&amp;IF(AND(L1661=FALSE,M1661=FALSE),",","")&amp;IF(M1661=FALSE,"「残業時間」","")&amp;IF(OR(J1661=FALSE,K1661=FALSE,L1661=FALSE,M1661=FALSE),入力リスト!$K$36,"")&amp;IF(N1661,"",入力リスト!$K$37)))</f>
        <v/>
      </c>
      <c r="H1661" s="215"/>
      <c r="I1661" s="1" t="b">
        <f>IF(B1661="",FALSE,COUNTIF('従業員情報(給与以外)'!$A$4:$A$1000000,$B1661)=0)</f>
        <v>0</v>
      </c>
      <c r="J1661" s="8" t="b">
        <f t="shared" si="125"/>
        <v>1</v>
      </c>
      <c r="K1661" s="8" t="b">
        <f t="shared" si="126"/>
        <v>1</v>
      </c>
      <c r="L1661" s="8" t="b">
        <f t="shared" si="127"/>
        <v>1</v>
      </c>
      <c r="M1661" s="8" t="b">
        <f t="shared" si="128"/>
        <v>1</v>
      </c>
      <c r="N1661" s="1" t="b">
        <f t="shared" si="129"/>
        <v>1</v>
      </c>
      <c r="O1661" s="8" t="str">
        <f>IF(F1661="","",IF($F$2=入力リスト!$H$25,ROUNDDOWN(INT(F1661)+ROUNDDOWN((F1661-INT(F1661))*100,0)/60,2),F1661))</f>
        <v/>
      </c>
      <c r="P1661" s="7"/>
      <c r="Q1661" s="7"/>
    </row>
    <row r="1662" spans="1:17">
      <c r="A1662" s="105"/>
      <c r="B1662" s="2"/>
      <c r="C1662" s="3"/>
      <c r="D1662" s="3"/>
      <c r="E1662" s="3"/>
      <c r="F1662" s="8"/>
      <c r="G1662" s="215" t="str">
        <f>IF(AND($B1662="",OR(B1662&lt;&gt;"",C1662&lt;&gt;"",D1662&lt;&gt;"",E1662&lt;&gt;"",F1662&lt;&gt;"")),入力リスト!$K$34,IF($I1662=TRUE,入力リスト!$K$35,IF(J1662=FALSE,"「毎月の固定給与額」","")&amp;IF(AND(J1662=FALSE,OR(K1662=FALSE,L1662=FALSE,M1662=FALSE)),",","")&amp;IF(K1662=FALSE,"「賞与額等」","")&amp;IF(AND(K1662=FALSE,OR(L1662=FALSE,M1662=FALSE)),",","")&amp;IF(L1662=FALSE,"「残業手当」","")&amp;IF(AND(L1662=FALSE,M1662=FALSE),",","")&amp;IF(M1662=FALSE,"「残業時間」","")&amp;IF(OR(J1662=FALSE,K1662=FALSE,L1662=FALSE,M1662=FALSE),入力リスト!$K$36,"")&amp;IF(N1662,"",入力リスト!$K$37)))</f>
        <v/>
      </c>
      <c r="H1662" s="215"/>
      <c r="I1662" s="1" t="b">
        <f>IF(B1662="",FALSE,COUNTIF('従業員情報(給与以外)'!$A$4:$A$1000000,$B1662)=0)</f>
        <v>0</v>
      </c>
      <c r="J1662" s="8" t="b">
        <f t="shared" si="125"/>
        <v>1</v>
      </c>
      <c r="K1662" s="8" t="b">
        <f t="shared" si="126"/>
        <v>1</v>
      </c>
      <c r="L1662" s="8" t="b">
        <f t="shared" si="127"/>
        <v>1</v>
      </c>
      <c r="M1662" s="8" t="b">
        <f t="shared" si="128"/>
        <v>1</v>
      </c>
      <c r="N1662" s="1" t="b">
        <f t="shared" si="129"/>
        <v>1</v>
      </c>
      <c r="O1662" s="8" t="str">
        <f>IF(F1662="","",IF($F$2=入力リスト!$H$25,ROUNDDOWN(INT(F1662)+ROUNDDOWN((F1662-INT(F1662))*100,0)/60,2),F1662))</f>
        <v/>
      </c>
      <c r="P1662" s="7"/>
      <c r="Q1662" s="7"/>
    </row>
    <row r="1663" spans="1:17">
      <c r="A1663" s="105"/>
      <c r="B1663" s="2"/>
      <c r="C1663" s="3"/>
      <c r="D1663" s="3"/>
      <c r="E1663" s="3"/>
      <c r="F1663" s="8"/>
      <c r="G1663" s="215" t="str">
        <f>IF(AND($B1663="",OR(B1663&lt;&gt;"",C1663&lt;&gt;"",D1663&lt;&gt;"",E1663&lt;&gt;"",F1663&lt;&gt;"")),入力リスト!$K$34,IF($I1663=TRUE,入力リスト!$K$35,IF(J1663=FALSE,"「毎月の固定給与額」","")&amp;IF(AND(J1663=FALSE,OR(K1663=FALSE,L1663=FALSE,M1663=FALSE)),",","")&amp;IF(K1663=FALSE,"「賞与額等」","")&amp;IF(AND(K1663=FALSE,OR(L1663=FALSE,M1663=FALSE)),",","")&amp;IF(L1663=FALSE,"「残業手当」","")&amp;IF(AND(L1663=FALSE,M1663=FALSE),",","")&amp;IF(M1663=FALSE,"「残業時間」","")&amp;IF(OR(J1663=FALSE,K1663=FALSE,L1663=FALSE,M1663=FALSE),入力リスト!$K$36,"")&amp;IF(N1663,"",入力リスト!$K$37)))</f>
        <v/>
      </c>
      <c r="H1663" s="215"/>
      <c r="I1663" s="1" t="b">
        <f>IF(B1663="",FALSE,COUNTIF('従業員情報(給与以外)'!$A$4:$A$1000000,$B1663)=0)</f>
        <v>0</v>
      </c>
      <c r="J1663" s="8" t="b">
        <f t="shared" si="125"/>
        <v>1</v>
      </c>
      <c r="K1663" s="8" t="b">
        <f t="shared" si="126"/>
        <v>1</v>
      </c>
      <c r="L1663" s="8" t="b">
        <f t="shared" si="127"/>
        <v>1</v>
      </c>
      <c r="M1663" s="8" t="b">
        <f t="shared" si="128"/>
        <v>1</v>
      </c>
      <c r="N1663" s="1" t="b">
        <f t="shared" si="129"/>
        <v>1</v>
      </c>
      <c r="O1663" s="8" t="str">
        <f>IF(F1663="","",IF($F$2=入力リスト!$H$25,ROUNDDOWN(INT(F1663)+ROUNDDOWN((F1663-INT(F1663))*100,0)/60,2),F1663))</f>
        <v/>
      </c>
      <c r="P1663" s="7"/>
      <c r="Q1663" s="7"/>
    </row>
    <row r="1664" spans="1:17">
      <c r="A1664" s="105"/>
      <c r="B1664" s="2"/>
      <c r="C1664" s="3"/>
      <c r="D1664" s="3"/>
      <c r="E1664" s="3"/>
      <c r="F1664" s="8"/>
      <c r="G1664" s="215" t="str">
        <f>IF(AND($B1664="",OR(B1664&lt;&gt;"",C1664&lt;&gt;"",D1664&lt;&gt;"",E1664&lt;&gt;"",F1664&lt;&gt;"")),入力リスト!$K$34,IF($I1664=TRUE,入力リスト!$K$35,IF(J1664=FALSE,"「毎月の固定給与額」","")&amp;IF(AND(J1664=FALSE,OR(K1664=FALSE,L1664=FALSE,M1664=FALSE)),",","")&amp;IF(K1664=FALSE,"「賞与額等」","")&amp;IF(AND(K1664=FALSE,OR(L1664=FALSE,M1664=FALSE)),",","")&amp;IF(L1664=FALSE,"「残業手当」","")&amp;IF(AND(L1664=FALSE,M1664=FALSE),",","")&amp;IF(M1664=FALSE,"「残業時間」","")&amp;IF(OR(J1664=FALSE,K1664=FALSE,L1664=FALSE,M1664=FALSE),入力リスト!$K$36,"")&amp;IF(N1664,"",入力リスト!$K$37)))</f>
        <v/>
      </c>
      <c r="H1664" s="215"/>
      <c r="I1664" s="1" t="b">
        <f>IF(B1664="",FALSE,COUNTIF('従業員情報(給与以外)'!$A$4:$A$1000000,$B1664)=0)</f>
        <v>0</v>
      </c>
      <c r="J1664" s="8" t="b">
        <f t="shared" si="125"/>
        <v>1</v>
      </c>
      <c r="K1664" s="8" t="b">
        <f t="shared" si="126"/>
        <v>1</v>
      </c>
      <c r="L1664" s="8" t="b">
        <f t="shared" si="127"/>
        <v>1</v>
      </c>
      <c r="M1664" s="8" t="b">
        <f t="shared" si="128"/>
        <v>1</v>
      </c>
      <c r="N1664" s="1" t="b">
        <f t="shared" si="129"/>
        <v>1</v>
      </c>
      <c r="O1664" s="8" t="str">
        <f>IF(F1664="","",IF($F$2=入力リスト!$H$25,ROUNDDOWN(INT(F1664)+ROUNDDOWN((F1664-INT(F1664))*100,0)/60,2),F1664))</f>
        <v/>
      </c>
      <c r="P1664" s="7"/>
      <c r="Q1664" s="7"/>
    </row>
    <row r="1665" spans="1:17">
      <c r="A1665" s="105"/>
      <c r="B1665" s="2"/>
      <c r="C1665" s="3"/>
      <c r="D1665" s="3"/>
      <c r="E1665" s="3"/>
      <c r="F1665" s="8"/>
      <c r="G1665" s="215" t="str">
        <f>IF(AND($B1665="",OR(B1665&lt;&gt;"",C1665&lt;&gt;"",D1665&lt;&gt;"",E1665&lt;&gt;"",F1665&lt;&gt;"")),入力リスト!$K$34,IF($I1665=TRUE,入力リスト!$K$35,IF(J1665=FALSE,"「毎月の固定給与額」","")&amp;IF(AND(J1665=FALSE,OR(K1665=FALSE,L1665=FALSE,M1665=FALSE)),",","")&amp;IF(K1665=FALSE,"「賞与額等」","")&amp;IF(AND(K1665=FALSE,OR(L1665=FALSE,M1665=FALSE)),",","")&amp;IF(L1665=FALSE,"「残業手当」","")&amp;IF(AND(L1665=FALSE,M1665=FALSE),",","")&amp;IF(M1665=FALSE,"「残業時間」","")&amp;IF(OR(J1665=FALSE,K1665=FALSE,L1665=FALSE,M1665=FALSE),入力リスト!$K$36,"")&amp;IF(N1665,"",入力リスト!$K$37)))</f>
        <v/>
      </c>
      <c r="H1665" s="215"/>
      <c r="I1665" s="1" t="b">
        <f>IF(B1665="",FALSE,COUNTIF('従業員情報(給与以外)'!$A$4:$A$1000000,$B1665)=0)</f>
        <v>0</v>
      </c>
      <c r="J1665" s="8" t="b">
        <f t="shared" si="125"/>
        <v>1</v>
      </c>
      <c r="K1665" s="8" t="b">
        <f t="shared" si="126"/>
        <v>1</v>
      </c>
      <c r="L1665" s="8" t="b">
        <f t="shared" si="127"/>
        <v>1</v>
      </c>
      <c r="M1665" s="8" t="b">
        <f t="shared" si="128"/>
        <v>1</v>
      </c>
      <c r="N1665" s="1" t="b">
        <f t="shared" si="129"/>
        <v>1</v>
      </c>
      <c r="O1665" s="8" t="str">
        <f>IF(F1665="","",IF($F$2=入力リスト!$H$25,ROUNDDOWN(INT(F1665)+ROUNDDOWN((F1665-INT(F1665))*100,0)/60,2),F1665))</f>
        <v/>
      </c>
      <c r="P1665" s="7"/>
      <c r="Q1665" s="7"/>
    </row>
    <row r="1666" spans="1:17">
      <c r="A1666" s="105"/>
      <c r="B1666" s="2"/>
      <c r="C1666" s="3"/>
      <c r="D1666" s="3"/>
      <c r="E1666" s="3"/>
      <c r="F1666" s="8"/>
      <c r="G1666" s="215" t="str">
        <f>IF(AND($B1666="",OR(B1666&lt;&gt;"",C1666&lt;&gt;"",D1666&lt;&gt;"",E1666&lt;&gt;"",F1666&lt;&gt;"")),入力リスト!$K$34,IF($I1666=TRUE,入力リスト!$K$35,IF(J1666=FALSE,"「毎月の固定給与額」","")&amp;IF(AND(J1666=FALSE,OR(K1666=FALSE,L1666=FALSE,M1666=FALSE)),",","")&amp;IF(K1666=FALSE,"「賞与額等」","")&amp;IF(AND(K1666=FALSE,OR(L1666=FALSE,M1666=FALSE)),",","")&amp;IF(L1666=FALSE,"「残業手当」","")&amp;IF(AND(L1666=FALSE,M1666=FALSE),",","")&amp;IF(M1666=FALSE,"「残業時間」","")&amp;IF(OR(J1666=FALSE,K1666=FALSE,L1666=FALSE,M1666=FALSE),入力リスト!$K$36,"")&amp;IF(N1666,"",入力リスト!$K$37)))</f>
        <v/>
      </c>
      <c r="H1666" s="215"/>
      <c r="I1666" s="1" t="b">
        <f>IF(B1666="",FALSE,COUNTIF('従業員情報(給与以外)'!$A$4:$A$1000000,$B1666)=0)</f>
        <v>0</v>
      </c>
      <c r="J1666" s="8" t="b">
        <f t="shared" si="125"/>
        <v>1</v>
      </c>
      <c r="K1666" s="8" t="b">
        <f t="shared" si="126"/>
        <v>1</v>
      </c>
      <c r="L1666" s="8" t="b">
        <f t="shared" si="127"/>
        <v>1</v>
      </c>
      <c r="M1666" s="8" t="b">
        <f t="shared" si="128"/>
        <v>1</v>
      </c>
      <c r="N1666" s="1" t="b">
        <f t="shared" si="129"/>
        <v>1</v>
      </c>
      <c r="O1666" s="8" t="str">
        <f>IF(F1666="","",IF($F$2=入力リスト!$H$25,ROUNDDOWN(INT(F1666)+ROUNDDOWN((F1666-INT(F1666))*100,0)/60,2),F1666))</f>
        <v/>
      </c>
      <c r="P1666" s="7"/>
      <c r="Q1666" s="7"/>
    </row>
    <row r="1667" spans="1:17">
      <c r="A1667" s="105"/>
      <c r="B1667" s="2"/>
      <c r="C1667" s="3"/>
      <c r="D1667" s="3"/>
      <c r="E1667" s="3"/>
      <c r="F1667" s="8"/>
      <c r="G1667" s="215" t="str">
        <f>IF(AND($B1667="",OR(B1667&lt;&gt;"",C1667&lt;&gt;"",D1667&lt;&gt;"",E1667&lt;&gt;"",F1667&lt;&gt;"")),入力リスト!$K$34,IF($I1667=TRUE,入力リスト!$K$35,IF(J1667=FALSE,"「毎月の固定給与額」","")&amp;IF(AND(J1667=FALSE,OR(K1667=FALSE,L1667=FALSE,M1667=FALSE)),",","")&amp;IF(K1667=FALSE,"「賞与額等」","")&amp;IF(AND(K1667=FALSE,OR(L1667=FALSE,M1667=FALSE)),",","")&amp;IF(L1667=FALSE,"「残業手当」","")&amp;IF(AND(L1667=FALSE,M1667=FALSE),",","")&amp;IF(M1667=FALSE,"「残業時間」","")&amp;IF(OR(J1667=FALSE,K1667=FALSE,L1667=FALSE,M1667=FALSE),入力リスト!$K$36,"")&amp;IF(N1667,"",入力リスト!$K$37)))</f>
        <v/>
      </c>
      <c r="H1667" s="215"/>
      <c r="I1667" s="1" t="b">
        <f>IF(B1667="",FALSE,COUNTIF('従業員情報(給与以外)'!$A$4:$A$1000000,$B1667)=0)</f>
        <v>0</v>
      </c>
      <c r="J1667" s="8" t="b">
        <f t="shared" si="125"/>
        <v>1</v>
      </c>
      <c r="K1667" s="8" t="b">
        <f t="shared" si="126"/>
        <v>1</v>
      </c>
      <c r="L1667" s="8" t="b">
        <f t="shared" si="127"/>
        <v>1</v>
      </c>
      <c r="M1667" s="8" t="b">
        <f t="shared" si="128"/>
        <v>1</v>
      </c>
      <c r="N1667" s="1" t="b">
        <f t="shared" si="129"/>
        <v>1</v>
      </c>
      <c r="O1667" s="8" t="str">
        <f>IF(F1667="","",IF($F$2=入力リスト!$H$25,ROUNDDOWN(INT(F1667)+ROUNDDOWN((F1667-INT(F1667))*100,0)/60,2),F1667))</f>
        <v/>
      </c>
      <c r="P1667" s="7"/>
      <c r="Q1667" s="7"/>
    </row>
    <row r="1668" spans="1:17">
      <c r="A1668" s="105"/>
      <c r="B1668" s="2"/>
      <c r="C1668" s="3"/>
      <c r="D1668" s="3"/>
      <c r="E1668" s="3"/>
      <c r="F1668" s="8"/>
      <c r="G1668" s="215" t="str">
        <f>IF(AND($B1668="",OR(B1668&lt;&gt;"",C1668&lt;&gt;"",D1668&lt;&gt;"",E1668&lt;&gt;"",F1668&lt;&gt;"")),入力リスト!$K$34,IF($I1668=TRUE,入力リスト!$K$35,IF(J1668=FALSE,"「毎月の固定給与額」","")&amp;IF(AND(J1668=FALSE,OR(K1668=FALSE,L1668=FALSE,M1668=FALSE)),",","")&amp;IF(K1668=FALSE,"「賞与額等」","")&amp;IF(AND(K1668=FALSE,OR(L1668=FALSE,M1668=FALSE)),",","")&amp;IF(L1668=FALSE,"「残業手当」","")&amp;IF(AND(L1668=FALSE,M1668=FALSE),",","")&amp;IF(M1668=FALSE,"「残業時間」","")&amp;IF(OR(J1668=FALSE,K1668=FALSE,L1668=FALSE,M1668=FALSE),入力リスト!$K$36,"")&amp;IF(N1668,"",入力リスト!$K$37)))</f>
        <v/>
      </c>
      <c r="H1668" s="215"/>
      <c r="I1668" s="1" t="b">
        <f>IF(B1668="",FALSE,COUNTIF('従業員情報(給与以外)'!$A$4:$A$1000000,$B1668)=0)</f>
        <v>0</v>
      </c>
      <c r="J1668" s="8" t="b">
        <f t="shared" si="125"/>
        <v>1</v>
      </c>
      <c r="K1668" s="8" t="b">
        <f t="shared" si="126"/>
        <v>1</v>
      </c>
      <c r="L1668" s="8" t="b">
        <f t="shared" si="127"/>
        <v>1</v>
      </c>
      <c r="M1668" s="8" t="b">
        <f t="shared" si="128"/>
        <v>1</v>
      </c>
      <c r="N1668" s="1" t="b">
        <f t="shared" si="129"/>
        <v>1</v>
      </c>
      <c r="O1668" s="8" t="str">
        <f>IF(F1668="","",IF($F$2=入力リスト!$H$25,ROUNDDOWN(INT(F1668)+ROUNDDOWN((F1668-INT(F1668))*100,0)/60,2),F1668))</f>
        <v/>
      </c>
      <c r="P1668" s="7"/>
      <c r="Q1668" s="7"/>
    </row>
    <row r="1669" spans="1:17">
      <c r="A1669" s="105"/>
      <c r="B1669" s="2"/>
      <c r="C1669" s="3"/>
      <c r="D1669" s="3"/>
      <c r="E1669" s="3"/>
      <c r="F1669" s="8"/>
      <c r="G1669" s="215" t="str">
        <f>IF(AND($B1669="",OR(B1669&lt;&gt;"",C1669&lt;&gt;"",D1669&lt;&gt;"",E1669&lt;&gt;"",F1669&lt;&gt;"")),入力リスト!$K$34,IF($I1669=TRUE,入力リスト!$K$35,IF(J1669=FALSE,"「毎月の固定給与額」","")&amp;IF(AND(J1669=FALSE,OR(K1669=FALSE,L1669=FALSE,M1669=FALSE)),",","")&amp;IF(K1669=FALSE,"「賞与額等」","")&amp;IF(AND(K1669=FALSE,OR(L1669=FALSE,M1669=FALSE)),",","")&amp;IF(L1669=FALSE,"「残業手当」","")&amp;IF(AND(L1669=FALSE,M1669=FALSE),",","")&amp;IF(M1669=FALSE,"「残業時間」","")&amp;IF(OR(J1669=FALSE,K1669=FALSE,L1669=FALSE,M1669=FALSE),入力リスト!$K$36,"")&amp;IF(N1669,"",入力リスト!$K$37)))</f>
        <v/>
      </c>
      <c r="H1669" s="215"/>
      <c r="I1669" s="1" t="b">
        <f>IF(B1669="",FALSE,COUNTIF('従業員情報(給与以外)'!$A$4:$A$1000000,$B1669)=0)</f>
        <v>0</v>
      </c>
      <c r="J1669" s="8" t="b">
        <f t="shared" ref="J1669:J1732" si="130">OR(C1669="",ISNUMBER(C1669))</f>
        <v>1</v>
      </c>
      <c r="K1669" s="8" t="b">
        <f t="shared" ref="K1669:K1732" si="131">OR(D1669="",ISNUMBER(D1669))</f>
        <v>1</v>
      </c>
      <c r="L1669" s="8" t="b">
        <f t="shared" ref="L1669:L1732" si="132">OR(E1669="",ISNUMBER(E1669))</f>
        <v>1</v>
      </c>
      <c r="M1669" s="8" t="b">
        <f t="shared" ref="M1669:M1732" si="133">OR(F1669="",ISNUMBER(F1669))</f>
        <v>1</v>
      </c>
      <c r="N1669" s="1" t="b">
        <f t="shared" ref="N1669:N1732" si="134">IF($N$1,TRUE,IF($N$2,IF(F1669-INT(F1669)&lt;0.6,TRUE,FALSE),TRUE))</f>
        <v>1</v>
      </c>
      <c r="O1669" s="8" t="str">
        <f>IF(F1669="","",IF($F$2=入力リスト!$H$25,ROUNDDOWN(INT(F1669)+ROUNDDOWN((F1669-INT(F1669))*100,0)/60,2),F1669))</f>
        <v/>
      </c>
      <c r="P1669" s="7"/>
      <c r="Q1669" s="7"/>
    </row>
    <row r="1670" spans="1:17">
      <c r="A1670" s="105"/>
      <c r="B1670" s="2"/>
      <c r="C1670" s="3"/>
      <c r="D1670" s="3"/>
      <c r="E1670" s="3"/>
      <c r="F1670" s="8"/>
      <c r="G1670" s="215" t="str">
        <f>IF(AND($B1670="",OR(B1670&lt;&gt;"",C1670&lt;&gt;"",D1670&lt;&gt;"",E1670&lt;&gt;"",F1670&lt;&gt;"")),入力リスト!$K$34,IF($I1670=TRUE,入力リスト!$K$35,IF(J1670=FALSE,"「毎月の固定給与額」","")&amp;IF(AND(J1670=FALSE,OR(K1670=FALSE,L1670=FALSE,M1670=FALSE)),",","")&amp;IF(K1670=FALSE,"「賞与額等」","")&amp;IF(AND(K1670=FALSE,OR(L1670=FALSE,M1670=FALSE)),",","")&amp;IF(L1670=FALSE,"「残業手当」","")&amp;IF(AND(L1670=FALSE,M1670=FALSE),",","")&amp;IF(M1670=FALSE,"「残業時間」","")&amp;IF(OR(J1670=FALSE,K1670=FALSE,L1670=FALSE,M1670=FALSE),入力リスト!$K$36,"")&amp;IF(N1670,"",入力リスト!$K$37)))</f>
        <v/>
      </c>
      <c r="H1670" s="215"/>
      <c r="I1670" s="1" t="b">
        <f>IF(B1670="",FALSE,COUNTIF('従業員情報(給与以外)'!$A$4:$A$1000000,$B1670)=0)</f>
        <v>0</v>
      </c>
      <c r="J1670" s="8" t="b">
        <f t="shared" si="130"/>
        <v>1</v>
      </c>
      <c r="K1670" s="8" t="b">
        <f t="shared" si="131"/>
        <v>1</v>
      </c>
      <c r="L1670" s="8" t="b">
        <f t="shared" si="132"/>
        <v>1</v>
      </c>
      <c r="M1670" s="8" t="b">
        <f t="shared" si="133"/>
        <v>1</v>
      </c>
      <c r="N1670" s="1" t="b">
        <f t="shared" si="134"/>
        <v>1</v>
      </c>
      <c r="O1670" s="8" t="str">
        <f>IF(F1670="","",IF($F$2=入力リスト!$H$25,ROUNDDOWN(INT(F1670)+ROUNDDOWN((F1670-INT(F1670))*100,0)/60,2),F1670))</f>
        <v/>
      </c>
      <c r="P1670" s="7"/>
      <c r="Q1670" s="7"/>
    </row>
    <row r="1671" spans="1:17">
      <c r="A1671" s="105"/>
      <c r="B1671" s="2"/>
      <c r="C1671" s="3"/>
      <c r="D1671" s="3"/>
      <c r="E1671" s="3"/>
      <c r="F1671" s="8"/>
      <c r="G1671" s="215" t="str">
        <f>IF(AND($B1671="",OR(B1671&lt;&gt;"",C1671&lt;&gt;"",D1671&lt;&gt;"",E1671&lt;&gt;"",F1671&lt;&gt;"")),入力リスト!$K$34,IF($I1671=TRUE,入力リスト!$K$35,IF(J1671=FALSE,"「毎月の固定給与額」","")&amp;IF(AND(J1671=FALSE,OR(K1671=FALSE,L1671=FALSE,M1671=FALSE)),",","")&amp;IF(K1671=FALSE,"「賞与額等」","")&amp;IF(AND(K1671=FALSE,OR(L1671=FALSE,M1671=FALSE)),",","")&amp;IF(L1671=FALSE,"「残業手当」","")&amp;IF(AND(L1671=FALSE,M1671=FALSE),",","")&amp;IF(M1671=FALSE,"「残業時間」","")&amp;IF(OR(J1671=FALSE,K1671=FALSE,L1671=FALSE,M1671=FALSE),入力リスト!$K$36,"")&amp;IF(N1671,"",入力リスト!$K$37)))</f>
        <v/>
      </c>
      <c r="H1671" s="215"/>
      <c r="I1671" s="1" t="b">
        <f>IF(B1671="",FALSE,COUNTIF('従業員情報(給与以外)'!$A$4:$A$1000000,$B1671)=0)</f>
        <v>0</v>
      </c>
      <c r="J1671" s="8" t="b">
        <f t="shared" si="130"/>
        <v>1</v>
      </c>
      <c r="K1671" s="8" t="b">
        <f t="shared" si="131"/>
        <v>1</v>
      </c>
      <c r="L1671" s="8" t="b">
        <f t="shared" si="132"/>
        <v>1</v>
      </c>
      <c r="M1671" s="8" t="b">
        <f t="shared" si="133"/>
        <v>1</v>
      </c>
      <c r="N1671" s="1" t="b">
        <f t="shared" si="134"/>
        <v>1</v>
      </c>
      <c r="O1671" s="8" t="str">
        <f>IF(F1671="","",IF($F$2=入力リスト!$H$25,ROUNDDOWN(INT(F1671)+ROUNDDOWN((F1671-INT(F1671))*100,0)/60,2),F1671))</f>
        <v/>
      </c>
      <c r="P1671" s="7"/>
      <c r="Q1671" s="7"/>
    </row>
    <row r="1672" spans="1:17">
      <c r="A1672" s="105"/>
      <c r="B1672" s="2"/>
      <c r="C1672" s="3"/>
      <c r="D1672" s="3"/>
      <c r="E1672" s="3"/>
      <c r="F1672" s="8"/>
      <c r="G1672" s="215" t="str">
        <f>IF(AND($B1672="",OR(B1672&lt;&gt;"",C1672&lt;&gt;"",D1672&lt;&gt;"",E1672&lt;&gt;"",F1672&lt;&gt;"")),入力リスト!$K$34,IF($I1672=TRUE,入力リスト!$K$35,IF(J1672=FALSE,"「毎月の固定給与額」","")&amp;IF(AND(J1672=FALSE,OR(K1672=FALSE,L1672=FALSE,M1672=FALSE)),",","")&amp;IF(K1672=FALSE,"「賞与額等」","")&amp;IF(AND(K1672=FALSE,OR(L1672=FALSE,M1672=FALSE)),",","")&amp;IF(L1672=FALSE,"「残業手当」","")&amp;IF(AND(L1672=FALSE,M1672=FALSE),",","")&amp;IF(M1672=FALSE,"「残業時間」","")&amp;IF(OR(J1672=FALSE,K1672=FALSE,L1672=FALSE,M1672=FALSE),入力リスト!$K$36,"")&amp;IF(N1672,"",入力リスト!$K$37)))</f>
        <v/>
      </c>
      <c r="H1672" s="215"/>
      <c r="I1672" s="1" t="b">
        <f>IF(B1672="",FALSE,COUNTIF('従業員情報(給与以外)'!$A$4:$A$1000000,$B1672)=0)</f>
        <v>0</v>
      </c>
      <c r="J1672" s="8" t="b">
        <f t="shared" si="130"/>
        <v>1</v>
      </c>
      <c r="K1672" s="8" t="b">
        <f t="shared" si="131"/>
        <v>1</v>
      </c>
      <c r="L1672" s="8" t="b">
        <f t="shared" si="132"/>
        <v>1</v>
      </c>
      <c r="M1672" s="8" t="b">
        <f t="shared" si="133"/>
        <v>1</v>
      </c>
      <c r="N1672" s="1" t="b">
        <f t="shared" si="134"/>
        <v>1</v>
      </c>
      <c r="O1672" s="8" t="str">
        <f>IF(F1672="","",IF($F$2=入力リスト!$H$25,ROUNDDOWN(INT(F1672)+ROUNDDOWN((F1672-INT(F1672))*100,0)/60,2),F1672))</f>
        <v/>
      </c>
      <c r="P1672" s="7"/>
      <c r="Q1672" s="7"/>
    </row>
    <row r="1673" spans="1:17">
      <c r="A1673" s="105"/>
      <c r="B1673" s="2"/>
      <c r="C1673" s="3"/>
      <c r="D1673" s="3"/>
      <c r="E1673" s="3"/>
      <c r="F1673" s="8"/>
      <c r="G1673" s="215" t="str">
        <f>IF(AND($B1673="",OR(B1673&lt;&gt;"",C1673&lt;&gt;"",D1673&lt;&gt;"",E1673&lt;&gt;"",F1673&lt;&gt;"")),入力リスト!$K$34,IF($I1673=TRUE,入力リスト!$K$35,IF(J1673=FALSE,"「毎月の固定給与額」","")&amp;IF(AND(J1673=FALSE,OR(K1673=FALSE,L1673=FALSE,M1673=FALSE)),",","")&amp;IF(K1673=FALSE,"「賞与額等」","")&amp;IF(AND(K1673=FALSE,OR(L1673=FALSE,M1673=FALSE)),",","")&amp;IF(L1673=FALSE,"「残業手当」","")&amp;IF(AND(L1673=FALSE,M1673=FALSE),",","")&amp;IF(M1673=FALSE,"「残業時間」","")&amp;IF(OR(J1673=FALSE,K1673=FALSE,L1673=FALSE,M1673=FALSE),入力リスト!$K$36,"")&amp;IF(N1673,"",入力リスト!$K$37)))</f>
        <v/>
      </c>
      <c r="H1673" s="215"/>
      <c r="I1673" s="1" t="b">
        <f>IF(B1673="",FALSE,COUNTIF('従業員情報(給与以外)'!$A$4:$A$1000000,$B1673)=0)</f>
        <v>0</v>
      </c>
      <c r="J1673" s="8" t="b">
        <f t="shared" si="130"/>
        <v>1</v>
      </c>
      <c r="K1673" s="8" t="b">
        <f t="shared" si="131"/>
        <v>1</v>
      </c>
      <c r="L1673" s="8" t="b">
        <f t="shared" si="132"/>
        <v>1</v>
      </c>
      <c r="M1673" s="8" t="b">
        <f t="shared" si="133"/>
        <v>1</v>
      </c>
      <c r="N1673" s="1" t="b">
        <f t="shared" si="134"/>
        <v>1</v>
      </c>
      <c r="O1673" s="8" t="str">
        <f>IF(F1673="","",IF($F$2=入力リスト!$H$25,ROUNDDOWN(INT(F1673)+ROUNDDOWN((F1673-INT(F1673))*100,0)/60,2),F1673))</f>
        <v/>
      </c>
      <c r="P1673" s="7"/>
      <c r="Q1673" s="7"/>
    </row>
    <row r="1674" spans="1:17">
      <c r="A1674" s="105"/>
      <c r="B1674" s="2"/>
      <c r="C1674" s="3"/>
      <c r="D1674" s="3"/>
      <c r="E1674" s="3"/>
      <c r="F1674" s="8"/>
      <c r="G1674" s="215" t="str">
        <f>IF(AND($B1674="",OR(B1674&lt;&gt;"",C1674&lt;&gt;"",D1674&lt;&gt;"",E1674&lt;&gt;"",F1674&lt;&gt;"")),入力リスト!$K$34,IF($I1674=TRUE,入力リスト!$K$35,IF(J1674=FALSE,"「毎月の固定給与額」","")&amp;IF(AND(J1674=FALSE,OR(K1674=FALSE,L1674=FALSE,M1674=FALSE)),",","")&amp;IF(K1674=FALSE,"「賞与額等」","")&amp;IF(AND(K1674=FALSE,OR(L1674=FALSE,M1674=FALSE)),",","")&amp;IF(L1674=FALSE,"「残業手当」","")&amp;IF(AND(L1674=FALSE,M1674=FALSE),",","")&amp;IF(M1674=FALSE,"「残業時間」","")&amp;IF(OR(J1674=FALSE,K1674=FALSE,L1674=FALSE,M1674=FALSE),入力リスト!$K$36,"")&amp;IF(N1674,"",入力リスト!$K$37)))</f>
        <v/>
      </c>
      <c r="H1674" s="215"/>
      <c r="I1674" s="1" t="b">
        <f>IF(B1674="",FALSE,COUNTIF('従業員情報(給与以外)'!$A$4:$A$1000000,$B1674)=0)</f>
        <v>0</v>
      </c>
      <c r="J1674" s="8" t="b">
        <f t="shared" si="130"/>
        <v>1</v>
      </c>
      <c r="K1674" s="8" t="b">
        <f t="shared" si="131"/>
        <v>1</v>
      </c>
      <c r="L1674" s="8" t="b">
        <f t="shared" si="132"/>
        <v>1</v>
      </c>
      <c r="M1674" s="8" t="b">
        <f t="shared" si="133"/>
        <v>1</v>
      </c>
      <c r="N1674" s="1" t="b">
        <f t="shared" si="134"/>
        <v>1</v>
      </c>
      <c r="O1674" s="8" t="str">
        <f>IF(F1674="","",IF($F$2=入力リスト!$H$25,ROUNDDOWN(INT(F1674)+ROUNDDOWN((F1674-INT(F1674))*100,0)/60,2),F1674))</f>
        <v/>
      </c>
      <c r="P1674" s="7"/>
      <c r="Q1674" s="7"/>
    </row>
    <row r="1675" spans="1:17">
      <c r="A1675" s="105"/>
      <c r="B1675" s="2"/>
      <c r="C1675" s="3"/>
      <c r="D1675" s="3"/>
      <c r="E1675" s="3"/>
      <c r="F1675" s="8"/>
      <c r="G1675" s="215" t="str">
        <f>IF(AND($B1675="",OR(B1675&lt;&gt;"",C1675&lt;&gt;"",D1675&lt;&gt;"",E1675&lt;&gt;"",F1675&lt;&gt;"")),入力リスト!$K$34,IF($I1675=TRUE,入力リスト!$K$35,IF(J1675=FALSE,"「毎月の固定給与額」","")&amp;IF(AND(J1675=FALSE,OR(K1675=FALSE,L1675=FALSE,M1675=FALSE)),",","")&amp;IF(K1675=FALSE,"「賞与額等」","")&amp;IF(AND(K1675=FALSE,OR(L1675=FALSE,M1675=FALSE)),",","")&amp;IF(L1675=FALSE,"「残業手当」","")&amp;IF(AND(L1675=FALSE,M1675=FALSE),",","")&amp;IF(M1675=FALSE,"「残業時間」","")&amp;IF(OR(J1675=FALSE,K1675=FALSE,L1675=FALSE,M1675=FALSE),入力リスト!$K$36,"")&amp;IF(N1675,"",入力リスト!$K$37)))</f>
        <v/>
      </c>
      <c r="H1675" s="215"/>
      <c r="I1675" s="1" t="b">
        <f>IF(B1675="",FALSE,COUNTIF('従業員情報(給与以外)'!$A$4:$A$1000000,$B1675)=0)</f>
        <v>0</v>
      </c>
      <c r="J1675" s="8" t="b">
        <f t="shared" si="130"/>
        <v>1</v>
      </c>
      <c r="K1675" s="8" t="b">
        <f t="shared" si="131"/>
        <v>1</v>
      </c>
      <c r="L1675" s="8" t="b">
        <f t="shared" si="132"/>
        <v>1</v>
      </c>
      <c r="M1675" s="8" t="b">
        <f t="shared" si="133"/>
        <v>1</v>
      </c>
      <c r="N1675" s="1" t="b">
        <f t="shared" si="134"/>
        <v>1</v>
      </c>
      <c r="O1675" s="8" t="str">
        <f>IF(F1675="","",IF($F$2=入力リスト!$H$25,ROUNDDOWN(INT(F1675)+ROUNDDOWN((F1675-INT(F1675))*100,0)/60,2),F1675))</f>
        <v/>
      </c>
      <c r="P1675" s="7"/>
      <c r="Q1675" s="7"/>
    </row>
    <row r="1676" spans="1:17">
      <c r="A1676" s="105"/>
      <c r="B1676" s="2"/>
      <c r="C1676" s="3"/>
      <c r="D1676" s="3"/>
      <c r="E1676" s="3"/>
      <c r="F1676" s="8"/>
      <c r="G1676" s="215" t="str">
        <f>IF(AND($B1676="",OR(B1676&lt;&gt;"",C1676&lt;&gt;"",D1676&lt;&gt;"",E1676&lt;&gt;"",F1676&lt;&gt;"")),入力リスト!$K$34,IF($I1676=TRUE,入力リスト!$K$35,IF(J1676=FALSE,"「毎月の固定給与額」","")&amp;IF(AND(J1676=FALSE,OR(K1676=FALSE,L1676=FALSE,M1676=FALSE)),",","")&amp;IF(K1676=FALSE,"「賞与額等」","")&amp;IF(AND(K1676=FALSE,OR(L1676=FALSE,M1676=FALSE)),",","")&amp;IF(L1676=FALSE,"「残業手当」","")&amp;IF(AND(L1676=FALSE,M1676=FALSE),",","")&amp;IF(M1676=FALSE,"「残業時間」","")&amp;IF(OR(J1676=FALSE,K1676=FALSE,L1676=FALSE,M1676=FALSE),入力リスト!$K$36,"")&amp;IF(N1676,"",入力リスト!$K$37)))</f>
        <v/>
      </c>
      <c r="H1676" s="215"/>
      <c r="I1676" s="1" t="b">
        <f>IF(B1676="",FALSE,COUNTIF('従業員情報(給与以外)'!$A$4:$A$1000000,$B1676)=0)</f>
        <v>0</v>
      </c>
      <c r="J1676" s="8" t="b">
        <f t="shared" si="130"/>
        <v>1</v>
      </c>
      <c r="K1676" s="8" t="b">
        <f t="shared" si="131"/>
        <v>1</v>
      </c>
      <c r="L1676" s="8" t="b">
        <f t="shared" si="132"/>
        <v>1</v>
      </c>
      <c r="M1676" s="8" t="b">
        <f t="shared" si="133"/>
        <v>1</v>
      </c>
      <c r="N1676" s="1" t="b">
        <f t="shared" si="134"/>
        <v>1</v>
      </c>
      <c r="O1676" s="8" t="str">
        <f>IF(F1676="","",IF($F$2=入力リスト!$H$25,ROUNDDOWN(INT(F1676)+ROUNDDOWN((F1676-INT(F1676))*100,0)/60,2),F1676))</f>
        <v/>
      </c>
      <c r="P1676" s="7"/>
      <c r="Q1676" s="7"/>
    </row>
    <row r="1677" spans="1:17">
      <c r="A1677" s="105"/>
      <c r="B1677" s="2"/>
      <c r="C1677" s="3"/>
      <c r="D1677" s="3"/>
      <c r="E1677" s="3"/>
      <c r="F1677" s="8"/>
      <c r="G1677" s="215" t="str">
        <f>IF(AND($B1677="",OR(B1677&lt;&gt;"",C1677&lt;&gt;"",D1677&lt;&gt;"",E1677&lt;&gt;"",F1677&lt;&gt;"")),入力リスト!$K$34,IF($I1677=TRUE,入力リスト!$K$35,IF(J1677=FALSE,"「毎月の固定給与額」","")&amp;IF(AND(J1677=FALSE,OR(K1677=FALSE,L1677=FALSE,M1677=FALSE)),",","")&amp;IF(K1677=FALSE,"「賞与額等」","")&amp;IF(AND(K1677=FALSE,OR(L1677=FALSE,M1677=FALSE)),",","")&amp;IF(L1677=FALSE,"「残業手当」","")&amp;IF(AND(L1677=FALSE,M1677=FALSE),",","")&amp;IF(M1677=FALSE,"「残業時間」","")&amp;IF(OR(J1677=FALSE,K1677=FALSE,L1677=FALSE,M1677=FALSE),入力リスト!$K$36,"")&amp;IF(N1677,"",入力リスト!$K$37)))</f>
        <v/>
      </c>
      <c r="H1677" s="215"/>
      <c r="I1677" s="1" t="b">
        <f>IF(B1677="",FALSE,COUNTIF('従業員情報(給与以外)'!$A$4:$A$1000000,$B1677)=0)</f>
        <v>0</v>
      </c>
      <c r="J1677" s="8" t="b">
        <f t="shared" si="130"/>
        <v>1</v>
      </c>
      <c r="K1677" s="8" t="b">
        <f t="shared" si="131"/>
        <v>1</v>
      </c>
      <c r="L1677" s="8" t="b">
        <f t="shared" si="132"/>
        <v>1</v>
      </c>
      <c r="M1677" s="8" t="b">
        <f t="shared" si="133"/>
        <v>1</v>
      </c>
      <c r="N1677" s="1" t="b">
        <f t="shared" si="134"/>
        <v>1</v>
      </c>
      <c r="O1677" s="8" t="str">
        <f>IF(F1677="","",IF($F$2=入力リスト!$H$25,ROUNDDOWN(INT(F1677)+ROUNDDOWN((F1677-INT(F1677))*100,0)/60,2),F1677))</f>
        <v/>
      </c>
      <c r="P1677" s="7"/>
      <c r="Q1677" s="7"/>
    </row>
    <row r="1678" spans="1:17">
      <c r="A1678" s="105"/>
      <c r="B1678" s="2"/>
      <c r="C1678" s="3"/>
      <c r="D1678" s="3"/>
      <c r="E1678" s="3"/>
      <c r="F1678" s="8"/>
      <c r="G1678" s="215" t="str">
        <f>IF(AND($B1678="",OR(B1678&lt;&gt;"",C1678&lt;&gt;"",D1678&lt;&gt;"",E1678&lt;&gt;"",F1678&lt;&gt;"")),入力リスト!$K$34,IF($I1678=TRUE,入力リスト!$K$35,IF(J1678=FALSE,"「毎月の固定給与額」","")&amp;IF(AND(J1678=FALSE,OR(K1678=FALSE,L1678=FALSE,M1678=FALSE)),",","")&amp;IF(K1678=FALSE,"「賞与額等」","")&amp;IF(AND(K1678=FALSE,OR(L1678=FALSE,M1678=FALSE)),",","")&amp;IF(L1678=FALSE,"「残業手当」","")&amp;IF(AND(L1678=FALSE,M1678=FALSE),",","")&amp;IF(M1678=FALSE,"「残業時間」","")&amp;IF(OR(J1678=FALSE,K1678=FALSE,L1678=FALSE,M1678=FALSE),入力リスト!$K$36,"")&amp;IF(N1678,"",入力リスト!$K$37)))</f>
        <v/>
      </c>
      <c r="H1678" s="215"/>
      <c r="I1678" s="1" t="b">
        <f>IF(B1678="",FALSE,COUNTIF('従業員情報(給与以外)'!$A$4:$A$1000000,$B1678)=0)</f>
        <v>0</v>
      </c>
      <c r="J1678" s="8" t="b">
        <f t="shared" si="130"/>
        <v>1</v>
      </c>
      <c r="K1678" s="8" t="b">
        <f t="shared" si="131"/>
        <v>1</v>
      </c>
      <c r="L1678" s="8" t="b">
        <f t="shared" si="132"/>
        <v>1</v>
      </c>
      <c r="M1678" s="8" t="b">
        <f t="shared" si="133"/>
        <v>1</v>
      </c>
      <c r="N1678" s="1" t="b">
        <f t="shared" si="134"/>
        <v>1</v>
      </c>
      <c r="O1678" s="8" t="str">
        <f>IF(F1678="","",IF($F$2=入力リスト!$H$25,ROUNDDOWN(INT(F1678)+ROUNDDOWN((F1678-INT(F1678))*100,0)/60,2),F1678))</f>
        <v/>
      </c>
      <c r="P1678" s="7"/>
      <c r="Q1678" s="7"/>
    </row>
    <row r="1679" spans="1:17">
      <c r="A1679" s="105"/>
      <c r="B1679" s="2"/>
      <c r="C1679" s="3"/>
      <c r="D1679" s="3"/>
      <c r="E1679" s="3"/>
      <c r="F1679" s="8"/>
      <c r="G1679" s="215" t="str">
        <f>IF(AND($B1679="",OR(B1679&lt;&gt;"",C1679&lt;&gt;"",D1679&lt;&gt;"",E1679&lt;&gt;"",F1679&lt;&gt;"")),入力リスト!$K$34,IF($I1679=TRUE,入力リスト!$K$35,IF(J1679=FALSE,"「毎月の固定給与額」","")&amp;IF(AND(J1679=FALSE,OR(K1679=FALSE,L1679=FALSE,M1679=FALSE)),",","")&amp;IF(K1679=FALSE,"「賞与額等」","")&amp;IF(AND(K1679=FALSE,OR(L1679=FALSE,M1679=FALSE)),",","")&amp;IF(L1679=FALSE,"「残業手当」","")&amp;IF(AND(L1679=FALSE,M1679=FALSE),",","")&amp;IF(M1679=FALSE,"「残業時間」","")&amp;IF(OR(J1679=FALSE,K1679=FALSE,L1679=FALSE,M1679=FALSE),入力リスト!$K$36,"")&amp;IF(N1679,"",入力リスト!$K$37)))</f>
        <v/>
      </c>
      <c r="H1679" s="215"/>
      <c r="I1679" s="1" t="b">
        <f>IF(B1679="",FALSE,COUNTIF('従業員情報(給与以外)'!$A$4:$A$1000000,$B1679)=0)</f>
        <v>0</v>
      </c>
      <c r="J1679" s="8" t="b">
        <f t="shared" si="130"/>
        <v>1</v>
      </c>
      <c r="K1679" s="8" t="b">
        <f t="shared" si="131"/>
        <v>1</v>
      </c>
      <c r="L1679" s="8" t="b">
        <f t="shared" si="132"/>
        <v>1</v>
      </c>
      <c r="M1679" s="8" t="b">
        <f t="shared" si="133"/>
        <v>1</v>
      </c>
      <c r="N1679" s="1" t="b">
        <f t="shared" si="134"/>
        <v>1</v>
      </c>
      <c r="O1679" s="8" t="str">
        <f>IF(F1679="","",IF($F$2=入力リスト!$H$25,ROUNDDOWN(INT(F1679)+ROUNDDOWN((F1679-INT(F1679))*100,0)/60,2),F1679))</f>
        <v/>
      </c>
      <c r="P1679" s="7"/>
      <c r="Q1679" s="7"/>
    </row>
    <row r="1680" spans="1:17">
      <c r="A1680" s="105"/>
      <c r="B1680" s="2"/>
      <c r="C1680" s="3"/>
      <c r="D1680" s="3"/>
      <c r="E1680" s="3"/>
      <c r="F1680" s="8"/>
      <c r="G1680" s="215" t="str">
        <f>IF(AND($B1680="",OR(B1680&lt;&gt;"",C1680&lt;&gt;"",D1680&lt;&gt;"",E1680&lt;&gt;"",F1680&lt;&gt;"")),入力リスト!$K$34,IF($I1680=TRUE,入力リスト!$K$35,IF(J1680=FALSE,"「毎月の固定給与額」","")&amp;IF(AND(J1680=FALSE,OR(K1680=FALSE,L1680=FALSE,M1680=FALSE)),",","")&amp;IF(K1680=FALSE,"「賞与額等」","")&amp;IF(AND(K1680=FALSE,OR(L1680=FALSE,M1680=FALSE)),",","")&amp;IF(L1680=FALSE,"「残業手当」","")&amp;IF(AND(L1680=FALSE,M1680=FALSE),",","")&amp;IF(M1680=FALSE,"「残業時間」","")&amp;IF(OR(J1680=FALSE,K1680=FALSE,L1680=FALSE,M1680=FALSE),入力リスト!$K$36,"")&amp;IF(N1680,"",入力リスト!$K$37)))</f>
        <v/>
      </c>
      <c r="H1680" s="215"/>
      <c r="I1680" s="1" t="b">
        <f>IF(B1680="",FALSE,COUNTIF('従業員情報(給与以外)'!$A$4:$A$1000000,$B1680)=0)</f>
        <v>0</v>
      </c>
      <c r="J1680" s="8" t="b">
        <f t="shared" si="130"/>
        <v>1</v>
      </c>
      <c r="K1680" s="8" t="b">
        <f t="shared" si="131"/>
        <v>1</v>
      </c>
      <c r="L1680" s="8" t="b">
        <f t="shared" si="132"/>
        <v>1</v>
      </c>
      <c r="M1680" s="8" t="b">
        <f t="shared" si="133"/>
        <v>1</v>
      </c>
      <c r="N1680" s="1" t="b">
        <f t="shared" si="134"/>
        <v>1</v>
      </c>
      <c r="O1680" s="8" t="str">
        <f>IF(F1680="","",IF($F$2=入力リスト!$H$25,ROUNDDOWN(INT(F1680)+ROUNDDOWN((F1680-INT(F1680))*100,0)/60,2),F1680))</f>
        <v/>
      </c>
      <c r="P1680" s="7"/>
      <c r="Q1680" s="7"/>
    </row>
    <row r="1681" spans="1:17">
      <c r="A1681" s="105"/>
      <c r="B1681" s="2"/>
      <c r="C1681" s="3"/>
      <c r="D1681" s="3"/>
      <c r="E1681" s="3"/>
      <c r="F1681" s="8"/>
      <c r="G1681" s="215" t="str">
        <f>IF(AND($B1681="",OR(B1681&lt;&gt;"",C1681&lt;&gt;"",D1681&lt;&gt;"",E1681&lt;&gt;"",F1681&lt;&gt;"")),入力リスト!$K$34,IF($I1681=TRUE,入力リスト!$K$35,IF(J1681=FALSE,"「毎月の固定給与額」","")&amp;IF(AND(J1681=FALSE,OR(K1681=FALSE,L1681=FALSE,M1681=FALSE)),",","")&amp;IF(K1681=FALSE,"「賞与額等」","")&amp;IF(AND(K1681=FALSE,OR(L1681=FALSE,M1681=FALSE)),",","")&amp;IF(L1681=FALSE,"「残業手当」","")&amp;IF(AND(L1681=FALSE,M1681=FALSE),",","")&amp;IF(M1681=FALSE,"「残業時間」","")&amp;IF(OR(J1681=FALSE,K1681=FALSE,L1681=FALSE,M1681=FALSE),入力リスト!$K$36,"")&amp;IF(N1681,"",入力リスト!$K$37)))</f>
        <v/>
      </c>
      <c r="H1681" s="215"/>
      <c r="I1681" s="1" t="b">
        <f>IF(B1681="",FALSE,COUNTIF('従業員情報(給与以外)'!$A$4:$A$1000000,$B1681)=0)</f>
        <v>0</v>
      </c>
      <c r="J1681" s="8" t="b">
        <f t="shared" si="130"/>
        <v>1</v>
      </c>
      <c r="K1681" s="8" t="b">
        <f t="shared" si="131"/>
        <v>1</v>
      </c>
      <c r="L1681" s="8" t="b">
        <f t="shared" si="132"/>
        <v>1</v>
      </c>
      <c r="M1681" s="8" t="b">
        <f t="shared" si="133"/>
        <v>1</v>
      </c>
      <c r="N1681" s="1" t="b">
        <f t="shared" si="134"/>
        <v>1</v>
      </c>
      <c r="O1681" s="8" t="str">
        <f>IF(F1681="","",IF($F$2=入力リスト!$H$25,ROUNDDOWN(INT(F1681)+ROUNDDOWN((F1681-INT(F1681))*100,0)/60,2),F1681))</f>
        <v/>
      </c>
      <c r="P1681" s="7"/>
      <c r="Q1681" s="7"/>
    </row>
    <row r="1682" spans="1:17">
      <c r="A1682" s="105"/>
      <c r="B1682" s="2"/>
      <c r="C1682" s="3"/>
      <c r="D1682" s="3"/>
      <c r="E1682" s="3"/>
      <c r="F1682" s="8"/>
      <c r="G1682" s="215" t="str">
        <f>IF(AND($B1682="",OR(B1682&lt;&gt;"",C1682&lt;&gt;"",D1682&lt;&gt;"",E1682&lt;&gt;"",F1682&lt;&gt;"")),入力リスト!$K$34,IF($I1682=TRUE,入力リスト!$K$35,IF(J1682=FALSE,"「毎月の固定給与額」","")&amp;IF(AND(J1682=FALSE,OR(K1682=FALSE,L1682=FALSE,M1682=FALSE)),",","")&amp;IF(K1682=FALSE,"「賞与額等」","")&amp;IF(AND(K1682=FALSE,OR(L1682=FALSE,M1682=FALSE)),",","")&amp;IF(L1682=FALSE,"「残業手当」","")&amp;IF(AND(L1682=FALSE,M1682=FALSE),",","")&amp;IF(M1682=FALSE,"「残業時間」","")&amp;IF(OR(J1682=FALSE,K1682=FALSE,L1682=FALSE,M1682=FALSE),入力リスト!$K$36,"")&amp;IF(N1682,"",入力リスト!$K$37)))</f>
        <v/>
      </c>
      <c r="H1682" s="215"/>
      <c r="I1682" s="1" t="b">
        <f>IF(B1682="",FALSE,COUNTIF('従業員情報(給与以外)'!$A$4:$A$1000000,$B1682)=0)</f>
        <v>0</v>
      </c>
      <c r="J1682" s="8" t="b">
        <f t="shared" si="130"/>
        <v>1</v>
      </c>
      <c r="K1682" s="8" t="b">
        <f t="shared" si="131"/>
        <v>1</v>
      </c>
      <c r="L1682" s="8" t="b">
        <f t="shared" si="132"/>
        <v>1</v>
      </c>
      <c r="M1682" s="8" t="b">
        <f t="shared" si="133"/>
        <v>1</v>
      </c>
      <c r="N1682" s="1" t="b">
        <f t="shared" si="134"/>
        <v>1</v>
      </c>
      <c r="O1682" s="8" t="str">
        <f>IF(F1682="","",IF($F$2=入力リスト!$H$25,ROUNDDOWN(INT(F1682)+ROUNDDOWN((F1682-INT(F1682))*100,0)/60,2),F1682))</f>
        <v/>
      </c>
      <c r="P1682" s="7"/>
      <c r="Q1682" s="7"/>
    </row>
    <row r="1683" spans="1:17">
      <c r="A1683" s="105"/>
      <c r="B1683" s="2"/>
      <c r="C1683" s="3"/>
      <c r="D1683" s="3"/>
      <c r="E1683" s="3"/>
      <c r="F1683" s="8"/>
      <c r="G1683" s="215" t="str">
        <f>IF(AND($B1683="",OR(B1683&lt;&gt;"",C1683&lt;&gt;"",D1683&lt;&gt;"",E1683&lt;&gt;"",F1683&lt;&gt;"")),入力リスト!$K$34,IF($I1683=TRUE,入力リスト!$K$35,IF(J1683=FALSE,"「毎月の固定給与額」","")&amp;IF(AND(J1683=FALSE,OR(K1683=FALSE,L1683=FALSE,M1683=FALSE)),",","")&amp;IF(K1683=FALSE,"「賞与額等」","")&amp;IF(AND(K1683=FALSE,OR(L1683=FALSE,M1683=FALSE)),",","")&amp;IF(L1683=FALSE,"「残業手当」","")&amp;IF(AND(L1683=FALSE,M1683=FALSE),",","")&amp;IF(M1683=FALSE,"「残業時間」","")&amp;IF(OR(J1683=FALSE,K1683=FALSE,L1683=FALSE,M1683=FALSE),入力リスト!$K$36,"")&amp;IF(N1683,"",入力リスト!$K$37)))</f>
        <v/>
      </c>
      <c r="H1683" s="215"/>
      <c r="I1683" s="1" t="b">
        <f>IF(B1683="",FALSE,COUNTIF('従業員情報(給与以外)'!$A$4:$A$1000000,$B1683)=0)</f>
        <v>0</v>
      </c>
      <c r="J1683" s="8" t="b">
        <f t="shared" si="130"/>
        <v>1</v>
      </c>
      <c r="K1683" s="8" t="b">
        <f t="shared" si="131"/>
        <v>1</v>
      </c>
      <c r="L1683" s="8" t="b">
        <f t="shared" si="132"/>
        <v>1</v>
      </c>
      <c r="M1683" s="8" t="b">
        <f t="shared" si="133"/>
        <v>1</v>
      </c>
      <c r="N1683" s="1" t="b">
        <f t="shared" si="134"/>
        <v>1</v>
      </c>
      <c r="O1683" s="8" t="str">
        <f>IF(F1683="","",IF($F$2=入力リスト!$H$25,ROUNDDOWN(INT(F1683)+ROUNDDOWN((F1683-INT(F1683))*100,0)/60,2),F1683))</f>
        <v/>
      </c>
      <c r="P1683" s="7"/>
      <c r="Q1683" s="7"/>
    </row>
    <row r="1684" spans="1:17">
      <c r="A1684" s="105"/>
      <c r="B1684" s="2"/>
      <c r="C1684" s="3"/>
      <c r="D1684" s="3"/>
      <c r="E1684" s="3"/>
      <c r="F1684" s="8"/>
      <c r="G1684" s="215" t="str">
        <f>IF(AND($B1684="",OR(B1684&lt;&gt;"",C1684&lt;&gt;"",D1684&lt;&gt;"",E1684&lt;&gt;"",F1684&lt;&gt;"")),入力リスト!$K$34,IF($I1684=TRUE,入力リスト!$K$35,IF(J1684=FALSE,"「毎月の固定給与額」","")&amp;IF(AND(J1684=FALSE,OR(K1684=FALSE,L1684=FALSE,M1684=FALSE)),",","")&amp;IF(K1684=FALSE,"「賞与額等」","")&amp;IF(AND(K1684=FALSE,OR(L1684=FALSE,M1684=FALSE)),",","")&amp;IF(L1684=FALSE,"「残業手当」","")&amp;IF(AND(L1684=FALSE,M1684=FALSE),",","")&amp;IF(M1684=FALSE,"「残業時間」","")&amp;IF(OR(J1684=FALSE,K1684=FALSE,L1684=FALSE,M1684=FALSE),入力リスト!$K$36,"")&amp;IF(N1684,"",入力リスト!$K$37)))</f>
        <v/>
      </c>
      <c r="H1684" s="215"/>
      <c r="I1684" s="1" t="b">
        <f>IF(B1684="",FALSE,COUNTIF('従業員情報(給与以外)'!$A$4:$A$1000000,$B1684)=0)</f>
        <v>0</v>
      </c>
      <c r="J1684" s="8" t="b">
        <f t="shared" si="130"/>
        <v>1</v>
      </c>
      <c r="K1684" s="8" t="b">
        <f t="shared" si="131"/>
        <v>1</v>
      </c>
      <c r="L1684" s="8" t="b">
        <f t="shared" si="132"/>
        <v>1</v>
      </c>
      <c r="M1684" s="8" t="b">
        <f t="shared" si="133"/>
        <v>1</v>
      </c>
      <c r="N1684" s="1" t="b">
        <f t="shared" si="134"/>
        <v>1</v>
      </c>
      <c r="O1684" s="8" t="str">
        <f>IF(F1684="","",IF($F$2=入力リスト!$H$25,ROUNDDOWN(INT(F1684)+ROUNDDOWN((F1684-INT(F1684))*100,0)/60,2),F1684))</f>
        <v/>
      </c>
      <c r="P1684" s="7"/>
      <c r="Q1684" s="7"/>
    </row>
    <row r="1685" spans="1:17">
      <c r="A1685" s="105"/>
      <c r="B1685" s="2"/>
      <c r="C1685" s="3"/>
      <c r="D1685" s="3"/>
      <c r="E1685" s="3"/>
      <c r="F1685" s="8"/>
      <c r="G1685" s="215" t="str">
        <f>IF(AND($B1685="",OR(B1685&lt;&gt;"",C1685&lt;&gt;"",D1685&lt;&gt;"",E1685&lt;&gt;"",F1685&lt;&gt;"")),入力リスト!$K$34,IF($I1685=TRUE,入力リスト!$K$35,IF(J1685=FALSE,"「毎月の固定給与額」","")&amp;IF(AND(J1685=FALSE,OR(K1685=FALSE,L1685=FALSE,M1685=FALSE)),",","")&amp;IF(K1685=FALSE,"「賞与額等」","")&amp;IF(AND(K1685=FALSE,OR(L1685=FALSE,M1685=FALSE)),",","")&amp;IF(L1685=FALSE,"「残業手当」","")&amp;IF(AND(L1685=FALSE,M1685=FALSE),",","")&amp;IF(M1685=FALSE,"「残業時間」","")&amp;IF(OR(J1685=FALSE,K1685=FALSE,L1685=FALSE,M1685=FALSE),入力リスト!$K$36,"")&amp;IF(N1685,"",入力リスト!$K$37)))</f>
        <v/>
      </c>
      <c r="H1685" s="215"/>
      <c r="I1685" s="1" t="b">
        <f>IF(B1685="",FALSE,COUNTIF('従業員情報(給与以外)'!$A$4:$A$1000000,$B1685)=0)</f>
        <v>0</v>
      </c>
      <c r="J1685" s="8" t="b">
        <f t="shared" si="130"/>
        <v>1</v>
      </c>
      <c r="K1685" s="8" t="b">
        <f t="shared" si="131"/>
        <v>1</v>
      </c>
      <c r="L1685" s="8" t="b">
        <f t="shared" si="132"/>
        <v>1</v>
      </c>
      <c r="M1685" s="8" t="b">
        <f t="shared" si="133"/>
        <v>1</v>
      </c>
      <c r="N1685" s="1" t="b">
        <f t="shared" si="134"/>
        <v>1</v>
      </c>
      <c r="O1685" s="8" t="str">
        <f>IF(F1685="","",IF($F$2=入力リスト!$H$25,ROUNDDOWN(INT(F1685)+ROUNDDOWN((F1685-INT(F1685))*100,0)/60,2),F1685))</f>
        <v/>
      </c>
      <c r="P1685" s="7"/>
      <c r="Q1685" s="7"/>
    </row>
    <row r="1686" spans="1:17">
      <c r="A1686" s="105"/>
      <c r="B1686" s="2"/>
      <c r="C1686" s="3"/>
      <c r="D1686" s="3"/>
      <c r="E1686" s="3"/>
      <c r="F1686" s="8"/>
      <c r="G1686" s="215" t="str">
        <f>IF(AND($B1686="",OR(B1686&lt;&gt;"",C1686&lt;&gt;"",D1686&lt;&gt;"",E1686&lt;&gt;"",F1686&lt;&gt;"")),入力リスト!$K$34,IF($I1686=TRUE,入力リスト!$K$35,IF(J1686=FALSE,"「毎月の固定給与額」","")&amp;IF(AND(J1686=FALSE,OR(K1686=FALSE,L1686=FALSE,M1686=FALSE)),",","")&amp;IF(K1686=FALSE,"「賞与額等」","")&amp;IF(AND(K1686=FALSE,OR(L1686=FALSE,M1686=FALSE)),",","")&amp;IF(L1686=FALSE,"「残業手当」","")&amp;IF(AND(L1686=FALSE,M1686=FALSE),",","")&amp;IF(M1686=FALSE,"「残業時間」","")&amp;IF(OR(J1686=FALSE,K1686=FALSE,L1686=FALSE,M1686=FALSE),入力リスト!$K$36,"")&amp;IF(N1686,"",入力リスト!$K$37)))</f>
        <v/>
      </c>
      <c r="H1686" s="215"/>
      <c r="I1686" s="1" t="b">
        <f>IF(B1686="",FALSE,COUNTIF('従業員情報(給与以外)'!$A$4:$A$1000000,$B1686)=0)</f>
        <v>0</v>
      </c>
      <c r="J1686" s="8" t="b">
        <f t="shared" si="130"/>
        <v>1</v>
      </c>
      <c r="K1686" s="8" t="b">
        <f t="shared" si="131"/>
        <v>1</v>
      </c>
      <c r="L1686" s="8" t="b">
        <f t="shared" si="132"/>
        <v>1</v>
      </c>
      <c r="M1686" s="8" t="b">
        <f t="shared" si="133"/>
        <v>1</v>
      </c>
      <c r="N1686" s="1" t="b">
        <f t="shared" si="134"/>
        <v>1</v>
      </c>
      <c r="O1686" s="8" t="str">
        <f>IF(F1686="","",IF($F$2=入力リスト!$H$25,ROUNDDOWN(INT(F1686)+ROUNDDOWN((F1686-INT(F1686))*100,0)/60,2),F1686))</f>
        <v/>
      </c>
      <c r="P1686" s="7"/>
      <c r="Q1686" s="7"/>
    </row>
    <row r="1687" spans="1:17">
      <c r="A1687" s="105"/>
      <c r="B1687" s="2"/>
      <c r="C1687" s="3"/>
      <c r="D1687" s="3"/>
      <c r="E1687" s="3"/>
      <c r="F1687" s="8"/>
      <c r="G1687" s="215" t="str">
        <f>IF(AND($B1687="",OR(B1687&lt;&gt;"",C1687&lt;&gt;"",D1687&lt;&gt;"",E1687&lt;&gt;"",F1687&lt;&gt;"")),入力リスト!$K$34,IF($I1687=TRUE,入力リスト!$K$35,IF(J1687=FALSE,"「毎月の固定給与額」","")&amp;IF(AND(J1687=FALSE,OR(K1687=FALSE,L1687=FALSE,M1687=FALSE)),",","")&amp;IF(K1687=FALSE,"「賞与額等」","")&amp;IF(AND(K1687=FALSE,OR(L1687=FALSE,M1687=FALSE)),",","")&amp;IF(L1687=FALSE,"「残業手当」","")&amp;IF(AND(L1687=FALSE,M1687=FALSE),",","")&amp;IF(M1687=FALSE,"「残業時間」","")&amp;IF(OR(J1687=FALSE,K1687=FALSE,L1687=FALSE,M1687=FALSE),入力リスト!$K$36,"")&amp;IF(N1687,"",入力リスト!$K$37)))</f>
        <v/>
      </c>
      <c r="H1687" s="215"/>
      <c r="I1687" s="1" t="b">
        <f>IF(B1687="",FALSE,COUNTIF('従業員情報(給与以外)'!$A$4:$A$1000000,$B1687)=0)</f>
        <v>0</v>
      </c>
      <c r="J1687" s="8" t="b">
        <f t="shared" si="130"/>
        <v>1</v>
      </c>
      <c r="K1687" s="8" t="b">
        <f t="shared" si="131"/>
        <v>1</v>
      </c>
      <c r="L1687" s="8" t="b">
        <f t="shared" si="132"/>
        <v>1</v>
      </c>
      <c r="M1687" s="8" t="b">
        <f t="shared" si="133"/>
        <v>1</v>
      </c>
      <c r="N1687" s="1" t="b">
        <f t="shared" si="134"/>
        <v>1</v>
      </c>
      <c r="O1687" s="8" t="str">
        <f>IF(F1687="","",IF($F$2=入力リスト!$H$25,ROUNDDOWN(INT(F1687)+ROUNDDOWN((F1687-INT(F1687))*100,0)/60,2),F1687))</f>
        <v/>
      </c>
      <c r="P1687" s="7"/>
      <c r="Q1687" s="7"/>
    </row>
    <row r="1688" spans="1:17">
      <c r="A1688" s="105"/>
      <c r="B1688" s="2"/>
      <c r="C1688" s="3"/>
      <c r="D1688" s="3"/>
      <c r="E1688" s="3"/>
      <c r="F1688" s="8"/>
      <c r="G1688" s="215" t="str">
        <f>IF(AND($B1688="",OR(B1688&lt;&gt;"",C1688&lt;&gt;"",D1688&lt;&gt;"",E1688&lt;&gt;"",F1688&lt;&gt;"")),入力リスト!$K$34,IF($I1688=TRUE,入力リスト!$K$35,IF(J1688=FALSE,"「毎月の固定給与額」","")&amp;IF(AND(J1688=FALSE,OR(K1688=FALSE,L1688=FALSE,M1688=FALSE)),",","")&amp;IF(K1688=FALSE,"「賞与額等」","")&amp;IF(AND(K1688=FALSE,OR(L1688=FALSE,M1688=FALSE)),",","")&amp;IF(L1688=FALSE,"「残業手当」","")&amp;IF(AND(L1688=FALSE,M1688=FALSE),",","")&amp;IF(M1688=FALSE,"「残業時間」","")&amp;IF(OR(J1688=FALSE,K1688=FALSE,L1688=FALSE,M1688=FALSE),入力リスト!$K$36,"")&amp;IF(N1688,"",入力リスト!$K$37)))</f>
        <v/>
      </c>
      <c r="H1688" s="215"/>
      <c r="I1688" s="1" t="b">
        <f>IF(B1688="",FALSE,COUNTIF('従業員情報(給与以外)'!$A$4:$A$1000000,$B1688)=0)</f>
        <v>0</v>
      </c>
      <c r="J1688" s="8" t="b">
        <f t="shared" si="130"/>
        <v>1</v>
      </c>
      <c r="K1688" s="8" t="b">
        <f t="shared" si="131"/>
        <v>1</v>
      </c>
      <c r="L1688" s="8" t="b">
        <f t="shared" si="132"/>
        <v>1</v>
      </c>
      <c r="M1688" s="8" t="b">
        <f t="shared" si="133"/>
        <v>1</v>
      </c>
      <c r="N1688" s="1" t="b">
        <f t="shared" si="134"/>
        <v>1</v>
      </c>
      <c r="O1688" s="8" t="str">
        <f>IF(F1688="","",IF($F$2=入力リスト!$H$25,ROUNDDOWN(INT(F1688)+ROUNDDOWN((F1688-INT(F1688))*100,0)/60,2),F1688))</f>
        <v/>
      </c>
      <c r="P1688" s="7"/>
      <c r="Q1688" s="7"/>
    </row>
    <row r="1689" spans="1:17">
      <c r="A1689" s="105"/>
      <c r="B1689" s="2"/>
      <c r="C1689" s="3"/>
      <c r="D1689" s="3"/>
      <c r="E1689" s="3"/>
      <c r="F1689" s="8"/>
      <c r="G1689" s="215" t="str">
        <f>IF(AND($B1689="",OR(B1689&lt;&gt;"",C1689&lt;&gt;"",D1689&lt;&gt;"",E1689&lt;&gt;"",F1689&lt;&gt;"")),入力リスト!$K$34,IF($I1689=TRUE,入力リスト!$K$35,IF(J1689=FALSE,"「毎月の固定給与額」","")&amp;IF(AND(J1689=FALSE,OR(K1689=FALSE,L1689=FALSE,M1689=FALSE)),",","")&amp;IF(K1689=FALSE,"「賞与額等」","")&amp;IF(AND(K1689=FALSE,OR(L1689=FALSE,M1689=FALSE)),",","")&amp;IF(L1689=FALSE,"「残業手当」","")&amp;IF(AND(L1689=FALSE,M1689=FALSE),",","")&amp;IF(M1689=FALSE,"「残業時間」","")&amp;IF(OR(J1689=FALSE,K1689=FALSE,L1689=FALSE,M1689=FALSE),入力リスト!$K$36,"")&amp;IF(N1689,"",入力リスト!$K$37)))</f>
        <v/>
      </c>
      <c r="H1689" s="215"/>
      <c r="I1689" s="1" t="b">
        <f>IF(B1689="",FALSE,COUNTIF('従業員情報(給与以外)'!$A$4:$A$1000000,$B1689)=0)</f>
        <v>0</v>
      </c>
      <c r="J1689" s="8" t="b">
        <f t="shared" si="130"/>
        <v>1</v>
      </c>
      <c r="K1689" s="8" t="b">
        <f t="shared" si="131"/>
        <v>1</v>
      </c>
      <c r="L1689" s="8" t="b">
        <f t="shared" si="132"/>
        <v>1</v>
      </c>
      <c r="M1689" s="8" t="b">
        <f t="shared" si="133"/>
        <v>1</v>
      </c>
      <c r="N1689" s="1" t="b">
        <f t="shared" si="134"/>
        <v>1</v>
      </c>
      <c r="O1689" s="8" t="str">
        <f>IF(F1689="","",IF($F$2=入力リスト!$H$25,ROUNDDOWN(INT(F1689)+ROUNDDOWN((F1689-INT(F1689))*100,0)/60,2),F1689))</f>
        <v/>
      </c>
      <c r="P1689" s="7"/>
      <c r="Q1689" s="7"/>
    </row>
    <row r="1690" spans="1:17">
      <c r="A1690" s="105"/>
      <c r="B1690" s="2"/>
      <c r="C1690" s="3"/>
      <c r="D1690" s="3"/>
      <c r="E1690" s="3"/>
      <c r="F1690" s="8"/>
      <c r="G1690" s="215" t="str">
        <f>IF(AND($B1690="",OR(B1690&lt;&gt;"",C1690&lt;&gt;"",D1690&lt;&gt;"",E1690&lt;&gt;"",F1690&lt;&gt;"")),入力リスト!$K$34,IF($I1690=TRUE,入力リスト!$K$35,IF(J1690=FALSE,"「毎月の固定給与額」","")&amp;IF(AND(J1690=FALSE,OR(K1690=FALSE,L1690=FALSE,M1690=FALSE)),",","")&amp;IF(K1690=FALSE,"「賞与額等」","")&amp;IF(AND(K1690=FALSE,OR(L1690=FALSE,M1690=FALSE)),",","")&amp;IF(L1690=FALSE,"「残業手当」","")&amp;IF(AND(L1690=FALSE,M1690=FALSE),",","")&amp;IF(M1690=FALSE,"「残業時間」","")&amp;IF(OR(J1690=FALSE,K1690=FALSE,L1690=FALSE,M1690=FALSE),入力リスト!$K$36,"")&amp;IF(N1690,"",入力リスト!$K$37)))</f>
        <v/>
      </c>
      <c r="H1690" s="215"/>
      <c r="I1690" s="1" t="b">
        <f>IF(B1690="",FALSE,COUNTIF('従業員情報(給与以外)'!$A$4:$A$1000000,$B1690)=0)</f>
        <v>0</v>
      </c>
      <c r="J1690" s="8" t="b">
        <f t="shared" si="130"/>
        <v>1</v>
      </c>
      <c r="K1690" s="8" t="b">
        <f t="shared" si="131"/>
        <v>1</v>
      </c>
      <c r="L1690" s="8" t="b">
        <f t="shared" si="132"/>
        <v>1</v>
      </c>
      <c r="M1690" s="8" t="b">
        <f t="shared" si="133"/>
        <v>1</v>
      </c>
      <c r="N1690" s="1" t="b">
        <f t="shared" si="134"/>
        <v>1</v>
      </c>
      <c r="O1690" s="8" t="str">
        <f>IF(F1690="","",IF($F$2=入力リスト!$H$25,ROUNDDOWN(INT(F1690)+ROUNDDOWN((F1690-INT(F1690))*100,0)/60,2),F1690))</f>
        <v/>
      </c>
      <c r="P1690" s="7"/>
      <c r="Q1690" s="7"/>
    </row>
    <row r="1691" spans="1:17">
      <c r="A1691" s="105"/>
      <c r="B1691" s="2"/>
      <c r="C1691" s="3"/>
      <c r="D1691" s="3"/>
      <c r="E1691" s="3"/>
      <c r="F1691" s="8"/>
      <c r="G1691" s="215" t="str">
        <f>IF(AND($B1691="",OR(B1691&lt;&gt;"",C1691&lt;&gt;"",D1691&lt;&gt;"",E1691&lt;&gt;"",F1691&lt;&gt;"")),入力リスト!$K$34,IF($I1691=TRUE,入力リスト!$K$35,IF(J1691=FALSE,"「毎月の固定給与額」","")&amp;IF(AND(J1691=FALSE,OR(K1691=FALSE,L1691=FALSE,M1691=FALSE)),",","")&amp;IF(K1691=FALSE,"「賞与額等」","")&amp;IF(AND(K1691=FALSE,OR(L1691=FALSE,M1691=FALSE)),",","")&amp;IF(L1691=FALSE,"「残業手当」","")&amp;IF(AND(L1691=FALSE,M1691=FALSE),",","")&amp;IF(M1691=FALSE,"「残業時間」","")&amp;IF(OR(J1691=FALSE,K1691=FALSE,L1691=FALSE,M1691=FALSE),入力リスト!$K$36,"")&amp;IF(N1691,"",入力リスト!$K$37)))</f>
        <v/>
      </c>
      <c r="H1691" s="215"/>
      <c r="I1691" s="1" t="b">
        <f>IF(B1691="",FALSE,COUNTIF('従業員情報(給与以外)'!$A$4:$A$1000000,$B1691)=0)</f>
        <v>0</v>
      </c>
      <c r="J1691" s="8" t="b">
        <f t="shared" si="130"/>
        <v>1</v>
      </c>
      <c r="K1691" s="8" t="b">
        <f t="shared" si="131"/>
        <v>1</v>
      </c>
      <c r="L1691" s="8" t="b">
        <f t="shared" si="132"/>
        <v>1</v>
      </c>
      <c r="M1691" s="8" t="b">
        <f t="shared" si="133"/>
        <v>1</v>
      </c>
      <c r="N1691" s="1" t="b">
        <f t="shared" si="134"/>
        <v>1</v>
      </c>
      <c r="O1691" s="8" t="str">
        <f>IF(F1691="","",IF($F$2=入力リスト!$H$25,ROUNDDOWN(INT(F1691)+ROUNDDOWN((F1691-INT(F1691))*100,0)/60,2),F1691))</f>
        <v/>
      </c>
      <c r="P1691" s="7"/>
      <c r="Q1691" s="7"/>
    </row>
    <row r="1692" spans="1:17">
      <c r="A1692" s="105"/>
      <c r="B1692" s="2"/>
      <c r="C1692" s="3"/>
      <c r="D1692" s="3"/>
      <c r="E1692" s="3"/>
      <c r="F1692" s="8"/>
      <c r="G1692" s="215" t="str">
        <f>IF(AND($B1692="",OR(B1692&lt;&gt;"",C1692&lt;&gt;"",D1692&lt;&gt;"",E1692&lt;&gt;"",F1692&lt;&gt;"")),入力リスト!$K$34,IF($I1692=TRUE,入力リスト!$K$35,IF(J1692=FALSE,"「毎月の固定給与額」","")&amp;IF(AND(J1692=FALSE,OR(K1692=FALSE,L1692=FALSE,M1692=FALSE)),",","")&amp;IF(K1692=FALSE,"「賞与額等」","")&amp;IF(AND(K1692=FALSE,OR(L1692=FALSE,M1692=FALSE)),",","")&amp;IF(L1692=FALSE,"「残業手当」","")&amp;IF(AND(L1692=FALSE,M1692=FALSE),",","")&amp;IF(M1692=FALSE,"「残業時間」","")&amp;IF(OR(J1692=FALSE,K1692=FALSE,L1692=FALSE,M1692=FALSE),入力リスト!$K$36,"")&amp;IF(N1692,"",入力リスト!$K$37)))</f>
        <v/>
      </c>
      <c r="H1692" s="215"/>
      <c r="I1692" s="1" t="b">
        <f>IF(B1692="",FALSE,COUNTIF('従業員情報(給与以外)'!$A$4:$A$1000000,$B1692)=0)</f>
        <v>0</v>
      </c>
      <c r="J1692" s="8" t="b">
        <f t="shared" si="130"/>
        <v>1</v>
      </c>
      <c r="K1692" s="8" t="b">
        <f t="shared" si="131"/>
        <v>1</v>
      </c>
      <c r="L1692" s="8" t="b">
        <f t="shared" si="132"/>
        <v>1</v>
      </c>
      <c r="M1692" s="8" t="b">
        <f t="shared" si="133"/>
        <v>1</v>
      </c>
      <c r="N1692" s="1" t="b">
        <f t="shared" si="134"/>
        <v>1</v>
      </c>
      <c r="O1692" s="8" t="str">
        <f>IF(F1692="","",IF($F$2=入力リスト!$H$25,ROUNDDOWN(INT(F1692)+ROUNDDOWN((F1692-INT(F1692))*100,0)/60,2),F1692))</f>
        <v/>
      </c>
      <c r="P1692" s="7"/>
      <c r="Q1692" s="7"/>
    </row>
    <row r="1693" spans="1:17">
      <c r="A1693" s="105"/>
      <c r="B1693" s="2"/>
      <c r="C1693" s="3"/>
      <c r="D1693" s="3"/>
      <c r="E1693" s="3"/>
      <c r="F1693" s="8"/>
      <c r="G1693" s="215" t="str">
        <f>IF(AND($B1693="",OR(B1693&lt;&gt;"",C1693&lt;&gt;"",D1693&lt;&gt;"",E1693&lt;&gt;"",F1693&lt;&gt;"")),入力リスト!$K$34,IF($I1693=TRUE,入力リスト!$K$35,IF(J1693=FALSE,"「毎月の固定給与額」","")&amp;IF(AND(J1693=FALSE,OR(K1693=FALSE,L1693=FALSE,M1693=FALSE)),",","")&amp;IF(K1693=FALSE,"「賞与額等」","")&amp;IF(AND(K1693=FALSE,OR(L1693=FALSE,M1693=FALSE)),",","")&amp;IF(L1693=FALSE,"「残業手当」","")&amp;IF(AND(L1693=FALSE,M1693=FALSE),",","")&amp;IF(M1693=FALSE,"「残業時間」","")&amp;IF(OR(J1693=FALSE,K1693=FALSE,L1693=FALSE,M1693=FALSE),入力リスト!$K$36,"")&amp;IF(N1693,"",入力リスト!$K$37)))</f>
        <v/>
      </c>
      <c r="H1693" s="215"/>
      <c r="I1693" s="1" t="b">
        <f>IF(B1693="",FALSE,COUNTIF('従業員情報(給与以外)'!$A$4:$A$1000000,$B1693)=0)</f>
        <v>0</v>
      </c>
      <c r="J1693" s="8" t="b">
        <f t="shared" si="130"/>
        <v>1</v>
      </c>
      <c r="K1693" s="8" t="b">
        <f t="shared" si="131"/>
        <v>1</v>
      </c>
      <c r="L1693" s="8" t="b">
        <f t="shared" si="132"/>
        <v>1</v>
      </c>
      <c r="M1693" s="8" t="b">
        <f t="shared" si="133"/>
        <v>1</v>
      </c>
      <c r="N1693" s="1" t="b">
        <f t="shared" si="134"/>
        <v>1</v>
      </c>
      <c r="O1693" s="8" t="str">
        <f>IF(F1693="","",IF($F$2=入力リスト!$H$25,ROUNDDOWN(INT(F1693)+ROUNDDOWN((F1693-INT(F1693))*100,0)/60,2),F1693))</f>
        <v/>
      </c>
      <c r="P1693" s="7"/>
      <c r="Q1693" s="7"/>
    </row>
    <row r="1694" spans="1:17">
      <c r="A1694" s="105"/>
      <c r="B1694" s="2"/>
      <c r="C1694" s="3"/>
      <c r="D1694" s="3"/>
      <c r="E1694" s="3"/>
      <c r="F1694" s="8"/>
      <c r="G1694" s="215" t="str">
        <f>IF(AND($B1694="",OR(B1694&lt;&gt;"",C1694&lt;&gt;"",D1694&lt;&gt;"",E1694&lt;&gt;"",F1694&lt;&gt;"")),入力リスト!$K$34,IF($I1694=TRUE,入力リスト!$K$35,IF(J1694=FALSE,"「毎月の固定給与額」","")&amp;IF(AND(J1694=FALSE,OR(K1694=FALSE,L1694=FALSE,M1694=FALSE)),",","")&amp;IF(K1694=FALSE,"「賞与額等」","")&amp;IF(AND(K1694=FALSE,OR(L1694=FALSE,M1694=FALSE)),",","")&amp;IF(L1694=FALSE,"「残業手当」","")&amp;IF(AND(L1694=FALSE,M1694=FALSE),",","")&amp;IF(M1694=FALSE,"「残業時間」","")&amp;IF(OR(J1694=FALSE,K1694=FALSE,L1694=FALSE,M1694=FALSE),入力リスト!$K$36,"")&amp;IF(N1694,"",入力リスト!$K$37)))</f>
        <v/>
      </c>
      <c r="H1694" s="215"/>
      <c r="I1694" s="1" t="b">
        <f>IF(B1694="",FALSE,COUNTIF('従業員情報(給与以外)'!$A$4:$A$1000000,$B1694)=0)</f>
        <v>0</v>
      </c>
      <c r="J1694" s="8" t="b">
        <f t="shared" si="130"/>
        <v>1</v>
      </c>
      <c r="K1694" s="8" t="b">
        <f t="shared" si="131"/>
        <v>1</v>
      </c>
      <c r="L1694" s="8" t="b">
        <f t="shared" si="132"/>
        <v>1</v>
      </c>
      <c r="M1694" s="8" t="b">
        <f t="shared" si="133"/>
        <v>1</v>
      </c>
      <c r="N1694" s="1" t="b">
        <f t="shared" si="134"/>
        <v>1</v>
      </c>
      <c r="O1694" s="8" t="str">
        <f>IF(F1694="","",IF($F$2=入力リスト!$H$25,ROUNDDOWN(INT(F1694)+ROUNDDOWN((F1694-INT(F1694))*100,0)/60,2),F1694))</f>
        <v/>
      </c>
      <c r="P1694" s="7"/>
      <c r="Q1694" s="7"/>
    </row>
    <row r="1695" spans="1:17">
      <c r="A1695" s="105"/>
      <c r="B1695" s="2"/>
      <c r="C1695" s="3"/>
      <c r="D1695" s="3"/>
      <c r="E1695" s="3"/>
      <c r="F1695" s="8"/>
      <c r="G1695" s="215" t="str">
        <f>IF(AND($B1695="",OR(B1695&lt;&gt;"",C1695&lt;&gt;"",D1695&lt;&gt;"",E1695&lt;&gt;"",F1695&lt;&gt;"")),入力リスト!$K$34,IF($I1695=TRUE,入力リスト!$K$35,IF(J1695=FALSE,"「毎月の固定給与額」","")&amp;IF(AND(J1695=FALSE,OR(K1695=FALSE,L1695=FALSE,M1695=FALSE)),",","")&amp;IF(K1695=FALSE,"「賞与額等」","")&amp;IF(AND(K1695=FALSE,OR(L1695=FALSE,M1695=FALSE)),",","")&amp;IF(L1695=FALSE,"「残業手当」","")&amp;IF(AND(L1695=FALSE,M1695=FALSE),",","")&amp;IF(M1695=FALSE,"「残業時間」","")&amp;IF(OR(J1695=FALSE,K1695=FALSE,L1695=FALSE,M1695=FALSE),入力リスト!$K$36,"")&amp;IF(N1695,"",入力リスト!$K$37)))</f>
        <v/>
      </c>
      <c r="H1695" s="215"/>
      <c r="I1695" s="1" t="b">
        <f>IF(B1695="",FALSE,COUNTIF('従業員情報(給与以外)'!$A$4:$A$1000000,$B1695)=0)</f>
        <v>0</v>
      </c>
      <c r="J1695" s="8" t="b">
        <f t="shared" si="130"/>
        <v>1</v>
      </c>
      <c r="K1695" s="8" t="b">
        <f t="shared" si="131"/>
        <v>1</v>
      </c>
      <c r="L1695" s="8" t="b">
        <f t="shared" si="132"/>
        <v>1</v>
      </c>
      <c r="M1695" s="8" t="b">
        <f t="shared" si="133"/>
        <v>1</v>
      </c>
      <c r="N1695" s="1" t="b">
        <f t="shared" si="134"/>
        <v>1</v>
      </c>
      <c r="O1695" s="8" t="str">
        <f>IF(F1695="","",IF($F$2=入力リスト!$H$25,ROUNDDOWN(INT(F1695)+ROUNDDOWN((F1695-INT(F1695))*100,0)/60,2),F1695))</f>
        <v/>
      </c>
      <c r="P1695" s="7"/>
      <c r="Q1695" s="7"/>
    </row>
    <row r="1696" spans="1:17">
      <c r="A1696" s="105"/>
      <c r="B1696" s="2"/>
      <c r="C1696" s="3"/>
      <c r="D1696" s="3"/>
      <c r="E1696" s="3"/>
      <c r="F1696" s="8"/>
      <c r="G1696" s="215" t="str">
        <f>IF(AND($B1696="",OR(B1696&lt;&gt;"",C1696&lt;&gt;"",D1696&lt;&gt;"",E1696&lt;&gt;"",F1696&lt;&gt;"")),入力リスト!$K$34,IF($I1696=TRUE,入力リスト!$K$35,IF(J1696=FALSE,"「毎月の固定給与額」","")&amp;IF(AND(J1696=FALSE,OR(K1696=FALSE,L1696=FALSE,M1696=FALSE)),",","")&amp;IF(K1696=FALSE,"「賞与額等」","")&amp;IF(AND(K1696=FALSE,OR(L1696=FALSE,M1696=FALSE)),",","")&amp;IF(L1696=FALSE,"「残業手当」","")&amp;IF(AND(L1696=FALSE,M1696=FALSE),",","")&amp;IF(M1696=FALSE,"「残業時間」","")&amp;IF(OR(J1696=FALSE,K1696=FALSE,L1696=FALSE,M1696=FALSE),入力リスト!$K$36,"")&amp;IF(N1696,"",入力リスト!$K$37)))</f>
        <v/>
      </c>
      <c r="H1696" s="215"/>
      <c r="I1696" s="1" t="b">
        <f>IF(B1696="",FALSE,COUNTIF('従業員情報(給与以外)'!$A$4:$A$1000000,$B1696)=0)</f>
        <v>0</v>
      </c>
      <c r="J1696" s="8" t="b">
        <f t="shared" si="130"/>
        <v>1</v>
      </c>
      <c r="K1696" s="8" t="b">
        <f t="shared" si="131"/>
        <v>1</v>
      </c>
      <c r="L1696" s="8" t="b">
        <f t="shared" si="132"/>
        <v>1</v>
      </c>
      <c r="M1696" s="8" t="b">
        <f t="shared" si="133"/>
        <v>1</v>
      </c>
      <c r="N1696" s="1" t="b">
        <f t="shared" si="134"/>
        <v>1</v>
      </c>
      <c r="O1696" s="8" t="str">
        <f>IF(F1696="","",IF($F$2=入力リスト!$H$25,ROUNDDOWN(INT(F1696)+ROUNDDOWN((F1696-INT(F1696))*100,0)/60,2),F1696))</f>
        <v/>
      </c>
      <c r="P1696" s="7"/>
      <c r="Q1696" s="7"/>
    </row>
    <row r="1697" spans="1:17">
      <c r="A1697" s="105"/>
      <c r="B1697" s="2"/>
      <c r="C1697" s="3"/>
      <c r="D1697" s="3"/>
      <c r="E1697" s="3"/>
      <c r="F1697" s="8"/>
      <c r="G1697" s="215" t="str">
        <f>IF(AND($B1697="",OR(B1697&lt;&gt;"",C1697&lt;&gt;"",D1697&lt;&gt;"",E1697&lt;&gt;"",F1697&lt;&gt;"")),入力リスト!$K$34,IF($I1697=TRUE,入力リスト!$K$35,IF(J1697=FALSE,"「毎月の固定給与額」","")&amp;IF(AND(J1697=FALSE,OR(K1697=FALSE,L1697=FALSE,M1697=FALSE)),",","")&amp;IF(K1697=FALSE,"「賞与額等」","")&amp;IF(AND(K1697=FALSE,OR(L1697=FALSE,M1697=FALSE)),",","")&amp;IF(L1697=FALSE,"「残業手当」","")&amp;IF(AND(L1697=FALSE,M1697=FALSE),",","")&amp;IF(M1697=FALSE,"「残業時間」","")&amp;IF(OR(J1697=FALSE,K1697=FALSE,L1697=FALSE,M1697=FALSE),入力リスト!$K$36,"")&amp;IF(N1697,"",入力リスト!$K$37)))</f>
        <v/>
      </c>
      <c r="H1697" s="215"/>
      <c r="I1697" s="1" t="b">
        <f>IF(B1697="",FALSE,COUNTIF('従業員情報(給与以外)'!$A$4:$A$1000000,$B1697)=0)</f>
        <v>0</v>
      </c>
      <c r="J1697" s="8" t="b">
        <f t="shared" si="130"/>
        <v>1</v>
      </c>
      <c r="K1697" s="8" t="b">
        <f t="shared" si="131"/>
        <v>1</v>
      </c>
      <c r="L1697" s="8" t="b">
        <f t="shared" si="132"/>
        <v>1</v>
      </c>
      <c r="M1697" s="8" t="b">
        <f t="shared" si="133"/>
        <v>1</v>
      </c>
      <c r="N1697" s="1" t="b">
        <f t="shared" si="134"/>
        <v>1</v>
      </c>
      <c r="O1697" s="8" t="str">
        <f>IF(F1697="","",IF($F$2=入力リスト!$H$25,ROUNDDOWN(INT(F1697)+ROUNDDOWN((F1697-INT(F1697))*100,0)/60,2),F1697))</f>
        <v/>
      </c>
      <c r="P1697" s="7"/>
      <c r="Q1697" s="7"/>
    </row>
    <row r="1698" spans="1:17">
      <c r="A1698" s="105"/>
      <c r="B1698" s="2"/>
      <c r="C1698" s="3"/>
      <c r="D1698" s="3"/>
      <c r="E1698" s="3"/>
      <c r="F1698" s="8"/>
      <c r="G1698" s="215" t="str">
        <f>IF(AND($B1698="",OR(B1698&lt;&gt;"",C1698&lt;&gt;"",D1698&lt;&gt;"",E1698&lt;&gt;"",F1698&lt;&gt;"")),入力リスト!$K$34,IF($I1698=TRUE,入力リスト!$K$35,IF(J1698=FALSE,"「毎月の固定給与額」","")&amp;IF(AND(J1698=FALSE,OR(K1698=FALSE,L1698=FALSE,M1698=FALSE)),",","")&amp;IF(K1698=FALSE,"「賞与額等」","")&amp;IF(AND(K1698=FALSE,OR(L1698=FALSE,M1698=FALSE)),",","")&amp;IF(L1698=FALSE,"「残業手当」","")&amp;IF(AND(L1698=FALSE,M1698=FALSE),",","")&amp;IF(M1698=FALSE,"「残業時間」","")&amp;IF(OR(J1698=FALSE,K1698=FALSE,L1698=FALSE,M1698=FALSE),入力リスト!$K$36,"")&amp;IF(N1698,"",入力リスト!$K$37)))</f>
        <v/>
      </c>
      <c r="H1698" s="215"/>
      <c r="I1698" s="1" t="b">
        <f>IF(B1698="",FALSE,COUNTIF('従業員情報(給与以外)'!$A$4:$A$1000000,$B1698)=0)</f>
        <v>0</v>
      </c>
      <c r="J1698" s="8" t="b">
        <f t="shared" si="130"/>
        <v>1</v>
      </c>
      <c r="K1698" s="8" t="b">
        <f t="shared" si="131"/>
        <v>1</v>
      </c>
      <c r="L1698" s="8" t="b">
        <f t="shared" si="132"/>
        <v>1</v>
      </c>
      <c r="M1698" s="8" t="b">
        <f t="shared" si="133"/>
        <v>1</v>
      </c>
      <c r="N1698" s="1" t="b">
        <f t="shared" si="134"/>
        <v>1</v>
      </c>
      <c r="O1698" s="8" t="str">
        <f>IF(F1698="","",IF($F$2=入力リスト!$H$25,ROUNDDOWN(INT(F1698)+ROUNDDOWN((F1698-INT(F1698))*100,0)/60,2),F1698))</f>
        <v/>
      </c>
      <c r="P1698" s="7"/>
      <c r="Q1698" s="7"/>
    </row>
    <row r="1699" spans="1:17">
      <c r="A1699" s="105"/>
      <c r="B1699" s="2"/>
      <c r="C1699" s="3"/>
      <c r="D1699" s="3"/>
      <c r="E1699" s="3"/>
      <c r="F1699" s="8"/>
      <c r="G1699" s="215" t="str">
        <f>IF(AND($B1699="",OR(B1699&lt;&gt;"",C1699&lt;&gt;"",D1699&lt;&gt;"",E1699&lt;&gt;"",F1699&lt;&gt;"")),入力リスト!$K$34,IF($I1699=TRUE,入力リスト!$K$35,IF(J1699=FALSE,"「毎月の固定給与額」","")&amp;IF(AND(J1699=FALSE,OR(K1699=FALSE,L1699=FALSE,M1699=FALSE)),",","")&amp;IF(K1699=FALSE,"「賞与額等」","")&amp;IF(AND(K1699=FALSE,OR(L1699=FALSE,M1699=FALSE)),",","")&amp;IF(L1699=FALSE,"「残業手当」","")&amp;IF(AND(L1699=FALSE,M1699=FALSE),",","")&amp;IF(M1699=FALSE,"「残業時間」","")&amp;IF(OR(J1699=FALSE,K1699=FALSE,L1699=FALSE,M1699=FALSE),入力リスト!$K$36,"")&amp;IF(N1699,"",入力リスト!$K$37)))</f>
        <v/>
      </c>
      <c r="H1699" s="215"/>
      <c r="I1699" s="1" t="b">
        <f>IF(B1699="",FALSE,COUNTIF('従業員情報(給与以外)'!$A$4:$A$1000000,$B1699)=0)</f>
        <v>0</v>
      </c>
      <c r="J1699" s="8" t="b">
        <f t="shared" si="130"/>
        <v>1</v>
      </c>
      <c r="K1699" s="8" t="b">
        <f t="shared" si="131"/>
        <v>1</v>
      </c>
      <c r="L1699" s="8" t="b">
        <f t="shared" si="132"/>
        <v>1</v>
      </c>
      <c r="M1699" s="8" t="b">
        <f t="shared" si="133"/>
        <v>1</v>
      </c>
      <c r="N1699" s="1" t="b">
        <f t="shared" si="134"/>
        <v>1</v>
      </c>
      <c r="O1699" s="8" t="str">
        <f>IF(F1699="","",IF($F$2=入力リスト!$H$25,ROUNDDOWN(INT(F1699)+ROUNDDOWN((F1699-INT(F1699))*100,0)/60,2),F1699))</f>
        <v/>
      </c>
      <c r="P1699" s="7"/>
      <c r="Q1699" s="7"/>
    </row>
    <row r="1700" spans="1:17">
      <c r="A1700" s="105"/>
      <c r="B1700" s="2"/>
      <c r="C1700" s="3"/>
      <c r="D1700" s="3"/>
      <c r="E1700" s="3"/>
      <c r="F1700" s="8"/>
      <c r="G1700" s="215" t="str">
        <f>IF(AND($B1700="",OR(B1700&lt;&gt;"",C1700&lt;&gt;"",D1700&lt;&gt;"",E1700&lt;&gt;"",F1700&lt;&gt;"")),入力リスト!$K$34,IF($I1700=TRUE,入力リスト!$K$35,IF(J1700=FALSE,"「毎月の固定給与額」","")&amp;IF(AND(J1700=FALSE,OR(K1700=FALSE,L1700=FALSE,M1700=FALSE)),",","")&amp;IF(K1700=FALSE,"「賞与額等」","")&amp;IF(AND(K1700=FALSE,OR(L1700=FALSE,M1700=FALSE)),",","")&amp;IF(L1700=FALSE,"「残業手当」","")&amp;IF(AND(L1700=FALSE,M1700=FALSE),",","")&amp;IF(M1700=FALSE,"「残業時間」","")&amp;IF(OR(J1700=FALSE,K1700=FALSE,L1700=FALSE,M1700=FALSE),入力リスト!$K$36,"")&amp;IF(N1700,"",入力リスト!$K$37)))</f>
        <v/>
      </c>
      <c r="H1700" s="215"/>
      <c r="I1700" s="1" t="b">
        <f>IF(B1700="",FALSE,COUNTIF('従業員情報(給与以外)'!$A$4:$A$1000000,$B1700)=0)</f>
        <v>0</v>
      </c>
      <c r="J1700" s="8" t="b">
        <f t="shared" si="130"/>
        <v>1</v>
      </c>
      <c r="K1700" s="8" t="b">
        <f t="shared" si="131"/>
        <v>1</v>
      </c>
      <c r="L1700" s="8" t="b">
        <f t="shared" si="132"/>
        <v>1</v>
      </c>
      <c r="M1700" s="8" t="b">
        <f t="shared" si="133"/>
        <v>1</v>
      </c>
      <c r="N1700" s="1" t="b">
        <f t="shared" si="134"/>
        <v>1</v>
      </c>
      <c r="O1700" s="8" t="str">
        <f>IF(F1700="","",IF($F$2=入力リスト!$H$25,ROUNDDOWN(INT(F1700)+ROUNDDOWN((F1700-INT(F1700))*100,0)/60,2),F1700))</f>
        <v/>
      </c>
      <c r="P1700" s="7"/>
      <c r="Q1700" s="7"/>
    </row>
    <row r="1701" spans="1:17">
      <c r="A1701" s="105"/>
      <c r="B1701" s="2"/>
      <c r="C1701" s="3"/>
      <c r="D1701" s="3"/>
      <c r="E1701" s="3"/>
      <c r="F1701" s="8"/>
      <c r="G1701" s="215" t="str">
        <f>IF(AND($B1701="",OR(B1701&lt;&gt;"",C1701&lt;&gt;"",D1701&lt;&gt;"",E1701&lt;&gt;"",F1701&lt;&gt;"")),入力リスト!$K$34,IF($I1701=TRUE,入力リスト!$K$35,IF(J1701=FALSE,"「毎月の固定給与額」","")&amp;IF(AND(J1701=FALSE,OR(K1701=FALSE,L1701=FALSE,M1701=FALSE)),",","")&amp;IF(K1701=FALSE,"「賞与額等」","")&amp;IF(AND(K1701=FALSE,OR(L1701=FALSE,M1701=FALSE)),",","")&amp;IF(L1701=FALSE,"「残業手当」","")&amp;IF(AND(L1701=FALSE,M1701=FALSE),",","")&amp;IF(M1701=FALSE,"「残業時間」","")&amp;IF(OR(J1701=FALSE,K1701=FALSE,L1701=FALSE,M1701=FALSE),入力リスト!$K$36,"")&amp;IF(N1701,"",入力リスト!$K$37)))</f>
        <v/>
      </c>
      <c r="H1701" s="215"/>
      <c r="I1701" s="1" t="b">
        <f>IF(B1701="",FALSE,COUNTIF('従業員情報(給与以外)'!$A$4:$A$1000000,$B1701)=0)</f>
        <v>0</v>
      </c>
      <c r="J1701" s="8" t="b">
        <f t="shared" si="130"/>
        <v>1</v>
      </c>
      <c r="K1701" s="8" t="b">
        <f t="shared" si="131"/>
        <v>1</v>
      </c>
      <c r="L1701" s="8" t="b">
        <f t="shared" si="132"/>
        <v>1</v>
      </c>
      <c r="M1701" s="8" t="b">
        <f t="shared" si="133"/>
        <v>1</v>
      </c>
      <c r="N1701" s="1" t="b">
        <f t="shared" si="134"/>
        <v>1</v>
      </c>
      <c r="O1701" s="8" t="str">
        <f>IF(F1701="","",IF($F$2=入力リスト!$H$25,ROUNDDOWN(INT(F1701)+ROUNDDOWN((F1701-INT(F1701))*100,0)/60,2),F1701))</f>
        <v/>
      </c>
      <c r="P1701" s="7"/>
      <c r="Q1701" s="7"/>
    </row>
    <row r="1702" spans="1:17">
      <c r="A1702" s="105"/>
      <c r="B1702" s="2"/>
      <c r="C1702" s="3"/>
      <c r="D1702" s="3"/>
      <c r="E1702" s="3"/>
      <c r="F1702" s="8"/>
      <c r="G1702" s="215" t="str">
        <f>IF(AND($B1702="",OR(B1702&lt;&gt;"",C1702&lt;&gt;"",D1702&lt;&gt;"",E1702&lt;&gt;"",F1702&lt;&gt;"")),入力リスト!$K$34,IF($I1702=TRUE,入力リスト!$K$35,IF(J1702=FALSE,"「毎月の固定給与額」","")&amp;IF(AND(J1702=FALSE,OR(K1702=FALSE,L1702=FALSE,M1702=FALSE)),",","")&amp;IF(K1702=FALSE,"「賞与額等」","")&amp;IF(AND(K1702=FALSE,OR(L1702=FALSE,M1702=FALSE)),",","")&amp;IF(L1702=FALSE,"「残業手当」","")&amp;IF(AND(L1702=FALSE,M1702=FALSE),",","")&amp;IF(M1702=FALSE,"「残業時間」","")&amp;IF(OR(J1702=FALSE,K1702=FALSE,L1702=FALSE,M1702=FALSE),入力リスト!$K$36,"")&amp;IF(N1702,"",入力リスト!$K$37)))</f>
        <v/>
      </c>
      <c r="H1702" s="215"/>
      <c r="I1702" s="1" t="b">
        <f>IF(B1702="",FALSE,COUNTIF('従業員情報(給与以外)'!$A$4:$A$1000000,$B1702)=0)</f>
        <v>0</v>
      </c>
      <c r="J1702" s="8" t="b">
        <f t="shared" si="130"/>
        <v>1</v>
      </c>
      <c r="K1702" s="8" t="b">
        <f t="shared" si="131"/>
        <v>1</v>
      </c>
      <c r="L1702" s="8" t="b">
        <f t="shared" si="132"/>
        <v>1</v>
      </c>
      <c r="M1702" s="8" t="b">
        <f t="shared" si="133"/>
        <v>1</v>
      </c>
      <c r="N1702" s="1" t="b">
        <f t="shared" si="134"/>
        <v>1</v>
      </c>
      <c r="O1702" s="8" t="str">
        <f>IF(F1702="","",IF($F$2=入力リスト!$H$25,ROUNDDOWN(INT(F1702)+ROUNDDOWN((F1702-INT(F1702))*100,0)/60,2),F1702))</f>
        <v/>
      </c>
      <c r="P1702" s="7"/>
      <c r="Q1702" s="7"/>
    </row>
    <row r="1703" spans="1:17">
      <c r="A1703" s="105"/>
      <c r="B1703" s="2"/>
      <c r="C1703" s="3"/>
      <c r="D1703" s="3"/>
      <c r="E1703" s="3"/>
      <c r="F1703" s="8"/>
      <c r="G1703" s="215" t="str">
        <f>IF(AND($B1703="",OR(B1703&lt;&gt;"",C1703&lt;&gt;"",D1703&lt;&gt;"",E1703&lt;&gt;"",F1703&lt;&gt;"")),入力リスト!$K$34,IF($I1703=TRUE,入力リスト!$K$35,IF(J1703=FALSE,"「毎月の固定給与額」","")&amp;IF(AND(J1703=FALSE,OR(K1703=FALSE,L1703=FALSE,M1703=FALSE)),",","")&amp;IF(K1703=FALSE,"「賞与額等」","")&amp;IF(AND(K1703=FALSE,OR(L1703=FALSE,M1703=FALSE)),",","")&amp;IF(L1703=FALSE,"「残業手当」","")&amp;IF(AND(L1703=FALSE,M1703=FALSE),",","")&amp;IF(M1703=FALSE,"「残業時間」","")&amp;IF(OR(J1703=FALSE,K1703=FALSE,L1703=FALSE,M1703=FALSE),入力リスト!$K$36,"")&amp;IF(N1703,"",入力リスト!$K$37)))</f>
        <v/>
      </c>
      <c r="H1703" s="215"/>
      <c r="I1703" s="1" t="b">
        <f>IF(B1703="",FALSE,COUNTIF('従業員情報(給与以外)'!$A$4:$A$1000000,$B1703)=0)</f>
        <v>0</v>
      </c>
      <c r="J1703" s="8" t="b">
        <f t="shared" si="130"/>
        <v>1</v>
      </c>
      <c r="K1703" s="8" t="b">
        <f t="shared" si="131"/>
        <v>1</v>
      </c>
      <c r="L1703" s="8" t="b">
        <f t="shared" si="132"/>
        <v>1</v>
      </c>
      <c r="M1703" s="8" t="b">
        <f t="shared" si="133"/>
        <v>1</v>
      </c>
      <c r="N1703" s="1" t="b">
        <f t="shared" si="134"/>
        <v>1</v>
      </c>
      <c r="O1703" s="8" t="str">
        <f>IF(F1703="","",IF($F$2=入力リスト!$H$25,ROUNDDOWN(INT(F1703)+ROUNDDOWN((F1703-INT(F1703))*100,0)/60,2),F1703))</f>
        <v/>
      </c>
      <c r="P1703" s="7"/>
      <c r="Q1703" s="7"/>
    </row>
    <row r="1704" spans="1:17">
      <c r="A1704" s="105"/>
      <c r="B1704" s="2"/>
      <c r="C1704" s="3"/>
      <c r="D1704" s="3"/>
      <c r="E1704" s="3"/>
      <c r="F1704" s="8"/>
      <c r="G1704" s="215" t="str">
        <f>IF(AND($B1704="",OR(B1704&lt;&gt;"",C1704&lt;&gt;"",D1704&lt;&gt;"",E1704&lt;&gt;"",F1704&lt;&gt;"")),入力リスト!$K$34,IF($I1704=TRUE,入力リスト!$K$35,IF(J1704=FALSE,"「毎月の固定給与額」","")&amp;IF(AND(J1704=FALSE,OR(K1704=FALSE,L1704=FALSE,M1704=FALSE)),",","")&amp;IF(K1704=FALSE,"「賞与額等」","")&amp;IF(AND(K1704=FALSE,OR(L1704=FALSE,M1704=FALSE)),",","")&amp;IF(L1704=FALSE,"「残業手当」","")&amp;IF(AND(L1704=FALSE,M1704=FALSE),",","")&amp;IF(M1704=FALSE,"「残業時間」","")&amp;IF(OR(J1704=FALSE,K1704=FALSE,L1704=FALSE,M1704=FALSE),入力リスト!$K$36,"")&amp;IF(N1704,"",入力リスト!$K$37)))</f>
        <v/>
      </c>
      <c r="H1704" s="215"/>
      <c r="I1704" s="1" t="b">
        <f>IF(B1704="",FALSE,COUNTIF('従業員情報(給与以外)'!$A$4:$A$1000000,$B1704)=0)</f>
        <v>0</v>
      </c>
      <c r="J1704" s="8" t="b">
        <f t="shared" si="130"/>
        <v>1</v>
      </c>
      <c r="K1704" s="8" t="b">
        <f t="shared" si="131"/>
        <v>1</v>
      </c>
      <c r="L1704" s="8" t="b">
        <f t="shared" si="132"/>
        <v>1</v>
      </c>
      <c r="M1704" s="8" t="b">
        <f t="shared" si="133"/>
        <v>1</v>
      </c>
      <c r="N1704" s="1" t="b">
        <f t="shared" si="134"/>
        <v>1</v>
      </c>
      <c r="O1704" s="8" t="str">
        <f>IF(F1704="","",IF($F$2=入力リスト!$H$25,ROUNDDOWN(INT(F1704)+ROUNDDOWN((F1704-INT(F1704))*100,0)/60,2),F1704))</f>
        <v/>
      </c>
      <c r="P1704" s="7"/>
      <c r="Q1704" s="7"/>
    </row>
    <row r="1705" spans="1:17">
      <c r="A1705" s="105"/>
      <c r="B1705" s="2"/>
      <c r="C1705" s="3"/>
      <c r="D1705" s="3"/>
      <c r="E1705" s="3"/>
      <c r="F1705" s="8"/>
      <c r="G1705" s="215" t="str">
        <f>IF(AND($B1705="",OR(B1705&lt;&gt;"",C1705&lt;&gt;"",D1705&lt;&gt;"",E1705&lt;&gt;"",F1705&lt;&gt;"")),入力リスト!$K$34,IF($I1705=TRUE,入力リスト!$K$35,IF(J1705=FALSE,"「毎月の固定給与額」","")&amp;IF(AND(J1705=FALSE,OR(K1705=FALSE,L1705=FALSE,M1705=FALSE)),",","")&amp;IF(K1705=FALSE,"「賞与額等」","")&amp;IF(AND(K1705=FALSE,OR(L1705=FALSE,M1705=FALSE)),",","")&amp;IF(L1705=FALSE,"「残業手当」","")&amp;IF(AND(L1705=FALSE,M1705=FALSE),",","")&amp;IF(M1705=FALSE,"「残業時間」","")&amp;IF(OR(J1705=FALSE,K1705=FALSE,L1705=FALSE,M1705=FALSE),入力リスト!$K$36,"")&amp;IF(N1705,"",入力リスト!$K$37)))</f>
        <v/>
      </c>
      <c r="H1705" s="215"/>
      <c r="I1705" s="1" t="b">
        <f>IF(B1705="",FALSE,COUNTIF('従業員情報(給与以外)'!$A$4:$A$1000000,$B1705)=0)</f>
        <v>0</v>
      </c>
      <c r="J1705" s="8" t="b">
        <f t="shared" si="130"/>
        <v>1</v>
      </c>
      <c r="K1705" s="8" t="b">
        <f t="shared" si="131"/>
        <v>1</v>
      </c>
      <c r="L1705" s="8" t="b">
        <f t="shared" si="132"/>
        <v>1</v>
      </c>
      <c r="M1705" s="8" t="b">
        <f t="shared" si="133"/>
        <v>1</v>
      </c>
      <c r="N1705" s="1" t="b">
        <f t="shared" si="134"/>
        <v>1</v>
      </c>
      <c r="O1705" s="8" t="str">
        <f>IF(F1705="","",IF($F$2=入力リスト!$H$25,ROUNDDOWN(INT(F1705)+ROUNDDOWN((F1705-INT(F1705))*100,0)/60,2),F1705))</f>
        <v/>
      </c>
      <c r="P1705" s="7"/>
      <c r="Q1705" s="7"/>
    </row>
    <row r="1706" spans="1:17">
      <c r="A1706" s="105"/>
      <c r="B1706" s="2"/>
      <c r="C1706" s="3"/>
      <c r="D1706" s="3"/>
      <c r="E1706" s="3"/>
      <c r="F1706" s="8"/>
      <c r="G1706" s="215" t="str">
        <f>IF(AND($B1706="",OR(B1706&lt;&gt;"",C1706&lt;&gt;"",D1706&lt;&gt;"",E1706&lt;&gt;"",F1706&lt;&gt;"")),入力リスト!$K$34,IF($I1706=TRUE,入力リスト!$K$35,IF(J1706=FALSE,"「毎月の固定給与額」","")&amp;IF(AND(J1706=FALSE,OR(K1706=FALSE,L1706=FALSE,M1706=FALSE)),",","")&amp;IF(K1706=FALSE,"「賞与額等」","")&amp;IF(AND(K1706=FALSE,OR(L1706=FALSE,M1706=FALSE)),",","")&amp;IF(L1706=FALSE,"「残業手当」","")&amp;IF(AND(L1706=FALSE,M1706=FALSE),",","")&amp;IF(M1706=FALSE,"「残業時間」","")&amp;IF(OR(J1706=FALSE,K1706=FALSE,L1706=FALSE,M1706=FALSE),入力リスト!$K$36,"")&amp;IF(N1706,"",入力リスト!$K$37)))</f>
        <v/>
      </c>
      <c r="H1706" s="215"/>
      <c r="I1706" s="1" t="b">
        <f>IF(B1706="",FALSE,COUNTIF('従業員情報(給与以外)'!$A$4:$A$1000000,$B1706)=0)</f>
        <v>0</v>
      </c>
      <c r="J1706" s="8" t="b">
        <f t="shared" si="130"/>
        <v>1</v>
      </c>
      <c r="K1706" s="8" t="b">
        <f t="shared" si="131"/>
        <v>1</v>
      </c>
      <c r="L1706" s="8" t="b">
        <f t="shared" si="132"/>
        <v>1</v>
      </c>
      <c r="M1706" s="8" t="b">
        <f t="shared" si="133"/>
        <v>1</v>
      </c>
      <c r="N1706" s="1" t="b">
        <f t="shared" si="134"/>
        <v>1</v>
      </c>
      <c r="O1706" s="8" t="str">
        <f>IF(F1706="","",IF($F$2=入力リスト!$H$25,ROUNDDOWN(INT(F1706)+ROUNDDOWN((F1706-INT(F1706))*100,0)/60,2),F1706))</f>
        <v/>
      </c>
      <c r="P1706" s="7"/>
      <c r="Q1706" s="7"/>
    </row>
    <row r="1707" spans="1:17">
      <c r="A1707" s="105"/>
      <c r="B1707" s="2"/>
      <c r="C1707" s="3"/>
      <c r="D1707" s="3"/>
      <c r="E1707" s="3"/>
      <c r="F1707" s="8"/>
      <c r="G1707" s="215" t="str">
        <f>IF(AND($B1707="",OR(B1707&lt;&gt;"",C1707&lt;&gt;"",D1707&lt;&gt;"",E1707&lt;&gt;"",F1707&lt;&gt;"")),入力リスト!$K$34,IF($I1707=TRUE,入力リスト!$K$35,IF(J1707=FALSE,"「毎月の固定給与額」","")&amp;IF(AND(J1707=FALSE,OR(K1707=FALSE,L1707=FALSE,M1707=FALSE)),",","")&amp;IF(K1707=FALSE,"「賞与額等」","")&amp;IF(AND(K1707=FALSE,OR(L1707=FALSE,M1707=FALSE)),",","")&amp;IF(L1707=FALSE,"「残業手当」","")&amp;IF(AND(L1707=FALSE,M1707=FALSE),",","")&amp;IF(M1707=FALSE,"「残業時間」","")&amp;IF(OR(J1707=FALSE,K1707=FALSE,L1707=FALSE,M1707=FALSE),入力リスト!$K$36,"")&amp;IF(N1707,"",入力リスト!$K$37)))</f>
        <v/>
      </c>
      <c r="H1707" s="215"/>
      <c r="I1707" s="1" t="b">
        <f>IF(B1707="",FALSE,COUNTIF('従業員情報(給与以外)'!$A$4:$A$1000000,$B1707)=0)</f>
        <v>0</v>
      </c>
      <c r="J1707" s="8" t="b">
        <f t="shared" si="130"/>
        <v>1</v>
      </c>
      <c r="K1707" s="8" t="b">
        <f t="shared" si="131"/>
        <v>1</v>
      </c>
      <c r="L1707" s="8" t="b">
        <f t="shared" si="132"/>
        <v>1</v>
      </c>
      <c r="M1707" s="8" t="b">
        <f t="shared" si="133"/>
        <v>1</v>
      </c>
      <c r="N1707" s="1" t="b">
        <f t="shared" si="134"/>
        <v>1</v>
      </c>
      <c r="O1707" s="8" t="str">
        <f>IF(F1707="","",IF($F$2=入力リスト!$H$25,ROUNDDOWN(INT(F1707)+ROUNDDOWN((F1707-INT(F1707))*100,0)/60,2),F1707))</f>
        <v/>
      </c>
      <c r="P1707" s="7"/>
      <c r="Q1707" s="7"/>
    </row>
    <row r="1708" spans="1:17">
      <c r="A1708" s="105"/>
      <c r="B1708" s="2"/>
      <c r="C1708" s="3"/>
      <c r="D1708" s="3"/>
      <c r="E1708" s="3"/>
      <c r="F1708" s="8"/>
      <c r="G1708" s="215" t="str">
        <f>IF(AND($B1708="",OR(B1708&lt;&gt;"",C1708&lt;&gt;"",D1708&lt;&gt;"",E1708&lt;&gt;"",F1708&lt;&gt;"")),入力リスト!$K$34,IF($I1708=TRUE,入力リスト!$K$35,IF(J1708=FALSE,"「毎月の固定給与額」","")&amp;IF(AND(J1708=FALSE,OR(K1708=FALSE,L1708=FALSE,M1708=FALSE)),",","")&amp;IF(K1708=FALSE,"「賞与額等」","")&amp;IF(AND(K1708=FALSE,OR(L1708=FALSE,M1708=FALSE)),",","")&amp;IF(L1708=FALSE,"「残業手当」","")&amp;IF(AND(L1708=FALSE,M1708=FALSE),",","")&amp;IF(M1708=FALSE,"「残業時間」","")&amp;IF(OR(J1708=FALSE,K1708=FALSE,L1708=FALSE,M1708=FALSE),入力リスト!$K$36,"")&amp;IF(N1708,"",入力リスト!$K$37)))</f>
        <v/>
      </c>
      <c r="H1708" s="215"/>
      <c r="I1708" s="1" t="b">
        <f>IF(B1708="",FALSE,COUNTIF('従業員情報(給与以外)'!$A$4:$A$1000000,$B1708)=0)</f>
        <v>0</v>
      </c>
      <c r="J1708" s="8" t="b">
        <f t="shared" si="130"/>
        <v>1</v>
      </c>
      <c r="K1708" s="8" t="b">
        <f t="shared" si="131"/>
        <v>1</v>
      </c>
      <c r="L1708" s="8" t="b">
        <f t="shared" si="132"/>
        <v>1</v>
      </c>
      <c r="M1708" s="8" t="b">
        <f t="shared" si="133"/>
        <v>1</v>
      </c>
      <c r="N1708" s="1" t="b">
        <f t="shared" si="134"/>
        <v>1</v>
      </c>
      <c r="O1708" s="8" t="str">
        <f>IF(F1708="","",IF($F$2=入力リスト!$H$25,ROUNDDOWN(INT(F1708)+ROUNDDOWN((F1708-INT(F1708))*100,0)/60,2),F1708))</f>
        <v/>
      </c>
      <c r="P1708" s="7"/>
      <c r="Q1708" s="7"/>
    </row>
    <row r="1709" spans="1:17">
      <c r="A1709" s="105"/>
      <c r="B1709" s="2"/>
      <c r="C1709" s="3"/>
      <c r="D1709" s="3"/>
      <c r="E1709" s="3"/>
      <c r="F1709" s="8"/>
      <c r="G1709" s="215" t="str">
        <f>IF(AND($B1709="",OR(B1709&lt;&gt;"",C1709&lt;&gt;"",D1709&lt;&gt;"",E1709&lt;&gt;"",F1709&lt;&gt;"")),入力リスト!$K$34,IF($I1709=TRUE,入力リスト!$K$35,IF(J1709=FALSE,"「毎月の固定給与額」","")&amp;IF(AND(J1709=FALSE,OR(K1709=FALSE,L1709=FALSE,M1709=FALSE)),",","")&amp;IF(K1709=FALSE,"「賞与額等」","")&amp;IF(AND(K1709=FALSE,OR(L1709=FALSE,M1709=FALSE)),",","")&amp;IF(L1709=FALSE,"「残業手当」","")&amp;IF(AND(L1709=FALSE,M1709=FALSE),",","")&amp;IF(M1709=FALSE,"「残業時間」","")&amp;IF(OR(J1709=FALSE,K1709=FALSE,L1709=FALSE,M1709=FALSE),入力リスト!$K$36,"")&amp;IF(N1709,"",入力リスト!$K$37)))</f>
        <v/>
      </c>
      <c r="H1709" s="215"/>
      <c r="I1709" s="1" t="b">
        <f>IF(B1709="",FALSE,COUNTIF('従業員情報(給与以外)'!$A$4:$A$1000000,$B1709)=0)</f>
        <v>0</v>
      </c>
      <c r="J1709" s="8" t="b">
        <f t="shared" si="130"/>
        <v>1</v>
      </c>
      <c r="K1709" s="8" t="b">
        <f t="shared" si="131"/>
        <v>1</v>
      </c>
      <c r="L1709" s="8" t="b">
        <f t="shared" si="132"/>
        <v>1</v>
      </c>
      <c r="M1709" s="8" t="b">
        <f t="shared" si="133"/>
        <v>1</v>
      </c>
      <c r="N1709" s="1" t="b">
        <f t="shared" si="134"/>
        <v>1</v>
      </c>
      <c r="O1709" s="8" t="str">
        <f>IF(F1709="","",IF($F$2=入力リスト!$H$25,ROUNDDOWN(INT(F1709)+ROUNDDOWN((F1709-INT(F1709))*100,0)/60,2),F1709))</f>
        <v/>
      </c>
      <c r="P1709" s="7"/>
      <c r="Q1709" s="7"/>
    </row>
    <row r="1710" spans="1:17">
      <c r="A1710" s="105"/>
      <c r="B1710" s="2"/>
      <c r="C1710" s="3"/>
      <c r="D1710" s="3"/>
      <c r="E1710" s="3"/>
      <c r="F1710" s="8"/>
      <c r="G1710" s="215" t="str">
        <f>IF(AND($B1710="",OR(B1710&lt;&gt;"",C1710&lt;&gt;"",D1710&lt;&gt;"",E1710&lt;&gt;"",F1710&lt;&gt;"")),入力リスト!$K$34,IF($I1710=TRUE,入力リスト!$K$35,IF(J1710=FALSE,"「毎月の固定給与額」","")&amp;IF(AND(J1710=FALSE,OR(K1710=FALSE,L1710=FALSE,M1710=FALSE)),",","")&amp;IF(K1710=FALSE,"「賞与額等」","")&amp;IF(AND(K1710=FALSE,OR(L1710=FALSE,M1710=FALSE)),",","")&amp;IF(L1710=FALSE,"「残業手当」","")&amp;IF(AND(L1710=FALSE,M1710=FALSE),",","")&amp;IF(M1710=FALSE,"「残業時間」","")&amp;IF(OR(J1710=FALSE,K1710=FALSE,L1710=FALSE,M1710=FALSE),入力リスト!$K$36,"")&amp;IF(N1710,"",入力リスト!$K$37)))</f>
        <v/>
      </c>
      <c r="H1710" s="215"/>
      <c r="I1710" s="1" t="b">
        <f>IF(B1710="",FALSE,COUNTIF('従業員情報(給与以外)'!$A$4:$A$1000000,$B1710)=0)</f>
        <v>0</v>
      </c>
      <c r="J1710" s="8" t="b">
        <f t="shared" si="130"/>
        <v>1</v>
      </c>
      <c r="K1710" s="8" t="b">
        <f t="shared" si="131"/>
        <v>1</v>
      </c>
      <c r="L1710" s="8" t="b">
        <f t="shared" si="132"/>
        <v>1</v>
      </c>
      <c r="M1710" s="8" t="b">
        <f t="shared" si="133"/>
        <v>1</v>
      </c>
      <c r="N1710" s="1" t="b">
        <f t="shared" si="134"/>
        <v>1</v>
      </c>
      <c r="O1710" s="8" t="str">
        <f>IF(F1710="","",IF($F$2=入力リスト!$H$25,ROUNDDOWN(INT(F1710)+ROUNDDOWN((F1710-INT(F1710))*100,0)/60,2),F1710))</f>
        <v/>
      </c>
      <c r="P1710" s="7"/>
      <c r="Q1710" s="7"/>
    </row>
    <row r="1711" spans="1:17">
      <c r="A1711" s="105"/>
      <c r="B1711" s="2"/>
      <c r="C1711" s="3"/>
      <c r="D1711" s="3"/>
      <c r="E1711" s="3"/>
      <c r="F1711" s="8"/>
      <c r="G1711" s="215" t="str">
        <f>IF(AND($B1711="",OR(B1711&lt;&gt;"",C1711&lt;&gt;"",D1711&lt;&gt;"",E1711&lt;&gt;"",F1711&lt;&gt;"")),入力リスト!$K$34,IF($I1711=TRUE,入力リスト!$K$35,IF(J1711=FALSE,"「毎月の固定給与額」","")&amp;IF(AND(J1711=FALSE,OR(K1711=FALSE,L1711=FALSE,M1711=FALSE)),",","")&amp;IF(K1711=FALSE,"「賞与額等」","")&amp;IF(AND(K1711=FALSE,OR(L1711=FALSE,M1711=FALSE)),",","")&amp;IF(L1711=FALSE,"「残業手当」","")&amp;IF(AND(L1711=FALSE,M1711=FALSE),",","")&amp;IF(M1711=FALSE,"「残業時間」","")&amp;IF(OR(J1711=FALSE,K1711=FALSE,L1711=FALSE,M1711=FALSE),入力リスト!$K$36,"")&amp;IF(N1711,"",入力リスト!$K$37)))</f>
        <v/>
      </c>
      <c r="H1711" s="215"/>
      <c r="I1711" s="1" t="b">
        <f>IF(B1711="",FALSE,COUNTIF('従業員情報(給与以外)'!$A$4:$A$1000000,$B1711)=0)</f>
        <v>0</v>
      </c>
      <c r="J1711" s="8" t="b">
        <f t="shared" si="130"/>
        <v>1</v>
      </c>
      <c r="K1711" s="8" t="b">
        <f t="shared" si="131"/>
        <v>1</v>
      </c>
      <c r="L1711" s="8" t="b">
        <f t="shared" si="132"/>
        <v>1</v>
      </c>
      <c r="M1711" s="8" t="b">
        <f t="shared" si="133"/>
        <v>1</v>
      </c>
      <c r="N1711" s="1" t="b">
        <f t="shared" si="134"/>
        <v>1</v>
      </c>
      <c r="O1711" s="8" t="str">
        <f>IF(F1711="","",IF($F$2=入力リスト!$H$25,ROUNDDOWN(INT(F1711)+ROUNDDOWN((F1711-INT(F1711))*100,0)/60,2),F1711))</f>
        <v/>
      </c>
      <c r="P1711" s="7"/>
      <c r="Q1711" s="7"/>
    </row>
    <row r="1712" spans="1:17">
      <c r="A1712" s="105"/>
      <c r="B1712" s="2"/>
      <c r="C1712" s="3"/>
      <c r="D1712" s="3"/>
      <c r="E1712" s="3"/>
      <c r="F1712" s="8"/>
      <c r="G1712" s="215" t="str">
        <f>IF(AND($B1712="",OR(B1712&lt;&gt;"",C1712&lt;&gt;"",D1712&lt;&gt;"",E1712&lt;&gt;"",F1712&lt;&gt;"")),入力リスト!$K$34,IF($I1712=TRUE,入力リスト!$K$35,IF(J1712=FALSE,"「毎月の固定給与額」","")&amp;IF(AND(J1712=FALSE,OR(K1712=FALSE,L1712=FALSE,M1712=FALSE)),",","")&amp;IF(K1712=FALSE,"「賞与額等」","")&amp;IF(AND(K1712=FALSE,OR(L1712=FALSE,M1712=FALSE)),",","")&amp;IF(L1712=FALSE,"「残業手当」","")&amp;IF(AND(L1712=FALSE,M1712=FALSE),",","")&amp;IF(M1712=FALSE,"「残業時間」","")&amp;IF(OR(J1712=FALSE,K1712=FALSE,L1712=FALSE,M1712=FALSE),入力リスト!$K$36,"")&amp;IF(N1712,"",入力リスト!$K$37)))</f>
        <v/>
      </c>
      <c r="H1712" s="215"/>
      <c r="I1712" s="1" t="b">
        <f>IF(B1712="",FALSE,COUNTIF('従業員情報(給与以外)'!$A$4:$A$1000000,$B1712)=0)</f>
        <v>0</v>
      </c>
      <c r="J1712" s="8" t="b">
        <f t="shared" si="130"/>
        <v>1</v>
      </c>
      <c r="K1712" s="8" t="b">
        <f t="shared" si="131"/>
        <v>1</v>
      </c>
      <c r="L1712" s="8" t="b">
        <f t="shared" si="132"/>
        <v>1</v>
      </c>
      <c r="M1712" s="8" t="b">
        <f t="shared" si="133"/>
        <v>1</v>
      </c>
      <c r="N1712" s="1" t="b">
        <f t="shared" si="134"/>
        <v>1</v>
      </c>
      <c r="O1712" s="8" t="str">
        <f>IF(F1712="","",IF($F$2=入力リスト!$H$25,ROUNDDOWN(INT(F1712)+ROUNDDOWN((F1712-INT(F1712))*100,0)/60,2),F1712))</f>
        <v/>
      </c>
      <c r="P1712" s="7"/>
      <c r="Q1712" s="7"/>
    </row>
    <row r="1713" spans="1:17">
      <c r="A1713" s="105"/>
      <c r="B1713" s="2"/>
      <c r="C1713" s="3"/>
      <c r="D1713" s="3"/>
      <c r="E1713" s="3"/>
      <c r="F1713" s="8"/>
      <c r="G1713" s="215" t="str">
        <f>IF(AND($B1713="",OR(B1713&lt;&gt;"",C1713&lt;&gt;"",D1713&lt;&gt;"",E1713&lt;&gt;"",F1713&lt;&gt;"")),入力リスト!$K$34,IF($I1713=TRUE,入力リスト!$K$35,IF(J1713=FALSE,"「毎月の固定給与額」","")&amp;IF(AND(J1713=FALSE,OR(K1713=FALSE,L1713=FALSE,M1713=FALSE)),",","")&amp;IF(K1713=FALSE,"「賞与額等」","")&amp;IF(AND(K1713=FALSE,OR(L1713=FALSE,M1713=FALSE)),",","")&amp;IF(L1713=FALSE,"「残業手当」","")&amp;IF(AND(L1713=FALSE,M1713=FALSE),",","")&amp;IF(M1713=FALSE,"「残業時間」","")&amp;IF(OR(J1713=FALSE,K1713=FALSE,L1713=FALSE,M1713=FALSE),入力リスト!$K$36,"")&amp;IF(N1713,"",入力リスト!$K$37)))</f>
        <v/>
      </c>
      <c r="H1713" s="215"/>
      <c r="I1713" s="1" t="b">
        <f>IF(B1713="",FALSE,COUNTIF('従業員情報(給与以外)'!$A$4:$A$1000000,$B1713)=0)</f>
        <v>0</v>
      </c>
      <c r="J1713" s="8" t="b">
        <f t="shared" si="130"/>
        <v>1</v>
      </c>
      <c r="K1713" s="8" t="b">
        <f t="shared" si="131"/>
        <v>1</v>
      </c>
      <c r="L1713" s="8" t="b">
        <f t="shared" si="132"/>
        <v>1</v>
      </c>
      <c r="M1713" s="8" t="b">
        <f t="shared" si="133"/>
        <v>1</v>
      </c>
      <c r="N1713" s="1" t="b">
        <f t="shared" si="134"/>
        <v>1</v>
      </c>
      <c r="O1713" s="8" t="str">
        <f>IF(F1713="","",IF($F$2=入力リスト!$H$25,ROUNDDOWN(INT(F1713)+ROUNDDOWN((F1713-INT(F1713))*100,0)/60,2),F1713))</f>
        <v/>
      </c>
      <c r="P1713" s="7"/>
      <c r="Q1713" s="7"/>
    </row>
    <row r="1714" spans="1:17">
      <c r="A1714" s="105"/>
      <c r="B1714" s="2"/>
      <c r="C1714" s="3"/>
      <c r="D1714" s="3"/>
      <c r="E1714" s="3"/>
      <c r="F1714" s="8"/>
      <c r="G1714" s="215" t="str">
        <f>IF(AND($B1714="",OR(B1714&lt;&gt;"",C1714&lt;&gt;"",D1714&lt;&gt;"",E1714&lt;&gt;"",F1714&lt;&gt;"")),入力リスト!$K$34,IF($I1714=TRUE,入力リスト!$K$35,IF(J1714=FALSE,"「毎月の固定給与額」","")&amp;IF(AND(J1714=FALSE,OR(K1714=FALSE,L1714=FALSE,M1714=FALSE)),",","")&amp;IF(K1714=FALSE,"「賞与額等」","")&amp;IF(AND(K1714=FALSE,OR(L1714=FALSE,M1714=FALSE)),",","")&amp;IF(L1714=FALSE,"「残業手当」","")&amp;IF(AND(L1714=FALSE,M1714=FALSE),",","")&amp;IF(M1714=FALSE,"「残業時間」","")&amp;IF(OR(J1714=FALSE,K1714=FALSE,L1714=FALSE,M1714=FALSE),入力リスト!$K$36,"")&amp;IF(N1714,"",入力リスト!$K$37)))</f>
        <v/>
      </c>
      <c r="H1714" s="215"/>
      <c r="I1714" s="1" t="b">
        <f>IF(B1714="",FALSE,COUNTIF('従業員情報(給与以外)'!$A$4:$A$1000000,$B1714)=0)</f>
        <v>0</v>
      </c>
      <c r="J1714" s="8" t="b">
        <f t="shared" si="130"/>
        <v>1</v>
      </c>
      <c r="K1714" s="8" t="b">
        <f t="shared" si="131"/>
        <v>1</v>
      </c>
      <c r="L1714" s="8" t="b">
        <f t="shared" si="132"/>
        <v>1</v>
      </c>
      <c r="M1714" s="8" t="b">
        <f t="shared" si="133"/>
        <v>1</v>
      </c>
      <c r="N1714" s="1" t="b">
        <f t="shared" si="134"/>
        <v>1</v>
      </c>
      <c r="O1714" s="8" t="str">
        <f>IF(F1714="","",IF($F$2=入力リスト!$H$25,ROUNDDOWN(INT(F1714)+ROUNDDOWN((F1714-INT(F1714))*100,0)/60,2),F1714))</f>
        <v/>
      </c>
      <c r="P1714" s="7"/>
      <c r="Q1714" s="7"/>
    </row>
    <row r="1715" spans="1:17">
      <c r="A1715" s="105"/>
      <c r="B1715" s="2"/>
      <c r="C1715" s="3"/>
      <c r="D1715" s="3"/>
      <c r="E1715" s="3"/>
      <c r="F1715" s="8"/>
      <c r="G1715" s="215" t="str">
        <f>IF(AND($B1715="",OR(B1715&lt;&gt;"",C1715&lt;&gt;"",D1715&lt;&gt;"",E1715&lt;&gt;"",F1715&lt;&gt;"")),入力リスト!$K$34,IF($I1715=TRUE,入力リスト!$K$35,IF(J1715=FALSE,"「毎月の固定給与額」","")&amp;IF(AND(J1715=FALSE,OR(K1715=FALSE,L1715=FALSE,M1715=FALSE)),",","")&amp;IF(K1715=FALSE,"「賞与額等」","")&amp;IF(AND(K1715=FALSE,OR(L1715=FALSE,M1715=FALSE)),",","")&amp;IF(L1715=FALSE,"「残業手当」","")&amp;IF(AND(L1715=FALSE,M1715=FALSE),",","")&amp;IF(M1715=FALSE,"「残業時間」","")&amp;IF(OR(J1715=FALSE,K1715=FALSE,L1715=FALSE,M1715=FALSE),入力リスト!$K$36,"")&amp;IF(N1715,"",入力リスト!$K$37)))</f>
        <v/>
      </c>
      <c r="H1715" s="215"/>
      <c r="I1715" s="1" t="b">
        <f>IF(B1715="",FALSE,COUNTIF('従業員情報(給与以外)'!$A$4:$A$1000000,$B1715)=0)</f>
        <v>0</v>
      </c>
      <c r="J1715" s="8" t="b">
        <f t="shared" si="130"/>
        <v>1</v>
      </c>
      <c r="K1715" s="8" t="b">
        <f t="shared" si="131"/>
        <v>1</v>
      </c>
      <c r="L1715" s="8" t="b">
        <f t="shared" si="132"/>
        <v>1</v>
      </c>
      <c r="M1715" s="8" t="b">
        <f t="shared" si="133"/>
        <v>1</v>
      </c>
      <c r="N1715" s="1" t="b">
        <f t="shared" si="134"/>
        <v>1</v>
      </c>
      <c r="O1715" s="8" t="str">
        <f>IF(F1715="","",IF($F$2=入力リスト!$H$25,ROUNDDOWN(INT(F1715)+ROUNDDOWN((F1715-INT(F1715))*100,0)/60,2),F1715))</f>
        <v/>
      </c>
      <c r="P1715" s="7"/>
      <c r="Q1715" s="7"/>
    </row>
    <row r="1716" spans="1:17">
      <c r="A1716" s="105"/>
      <c r="B1716" s="2"/>
      <c r="C1716" s="3"/>
      <c r="D1716" s="3"/>
      <c r="E1716" s="3"/>
      <c r="F1716" s="8"/>
      <c r="G1716" s="215" t="str">
        <f>IF(AND($B1716="",OR(B1716&lt;&gt;"",C1716&lt;&gt;"",D1716&lt;&gt;"",E1716&lt;&gt;"",F1716&lt;&gt;"")),入力リスト!$K$34,IF($I1716=TRUE,入力リスト!$K$35,IF(J1716=FALSE,"「毎月の固定給与額」","")&amp;IF(AND(J1716=FALSE,OR(K1716=FALSE,L1716=FALSE,M1716=FALSE)),",","")&amp;IF(K1716=FALSE,"「賞与額等」","")&amp;IF(AND(K1716=FALSE,OR(L1716=FALSE,M1716=FALSE)),",","")&amp;IF(L1716=FALSE,"「残業手当」","")&amp;IF(AND(L1716=FALSE,M1716=FALSE),",","")&amp;IF(M1716=FALSE,"「残業時間」","")&amp;IF(OR(J1716=FALSE,K1716=FALSE,L1716=FALSE,M1716=FALSE),入力リスト!$K$36,"")&amp;IF(N1716,"",入力リスト!$K$37)))</f>
        <v/>
      </c>
      <c r="H1716" s="215"/>
      <c r="I1716" s="1" t="b">
        <f>IF(B1716="",FALSE,COUNTIF('従業員情報(給与以外)'!$A$4:$A$1000000,$B1716)=0)</f>
        <v>0</v>
      </c>
      <c r="J1716" s="8" t="b">
        <f t="shared" si="130"/>
        <v>1</v>
      </c>
      <c r="K1716" s="8" t="b">
        <f t="shared" si="131"/>
        <v>1</v>
      </c>
      <c r="L1716" s="8" t="b">
        <f t="shared" si="132"/>
        <v>1</v>
      </c>
      <c r="M1716" s="8" t="b">
        <f t="shared" si="133"/>
        <v>1</v>
      </c>
      <c r="N1716" s="1" t="b">
        <f t="shared" si="134"/>
        <v>1</v>
      </c>
      <c r="O1716" s="8" t="str">
        <f>IF(F1716="","",IF($F$2=入力リスト!$H$25,ROUNDDOWN(INT(F1716)+ROUNDDOWN((F1716-INT(F1716))*100,0)/60,2),F1716))</f>
        <v/>
      </c>
      <c r="P1716" s="7"/>
      <c r="Q1716" s="7"/>
    </row>
    <row r="1717" spans="1:17">
      <c r="A1717" s="105"/>
      <c r="B1717" s="2"/>
      <c r="C1717" s="3"/>
      <c r="D1717" s="3"/>
      <c r="E1717" s="3"/>
      <c r="F1717" s="8"/>
      <c r="G1717" s="215" t="str">
        <f>IF(AND($B1717="",OR(B1717&lt;&gt;"",C1717&lt;&gt;"",D1717&lt;&gt;"",E1717&lt;&gt;"",F1717&lt;&gt;"")),入力リスト!$K$34,IF($I1717=TRUE,入力リスト!$K$35,IF(J1717=FALSE,"「毎月の固定給与額」","")&amp;IF(AND(J1717=FALSE,OR(K1717=FALSE,L1717=FALSE,M1717=FALSE)),",","")&amp;IF(K1717=FALSE,"「賞与額等」","")&amp;IF(AND(K1717=FALSE,OR(L1717=FALSE,M1717=FALSE)),",","")&amp;IF(L1717=FALSE,"「残業手当」","")&amp;IF(AND(L1717=FALSE,M1717=FALSE),",","")&amp;IF(M1717=FALSE,"「残業時間」","")&amp;IF(OR(J1717=FALSE,K1717=FALSE,L1717=FALSE,M1717=FALSE),入力リスト!$K$36,"")&amp;IF(N1717,"",入力リスト!$K$37)))</f>
        <v/>
      </c>
      <c r="H1717" s="215"/>
      <c r="I1717" s="1" t="b">
        <f>IF(B1717="",FALSE,COUNTIF('従業員情報(給与以外)'!$A$4:$A$1000000,$B1717)=0)</f>
        <v>0</v>
      </c>
      <c r="J1717" s="8" t="b">
        <f t="shared" si="130"/>
        <v>1</v>
      </c>
      <c r="K1717" s="8" t="b">
        <f t="shared" si="131"/>
        <v>1</v>
      </c>
      <c r="L1717" s="8" t="b">
        <f t="shared" si="132"/>
        <v>1</v>
      </c>
      <c r="M1717" s="8" t="b">
        <f t="shared" si="133"/>
        <v>1</v>
      </c>
      <c r="N1717" s="1" t="b">
        <f t="shared" si="134"/>
        <v>1</v>
      </c>
      <c r="O1717" s="8" t="str">
        <f>IF(F1717="","",IF($F$2=入力リスト!$H$25,ROUNDDOWN(INT(F1717)+ROUNDDOWN((F1717-INT(F1717))*100,0)/60,2),F1717))</f>
        <v/>
      </c>
      <c r="P1717" s="7"/>
      <c r="Q1717" s="7"/>
    </row>
    <row r="1718" spans="1:17">
      <c r="A1718" s="105"/>
      <c r="B1718" s="2"/>
      <c r="C1718" s="3"/>
      <c r="D1718" s="3"/>
      <c r="E1718" s="3"/>
      <c r="F1718" s="8"/>
      <c r="G1718" s="215" t="str">
        <f>IF(AND($B1718="",OR(B1718&lt;&gt;"",C1718&lt;&gt;"",D1718&lt;&gt;"",E1718&lt;&gt;"",F1718&lt;&gt;"")),入力リスト!$K$34,IF($I1718=TRUE,入力リスト!$K$35,IF(J1718=FALSE,"「毎月の固定給与額」","")&amp;IF(AND(J1718=FALSE,OR(K1718=FALSE,L1718=FALSE,M1718=FALSE)),",","")&amp;IF(K1718=FALSE,"「賞与額等」","")&amp;IF(AND(K1718=FALSE,OR(L1718=FALSE,M1718=FALSE)),",","")&amp;IF(L1718=FALSE,"「残業手当」","")&amp;IF(AND(L1718=FALSE,M1718=FALSE),",","")&amp;IF(M1718=FALSE,"「残業時間」","")&amp;IF(OR(J1718=FALSE,K1718=FALSE,L1718=FALSE,M1718=FALSE),入力リスト!$K$36,"")&amp;IF(N1718,"",入力リスト!$K$37)))</f>
        <v/>
      </c>
      <c r="H1718" s="215"/>
      <c r="I1718" s="1" t="b">
        <f>IF(B1718="",FALSE,COUNTIF('従業員情報(給与以外)'!$A$4:$A$1000000,$B1718)=0)</f>
        <v>0</v>
      </c>
      <c r="J1718" s="8" t="b">
        <f t="shared" si="130"/>
        <v>1</v>
      </c>
      <c r="K1718" s="8" t="b">
        <f t="shared" si="131"/>
        <v>1</v>
      </c>
      <c r="L1718" s="8" t="b">
        <f t="shared" si="132"/>
        <v>1</v>
      </c>
      <c r="M1718" s="8" t="b">
        <f t="shared" si="133"/>
        <v>1</v>
      </c>
      <c r="N1718" s="1" t="b">
        <f t="shared" si="134"/>
        <v>1</v>
      </c>
      <c r="O1718" s="8" t="str">
        <f>IF(F1718="","",IF($F$2=入力リスト!$H$25,ROUNDDOWN(INT(F1718)+ROUNDDOWN((F1718-INT(F1718))*100,0)/60,2),F1718))</f>
        <v/>
      </c>
      <c r="P1718" s="7"/>
      <c r="Q1718" s="7"/>
    </row>
    <row r="1719" spans="1:17">
      <c r="A1719" s="105"/>
      <c r="B1719" s="2"/>
      <c r="C1719" s="3"/>
      <c r="D1719" s="3"/>
      <c r="E1719" s="3"/>
      <c r="F1719" s="8"/>
      <c r="G1719" s="215" t="str">
        <f>IF(AND($B1719="",OR(B1719&lt;&gt;"",C1719&lt;&gt;"",D1719&lt;&gt;"",E1719&lt;&gt;"",F1719&lt;&gt;"")),入力リスト!$K$34,IF($I1719=TRUE,入力リスト!$K$35,IF(J1719=FALSE,"「毎月の固定給与額」","")&amp;IF(AND(J1719=FALSE,OR(K1719=FALSE,L1719=FALSE,M1719=FALSE)),",","")&amp;IF(K1719=FALSE,"「賞与額等」","")&amp;IF(AND(K1719=FALSE,OR(L1719=FALSE,M1719=FALSE)),",","")&amp;IF(L1719=FALSE,"「残業手当」","")&amp;IF(AND(L1719=FALSE,M1719=FALSE),",","")&amp;IF(M1719=FALSE,"「残業時間」","")&amp;IF(OR(J1719=FALSE,K1719=FALSE,L1719=FALSE,M1719=FALSE),入力リスト!$K$36,"")&amp;IF(N1719,"",入力リスト!$K$37)))</f>
        <v/>
      </c>
      <c r="H1719" s="215"/>
      <c r="I1719" s="1" t="b">
        <f>IF(B1719="",FALSE,COUNTIF('従業員情報(給与以外)'!$A$4:$A$1000000,$B1719)=0)</f>
        <v>0</v>
      </c>
      <c r="J1719" s="8" t="b">
        <f t="shared" si="130"/>
        <v>1</v>
      </c>
      <c r="K1719" s="8" t="b">
        <f t="shared" si="131"/>
        <v>1</v>
      </c>
      <c r="L1719" s="8" t="b">
        <f t="shared" si="132"/>
        <v>1</v>
      </c>
      <c r="M1719" s="8" t="b">
        <f t="shared" si="133"/>
        <v>1</v>
      </c>
      <c r="N1719" s="1" t="b">
        <f t="shared" si="134"/>
        <v>1</v>
      </c>
      <c r="O1719" s="8" t="str">
        <f>IF(F1719="","",IF($F$2=入力リスト!$H$25,ROUNDDOWN(INT(F1719)+ROUNDDOWN((F1719-INT(F1719))*100,0)/60,2),F1719))</f>
        <v/>
      </c>
      <c r="P1719" s="7"/>
      <c r="Q1719" s="7"/>
    </row>
    <row r="1720" spans="1:17">
      <c r="A1720" s="105"/>
      <c r="B1720" s="2"/>
      <c r="C1720" s="3"/>
      <c r="D1720" s="3"/>
      <c r="E1720" s="3"/>
      <c r="F1720" s="8"/>
      <c r="G1720" s="215" t="str">
        <f>IF(AND($B1720="",OR(B1720&lt;&gt;"",C1720&lt;&gt;"",D1720&lt;&gt;"",E1720&lt;&gt;"",F1720&lt;&gt;"")),入力リスト!$K$34,IF($I1720=TRUE,入力リスト!$K$35,IF(J1720=FALSE,"「毎月の固定給与額」","")&amp;IF(AND(J1720=FALSE,OR(K1720=FALSE,L1720=FALSE,M1720=FALSE)),",","")&amp;IF(K1720=FALSE,"「賞与額等」","")&amp;IF(AND(K1720=FALSE,OR(L1720=FALSE,M1720=FALSE)),",","")&amp;IF(L1720=FALSE,"「残業手当」","")&amp;IF(AND(L1720=FALSE,M1720=FALSE),",","")&amp;IF(M1720=FALSE,"「残業時間」","")&amp;IF(OR(J1720=FALSE,K1720=FALSE,L1720=FALSE,M1720=FALSE),入力リスト!$K$36,"")&amp;IF(N1720,"",入力リスト!$K$37)))</f>
        <v/>
      </c>
      <c r="H1720" s="215"/>
      <c r="I1720" s="1" t="b">
        <f>IF(B1720="",FALSE,COUNTIF('従業員情報(給与以外)'!$A$4:$A$1000000,$B1720)=0)</f>
        <v>0</v>
      </c>
      <c r="J1720" s="8" t="b">
        <f t="shared" si="130"/>
        <v>1</v>
      </c>
      <c r="K1720" s="8" t="b">
        <f t="shared" si="131"/>
        <v>1</v>
      </c>
      <c r="L1720" s="8" t="b">
        <f t="shared" si="132"/>
        <v>1</v>
      </c>
      <c r="M1720" s="8" t="b">
        <f t="shared" si="133"/>
        <v>1</v>
      </c>
      <c r="N1720" s="1" t="b">
        <f t="shared" si="134"/>
        <v>1</v>
      </c>
      <c r="O1720" s="8" t="str">
        <f>IF(F1720="","",IF($F$2=入力リスト!$H$25,ROUNDDOWN(INT(F1720)+ROUNDDOWN((F1720-INT(F1720))*100,0)/60,2),F1720))</f>
        <v/>
      </c>
      <c r="P1720" s="7"/>
      <c r="Q1720" s="7"/>
    </row>
    <row r="1721" spans="1:17">
      <c r="A1721" s="105"/>
      <c r="B1721" s="2"/>
      <c r="C1721" s="3"/>
      <c r="D1721" s="3"/>
      <c r="E1721" s="3"/>
      <c r="F1721" s="8"/>
      <c r="G1721" s="215" t="str">
        <f>IF(AND($B1721="",OR(B1721&lt;&gt;"",C1721&lt;&gt;"",D1721&lt;&gt;"",E1721&lt;&gt;"",F1721&lt;&gt;"")),入力リスト!$K$34,IF($I1721=TRUE,入力リスト!$K$35,IF(J1721=FALSE,"「毎月の固定給与額」","")&amp;IF(AND(J1721=FALSE,OR(K1721=FALSE,L1721=FALSE,M1721=FALSE)),",","")&amp;IF(K1721=FALSE,"「賞与額等」","")&amp;IF(AND(K1721=FALSE,OR(L1721=FALSE,M1721=FALSE)),",","")&amp;IF(L1721=FALSE,"「残業手当」","")&amp;IF(AND(L1721=FALSE,M1721=FALSE),",","")&amp;IF(M1721=FALSE,"「残業時間」","")&amp;IF(OR(J1721=FALSE,K1721=FALSE,L1721=FALSE,M1721=FALSE),入力リスト!$K$36,"")&amp;IF(N1721,"",入力リスト!$K$37)))</f>
        <v/>
      </c>
      <c r="H1721" s="215"/>
      <c r="I1721" s="1" t="b">
        <f>IF(B1721="",FALSE,COUNTIF('従業員情報(給与以外)'!$A$4:$A$1000000,$B1721)=0)</f>
        <v>0</v>
      </c>
      <c r="J1721" s="8" t="b">
        <f t="shared" si="130"/>
        <v>1</v>
      </c>
      <c r="K1721" s="8" t="b">
        <f t="shared" si="131"/>
        <v>1</v>
      </c>
      <c r="L1721" s="8" t="b">
        <f t="shared" si="132"/>
        <v>1</v>
      </c>
      <c r="M1721" s="8" t="b">
        <f t="shared" si="133"/>
        <v>1</v>
      </c>
      <c r="N1721" s="1" t="b">
        <f t="shared" si="134"/>
        <v>1</v>
      </c>
      <c r="O1721" s="8" t="str">
        <f>IF(F1721="","",IF($F$2=入力リスト!$H$25,ROUNDDOWN(INT(F1721)+ROUNDDOWN((F1721-INT(F1721))*100,0)/60,2),F1721))</f>
        <v/>
      </c>
      <c r="P1721" s="7"/>
      <c r="Q1721" s="7"/>
    </row>
    <row r="1722" spans="1:17">
      <c r="A1722" s="105"/>
      <c r="B1722" s="2"/>
      <c r="C1722" s="3"/>
      <c r="D1722" s="3"/>
      <c r="E1722" s="3"/>
      <c r="F1722" s="8"/>
      <c r="G1722" s="215" t="str">
        <f>IF(AND($B1722="",OR(B1722&lt;&gt;"",C1722&lt;&gt;"",D1722&lt;&gt;"",E1722&lt;&gt;"",F1722&lt;&gt;"")),入力リスト!$K$34,IF($I1722=TRUE,入力リスト!$K$35,IF(J1722=FALSE,"「毎月の固定給与額」","")&amp;IF(AND(J1722=FALSE,OR(K1722=FALSE,L1722=FALSE,M1722=FALSE)),",","")&amp;IF(K1722=FALSE,"「賞与額等」","")&amp;IF(AND(K1722=FALSE,OR(L1722=FALSE,M1722=FALSE)),",","")&amp;IF(L1722=FALSE,"「残業手当」","")&amp;IF(AND(L1722=FALSE,M1722=FALSE),",","")&amp;IF(M1722=FALSE,"「残業時間」","")&amp;IF(OR(J1722=FALSE,K1722=FALSE,L1722=FALSE,M1722=FALSE),入力リスト!$K$36,"")&amp;IF(N1722,"",入力リスト!$K$37)))</f>
        <v/>
      </c>
      <c r="H1722" s="215"/>
      <c r="I1722" s="1" t="b">
        <f>IF(B1722="",FALSE,COUNTIF('従業員情報(給与以外)'!$A$4:$A$1000000,$B1722)=0)</f>
        <v>0</v>
      </c>
      <c r="J1722" s="8" t="b">
        <f t="shared" si="130"/>
        <v>1</v>
      </c>
      <c r="K1722" s="8" t="b">
        <f t="shared" si="131"/>
        <v>1</v>
      </c>
      <c r="L1722" s="8" t="b">
        <f t="shared" si="132"/>
        <v>1</v>
      </c>
      <c r="M1722" s="8" t="b">
        <f t="shared" si="133"/>
        <v>1</v>
      </c>
      <c r="N1722" s="1" t="b">
        <f t="shared" si="134"/>
        <v>1</v>
      </c>
      <c r="O1722" s="8" t="str">
        <f>IF(F1722="","",IF($F$2=入力リスト!$H$25,ROUNDDOWN(INT(F1722)+ROUNDDOWN((F1722-INT(F1722))*100,0)/60,2),F1722))</f>
        <v/>
      </c>
      <c r="P1722" s="7"/>
      <c r="Q1722" s="7"/>
    </row>
    <row r="1723" spans="1:17">
      <c r="A1723" s="105"/>
      <c r="B1723" s="2"/>
      <c r="C1723" s="3"/>
      <c r="D1723" s="3"/>
      <c r="E1723" s="3"/>
      <c r="F1723" s="8"/>
      <c r="G1723" s="215" t="str">
        <f>IF(AND($B1723="",OR(B1723&lt;&gt;"",C1723&lt;&gt;"",D1723&lt;&gt;"",E1723&lt;&gt;"",F1723&lt;&gt;"")),入力リスト!$K$34,IF($I1723=TRUE,入力リスト!$K$35,IF(J1723=FALSE,"「毎月の固定給与額」","")&amp;IF(AND(J1723=FALSE,OR(K1723=FALSE,L1723=FALSE,M1723=FALSE)),",","")&amp;IF(K1723=FALSE,"「賞与額等」","")&amp;IF(AND(K1723=FALSE,OR(L1723=FALSE,M1723=FALSE)),",","")&amp;IF(L1723=FALSE,"「残業手当」","")&amp;IF(AND(L1723=FALSE,M1723=FALSE),",","")&amp;IF(M1723=FALSE,"「残業時間」","")&amp;IF(OR(J1723=FALSE,K1723=FALSE,L1723=FALSE,M1723=FALSE),入力リスト!$K$36,"")&amp;IF(N1723,"",入力リスト!$K$37)))</f>
        <v/>
      </c>
      <c r="H1723" s="215"/>
      <c r="I1723" s="1" t="b">
        <f>IF(B1723="",FALSE,COUNTIF('従業員情報(給与以外)'!$A$4:$A$1000000,$B1723)=0)</f>
        <v>0</v>
      </c>
      <c r="J1723" s="8" t="b">
        <f t="shared" si="130"/>
        <v>1</v>
      </c>
      <c r="K1723" s="8" t="b">
        <f t="shared" si="131"/>
        <v>1</v>
      </c>
      <c r="L1723" s="8" t="b">
        <f t="shared" si="132"/>
        <v>1</v>
      </c>
      <c r="M1723" s="8" t="b">
        <f t="shared" si="133"/>
        <v>1</v>
      </c>
      <c r="N1723" s="1" t="b">
        <f t="shared" si="134"/>
        <v>1</v>
      </c>
      <c r="O1723" s="8" t="str">
        <f>IF(F1723="","",IF($F$2=入力リスト!$H$25,ROUNDDOWN(INT(F1723)+ROUNDDOWN((F1723-INT(F1723))*100,0)/60,2),F1723))</f>
        <v/>
      </c>
      <c r="P1723" s="7"/>
      <c r="Q1723" s="7"/>
    </row>
    <row r="1724" spans="1:17">
      <c r="A1724" s="105"/>
      <c r="B1724" s="2"/>
      <c r="C1724" s="3"/>
      <c r="D1724" s="3"/>
      <c r="E1724" s="3"/>
      <c r="F1724" s="8"/>
      <c r="G1724" s="215" t="str">
        <f>IF(AND($B1724="",OR(B1724&lt;&gt;"",C1724&lt;&gt;"",D1724&lt;&gt;"",E1724&lt;&gt;"",F1724&lt;&gt;"")),入力リスト!$K$34,IF($I1724=TRUE,入力リスト!$K$35,IF(J1724=FALSE,"「毎月の固定給与額」","")&amp;IF(AND(J1724=FALSE,OR(K1724=FALSE,L1724=FALSE,M1724=FALSE)),",","")&amp;IF(K1724=FALSE,"「賞与額等」","")&amp;IF(AND(K1724=FALSE,OR(L1724=FALSE,M1724=FALSE)),",","")&amp;IF(L1724=FALSE,"「残業手当」","")&amp;IF(AND(L1724=FALSE,M1724=FALSE),",","")&amp;IF(M1724=FALSE,"「残業時間」","")&amp;IF(OR(J1724=FALSE,K1724=FALSE,L1724=FALSE,M1724=FALSE),入力リスト!$K$36,"")&amp;IF(N1724,"",入力リスト!$K$37)))</f>
        <v/>
      </c>
      <c r="H1724" s="215"/>
      <c r="I1724" s="1" t="b">
        <f>IF(B1724="",FALSE,COUNTIF('従業員情報(給与以外)'!$A$4:$A$1000000,$B1724)=0)</f>
        <v>0</v>
      </c>
      <c r="J1724" s="8" t="b">
        <f t="shared" si="130"/>
        <v>1</v>
      </c>
      <c r="K1724" s="8" t="b">
        <f t="shared" si="131"/>
        <v>1</v>
      </c>
      <c r="L1724" s="8" t="b">
        <f t="shared" si="132"/>
        <v>1</v>
      </c>
      <c r="M1724" s="8" t="b">
        <f t="shared" si="133"/>
        <v>1</v>
      </c>
      <c r="N1724" s="1" t="b">
        <f t="shared" si="134"/>
        <v>1</v>
      </c>
      <c r="O1724" s="8" t="str">
        <f>IF(F1724="","",IF($F$2=入力リスト!$H$25,ROUNDDOWN(INT(F1724)+ROUNDDOWN((F1724-INT(F1724))*100,0)/60,2),F1724))</f>
        <v/>
      </c>
      <c r="P1724" s="7"/>
      <c r="Q1724" s="7"/>
    </row>
    <row r="1725" spans="1:17">
      <c r="A1725" s="105"/>
      <c r="B1725" s="2"/>
      <c r="C1725" s="3"/>
      <c r="D1725" s="3"/>
      <c r="E1725" s="3"/>
      <c r="F1725" s="8"/>
      <c r="G1725" s="215" t="str">
        <f>IF(AND($B1725="",OR(B1725&lt;&gt;"",C1725&lt;&gt;"",D1725&lt;&gt;"",E1725&lt;&gt;"",F1725&lt;&gt;"")),入力リスト!$K$34,IF($I1725=TRUE,入力リスト!$K$35,IF(J1725=FALSE,"「毎月の固定給与額」","")&amp;IF(AND(J1725=FALSE,OR(K1725=FALSE,L1725=FALSE,M1725=FALSE)),",","")&amp;IF(K1725=FALSE,"「賞与額等」","")&amp;IF(AND(K1725=FALSE,OR(L1725=FALSE,M1725=FALSE)),",","")&amp;IF(L1725=FALSE,"「残業手当」","")&amp;IF(AND(L1725=FALSE,M1725=FALSE),",","")&amp;IF(M1725=FALSE,"「残業時間」","")&amp;IF(OR(J1725=FALSE,K1725=FALSE,L1725=FALSE,M1725=FALSE),入力リスト!$K$36,"")&amp;IF(N1725,"",入力リスト!$K$37)))</f>
        <v/>
      </c>
      <c r="H1725" s="215"/>
      <c r="I1725" s="1" t="b">
        <f>IF(B1725="",FALSE,COUNTIF('従業員情報(給与以外)'!$A$4:$A$1000000,$B1725)=0)</f>
        <v>0</v>
      </c>
      <c r="J1725" s="8" t="b">
        <f t="shared" si="130"/>
        <v>1</v>
      </c>
      <c r="K1725" s="8" t="b">
        <f t="shared" si="131"/>
        <v>1</v>
      </c>
      <c r="L1725" s="8" t="b">
        <f t="shared" si="132"/>
        <v>1</v>
      </c>
      <c r="M1725" s="8" t="b">
        <f t="shared" si="133"/>
        <v>1</v>
      </c>
      <c r="N1725" s="1" t="b">
        <f t="shared" si="134"/>
        <v>1</v>
      </c>
      <c r="O1725" s="8" t="str">
        <f>IF(F1725="","",IF($F$2=入力リスト!$H$25,ROUNDDOWN(INT(F1725)+ROUNDDOWN((F1725-INT(F1725))*100,0)/60,2),F1725))</f>
        <v/>
      </c>
      <c r="P1725" s="7"/>
      <c r="Q1725" s="7"/>
    </row>
    <row r="1726" spans="1:17">
      <c r="A1726" s="105"/>
      <c r="B1726" s="2"/>
      <c r="C1726" s="3"/>
      <c r="D1726" s="3"/>
      <c r="E1726" s="3"/>
      <c r="F1726" s="8"/>
      <c r="G1726" s="215" t="str">
        <f>IF(AND($B1726="",OR(B1726&lt;&gt;"",C1726&lt;&gt;"",D1726&lt;&gt;"",E1726&lt;&gt;"",F1726&lt;&gt;"")),入力リスト!$K$34,IF($I1726=TRUE,入力リスト!$K$35,IF(J1726=FALSE,"「毎月の固定給与額」","")&amp;IF(AND(J1726=FALSE,OR(K1726=FALSE,L1726=FALSE,M1726=FALSE)),",","")&amp;IF(K1726=FALSE,"「賞与額等」","")&amp;IF(AND(K1726=FALSE,OR(L1726=FALSE,M1726=FALSE)),",","")&amp;IF(L1726=FALSE,"「残業手当」","")&amp;IF(AND(L1726=FALSE,M1726=FALSE),",","")&amp;IF(M1726=FALSE,"「残業時間」","")&amp;IF(OR(J1726=FALSE,K1726=FALSE,L1726=FALSE,M1726=FALSE),入力リスト!$K$36,"")&amp;IF(N1726,"",入力リスト!$K$37)))</f>
        <v/>
      </c>
      <c r="H1726" s="215"/>
      <c r="I1726" s="1" t="b">
        <f>IF(B1726="",FALSE,COUNTIF('従業員情報(給与以外)'!$A$4:$A$1000000,$B1726)=0)</f>
        <v>0</v>
      </c>
      <c r="J1726" s="8" t="b">
        <f t="shared" si="130"/>
        <v>1</v>
      </c>
      <c r="K1726" s="8" t="b">
        <f t="shared" si="131"/>
        <v>1</v>
      </c>
      <c r="L1726" s="8" t="b">
        <f t="shared" si="132"/>
        <v>1</v>
      </c>
      <c r="M1726" s="8" t="b">
        <f t="shared" si="133"/>
        <v>1</v>
      </c>
      <c r="N1726" s="1" t="b">
        <f t="shared" si="134"/>
        <v>1</v>
      </c>
      <c r="O1726" s="8" t="str">
        <f>IF(F1726="","",IF($F$2=入力リスト!$H$25,ROUNDDOWN(INT(F1726)+ROUNDDOWN((F1726-INT(F1726))*100,0)/60,2),F1726))</f>
        <v/>
      </c>
      <c r="P1726" s="7"/>
      <c r="Q1726" s="7"/>
    </row>
    <row r="1727" spans="1:17">
      <c r="A1727" s="105"/>
      <c r="B1727" s="2"/>
      <c r="C1727" s="3"/>
      <c r="D1727" s="3"/>
      <c r="E1727" s="3"/>
      <c r="F1727" s="8"/>
      <c r="G1727" s="215" t="str">
        <f>IF(AND($B1727="",OR(B1727&lt;&gt;"",C1727&lt;&gt;"",D1727&lt;&gt;"",E1727&lt;&gt;"",F1727&lt;&gt;"")),入力リスト!$K$34,IF($I1727=TRUE,入力リスト!$K$35,IF(J1727=FALSE,"「毎月の固定給与額」","")&amp;IF(AND(J1727=FALSE,OR(K1727=FALSE,L1727=FALSE,M1727=FALSE)),",","")&amp;IF(K1727=FALSE,"「賞与額等」","")&amp;IF(AND(K1727=FALSE,OR(L1727=FALSE,M1727=FALSE)),",","")&amp;IF(L1727=FALSE,"「残業手当」","")&amp;IF(AND(L1727=FALSE,M1727=FALSE),",","")&amp;IF(M1727=FALSE,"「残業時間」","")&amp;IF(OR(J1727=FALSE,K1727=FALSE,L1727=FALSE,M1727=FALSE),入力リスト!$K$36,"")&amp;IF(N1727,"",入力リスト!$K$37)))</f>
        <v/>
      </c>
      <c r="H1727" s="215"/>
      <c r="I1727" s="1" t="b">
        <f>IF(B1727="",FALSE,COUNTIF('従業員情報(給与以外)'!$A$4:$A$1000000,$B1727)=0)</f>
        <v>0</v>
      </c>
      <c r="J1727" s="8" t="b">
        <f t="shared" si="130"/>
        <v>1</v>
      </c>
      <c r="K1727" s="8" t="b">
        <f t="shared" si="131"/>
        <v>1</v>
      </c>
      <c r="L1727" s="8" t="b">
        <f t="shared" si="132"/>
        <v>1</v>
      </c>
      <c r="M1727" s="8" t="b">
        <f t="shared" si="133"/>
        <v>1</v>
      </c>
      <c r="N1727" s="1" t="b">
        <f t="shared" si="134"/>
        <v>1</v>
      </c>
      <c r="O1727" s="8" t="str">
        <f>IF(F1727="","",IF($F$2=入力リスト!$H$25,ROUNDDOWN(INT(F1727)+ROUNDDOWN((F1727-INT(F1727))*100,0)/60,2),F1727))</f>
        <v/>
      </c>
      <c r="P1727" s="7"/>
      <c r="Q1727" s="7"/>
    </row>
    <row r="1728" spans="1:17">
      <c r="A1728" s="105"/>
      <c r="B1728" s="2"/>
      <c r="C1728" s="3"/>
      <c r="D1728" s="3"/>
      <c r="E1728" s="3"/>
      <c r="F1728" s="8"/>
      <c r="G1728" s="215" t="str">
        <f>IF(AND($B1728="",OR(B1728&lt;&gt;"",C1728&lt;&gt;"",D1728&lt;&gt;"",E1728&lt;&gt;"",F1728&lt;&gt;"")),入力リスト!$K$34,IF($I1728=TRUE,入力リスト!$K$35,IF(J1728=FALSE,"「毎月の固定給与額」","")&amp;IF(AND(J1728=FALSE,OR(K1728=FALSE,L1728=FALSE,M1728=FALSE)),",","")&amp;IF(K1728=FALSE,"「賞与額等」","")&amp;IF(AND(K1728=FALSE,OR(L1728=FALSE,M1728=FALSE)),",","")&amp;IF(L1728=FALSE,"「残業手当」","")&amp;IF(AND(L1728=FALSE,M1728=FALSE),",","")&amp;IF(M1728=FALSE,"「残業時間」","")&amp;IF(OR(J1728=FALSE,K1728=FALSE,L1728=FALSE,M1728=FALSE),入力リスト!$K$36,"")&amp;IF(N1728,"",入力リスト!$K$37)))</f>
        <v/>
      </c>
      <c r="H1728" s="215"/>
      <c r="I1728" s="1" t="b">
        <f>IF(B1728="",FALSE,COUNTIF('従業員情報(給与以外)'!$A$4:$A$1000000,$B1728)=0)</f>
        <v>0</v>
      </c>
      <c r="J1728" s="8" t="b">
        <f t="shared" si="130"/>
        <v>1</v>
      </c>
      <c r="K1728" s="8" t="b">
        <f t="shared" si="131"/>
        <v>1</v>
      </c>
      <c r="L1728" s="8" t="b">
        <f t="shared" si="132"/>
        <v>1</v>
      </c>
      <c r="M1728" s="8" t="b">
        <f t="shared" si="133"/>
        <v>1</v>
      </c>
      <c r="N1728" s="1" t="b">
        <f t="shared" si="134"/>
        <v>1</v>
      </c>
      <c r="O1728" s="8" t="str">
        <f>IF(F1728="","",IF($F$2=入力リスト!$H$25,ROUNDDOWN(INT(F1728)+ROUNDDOWN((F1728-INT(F1728))*100,0)/60,2),F1728))</f>
        <v/>
      </c>
      <c r="P1728" s="7"/>
      <c r="Q1728" s="7"/>
    </row>
    <row r="1729" spans="1:17">
      <c r="A1729" s="105"/>
      <c r="B1729" s="2"/>
      <c r="C1729" s="3"/>
      <c r="D1729" s="3"/>
      <c r="E1729" s="3"/>
      <c r="F1729" s="8"/>
      <c r="G1729" s="215" t="str">
        <f>IF(AND($B1729="",OR(B1729&lt;&gt;"",C1729&lt;&gt;"",D1729&lt;&gt;"",E1729&lt;&gt;"",F1729&lt;&gt;"")),入力リスト!$K$34,IF($I1729=TRUE,入力リスト!$K$35,IF(J1729=FALSE,"「毎月の固定給与額」","")&amp;IF(AND(J1729=FALSE,OR(K1729=FALSE,L1729=FALSE,M1729=FALSE)),",","")&amp;IF(K1729=FALSE,"「賞与額等」","")&amp;IF(AND(K1729=FALSE,OR(L1729=FALSE,M1729=FALSE)),",","")&amp;IF(L1729=FALSE,"「残業手当」","")&amp;IF(AND(L1729=FALSE,M1729=FALSE),",","")&amp;IF(M1729=FALSE,"「残業時間」","")&amp;IF(OR(J1729=FALSE,K1729=FALSE,L1729=FALSE,M1729=FALSE),入力リスト!$K$36,"")&amp;IF(N1729,"",入力リスト!$K$37)))</f>
        <v/>
      </c>
      <c r="H1729" s="215"/>
      <c r="I1729" s="1" t="b">
        <f>IF(B1729="",FALSE,COUNTIF('従業員情報(給与以外)'!$A$4:$A$1000000,$B1729)=0)</f>
        <v>0</v>
      </c>
      <c r="J1729" s="8" t="b">
        <f t="shared" si="130"/>
        <v>1</v>
      </c>
      <c r="K1729" s="8" t="b">
        <f t="shared" si="131"/>
        <v>1</v>
      </c>
      <c r="L1729" s="8" t="b">
        <f t="shared" si="132"/>
        <v>1</v>
      </c>
      <c r="M1729" s="8" t="b">
        <f t="shared" si="133"/>
        <v>1</v>
      </c>
      <c r="N1729" s="1" t="b">
        <f t="shared" si="134"/>
        <v>1</v>
      </c>
      <c r="O1729" s="8" t="str">
        <f>IF(F1729="","",IF($F$2=入力リスト!$H$25,ROUNDDOWN(INT(F1729)+ROUNDDOWN((F1729-INT(F1729))*100,0)/60,2),F1729))</f>
        <v/>
      </c>
      <c r="P1729" s="7"/>
      <c r="Q1729" s="7"/>
    </row>
    <row r="1730" spans="1:17">
      <c r="A1730" s="105"/>
      <c r="B1730" s="2"/>
      <c r="C1730" s="3"/>
      <c r="D1730" s="3"/>
      <c r="E1730" s="3"/>
      <c r="F1730" s="8"/>
      <c r="G1730" s="215" t="str">
        <f>IF(AND($B1730="",OR(B1730&lt;&gt;"",C1730&lt;&gt;"",D1730&lt;&gt;"",E1730&lt;&gt;"",F1730&lt;&gt;"")),入力リスト!$K$34,IF($I1730=TRUE,入力リスト!$K$35,IF(J1730=FALSE,"「毎月の固定給与額」","")&amp;IF(AND(J1730=FALSE,OR(K1730=FALSE,L1730=FALSE,M1730=FALSE)),",","")&amp;IF(K1730=FALSE,"「賞与額等」","")&amp;IF(AND(K1730=FALSE,OR(L1730=FALSE,M1730=FALSE)),",","")&amp;IF(L1730=FALSE,"「残業手当」","")&amp;IF(AND(L1730=FALSE,M1730=FALSE),",","")&amp;IF(M1730=FALSE,"「残業時間」","")&amp;IF(OR(J1730=FALSE,K1730=FALSE,L1730=FALSE,M1730=FALSE),入力リスト!$K$36,"")&amp;IF(N1730,"",入力リスト!$K$37)))</f>
        <v/>
      </c>
      <c r="H1730" s="215"/>
      <c r="I1730" s="1" t="b">
        <f>IF(B1730="",FALSE,COUNTIF('従業員情報(給与以外)'!$A$4:$A$1000000,$B1730)=0)</f>
        <v>0</v>
      </c>
      <c r="J1730" s="8" t="b">
        <f t="shared" si="130"/>
        <v>1</v>
      </c>
      <c r="K1730" s="8" t="b">
        <f t="shared" si="131"/>
        <v>1</v>
      </c>
      <c r="L1730" s="8" t="b">
        <f t="shared" si="132"/>
        <v>1</v>
      </c>
      <c r="M1730" s="8" t="b">
        <f t="shared" si="133"/>
        <v>1</v>
      </c>
      <c r="N1730" s="1" t="b">
        <f t="shared" si="134"/>
        <v>1</v>
      </c>
      <c r="O1730" s="8" t="str">
        <f>IF(F1730="","",IF($F$2=入力リスト!$H$25,ROUNDDOWN(INT(F1730)+ROUNDDOWN((F1730-INT(F1730))*100,0)/60,2),F1730))</f>
        <v/>
      </c>
      <c r="P1730" s="7"/>
      <c r="Q1730" s="7"/>
    </row>
    <row r="1731" spans="1:17">
      <c r="A1731" s="105"/>
      <c r="B1731" s="2"/>
      <c r="C1731" s="3"/>
      <c r="D1731" s="3"/>
      <c r="E1731" s="3"/>
      <c r="F1731" s="8"/>
      <c r="G1731" s="215" t="str">
        <f>IF(AND($B1731="",OR(B1731&lt;&gt;"",C1731&lt;&gt;"",D1731&lt;&gt;"",E1731&lt;&gt;"",F1731&lt;&gt;"")),入力リスト!$K$34,IF($I1731=TRUE,入力リスト!$K$35,IF(J1731=FALSE,"「毎月の固定給与額」","")&amp;IF(AND(J1731=FALSE,OR(K1731=FALSE,L1731=FALSE,M1731=FALSE)),",","")&amp;IF(K1731=FALSE,"「賞与額等」","")&amp;IF(AND(K1731=FALSE,OR(L1731=FALSE,M1731=FALSE)),",","")&amp;IF(L1731=FALSE,"「残業手当」","")&amp;IF(AND(L1731=FALSE,M1731=FALSE),",","")&amp;IF(M1731=FALSE,"「残業時間」","")&amp;IF(OR(J1731=FALSE,K1731=FALSE,L1731=FALSE,M1731=FALSE),入力リスト!$K$36,"")&amp;IF(N1731,"",入力リスト!$K$37)))</f>
        <v/>
      </c>
      <c r="H1731" s="215"/>
      <c r="I1731" s="1" t="b">
        <f>IF(B1731="",FALSE,COUNTIF('従業員情報(給与以外)'!$A$4:$A$1000000,$B1731)=0)</f>
        <v>0</v>
      </c>
      <c r="J1731" s="8" t="b">
        <f t="shared" si="130"/>
        <v>1</v>
      </c>
      <c r="K1731" s="8" t="b">
        <f t="shared" si="131"/>
        <v>1</v>
      </c>
      <c r="L1731" s="8" t="b">
        <f t="shared" si="132"/>
        <v>1</v>
      </c>
      <c r="M1731" s="8" t="b">
        <f t="shared" si="133"/>
        <v>1</v>
      </c>
      <c r="N1731" s="1" t="b">
        <f t="shared" si="134"/>
        <v>1</v>
      </c>
      <c r="O1731" s="8" t="str">
        <f>IF(F1731="","",IF($F$2=入力リスト!$H$25,ROUNDDOWN(INT(F1731)+ROUNDDOWN((F1731-INT(F1731))*100,0)/60,2),F1731))</f>
        <v/>
      </c>
      <c r="P1731" s="7"/>
      <c r="Q1731" s="7"/>
    </row>
    <row r="1732" spans="1:17">
      <c r="A1732" s="105"/>
      <c r="B1732" s="2"/>
      <c r="C1732" s="3"/>
      <c r="D1732" s="3"/>
      <c r="E1732" s="3"/>
      <c r="F1732" s="8"/>
      <c r="G1732" s="215" t="str">
        <f>IF(AND($B1732="",OR(B1732&lt;&gt;"",C1732&lt;&gt;"",D1732&lt;&gt;"",E1732&lt;&gt;"",F1732&lt;&gt;"")),入力リスト!$K$34,IF($I1732=TRUE,入力リスト!$K$35,IF(J1732=FALSE,"「毎月の固定給与額」","")&amp;IF(AND(J1732=FALSE,OR(K1732=FALSE,L1732=FALSE,M1732=FALSE)),",","")&amp;IF(K1732=FALSE,"「賞与額等」","")&amp;IF(AND(K1732=FALSE,OR(L1732=FALSE,M1732=FALSE)),",","")&amp;IF(L1732=FALSE,"「残業手当」","")&amp;IF(AND(L1732=FALSE,M1732=FALSE),",","")&amp;IF(M1732=FALSE,"「残業時間」","")&amp;IF(OR(J1732=FALSE,K1732=FALSE,L1732=FALSE,M1732=FALSE),入力リスト!$K$36,"")&amp;IF(N1732,"",入力リスト!$K$37)))</f>
        <v/>
      </c>
      <c r="H1732" s="215"/>
      <c r="I1732" s="1" t="b">
        <f>IF(B1732="",FALSE,COUNTIF('従業員情報(給与以外)'!$A$4:$A$1000000,$B1732)=0)</f>
        <v>0</v>
      </c>
      <c r="J1732" s="8" t="b">
        <f t="shared" si="130"/>
        <v>1</v>
      </c>
      <c r="K1732" s="8" t="b">
        <f t="shared" si="131"/>
        <v>1</v>
      </c>
      <c r="L1732" s="8" t="b">
        <f t="shared" si="132"/>
        <v>1</v>
      </c>
      <c r="M1732" s="8" t="b">
        <f t="shared" si="133"/>
        <v>1</v>
      </c>
      <c r="N1732" s="1" t="b">
        <f t="shared" si="134"/>
        <v>1</v>
      </c>
      <c r="O1732" s="8" t="str">
        <f>IF(F1732="","",IF($F$2=入力リスト!$H$25,ROUNDDOWN(INT(F1732)+ROUNDDOWN((F1732-INT(F1732))*100,0)/60,2),F1732))</f>
        <v/>
      </c>
      <c r="P1732" s="7"/>
      <c r="Q1732" s="7"/>
    </row>
    <row r="1733" spans="1:17">
      <c r="A1733" s="105"/>
      <c r="B1733" s="2"/>
      <c r="C1733" s="3"/>
      <c r="D1733" s="3"/>
      <c r="E1733" s="3"/>
      <c r="F1733" s="8"/>
      <c r="G1733" s="215" t="str">
        <f>IF(AND($B1733="",OR(B1733&lt;&gt;"",C1733&lt;&gt;"",D1733&lt;&gt;"",E1733&lt;&gt;"",F1733&lt;&gt;"")),入力リスト!$K$34,IF($I1733=TRUE,入力リスト!$K$35,IF(J1733=FALSE,"「毎月の固定給与額」","")&amp;IF(AND(J1733=FALSE,OR(K1733=FALSE,L1733=FALSE,M1733=FALSE)),",","")&amp;IF(K1733=FALSE,"「賞与額等」","")&amp;IF(AND(K1733=FALSE,OR(L1733=FALSE,M1733=FALSE)),",","")&amp;IF(L1733=FALSE,"「残業手当」","")&amp;IF(AND(L1733=FALSE,M1733=FALSE),",","")&amp;IF(M1733=FALSE,"「残業時間」","")&amp;IF(OR(J1733=FALSE,K1733=FALSE,L1733=FALSE,M1733=FALSE),入力リスト!$K$36,"")&amp;IF(N1733,"",入力リスト!$K$37)))</f>
        <v/>
      </c>
      <c r="H1733" s="215"/>
      <c r="I1733" s="1" t="b">
        <f>IF(B1733="",FALSE,COUNTIF('従業員情報(給与以外)'!$A$4:$A$1000000,$B1733)=0)</f>
        <v>0</v>
      </c>
      <c r="J1733" s="8" t="b">
        <f t="shared" ref="J1733:J1796" si="135">OR(C1733="",ISNUMBER(C1733))</f>
        <v>1</v>
      </c>
      <c r="K1733" s="8" t="b">
        <f t="shared" ref="K1733:K1796" si="136">OR(D1733="",ISNUMBER(D1733))</f>
        <v>1</v>
      </c>
      <c r="L1733" s="8" t="b">
        <f t="shared" ref="L1733:L1796" si="137">OR(E1733="",ISNUMBER(E1733))</f>
        <v>1</v>
      </c>
      <c r="M1733" s="8" t="b">
        <f t="shared" ref="M1733:M1796" si="138">OR(F1733="",ISNUMBER(F1733))</f>
        <v>1</v>
      </c>
      <c r="N1733" s="1" t="b">
        <f t="shared" ref="N1733:N1796" si="139">IF($N$1,TRUE,IF($N$2,IF(F1733-INT(F1733)&lt;0.6,TRUE,FALSE),TRUE))</f>
        <v>1</v>
      </c>
      <c r="O1733" s="8" t="str">
        <f>IF(F1733="","",IF($F$2=入力リスト!$H$25,ROUNDDOWN(INT(F1733)+ROUNDDOWN((F1733-INT(F1733))*100,0)/60,2),F1733))</f>
        <v/>
      </c>
      <c r="P1733" s="7"/>
      <c r="Q1733" s="7"/>
    </row>
    <row r="1734" spans="1:17">
      <c r="A1734" s="105"/>
      <c r="B1734" s="2"/>
      <c r="C1734" s="3"/>
      <c r="D1734" s="3"/>
      <c r="E1734" s="3"/>
      <c r="F1734" s="8"/>
      <c r="G1734" s="215" t="str">
        <f>IF(AND($B1734="",OR(B1734&lt;&gt;"",C1734&lt;&gt;"",D1734&lt;&gt;"",E1734&lt;&gt;"",F1734&lt;&gt;"")),入力リスト!$K$34,IF($I1734=TRUE,入力リスト!$K$35,IF(J1734=FALSE,"「毎月の固定給与額」","")&amp;IF(AND(J1734=FALSE,OR(K1734=FALSE,L1734=FALSE,M1734=FALSE)),",","")&amp;IF(K1734=FALSE,"「賞与額等」","")&amp;IF(AND(K1734=FALSE,OR(L1734=FALSE,M1734=FALSE)),",","")&amp;IF(L1734=FALSE,"「残業手当」","")&amp;IF(AND(L1734=FALSE,M1734=FALSE),",","")&amp;IF(M1734=FALSE,"「残業時間」","")&amp;IF(OR(J1734=FALSE,K1734=FALSE,L1734=FALSE,M1734=FALSE),入力リスト!$K$36,"")&amp;IF(N1734,"",入力リスト!$K$37)))</f>
        <v/>
      </c>
      <c r="H1734" s="215"/>
      <c r="I1734" s="1" t="b">
        <f>IF(B1734="",FALSE,COUNTIF('従業員情報(給与以外)'!$A$4:$A$1000000,$B1734)=0)</f>
        <v>0</v>
      </c>
      <c r="J1734" s="8" t="b">
        <f t="shared" si="135"/>
        <v>1</v>
      </c>
      <c r="K1734" s="8" t="b">
        <f t="shared" si="136"/>
        <v>1</v>
      </c>
      <c r="L1734" s="8" t="b">
        <f t="shared" si="137"/>
        <v>1</v>
      </c>
      <c r="M1734" s="8" t="b">
        <f t="shared" si="138"/>
        <v>1</v>
      </c>
      <c r="N1734" s="1" t="b">
        <f t="shared" si="139"/>
        <v>1</v>
      </c>
      <c r="O1734" s="8" t="str">
        <f>IF(F1734="","",IF($F$2=入力リスト!$H$25,ROUNDDOWN(INT(F1734)+ROUNDDOWN((F1734-INT(F1734))*100,0)/60,2),F1734))</f>
        <v/>
      </c>
      <c r="P1734" s="7"/>
      <c r="Q1734" s="7"/>
    </row>
    <row r="1735" spans="1:17">
      <c r="A1735" s="105"/>
      <c r="B1735" s="2"/>
      <c r="C1735" s="3"/>
      <c r="D1735" s="3"/>
      <c r="E1735" s="3"/>
      <c r="F1735" s="8"/>
      <c r="G1735" s="215" t="str">
        <f>IF(AND($B1735="",OR(B1735&lt;&gt;"",C1735&lt;&gt;"",D1735&lt;&gt;"",E1735&lt;&gt;"",F1735&lt;&gt;"")),入力リスト!$K$34,IF($I1735=TRUE,入力リスト!$K$35,IF(J1735=FALSE,"「毎月の固定給与額」","")&amp;IF(AND(J1735=FALSE,OR(K1735=FALSE,L1735=FALSE,M1735=FALSE)),",","")&amp;IF(K1735=FALSE,"「賞与額等」","")&amp;IF(AND(K1735=FALSE,OR(L1735=FALSE,M1735=FALSE)),",","")&amp;IF(L1735=FALSE,"「残業手当」","")&amp;IF(AND(L1735=FALSE,M1735=FALSE),",","")&amp;IF(M1735=FALSE,"「残業時間」","")&amp;IF(OR(J1735=FALSE,K1735=FALSE,L1735=FALSE,M1735=FALSE),入力リスト!$K$36,"")&amp;IF(N1735,"",入力リスト!$K$37)))</f>
        <v/>
      </c>
      <c r="H1735" s="215"/>
      <c r="I1735" s="1" t="b">
        <f>IF(B1735="",FALSE,COUNTIF('従業員情報(給与以外)'!$A$4:$A$1000000,$B1735)=0)</f>
        <v>0</v>
      </c>
      <c r="J1735" s="8" t="b">
        <f t="shared" si="135"/>
        <v>1</v>
      </c>
      <c r="K1735" s="8" t="b">
        <f t="shared" si="136"/>
        <v>1</v>
      </c>
      <c r="L1735" s="8" t="b">
        <f t="shared" si="137"/>
        <v>1</v>
      </c>
      <c r="M1735" s="8" t="b">
        <f t="shared" si="138"/>
        <v>1</v>
      </c>
      <c r="N1735" s="1" t="b">
        <f t="shared" si="139"/>
        <v>1</v>
      </c>
      <c r="O1735" s="8" t="str">
        <f>IF(F1735="","",IF($F$2=入力リスト!$H$25,ROUNDDOWN(INT(F1735)+ROUNDDOWN((F1735-INT(F1735))*100,0)/60,2),F1735))</f>
        <v/>
      </c>
      <c r="P1735" s="7"/>
      <c r="Q1735" s="7"/>
    </row>
    <row r="1736" spans="1:17">
      <c r="A1736" s="105"/>
      <c r="B1736" s="2"/>
      <c r="C1736" s="3"/>
      <c r="D1736" s="3"/>
      <c r="E1736" s="3"/>
      <c r="F1736" s="8"/>
      <c r="G1736" s="215" t="str">
        <f>IF(AND($B1736="",OR(B1736&lt;&gt;"",C1736&lt;&gt;"",D1736&lt;&gt;"",E1736&lt;&gt;"",F1736&lt;&gt;"")),入力リスト!$K$34,IF($I1736=TRUE,入力リスト!$K$35,IF(J1736=FALSE,"「毎月の固定給与額」","")&amp;IF(AND(J1736=FALSE,OR(K1736=FALSE,L1736=FALSE,M1736=FALSE)),",","")&amp;IF(K1736=FALSE,"「賞与額等」","")&amp;IF(AND(K1736=FALSE,OR(L1736=FALSE,M1736=FALSE)),",","")&amp;IF(L1736=FALSE,"「残業手当」","")&amp;IF(AND(L1736=FALSE,M1736=FALSE),",","")&amp;IF(M1736=FALSE,"「残業時間」","")&amp;IF(OR(J1736=FALSE,K1736=FALSE,L1736=FALSE,M1736=FALSE),入力リスト!$K$36,"")&amp;IF(N1736,"",入力リスト!$K$37)))</f>
        <v/>
      </c>
      <c r="H1736" s="215"/>
      <c r="I1736" s="1" t="b">
        <f>IF(B1736="",FALSE,COUNTIF('従業員情報(給与以外)'!$A$4:$A$1000000,$B1736)=0)</f>
        <v>0</v>
      </c>
      <c r="J1736" s="8" t="b">
        <f t="shared" si="135"/>
        <v>1</v>
      </c>
      <c r="K1736" s="8" t="b">
        <f t="shared" si="136"/>
        <v>1</v>
      </c>
      <c r="L1736" s="8" t="b">
        <f t="shared" si="137"/>
        <v>1</v>
      </c>
      <c r="M1736" s="8" t="b">
        <f t="shared" si="138"/>
        <v>1</v>
      </c>
      <c r="N1736" s="1" t="b">
        <f t="shared" si="139"/>
        <v>1</v>
      </c>
      <c r="O1736" s="8" t="str">
        <f>IF(F1736="","",IF($F$2=入力リスト!$H$25,ROUNDDOWN(INT(F1736)+ROUNDDOWN((F1736-INT(F1736))*100,0)/60,2),F1736))</f>
        <v/>
      </c>
      <c r="P1736" s="7"/>
      <c r="Q1736" s="7"/>
    </row>
    <row r="1737" spans="1:17">
      <c r="A1737" s="105"/>
      <c r="B1737" s="2"/>
      <c r="C1737" s="3"/>
      <c r="D1737" s="3"/>
      <c r="E1737" s="3"/>
      <c r="F1737" s="8"/>
      <c r="G1737" s="215" t="str">
        <f>IF(AND($B1737="",OR(B1737&lt;&gt;"",C1737&lt;&gt;"",D1737&lt;&gt;"",E1737&lt;&gt;"",F1737&lt;&gt;"")),入力リスト!$K$34,IF($I1737=TRUE,入力リスト!$K$35,IF(J1737=FALSE,"「毎月の固定給与額」","")&amp;IF(AND(J1737=FALSE,OR(K1737=FALSE,L1737=FALSE,M1737=FALSE)),",","")&amp;IF(K1737=FALSE,"「賞与額等」","")&amp;IF(AND(K1737=FALSE,OR(L1737=FALSE,M1737=FALSE)),",","")&amp;IF(L1737=FALSE,"「残業手当」","")&amp;IF(AND(L1737=FALSE,M1737=FALSE),",","")&amp;IF(M1737=FALSE,"「残業時間」","")&amp;IF(OR(J1737=FALSE,K1737=FALSE,L1737=FALSE,M1737=FALSE),入力リスト!$K$36,"")&amp;IF(N1737,"",入力リスト!$K$37)))</f>
        <v/>
      </c>
      <c r="H1737" s="215"/>
      <c r="I1737" s="1" t="b">
        <f>IF(B1737="",FALSE,COUNTIF('従業員情報(給与以外)'!$A$4:$A$1000000,$B1737)=0)</f>
        <v>0</v>
      </c>
      <c r="J1737" s="8" t="b">
        <f t="shared" si="135"/>
        <v>1</v>
      </c>
      <c r="K1737" s="8" t="b">
        <f t="shared" si="136"/>
        <v>1</v>
      </c>
      <c r="L1737" s="8" t="b">
        <f t="shared" si="137"/>
        <v>1</v>
      </c>
      <c r="M1737" s="8" t="b">
        <f t="shared" si="138"/>
        <v>1</v>
      </c>
      <c r="N1737" s="1" t="b">
        <f t="shared" si="139"/>
        <v>1</v>
      </c>
      <c r="O1737" s="8" t="str">
        <f>IF(F1737="","",IF($F$2=入力リスト!$H$25,ROUNDDOWN(INT(F1737)+ROUNDDOWN((F1737-INT(F1737))*100,0)/60,2),F1737))</f>
        <v/>
      </c>
      <c r="P1737" s="7"/>
      <c r="Q1737" s="7"/>
    </row>
    <row r="1738" spans="1:17">
      <c r="A1738" s="105"/>
      <c r="B1738" s="2"/>
      <c r="C1738" s="3"/>
      <c r="D1738" s="3"/>
      <c r="E1738" s="3"/>
      <c r="F1738" s="8"/>
      <c r="G1738" s="215" t="str">
        <f>IF(AND($B1738="",OR(B1738&lt;&gt;"",C1738&lt;&gt;"",D1738&lt;&gt;"",E1738&lt;&gt;"",F1738&lt;&gt;"")),入力リスト!$K$34,IF($I1738=TRUE,入力リスト!$K$35,IF(J1738=FALSE,"「毎月の固定給与額」","")&amp;IF(AND(J1738=FALSE,OR(K1738=FALSE,L1738=FALSE,M1738=FALSE)),",","")&amp;IF(K1738=FALSE,"「賞与額等」","")&amp;IF(AND(K1738=FALSE,OR(L1738=FALSE,M1738=FALSE)),",","")&amp;IF(L1738=FALSE,"「残業手当」","")&amp;IF(AND(L1738=FALSE,M1738=FALSE),",","")&amp;IF(M1738=FALSE,"「残業時間」","")&amp;IF(OR(J1738=FALSE,K1738=FALSE,L1738=FALSE,M1738=FALSE),入力リスト!$K$36,"")&amp;IF(N1738,"",入力リスト!$K$37)))</f>
        <v/>
      </c>
      <c r="H1738" s="215"/>
      <c r="I1738" s="1" t="b">
        <f>IF(B1738="",FALSE,COUNTIF('従業員情報(給与以外)'!$A$4:$A$1000000,$B1738)=0)</f>
        <v>0</v>
      </c>
      <c r="J1738" s="8" t="b">
        <f t="shared" si="135"/>
        <v>1</v>
      </c>
      <c r="K1738" s="8" t="b">
        <f t="shared" si="136"/>
        <v>1</v>
      </c>
      <c r="L1738" s="8" t="b">
        <f t="shared" si="137"/>
        <v>1</v>
      </c>
      <c r="M1738" s="8" t="b">
        <f t="shared" si="138"/>
        <v>1</v>
      </c>
      <c r="N1738" s="1" t="b">
        <f t="shared" si="139"/>
        <v>1</v>
      </c>
      <c r="O1738" s="8" t="str">
        <f>IF(F1738="","",IF($F$2=入力リスト!$H$25,ROUNDDOWN(INT(F1738)+ROUNDDOWN((F1738-INT(F1738))*100,0)/60,2),F1738))</f>
        <v/>
      </c>
      <c r="P1738" s="7"/>
      <c r="Q1738" s="7"/>
    </row>
    <row r="1739" spans="1:17">
      <c r="A1739" s="105"/>
      <c r="B1739" s="2"/>
      <c r="C1739" s="3"/>
      <c r="D1739" s="3"/>
      <c r="E1739" s="3"/>
      <c r="F1739" s="8"/>
      <c r="G1739" s="215" t="str">
        <f>IF(AND($B1739="",OR(B1739&lt;&gt;"",C1739&lt;&gt;"",D1739&lt;&gt;"",E1739&lt;&gt;"",F1739&lt;&gt;"")),入力リスト!$K$34,IF($I1739=TRUE,入力リスト!$K$35,IF(J1739=FALSE,"「毎月の固定給与額」","")&amp;IF(AND(J1739=FALSE,OR(K1739=FALSE,L1739=FALSE,M1739=FALSE)),",","")&amp;IF(K1739=FALSE,"「賞与額等」","")&amp;IF(AND(K1739=FALSE,OR(L1739=FALSE,M1739=FALSE)),",","")&amp;IF(L1739=FALSE,"「残業手当」","")&amp;IF(AND(L1739=FALSE,M1739=FALSE),",","")&amp;IF(M1739=FALSE,"「残業時間」","")&amp;IF(OR(J1739=FALSE,K1739=FALSE,L1739=FALSE,M1739=FALSE),入力リスト!$K$36,"")&amp;IF(N1739,"",入力リスト!$K$37)))</f>
        <v/>
      </c>
      <c r="H1739" s="215"/>
      <c r="I1739" s="1" t="b">
        <f>IF(B1739="",FALSE,COUNTIF('従業員情報(給与以外)'!$A$4:$A$1000000,$B1739)=0)</f>
        <v>0</v>
      </c>
      <c r="J1739" s="8" t="b">
        <f t="shared" si="135"/>
        <v>1</v>
      </c>
      <c r="K1739" s="8" t="b">
        <f t="shared" si="136"/>
        <v>1</v>
      </c>
      <c r="L1739" s="8" t="b">
        <f t="shared" si="137"/>
        <v>1</v>
      </c>
      <c r="M1739" s="8" t="b">
        <f t="shared" si="138"/>
        <v>1</v>
      </c>
      <c r="N1739" s="1" t="b">
        <f t="shared" si="139"/>
        <v>1</v>
      </c>
      <c r="O1739" s="8" t="str">
        <f>IF(F1739="","",IF($F$2=入力リスト!$H$25,ROUNDDOWN(INT(F1739)+ROUNDDOWN((F1739-INT(F1739))*100,0)/60,2),F1739))</f>
        <v/>
      </c>
      <c r="P1739" s="7"/>
      <c r="Q1739" s="7"/>
    </row>
    <row r="1740" spans="1:17">
      <c r="A1740" s="105"/>
      <c r="B1740" s="2"/>
      <c r="C1740" s="3"/>
      <c r="D1740" s="3"/>
      <c r="E1740" s="3"/>
      <c r="F1740" s="8"/>
      <c r="G1740" s="215" t="str">
        <f>IF(AND($B1740="",OR(B1740&lt;&gt;"",C1740&lt;&gt;"",D1740&lt;&gt;"",E1740&lt;&gt;"",F1740&lt;&gt;"")),入力リスト!$K$34,IF($I1740=TRUE,入力リスト!$K$35,IF(J1740=FALSE,"「毎月の固定給与額」","")&amp;IF(AND(J1740=FALSE,OR(K1740=FALSE,L1740=FALSE,M1740=FALSE)),",","")&amp;IF(K1740=FALSE,"「賞与額等」","")&amp;IF(AND(K1740=FALSE,OR(L1740=FALSE,M1740=FALSE)),",","")&amp;IF(L1740=FALSE,"「残業手当」","")&amp;IF(AND(L1740=FALSE,M1740=FALSE),",","")&amp;IF(M1740=FALSE,"「残業時間」","")&amp;IF(OR(J1740=FALSE,K1740=FALSE,L1740=FALSE,M1740=FALSE),入力リスト!$K$36,"")&amp;IF(N1740,"",入力リスト!$K$37)))</f>
        <v/>
      </c>
      <c r="H1740" s="215"/>
      <c r="I1740" s="1" t="b">
        <f>IF(B1740="",FALSE,COUNTIF('従業員情報(給与以外)'!$A$4:$A$1000000,$B1740)=0)</f>
        <v>0</v>
      </c>
      <c r="J1740" s="8" t="b">
        <f t="shared" si="135"/>
        <v>1</v>
      </c>
      <c r="K1740" s="8" t="b">
        <f t="shared" si="136"/>
        <v>1</v>
      </c>
      <c r="L1740" s="8" t="b">
        <f t="shared" si="137"/>
        <v>1</v>
      </c>
      <c r="M1740" s="8" t="b">
        <f t="shared" si="138"/>
        <v>1</v>
      </c>
      <c r="N1740" s="1" t="b">
        <f t="shared" si="139"/>
        <v>1</v>
      </c>
      <c r="O1740" s="8" t="str">
        <f>IF(F1740="","",IF($F$2=入力リスト!$H$25,ROUNDDOWN(INT(F1740)+ROUNDDOWN((F1740-INT(F1740))*100,0)/60,2),F1740))</f>
        <v/>
      </c>
      <c r="P1740" s="7"/>
      <c r="Q1740" s="7"/>
    </row>
    <row r="1741" spans="1:17">
      <c r="A1741" s="105"/>
      <c r="B1741" s="2"/>
      <c r="C1741" s="3"/>
      <c r="D1741" s="3"/>
      <c r="E1741" s="3"/>
      <c r="F1741" s="8"/>
      <c r="G1741" s="215" t="str">
        <f>IF(AND($B1741="",OR(B1741&lt;&gt;"",C1741&lt;&gt;"",D1741&lt;&gt;"",E1741&lt;&gt;"",F1741&lt;&gt;"")),入力リスト!$K$34,IF($I1741=TRUE,入力リスト!$K$35,IF(J1741=FALSE,"「毎月の固定給与額」","")&amp;IF(AND(J1741=FALSE,OR(K1741=FALSE,L1741=FALSE,M1741=FALSE)),",","")&amp;IF(K1741=FALSE,"「賞与額等」","")&amp;IF(AND(K1741=FALSE,OR(L1741=FALSE,M1741=FALSE)),",","")&amp;IF(L1741=FALSE,"「残業手当」","")&amp;IF(AND(L1741=FALSE,M1741=FALSE),",","")&amp;IF(M1741=FALSE,"「残業時間」","")&amp;IF(OR(J1741=FALSE,K1741=FALSE,L1741=FALSE,M1741=FALSE),入力リスト!$K$36,"")&amp;IF(N1741,"",入力リスト!$K$37)))</f>
        <v/>
      </c>
      <c r="H1741" s="215"/>
      <c r="I1741" s="1" t="b">
        <f>IF(B1741="",FALSE,COUNTIF('従業員情報(給与以外)'!$A$4:$A$1000000,$B1741)=0)</f>
        <v>0</v>
      </c>
      <c r="J1741" s="8" t="b">
        <f t="shared" si="135"/>
        <v>1</v>
      </c>
      <c r="K1741" s="8" t="b">
        <f t="shared" si="136"/>
        <v>1</v>
      </c>
      <c r="L1741" s="8" t="b">
        <f t="shared" si="137"/>
        <v>1</v>
      </c>
      <c r="M1741" s="8" t="b">
        <f t="shared" si="138"/>
        <v>1</v>
      </c>
      <c r="N1741" s="1" t="b">
        <f t="shared" si="139"/>
        <v>1</v>
      </c>
      <c r="O1741" s="8" t="str">
        <f>IF(F1741="","",IF($F$2=入力リスト!$H$25,ROUNDDOWN(INT(F1741)+ROUNDDOWN((F1741-INT(F1741))*100,0)/60,2),F1741))</f>
        <v/>
      </c>
      <c r="P1741" s="7"/>
      <c r="Q1741" s="7"/>
    </row>
    <row r="1742" spans="1:17">
      <c r="A1742" s="105"/>
      <c r="B1742" s="2"/>
      <c r="C1742" s="3"/>
      <c r="D1742" s="3"/>
      <c r="E1742" s="3"/>
      <c r="F1742" s="8"/>
      <c r="G1742" s="215" t="str">
        <f>IF(AND($B1742="",OR(B1742&lt;&gt;"",C1742&lt;&gt;"",D1742&lt;&gt;"",E1742&lt;&gt;"",F1742&lt;&gt;"")),入力リスト!$K$34,IF($I1742=TRUE,入力リスト!$K$35,IF(J1742=FALSE,"「毎月の固定給与額」","")&amp;IF(AND(J1742=FALSE,OR(K1742=FALSE,L1742=FALSE,M1742=FALSE)),",","")&amp;IF(K1742=FALSE,"「賞与額等」","")&amp;IF(AND(K1742=FALSE,OR(L1742=FALSE,M1742=FALSE)),",","")&amp;IF(L1742=FALSE,"「残業手当」","")&amp;IF(AND(L1742=FALSE,M1742=FALSE),",","")&amp;IF(M1742=FALSE,"「残業時間」","")&amp;IF(OR(J1742=FALSE,K1742=FALSE,L1742=FALSE,M1742=FALSE),入力リスト!$K$36,"")&amp;IF(N1742,"",入力リスト!$K$37)))</f>
        <v/>
      </c>
      <c r="H1742" s="215"/>
      <c r="I1742" s="1" t="b">
        <f>IF(B1742="",FALSE,COUNTIF('従業員情報(給与以外)'!$A$4:$A$1000000,$B1742)=0)</f>
        <v>0</v>
      </c>
      <c r="J1742" s="8" t="b">
        <f t="shared" si="135"/>
        <v>1</v>
      </c>
      <c r="K1742" s="8" t="b">
        <f t="shared" si="136"/>
        <v>1</v>
      </c>
      <c r="L1742" s="8" t="b">
        <f t="shared" si="137"/>
        <v>1</v>
      </c>
      <c r="M1742" s="8" t="b">
        <f t="shared" si="138"/>
        <v>1</v>
      </c>
      <c r="N1742" s="1" t="b">
        <f t="shared" si="139"/>
        <v>1</v>
      </c>
      <c r="O1742" s="8" t="str">
        <f>IF(F1742="","",IF($F$2=入力リスト!$H$25,ROUNDDOWN(INT(F1742)+ROUNDDOWN((F1742-INT(F1742))*100,0)/60,2),F1742))</f>
        <v/>
      </c>
      <c r="P1742" s="7"/>
      <c r="Q1742" s="7"/>
    </row>
    <row r="1743" spans="1:17">
      <c r="A1743" s="105"/>
      <c r="B1743" s="2"/>
      <c r="C1743" s="3"/>
      <c r="D1743" s="3"/>
      <c r="E1743" s="3"/>
      <c r="F1743" s="8"/>
      <c r="G1743" s="215" t="str">
        <f>IF(AND($B1743="",OR(B1743&lt;&gt;"",C1743&lt;&gt;"",D1743&lt;&gt;"",E1743&lt;&gt;"",F1743&lt;&gt;"")),入力リスト!$K$34,IF($I1743=TRUE,入力リスト!$K$35,IF(J1743=FALSE,"「毎月の固定給与額」","")&amp;IF(AND(J1743=FALSE,OR(K1743=FALSE,L1743=FALSE,M1743=FALSE)),",","")&amp;IF(K1743=FALSE,"「賞与額等」","")&amp;IF(AND(K1743=FALSE,OR(L1743=FALSE,M1743=FALSE)),",","")&amp;IF(L1743=FALSE,"「残業手当」","")&amp;IF(AND(L1743=FALSE,M1743=FALSE),",","")&amp;IF(M1743=FALSE,"「残業時間」","")&amp;IF(OR(J1743=FALSE,K1743=FALSE,L1743=FALSE,M1743=FALSE),入力リスト!$K$36,"")&amp;IF(N1743,"",入力リスト!$K$37)))</f>
        <v/>
      </c>
      <c r="H1743" s="215"/>
      <c r="I1743" s="1" t="b">
        <f>IF(B1743="",FALSE,COUNTIF('従業員情報(給与以外)'!$A$4:$A$1000000,$B1743)=0)</f>
        <v>0</v>
      </c>
      <c r="J1743" s="8" t="b">
        <f t="shared" si="135"/>
        <v>1</v>
      </c>
      <c r="K1743" s="8" t="b">
        <f t="shared" si="136"/>
        <v>1</v>
      </c>
      <c r="L1743" s="8" t="b">
        <f t="shared" si="137"/>
        <v>1</v>
      </c>
      <c r="M1743" s="8" t="b">
        <f t="shared" si="138"/>
        <v>1</v>
      </c>
      <c r="N1743" s="1" t="b">
        <f t="shared" si="139"/>
        <v>1</v>
      </c>
      <c r="O1743" s="8" t="str">
        <f>IF(F1743="","",IF($F$2=入力リスト!$H$25,ROUNDDOWN(INT(F1743)+ROUNDDOWN((F1743-INT(F1743))*100,0)/60,2),F1743))</f>
        <v/>
      </c>
      <c r="P1743" s="7"/>
      <c r="Q1743" s="7"/>
    </row>
    <row r="1744" spans="1:17">
      <c r="A1744" s="105"/>
      <c r="B1744" s="2"/>
      <c r="C1744" s="3"/>
      <c r="D1744" s="3"/>
      <c r="E1744" s="3"/>
      <c r="F1744" s="8"/>
      <c r="G1744" s="215" t="str">
        <f>IF(AND($B1744="",OR(B1744&lt;&gt;"",C1744&lt;&gt;"",D1744&lt;&gt;"",E1744&lt;&gt;"",F1744&lt;&gt;"")),入力リスト!$K$34,IF($I1744=TRUE,入力リスト!$K$35,IF(J1744=FALSE,"「毎月の固定給与額」","")&amp;IF(AND(J1744=FALSE,OR(K1744=FALSE,L1744=FALSE,M1744=FALSE)),",","")&amp;IF(K1744=FALSE,"「賞与額等」","")&amp;IF(AND(K1744=FALSE,OR(L1744=FALSE,M1744=FALSE)),",","")&amp;IF(L1744=FALSE,"「残業手当」","")&amp;IF(AND(L1744=FALSE,M1744=FALSE),",","")&amp;IF(M1744=FALSE,"「残業時間」","")&amp;IF(OR(J1744=FALSE,K1744=FALSE,L1744=FALSE,M1744=FALSE),入力リスト!$K$36,"")&amp;IF(N1744,"",入力リスト!$K$37)))</f>
        <v/>
      </c>
      <c r="H1744" s="215"/>
      <c r="I1744" s="1" t="b">
        <f>IF(B1744="",FALSE,COUNTIF('従業員情報(給与以外)'!$A$4:$A$1000000,$B1744)=0)</f>
        <v>0</v>
      </c>
      <c r="J1744" s="8" t="b">
        <f t="shared" si="135"/>
        <v>1</v>
      </c>
      <c r="K1744" s="8" t="b">
        <f t="shared" si="136"/>
        <v>1</v>
      </c>
      <c r="L1744" s="8" t="b">
        <f t="shared" si="137"/>
        <v>1</v>
      </c>
      <c r="M1744" s="8" t="b">
        <f t="shared" si="138"/>
        <v>1</v>
      </c>
      <c r="N1744" s="1" t="b">
        <f t="shared" si="139"/>
        <v>1</v>
      </c>
      <c r="O1744" s="8" t="str">
        <f>IF(F1744="","",IF($F$2=入力リスト!$H$25,ROUNDDOWN(INT(F1744)+ROUNDDOWN((F1744-INT(F1744))*100,0)/60,2),F1744))</f>
        <v/>
      </c>
      <c r="P1744" s="7"/>
      <c r="Q1744" s="7"/>
    </row>
    <row r="1745" spans="1:17">
      <c r="A1745" s="105"/>
      <c r="B1745" s="2"/>
      <c r="C1745" s="3"/>
      <c r="D1745" s="3"/>
      <c r="E1745" s="3"/>
      <c r="F1745" s="8"/>
      <c r="G1745" s="215" t="str">
        <f>IF(AND($B1745="",OR(B1745&lt;&gt;"",C1745&lt;&gt;"",D1745&lt;&gt;"",E1745&lt;&gt;"",F1745&lt;&gt;"")),入力リスト!$K$34,IF($I1745=TRUE,入力リスト!$K$35,IF(J1745=FALSE,"「毎月の固定給与額」","")&amp;IF(AND(J1745=FALSE,OR(K1745=FALSE,L1745=FALSE,M1745=FALSE)),",","")&amp;IF(K1745=FALSE,"「賞与額等」","")&amp;IF(AND(K1745=FALSE,OR(L1745=FALSE,M1745=FALSE)),",","")&amp;IF(L1745=FALSE,"「残業手当」","")&amp;IF(AND(L1745=FALSE,M1745=FALSE),",","")&amp;IF(M1745=FALSE,"「残業時間」","")&amp;IF(OR(J1745=FALSE,K1745=FALSE,L1745=FALSE,M1745=FALSE),入力リスト!$K$36,"")&amp;IF(N1745,"",入力リスト!$K$37)))</f>
        <v/>
      </c>
      <c r="H1745" s="215"/>
      <c r="I1745" s="1" t="b">
        <f>IF(B1745="",FALSE,COUNTIF('従業員情報(給与以外)'!$A$4:$A$1000000,$B1745)=0)</f>
        <v>0</v>
      </c>
      <c r="J1745" s="8" t="b">
        <f t="shared" si="135"/>
        <v>1</v>
      </c>
      <c r="K1745" s="8" t="b">
        <f t="shared" si="136"/>
        <v>1</v>
      </c>
      <c r="L1745" s="8" t="b">
        <f t="shared" si="137"/>
        <v>1</v>
      </c>
      <c r="M1745" s="8" t="b">
        <f t="shared" si="138"/>
        <v>1</v>
      </c>
      <c r="N1745" s="1" t="b">
        <f t="shared" si="139"/>
        <v>1</v>
      </c>
      <c r="O1745" s="8" t="str">
        <f>IF(F1745="","",IF($F$2=入力リスト!$H$25,ROUNDDOWN(INT(F1745)+ROUNDDOWN((F1745-INT(F1745))*100,0)/60,2),F1745))</f>
        <v/>
      </c>
      <c r="P1745" s="7"/>
      <c r="Q1745" s="7"/>
    </row>
    <row r="1746" spans="1:17">
      <c r="A1746" s="105"/>
      <c r="B1746" s="2"/>
      <c r="C1746" s="3"/>
      <c r="D1746" s="3"/>
      <c r="E1746" s="3"/>
      <c r="F1746" s="8"/>
      <c r="G1746" s="215" t="str">
        <f>IF(AND($B1746="",OR(B1746&lt;&gt;"",C1746&lt;&gt;"",D1746&lt;&gt;"",E1746&lt;&gt;"",F1746&lt;&gt;"")),入力リスト!$K$34,IF($I1746=TRUE,入力リスト!$K$35,IF(J1746=FALSE,"「毎月の固定給与額」","")&amp;IF(AND(J1746=FALSE,OR(K1746=FALSE,L1746=FALSE,M1746=FALSE)),",","")&amp;IF(K1746=FALSE,"「賞与額等」","")&amp;IF(AND(K1746=FALSE,OR(L1746=FALSE,M1746=FALSE)),",","")&amp;IF(L1746=FALSE,"「残業手当」","")&amp;IF(AND(L1746=FALSE,M1746=FALSE),",","")&amp;IF(M1746=FALSE,"「残業時間」","")&amp;IF(OR(J1746=FALSE,K1746=FALSE,L1746=FALSE,M1746=FALSE),入力リスト!$K$36,"")&amp;IF(N1746,"",入力リスト!$K$37)))</f>
        <v/>
      </c>
      <c r="H1746" s="215"/>
      <c r="I1746" s="1" t="b">
        <f>IF(B1746="",FALSE,COUNTIF('従業員情報(給与以外)'!$A$4:$A$1000000,$B1746)=0)</f>
        <v>0</v>
      </c>
      <c r="J1746" s="8" t="b">
        <f t="shared" si="135"/>
        <v>1</v>
      </c>
      <c r="K1746" s="8" t="b">
        <f t="shared" si="136"/>
        <v>1</v>
      </c>
      <c r="L1746" s="8" t="b">
        <f t="shared" si="137"/>
        <v>1</v>
      </c>
      <c r="M1746" s="8" t="b">
        <f t="shared" si="138"/>
        <v>1</v>
      </c>
      <c r="N1746" s="1" t="b">
        <f t="shared" si="139"/>
        <v>1</v>
      </c>
      <c r="O1746" s="8" t="str">
        <f>IF(F1746="","",IF($F$2=入力リスト!$H$25,ROUNDDOWN(INT(F1746)+ROUNDDOWN((F1746-INT(F1746))*100,0)/60,2),F1746))</f>
        <v/>
      </c>
      <c r="P1746" s="7"/>
      <c r="Q1746" s="7"/>
    </row>
    <row r="1747" spans="1:17">
      <c r="A1747" s="105"/>
      <c r="B1747" s="2"/>
      <c r="C1747" s="3"/>
      <c r="D1747" s="3"/>
      <c r="E1747" s="3"/>
      <c r="F1747" s="8"/>
      <c r="G1747" s="215" t="str">
        <f>IF(AND($B1747="",OR(B1747&lt;&gt;"",C1747&lt;&gt;"",D1747&lt;&gt;"",E1747&lt;&gt;"",F1747&lt;&gt;"")),入力リスト!$K$34,IF($I1747=TRUE,入力リスト!$K$35,IF(J1747=FALSE,"「毎月の固定給与額」","")&amp;IF(AND(J1747=FALSE,OR(K1747=FALSE,L1747=FALSE,M1747=FALSE)),",","")&amp;IF(K1747=FALSE,"「賞与額等」","")&amp;IF(AND(K1747=FALSE,OR(L1747=FALSE,M1747=FALSE)),",","")&amp;IF(L1747=FALSE,"「残業手当」","")&amp;IF(AND(L1747=FALSE,M1747=FALSE),",","")&amp;IF(M1747=FALSE,"「残業時間」","")&amp;IF(OR(J1747=FALSE,K1747=FALSE,L1747=FALSE,M1747=FALSE),入力リスト!$K$36,"")&amp;IF(N1747,"",入力リスト!$K$37)))</f>
        <v/>
      </c>
      <c r="H1747" s="215"/>
      <c r="I1747" s="1" t="b">
        <f>IF(B1747="",FALSE,COUNTIF('従業員情報(給与以外)'!$A$4:$A$1000000,$B1747)=0)</f>
        <v>0</v>
      </c>
      <c r="J1747" s="8" t="b">
        <f t="shared" si="135"/>
        <v>1</v>
      </c>
      <c r="K1747" s="8" t="b">
        <f t="shared" si="136"/>
        <v>1</v>
      </c>
      <c r="L1747" s="8" t="b">
        <f t="shared" si="137"/>
        <v>1</v>
      </c>
      <c r="M1747" s="8" t="b">
        <f t="shared" si="138"/>
        <v>1</v>
      </c>
      <c r="N1747" s="1" t="b">
        <f t="shared" si="139"/>
        <v>1</v>
      </c>
      <c r="O1747" s="8" t="str">
        <f>IF(F1747="","",IF($F$2=入力リスト!$H$25,ROUNDDOWN(INT(F1747)+ROUNDDOWN((F1747-INT(F1747))*100,0)/60,2),F1747))</f>
        <v/>
      </c>
      <c r="P1747" s="7"/>
      <c r="Q1747" s="7"/>
    </row>
    <row r="1748" spans="1:17">
      <c r="A1748" s="105"/>
      <c r="B1748" s="2"/>
      <c r="C1748" s="3"/>
      <c r="D1748" s="3"/>
      <c r="E1748" s="3"/>
      <c r="F1748" s="8"/>
      <c r="G1748" s="215" t="str">
        <f>IF(AND($B1748="",OR(B1748&lt;&gt;"",C1748&lt;&gt;"",D1748&lt;&gt;"",E1748&lt;&gt;"",F1748&lt;&gt;"")),入力リスト!$K$34,IF($I1748=TRUE,入力リスト!$K$35,IF(J1748=FALSE,"「毎月の固定給与額」","")&amp;IF(AND(J1748=FALSE,OR(K1748=FALSE,L1748=FALSE,M1748=FALSE)),",","")&amp;IF(K1748=FALSE,"「賞与額等」","")&amp;IF(AND(K1748=FALSE,OR(L1748=FALSE,M1748=FALSE)),",","")&amp;IF(L1748=FALSE,"「残業手当」","")&amp;IF(AND(L1748=FALSE,M1748=FALSE),",","")&amp;IF(M1748=FALSE,"「残業時間」","")&amp;IF(OR(J1748=FALSE,K1748=FALSE,L1748=FALSE,M1748=FALSE),入力リスト!$K$36,"")&amp;IF(N1748,"",入力リスト!$K$37)))</f>
        <v/>
      </c>
      <c r="H1748" s="215"/>
      <c r="I1748" s="1" t="b">
        <f>IF(B1748="",FALSE,COUNTIF('従業員情報(給与以外)'!$A$4:$A$1000000,$B1748)=0)</f>
        <v>0</v>
      </c>
      <c r="J1748" s="8" t="b">
        <f t="shared" si="135"/>
        <v>1</v>
      </c>
      <c r="K1748" s="8" t="b">
        <f t="shared" si="136"/>
        <v>1</v>
      </c>
      <c r="L1748" s="8" t="b">
        <f t="shared" si="137"/>
        <v>1</v>
      </c>
      <c r="M1748" s="8" t="b">
        <f t="shared" si="138"/>
        <v>1</v>
      </c>
      <c r="N1748" s="1" t="b">
        <f t="shared" si="139"/>
        <v>1</v>
      </c>
      <c r="O1748" s="8" t="str">
        <f>IF(F1748="","",IF($F$2=入力リスト!$H$25,ROUNDDOWN(INT(F1748)+ROUNDDOWN((F1748-INT(F1748))*100,0)/60,2),F1748))</f>
        <v/>
      </c>
      <c r="P1748" s="7"/>
      <c r="Q1748" s="7"/>
    </row>
    <row r="1749" spans="1:17">
      <c r="A1749" s="105"/>
      <c r="B1749" s="2"/>
      <c r="C1749" s="3"/>
      <c r="D1749" s="3"/>
      <c r="E1749" s="3"/>
      <c r="F1749" s="8"/>
      <c r="G1749" s="215" t="str">
        <f>IF(AND($B1749="",OR(B1749&lt;&gt;"",C1749&lt;&gt;"",D1749&lt;&gt;"",E1749&lt;&gt;"",F1749&lt;&gt;"")),入力リスト!$K$34,IF($I1749=TRUE,入力リスト!$K$35,IF(J1749=FALSE,"「毎月の固定給与額」","")&amp;IF(AND(J1749=FALSE,OR(K1749=FALSE,L1749=FALSE,M1749=FALSE)),",","")&amp;IF(K1749=FALSE,"「賞与額等」","")&amp;IF(AND(K1749=FALSE,OR(L1749=FALSE,M1749=FALSE)),",","")&amp;IF(L1749=FALSE,"「残業手当」","")&amp;IF(AND(L1749=FALSE,M1749=FALSE),",","")&amp;IF(M1749=FALSE,"「残業時間」","")&amp;IF(OR(J1749=FALSE,K1749=FALSE,L1749=FALSE,M1749=FALSE),入力リスト!$K$36,"")&amp;IF(N1749,"",入力リスト!$K$37)))</f>
        <v/>
      </c>
      <c r="H1749" s="215"/>
      <c r="I1749" s="1" t="b">
        <f>IF(B1749="",FALSE,COUNTIF('従業員情報(給与以外)'!$A$4:$A$1000000,$B1749)=0)</f>
        <v>0</v>
      </c>
      <c r="J1749" s="8" t="b">
        <f t="shared" si="135"/>
        <v>1</v>
      </c>
      <c r="K1749" s="8" t="b">
        <f t="shared" si="136"/>
        <v>1</v>
      </c>
      <c r="L1749" s="8" t="b">
        <f t="shared" si="137"/>
        <v>1</v>
      </c>
      <c r="M1749" s="8" t="b">
        <f t="shared" si="138"/>
        <v>1</v>
      </c>
      <c r="N1749" s="1" t="b">
        <f t="shared" si="139"/>
        <v>1</v>
      </c>
      <c r="O1749" s="8" t="str">
        <f>IF(F1749="","",IF($F$2=入力リスト!$H$25,ROUNDDOWN(INT(F1749)+ROUNDDOWN((F1749-INT(F1749))*100,0)/60,2),F1749))</f>
        <v/>
      </c>
      <c r="P1749" s="7"/>
      <c r="Q1749" s="7"/>
    </row>
    <row r="1750" spans="1:17">
      <c r="A1750" s="105"/>
      <c r="B1750" s="2"/>
      <c r="C1750" s="3"/>
      <c r="D1750" s="3"/>
      <c r="E1750" s="3"/>
      <c r="F1750" s="8"/>
      <c r="G1750" s="215" t="str">
        <f>IF(AND($B1750="",OR(B1750&lt;&gt;"",C1750&lt;&gt;"",D1750&lt;&gt;"",E1750&lt;&gt;"",F1750&lt;&gt;"")),入力リスト!$K$34,IF($I1750=TRUE,入力リスト!$K$35,IF(J1750=FALSE,"「毎月の固定給与額」","")&amp;IF(AND(J1750=FALSE,OR(K1750=FALSE,L1750=FALSE,M1750=FALSE)),",","")&amp;IF(K1750=FALSE,"「賞与額等」","")&amp;IF(AND(K1750=FALSE,OR(L1750=FALSE,M1750=FALSE)),",","")&amp;IF(L1750=FALSE,"「残業手当」","")&amp;IF(AND(L1750=FALSE,M1750=FALSE),",","")&amp;IF(M1750=FALSE,"「残業時間」","")&amp;IF(OR(J1750=FALSE,K1750=FALSE,L1750=FALSE,M1750=FALSE),入力リスト!$K$36,"")&amp;IF(N1750,"",入力リスト!$K$37)))</f>
        <v/>
      </c>
      <c r="H1750" s="215"/>
      <c r="I1750" s="1" t="b">
        <f>IF(B1750="",FALSE,COUNTIF('従業員情報(給与以外)'!$A$4:$A$1000000,$B1750)=0)</f>
        <v>0</v>
      </c>
      <c r="J1750" s="8" t="b">
        <f t="shared" si="135"/>
        <v>1</v>
      </c>
      <c r="K1750" s="8" t="b">
        <f t="shared" si="136"/>
        <v>1</v>
      </c>
      <c r="L1750" s="8" t="b">
        <f t="shared" si="137"/>
        <v>1</v>
      </c>
      <c r="M1750" s="8" t="b">
        <f t="shared" si="138"/>
        <v>1</v>
      </c>
      <c r="N1750" s="1" t="b">
        <f t="shared" si="139"/>
        <v>1</v>
      </c>
      <c r="O1750" s="8" t="str">
        <f>IF(F1750="","",IF($F$2=入力リスト!$H$25,ROUNDDOWN(INT(F1750)+ROUNDDOWN((F1750-INT(F1750))*100,0)/60,2),F1750))</f>
        <v/>
      </c>
      <c r="P1750" s="7"/>
      <c r="Q1750" s="7"/>
    </row>
    <row r="1751" spans="1:17">
      <c r="A1751" s="105"/>
      <c r="B1751" s="2"/>
      <c r="C1751" s="3"/>
      <c r="D1751" s="3"/>
      <c r="E1751" s="3"/>
      <c r="F1751" s="8"/>
      <c r="G1751" s="215" t="str">
        <f>IF(AND($B1751="",OR(B1751&lt;&gt;"",C1751&lt;&gt;"",D1751&lt;&gt;"",E1751&lt;&gt;"",F1751&lt;&gt;"")),入力リスト!$K$34,IF($I1751=TRUE,入力リスト!$K$35,IF(J1751=FALSE,"「毎月の固定給与額」","")&amp;IF(AND(J1751=FALSE,OR(K1751=FALSE,L1751=FALSE,M1751=FALSE)),",","")&amp;IF(K1751=FALSE,"「賞与額等」","")&amp;IF(AND(K1751=FALSE,OR(L1751=FALSE,M1751=FALSE)),",","")&amp;IF(L1751=FALSE,"「残業手当」","")&amp;IF(AND(L1751=FALSE,M1751=FALSE),",","")&amp;IF(M1751=FALSE,"「残業時間」","")&amp;IF(OR(J1751=FALSE,K1751=FALSE,L1751=FALSE,M1751=FALSE),入力リスト!$K$36,"")&amp;IF(N1751,"",入力リスト!$K$37)))</f>
        <v/>
      </c>
      <c r="H1751" s="215"/>
      <c r="I1751" s="1" t="b">
        <f>IF(B1751="",FALSE,COUNTIF('従業員情報(給与以外)'!$A$4:$A$1000000,$B1751)=0)</f>
        <v>0</v>
      </c>
      <c r="J1751" s="8" t="b">
        <f t="shared" si="135"/>
        <v>1</v>
      </c>
      <c r="K1751" s="8" t="b">
        <f t="shared" si="136"/>
        <v>1</v>
      </c>
      <c r="L1751" s="8" t="b">
        <f t="shared" si="137"/>
        <v>1</v>
      </c>
      <c r="M1751" s="8" t="b">
        <f t="shared" si="138"/>
        <v>1</v>
      </c>
      <c r="N1751" s="1" t="b">
        <f t="shared" si="139"/>
        <v>1</v>
      </c>
      <c r="O1751" s="8" t="str">
        <f>IF(F1751="","",IF($F$2=入力リスト!$H$25,ROUNDDOWN(INT(F1751)+ROUNDDOWN((F1751-INT(F1751))*100,0)/60,2),F1751))</f>
        <v/>
      </c>
      <c r="P1751" s="7"/>
      <c r="Q1751" s="7"/>
    </row>
    <row r="1752" spans="1:17">
      <c r="A1752" s="105"/>
      <c r="B1752" s="2"/>
      <c r="C1752" s="3"/>
      <c r="D1752" s="3"/>
      <c r="E1752" s="3"/>
      <c r="F1752" s="8"/>
      <c r="G1752" s="215" t="str">
        <f>IF(AND($B1752="",OR(B1752&lt;&gt;"",C1752&lt;&gt;"",D1752&lt;&gt;"",E1752&lt;&gt;"",F1752&lt;&gt;"")),入力リスト!$K$34,IF($I1752=TRUE,入力リスト!$K$35,IF(J1752=FALSE,"「毎月の固定給与額」","")&amp;IF(AND(J1752=FALSE,OR(K1752=FALSE,L1752=FALSE,M1752=FALSE)),",","")&amp;IF(K1752=FALSE,"「賞与額等」","")&amp;IF(AND(K1752=FALSE,OR(L1752=FALSE,M1752=FALSE)),",","")&amp;IF(L1752=FALSE,"「残業手当」","")&amp;IF(AND(L1752=FALSE,M1752=FALSE),",","")&amp;IF(M1752=FALSE,"「残業時間」","")&amp;IF(OR(J1752=FALSE,K1752=FALSE,L1752=FALSE,M1752=FALSE),入力リスト!$K$36,"")&amp;IF(N1752,"",入力リスト!$K$37)))</f>
        <v/>
      </c>
      <c r="H1752" s="215"/>
      <c r="I1752" s="1" t="b">
        <f>IF(B1752="",FALSE,COUNTIF('従業員情報(給与以外)'!$A$4:$A$1000000,$B1752)=0)</f>
        <v>0</v>
      </c>
      <c r="J1752" s="8" t="b">
        <f t="shared" si="135"/>
        <v>1</v>
      </c>
      <c r="K1752" s="8" t="b">
        <f t="shared" si="136"/>
        <v>1</v>
      </c>
      <c r="L1752" s="8" t="b">
        <f t="shared" si="137"/>
        <v>1</v>
      </c>
      <c r="M1752" s="8" t="b">
        <f t="shared" si="138"/>
        <v>1</v>
      </c>
      <c r="N1752" s="1" t="b">
        <f t="shared" si="139"/>
        <v>1</v>
      </c>
      <c r="O1752" s="8" t="str">
        <f>IF(F1752="","",IF($F$2=入力リスト!$H$25,ROUNDDOWN(INT(F1752)+ROUNDDOWN((F1752-INT(F1752))*100,0)/60,2),F1752))</f>
        <v/>
      </c>
      <c r="P1752" s="7"/>
      <c r="Q1752" s="7"/>
    </row>
    <row r="1753" spans="1:17">
      <c r="A1753" s="105"/>
      <c r="B1753" s="2"/>
      <c r="C1753" s="3"/>
      <c r="D1753" s="3"/>
      <c r="E1753" s="3"/>
      <c r="F1753" s="8"/>
      <c r="G1753" s="215" t="str">
        <f>IF(AND($B1753="",OR(B1753&lt;&gt;"",C1753&lt;&gt;"",D1753&lt;&gt;"",E1753&lt;&gt;"",F1753&lt;&gt;"")),入力リスト!$K$34,IF($I1753=TRUE,入力リスト!$K$35,IF(J1753=FALSE,"「毎月の固定給与額」","")&amp;IF(AND(J1753=FALSE,OR(K1753=FALSE,L1753=FALSE,M1753=FALSE)),",","")&amp;IF(K1753=FALSE,"「賞与額等」","")&amp;IF(AND(K1753=FALSE,OR(L1753=FALSE,M1753=FALSE)),",","")&amp;IF(L1753=FALSE,"「残業手当」","")&amp;IF(AND(L1753=FALSE,M1753=FALSE),",","")&amp;IF(M1753=FALSE,"「残業時間」","")&amp;IF(OR(J1753=FALSE,K1753=FALSE,L1753=FALSE,M1753=FALSE),入力リスト!$K$36,"")&amp;IF(N1753,"",入力リスト!$K$37)))</f>
        <v/>
      </c>
      <c r="H1753" s="215"/>
      <c r="I1753" s="1" t="b">
        <f>IF(B1753="",FALSE,COUNTIF('従業員情報(給与以外)'!$A$4:$A$1000000,$B1753)=0)</f>
        <v>0</v>
      </c>
      <c r="J1753" s="8" t="b">
        <f t="shared" si="135"/>
        <v>1</v>
      </c>
      <c r="K1753" s="8" t="b">
        <f t="shared" si="136"/>
        <v>1</v>
      </c>
      <c r="L1753" s="8" t="b">
        <f t="shared" si="137"/>
        <v>1</v>
      </c>
      <c r="M1753" s="8" t="b">
        <f t="shared" si="138"/>
        <v>1</v>
      </c>
      <c r="N1753" s="1" t="b">
        <f t="shared" si="139"/>
        <v>1</v>
      </c>
      <c r="O1753" s="8" t="str">
        <f>IF(F1753="","",IF($F$2=入力リスト!$H$25,ROUNDDOWN(INT(F1753)+ROUNDDOWN((F1753-INT(F1753))*100,0)/60,2),F1753))</f>
        <v/>
      </c>
      <c r="P1753" s="7"/>
      <c r="Q1753" s="7"/>
    </row>
    <row r="1754" spans="1:17">
      <c r="A1754" s="105"/>
      <c r="B1754" s="2"/>
      <c r="C1754" s="3"/>
      <c r="D1754" s="3"/>
      <c r="E1754" s="3"/>
      <c r="F1754" s="8"/>
      <c r="G1754" s="215" t="str">
        <f>IF(AND($B1754="",OR(B1754&lt;&gt;"",C1754&lt;&gt;"",D1754&lt;&gt;"",E1754&lt;&gt;"",F1754&lt;&gt;"")),入力リスト!$K$34,IF($I1754=TRUE,入力リスト!$K$35,IF(J1754=FALSE,"「毎月の固定給与額」","")&amp;IF(AND(J1754=FALSE,OR(K1754=FALSE,L1754=FALSE,M1754=FALSE)),",","")&amp;IF(K1754=FALSE,"「賞与額等」","")&amp;IF(AND(K1754=FALSE,OR(L1754=FALSE,M1754=FALSE)),",","")&amp;IF(L1754=FALSE,"「残業手当」","")&amp;IF(AND(L1754=FALSE,M1754=FALSE),",","")&amp;IF(M1754=FALSE,"「残業時間」","")&amp;IF(OR(J1754=FALSE,K1754=FALSE,L1754=FALSE,M1754=FALSE),入力リスト!$K$36,"")&amp;IF(N1754,"",入力リスト!$K$37)))</f>
        <v/>
      </c>
      <c r="H1754" s="215"/>
      <c r="I1754" s="1" t="b">
        <f>IF(B1754="",FALSE,COUNTIF('従業員情報(給与以外)'!$A$4:$A$1000000,$B1754)=0)</f>
        <v>0</v>
      </c>
      <c r="J1754" s="8" t="b">
        <f t="shared" si="135"/>
        <v>1</v>
      </c>
      <c r="K1754" s="8" t="b">
        <f t="shared" si="136"/>
        <v>1</v>
      </c>
      <c r="L1754" s="8" t="b">
        <f t="shared" si="137"/>
        <v>1</v>
      </c>
      <c r="M1754" s="8" t="b">
        <f t="shared" si="138"/>
        <v>1</v>
      </c>
      <c r="N1754" s="1" t="b">
        <f t="shared" si="139"/>
        <v>1</v>
      </c>
      <c r="O1754" s="8" t="str">
        <f>IF(F1754="","",IF($F$2=入力リスト!$H$25,ROUNDDOWN(INT(F1754)+ROUNDDOWN((F1754-INT(F1754))*100,0)/60,2),F1754))</f>
        <v/>
      </c>
      <c r="P1754" s="7"/>
      <c r="Q1754" s="7"/>
    </row>
    <row r="1755" spans="1:17">
      <c r="A1755" s="105"/>
      <c r="B1755" s="2"/>
      <c r="C1755" s="3"/>
      <c r="D1755" s="3"/>
      <c r="E1755" s="3"/>
      <c r="F1755" s="8"/>
      <c r="G1755" s="215" t="str">
        <f>IF(AND($B1755="",OR(B1755&lt;&gt;"",C1755&lt;&gt;"",D1755&lt;&gt;"",E1755&lt;&gt;"",F1755&lt;&gt;"")),入力リスト!$K$34,IF($I1755=TRUE,入力リスト!$K$35,IF(J1755=FALSE,"「毎月の固定給与額」","")&amp;IF(AND(J1755=FALSE,OR(K1755=FALSE,L1755=FALSE,M1755=FALSE)),",","")&amp;IF(K1755=FALSE,"「賞与額等」","")&amp;IF(AND(K1755=FALSE,OR(L1755=FALSE,M1755=FALSE)),",","")&amp;IF(L1755=FALSE,"「残業手当」","")&amp;IF(AND(L1755=FALSE,M1755=FALSE),",","")&amp;IF(M1755=FALSE,"「残業時間」","")&amp;IF(OR(J1755=FALSE,K1755=FALSE,L1755=FALSE,M1755=FALSE),入力リスト!$K$36,"")&amp;IF(N1755,"",入力リスト!$K$37)))</f>
        <v/>
      </c>
      <c r="H1755" s="215"/>
      <c r="I1755" s="1" t="b">
        <f>IF(B1755="",FALSE,COUNTIF('従業員情報(給与以外)'!$A$4:$A$1000000,$B1755)=0)</f>
        <v>0</v>
      </c>
      <c r="J1755" s="8" t="b">
        <f t="shared" si="135"/>
        <v>1</v>
      </c>
      <c r="K1755" s="8" t="b">
        <f t="shared" si="136"/>
        <v>1</v>
      </c>
      <c r="L1755" s="8" t="b">
        <f t="shared" si="137"/>
        <v>1</v>
      </c>
      <c r="M1755" s="8" t="b">
        <f t="shared" si="138"/>
        <v>1</v>
      </c>
      <c r="N1755" s="1" t="b">
        <f t="shared" si="139"/>
        <v>1</v>
      </c>
      <c r="O1755" s="8" t="str">
        <f>IF(F1755="","",IF($F$2=入力リスト!$H$25,ROUNDDOWN(INT(F1755)+ROUNDDOWN((F1755-INT(F1755))*100,0)/60,2),F1755))</f>
        <v/>
      </c>
      <c r="P1755" s="7"/>
      <c r="Q1755" s="7"/>
    </row>
    <row r="1756" spans="1:17">
      <c r="A1756" s="105"/>
      <c r="B1756" s="2"/>
      <c r="C1756" s="3"/>
      <c r="D1756" s="3"/>
      <c r="E1756" s="3"/>
      <c r="F1756" s="8"/>
      <c r="G1756" s="215" t="str">
        <f>IF(AND($B1756="",OR(B1756&lt;&gt;"",C1756&lt;&gt;"",D1756&lt;&gt;"",E1756&lt;&gt;"",F1756&lt;&gt;"")),入力リスト!$K$34,IF($I1756=TRUE,入力リスト!$K$35,IF(J1756=FALSE,"「毎月の固定給与額」","")&amp;IF(AND(J1756=FALSE,OR(K1756=FALSE,L1756=FALSE,M1756=FALSE)),",","")&amp;IF(K1756=FALSE,"「賞与額等」","")&amp;IF(AND(K1756=FALSE,OR(L1756=FALSE,M1756=FALSE)),",","")&amp;IF(L1756=FALSE,"「残業手当」","")&amp;IF(AND(L1756=FALSE,M1756=FALSE),",","")&amp;IF(M1756=FALSE,"「残業時間」","")&amp;IF(OR(J1756=FALSE,K1756=FALSE,L1756=FALSE,M1756=FALSE),入力リスト!$K$36,"")&amp;IF(N1756,"",入力リスト!$K$37)))</f>
        <v/>
      </c>
      <c r="H1756" s="215"/>
      <c r="I1756" s="1" t="b">
        <f>IF(B1756="",FALSE,COUNTIF('従業員情報(給与以外)'!$A$4:$A$1000000,$B1756)=0)</f>
        <v>0</v>
      </c>
      <c r="J1756" s="8" t="b">
        <f t="shared" si="135"/>
        <v>1</v>
      </c>
      <c r="K1756" s="8" t="b">
        <f t="shared" si="136"/>
        <v>1</v>
      </c>
      <c r="L1756" s="8" t="b">
        <f t="shared" si="137"/>
        <v>1</v>
      </c>
      <c r="M1756" s="8" t="b">
        <f t="shared" si="138"/>
        <v>1</v>
      </c>
      <c r="N1756" s="1" t="b">
        <f t="shared" si="139"/>
        <v>1</v>
      </c>
      <c r="O1756" s="8" t="str">
        <f>IF(F1756="","",IF($F$2=入力リスト!$H$25,ROUNDDOWN(INT(F1756)+ROUNDDOWN((F1756-INT(F1756))*100,0)/60,2),F1756))</f>
        <v/>
      </c>
      <c r="P1756" s="7"/>
      <c r="Q1756" s="7"/>
    </row>
    <row r="1757" spans="1:17">
      <c r="A1757" s="105"/>
      <c r="B1757" s="2"/>
      <c r="C1757" s="3"/>
      <c r="D1757" s="3"/>
      <c r="E1757" s="3"/>
      <c r="F1757" s="8"/>
      <c r="G1757" s="215" t="str">
        <f>IF(AND($B1757="",OR(B1757&lt;&gt;"",C1757&lt;&gt;"",D1757&lt;&gt;"",E1757&lt;&gt;"",F1757&lt;&gt;"")),入力リスト!$K$34,IF($I1757=TRUE,入力リスト!$K$35,IF(J1757=FALSE,"「毎月の固定給与額」","")&amp;IF(AND(J1757=FALSE,OR(K1757=FALSE,L1757=FALSE,M1757=FALSE)),",","")&amp;IF(K1757=FALSE,"「賞与額等」","")&amp;IF(AND(K1757=FALSE,OR(L1757=FALSE,M1757=FALSE)),",","")&amp;IF(L1757=FALSE,"「残業手当」","")&amp;IF(AND(L1757=FALSE,M1757=FALSE),",","")&amp;IF(M1757=FALSE,"「残業時間」","")&amp;IF(OR(J1757=FALSE,K1757=FALSE,L1757=FALSE,M1757=FALSE),入力リスト!$K$36,"")&amp;IF(N1757,"",入力リスト!$K$37)))</f>
        <v/>
      </c>
      <c r="H1757" s="215"/>
      <c r="I1757" s="1" t="b">
        <f>IF(B1757="",FALSE,COUNTIF('従業員情報(給与以外)'!$A$4:$A$1000000,$B1757)=0)</f>
        <v>0</v>
      </c>
      <c r="J1757" s="8" t="b">
        <f t="shared" si="135"/>
        <v>1</v>
      </c>
      <c r="K1757" s="8" t="b">
        <f t="shared" si="136"/>
        <v>1</v>
      </c>
      <c r="L1757" s="8" t="b">
        <f t="shared" si="137"/>
        <v>1</v>
      </c>
      <c r="M1757" s="8" t="b">
        <f t="shared" si="138"/>
        <v>1</v>
      </c>
      <c r="N1757" s="1" t="b">
        <f t="shared" si="139"/>
        <v>1</v>
      </c>
      <c r="O1757" s="8" t="str">
        <f>IF(F1757="","",IF($F$2=入力リスト!$H$25,ROUNDDOWN(INT(F1757)+ROUNDDOWN((F1757-INT(F1757))*100,0)/60,2),F1757))</f>
        <v/>
      </c>
      <c r="P1757" s="7"/>
      <c r="Q1757" s="7"/>
    </row>
    <row r="1758" spans="1:17">
      <c r="A1758" s="105"/>
      <c r="B1758" s="2"/>
      <c r="C1758" s="3"/>
      <c r="D1758" s="3"/>
      <c r="E1758" s="3"/>
      <c r="F1758" s="8"/>
      <c r="G1758" s="215" t="str">
        <f>IF(AND($B1758="",OR(B1758&lt;&gt;"",C1758&lt;&gt;"",D1758&lt;&gt;"",E1758&lt;&gt;"",F1758&lt;&gt;"")),入力リスト!$K$34,IF($I1758=TRUE,入力リスト!$K$35,IF(J1758=FALSE,"「毎月の固定給与額」","")&amp;IF(AND(J1758=FALSE,OR(K1758=FALSE,L1758=FALSE,M1758=FALSE)),",","")&amp;IF(K1758=FALSE,"「賞与額等」","")&amp;IF(AND(K1758=FALSE,OR(L1758=FALSE,M1758=FALSE)),",","")&amp;IF(L1758=FALSE,"「残業手当」","")&amp;IF(AND(L1758=FALSE,M1758=FALSE),",","")&amp;IF(M1758=FALSE,"「残業時間」","")&amp;IF(OR(J1758=FALSE,K1758=FALSE,L1758=FALSE,M1758=FALSE),入力リスト!$K$36,"")&amp;IF(N1758,"",入力リスト!$K$37)))</f>
        <v/>
      </c>
      <c r="H1758" s="215"/>
      <c r="I1758" s="1" t="b">
        <f>IF(B1758="",FALSE,COUNTIF('従業員情報(給与以外)'!$A$4:$A$1000000,$B1758)=0)</f>
        <v>0</v>
      </c>
      <c r="J1758" s="8" t="b">
        <f t="shared" si="135"/>
        <v>1</v>
      </c>
      <c r="K1758" s="8" t="b">
        <f t="shared" si="136"/>
        <v>1</v>
      </c>
      <c r="L1758" s="8" t="b">
        <f t="shared" si="137"/>
        <v>1</v>
      </c>
      <c r="M1758" s="8" t="b">
        <f t="shared" si="138"/>
        <v>1</v>
      </c>
      <c r="N1758" s="1" t="b">
        <f t="shared" si="139"/>
        <v>1</v>
      </c>
      <c r="O1758" s="8" t="str">
        <f>IF(F1758="","",IF($F$2=入力リスト!$H$25,ROUNDDOWN(INT(F1758)+ROUNDDOWN((F1758-INT(F1758))*100,0)/60,2),F1758))</f>
        <v/>
      </c>
      <c r="P1758" s="7"/>
      <c r="Q1758" s="7"/>
    </row>
    <row r="1759" spans="1:17">
      <c r="A1759" s="105"/>
      <c r="B1759" s="2"/>
      <c r="C1759" s="3"/>
      <c r="D1759" s="3"/>
      <c r="E1759" s="3"/>
      <c r="F1759" s="8"/>
      <c r="G1759" s="215" t="str">
        <f>IF(AND($B1759="",OR(B1759&lt;&gt;"",C1759&lt;&gt;"",D1759&lt;&gt;"",E1759&lt;&gt;"",F1759&lt;&gt;"")),入力リスト!$K$34,IF($I1759=TRUE,入力リスト!$K$35,IF(J1759=FALSE,"「毎月の固定給与額」","")&amp;IF(AND(J1759=FALSE,OR(K1759=FALSE,L1759=FALSE,M1759=FALSE)),",","")&amp;IF(K1759=FALSE,"「賞与額等」","")&amp;IF(AND(K1759=FALSE,OR(L1759=FALSE,M1759=FALSE)),",","")&amp;IF(L1759=FALSE,"「残業手当」","")&amp;IF(AND(L1759=FALSE,M1759=FALSE),",","")&amp;IF(M1759=FALSE,"「残業時間」","")&amp;IF(OR(J1759=FALSE,K1759=FALSE,L1759=FALSE,M1759=FALSE),入力リスト!$K$36,"")&amp;IF(N1759,"",入力リスト!$K$37)))</f>
        <v/>
      </c>
      <c r="H1759" s="215"/>
      <c r="I1759" s="1" t="b">
        <f>IF(B1759="",FALSE,COUNTIF('従業員情報(給与以外)'!$A$4:$A$1000000,$B1759)=0)</f>
        <v>0</v>
      </c>
      <c r="J1759" s="8" t="b">
        <f t="shared" si="135"/>
        <v>1</v>
      </c>
      <c r="K1759" s="8" t="b">
        <f t="shared" si="136"/>
        <v>1</v>
      </c>
      <c r="L1759" s="8" t="b">
        <f t="shared" si="137"/>
        <v>1</v>
      </c>
      <c r="M1759" s="8" t="b">
        <f t="shared" si="138"/>
        <v>1</v>
      </c>
      <c r="N1759" s="1" t="b">
        <f t="shared" si="139"/>
        <v>1</v>
      </c>
      <c r="O1759" s="8" t="str">
        <f>IF(F1759="","",IF($F$2=入力リスト!$H$25,ROUNDDOWN(INT(F1759)+ROUNDDOWN((F1759-INT(F1759))*100,0)/60,2),F1759))</f>
        <v/>
      </c>
      <c r="P1759" s="7"/>
      <c r="Q1759" s="7"/>
    </row>
    <row r="1760" spans="1:17">
      <c r="A1760" s="105"/>
      <c r="B1760" s="2"/>
      <c r="C1760" s="3"/>
      <c r="D1760" s="3"/>
      <c r="E1760" s="3"/>
      <c r="F1760" s="8"/>
      <c r="G1760" s="215" t="str">
        <f>IF(AND($B1760="",OR(B1760&lt;&gt;"",C1760&lt;&gt;"",D1760&lt;&gt;"",E1760&lt;&gt;"",F1760&lt;&gt;"")),入力リスト!$K$34,IF($I1760=TRUE,入力リスト!$K$35,IF(J1760=FALSE,"「毎月の固定給与額」","")&amp;IF(AND(J1760=FALSE,OR(K1760=FALSE,L1760=FALSE,M1760=FALSE)),",","")&amp;IF(K1760=FALSE,"「賞与額等」","")&amp;IF(AND(K1760=FALSE,OR(L1760=FALSE,M1760=FALSE)),",","")&amp;IF(L1760=FALSE,"「残業手当」","")&amp;IF(AND(L1760=FALSE,M1760=FALSE),",","")&amp;IF(M1760=FALSE,"「残業時間」","")&amp;IF(OR(J1760=FALSE,K1760=FALSE,L1760=FALSE,M1760=FALSE),入力リスト!$K$36,"")&amp;IF(N1760,"",入力リスト!$K$37)))</f>
        <v/>
      </c>
      <c r="H1760" s="215"/>
      <c r="I1760" s="1" t="b">
        <f>IF(B1760="",FALSE,COUNTIF('従業員情報(給与以外)'!$A$4:$A$1000000,$B1760)=0)</f>
        <v>0</v>
      </c>
      <c r="J1760" s="8" t="b">
        <f t="shared" si="135"/>
        <v>1</v>
      </c>
      <c r="K1760" s="8" t="b">
        <f t="shared" si="136"/>
        <v>1</v>
      </c>
      <c r="L1760" s="8" t="b">
        <f t="shared" si="137"/>
        <v>1</v>
      </c>
      <c r="M1760" s="8" t="b">
        <f t="shared" si="138"/>
        <v>1</v>
      </c>
      <c r="N1760" s="1" t="b">
        <f t="shared" si="139"/>
        <v>1</v>
      </c>
      <c r="O1760" s="8" t="str">
        <f>IF(F1760="","",IF($F$2=入力リスト!$H$25,ROUNDDOWN(INT(F1760)+ROUNDDOWN((F1760-INT(F1760))*100,0)/60,2),F1760))</f>
        <v/>
      </c>
      <c r="P1760" s="7"/>
      <c r="Q1760" s="7"/>
    </row>
    <row r="1761" spans="1:17">
      <c r="A1761" s="105"/>
      <c r="B1761" s="2"/>
      <c r="C1761" s="3"/>
      <c r="D1761" s="3"/>
      <c r="E1761" s="3"/>
      <c r="F1761" s="8"/>
      <c r="G1761" s="215" t="str">
        <f>IF(AND($B1761="",OR(B1761&lt;&gt;"",C1761&lt;&gt;"",D1761&lt;&gt;"",E1761&lt;&gt;"",F1761&lt;&gt;"")),入力リスト!$K$34,IF($I1761=TRUE,入力リスト!$K$35,IF(J1761=FALSE,"「毎月の固定給与額」","")&amp;IF(AND(J1761=FALSE,OR(K1761=FALSE,L1761=FALSE,M1761=FALSE)),",","")&amp;IF(K1761=FALSE,"「賞与額等」","")&amp;IF(AND(K1761=FALSE,OR(L1761=FALSE,M1761=FALSE)),",","")&amp;IF(L1761=FALSE,"「残業手当」","")&amp;IF(AND(L1761=FALSE,M1761=FALSE),",","")&amp;IF(M1761=FALSE,"「残業時間」","")&amp;IF(OR(J1761=FALSE,K1761=FALSE,L1761=FALSE,M1761=FALSE),入力リスト!$K$36,"")&amp;IF(N1761,"",入力リスト!$K$37)))</f>
        <v/>
      </c>
      <c r="H1761" s="215"/>
      <c r="I1761" s="1" t="b">
        <f>IF(B1761="",FALSE,COUNTIF('従業員情報(給与以外)'!$A$4:$A$1000000,$B1761)=0)</f>
        <v>0</v>
      </c>
      <c r="J1761" s="8" t="b">
        <f t="shared" si="135"/>
        <v>1</v>
      </c>
      <c r="K1761" s="8" t="b">
        <f t="shared" si="136"/>
        <v>1</v>
      </c>
      <c r="L1761" s="8" t="b">
        <f t="shared" si="137"/>
        <v>1</v>
      </c>
      <c r="M1761" s="8" t="b">
        <f t="shared" si="138"/>
        <v>1</v>
      </c>
      <c r="N1761" s="1" t="b">
        <f t="shared" si="139"/>
        <v>1</v>
      </c>
      <c r="O1761" s="8" t="str">
        <f>IF(F1761="","",IF($F$2=入力リスト!$H$25,ROUNDDOWN(INT(F1761)+ROUNDDOWN((F1761-INT(F1761))*100,0)/60,2),F1761))</f>
        <v/>
      </c>
      <c r="P1761" s="7"/>
      <c r="Q1761" s="7"/>
    </row>
    <row r="1762" spans="1:17">
      <c r="A1762" s="105"/>
      <c r="B1762" s="2"/>
      <c r="C1762" s="3"/>
      <c r="D1762" s="3"/>
      <c r="E1762" s="3"/>
      <c r="F1762" s="8"/>
      <c r="G1762" s="215" t="str">
        <f>IF(AND($B1762="",OR(B1762&lt;&gt;"",C1762&lt;&gt;"",D1762&lt;&gt;"",E1762&lt;&gt;"",F1762&lt;&gt;"")),入力リスト!$K$34,IF($I1762=TRUE,入力リスト!$K$35,IF(J1762=FALSE,"「毎月の固定給与額」","")&amp;IF(AND(J1762=FALSE,OR(K1762=FALSE,L1762=FALSE,M1762=FALSE)),",","")&amp;IF(K1762=FALSE,"「賞与額等」","")&amp;IF(AND(K1762=FALSE,OR(L1762=FALSE,M1762=FALSE)),",","")&amp;IF(L1762=FALSE,"「残業手当」","")&amp;IF(AND(L1762=FALSE,M1762=FALSE),",","")&amp;IF(M1762=FALSE,"「残業時間」","")&amp;IF(OR(J1762=FALSE,K1762=FALSE,L1762=FALSE,M1762=FALSE),入力リスト!$K$36,"")&amp;IF(N1762,"",入力リスト!$K$37)))</f>
        <v/>
      </c>
      <c r="H1762" s="215"/>
      <c r="I1762" s="1" t="b">
        <f>IF(B1762="",FALSE,COUNTIF('従業員情報(給与以外)'!$A$4:$A$1000000,$B1762)=0)</f>
        <v>0</v>
      </c>
      <c r="J1762" s="8" t="b">
        <f t="shared" si="135"/>
        <v>1</v>
      </c>
      <c r="K1762" s="8" t="b">
        <f t="shared" si="136"/>
        <v>1</v>
      </c>
      <c r="L1762" s="8" t="b">
        <f t="shared" si="137"/>
        <v>1</v>
      </c>
      <c r="M1762" s="8" t="b">
        <f t="shared" si="138"/>
        <v>1</v>
      </c>
      <c r="N1762" s="1" t="b">
        <f t="shared" si="139"/>
        <v>1</v>
      </c>
      <c r="O1762" s="8" t="str">
        <f>IF(F1762="","",IF($F$2=入力リスト!$H$25,ROUNDDOWN(INT(F1762)+ROUNDDOWN((F1762-INT(F1762))*100,0)/60,2),F1762))</f>
        <v/>
      </c>
      <c r="P1762" s="7"/>
      <c r="Q1762" s="7"/>
    </row>
    <row r="1763" spans="1:17">
      <c r="A1763" s="105"/>
      <c r="B1763" s="2"/>
      <c r="C1763" s="3"/>
      <c r="D1763" s="3"/>
      <c r="E1763" s="3"/>
      <c r="F1763" s="8"/>
      <c r="G1763" s="215" t="str">
        <f>IF(AND($B1763="",OR(B1763&lt;&gt;"",C1763&lt;&gt;"",D1763&lt;&gt;"",E1763&lt;&gt;"",F1763&lt;&gt;"")),入力リスト!$K$34,IF($I1763=TRUE,入力リスト!$K$35,IF(J1763=FALSE,"「毎月の固定給与額」","")&amp;IF(AND(J1763=FALSE,OR(K1763=FALSE,L1763=FALSE,M1763=FALSE)),",","")&amp;IF(K1763=FALSE,"「賞与額等」","")&amp;IF(AND(K1763=FALSE,OR(L1763=FALSE,M1763=FALSE)),",","")&amp;IF(L1763=FALSE,"「残業手当」","")&amp;IF(AND(L1763=FALSE,M1763=FALSE),",","")&amp;IF(M1763=FALSE,"「残業時間」","")&amp;IF(OR(J1763=FALSE,K1763=FALSE,L1763=FALSE,M1763=FALSE),入力リスト!$K$36,"")&amp;IF(N1763,"",入力リスト!$K$37)))</f>
        <v/>
      </c>
      <c r="H1763" s="215"/>
      <c r="I1763" s="1" t="b">
        <f>IF(B1763="",FALSE,COUNTIF('従業員情報(給与以外)'!$A$4:$A$1000000,$B1763)=0)</f>
        <v>0</v>
      </c>
      <c r="J1763" s="8" t="b">
        <f t="shared" si="135"/>
        <v>1</v>
      </c>
      <c r="K1763" s="8" t="b">
        <f t="shared" si="136"/>
        <v>1</v>
      </c>
      <c r="L1763" s="8" t="b">
        <f t="shared" si="137"/>
        <v>1</v>
      </c>
      <c r="M1763" s="8" t="b">
        <f t="shared" si="138"/>
        <v>1</v>
      </c>
      <c r="N1763" s="1" t="b">
        <f t="shared" si="139"/>
        <v>1</v>
      </c>
      <c r="O1763" s="8" t="str">
        <f>IF(F1763="","",IF($F$2=入力リスト!$H$25,ROUNDDOWN(INT(F1763)+ROUNDDOWN((F1763-INT(F1763))*100,0)/60,2),F1763))</f>
        <v/>
      </c>
      <c r="P1763" s="7"/>
      <c r="Q1763" s="7"/>
    </row>
    <row r="1764" spans="1:17">
      <c r="A1764" s="105"/>
      <c r="B1764" s="2"/>
      <c r="C1764" s="3"/>
      <c r="D1764" s="3"/>
      <c r="E1764" s="3"/>
      <c r="F1764" s="8"/>
      <c r="G1764" s="215" t="str">
        <f>IF(AND($B1764="",OR(B1764&lt;&gt;"",C1764&lt;&gt;"",D1764&lt;&gt;"",E1764&lt;&gt;"",F1764&lt;&gt;"")),入力リスト!$K$34,IF($I1764=TRUE,入力リスト!$K$35,IF(J1764=FALSE,"「毎月の固定給与額」","")&amp;IF(AND(J1764=FALSE,OR(K1764=FALSE,L1764=FALSE,M1764=FALSE)),",","")&amp;IF(K1764=FALSE,"「賞与額等」","")&amp;IF(AND(K1764=FALSE,OR(L1764=FALSE,M1764=FALSE)),",","")&amp;IF(L1764=FALSE,"「残業手当」","")&amp;IF(AND(L1764=FALSE,M1764=FALSE),",","")&amp;IF(M1764=FALSE,"「残業時間」","")&amp;IF(OR(J1764=FALSE,K1764=FALSE,L1764=FALSE,M1764=FALSE),入力リスト!$K$36,"")&amp;IF(N1764,"",入力リスト!$K$37)))</f>
        <v/>
      </c>
      <c r="H1764" s="215"/>
      <c r="I1764" s="1" t="b">
        <f>IF(B1764="",FALSE,COUNTIF('従業員情報(給与以外)'!$A$4:$A$1000000,$B1764)=0)</f>
        <v>0</v>
      </c>
      <c r="J1764" s="8" t="b">
        <f t="shared" si="135"/>
        <v>1</v>
      </c>
      <c r="K1764" s="8" t="b">
        <f t="shared" si="136"/>
        <v>1</v>
      </c>
      <c r="L1764" s="8" t="b">
        <f t="shared" si="137"/>
        <v>1</v>
      </c>
      <c r="M1764" s="8" t="b">
        <f t="shared" si="138"/>
        <v>1</v>
      </c>
      <c r="N1764" s="1" t="b">
        <f t="shared" si="139"/>
        <v>1</v>
      </c>
      <c r="O1764" s="8" t="str">
        <f>IF(F1764="","",IF($F$2=入力リスト!$H$25,ROUNDDOWN(INT(F1764)+ROUNDDOWN((F1764-INT(F1764))*100,0)/60,2),F1764))</f>
        <v/>
      </c>
      <c r="P1764" s="7"/>
      <c r="Q1764" s="7"/>
    </row>
    <row r="1765" spans="1:17">
      <c r="A1765" s="105"/>
      <c r="B1765" s="2"/>
      <c r="C1765" s="3"/>
      <c r="D1765" s="3"/>
      <c r="E1765" s="3"/>
      <c r="F1765" s="8"/>
      <c r="G1765" s="215" t="str">
        <f>IF(AND($B1765="",OR(B1765&lt;&gt;"",C1765&lt;&gt;"",D1765&lt;&gt;"",E1765&lt;&gt;"",F1765&lt;&gt;"")),入力リスト!$K$34,IF($I1765=TRUE,入力リスト!$K$35,IF(J1765=FALSE,"「毎月の固定給与額」","")&amp;IF(AND(J1765=FALSE,OR(K1765=FALSE,L1765=FALSE,M1765=FALSE)),",","")&amp;IF(K1765=FALSE,"「賞与額等」","")&amp;IF(AND(K1765=FALSE,OR(L1765=FALSE,M1765=FALSE)),",","")&amp;IF(L1765=FALSE,"「残業手当」","")&amp;IF(AND(L1765=FALSE,M1765=FALSE),",","")&amp;IF(M1765=FALSE,"「残業時間」","")&amp;IF(OR(J1765=FALSE,K1765=FALSE,L1765=FALSE,M1765=FALSE),入力リスト!$K$36,"")&amp;IF(N1765,"",入力リスト!$K$37)))</f>
        <v/>
      </c>
      <c r="H1765" s="215"/>
      <c r="I1765" s="1" t="b">
        <f>IF(B1765="",FALSE,COUNTIF('従業員情報(給与以外)'!$A$4:$A$1000000,$B1765)=0)</f>
        <v>0</v>
      </c>
      <c r="J1765" s="8" t="b">
        <f t="shared" si="135"/>
        <v>1</v>
      </c>
      <c r="K1765" s="8" t="b">
        <f t="shared" si="136"/>
        <v>1</v>
      </c>
      <c r="L1765" s="8" t="b">
        <f t="shared" si="137"/>
        <v>1</v>
      </c>
      <c r="M1765" s="8" t="b">
        <f t="shared" si="138"/>
        <v>1</v>
      </c>
      <c r="N1765" s="1" t="b">
        <f t="shared" si="139"/>
        <v>1</v>
      </c>
      <c r="O1765" s="8" t="str">
        <f>IF(F1765="","",IF($F$2=入力リスト!$H$25,ROUNDDOWN(INT(F1765)+ROUNDDOWN((F1765-INT(F1765))*100,0)/60,2),F1765))</f>
        <v/>
      </c>
      <c r="P1765" s="7"/>
      <c r="Q1765" s="7"/>
    </row>
    <row r="1766" spans="1:17">
      <c r="A1766" s="105"/>
      <c r="B1766" s="2"/>
      <c r="C1766" s="3"/>
      <c r="D1766" s="3"/>
      <c r="E1766" s="3"/>
      <c r="F1766" s="8"/>
      <c r="G1766" s="215" t="str">
        <f>IF(AND($B1766="",OR(B1766&lt;&gt;"",C1766&lt;&gt;"",D1766&lt;&gt;"",E1766&lt;&gt;"",F1766&lt;&gt;"")),入力リスト!$K$34,IF($I1766=TRUE,入力リスト!$K$35,IF(J1766=FALSE,"「毎月の固定給与額」","")&amp;IF(AND(J1766=FALSE,OR(K1766=FALSE,L1766=FALSE,M1766=FALSE)),",","")&amp;IF(K1766=FALSE,"「賞与額等」","")&amp;IF(AND(K1766=FALSE,OR(L1766=FALSE,M1766=FALSE)),",","")&amp;IF(L1766=FALSE,"「残業手当」","")&amp;IF(AND(L1766=FALSE,M1766=FALSE),",","")&amp;IF(M1766=FALSE,"「残業時間」","")&amp;IF(OR(J1766=FALSE,K1766=FALSE,L1766=FALSE,M1766=FALSE),入力リスト!$K$36,"")&amp;IF(N1766,"",入力リスト!$K$37)))</f>
        <v/>
      </c>
      <c r="H1766" s="215"/>
      <c r="I1766" s="1" t="b">
        <f>IF(B1766="",FALSE,COUNTIF('従業員情報(給与以外)'!$A$4:$A$1000000,$B1766)=0)</f>
        <v>0</v>
      </c>
      <c r="J1766" s="8" t="b">
        <f t="shared" si="135"/>
        <v>1</v>
      </c>
      <c r="K1766" s="8" t="b">
        <f t="shared" si="136"/>
        <v>1</v>
      </c>
      <c r="L1766" s="8" t="b">
        <f t="shared" si="137"/>
        <v>1</v>
      </c>
      <c r="M1766" s="8" t="b">
        <f t="shared" si="138"/>
        <v>1</v>
      </c>
      <c r="N1766" s="1" t="b">
        <f t="shared" si="139"/>
        <v>1</v>
      </c>
      <c r="O1766" s="8" t="str">
        <f>IF(F1766="","",IF($F$2=入力リスト!$H$25,ROUNDDOWN(INT(F1766)+ROUNDDOWN((F1766-INT(F1766))*100,0)/60,2),F1766))</f>
        <v/>
      </c>
      <c r="P1766" s="7"/>
      <c r="Q1766" s="7"/>
    </row>
    <row r="1767" spans="1:17">
      <c r="A1767" s="105"/>
      <c r="B1767" s="2"/>
      <c r="C1767" s="3"/>
      <c r="D1767" s="3"/>
      <c r="E1767" s="3"/>
      <c r="F1767" s="8"/>
      <c r="G1767" s="215" t="str">
        <f>IF(AND($B1767="",OR(B1767&lt;&gt;"",C1767&lt;&gt;"",D1767&lt;&gt;"",E1767&lt;&gt;"",F1767&lt;&gt;"")),入力リスト!$K$34,IF($I1767=TRUE,入力リスト!$K$35,IF(J1767=FALSE,"「毎月の固定給与額」","")&amp;IF(AND(J1767=FALSE,OR(K1767=FALSE,L1767=FALSE,M1767=FALSE)),",","")&amp;IF(K1767=FALSE,"「賞与額等」","")&amp;IF(AND(K1767=FALSE,OR(L1767=FALSE,M1767=FALSE)),",","")&amp;IF(L1767=FALSE,"「残業手当」","")&amp;IF(AND(L1767=FALSE,M1767=FALSE),",","")&amp;IF(M1767=FALSE,"「残業時間」","")&amp;IF(OR(J1767=FALSE,K1767=FALSE,L1767=FALSE,M1767=FALSE),入力リスト!$K$36,"")&amp;IF(N1767,"",入力リスト!$K$37)))</f>
        <v/>
      </c>
      <c r="H1767" s="215"/>
      <c r="I1767" s="1" t="b">
        <f>IF(B1767="",FALSE,COUNTIF('従業員情報(給与以外)'!$A$4:$A$1000000,$B1767)=0)</f>
        <v>0</v>
      </c>
      <c r="J1767" s="8" t="b">
        <f t="shared" si="135"/>
        <v>1</v>
      </c>
      <c r="K1767" s="8" t="b">
        <f t="shared" si="136"/>
        <v>1</v>
      </c>
      <c r="L1767" s="8" t="b">
        <f t="shared" si="137"/>
        <v>1</v>
      </c>
      <c r="M1767" s="8" t="b">
        <f t="shared" si="138"/>
        <v>1</v>
      </c>
      <c r="N1767" s="1" t="b">
        <f t="shared" si="139"/>
        <v>1</v>
      </c>
      <c r="O1767" s="8" t="str">
        <f>IF(F1767="","",IF($F$2=入力リスト!$H$25,ROUNDDOWN(INT(F1767)+ROUNDDOWN((F1767-INT(F1767))*100,0)/60,2),F1767))</f>
        <v/>
      </c>
      <c r="P1767" s="7"/>
      <c r="Q1767" s="7"/>
    </row>
    <row r="1768" spans="1:17">
      <c r="A1768" s="105"/>
      <c r="B1768" s="2"/>
      <c r="C1768" s="3"/>
      <c r="D1768" s="3"/>
      <c r="E1768" s="3"/>
      <c r="F1768" s="8"/>
      <c r="G1768" s="215" t="str">
        <f>IF(AND($B1768="",OR(B1768&lt;&gt;"",C1768&lt;&gt;"",D1768&lt;&gt;"",E1768&lt;&gt;"",F1768&lt;&gt;"")),入力リスト!$K$34,IF($I1768=TRUE,入力リスト!$K$35,IF(J1768=FALSE,"「毎月の固定給与額」","")&amp;IF(AND(J1768=FALSE,OR(K1768=FALSE,L1768=FALSE,M1768=FALSE)),",","")&amp;IF(K1768=FALSE,"「賞与額等」","")&amp;IF(AND(K1768=FALSE,OR(L1768=FALSE,M1768=FALSE)),",","")&amp;IF(L1768=FALSE,"「残業手当」","")&amp;IF(AND(L1768=FALSE,M1768=FALSE),",","")&amp;IF(M1768=FALSE,"「残業時間」","")&amp;IF(OR(J1768=FALSE,K1768=FALSE,L1768=FALSE,M1768=FALSE),入力リスト!$K$36,"")&amp;IF(N1768,"",入力リスト!$K$37)))</f>
        <v/>
      </c>
      <c r="H1768" s="215"/>
      <c r="I1768" s="1" t="b">
        <f>IF(B1768="",FALSE,COUNTIF('従業員情報(給与以外)'!$A$4:$A$1000000,$B1768)=0)</f>
        <v>0</v>
      </c>
      <c r="J1768" s="8" t="b">
        <f t="shared" si="135"/>
        <v>1</v>
      </c>
      <c r="K1768" s="8" t="b">
        <f t="shared" si="136"/>
        <v>1</v>
      </c>
      <c r="L1768" s="8" t="b">
        <f t="shared" si="137"/>
        <v>1</v>
      </c>
      <c r="M1768" s="8" t="b">
        <f t="shared" si="138"/>
        <v>1</v>
      </c>
      <c r="N1768" s="1" t="b">
        <f t="shared" si="139"/>
        <v>1</v>
      </c>
      <c r="O1768" s="8" t="str">
        <f>IF(F1768="","",IF($F$2=入力リスト!$H$25,ROUNDDOWN(INT(F1768)+ROUNDDOWN((F1768-INT(F1768))*100,0)/60,2),F1768))</f>
        <v/>
      </c>
      <c r="P1768" s="7"/>
      <c r="Q1768" s="7"/>
    </row>
    <row r="1769" spans="1:17">
      <c r="A1769" s="105"/>
      <c r="B1769" s="2"/>
      <c r="C1769" s="3"/>
      <c r="D1769" s="3"/>
      <c r="E1769" s="3"/>
      <c r="F1769" s="8"/>
      <c r="G1769" s="215" t="str">
        <f>IF(AND($B1769="",OR(B1769&lt;&gt;"",C1769&lt;&gt;"",D1769&lt;&gt;"",E1769&lt;&gt;"",F1769&lt;&gt;"")),入力リスト!$K$34,IF($I1769=TRUE,入力リスト!$K$35,IF(J1769=FALSE,"「毎月の固定給与額」","")&amp;IF(AND(J1769=FALSE,OR(K1769=FALSE,L1769=FALSE,M1769=FALSE)),",","")&amp;IF(K1769=FALSE,"「賞与額等」","")&amp;IF(AND(K1769=FALSE,OR(L1769=FALSE,M1769=FALSE)),",","")&amp;IF(L1769=FALSE,"「残業手当」","")&amp;IF(AND(L1769=FALSE,M1769=FALSE),",","")&amp;IF(M1769=FALSE,"「残業時間」","")&amp;IF(OR(J1769=FALSE,K1769=FALSE,L1769=FALSE,M1769=FALSE),入力リスト!$K$36,"")&amp;IF(N1769,"",入力リスト!$K$37)))</f>
        <v/>
      </c>
      <c r="H1769" s="215"/>
      <c r="I1769" s="1" t="b">
        <f>IF(B1769="",FALSE,COUNTIF('従業員情報(給与以外)'!$A$4:$A$1000000,$B1769)=0)</f>
        <v>0</v>
      </c>
      <c r="J1769" s="8" t="b">
        <f t="shared" si="135"/>
        <v>1</v>
      </c>
      <c r="K1769" s="8" t="b">
        <f t="shared" si="136"/>
        <v>1</v>
      </c>
      <c r="L1769" s="8" t="b">
        <f t="shared" si="137"/>
        <v>1</v>
      </c>
      <c r="M1769" s="8" t="b">
        <f t="shared" si="138"/>
        <v>1</v>
      </c>
      <c r="N1769" s="1" t="b">
        <f t="shared" si="139"/>
        <v>1</v>
      </c>
      <c r="O1769" s="8" t="str">
        <f>IF(F1769="","",IF($F$2=入力リスト!$H$25,ROUNDDOWN(INT(F1769)+ROUNDDOWN((F1769-INT(F1769))*100,0)/60,2),F1769))</f>
        <v/>
      </c>
      <c r="P1769" s="7"/>
      <c r="Q1769" s="7"/>
    </row>
    <row r="1770" spans="1:17">
      <c r="A1770" s="105"/>
      <c r="B1770" s="2"/>
      <c r="C1770" s="3"/>
      <c r="D1770" s="3"/>
      <c r="E1770" s="3"/>
      <c r="F1770" s="8"/>
      <c r="G1770" s="215" t="str">
        <f>IF(AND($B1770="",OR(B1770&lt;&gt;"",C1770&lt;&gt;"",D1770&lt;&gt;"",E1770&lt;&gt;"",F1770&lt;&gt;"")),入力リスト!$K$34,IF($I1770=TRUE,入力リスト!$K$35,IF(J1770=FALSE,"「毎月の固定給与額」","")&amp;IF(AND(J1770=FALSE,OR(K1770=FALSE,L1770=FALSE,M1770=FALSE)),",","")&amp;IF(K1770=FALSE,"「賞与額等」","")&amp;IF(AND(K1770=FALSE,OR(L1770=FALSE,M1770=FALSE)),",","")&amp;IF(L1770=FALSE,"「残業手当」","")&amp;IF(AND(L1770=FALSE,M1770=FALSE),",","")&amp;IF(M1770=FALSE,"「残業時間」","")&amp;IF(OR(J1770=FALSE,K1770=FALSE,L1770=FALSE,M1770=FALSE),入力リスト!$K$36,"")&amp;IF(N1770,"",入力リスト!$K$37)))</f>
        <v/>
      </c>
      <c r="H1770" s="215"/>
      <c r="I1770" s="1" t="b">
        <f>IF(B1770="",FALSE,COUNTIF('従業員情報(給与以外)'!$A$4:$A$1000000,$B1770)=0)</f>
        <v>0</v>
      </c>
      <c r="J1770" s="8" t="b">
        <f t="shared" si="135"/>
        <v>1</v>
      </c>
      <c r="K1770" s="8" t="b">
        <f t="shared" si="136"/>
        <v>1</v>
      </c>
      <c r="L1770" s="8" t="b">
        <f t="shared" si="137"/>
        <v>1</v>
      </c>
      <c r="M1770" s="8" t="b">
        <f t="shared" si="138"/>
        <v>1</v>
      </c>
      <c r="N1770" s="1" t="b">
        <f t="shared" si="139"/>
        <v>1</v>
      </c>
      <c r="O1770" s="8" t="str">
        <f>IF(F1770="","",IF($F$2=入力リスト!$H$25,ROUNDDOWN(INT(F1770)+ROUNDDOWN((F1770-INT(F1770))*100,0)/60,2),F1770))</f>
        <v/>
      </c>
      <c r="P1770" s="7"/>
      <c r="Q1770" s="7"/>
    </row>
    <row r="1771" spans="1:17">
      <c r="A1771" s="105"/>
      <c r="B1771" s="2"/>
      <c r="C1771" s="3"/>
      <c r="D1771" s="3"/>
      <c r="E1771" s="3"/>
      <c r="F1771" s="8"/>
      <c r="G1771" s="215" t="str">
        <f>IF(AND($B1771="",OR(B1771&lt;&gt;"",C1771&lt;&gt;"",D1771&lt;&gt;"",E1771&lt;&gt;"",F1771&lt;&gt;"")),入力リスト!$K$34,IF($I1771=TRUE,入力リスト!$K$35,IF(J1771=FALSE,"「毎月の固定給与額」","")&amp;IF(AND(J1771=FALSE,OR(K1771=FALSE,L1771=FALSE,M1771=FALSE)),",","")&amp;IF(K1771=FALSE,"「賞与額等」","")&amp;IF(AND(K1771=FALSE,OR(L1771=FALSE,M1771=FALSE)),",","")&amp;IF(L1771=FALSE,"「残業手当」","")&amp;IF(AND(L1771=FALSE,M1771=FALSE),",","")&amp;IF(M1771=FALSE,"「残業時間」","")&amp;IF(OR(J1771=FALSE,K1771=FALSE,L1771=FALSE,M1771=FALSE),入力リスト!$K$36,"")&amp;IF(N1771,"",入力リスト!$K$37)))</f>
        <v/>
      </c>
      <c r="H1771" s="215"/>
      <c r="I1771" s="1" t="b">
        <f>IF(B1771="",FALSE,COUNTIF('従業員情報(給与以外)'!$A$4:$A$1000000,$B1771)=0)</f>
        <v>0</v>
      </c>
      <c r="J1771" s="8" t="b">
        <f t="shared" si="135"/>
        <v>1</v>
      </c>
      <c r="K1771" s="8" t="b">
        <f t="shared" si="136"/>
        <v>1</v>
      </c>
      <c r="L1771" s="8" t="b">
        <f t="shared" si="137"/>
        <v>1</v>
      </c>
      <c r="M1771" s="8" t="b">
        <f t="shared" si="138"/>
        <v>1</v>
      </c>
      <c r="N1771" s="1" t="b">
        <f t="shared" si="139"/>
        <v>1</v>
      </c>
      <c r="O1771" s="8" t="str">
        <f>IF(F1771="","",IF($F$2=入力リスト!$H$25,ROUNDDOWN(INT(F1771)+ROUNDDOWN((F1771-INT(F1771))*100,0)/60,2),F1771))</f>
        <v/>
      </c>
      <c r="P1771" s="7"/>
      <c r="Q1771" s="7"/>
    </row>
    <row r="1772" spans="1:17">
      <c r="A1772" s="105"/>
      <c r="B1772" s="2"/>
      <c r="C1772" s="3"/>
      <c r="D1772" s="3"/>
      <c r="E1772" s="3"/>
      <c r="F1772" s="8"/>
      <c r="G1772" s="215" t="str">
        <f>IF(AND($B1772="",OR(B1772&lt;&gt;"",C1772&lt;&gt;"",D1772&lt;&gt;"",E1772&lt;&gt;"",F1772&lt;&gt;"")),入力リスト!$K$34,IF($I1772=TRUE,入力リスト!$K$35,IF(J1772=FALSE,"「毎月の固定給与額」","")&amp;IF(AND(J1772=FALSE,OR(K1772=FALSE,L1772=FALSE,M1772=FALSE)),",","")&amp;IF(K1772=FALSE,"「賞与額等」","")&amp;IF(AND(K1772=FALSE,OR(L1772=FALSE,M1772=FALSE)),",","")&amp;IF(L1772=FALSE,"「残業手当」","")&amp;IF(AND(L1772=FALSE,M1772=FALSE),",","")&amp;IF(M1772=FALSE,"「残業時間」","")&amp;IF(OR(J1772=FALSE,K1772=FALSE,L1772=FALSE,M1772=FALSE),入力リスト!$K$36,"")&amp;IF(N1772,"",入力リスト!$K$37)))</f>
        <v/>
      </c>
      <c r="H1772" s="215"/>
      <c r="I1772" s="1" t="b">
        <f>IF(B1772="",FALSE,COUNTIF('従業員情報(給与以外)'!$A$4:$A$1000000,$B1772)=0)</f>
        <v>0</v>
      </c>
      <c r="J1772" s="8" t="b">
        <f t="shared" si="135"/>
        <v>1</v>
      </c>
      <c r="K1772" s="8" t="b">
        <f t="shared" si="136"/>
        <v>1</v>
      </c>
      <c r="L1772" s="8" t="b">
        <f t="shared" si="137"/>
        <v>1</v>
      </c>
      <c r="M1772" s="8" t="b">
        <f t="shared" si="138"/>
        <v>1</v>
      </c>
      <c r="N1772" s="1" t="b">
        <f t="shared" si="139"/>
        <v>1</v>
      </c>
      <c r="O1772" s="8" t="str">
        <f>IF(F1772="","",IF($F$2=入力リスト!$H$25,ROUNDDOWN(INT(F1772)+ROUNDDOWN((F1772-INT(F1772))*100,0)/60,2),F1772))</f>
        <v/>
      </c>
      <c r="P1772" s="7"/>
      <c r="Q1772" s="7"/>
    </row>
    <row r="1773" spans="1:17">
      <c r="A1773" s="105"/>
      <c r="B1773" s="2"/>
      <c r="C1773" s="3"/>
      <c r="D1773" s="3"/>
      <c r="E1773" s="3"/>
      <c r="F1773" s="8"/>
      <c r="G1773" s="215" t="str">
        <f>IF(AND($B1773="",OR(B1773&lt;&gt;"",C1773&lt;&gt;"",D1773&lt;&gt;"",E1773&lt;&gt;"",F1773&lt;&gt;"")),入力リスト!$K$34,IF($I1773=TRUE,入力リスト!$K$35,IF(J1773=FALSE,"「毎月の固定給与額」","")&amp;IF(AND(J1773=FALSE,OR(K1773=FALSE,L1773=FALSE,M1773=FALSE)),",","")&amp;IF(K1773=FALSE,"「賞与額等」","")&amp;IF(AND(K1773=FALSE,OR(L1773=FALSE,M1773=FALSE)),",","")&amp;IF(L1773=FALSE,"「残業手当」","")&amp;IF(AND(L1773=FALSE,M1773=FALSE),",","")&amp;IF(M1773=FALSE,"「残業時間」","")&amp;IF(OR(J1773=FALSE,K1773=FALSE,L1773=FALSE,M1773=FALSE),入力リスト!$K$36,"")&amp;IF(N1773,"",入力リスト!$K$37)))</f>
        <v/>
      </c>
      <c r="H1773" s="215"/>
      <c r="I1773" s="1" t="b">
        <f>IF(B1773="",FALSE,COUNTIF('従業員情報(給与以外)'!$A$4:$A$1000000,$B1773)=0)</f>
        <v>0</v>
      </c>
      <c r="J1773" s="8" t="b">
        <f t="shared" si="135"/>
        <v>1</v>
      </c>
      <c r="K1773" s="8" t="b">
        <f t="shared" si="136"/>
        <v>1</v>
      </c>
      <c r="L1773" s="8" t="b">
        <f t="shared" si="137"/>
        <v>1</v>
      </c>
      <c r="M1773" s="8" t="b">
        <f t="shared" si="138"/>
        <v>1</v>
      </c>
      <c r="N1773" s="1" t="b">
        <f t="shared" si="139"/>
        <v>1</v>
      </c>
      <c r="O1773" s="8" t="str">
        <f>IF(F1773="","",IF($F$2=入力リスト!$H$25,ROUNDDOWN(INT(F1773)+ROUNDDOWN((F1773-INT(F1773))*100,0)/60,2),F1773))</f>
        <v/>
      </c>
      <c r="P1773" s="7"/>
      <c r="Q1773" s="7"/>
    </row>
    <row r="1774" spans="1:17">
      <c r="A1774" s="105"/>
      <c r="B1774" s="2"/>
      <c r="C1774" s="3"/>
      <c r="D1774" s="3"/>
      <c r="E1774" s="3"/>
      <c r="F1774" s="8"/>
      <c r="G1774" s="215" t="str">
        <f>IF(AND($B1774="",OR(B1774&lt;&gt;"",C1774&lt;&gt;"",D1774&lt;&gt;"",E1774&lt;&gt;"",F1774&lt;&gt;"")),入力リスト!$K$34,IF($I1774=TRUE,入力リスト!$K$35,IF(J1774=FALSE,"「毎月の固定給与額」","")&amp;IF(AND(J1774=FALSE,OR(K1774=FALSE,L1774=FALSE,M1774=FALSE)),",","")&amp;IF(K1774=FALSE,"「賞与額等」","")&amp;IF(AND(K1774=FALSE,OR(L1774=FALSE,M1774=FALSE)),",","")&amp;IF(L1774=FALSE,"「残業手当」","")&amp;IF(AND(L1774=FALSE,M1774=FALSE),",","")&amp;IF(M1774=FALSE,"「残業時間」","")&amp;IF(OR(J1774=FALSE,K1774=FALSE,L1774=FALSE,M1774=FALSE),入力リスト!$K$36,"")&amp;IF(N1774,"",入力リスト!$K$37)))</f>
        <v/>
      </c>
      <c r="H1774" s="215"/>
      <c r="I1774" s="1" t="b">
        <f>IF(B1774="",FALSE,COUNTIF('従業員情報(給与以外)'!$A$4:$A$1000000,$B1774)=0)</f>
        <v>0</v>
      </c>
      <c r="J1774" s="8" t="b">
        <f t="shared" si="135"/>
        <v>1</v>
      </c>
      <c r="K1774" s="8" t="b">
        <f t="shared" si="136"/>
        <v>1</v>
      </c>
      <c r="L1774" s="8" t="b">
        <f t="shared" si="137"/>
        <v>1</v>
      </c>
      <c r="M1774" s="8" t="b">
        <f t="shared" si="138"/>
        <v>1</v>
      </c>
      <c r="N1774" s="1" t="b">
        <f t="shared" si="139"/>
        <v>1</v>
      </c>
      <c r="O1774" s="8" t="str">
        <f>IF(F1774="","",IF($F$2=入力リスト!$H$25,ROUNDDOWN(INT(F1774)+ROUNDDOWN((F1774-INT(F1774))*100,0)/60,2),F1774))</f>
        <v/>
      </c>
      <c r="P1774" s="7"/>
      <c r="Q1774" s="7"/>
    </row>
    <row r="1775" spans="1:17">
      <c r="A1775" s="105"/>
      <c r="B1775" s="2"/>
      <c r="C1775" s="3"/>
      <c r="D1775" s="3"/>
      <c r="E1775" s="3"/>
      <c r="F1775" s="8"/>
      <c r="G1775" s="215" t="str">
        <f>IF(AND($B1775="",OR(B1775&lt;&gt;"",C1775&lt;&gt;"",D1775&lt;&gt;"",E1775&lt;&gt;"",F1775&lt;&gt;"")),入力リスト!$K$34,IF($I1775=TRUE,入力リスト!$K$35,IF(J1775=FALSE,"「毎月の固定給与額」","")&amp;IF(AND(J1775=FALSE,OR(K1775=FALSE,L1775=FALSE,M1775=FALSE)),",","")&amp;IF(K1775=FALSE,"「賞与額等」","")&amp;IF(AND(K1775=FALSE,OR(L1775=FALSE,M1775=FALSE)),",","")&amp;IF(L1775=FALSE,"「残業手当」","")&amp;IF(AND(L1775=FALSE,M1775=FALSE),",","")&amp;IF(M1775=FALSE,"「残業時間」","")&amp;IF(OR(J1775=FALSE,K1775=FALSE,L1775=FALSE,M1775=FALSE),入力リスト!$K$36,"")&amp;IF(N1775,"",入力リスト!$K$37)))</f>
        <v/>
      </c>
      <c r="H1775" s="215"/>
      <c r="I1775" s="1" t="b">
        <f>IF(B1775="",FALSE,COUNTIF('従業員情報(給与以外)'!$A$4:$A$1000000,$B1775)=0)</f>
        <v>0</v>
      </c>
      <c r="J1775" s="8" t="b">
        <f t="shared" si="135"/>
        <v>1</v>
      </c>
      <c r="K1775" s="8" t="b">
        <f t="shared" si="136"/>
        <v>1</v>
      </c>
      <c r="L1775" s="8" t="b">
        <f t="shared" si="137"/>
        <v>1</v>
      </c>
      <c r="M1775" s="8" t="b">
        <f t="shared" si="138"/>
        <v>1</v>
      </c>
      <c r="N1775" s="1" t="b">
        <f t="shared" si="139"/>
        <v>1</v>
      </c>
      <c r="O1775" s="8" t="str">
        <f>IF(F1775="","",IF($F$2=入力リスト!$H$25,ROUNDDOWN(INT(F1775)+ROUNDDOWN((F1775-INT(F1775))*100,0)/60,2),F1775))</f>
        <v/>
      </c>
      <c r="P1775" s="7"/>
      <c r="Q1775" s="7"/>
    </row>
    <row r="1776" spans="1:17">
      <c r="A1776" s="105"/>
      <c r="B1776" s="2"/>
      <c r="C1776" s="3"/>
      <c r="D1776" s="3"/>
      <c r="E1776" s="3"/>
      <c r="F1776" s="8"/>
      <c r="G1776" s="215" t="str">
        <f>IF(AND($B1776="",OR(B1776&lt;&gt;"",C1776&lt;&gt;"",D1776&lt;&gt;"",E1776&lt;&gt;"",F1776&lt;&gt;"")),入力リスト!$K$34,IF($I1776=TRUE,入力リスト!$K$35,IF(J1776=FALSE,"「毎月の固定給与額」","")&amp;IF(AND(J1776=FALSE,OR(K1776=FALSE,L1776=FALSE,M1776=FALSE)),",","")&amp;IF(K1776=FALSE,"「賞与額等」","")&amp;IF(AND(K1776=FALSE,OR(L1776=FALSE,M1776=FALSE)),",","")&amp;IF(L1776=FALSE,"「残業手当」","")&amp;IF(AND(L1776=FALSE,M1776=FALSE),",","")&amp;IF(M1776=FALSE,"「残業時間」","")&amp;IF(OR(J1776=FALSE,K1776=FALSE,L1776=FALSE,M1776=FALSE),入力リスト!$K$36,"")&amp;IF(N1776,"",入力リスト!$K$37)))</f>
        <v/>
      </c>
      <c r="H1776" s="215"/>
      <c r="I1776" s="1" t="b">
        <f>IF(B1776="",FALSE,COUNTIF('従業員情報(給与以外)'!$A$4:$A$1000000,$B1776)=0)</f>
        <v>0</v>
      </c>
      <c r="J1776" s="8" t="b">
        <f t="shared" si="135"/>
        <v>1</v>
      </c>
      <c r="K1776" s="8" t="b">
        <f t="shared" si="136"/>
        <v>1</v>
      </c>
      <c r="L1776" s="8" t="b">
        <f t="shared" si="137"/>
        <v>1</v>
      </c>
      <c r="M1776" s="8" t="b">
        <f t="shared" si="138"/>
        <v>1</v>
      </c>
      <c r="N1776" s="1" t="b">
        <f t="shared" si="139"/>
        <v>1</v>
      </c>
      <c r="O1776" s="8" t="str">
        <f>IF(F1776="","",IF($F$2=入力リスト!$H$25,ROUNDDOWN(INT(F1776)+ROUNDDOWN((F1776-INT(F1776))*100,0)/60,2),F1776))</f>
        <v/>
      </c>
      <c r="P1776" s="7"/>
      <c r="Q1776" s="7"/>
    </row>
    <row r="1777" spans="1:17">
      <c r="A1777" s="105"/>
      <c r="B1777" s="2"/>
      <c r="C1777" s="3"/>
      <c r="D1777" s="3"/>
      <c r="E1777" s="3"/>
      <c r="F1777" s="8"/>
      <c r="G1777" s="215" t="str">
        <f>IF(AND($B1777="",OR(B1777&lt;&gt;"",C1777&lt;&gt;"",D1777&lt;&gt;"",E1777&lt;&gt;"",F1777&lt;&gt;"")),入力リスト!$K$34,IF($I1777=TRUE,入力リスト!$K$35,IF(J1777=FALSE,"「毎月の固定給与額」","")&amp;IF(AND(J1777=FALSE,OR(K1777=FALSE,L1777=FALSE,M1777=FALSE)),",","")&amp;IF(K1777=FALSE,"「賞与額等」","")&amp;IF(AND(K1777=FALSE,OR(L1777=FALSE,M1777=FALSE)),",","")&amp;IF(L1777=FALSE,"「残業手当」","")&amp;IF(AND(L1777=FALSE,M1777=FALSE),",","")&amp;IF(M1777=FALSE,"「残業時間」","")&amp;IF(OR(J1777=FALSE,K1777=FALSE,L1777=FALSE,M1777=FALSE),入力リスト!$K$36,"")&amp;IF(N1777,"",入力リスト!$K$37)))</f>
        <v/>
      </c>
      <c r="H1777" s="215"/>
      <c r="I1777" s="1" t="b">
        <f>IF(B1777="",FALSE,COUNTIF('従業員情報(給与以外)'!$A$4:$A$1000000,$B1777)=0)</f>
        <v>0</v>
      </c>
      <c r="J1777" s="8" t="b">
        <f t="shared" si="135"/>
        <v>1</v>
      </c>
      <c r="K1777" s="8" t="b">
        <f t="shared" si="136"/>
        <v>1</v>
      </c>
      <c r="L1777" s="8" t="b">
        <f t="shared" si="137"/>
        <v>1</v>
      </c>
      <c r="M1777" s="8" t="b">
        <f t="shared" si="138"/>
        <v>1</v>
      </c>
      <c r="N1777" s="1" t="b">
        <f t="shared" si="139"/>
        <v>1</v>
      </c>
      <c r="O1777" s="8" t="str">
        <f>IF(F1777="","",IF($F$2=入力リスト!$H$25,ROUNDDOWN(INT(F1777)+ROUNDDOWN((F1777-INT(F1777))*100,0)/60,2),F1777))</f>
        <v/>
      </c>
      <c r="P1777" s="7"/>
      <c r="Q1777" s="7"/>
    </row>
    <row r="1778" spans="1:17">
      <c r="A1778" s="105"/>
      <c r="B1778" s="2"/>
      <c r="C1778" s="3"/>
      <c r="D1778" s="3"/>
      <c r="E1778" s="3"/>
      <c r="F1778" s="8"/>
      <c r="G1778" s="215" t="str">
        <f>IF(AND($B1778="",OR(B1778&lt;&gt;"",C1778&lt;&gt;"",D1778&lt;&gt;"",E1778&lt;&gt;"",F1778&lt;&gt;"")),入力リスト!$K$34,IF($I1778=TRUE,入力リスト!$K$35,IF(J1778=FALSE,"「毎月の固定給与額」","")&amp;IF(AND(J1778=FALSE,OR(K1778=FALSE,L1778=FALSE,M1778=FALSE)),",","")&amp;IF(K1778=FALSE,"「賞与額等」","")&amp;IF(AND(K1778=FALSE,OR(L1778=FALSE,M1778=FALSE)),",","")&amp;IF(L1778=FALSE,"「残業手当」","")&amp;IF(AND(L1778=FALSE,M1778=FALSE),",","")&amp;IF(M1778=FALSE,"「残業時間」","")&amp;IF(OR(J1778=FALSE,K1778=FALSE,L1778=FALSE,M1778=FALSE),入力リスト!$K$36,"")&amp;IF(N1778,"",入力リスト!$K$37)))</f>
        <v/>
      </c>
      <c r="H1778" s="215"/>
      <c r="I1778" s="1" t="b">
        <f>IF(B1778="",FALSE,COUNTIF('従業員情報(給与以外)'!$A$4:$A$1000000,$B1778)=0)</f>
        <v>0</v>
      </c>
      <c r="J1778" s="8" t="b">
        <f t="shared" si="135"/>
        <v>1</v>
      </c>
      <c r="K1778" s="8" t="b">
        <f t="shared" si="136"/>
        <v>1</v>
      </c>
      <c r="L1778" s="8" t="b">
        <f t="shared" si="137"/>
        <v>1</v>
      </c>
      <c r="M1778" s="8" t="b">
        <f t="shared" si="138"/>
        <v>1</v>
      </c>
      <c r="N1778" s="1" t="b">
        <f t="shared" si="139"/>
        <v>1</v>
      </c>
      <c r="O1778" s="8" t="str">
        <f>IF(F1778="","",IF($F$2=入力リスト!$H$25,ROUNDDOWN(INT(F1778)+ROUNDDOWN((F1778-INT(F1778))*100,0)/60,2),F1778))</f>
        <v/>
      </c>
      <c r="P1778" s="7"/>
      <c r="Q1778" s="7"/>
    </row>
    <row r="1779" spans="1:17">
      <c r="A1779" s="105"/>
      <c r="B1779" s="2"/>
      <c r="C1779" s="3"/>
      <c r="D1779" s="3"/>
      <c r="E1779" s="3"/>
      <c r="F1779" s="8"/>
      <c r="G1779" s="215" t="str">
        <f>IF(AND($B1779="",OR(B1779&lt;&gt;"",C1779&lt;&gt;"",D1779&lt;&gt;"",E1779&lt;&gt;"",F1779&lt;&gt;"")),入力リスト!$K$34,IF($I1779=TRUE,入力リスト!$K$35,IF(J1779=FALSE,"「毎月の固定給与額」","")&amp;IF(AND(J1779=FALSE,OR(K1779=FALSE,L1779=FALSE,M1779=FALSE)),",","")&amp;IF(K1779=FALSE,"「賞与額等」","")&amp;IF(AND(K1779=FALSE,OR(L1779=FALSE,M1779=FALSE)),",","")&amp;IF(L1779=FALSE,"「残業手当」","")&amp;IF(AND(L1779=FALSE,M1779=FALSE),",","")&amp;IF(M1779=FALSE,"「残業時間」","")&amp;IF(OR(J1779=FALSE,K1779=FALSE,L1779=FALSE,M1779=FALSE),入力リスト!$K$36,"")&amp;IF(N1779,"",入力リスト!$K$37)))</f>
        <v/>
      </c>
      <c r="H1779" s="215"/>
      <c r="I1779" s="1" t="b">
        <f>IF(B1779="",FALSE,COUNTIF('従業員情報(給与以外)'!$A$4:$A$1000000,$B1779)=0)</f>
        <v>0</v>
      </c>
      <c r="J1779" s="8" t="b">
        <f t="shared" si="135"/>
        <v>1</v>
      </c>
      <c r="K1779" s="8" t="b">
        <f t="shared" si="136"/>
        <v>1</v>
      </c>
      <c r="L1779" s="8" t="b">
        <f t="shared" si="137"/>
        <v>1</v>
      </c>
      <c r="M1779" s="8" t="b">
        <f t="shared" si="138"/>
        <v>1</v>
      </c>
      <c r="N1779" s="1" t="b">
        <f t="shared" si="139"/>
        <v>1</v>
      </c>
      <c r="O1779" s="8" t="str">
        <f>IF(F1779="","",IF($F$2=入力リスト!$H$25,ROUNDDOWN(INT(F1779)+ROUNDDOWN((F1779-INT(F1779))*100,0)/60,2),F1779))</f>
        <v/>
      </c>
      <c r="P1779" s="7"/>
      <c r="Q1779" s="7"/>
    </row>
    <row r="1780" spans="1:17">
      <c r="A1780" s="105"/>
      <c r="B1780" s="2"/>
      <c r="C1780" s="3"/>
      <c r="D1780" s="3"/>
      <c r="E1780" s="3"/>
      <c r="F1780" s="8"/>
      <c r="G1780" s="215" t="str">
        <f>IF(AND($B1780="",OR(B1780&lt;&gt;"",C1780&lt;&gt;"",D1780&lt;&gt;"",E1780&lt;&gt;"",F1780&lt;&gt;"")),入力リスト!$K$34,IF($I1780=TRUE,入力リスト!$K$35,IF(J1780=FALSE,"「毎月の固定給与額」","")&amp;IF(AND(J1780=FALSE,OR(K1780=FALSE,L1780=FALSE,M1780=FALSE)),",","")&amp;IF(K1780=FALSE,"「賞与額等」","")&amp;IF(AND(K1780=FALSE,OR(L1780=FALSE,M1780=FALSE)),",","")&amp;IF(L1780=FALSE,"「残業手当」","")&amp;IF(AND(L1780=FALSE,M1780=FALSE),",","")&amp;IF(M1780=FALSE,"「残業時間」","")&amp;IF(OR(J1780=FALSE,K1780=FALSE,L1780=FALSE,M1780=FALSE),入力リスト!$K$36,"")&amp;IF(N1780,"",入力リスト!$K$37)))</f>
        <v/>
      </c>
      <c r="H1780" s="215"/>
      <c r="I1780" s="1" t="b">
        <f>IF(B1780="",FALSE,COUNTIF('従業員情報(給与以外)'!$A$4:$A$1000000,$B1780)=0)</f>
        <v>0</v>
      </c>
      <c r="J1780" s="8" t="b">
        <f t="shared" si="135"/>
        <v>1</v>
      </c>
      <c r="K1780" s="8" t="b">
        <f t="shared" si="136"/>
        <v>1</v>
      </c>
      <c r="L1780" s="8" t="b">
        <f t="shared" si="137"/>
        <v>1</v>
      </c>
      <c r="M1780" s="8" t="b">
        <f t="shared" si="138"/>
        <v>1</v>
      </c>
      <c r="N1780" s="1" t="b">
        <f t="shared" si="139"/>
        <v>1</v>
      </c>
      <c r="O1780" s="8" t="str">
        <f>IF(F1780="","",IF($F$2=入力リスト!$H$25,ROUNDDOWN(INT(F1780)+ROUNDDOWN((F1780-INT(F1780))*100,0)/60,2),F1780))</f>
        <v/>
      </c>
      <c r="P1780" s="7"/>
      <c r="Q1780" s="7"/>
    </row>
    <row r="1781" spans="1:17">
      <c r="A1781" s="105"/>
      <c r="B1781" s="2"/>
      <c r="C1781" s="3"/>
      <c r="D1781" s="3"/>
      <c r="E1781" s="3"/>
      <c r="F1781" s="8"/>
      <c r="G1781" s="215" t="str">
        <f>IF(AND($B1781="",OR(B1781&lt;&gt;"",C1781&lt;&gt;"",D1781&lt;&gt;"",E1781&lt;&gt;"",F1781&lt;&gt;"")),入力リスト!$K$34,IF($I1781=TRUE,入力リスト!$K$35,IF(J1781=FALSE,"「毎月の固定給与額」","")&amp;IF(AND(J1781=FALSE,OR(K1781=FALSE,L1781=FALSE,M1781=FALSE)),",","")&amp;IF(K1781=FALSE,"「賞与額等」","")&amp;IF(AND(K1781=FALSE,OR(L1781=FALSE,M1781=FALSE)),",","")&amp;IF(L1781=FALSE,"「残業手当」","")&amp;IF(AND(L1781=FALSE,M1781=FALSE),",","")&amp;IF(M1781=FALSE,"「残業時間」","")&amp;IF(OR(J1781=FALSE,K1781=FALSE,L1781=FALSE,M1781=FALSE),入力リスト!$K$36,"")&amp;IF(N1781,"",入力リスト!$K$37)))</f>
        <v/>
      </c>
      <c r="H1781" s="215"/>
      <c r="I1781" s="1" t="b">
        <f>IF(B1781="",FALSE,COUNTIF('従業員情報(給与以外)'!$A$4:$A$1000000,$B1781)=0)</f>
        <v>0</v>
      </c>
      <c r="J1781" s="8" t="b">
        <f t="shared" si="135"/>
        <v>1</v>
      </c>
      <c r="K1781" s="8" t="b">
        <f t="shared" si="136"/>
        <v>1</v>
      </c>
      <c r="L1781" s="8" t="b">
        <f t="shared" si="137"/>
        <v>1</v>
      </c>
      <c r="M1781" s="8" t="b">
        <f t="shared" si="138"/>
        <v>1</v>
      </c>
      <c r="N1781" s="1" t="b">
        <f t="shared" si="139"/>
        <v>1</v>
      </c>
      <c r="O1781" s="8" t="str">
        <f>IF(F1781="","",IF($F$2=入力リスト!$H$25,ROUNDDOWN(INT(F1781)+ROUNDDOWN((F1781-INT(F1781))*100,0)/60,2),F1781))</f>
        <v/>
      </c>
      <c r="P1781" s="7"/>
      <c r="Q1781" s="7"/>
    </row>
    <row r="1782" spans="1:17">
      <c r="A1782" s="105"/>
      <c r="B1782" s="2"/>
      <c r="C1782" s="3"/>
      <c r="D1782" s="3"/>
      <c r="E1782" s="3"/>
      <c r="F1782" s="8"/>
      <c r="G1782" s="215" t="str">
        <f>IF(AND($B1782="",OR(B1782&lt;&gt;"",C1782&lt;&gt;"",D1782&lt;&gt;"",E1782&lt;&gt;"",F1782&lt;&gt;"")),入力リスト!$K$34,IF($I1782=TRUE,入力リスト!$K$35,IF(J1782=FALSE,"「毎月の固定給与額」","")&amp;IF(AND(J1782=FALSE,OR(K1782=FALSE,L1782=FALSE,M1782=FALSE)),",","")&amp;IF(K1782=FALSE,"「賞与額等」","")&amp;IF(AND(K1782=FALSE,OR(L1782=FALSE,M1782=FALSE)),",","")&amp;IF(L1782=FALSE,"「残業手当」","")&amp;IF(AND(L1782=FALSE,M1782=FALSE),",","")&amp;IF(M1782=FALSE,"「残業時間」","")&amp;IF(OR(J1782=FALSE,K1782=FALSE,L1782=FALSE,M1782=FALSE),入力リスト!$K$36,"")&amp;IF(N1782,"",入力リスト!$K$37)))</f>
        <v/>
      </c>
      <c r="H1782" s="215"/>
      <c r="I1782" s="1" t="b">
        <f>IF(B1782="",FALSE,COUNTIF('従業員情報(給与以外)'!$A$4:$A$1000000,$B1782)=0)</f>
        <v>0</v>
      </c>
      <c r="J1782" s="8" t="b">
        <f t="shared" si="135"/>
        <v>1</v>
      </c>
      <c r="K1782" s="8" t="b">
        <f t="shared" si="136"/>
        <v>1</v>
      </c>
      <c r="L1782" s="8" t="b">
        <f t="shared" si="137"/>
        <v>1</v>
      </c>
      <c r="M1782" s="8" t="b">
        <f t="shared" si="138"/>
        <v>1</v>
      </c>
      <c r="N1782" s="1" t="b">
        <f t="shared" si="139"/>
        <v>1</v>
      </c>
      <c r="O1782" s="8" t="str">
        <f>IF(F1782="","",IF($F$2=入力リスト!$H$25,ROUNDDOWN(INT(F1782)+ROUNDDOWN((F1782-INT(F1782))*100,0)/60,2),F1782))</f>
        <v/>
      </c>
      <c r="P1782" s="7"/>
      <c r="Q1782" s="7"/>
    </row>
    <row r="1783" spans="1:17">
      <c r="A1783" s="105"/>
      <c r="B1783" s="2"/>
      <c r="C1783" s="3"/>
      <c r="D1783" s="3"/>
      <c r="E1783" s="3"/>
      <c r="F1783" s="8"/>
      <c r="G1783" s="215" t="str">
        <f>IF(AND($B1783="",OR(B1783&lt;&gt;"",C1783&lt;&gt;"",D1783&lt;&gt;"",E1783&lt;&gt;"",F1783&lt;&gt;"")),入力リスト!$K$34,IF($I1783=TRUE,入力リスト!$K$35,IF(J1783=FALSE,"「毎月の固定給与額」","")&amp;IF(AND(J1783=FALSE,OR(K1783=FALSE,L1783=FALSE,M1783=FALSE)),",","")&amp;IF(K1783=FALSE,"「賞与額等」","")&amp;IF(AND(K1783=FALSE,OR(L1783=FALSE,M1783=FALSE)),",","")&amp;IF(L1783=FALSE,"「残業手当」","")&amp;IF(AND(L1783=FALSE,M1783=FALSE),",","")&amp;IF(M1783=FALSE,"「残業時間」","")&amp;IF(OR(J1783=FALSE,K1783=FALSE,L1783=FALSE,M1783=FALSE),入力リスト!$K$36,"")&amp;IF(N1783,"",入力リスト!$K$37)))</f>
        <v/>
      </c>
      <c r="H1783" s="215"/>
      <c r="I1783" s="1" t="b">
        <f>IF(B1783="",FALSE,COUNTIF('従業員情報(給与以外)'!$A$4:$A$1000000,$B1783)=0)</f>
        <v>0</v>
      </c>
      <c r="J1783" s="8" t="b">
        <f t="shared" si="135"/>
        <v>1</v>
      </c>
      <c r="K1783" s="8" t="b">
        <f t="shared" si="136"/>
        <v>1</v>
      </c>
      <c r="L1783" s="8" t="b">
        <f t="shared" si="137"/>
        <v>1</v>
      </c>
      <c r="M1783" s="8" t="b">
        <f t="shared" si="138"/>
        <v>1</v>
      </c>
      <c r="N1783" s="1" t="b">
        <f t="shared" si="139"/>
        <v>1</v>
      </c>
      <c r="O1783" s="8" t="str">
        <f>IF(F1783="","",IF($F$2=入力リスト!$H$25,ROUNDDOWN(INT(F1783)+ROUNDDOWN((F1783-INT(F1783))*100,0)/60,2),F1783))</f>
        <v/>
      </c>
      <c r="P1783" s="7"/>
      <c r="Q1783" s="7"/>
    </row>
    <row r="1784" spans="1:17">
      <c r="A1784" s="105"/>
      <c r="B1784" s="2"/>
      <c r="C1784" s="3"/>
      <c r="D1784" s="3"/>
      <c r="E1784" s="3"/>
      <c r="F1784" s="8"/>
      <c r="G1784" s="215" t="str">
        <f>IF(AND($B1784="",OR(B1784&lt;&gt;"",C1784&lt;&gt;"",D1784&lt;&gt;"",E1784&lt;&gt;"",F1784&lt;&gt;"")),入力リスト!$K$34,IF($I1784=TRUE,入力リスト!$K$35,IF(J1784=FALSE,"「毎月の固定給与額」","")&amp;IF(AND(J1784=FALSE,OR(K1784=FALSE,L1784=FALSE,M1784=FALSE)),",","")&amp;IF(K1784=FALSE,"「賞与額等」","")&amp;IF(AND(K1784=FALSE,OR(L1784=FALSE,M1784=FALSE)),",","")&amp;IF(L1784=FALSE,"「残業手当」","")&amp;IF(AND(L1784=FALSE,M1784=FALSE),",","")&amp;IF(M1784=FALSE,"「残業時間」","")&amp;IF(OR(J1784=FALSE,K1784=FALSE,L1784=FALSE,M1784=FALSE),入力リスト!$K$36,"")&amp;IF(N1784,"",入力リスト!$K$37)))</f>
        <v/>
      </c>
      <c r="H1784" s="215"/>
      <c r="I1784" s="1" t="b">
        <f>IF(B1784="",FALSE,COUNTIF('従業員情報(給与以外)'!$A$4:$A$1000000,$B1784)=0)</f>
        <v>0</v>
      </c>
      <c r="J1784" s="8" t="b">
        <f t="shared" si="135"/>
        <v>1</v>
      </c>
      <c r="K1784" s="8" t="b">
        <f t="shared" si="136"/>
        <v>1</v>
      </c>
      <c r="L1784" s="8" t="b">
        <f t="shared" si="137"/>
        <v>1</v>
      </c>
      <c r="M1784" s="8" t="b">
        <f t="shared" si="138"/>
        <v>1</v>
      </c>
      <c r="N1784" s="1" t="b">
        <f t="shared" si="139"/>
        <v>1</v>
      </c>
      <c r="O1784" s="8" t="str">
        <f>IF(F1784="","",IF($F$2=入力リスト!$H$25,ROUNDDOWN(INT(F1784)+ROUNDDOWN((F1784-INT(F1784))*100,0)/60,2),F1784))</f>
        <v/>
      </c>
      <c r="P1784" s="7"/>
      <c r="Q1784" s="7"/>
    </row>
    <row r="1785" spans="1:17">
      <c r="A1785" s="105"/>
      <c r="B1785" s="2"/>
      <c r="C1785" s="3"/>
      <c r="D1785" s="3"/>
      <c r="E1785" s="3"/>
      <c r="F1785" s="8"/>
      <c r="G1785" s="215" t="str">
        <f>IF(AND($B1785="",OR(B1785&lt;&gt;"",C1785&lt;&gt;"",D1785&lt;&gt;"",E1785&lt;&gt;"",F1785&lt;&gt;"")),入力リスト!$K$34,IF($I1785=TRUE,入力リスト!$K$35,IF(J1785=FALSE,"「毎月の固定給与額」","")&amp;IF(AND(J1785=FALSE,OR(K1785=FALSE,L1785=FALSE,M1785=FALSE)),",","")&amp;IF(K1785=FALSE,"「賞与額等」","")&amp;IF(AND(K1785=FALSE,OR(L1785=FALSE,M1785=FALSE)),",","")&amp;IF(L1785=FALSE,"「残業手当」","")&amp;IF(AND(L1785=FALSE,M1785=FALSE),",","")&amp;IF(M1785=FALSE,"「残業時間」","")&amp;IF(OR(J1785=FALSE,K1785=FALSE,L1785=FALSE,M1785=FALSE),入力リスト!$K$36,"")&amp;IF(N1785,"",入力リスト!$K$37)))</f>
        <v/>
      </c>
      <c r="H1785" s="215"/>
      <c r="I1785" s="1" t="b">
        <f>IF(B1785="",FALSE,COUNTIF('従業員情報(給与以外)'!$A$4:$A$1000000,$B1785)=0)</f>
        <v>0</v>
      </c>
      <c r="J1785" s="8" t="b">
        <f t="shared" si="135"/>
        <v>1</v>
      </c>
      <c r="K1785" s="8" t="b">
        <f t="shared" si="136"/>
        <v>1</v>
      </c>
      <c r="L1785" s="8" t="b">
        <f t="shared" si="137"/>
        <v>1</v>
      </c>
      <c r="M1785" s="8" t="b">
        <f t="shared" si="138"/>
        <v>1</v>
      </c>
      <c r="N1785" s="1" t="b">
        <f t="shared" si="139"/>
        <v>1</v>
      </c>
      <c r="O1785" s="8" t="str">
        <f>IF(F1785="","",IF($F$2=入力リスト!$H$25,ROUNDDOWN(INT(F1785)+ROUNDDOWN((F1785-INT(F1785))*100,0)/60,2),F1785))</f>
        <v/>
      </c>
      <c r="P1785" s="7"/>
      <c r="Q1785" s="7"/>
    </row>
    <row r="1786" spans="1:17">
      <c r="A1786" s="105"/>
      <c r="B1786" s="2"/>
      <c r="C1786" s="3"/>
      <c r="D1786" s="3"/>
      <c r="E1786" s="3"/>
      <c r="F1786" s="8"/>
      <c r="G1786" s="215" t="str">
        <f>IF(AND($B1786="",OR(B1786&lt;&gt;"",C1786&lt;&gt;"",D1786&lt;&gt;"",E1786&lt;&gt;"",F1786&lt;&gt;"")),入力リスト!$K$34,IF($I1786=TRUE,入力リスト!$K$35,IF(J1786=FALSE,"「毎月の固定給与額」","")&amp;IF(AND(J1786=FALSE,OR(K1786=FALSE,L1786=FALSE,M1786=FALSE)),",","")&amp;IF(K1786=FALSE,"「賞与額等」","")&amp;IF(AND(K1786=FALSE,OR(L1786=FALSE,M1786=FALSE)),",","")&amp;IF(L1786=FALSE,"「残業手当」","")&amp;IF(AND(L1786=FALSE,M1786=FALSE),",","")&amp;IF(M1786=FALSE,"「残業時間」","")&amp;IF(OR(J1786=FALSE,K1786=FALSE,L1786=FALSE,M1786=FALSE),入力リスト!$K$36,"")&amp;IF(N1786,"",入力リスト!$K$37)))</f>
        <v/>
      </c>
      <c r="H1786" s="215"/>
      <c r="I1786" s="1" t="b">
        <f>IF(B1786="",FALSE,COUNTIF('従業員情報(給与以外)'!$A$4:$A$1000000,$B1786)=0)</f>
        <v>0</v>
      </c>
      <c r="J1786" s="8" t="b">
        <f t="shared" si="135"/>
        <v>1</v>
      </c>
      <c r="K1786" s="8" t="b">
        <f t="shared" si="136"/>
        <v>1</v>
      </c>
      <c r="L1786" s="8" t="b">
        <f t="shared" si="137"/>
        <v>1</v>
      </c>
      <c r="M1786" s="8" t="b">
        <f t="shared" si="138"/>
        <v>1</v>
      </c>
      <c r="N1786" s="1" t="b">
        <f t="shared" si="139"/>
        <v>1</v>
      </c>
      <c r="O1786" s="8" t="str">
        <f>IF(F1786="","",IF($F$2=入力リスト!$H$25,ROUNDDOWN(INT(F1786)+ROUNDDOWN((F1786-INT(F1786))*100,0)/60,2),F1786))</f>
        <v/>
      </c>
      <c r="P1786" s="7"/>
      <c r="Q1786" s="7"/>
    </row>
    <row r="1787" spans="1:17">
      <c r="A1787" s="105"/>
      <c r="B1787" s="2"/>
      <c r="C1787" s="3"/>
      <c r="D1787" s="3"/>
      <c r="E1787" s="3"/>
      <c r="F1787" s="8"/>
      <c r="G1787" s="215" t="str">
        <f>IF(AND($B1787="",OR(B1787&lt;&gt;"",C1787&lt;&gt;"",D1787&lt;&gt;"",E1787&lt;&gt;"",F1787&lt;&gt;"")),入力リスト!$K$34,IF($I1787=TRUE,入力リスト!$K$35,IF(J1787=FALSE,"「毎月の固定給与額」","")&amp;IF(AND(J1787=FALSE,OR(K1787=FALSE,L1787=FALSE,M1787=FALSE)),",","")&amp;IF(K1787=FALSE,"「賞与額等」","")&amp;IF(AND(K1787=FALSE,OR(L1787=FALSE,M1787=FALSE)),",","")&amp;IF(L1787=FALSE,"「残業手当」","")&amp;IF(AND(L1787=FALSE,M1787=FALSE),",","")&amp;IF(M1787=FALSE,"「残業時間」","")&amp;IF(OR(J1787=FALSE,K1787=FALSE,L1787=FALSE,M1787=FALSE),入力リスト!$K$36,"")&amp;IF(N1787,"",入力リスト!$K$37)))</f>
        <v/>
      </c>
      <c r="H1787" s="215"/>
      <c r="I1787" s="1" t="b">
        <f>IF(B1787="",FALSE,COUNTIF('従業員情報(給与以外)'!$A$4:$A$1000000,$B1787)=0)</f>
        <v>0</v>
      </c>
      <c r="J1787" s="8" t="b">
        <f t="shared" si="135"/>
        <v>1</v>
      </c>
      <c r="K1787" s="8" t="b">
        <f t="shared" si="136"/>
        <v>1</v>
      </c>
      <c r="L1787" s="8" t="b">
        <f t="shared" si="137"/>
        <v>1</v>
      </c>
      <c r="M1787" s="8" t="b">
        <f t="shared" si="138"/>
        <v>1</v>
      </c>
      <c r="N1787" s="1" t="b">
        <f t="shared" si="139"/>
        <v>1</v>
      </c>
      <c r="O1787" s="8" t="str">
        <f>IF(F1787="","",IF($F$2=入力リスト!$H$25,ROUNDDOWN(INT(F1787)+ROUNDDOWN((F1787-INT(F1787))*100,0)/60,2),F1787))</f>
        <v/>
      </c>
      <c r="P1787" s="7"/>
      <c r="Q1787" s="7"/>
    </row>
    <row r="1788" spans="1:17">
      <c r="A1788" s="105"/>
      <c r="B1788" s="2"/>
      <c r="C1788" s="3"/>
      <c r="D1788" s="3"/>
      <c r="E1788" s="3"/>
      <c r="F1788" s="8"/>
      <c r="G1788" s="215" t="str">
        <f>IF(AND($B1788="",OR(B1788&lt;&gt;"",C1788&lt;&gt;"",D1788&lt;&gt;"",E1788&lt;&gt;"",F1788&lt;&gt;"")),入力リスト!$K$34,IF($I1788=TRUE,入力リスト!$K$35,IF(J1788=FALSE,"「毎月の固定給与額」","")&amp;IF(AND(J1788=FALSE,OR(K1788=FALSE,L1788=FALSE,M1788=FALSE)),",","")&amp;IF(K1788=FALSE,"「賞与額等」","")&amp;IF(AND(K1788=FALSE,OR(L1788=FALSE,M1788=FALSE)),",","")&amp;IF(L1788=FALSE,"「残業手当」","")&amp;IF(AND(L1788=FALSE,M1788=FALSE),",","")&amp;IF(M1788=FALSE,"「残業時間」","")&amp;IF(OR(J1788=FALSE,K1788=FALSE,L1788=FALSE,M1788=FALSE),入力リスト!$K$36,"")&amp;IF(N1788,"",入力リスト!$K$37)))</f>
        <v/>
      </c>
      <c r="H1788" s="215"/>
      <c r="I1788" s="1" t="b">
        <f>IF(B1788="",FALSE,COUNTIF('従業員情報(給与以外)'!$A$4:$A$1000000,$B1788)=0)</f>
        <v>0</v>
      </c>
      <c r="J1788" s="8" t="b">
        <f t="shared" si="135"/>
        <v>1</v>
      </c>
      <c r="K1788" s="8" t="b">
        <f t="shared" si="136"/>
        <v>1</v>
      </c>
      <c r="L1788" s="8" t="b">
        <f t="shared" si="137"/>
        <v>1</v>
      </c>
      <c r="M1788" s="8" t="b">
        <f t="shared" si="138"/>
        <v>1</v>
      </c>
      <c r="N1788" s="1" t="b">
        <f t="shared" si="139"/>
        <v>1</v>
      </c>
      <c r="O1788" s="8" t="str">
        <f>IF(F1788="","",IF($F$2=入力リスト!$H$25,ROUNDDOWN(INT(F1788)+ROUNDDOWN((F1788-INT(F1788))*100,0)/60,2),F1788))</f>
        <v/>
      </c>
      <c r="P1788" s="7"/>
      <c r="Q1788" s="7"/>
    </row>
    <row r="1789" spans="1:17">
      <c r="A1789" s="105"/>
      <c r="B1789" s="2"/>
      <c r="C1789" s="3"/>
      <c r="D1789" s="3"/>
      <c r="E1789" s="3"/>
      <c r="F1789" s="8"/>
      <c r="G1789" s="215" t="str">
        <f>IF(AND($B1789="",OR(B1789&lt;&gt;"",C1789&lt;&gt;"",D1789&lt;&gt;"",E1789&lt;&gt;"",F1789&lt;&gt;"")),入力リスト!$K$34,IF($I1789=TRUE,入力リスト!$K$35,IF(J1789=FALSE,"「毎月の固定給与額」","")&amp;IF(AND(J1789=FALSE,OR(K1789=FALSE,L1789=FALSE,M1789=FALSE)),",","")&amp;IF(K1789=FALSE,"「賞与額等」","")&amp;IF(AND(K1789=FALSE,OR(L1789=FALSE,M1789=FALSE)),",","")&amp;IF(L1789=FALSE,"「残業手当」","")&amp;IF(AND(L1789=FALSE,M1789=FALSE),",","")&amp;IF(M1789=FALSE,"「残業時間」","")&amp;IF(OR(J1789=FALSE,K1789=FALSE,L1789=FALSE,M1789=FALSE),入力リスト!$K$36,"")&amp;IF(N1789,"",入力リスト!$K$37)))</f>
        <v/>
      </c>
      <c r="H1789" s="215"/>
      <c r="I1789" s="1" t="b">
        <f>IF(B1789="",FALSE,COUNTIF('従業員情報(給与以外)'!$A$4:$A$1000000,$B1789)=0)</f>
        <v>0</v>
      </c>
      <c r="J1789" s="8" t="b">
        <f t="shared" si="135"/>
        <v>1</v>
      </c>
      <c r="K1789" s="8" t="b">
        <f t="shared" si="136"/>
        <v>1</v>
      </c>
      <c r="L1789" s="8" t="b">
        <f t="shared" si="137"/>
        <v>1</v>
      </c>
      <c r="M1789" s="8" t="b">
        <f t="shared" si="138"/>
        <v>1</v>
      </c>
      <c r="N1789" s="1" t="b">
        <f t="shared" si="139"/>
        <v>1</v>
      </c>
      <c r="O1789" s="8" t="str">
        <f>IF(F1789="","",IF($F$2=入力リスト!$H$25,ROUNDDOWN(INT(F1789)+ROUNDDOWN((F1789-INT(F1789))*100,0)/60,2),F1789))</f>
        <v/>
      </c>
      <c r="P1789" s="7"/>
      <c r="Q1789" s="7"/>
    </row>
    <row r="1790" spans="1:17">
      <c r="A1790" s="105"/>
      <c r="B1790" s="2"/>
      <c r="C1790" s="3"/>
      <c r="D1790" s="3"/>
      <c r="E1790" s="3"/>
      <c r="F1790" s="8"/>
      <c r="G1790" s="215" t="str">
        <f>IF(AND($B1790="",OR(B1790&lt;&gt;"",C1790&lt;&gt;"",D1790&lt;&gt;"",E1790&lt;&gt;"",F1790&lt;&gt;"")),入力リスト!$K$34,IF($I1790=TRUE,入力リスト!$K$35,IF(J1790=FALSE,"「毎月の固定給与額」","")&amp;IF(AND(J1790=FALSE,OR(K1790=FALSE,L1790=FALSE,M1790=FALSE)),",","")&amp;IF(K1790=FALSE,"「賞与額等」","")&amp;IF(AND(K1790=FALSE,OR(L1790=FALSE,M1790=FALSE)),",","")&amp;IF(L1790=FALSE,"「残業手当」","")&amp;IF(AND(L1790=FALSE,M1790=FALSE),",","")&amp;IF(M1790=FALSE,"「残業時間」","")&amp;IF(OR(J1790=FALSE,K1790=FALSE,L1790=FALSE,M1790=FALSE),入力リスト!$K$36,"")&amp;IF(N1790,"",入力リスト!$K$37)))</f>
        <v/>
      </c>
      <c r="H1790" s="215"/>
      <c r="I1790" s="1" t="b">
        <f>IF(B1790="",FALSE,COUNTIF('従業員情報(給与以外)'!$A$4:$A$1000000,$B1790)=0)</f>
        <v>0</v>
      </c>
      <c r="J1790" s="8" t="b">
        <f t="shared" si="135"/>
        <v>1</v>
      </c>
      <c r="K1790" s="8" t="b">
        <f t="shared" si="136"/>
        <v>1</v>
      </c>
      <c r="L1790" s="8" t="b">
        <f t="shared" si="137"/>
        <v>1</v>
      </c>
      <c r="M1790" s="8" t="b">
        <f t="shared" si="138"/>
        <v>1</v>
      </c>
      <c r="N1790" s="1" t="b">
        <f t="shared" si="139"/>
        <v>1</v>
      </c>
      <c r="O1790" s="8" t="str">
        <f>IF(F1790="","",IF($F$2=入力リスト!$H$25,ROUNDDOWN(INT(F1790)+ROUNDDOWN((F1790-INT(F1790))*100,0)/60,2),F1790))</f>
        <v/>
      </c>
      <c r="P1790" s="7"/>
      <c r="Q1790" s="7"/>
    </row>
    <row r="1791" spans="1:17">
      <c r="A1791" s="105"/>
      <c r="B1791" s="2"/>
      <c r="C1791" s="3"/>
      <c r="D1791" s="3"/>
      <c r="E1791" s="3"/>
      <c r="F1791" s="8"/>
      <c r="G1791" s="215" t="str">
        <f>IF(AND($B1791="",OR(B1791&lt;&gt;"",C1791&lt;&gt;"",D1791&lt;&gt;"",E1791&lt;&gt;"",F1791&lt;&gt;"")),入力リスト!$K$34,IF($I1791=TRUE,入力リスト!$K$35,IF(J1791=FALSE,"「毎月の固定給与額」","")&amp;IF(AND(J1791=FALSE,OR(K1791=FALSE,L1791=FALSE,M1791=FALSE)),",","")&amp;IF(K1791=FALSE,"「賞与額等」","")&amp;IF(AND(K1791=FALSE,OR(L1791=FALSE,M1791=FALSE)),",","")&amp;IF(L1791=FALSE,"「残業手当」","")&amp;IF(AND(L1791=FALSE,M1791=FALSE),",","")&amp;IF(M1791=FALSE,"「残業時間」","")&amp;IF(OR(J1791=FALSE,K1791=FALSE,L1791=FALSE,M1791=FALSE),入力リスト!$K$36,"")&amp;IF(N1791,"",入力リスト!$K$37)))</f>
        <v/>
      </c>
      <c r="H1791" s="215"/>
      <c r="I1791" s="1" t="b">
        <f>IF(B1791="",FALSE,COUNTIF('従業員情報(給与以外)'!$A$4:$A$1000000,$B1791)=0)</f>
        <v>0</v>
      </c>
      <c r="J1791" s="8" t="b">
        <f t="shared" si="135"/>
        <v>1</v>
      </c>
      <c r="K1791" s="8" t="b">
        <f t="shared" si="136"/>
        <v>1</v>
      </c>
      <c r="L1791" s="8" t="b">
        <f t="shared" si="137"/>
        <v>1</v>
      </c>
      <c r="M1791" s="8" t="b">
        <f t="shared" si="138"/>
        <v>1</v>
      </c>
      <c r="N1791" s="1" t="b">
        <f t="shared" si="139"/>
        <v>1</v>
      </c>
      <c r="O1791" s="8" t="str">
        <f>IF(F1791="","",IF($F$2=入力リスト!$H$25,ROUNDDOWN(INT(F1791)+ROUNDDOWN((F1791-INT(F1791))*100,0)/60,2),F1791))</f>
        <v/>
      </c>
      <c r="P1791" s="7"/>
      <c r="Q1791" s="7"/>
    </row>
    <row r="1792" spans="1:17">
      <c r="A1792" s="105"/>
      <c r="B1792" s="2"/>
      <c r="C1792" s="3"/>
      <c r="D1792" s="3"/>
      <c r="E1792" s="3"/>
      <c r="F1792" s="8"/>
      <c r="G1792" s="215" t="str">
        <f>IF(AND($B1792="",OR(B1792&lt;&gt;"",C1792&lt;&gt;"",D1792&lt;&gt;"",E1792&lt;&gt;"",F1792&lt;&gt;"")),入力リスト!$K$34,IF($I1792=TRUE,入力リスト!$K$35,IF(J1792=FALSE,"「毎月の固定給与額」","")&amp;IF(AND(J1792=FALSE,OR(K1792=FALSE,L1792=FALSE,M1792=FALSE)),",","")&amp;IF(K1792=FALSE,"「賞与額等」","")&amp;IF(AND(K1792=FALSE,OR(L1792=FALSE,M1792=FALSE)),",","")&amp;IF(L1792=FALSE,"「残業手当」","")&amp;IF(AND(L1792=FALSE,M1792=FALSE),",","")&amp;IF(M1792=FALSE,"「残業時間」","")&amp;IF(OR(J1792=FALSE,K1792=FALSE,L1792=FALSE,M1792=FALSE),入力リスト!$K$36,"")&amp;IF(N1792,"",入力リスト!$K$37)))</f>
        <v/>
      </c>
      <c r="H1792" s="215"/>
      <c r="I1792" s="1" t="b">
        <f>IF(B1792="",FALSE,COUNTIF('従業員情報(給与以外)'!$A$4:$A$1000000,$B1792)=0)</f>
        <v>0</v>
      </c>
      <c r="J1792" s="8" t="b">
        <f t="shared" si="135"/>
        <v>1</v>
      </c>
      <c r="K1792" s="8" t="b">
        <f t="shared" si="136"/>
        <v>1</v>
      </c>
      <c r="L1792" s="8" t="b">
        <f t="shared" si="137"/>
        <v>1</v>
      </c>
      <c r="M1792" s="8" t="b">
        <f t="shared" si="138"/>
        <v>1</v>
      </c>
      <c r="N1792" s="1" t="b">
        <f t="shared" si="139"/>
        <v>1</v>
      </c>
      <c r="O1792" s="8" t="str">
        <f>IF(F1792="","",IF($F$2=入力リスト!$H$25,ROUNDDOWN(INT(F1792)+ROUNDDOWN((F1792-INT(F1792))*100,0)/60,2),F1792))</f>
        <v/>
      </c>
      <c r="P1792" s="7"/>
      <c r="Q1792" s="7"/>
    </row>
    <row r="1793" spans="1:17">
      <c r="A1793" s="105"/>
      <c r="B1793" s="2"/>
      <c r="C1793" s="3"/>
      <c r="D1793" s="3"/>
      <c r="E1793" s="3"/>
      <c r="F1793" s="8"/>
      <c r="G1793" s="215" t="str">
        <f>IF(AND($B1793="",OR(B1793&lt;&gt;"",C1793&lt;&gt;"",D1793&lt;&gt;"",E1793&lt;&gt;"",F1793&lt;&gt;"")),入力リスト!$K$34,IF($I1793=TRUE,入力リスト!$K$35,IF(J1793=FALSE,"「毎月の固定給与額」","")&amp;IF(AND(J1793=FALSE,OR(K1793=FALSE,L1793=FALSE,M1793=FALSE)),",","")&amp;IF(K1793=FALSE,"「賞与額等」","")&amp;IF(AND(K1793=FALSE,OR(L1793=FALSE,M1793=FALSE)),",","")&amp;IF(L1793=FALSE,"「残業手当」","")&amp;IF(AND(L1793=FALSE,M1793=FALSE),",","")&amp;IF(M1793=FALSE,"「残業時間」","")&amp;IF(OR(J1793=FALSE,K1793=FALSE,L1793=FALSE,M1793=FALSE),入力リスト!$K$36,"")&amp;IF(N1793,"",入力リスト!$K$37)))</f>
        <v/>
      </c>
      <c r="H1793" s="215"/>
      <c r="I1793" s="1" t="b">
        <f>IF(B1793="",FALSE,COUNTIF('従業員情報(給与以外)'!$A$4:$A$1000000,$B1793)=0)</f>
        <v>0</v>
      </c>
      <c r="J1793" s="8" t="b">
        <f t="shared" si="135"/>
        <v>1</v>
      </c>
      <c r="K1793" s="8" t="b">
        <f t="shared" si="136"/>
        <v>1</v>
      </c>
      <c r="L1793" s="8" t="b">
        <f t="shared" si="137"/>
        <v>1</v>
      </c>
      <c r="M1793" s="8" t="b">
        <f t="shared" si="138"/>
        <v>1</v>
      </c>
      <c r="N1793" s="1" t="b">
        <f t="shared" si="139"/>
        <v>1</v>
      </c>
      <c r="O1793" s="8" t="str">
        <f>IF(F1793="","",IF($F$2=入力リスト!$H$25,ROUNDDOWN(INT(F1793)+ROUNDDOWN((F1793-INT(F1793))*100,0)/60,2),F1793))</f>
        <v/>
      </c>
      <c r="P1793" s="7"/>
      <c r="Q1793" s="7"/>
    </row>
    <row r="1794" spans="1:17">
      <c r="A1794" s="105"/>
      <c r="B1794" s="2"/>
      <c r="C1794" s="3"/>
      <c r="D1794" s="3"/>
      <c r="E1794" s="3"/>
      <c r="F1794" s="8"/>
      <c r="G1794" s="215" t="str">
        <f>IF(AND($B1794="",OR(B1794&lt;&gt;"",C1794&lt;&gt;"",D1794&lt;&gt;"",E1794&lt;&gt;"",F1794&lt;&gt;"")),入力リスト!$K$34,IF($I1794=TRUE,入力リスト!$K$35,IF(J1794=FALSE,"「毎月の固定給与額」","")&amp;IF(AND(J1794=FALSE,OR(K1794=FALSE,L1794=FALSE,M1794=FALSE)),",","")&amp;IF(K1794=FALSE,"「賞与額等」","")&amp;IF(AND(K1794=FALSE,OR(L1794=FALSE,M1794=FALSE)),",","")&amp;IF(L1794=FALSE,"「残業手当」","")&amp;IF(AND(L1794=FALSE,M1794=FALSE),",","")&amp;IF(M1794=FALSE,"「残業時間」","")&amp;IF(OR(J1794=FALSE,K1794=FALSE,L1794=FALSE,M1794=FALSE),入力リスト!$K$36,"")&amp;IF(N1794,"",入力リスト!$K$37)))</f>
        <v/>
      </c>
      <c r="H1794" s="215"/>
      <c r="I1794" s="1" t="b">
        <f>IF(B1794="",FALSE,COUNTIF('従業員情報(給与以外)'!$A$4:$A$1000000,$B1794)=0)</f>
        <v>0</v>
      </c>
      <c r="J1794" s="8" t="b">
        <f t="shared" si="135"/>
        <v>1</v>
      </c>
      <c r="K1794" s="8" t="b">
        <f t="shared" si="136"/>
        <v>1</v>
      </c>
      <c r="L1794" s="8" t="b">
        <f t="shared" si="137"/>
        <v>1</v>
      </c>
      <c r="M1794" s="8" t="b">
        <f t="shared" si="138"/>
        <v>1</v>
      </c>
      <c r="N1794" s="1" t="b">
        <f t="shared" si="139"/>
        <v>1</v>
      </c>
      <c r="O1794" s="8" t="str">
        <f>IF(F1794="","",IF($F$2=入力リスト!$H$25,ROUNDDOWN(INT(F1794)+ROUNDDOWN((F1794-INT(F1794))*100,0)/60,2),F1794))</f>
        <v/>
      </c>
      <c r="P1794" s="7"/>
      <c r="Q1794" s="7"/>
    </row>
    <row r="1795" spans="1:17">
      <c r="A1795" s="105"/>
      <c r="B1795" s="2"/>
      <c r="C1795" s="3"/>
      <c r="D1795" s="3"/>
      <c r="E1795" s="3"/>
      <c r="F1795" s="8"/>
      <c r="G1795" s="215" t="str">
        <f>IF(AND($B1795="",OR(B1795&lt;&gt;"",C1795&lt;&gt;"",D1795&lt;&gt;"",E1795&lt;&gt;"",F1795&lt;&gt;"")),入力リスト!$K$34,IF($I1795=TRUE,入力リスト!$K$35,IF(J1795=FALSE,"「毎月の固定給与額」","")&amp;IF(AND(J1795=FALSE,OR(K1795=FALSE,L1795=FALSE,M1795=FALSE)),",","")&amp;IF(K1795=FALSE,"「賞与額等」","")&amp;IF(AND(K1795=FALSE,OR(L1795=FALSE,M1795=FALSE)),",","")&amp;IF(L1795=FALSE,"「残業手当」","")&amp;IF(AND(L1795=FALSE,M1795=FALSE),",","")&amp;IF(M1795=FALSE,"「残業時間」","")&amp;IF(OR(J1795=FALSE,K1795=FALSE,L1795=FALSE,M1795=FALSE),入力リスト!$K$36,"")&amp;IF(N1795,"",入力リスト!$K$37)))</f>
        <v/>
      </c>
      <c r="H1795" s="215"/>
      <c r="I1795" s="1" t="b">
        <f>IF(B1795="",FALSE,COUNTIF('従業員情報(給与以外)'!$A$4:$A$1000000,$B1795)=0)</f>
        <v>0</v>
      </c>
      <c r="J1795" s="8" t="b">
        <f t="shared" si="135"/>
        <v>1</v>
      </c>
      <c r="K1795" s="8" t="b">
        <f t="shared" si="136"/>
        <v>1</v>
      </c>
      <c r="L1795" s="8" t="b">
        <f t="shared" si="137"/>
        <v>1</v>
      </c>
      <c r="M1795" s="8" t="b">
        <f t="shared" si="138"/>
        <v>1</v>
      </c>
      <c r="N1795" s="1" t="b">
        <f t="shared" si="139"/>
        <v>1</v>
      </c>
      <c r="O1795" s="8" t="str">
        <f>IF(F1795="","",IF($F$2=入力リスト!$H$25,ROUNDDOWN(INT(F1795)+ROUNDDOWN((F1795-INT(F1795))*100,0)/60,2),F1795))</f>
        <v/>
      </c>
      <c r="P1795" s="7"/>
      <c r="Q1795" s="7"/>
    </row>
    <row r="1796" spans="1:17">
      <c r="A1796" s="105"/>
      <c r="B1796" s="2"/>
      <c r="C1796" s="3"/>
      <c r="D1796" s="3"/>
      <c r="E1796" s="3"/>
      <c r="F1796" s="8"/>
      <c r="G1796" s="215" t="str">
        <f>IF(AND($B1796="",OR(B1796&lt;&gt;"",C1796&lt;&gt;"",D1796&lt;&gt;"",E1796&lt;&gt;"",F1796&lt;&gt;"")),入力リスト!$K$34,IF($I1796=TRUE,入力リスト!$K$35,IF(J1796=FALSE,"「毎月の固定給与額」","")&amp;IF(AND(J1796=FALSE,OR(K1796=FALSE,L1796=FALSE,M1796=FALSE)),",","")&amp;IF(K1796=FALSE,"「賞与額等」","")&amp;IF(AND(K1796=FALSE,OR(L1796=FALSE,M1796=FALSE)),",","")&amp;IF(L1796=FALSE,"「残業手当」","")&amp;IF(AND(L1796=FALSE,M1796=FALSE),",","")&amp;IF(M1796=FALSE,"「残業時間」","")&amp;IF(OR(J1796=FALSE,K1796=FALSE,L1796=FALSE,M1796=FALSE),入力リスト!$K$36,"")&amp;IF(N1796,"",入力リスト!$K$37)))</f>
        <v/>
      </c>
      <c r="H1796" s="215"/>
      <c r="I1796" s="1" t="b">
        <f>IF(B1796="",FALSE,COUNTIF('従業員情報(給与以外)'!$A$4:$A$1000000,$B1796)=0)</f>
        <v>0</v>
      </c>
      <c r="J1796" s="8" t="b">
        <f t="shared" si="135"/>
        <v>1</v>
      </c>
      <c r="K1796" s="8" t="b">
        <f t="shared" si="136"/>
        <v>1</v>
      </c>
      <c r="L1796" s="8" t="b">
        <f t="shared" si="137"/>
        <v>1</v>
      </c>
      <c r="M1796" s="8" t="b">
        <f t="shared" si="138"/>
        <v>1</v>
      </c>
      <c r="N1796" s="1" t="b">
        <f t="shared" si="139"/>
        <v>1</v>
      </c>
      <c r="O1796" s="8" t="str">
        <f>IF(F1796="","",IF($F$2=入力リスト!$H$25,ROUNDDOWN(INT(F1796)+ROUNDDOWN((F1796-INT(F1796))*100,0)/60,2),F1796))</f>
        <v/>
      </c>
      <c r="P1796" s="7"/>
      <c r="Q1796" s="7"/>
    </row>
    <row r="1797" spans="1:17">
      <c r="A1797" s="105"/>
      <c r="B1797" s="2"/>
      <c r="C1797" s="3"/>
      <c r="D1797" s="3"/>
      <c r="E1797" s="3"/>
      <c r="F1797" s="8"/>
      <c r="G1797" s="215" t="str">
        <f>IF(AND($B1797="",OR(B1797&lt;&gt;"",C1797&lt;&gt;"",D1797&lt;&gt;"",E1797&lt;&gt;"",F1797&lt;&gt;"")),入力リスト!$K$34,IF($I1797=TRUE,入力リスト!$K$35,IF(J1797=FALSE,"「毎月の固定給与額」","")&amp;IF(AND(J1797=FALSE,OR(K1797=FALSE,L1797=FALSE,M1797=FALSE)),",","")&amp;IF(K1797=FALSE,"「賞与額等」","")&amp;IF(AND(K1797=FALSE,OR(L1797=FALSE,M1797=FALSE)),",","")&amp;IF(L1797=FALSE,"「残業手当」","")&amp;IF(AND(L1797=FALSE,M1797=FALSE),",","")&amp;IF(M1797=FALSE,"「残業時間」","")&amp;IF(OR(J1797=FALSE,K1797=FALSE,L1797=FALSE,M1797=FALSE),入力リスト!$K$36,"")&amp;IF(N1797,"",入力リスト!$K$37)))</f>
        <v/>
      </c>
      <c r="H1797" s="215"/>
      <c r="I1797" s="1" t="b">
        <f>IF(B1797="",FALSE,COUNTIF('従業員情報(給与以外)'!$A$4:$A$1000000,$B1797)=0)</f>
        <v>0</v>
      </c>
      <c r="J1797" s="8" t="b">
        <f t="shared" ref="J1797:J1860" si="140">OR(C1797="",ISNUMBER(C1797))</f>
        <v>1</v>
      </c>
      <c r="K1797" s="8" t="b">
        <f t="shared" ref="K1797:K1860" si="141">OR(D1797="",ISNUMBER(D1797))</f>
        <v>1</v>
      </c>
      <c r="L1797" s="8" t="b">
        <f t="shared" ref="L1797:L1860" si="142">OR(E1797="",ISNUMBER(E1797))</f>
        <v>1</v>
      </c>
      <c r="M1797" s="8" t="b">
        <f t="shared" ref="M1797:M1860" si="143">OR(F1797="",ISNUMBER(F1797))</f>
        <v>1</v>
      </c>
      <c r="N1797" s="1" t="b">
        <f t="shared" ref="N1797:N1860" si="144">IF($N$1,TRUE,IF($N$2,IF(F1797-INT(F1797)&lt;0.6,TRUE,FALSE),TRUE))</f>
        <v>1</v>
      </c>
      <c r="O1797" s="8" t="str">
        <f>IF(F1797="","",IF($F$2=入力リスト!$H$25,ROUNDDOWN(INT(F1797)+ROUNDDOWN((F1797-INT(F1797))*100,0)/60,2),F1797))</f>
        <v/>
      </c>
      <c r="P1797" s="7"/>
      <c r="Q1797" s="7"/>
    </row>
    <row r="1798" spans="1:17">
      <c r="A1798" s="105"/>
      <c r="B1798" s="2"/>
      <c r="C1798" s="3"/>
      <c r="D1798" s="3"/>
      <c r="E1798" s="3"/>
      <c r="F1798" s="8"/>
      <c r="G1798" s="215" t="str">
        <f>IF(AND($B1798="",OR(B1798&lt;&gt;"",C1798&lt;&gt;"",D1798&lt;&gt;"",E1798&lt;&gt;"",F1798&lt;&gt;"")),入力リスト!$K$34,IF($I1798=TRUE,入力リスト!$K$35,IF(J1798=FALSE,"「毎月の固定給与額」","")&amp;IF(AND(J1798=FALSE,OR(K1798=FALSE,L1798=FALSE,M1798=FALSE)),",","")&amp;IF(K1798=FALSE,"「賞与額等」","")&amp;IF(AND(K1798=FALSE,OR(L1798=FALSE,M1798=FALSE)),",","")&amp;IF(L1798=FALSE,"「残業手当」","")&amp;IF(AND(L1798=FALSE,M1798=FALSE),",","")&amp;IF(M1798=FALSE,"「残業時間」","")&amp;IF(OR(J1798=FALSE,K1798=FALSE,L1798=FALSE,M1798=FALSE),入力リスト!$K$36,"")&amp;IF(N1798,"",入力リスト!$K$37)))</f>
        <v/>
      </c>
      <c r="H1798" s="215"/>
      <c r="I1798" s="1" t="b">
        <f>IF(B1798="",FALSE,COUNTIF('従業員情報(給与以外)'!$A$4:$A$1000000,$B1798)=0)</f>
        <v>0</v>
      </c>
      <c r="J1798" s="8" t="b">
        <f t="shared" si="140"/>
        <v>1</v>
      </c>
      <c r="K1798" s="8" t="b">
        <f t="shared" si="141"/>
        <v>1</v>
      </c>
      <c r="L1798" s="8" t="b">
        <f t="shared" si="142"/>
        <v>1</v>
      </c>
      <c r="M1798" s="8" t="b">
        <f t="shared" si="143"/>
        <v>1</v>
      </c>
      <c r="N1798" s="1" t="b">
        <f t="shared" si="144"/>
        <v>1</v>
      </c>
      <c r="O1798" s="8" t="str">
        <f>IF(F1798="","",IF($F$2=入力リスト!$H$25,ROUNDDOWN(INT(F1798)+ROUNDDOWN((F1798-INT(F1798))*100,0)/60,2),F1798))</f>
        <v/>
      </c>
      <c r="P1798" s="7"/>
      <c r="Q1798" s="7"/>
    </row>
    <row r="1799" spans="1:17">
      <c r="A1799" s="105"/>
      <c r="B1799" s="2"/>
      <c r="C1799" s="3"/>
      <c r="D1799" s="3"/>
      <c r="E1799" s="3"/>
      <c r="F1799" s="8"/>
      <c r="G1799" s="215" t="str">
        <f>IF(AND($B1799="",OR(B1799&lt;&gt;"",C1799&lt;&gt;"",D1799&lt;&gt;"",E1799&lt;&gt;"",F1799&lt;&gt;"")),入力リスト!$K$34,IF($I1799=TRUE,入力リスト!$K$35,IF(J1799=FALSE,"「毎月の固定給与額」","")&amp;IF(AND(J1799=FALSE,OR(K1799=FALSE,L1799=FALSE,M1799=FALSE)),",","")&amp;IF(K1799=FALSE,"「賞与額等」","")&amp;IF(AND(K1799=FALSE,OR(L1799=FALSE,M1799=FALSE)),",","")&amp;IF(L1799=FALSE,"「残業手当」","")&amp;IF(AND(L1799=FALSE,M1799=FALSE),",","")&amp;IF(M1799=FALSE,"「残業時間」","")&amp;IF(OR(J1799=FALSE,K1799=FALSE,L1799=FALSE,M1799=FALSE),入力リスト!$K$36,"")&amp;IF(N1799,"",入力リスト!$K$37)))</f>
        <v/>
      </c>
      <c r="H1799" s="215"/>
      <c r="I1799" s="1" t="b">
        <f>IF(B1799="",FALSE,COUNTIF('従業員情報(給与以外)'!$A$4:$A$1000000,$B1799)=0)</f>
        <v>0</v>
      </c>
      <c r="J1799" s="8" t="b">
        <f t="shared" si="140"/>
        <v>1</v>
      </c>
      <c r="K1799" s="8" t="b">
        <f t="shared" si="141"/>
        <v>1</v>
      </c>
      <c r="L1799" s="8" t="b">
        <f t="shared" si="142"/>
        <v>1</v>
      </c>
      <c r="M1799" s="8" t="b">
        <f t="shared" si="143"/>
        <v>1</v>
      </c>
      <c r="N1799" s="1" t="b">
        <f t="shared" si="144"/>
        <v>1</v>
      </c>
      <c r="O1799" s="8" t="str">
        <f>IF(F1799="","",IF($F$2=入力リスト!$H$25,ROUNDDOWN(INT(F1799)+ROUNDDOWN((F1799-INT(F1799))*100,0)/60,2),F1799))</f>
        <v/>
      </c>
      <c r="P1799" s="7"/>
      <c r="Q1799" s="7"/>
    </row>
    <row r="1800" spans="1:17">
      <c r="A1800" s="105"/>
      <c r="B1800" s="2"/>
      <c r="C1800" s="3"/>
      <c r="D1800" s="3"/>
      <c r="E1800" s="3"/>
      <c r="F1800" s="8"/>
      <c r="G1800" s="215" t="str">
        <f>IF(AND($B1800="",OR(B1800&lt;&gt;"",C1800&lt;&gt;"",D1800&lt;&gt;"",E1800&lt;&gt;"",F1800&lt;&gt;"")),入力リスト!$K$34,IF($I1800=TRUE,入力リスト!$K$35,IF(J1800=FALSE,"「毎月の固定給与額」","")&amp;IF(AND(J1800=FALSE,OR(K1800=FALSE,L1800=FALSE,M1800=FALSE)),",","")&amp;IF(K1800=FALSE,"「賞与額等」","")&amp;IF(AND(K1800=FALSE,OR(L1800=FALSE,M1800=FALSE)),",","")&amp;IF(L1800=FALSE,"「残業手当」","")&amp;IF(AND(L1800=FALSE,M1800=FALSE),",","")&amp;IF(M1800=FALSE,"「残業時間」","")&amp;IF(OR(J1800=FALSE,K1800=FALSE,L1800=FALSE,M1800=FALSE),入力リスト!$K$36,"")&amp;IF(N1800,"",入力リスト!$K$37)))</f>
        <v/>
      </c>
      <c r="H1800" s="215"/>
      <c r="I1800" s="1" t="b">
        <f>IF(B1800="",FALSE,COUNTIF('従業員情報(給与以外)'!$A$4:$A$1000000,$B1800)=0)</f>
        <v>0</v>
      </c>
      <c r="J1800" s="8" t="b">
        <f t="shared" si="140"/>
        <v>1</v>
      </c>
      <c r="K1800" s="8" t="b">
        <f t="shared" si="141"/>
        <v>1</v>
      </c>
      <c r="L1800" s="8" t="b">
        <f t="shared" si="142"/>
        <v>1</v>
      </c>
      <c r="M1800" s="8" t="b">
        <f t="shared" si="143"/>
        <v>1</v>
      </c>
      <c r="N1800" s="1" t="b">
        <f t="shared" si="144"/>
        <v>1</v>
      </c>
      <c r="O1800" s="8" t="str">
        <f>IF(F1800="","",IF($F$2=入力リスト!$H$25,ROUNDDOWN(INT(F1800)+ROUNDDOWN((F1800-INT(F1800))*100,0)/60,2),F1800))</f>
        <v/>
      </c>
      <c r="P1800" s="7"/>
      <c r="Q1800" s="7"/>
    </row>
    <row r="1801" spans="1:17">
      <c r="A1801" s="105"/>
      <c r="B1801" s="2"/>
      <c r="C1801" s="3"/>
      <c r="D1801" s="3"/>
      <c r="E1801" s="3"/>
      <c r="F1801" s="8"/>
      <c r="G1801" s="215" t="str">
        <f>IF(AND($B1801="",OR(B1801&lt;&gt;"",C1801&lt;&gt;"",D1801&lt;&gt;"",E1801&lt;&gt;"",F1801&lt;&gt;"")),入力リスト!$K$34,IF($I1801=TRUE,入力リスト!$K$35,IF(J1801=FALSE,"「毎月の固定給与額」","")&amp;IF(AND(J1801=FALSE,OR(K1801=FALSE,L1801=FALSE,M1801=FALSE)),",","")&amp;IF(K1801=FALSE,"「賞与額等」","")&amp;IF(AND(K1801=FALSE,OR(L1801=FALSE,M1801=FALSE)),",","")&amp;IF(L1801=FALSE,"「残業手当」","")&amp;IF(AND(L1801=FALSE,M1801=FALSE),",","")&amp;IF(M1801=FALSE,"「残業時間」","")&amp;IF(OR(J1801=FALSE,K1801=FALSE,L1801=FALSE,M1801=FALSE),入力リスト!$K$36,"")&amp;IF(N1801,"",入力リスト!$K$37)))</f>
        <v/>
      </c>
      <c r="H1801" s="215"/>
      <c r="I1801" s="1" t="b">
        <f>IF(B1801="",FALSE,COUNTIF('従業員情報(給与以外)'!$A$4:$A$1000000,$B1801)=0)</f>
        <v>0</v>
      </c>
      <c r="J1801" s="8" t="b">
        <f t="shared" si="140"/>
        <v>1</v>
      </c>
      <c r="K1801" s="8" t="b">
        <f t="shared" si="141"/>
        <v>1</v>
      </c>
      <c r="L1801" s="8" t="b">
        <f t="shared" si="142"/>
        <v>1</v>
      </c>
      <c r="M1801" s="8" t="b">
        <f t="shared" si="143"/>
        <v>1</v>
      </c>
      <c r="N1801" s="1" t="b">
        <f t="shared" si="144"/>
        <v>1</v>
      </c>
      <c r="O1801" s="8" t="str">
        <f>IF(F1801="","",IF($F$2=入力リスト!$H$25,ROUNDDOWN(INT(F1801)+ROUNDDOWN((F1801-INT(F1801))*100,0)/60,2),F1801))</f>
        <v/>
      </c>
      <c r="P1801" s="7"/>
      <c r="Q1801" s="7"/>
    </row>
    <row r="1802" spans="1:17">
      <c r="A1802" s="105"/>
      <c r="B1802" s="2"/>
      <c r="C1802" s="3"/>
      <c r="D1802" s="3"/>
      <c r="E1802" s="3"/>
      <c r="F1802" s="8"/>
      <c r="G1802" s="215" t="str">
        <f>IF(AND($B1802="",OR(B1802&lt;&gt;"",C1802&lt;&gt;"",D1802&lt;&gt;"",E1802&lt;&gt;"",F1802&lt;&gt;"")),入力リスト!$K$34,IF($I1802=TRUE,入力リスト!$K$35,IF(J1802=FALSE,"「毎月の固定給与額」","")&amp;IF(AND(J1802=FALSE,OR(K1802=FALSE,L1802=FALSE,M1802=FALSE)),",","")&amp;IF(K1802=FALSE,"「賞与額等」","")&amp;IF(AND(K1802=FALSE,OR(L1802=FALSE,M1802=FALSE)),",","")&amp;IF(L1802=FALSE,"「残業手当」","")&amp;IF(AND(L1802=FALSE,M1802=FALSE),",","")&amp;IF(M1802=FALSE,"「残業時間」","")&amp;IF(OR(J1802=FALSE,K1802=FALSE,L1802=FALSE,M1802=FALSE),入力リスト!$K$36,"")&amp;IF(N1802,"",入力リスト!$K$37)))</f>
        <v/>
      </c>
      <c r="H1802" s="215"/>
      <c r="I1802" s="1" t="b">
        <f>IF(B1802="",FALSE,COUNTIF('従業員情報(給与以外)'!$A$4:$A$1000000,$B1802)=0)</f>
        <v>0</v>
      </c>
      <c r="J1802" s="8" t="b">
        <f t="shared" si="140"/>
        <v>1</v>
      </c>
      <c r="K1802" s="8" t="b">
        <f t="shared" si="141"/>
        <v>1</v>
      </c>
      <c r="L1802" s="8" t="b">
        <f t="shared" si="142"/>
        <v>1</v>
      </c>
      <c r="M1802" s="8" t="b">
        <f t="shared" si="143"/>
        <v>1</v>
      </c>
      <c r="N1802" s="1" t="b">
        <f t="shared" si="144"/>
        <v>1</v>
      </c>
      <c r="O1802" s="8" t="str">
        <f>IF(F1802="","",IF($F$2=入力リスト!$H$25,ROUNDDOWN(INT(F1802)+ROUNDDOWN((F1802-INT(F1802))*100,0)/60,2),F1802))</f>
        <v/>
      </c>
      <c r="P1802" s="7"/>
      <c r="Q1802" s="7"/>
    </row>
    <row r="1803" spans="1:17">
      <c r="A1803" s="105"/>
      <c r="B1803" s="2"/>
      <c r="C1803" s="3"/>
      <c r="D1803" s="3"/>
      <c r="E1803" s="3"/>
      <c r="F1803" s="8"/>
      <c r="G1803" s="215" t="str">
        <f>IF(AND($B1803="",OR(B1803&lt;&gt;"",C1803&lt;&gt;"",D1803&lt;&gt;"",E1803&lt;&gt;"",F1803&lt;&gt;"")),入力リスト!$K$34,IF($I1803=TRUE,入力リスト!$K$35,IF(J1803=FALSE,"「毎月の固定給与額」","")&amp;IF(AND(J1803=FALSE,OR(K1803=FALSE,L1803=FALSE,M1803=FALSE)),",","")&amp;IF(K1803=FALSE,"「賞与額等」","")&amp;IF(AND(K1803=FALSE,OR(L1803=FALSE,M1803=FALSE)),",","")&amp;IF(L1803=FALSE,"「残業手当」","")&amp;IF(AND(L1803=FALSE,M1803=FALSE),",","")&amp;IF(M1803=FALSE,"「残業時間」","")&amp;IF(OR(J1803=FALSE,K1803=FALSE,L1803=FALSE,M1803=FALSE),入力リスト!$K$36,"")&amp;IF(N1803,"",入力リスト!$K$37)))</f>
        <v/>
      </c>
      <c r="H1803" s="215"/>
      <c r="I1803" s="1" t="b">
        <f>IF(B1803="",FALSE,COUNTIF('従業員情報(給与以外)'!$A$4:$A$1000000,$B1803)=0)</f>
        <v>0</v>
      </c>
      <c r="J1803" s="8" t="b">
        <f t="shared" si="140"/>
        <v>1</v>
      </c>
      <c r="K1803" s="8" t="b">
        <f t="shared" si="141"/>
        <v>1</v>
      </c>
      <c r="L1803" s="8" t="b">
        <f t="shared" si="142"/>
        <v>1</v>
      </c>
      <c r="M1803" s="8" t="b">
        <f t="shared" si="143"/>
        <v>1</v>
      </c>
      <c r="N1803" s="1" t="b">
        <f t="shared" si="144"/>
        <v>1</v>
      </c>
      <c r="O1803" s="8" t="str">
        <f>IF(F1803="","",IF($F$2=入力リスト!$H$25,ROUNDDOWN(INT(F1803)+ROUNDDOWN((F1803-INT(F1803))*100,0)/60,2),F1803))</f>
        <v/>
      </c>
      <c r="P1803" s="7"/>
      <c r="Q1803" s="7"/>
    </row>
    <row r="1804" spans="1:17">
      <c r="A1804" s="105"/>
      <c r="B1804" s="2"/>
      <c r="C1804" s="3"/>
      <c r="D1804" s="3"/>
      <c r="E1804" s="3"/>
      <c r="F1804" s="8"/>
      <c r="G1804" s="215" t="str">
        <f>IF(AND($B1804="",OR(B1804&lt;&gt;"",C1804&lt;&gt;"",D1804&lt;&gt;"",E1804&lt;&gt;"",F1804&lt;&gt;"")),入力リスト!$K$34,IF($I1804=TRUE,入力リスト!$K$35,IF(J1804=FALSE,"「毎月の固定給与額」","")&amp;IF(AND(J1804=FALSE,OR(K1804=FALSE,L1804=FALSE,M1804=FALSE)),",","")&amp;IF(K1804=FALSE,"「賞与額等」","")&amp;IF(AND(K1804=FALSE,OR(L1804=FALSE,M1804=FALSE)),",","")&amp;IF(L1804=FALSE,"「残業手当」","")&amp;IF(AND(L1804=FALSE,M1804=FALSE),",","")&amp;IF(M1804=FALSE,"「残業時間」","")&amp;IF(OR(J1804=FALSE,K1804=FALSE,L1804=FALSE,M1804=FALSE),入力リスト!$K$36,"")&amp;IF(N1804,"",入力リスト!$K$37)))</f>
        <v/>
      </c>
      <c r="H1804" s="215"/>
      <c r="I1804" s="1" t="b">
        <f>IF(B1804="",FALSE,COUNTIF('従業員情報(給与以外)'!$A$4:$A$1000000,$B1804)=0)</f>
        <v>0</v>
      </c>
      <c r="J1804" s="8" t="b">
        <f t="shared" si="140"/>
        <v>1</v>
      </c>
      <c r="K1804" s="8" t="b">
        <f t="shared" si="141"/>
        <v>1</v>
      </c>
      <c r="L1804" s="8" t="b">
        <f t="shared" si="142"/>
        <v>1</v>
      </c>
      <c r="M1804" s="8" t="b">
        <f t="shared" si="143"/>
        <v>1</v>
      </c>
      <c r="N1804" s="1" t="b">
        <f t="shared" si="144"/>
        <v>1</v>
      </c>
      <c r="O1804" s="8" t="str">
        <f>IF(F1804="","",IF($F$2=入力リスト!$H$25,ROUNDDOWN(INT(F1804)+ROUNDDOWN((F1804-INT(F1804))*100,0)/60,2),F1804))</f>
        <v/>
      </c>
      <c r="P1804" s="7"/>
      <c r="Q1804" s="7"/>
    </row>
    <row r="1805" spans="1:17">
      <c r="A1805" s="105"/>
      <c r="B1805" s="2"/>
      <c r="C1805" s="3"/>
      <c r="D1805" s="3"/>
      <c r="E1805" s="3"/>
      <c r="F1805" s="8"/>
      <c r="G1805" s="215" t="str">
        <f>IF(AND($B1805="",OR(B1805&lt;&gt;"",C1805&lt;&gt;"",D1805&lt;&gt;"",E1805&lt;&gt;"",F1805&lt;&gt;"")),入力リスト!$K$34,IF($I1805=TRUE,入力リスト!$K$35,IF(J1805=FALSE,"「毎月の固定給与額」","")&amp;IF(AND(J1805=FALSE,OR(K1805=FALSE,L1805=FALSE,M1805=FALSE)),",","")&amp;IF(K1805=FALSE,"「賞与額等」","")&amp;IF(AND(K1805=FALSE,OR(L1805=FALSE,M1805=FALSE)),",","")&amp;IF(L1805=FALSE,"「残業手当」","")&amp;IF(AND(L1805=FALSE,M1805=FALSE),",","")&amp;IF(M1805=FALSE,"「残業時間」","")&amp;IF(OR(J1805=FALSE,K1805=FALSE,L1805=FALSE,M1805=FALSE),入力リスト!$K$36,"")&amp;IF(N1805,"",入力リスト!$K$37)))</f>
        <v/>
      </c>
      <c r="H1805" s="215"/>
      <c r="I1805" s="1" t="b">
        <f>IF(B1805="",FALSE,COUNTIF('従業員情報(給与以外)'!$A$4:$A$1000000,$B1805)=0)</f>
        <v>0</v>
      </c>
      <c r="J1805" s="8" t="b">
        <f t="shared" si="140"/>
        <v>1</v>
      </c>
      <c r="K1805" s="8" t="b">
        <f t="shared" si="141"/>
        <v>1</v>
      </c>
      <c r="L1805" s="8" t="b">
        <f t="shared" si="142"/>
        <v>1</v>
      </c>
      <c r="M1805" s="8" t="b">
        <f t="shared" si="143"/>
        <v>1</v>
      </c>
      <c r="N1805" s="1" t="b">
        <f t="shared" si="144"/>
        <v>1</v>
      </c>
      <c r="O1805" s="8" t="str">
        <f>IF(F1805="","",IF($F$2=入力リスト!$H$25,ROUNDDOWN(INT(F1805)+ROUNDDOWN((F1805-INT(F1805))*100,0)/60,2),F1805))</f>
        <v/>
      </c>
      <c r="P1805" s="7"/>
      <c r="Q1805" s="7"/>
    </row>
    <row r="1806" spans="1:17">
      <c r="A1806" s="105"/>
      <c r="B1806" s="2"/>
      <c r="C1806" s="3"/>
      <c r="D1806" s="3"/>
      <c r="E1806" s="3"/>
      <c r="F1806" s="8"/>
      <c r="G1806" s="215" t="str">
        <f>IF(AND($B1806="",OR(B1806&lt;&gt;"",C1806&lt;&gt;"",D1806&lt;&gt;"",E1806&lt;&gt;"",F1806&lt;&gt;"")),入力リスト!$K$34,IF($I1806=TRUE,入力リスト!$K$35,IF(J1806=FALSE,"「毎月の固定給与額」","")&amp;IF(AND(J1806=FALSE,OR(K1806=FALSE,L1806=FALSE,M1806=FALSE)),",","")&amp;IF(K1806=FALSE,"「賞与額等」","")&amp;IF(AND(K1806=FALSE,OR(L1806=FALSE,M1806=FALSE)),",","")&amp;IF(L1806=FALSE,"「残業手当」","")&amp;IF(AND(L1806=FALSE,M1806=FALSE),",","")&amp;IF(M1806=FALSE,"「残業時間」","")&amp;IF(OR(J1806=FALSE,K1806=FALSE,L1806=FALSE,M1806=FALSE),入力リスト!$K$36,"")&amp;IF(N1806,"",入力リスト!$K$37)))</f>
        <v/>
      </c>
      <c r="H1806" s="215"/>
      <c r="I1806" s="1" t="b">
        <f>IF(B1806="",FALSE,COUNTIF('従業員情報(給与以外)'!$A$4:$A$1000000,$B1806)=0)</f>
        <v>0</v>
      </c>
      <c r="J1806" s="8" t="b">
        <f t="shared" si="140"/>
        <v>1</v>
      </c>
      <c r="K1806" s="8" t="b">
        <f t="shared" si="141"/>
        <v>1</v>
      </c>
      <c r="L1806" s="8" t="b">
        <f t="shared" si="142"/>
        <v>1</v>
      </c>
      <c r="M1806" s="8" t="b">
        <f t="shared" si="143"/>
        <v>1</v>
      </c>
      <c r="N1806" s="1" t="b">
        <f t="shared" si="144"/>
        <v>1</v>
      </c>
      <c r="O1806" s="8" t="str">
        <f>IF(F1806="","",IF($F$2=入力リスト!$H$25,ROUNDDOWN(INT(F1806)+ROUNDDOWN((F1806-INT(F1806))*100,0)/60,2),F1806))</f>
        <v/>
      </c>
      <c r="P1806" s="7"/>
      <c r="Q1806" s="7"/>
    </row>
    <row r="1807" spans="1:17">
      <c r="A1807" s="105"/>
      <c r="B1807" s="2"/>
      <c r="C1807" s="3"/>
      <c r="D1807" s="3"/>
      <c r="E1807" s="3"/>
      <c r="F1807" s="8"/>
      <c r="G1807" s="215" t="str">
        <f>IF(AND($B1807="",OR(B1807&lt;&gt;"",C1807&lt;&gt;"",D1807&lt;&gt;"",E1807&lt;&gt;"",F1807&lt;&gt;"")),入力リスト!$K$34,IF($I1807=TRUE,入力リスト!$K$35,IF(J1807=FALSE,"「毎月の固定給与額」","")&amp;IF(AND(J1807=FALSE,OR(K1807=FALSE,L1807=FALSE,M1807=FALSE)),",","")&amp;IF(K1807=FALSE,"「賞与額等」","")&amp;IF(AND(K1807=FALSE,OR(L1807=FALSE,M1807=FALSE)),",","")&amp;IF(L1807=FALSE,"「残業手当」","")&amp;IF(AND(L1807=FALSE,M1807=FALSE),",","")&amp;IF(M1807=FALSE,"「残業時間」","")&amp;IF(OR(J1807=FALSE,K1807=FALSE,L1807=FALSE,M1807=FALSE),入力リスト!$K$36,"")&amp;IF(N1807,"",入力リスト!$K$37)))</f>
        <v/>
      </c>
      <c r="H1807" s="215"/>
      <c r="I1807" s="1" t="b">
        <f>IF(B1807="",FALSE,COUNTIF('従業員情報(給与以外)'!$A$4:$A$1000000,$B1807)=0)</f>
        <v>0</v>
      </c>
      <c r="J1807" s="8" t="b">
        <f t="shared" si="140"/>
        <v>1</v>
      </c>
      <c r="K1807" s="8" t="b">
        <f t="shared" si="141"/>
        <v>1</v>
      </c>
      <c r="L1807" s="8" t="b">
        <f t="shared" si="142"/>
        <v>1</v>
      </c>
      <c r="M1807" s="8" t="b">
        <f t="shared" si="143"/>
        <v>1</v>
      </c>
      <c r="N1807" s="1" t="b">
        <f t="shared" si="144"/>
        <v>1</v>
      </c>
      <c r="O1807" s="8" t="str">
        <f>IF(F1807="","",IF($F$2=入力リスト!$H$25,ROUNDDOWN(INT(F1807)+ROUNDDOWN((F1807-INT(F1807))*100,0)/60,2),F1807))</f>
        <v/>
      </c>
      <c r="P1807" s="7"/>
      <c r="Q1807" s="7"/>
    </row>
    <row r="1808" spans="1:17">
      <c r="A1808" s="105"/>
      <c r="B1808" s="2"/>
      <c r="C1808" s="3"/>
      <c r="D1808" s="3"/>
      <c r="E1808" s="3"/>
      <c r="F1808" s="8"/>
      <c r="G1808" s="215" t="str">
        <f>IF(AND($B1808="",OR(B1808&lt;&gt;"",C1808&lt;&gt;"",D1808&lt;&gt;"",E1808&lt;&gt;"",F1808&lt;&gt;"")),入力リスト!$K$34,IF($I1808=TRUE,入力リスト!$K$35,IF(J1808=FALSE,"「毎月の固定給与額」","")&amp;IF(AND(J1808=FALSE,OR(K1808=FALSE,L1808=FALSE,M1808=FALSE)),",","")&amp;IF(K1808=FALSE,"「賞与額等」","")&amp;IF(AND(K1808=FALSE,OR(L1808=FALSE,M1808=FALSE)),",","")&amp;IF(L1808=FALSE,"「残業手当」","")&amp;IF(AND(L1808=FALSE,M1808=FALSE),",","")&amp;IF(M1808=FALSE,"「残業時間」","")&amp;IF(OR(J1808=FALSE,K1808=FALSE,L1808=FALSE,M1808=FALSE),入力リスト!$K$36,"")&amp;IF(N1808,"",入力リスト!$K$37)))</f>
        <v/>
      </c>
      <c r="H1808" s="215"/>
      <c r="I1808" s="1" t="b">
        <f>IF(B1808="",FALSE,COUNTIF('従業員情報(給与以外)'!$A$4:$A$1000000,$B1808)=0)</f>
        <v>0</v>
      </c>
      <c r="J1808" s="8" t="b">
        <f t="shared" si="140"/>
        <v>1</v>
      </c>
      <c r="K1808" s="8" t="b">
        <f t="shared" si="141"/>
        <v>1</v>
      </c>
      <c r="L1808" s="8" t="b">
        <f t="shared" si="142"/>
        <v>1</v>
      </c>
      <c r="M1808" s="8" t="b">
        <f t="shared" si="143"/>
        <v>1</v>
      </c>
      <c r="N1808" s="1" t="b">
        <f t="shared" si="144"/>
        <v>1</v>
      </c>
      <c r="O1808" s="8" t="str">
        <f>IF(F1808="","",IF($F$2=入力リスト!$H$25,ROUNDDOWN(INT(F1808)+ROUNDDOWN((F1808-INT(F1808))*100,0)/60,2),F1808))</f>
        <v/>
      </c>
      <c r="P1808" s="7"/>
      <c r="Q1808" s="7"/>
    </row>
    <row r="1809" spans="1:17">
      <c r="A1809" s="105"/>
      <c r="B1809" s="2"/>
      <c r="C1809" s="3"/>
      <c r="D1809" s="3"/>
      <c r="E1809" s="3"/>
      <c r="F1809" s="8"/>
      <c r="G1809" s="215" t="str">
        <f>IF(AND($B1809="",OR(B1809&lt;&gt;"",C1809&lt;&gt;"",D1809&lt;&gt;"",E1809&lt;&gt;"",F1809&lt;&gt;"")),入力リスト!$K$34,IF($I1809=TRUE,入力リスト!$K$35,IF(J1809=FALSE,"「毎月の固定給与額」","")&amp;IF(AND(J1809=FALSE,OR(K1809=FALSE,L1809=FALSE,M1809=FALSE)),",","")&amp;IF(K1809=FALSE,"「賞与額等」","")&amp;IF(AND(K1809=FALSE,OR(L1809=FALSE,M1809=FALSE)),",","")&amp;IF(L1809=FALSE,"「残業手当」","")&amp;IF(AND(L1809=FALSE,M1809=FALSE),",","")&amp;IF(M1809=FALSE,"「残業時間」","")&amp;IF(OR(J1809=FALSE,K1809=FALSE,L1809=FALSE,M1809=FALSE),入力リスト!$K$36,"")&amp;IF(N1809,"",入力リスト!$K$37)))</f>
        <v/>
      </c>
      <c r="H1809" s="215"/>
      <c r="I1809" s="1" t="b">
        <f>IF(B1809="",FALSE,COUNTIF('従業員情報(給与以外)'!$A$4:$A$1000000,$B1809)=0)</f>
        <v>0</v>
      </c>
      <c r="J1809" s="8" t="b">
        <f t="shared" si="140"/>
        <v>1</v>
      </c>
      <c r="K1809" s="8" t="b">
        <f t="shared" si="141"/>
        <v>1</v>
      </c>
      <c r="L1809" s="8" t="b">
        <f t="shared" si="142"/>
        <v>1</v>
      </c>
      <c r="M1809" s="8" t="b">
        <f t="shared" si="143"/>
        <v>1</v>
      </c>
      <c r="N1809" s="1" t="b">
        <f t="shared" si="144"/>
        <v>1</v>
      </c>
      <c r="O1809" s="8" t="str">
        <f>IF(F1809="","",IF($F$2=入力リスト!$H$25,ROUNDDOWN(INT(F1809)+ROUNDDOWN((F1809-INT(F1809))*100,0)/60,2),F1809))</f>
        <v/>
      </c>
      <c r="P1809" s="7"/>
      <c r="Q1809" s="7"/>
    </row>
    <row r="1810" spans="1:17">
      <c r="A1810" s="105"/>
      <c r="B1810" s="2"/>
      <c r="C1810" s="3"/>
      <c r="D1810" s="3"/>
      <c r="E1810" s="3"/>
      <c r="F1810" s="8"/>
      <c r="G1810" s="215" t="str">
        <f>IF(AND($B1810="",OR(B1810&lt;&gt;"",C1810&lt;&gt;"",D1810&lt;&gt;"",E1810&lt;&gt;"",F1810&lt;&gt;"")),入力リスト!$K$34,IF($I1810=TRUE,入力リスト!$K$35,IF(J1810=FALSE,"「毎月の固定給与額」","")&amp;IF(AND(J1810=FALSE,OR(K1810=FALSE,L1810=FALSE,M1810=FALSE)),",","")&amp;IF(K1810=FALSE,"「賞与額等」","")&amp;IF(AND(K1810=FALSE,OR(L1810=FALSE,M1810=FALSE)),",","")&amp;IF(L1810=FALSE,"「残業手当」","")&amp;IF(AND(L1810=FALSE,M1810=FALSE),",","")&amp;IF(M1810=FALSE,"「残業時間」","")&amp;IF(OR(J1810=FALSE,K1810=FALSE,L1810=FALSE,M1810=FALSE),入力リスト!$K$36,"")&amp;IF(N1810,"",入力リスト!$K$37)))</f>
        <v/>
      </c>
      <c r="H1810" s="215"/>
      <c r="I1810" s="1" t="b">
        <f>IF(B1810="",FALSE,COUNTIF('従業員情報(給与以外)'!$A$4:$A$1000000,$B1810)=0)</f>
        <v>0</v>
      </c>
      <c r="J1810" s="8" t="b">
        <f t="shared" si="140"/>
        <v>1</v>
      </c>
      <c r="K1810" s="8" t="b">
        <f t="shared" si="141"/>
        <v>1</v>
      </c>
      <c r="L1810" s="8" t="b">
        <f t="shared" si="142"/>
        <v>1</v>
      </c>
      <c r="M1810" s="8" t="b">
        <f t="shared" si="143"/>
        <v>1</v>
      </c>
      <c r="N1810" s="1" t="b">
        <f t="shared" si="144"/>
        <v>1</v>
      </c>
      <c r="O1810" s="8" t="str">
        <f>IF(F1810="","",IF($F$2=入力リスト!$H$25,ROUNDDOWN(INT(F1810)+ROUNDDOWN((F1810-INT(F1810))*100,0)/60,2),F1810))</f>
        <v/>
      </c>
      <c r="P1810" s="7"/>
      <c r="Q1810" s="7"/>
    </row>
    <row r="1811" spans="1:17">
      <c r="A1811" s="105"/>
      <c r="B1811" s="2"/>
      <c r="C1811" s="3"/>
      <c r="D1811" s="3"/>
      <c r="E1811" s="3"/>
      <c r="F1811" s="8"/>
      <c r="G1811" s="215" t="str">
        <f>IF(AND($B1811="",OR(B1811&lt;&gt;"",C1811&lt;&gt;"",D1811&lt;&gt;"",E1811&lt;&gt;"",F1811&lt;&gt;"")),入力リスト!$K$34,IF($I1811=TRUE,入力リスト!$K$35,IF(J1811=FALSE,"「毎月の固定給与額」","")&amp;IF(AND(J1811=FALSE,OR(K1811=FALSE,L1811=FALSE,M1811=FALSE)),",","")&amp;IF(K1811=FALSE,"「賞与額等」","")&amp;IF(AND(K1811=FALSE,OR(L1811=FALSE,M1811=FALSE)),",","")&amp;IF(L1811=FALSE,"「残業手当」","")&amp;IF(AND(L1811=FALSE,M1811=FALSE),",","")&amp;IF(M1811=FALSE,"「残業時間」","")&amp;IF(OR(J1811=FALSE,K1811=FALSE,L1811=FALSE,M1811=FALSE),入力リスト!$K$36,"")&amp;IF(N1811,"",入力リスト!$K$37)))</f>
        <v/>
      </c>
      <c r="H1811" s="215"/>
      <c r="I1811" s="1" t="b">
        <f>IF(B1811="",FALSE,COUNTIF('従業員情報(給与以外)'!$A$4:$A$1000000,$B1811)=0)</f>
        <v>0</v>
      </c>
      <c r="J1811" s="8" t="b">
        <f t="shared" si="140"/>
        <v>1</v>
      </c>
      <c r="K1811" s="8" t="b">
        <f t="shared" si="141"/>
        <v>1</v>
      </c>
      <c r="L1811" s="8" t="b">
        <f t="shared" si="142"/>
        <v>1</v>
      </c>
      <c r="M1811" s="8" t="b">
        <f t="shared" si="143"/>
        <v>1</v>
      </c>
      <c r="N1811" s="1" t="b">
        <f t="shared" si="144"/>
        <v>1</v>
      </c>
      <c r="O1811" s="8" t="str">
        <f>IF(F1811="","",IF($F$2=入力リスト!$H$25,ROUNDDOWN(INT(F1811)+ROUNDDOWN((F1811-INT(F1811))*100,0)/60,2),F1811))</f>
        <v/>
      </c>
      <c r="P1811" s="7"/>
      <c r="Q1811" s="7"/>
    </row>
    <row r="1812" spans="1:17">
      <c r="A1812" s="105"/>
      <c r="B1812" s="2"/>
      <c r="C1812" s="3"/>
      <c r="D1812" s="3"/>
      <c r="E1812" s="3"/>
      <c r="F1812" s="8"/>
      <c r="G1812" s="215" t="str">
        <f>IF(AND($B1812="",OR(B1812&lt;&gt;"",C1812&lt;&gt;"",D1812&lt;&gt;"",E1812&lt;&gt;"",F1812&lt;&gt;"")),入力リスト!$K$34,IF($I1812=TRUE,入力リスト!$K$35,IF(J1812=FALSE,"「毎月の固定給与額」","")&amp;IF(AND(J1812=FALSE,OR(K1812=FALSE,L1812=FALSE,M1812=FALSE)),",","")&amp;IF(K1812=FALSE,"「賞与額等」","")&amp;IF(AND(K1812=FALSE,OR(L1812=FALSE,M1812=FALSE)),",","")&amp;IF(L1812=FALSE,"「残業手当」","")&amp;IF(AND(L1812=FALSE,M1812=FALSE),",","")&amp;IF(M1812=FALSE,"「残業時間」","")&amp;IF(OR(J1812=FALSE,K1812=FALSE,L1812=FALSE,M1812=FALSE),入力リスト!$K$36,"")&amp;IF(N1812,"",入力リスト!$K$37)))</f>
        <v/>
      </c>
      <c r="H1812" s="215"/>
      <c r="I1812" s="1" t="b">
        <f>IF(B1812="",FALSE,COUNTIF('従業員情報(給与以外)'!$A$4:$A$1000000,$B1812)=0)</f>
        <v>0</v>
      </c>
      <c r="J1812" s="8" t="b">
        <f t="shared" si="140"/>
        <v>1</v>
      </c>
      <c r="K1812" s="8" t="b">
        <f t="shared" si="141"/>
        <v>1</v>
      </c>
      <c r="L1812" s="8" t="b">
        <f t="shared" si="142"/>
        <v>1</v>
      </c>
      <c r="M1812" s="8" t="b">
        <f t="shared" si="143"/>
        <v>1</v>
      </c>
      <c r="N1812" s="1" t="b">
        <f t="shared" si="144"/>
        <v>1</v>
      </c>
      <c r="O1812" s="8" t="str">
        <f>IF(F1812="","",IF($F$2=入力リスト!$H$25,ROUNDDOWN(INT(F1812)+ROUNDDOWN((F1812-INT(F1812))*100,0)/60,2),F1812))</f>
        <v/>
      </c>
      <c r="P1812" s="7"/>
      <c r="Q1812" s="7"/>
    </row>
    <row r="1813" spans="1:17">
      <c r="A1813" s="105"/>
      <c r="B1813" s="2"/>
      <c r="C1813" s="3"/>
      <c r="D1813" s="3"/>
      <c r="E1813" s="3"/>
      <c r="F1813" s="8"/>
      <c r="G1813" s="215" t="str">
        <f>IF(AND($B1813="",OR(B1813&lt;&gt;"",C1813&lt;&gt;"",D1813&lt;&gt;"",E1813&lt;&gt;"",F1813&lt;&gt;"")),入力リスト!$K$34,IF($I1813=TRUE,入力リスト!$K$35,IF(J1813=FALSE,"「毎月の固定給与額」","")&amp;IF(AND(J1813=FALSE,OR(K1813=FALSE,L1813=FALSE,M1813=FALSE)),",","")&amp;IF(K1813=FALSE,"「賞与額等」","")&amp;IF(AND(K1813=FALSE,OR(L1813=FALSE,M1813=FALSE)),",","")&amp;IF(L1813=FALSE,"「残業手当」","")&amp;IF(AND(L1813=FALSE,M1813=FALSE),",","")&amp;IF(M1813=FALSE,"「残業時間」","")&amp;IF(OR(J1813=FALSE,K1813=FALSE,L1813=FALSE,M1813=FALSE),入力リスト!$K$36,"")&amp;IF(N1813,"",入力リスト!$K$37)))</f>
        <v/>
      </c>
      <c r="H1813" s="215"/>
      <c r="I1813" s="1" t="b">
        <f>IF(B1813="",FALSE,COUNTIF('従業員情報(給与以外)'!$A$4:$A$1000000,$B1813)=0)</f>
        <v>0</v>
      </c>
      <c r="J1813" s="8" t="b">
        <f t="shared" si="140"/>
        <v>1</v>
      </c>
      <c r="K1813" s="8" t="b">
        <f t="shared" si="141"/>
        <v>1</v>
      </c>
      <c r="L1813" s="8" t="b">
        <f t="shared" si="142"/>
        <v>1</v>
      </c>
      <c r="M1813" s="8" t="b">
        <f t="shared" si="143"/>
        <v>1</v>
      </c>
      <c r="N1813" s="1" t="b">
        <f t="shared" si="144"/>
        <v>1</v>
      </c>
      <c r="O1813" s="8" t="str">
        <f>IF(F1813="","",IF($F$2=入力リスト!$H$25,ROUNDDOWN(INT(F1813)+ROUNDDOWN((F1813-INT(F1813))*100,0)/60,2),F1813))</f>
        <v/>
      </c>
      <c r="P1813" s="7"/>
      <c r="Q1813" s="7"/>
    </row>
    <row r="1814" spans="1:17">
      <c r="A1814" s="105"/>
      <c r="B1814" s="2"/>
      <c r="C1814" s="3"/>
      <c r="D1814" s="3"/>
      <c r="E1814" s="3"/>
      <c r="F1814" s="8"/>
      <c r="G1814" s="215" t="str">
        <f>IF(AND($B1814="",OR(B1814&lt;&gt;"",C1814&lt;&gt;"",D1814&lt;&gt;"",E1814&lt;&gt;"",F1814&lt;&gt;"")),入力リスト!$K$34,IF($I1814=TRUE,入力リスト!$K$35,IF(J1814=FALSE,"「毎月の固定給与額」","")&amp;IF(AND(J1814=FALSE,OR(K1814=FALSE,L1814=FALSE,M1814=FALSE)),",","")&amp;IF(K1814=FALSE,"「賞与額等」","")&amp;IF(AND(K1814=FALSE,OR(L1814=FALSE,M1814=FALSE)),",","")&amp;IF(L1814=FALSE,"「残業手当」","")&amp;IF(AND(L1814=FALSE,M1814=FALSE),",","")&amp;IF(M1814=FALSE,"「残業時間」","")&amp;IF(OR(J1814=FALSE,K1814=FALSE,L1814=FALSE,M1814=FALSE),入力リスト!$K$36,"")&amp;IF(N1814,"",入力リスト!$K$37)))</f>
        <v/>
      </c>
      <c r="H1814" s="215"/>
      <c r="I1814" s="1" t="b">
        <f>IF(B1814="",FALSE,COUNTIF('従業員情報(給与以外)'!$A$4:$A$1000000,$B1814)=0)</f>
        <v>0</v>
      </c>
      <c r="J1814" s="8" t="b">
        <f t="shared" si="140"/>
        <v>1</v>
      </c>
      <c r="K1814" s="8" t="b">
        <f t="shared" si="141"/>
        <v>1</v>
      </c>
      <c r="L1814" s="8" t="b">
        <f t="shared" si="142"/>
        <v>1</v>
      </c>
      <c r="M1814" s="8" t="b">
        <f t="shared" si="143"/>
        <v>1</v>
      </c>
      <c r="N1814" s="1" t="b">
        <f t="shared" si="144"/>
        <v>1</v>
      </c>
      <c r="O1814" s="8" t="str">
        <f>IF(F1814="","",IF($F$2=入力リスト!$H$25,ROUNDDOWN(INT(F1814)+ROUNDDOWN((F1814-INT(F1814))*100,0)/60,2),F1814))</f>
        <v/>
      </c>
      <c r="P1814" s="7"/>
      <c r="Q1814" s="7"/>
    </row>
    <row r="1815" spans="1:17">
      <c r="A1815" s="105"/>
      <c r="B1815" s="2"/>
      <c r="C1815" s="3"/>
      <c r="D1815" s="3"/>
      <c r="E1815" s="3"/>
      <c r="F1815" s="8"/>
      <c r="G1815" s="215" t="str">
        <f>IF(AND($B1815="",OR(B1815&lt;&gt;"",C1815&lt;&gt;"",D1815&lt;&gt;"",E1815&lt;&gt;"",F1815&lt;&gt;"")),入力リスト!$K$34,IF($I1815=TRUE,入力リスト!$K$35,IF(J1815=FALSE,"「毎月の固定給与額」","")&amp;IF(AND(J1815=FALSE,OR(K1815=FALSE,L1815=FALSE,M1815=FALSE)),",","")&amp;IF(K1815=FALSE,"「賞与額等」","")&amp;IF(AND(K1815=FALSE,OR(L1815=FALSE,M1815=FALSE)),",","")&amp;IF(L1815=FALSE,"「残業手当」","")&amp;IF(AND(L1815=FALSE,M1815=FALSE),",","")&amp;IF(M1815=FALSE,"「残業時間」","")&amp;IF(OR(J1815=FALSE,K1815=FALSE,L1815=FALSE,M1815=FALSE),入力リスト!$K$36,"")&amp;IF(N1815,"",入力リスト!$K$37)))</f>
        <v/>
      </c>
      <c r="H1815" s="215"/>
      <c r="I1815" s="1" t="b">
        <f>IF(B1815="",FALSE,COUNTIF('従業員情報(給与以外)'!$A$4:$A$1000000,$B1815)=0)</f>
        <v>0</v>
      </c>
      <c r="J1815" s="8" t="b">
        <f t="shared" si="140"/>
        <v>1</v>
      </c>
      <c r="K1815" s="8" t="b">
        <f t="shared" si="141"/>
        <v>1</v>
      </c>
      <c r="L1815" s="8" t="b">
        <f t="shared" si="142"/>
        <v>1</v>
      </c>
      <c r="M1815" s="8" t="b">
        <f t="shared" si="143"/>
        <v>1</v>
      </c>
      <c r="N1815" s="1" t="b">
        <f t="shared" si="144"/>
        <v>1</v>
      </c>
      <c r="O1815" s="8" t="str">
        <f>IF(F1815="","",IF($F$2=入力リスト!$H$25,ROUNDDOWN(INT(F1815)+ROUNDDOWN((F1815-INT(F1815))*100,0)/60,2),F1815))</f>
        <v/>
      </c>
      <c r="P1815" s="7"/>
      <c r="Q1815" s="7"/>
    </row>
    <row r="1816" spans="1:17">
      <c r="A1816" s="105"/>
      <c r="B1816" s="2"/>
      <c r="C1816" s="3"/>
      <c r="D1816" s="3"/>
      <c r="E1816" s="3"/>
      <c r="F1816" s="8"/>
      <c r="G1816" s="215" t="str">
        <f>IF(AND($B1816="",OR(B1816&lt;&gt;"",C1816&lt;&gt;"",D1816&lt;&gt;"",E1816&lt;&gt;"",F1816&lt;&gt;"")),入力リスト!$K$34,IF($I1816=TRUE,入力リスト!$K$35,IF(J1816=FALSE,"「毎月の固定給与額」","")&amp;IF(AND(J1816=FALSE,OR(K1816=FALSE,L1816=FALSE,M1816=FALSE)),",","")&amp;IF(K1816=FALSE,"「賞与額等」","")&amp;IF(AND(K1816=FALSE,OR(L1816=FALSE,M1816=FALSE)),",","")&amp;IF(L1816=FALSE,"「残業手当」","")&amp;IF(AND(L1816=FALSE,M1816=FALSE),",","")&amp;IF(M1816=FALSE,"「残業時間」","")&amp;IF(OR(J1816=FALSE,K1816=FALSE,L1816=FALSE,M1816=FALSE),入力リスト!$K$36,"")&amp;IF(N1816,"",入力リスト!$K$37)))</f>
        <v/>
      </c>
      <c r="H1816" s="215"/>
      <c r="I1816" s="1" t="b">
        <f>IF(B1816="",FALSE,COUNTIF('従業員情報(給与以外)'!$A$4:$A$1000000,$B1816)=0)</f>
        <v>0</v>
      </c>
      <c r="J1816" s="8" t="b">
        <f t="shared" si="140"/>
        <v>1</v>
      </c>
      <c r="K1816" s="8" t="b">
        <f t="shared" si="141"/>
        <v>1</v>
      </c>
      <c r="L1816" s="8" t="b">
        <f t="shared" si="142"/>
        <v>1</v>
      </c>
      <c r="M1816" s="8" t="b">
        <f t="shared" si="143"/>
        <v>1</v>
      </c>
      <c r="N1816" s="1" t="b">
        <f t="shared" si="144"/>
        <v>1</v>
      </c>
      <c r="O1816" s="8" t="str">
        <f>IF(F1816="","",IF($F$2=入力リスト!$H$25,ROUNDDOWN(INT(F1816)+ROUNDDOWN((F1816-INT(F1816))*100,0)/60,2),F1816))</f>
        <v/>
      </c>
      <c r="P1816" s="7"/>
      <c r="Q1816" s="7"/>
    </row>
    <row r="1817" spans="1:17">
      <c r="A1817" s="105"/>
      <c r="B1817" s="2"/>
      <c r="C1817" s="3"/>
      <c r="D1817" s="3"/>
      <c r="E1817" s="3"/>
      <c r="F1817" s="8"/>
      <c r="G1817" s="215" t="str">
        <f>IF(AND($B1817="",OR(B1817&lt;&gt;"",C1817&lt;&gt;"",D1817&lt;&gt;"",E1817&lt;&gt;"",F1817&lt;&gt;"")),入力リスト!$K$34,IF($I1817=TRUE,入力リスト!$K$35,IF(J1817=FALSE,"「毎月の固定給与額」","")&amp;IF(AND(J1817=FALSE,OR(K1817=FALSE,L1817=FALSE,M1817=FALSE)),",","")&amp;IF(K1817=FALSE,"「賞与額等」","")&amp;IF(AND(K1817=FALSE,OR(L1817=FALSE,M1817=FALSE)),",","")&amp;IF(L1817=FALSE,"「残業手当」","")&amp;IF(AND(L1817=FALSE,M1817=FALSE),",","")&amp;IF(M1817=FALSE,"「残業時間」","")&amp;IF(OR(J1817=FALSE,K1817=FALSE,L1817=FALSE,M1817=FALSE),入力リスト!$K$36,"")&amp;IF(N1817,"",入力リスト!$K$37)))</f>
        <v/>
      </c>
      <c r="H1817" s="215"/>
      <c r="I1817" s="1" t="b">
        <f>IF(B1817="",FALSE,COUNTIF('従業員情報(給与以外)'!$A$4:$A$1000000,$B1817)=0)</f>
        <v>0</v>
      </c>
      <c r="J1817" s="8" t="b">
        <f t="shared" si="140"/>
        <v>1</v>
      </c>
      <c r="K1817" s="8" t="b">
        <f t="shared" si="141"/>
        <v>1</v>
      </c>
      <c r="L1817" s="8" t="b">
        <f t="shared" si="142"/>
        <v>1</v>
      </c>
      <c r="M1817" s="8" t="b">
        <f t="shared" si="143"/>
        <v>1</v>
      </c>
      <c r="N1817" s="1" t="b">
        <f t="shared" si="144"/>
        <v>1</v>
      </c>
      <c r="O1817" s="8" t="str">
        <f>IF(F1817="","",IF($F$2=入力リスト!$H$25,ROUNDDOWN(INT(F1817)+ROUNDDOWN((F1817-INT(F1817))*100,0)/60,2),F1817))</f>
        <v/>
      </c>
      <c r="P1817" s="7"/>
      <c r="Q1817" s="7"/>
    </row>
    <row r="1818" spans="1:17">
      <c r="A1818" s="105"/>
      <c r="B1818" s="2"/>
      <c r="C1818" s="3"/>
      <c r="D1818" s="3"/>
      <c r="E1818" s="3"/>
      <c r="F1818" s="8"/>
      <c r="G1818" s="215" t="str">
        <f>IF(AND($B1818="",OR(B1818&lt;&gt;"",C1818&lt;&gt;"",D1818&lt;&gt;"",E1818&lt;&gt;"",F1818&lt;&gt;"")),入力リスト!$K$34,IF($I1818=TRUE,入力リスト!$K$35,IF(J1818=FALSE,"「毎月の固定給与額」","")&amp;IF(AND(J1818=FALSE,OR(K1818=FALSE,L1818=FALSE,M1818=FALSE)),",","")&amp;IF(K1818=FALSE,"「賞与額等」","")&amp;IF(AND(K1818=FALSE,OR(L1818=FALSE,M1818=FALSE)),",","")&amp;IF(L1818=FALSE,"「残業手当」","")&amp;IF(AND(L1818=FALSE,M1818=FALSE),",","")&amp;IF(M1818=FALSE,"「残業時間」","")&amp;IF(OR(J1818=FALSE,K1818=FALSE,L1818=FALSE,M1818=FALSE),入力リスト!$K$36,"")&amp;IF(N1818,"",入力リスト!$K$37)))</f>
        <v/>
      </c>
      <c r="H1818" s="215"/>
      <c r="I1818" s="1" t="b">
        <f>IF(B1818="",FALSE,COUNTIF('従業員情報(給与以外)'!$A$4:$A$1000000,$B1818)=0)</f>
        <v>0</v>
      </c>
      <c r="J1818" s="8" t="b">
        <f t="shared" si="140"/>
        <v>1</v>
      </c>
      <c r="K1818" s="8" t="b">
        <f t="shared" si="141"/>
        <v>1</v>
      </c>
      <c r="L1818" s="8" t="b">
        <f t="shared" si="142"/>
        <v>1</v>
      </c>
      <c r="M1818" s="8" t="b">
        <f t="shared" si="143"/>
        <v>1</v>
      </c>
      <c r="N1818" s="1" t="b">
        <f t="shared" si="144"/>
        <v>1</v>
      </c>
      <c r="O1818" s="8" t="str">
        <f>IF(F1818="","",IF($F$2=入力リスト!$H$25,ROUNDDOWN(INT(F1818)+ROUNDDOWN((F1818-INT(F1818))*100,0)/60,2),F1818))</f>
        <v/>
      </c>
      <c r="P1818" s="7"/>
      <c r="Q1818" s="7"/>
    </row>
    <row r="1819" spans="1:17">
      <c r="A1819" s="105"/>
      <c r="B1819" s="2"/>
      <c r="C1819" s="3"/>
      <c r="D1819" s="3"/>
      <c r="E1819" s="3"/>
      <c r="F1819" s="8"/>
      <c r="G1819" s="215" t="str">
        <f>IF(AND($B1819="",OR(B1819&lt;&gt;"",C1819&lt;&gt;"",D1819&lt;&gt;"",E1819&lt;&gt;"",F1819&lt;&gt;"")),入力リスト!$K$34,IF($I1819=TRUE,入力リスト!$K$35,IF(J1819=FALSE,"「毎月の固定給与額」","")&amp;IF(AND(J1819=FALSE,OR(K1819=FALSE,L1819=FALSE,M1819=FALSE)),",","")&amp;IF(K1819=FALSE,"「賞与額等」","")&amp;IF(AND(K1819=FALSE,OR(L1819=FALSE,M1819=FALSE)),",","")&amp;IF(L1819=FALSE,"「残業手当」","")&amp;IF(AND(L1819=FALSE,M1819=FALSE),",","")&amp;IF(M1819=FALSE,"「残業時間」","")&amp;IF(OR(J1819=FALSE,K1819=FALSE,L1819=FALSE,M1819=FALSE),入力リスト!$K$36,"")&amp;IF(N1819,"",入力リスト!$K$37)))</f>
        <v/>
      </c>
      <c r="H1819" s="215"/>
      <c r="I1819" s="1" t="b">
        <f>IF(B1819="",FALSE,COUNTIF('従業員情報(給与以外)'!$A$4:$A$1000000,$B1819)=0)</f>
        <v>0</v>
      </c>
      <c r="J1819" s="8" t="b">
        <f t="shared" si="140"/>
        <v>1</v>
      </c>
      <c r="K1819" s="8" t="b">
        <f t="shared" si="141"/>
        <v>1</v>
      </c>
      <c r="L1819" s="8" t="b">
        <f t="shared" si="142"/>
        <v>1</v>
      </c>
      <c r="M1819" s="8" t="b">
        <f t="shared" si="143"/>
        <v>1</v>
      </c>
      <c r="N1819" s="1" t="b">
        <f t="shared" si="144"/>
        <v>1</v>
      </c>
      <c r="O1819" s="8" t="str">
        <f>IF(F1819="","",IF($F$2=入力リスト!$H$25,ROUNDDOWN(INT(F1819)+ROUNDDOWN((F1819-INT(F1819))*100,0)/60,2),F1819))</f>
        <v/>
      </c>
      <c r="P1819" s="7"/>
      <c r="Q1819" s="7"/>
    </row>
    <row r="1820" spans="1:17">
      <c r="A1820" s="105"/>
      <c r="B1820" s="2"/>
      <c r="C1820" s="3"/>
      <c r="D1820" s="3"/>
      <c r="E1820" s="3"/>
      <c r="F1820" s="8"/>
      <c r="G1820" s="215" t="str">
        <f>IF(AND($B1820="",OR(B1820&lt;&gt;"",C1820&lt;&gt;"",D1820&lt;&gt;"",E1820&lt;&gt;"",F1820&lt;&gt;"")),入力リスト!$K$34,IF($I1820=TRUE,入力リスト!$K$35,IF(J1820=FALSE,"「毎月の固定給与額」","")&amp;IF(AND(J1820=FALSE,OR(K1820=FALSE,L1820=FALSE,M1820=FALSE)),",","")&amp;IF(K1820=FALSE,"「賞与額等」","")&amp;IF(AND(K1820=FALSE,OR(L1820=FALSE,M1820=FALSE)),",","")&amp;IF(L1820=FALSE,"「残業手当」","")&amp;IF(AND(L1820=FALSE,M1820=FALSE),",","")&amp;IF(M1820=FALSE,"「残業時間」","")&amp;IF(OR(J1820=FALSE,K1820=FALSE,L1820=FALSE,M1820=FALSE),入力リスト!$K$36,"")&amp;IF(N1820,"",入力リスト!$K$37)))</f>
        <v/>
      </c>
      <c r="H1820" s="215"/>
      <c r="I1820" s="1" t="b">
        <f>IF(B1820="",FALSE,COUNTIF('従業員情報(給与以外)'!$A$4:$A$1000000,$B1820)=0)</f>
        <v>0</v>
      </c>
      <c r="J1820" s="8" t="b">
        <f t="shared" si="140"/>
        <v>1</v>
      </c>
      <c r="K1820" s="8" t="b">
        <f t="shared" si="141"/>
        <v>1</v>
      </c>
      <c r="L1820" s="8" t="b">
        <f t="shared" si="142"/>
        <v>1</v>
      </c>
      <c r="M1820" s="8" t="b">
        <f t="shared" si="143"/>
        <v>1</v>
      </c>
      <c r="N1820" s="1" t="b">
        <f t="shared" si="144"/>
        <v>1</v>
      </c>
      <c r="O1820" s="8" t="str">
        <f>IF(F1820="","",IF($F$2=入力リスト!$H$25,ROUNDDOWN(INT(F1820)+ROUNDDOWN((F1820-INT(F1820))*100,0)/60,2),F1820))</f>
        <v/>
      </c>
      <c r="P1820" s="7"/>
      <c r="Q1820" s="7"/>
    </row>
    <row r="1821" spans="1:17">
      <c r="A1821" s="105"/>
      <c r="B1821" s="2"/>
      <c r="C1821" s="3"/>
      <c r="D1821" s="3"/>
      <c r="E1821" s="3"/>
      <c r="F1821" s="8"/>
      <c r="G1821" s="215" t="str">
        <f>IF(AND($B1821="",OR(B1821&lt;&gt;"",C1821&lt;&gt;"",D1821&lt;&gt;"",E1821&lt;&gt;"",F1821&lt;&gt;"")),入力リスト!$K$34,IF($I1821=TRUE,入力リスト!$K$35,IF(J1821=FALSE,"「毎月の固定給与額」","")&amp;IF(AND(J1821=FALSE,OR(K1821=FALSE,L1821=FALSE,M1821=FALSE)),",","")&amp;IF(K1821=FALSE,"「賞与額等」","")&amp;IF(AND(K1821=FALSE,OR(L1821=FALSE,M1821=FALSE)),",","")&amp;IF(L1821=FALSE,"「残業手当」","")&amp;IF(AND(L1821=FALSE,M1821=FALSE),",","")&amp;IF(M1821=FALSE,"「残業時間」","")&amp;IF(OR(J1821=FALSE,K1821=FALSE,L1821=FALSE,M1821=FALSE),入力リスト!$K$36,"")&amp;IF(N1821,"",入力リスト!$K$37)))</f>
        <v/>
      </c>
      <c r="H1821" s="215"/>
      <c r="I1821" s="1" t="b">
        <f>IF(B1821="",FALSE,COUNTIF('従業員情報(給与以外)'!$A$4:$A$1000000,$B1821)=0)</f>
        <v>0</v>
      </c>
      <c r="J1821" s="8" t="b">
        <f t="shared" si="140"/>
        <v>1</v>
      </c>
      <c r="K1821" s="8" t="b">
        <f t="shared" si="141"/>
        <v>1</v>
      </c>
      <c r="L1821" s="8" t="b">
        <f t="shared" si="142"/>
        <v>1</v>
      </c>
      <c r="M1821" s="8" t="b">
        <f t="shared" si="143"/>
        <v>1</v>
      </c>
      <c r="N1821" s="1" t="b">
        <f t="shared" si="144"/>
        <v>1</v>
      </c>
      <c r="O1821" s="8" t="str">
        <f>IF(F1821="","",IF($F$2=入力リスト!$H$25,ROUNDDOWN(INT(F1821)+ROUNDDOWN((F1821-INT(F1821))*100,0)/60,2),F1821))</f>
        <v/>
      </c>
      <c r="P1821" s="7"/>
      <c r="Q1821" s="7"/>
    </row>
    <row r="1822" spans="1:17">
      <c r="A1822" s="105"/>
      <c r="B1822" s="2"/>
      <c r="C1822" s="3"/>
      <c r="D1822" s="3"/>
      <c r="E1822" s="3"/>
      <c r="F1822" s="8"/>
      <c r="G1822" s="215" t="str">
        <f>IF(AND($B1822="",OR(B1822&lt;&gt;"",C1822&lt;&gt;"",D1822&lt;&gt;"",E1822&lt;&gt;"",F1822&lt;&gt;"")),入力リスト!$K$34,IF($I1822=TRUE,入力リスト!$K$35,IF(J1822=FALSE,"「毎月の固定給与額」","")&amp;IF(AND(J1822=FALSE,OR(K1822=FALSE,L1822=FALSE,M1822=FALSE)),",","")&amp;IF(K1822=FALSE,"「賞与額等」","")&amp;IF(AND(K1822=FALSE,OR(L1822=FALSE,M1822=FALSE)),",","")&amp;IF(L1822=FALSE,"「残業手当」","")&amp;IF(AND(L1822=FALSE,M1822=FALSE),",","")&amp;IF(M1822=FALSE,"「残業時間」","")&amp;IF(OR(J1822=FALSE,K1822=FALSE,L1822=FALSE,M1822=FALSE),入力リスト!$K$36,"")&amp;IF(N1822,"",入力リスト!$K$37)))</f>
        <v/>
      </c>
      <c r="H1822" s="215"/>
      <c r="I1822" s="1" t="b">
        <f>IF(B1822="",FALSE,COUNTIF('従業員情報(給与以外)'!$A$4:$A$1000000,$B1822)=0)</f>
        <v>0</v>
      </c>
      <c r="J1822" s="8" t="b">
        <f t="shared" si="140"/>
        <v>1</v>
      </c>
      <c r="K1822" s="8" t="b">
        <f t="shared" si="141"/>
        <v>1</v>
      </c>
      <c r="L1822" s="8" t="b">
        <f t="shared" si="142"/>
        <v>1</v>
      </c>
      <c r="M1822" s="8" t="b">
        <f t="shared" si="143"/>
        <v>1</v>
      </c>
      <c r="N1822" s="1" t="b">
        <f t="shared" si="144"/>
        <v>1</v>
      </c>
      <c r="O1822" s="8" t="str">
        <f>IF(F1822="","",IF($F$2=入力リスト!$H$25,ROUNDDOWN(INT(F1822)+ROUNDDOWN((F1822-INT(F1822))*100,0)/60,2),F1822))</f>
        <v/>
      </c>
      <c r="P1822" s="7"/>
      <c r="Q1822" s="7"/>
    </row>
    <row r="1823" spans="1:17">
      <c r="A1823" s="105"/>
      <c r="B1823" s="2"/>
      <c r="C1823" s="3"/>
      <c r="D1823" s="3"/>
      <c r="E1823" s="3"/>
      <c r="F1823" s="8"/>
      <c r="G1823" s="215" t="str">
        <f>IF(AND($B1823="",OR(B1823&lt;&gt;"",C1823&lt;&gt;"",D1823&lt;&gt;"",E1823&lt;&gt;"",F1823&lt;&gt;"")),入力リスト!$K$34,IF($I1823=TRUE,入力リスト!$K$35,IF(J1823=FALSE,"「毎月の固定給与額」","")&amp;IF(AND(J1823=FALSE,OR(K1823=FALSE,L1823=FALSE,M1823=FALSE)),",","")&amp;IF(K1823=FALSE,"「賞与額等」","")&amp;IF(AND(K1823=FALSE,OR(L1823=FALSE,M1823=FALSE)),",","")&amp;IF(L1823=FALSE,"「残業手当」","")&amp;IF(AND(L1823=FALSE,M1823=FALSE),",","")&amp;IF(M1823=FALSE,"「残業時間」","")&amp;IF(OR(J1823=FALSE,K1823=FALSE,L1823=FALSE,M1823=FALSE),入力リスト!$K$36,"")&amp;IF(N1823,"",入力リスト!$K$37)))</f>
        <v/>
      </c>
      <c r="H1823" s="215"/>
      <c r="I1823" s="1" t="b">
        <f>IF(B1823="",FALSE,COUNTIF('従業員情報(給与以外)'!$A$4:$A$1000000,$B1823)=0)</f>
        <v>0</v>
      </c>
      <c r="J1823" s="8" t="b">
        <f t="shared" si="140"/>
        <v>1</v>
      </c>
      <c r="K1823" s="8" t="b">
        <f t="shared" si="141"/>
        <v>1</v>
      </c>
      <c r="L1823" s="8" t="b">
        <f t="shared" si="142"/>
        <v>1</v>
      </c>
      <c r="M1823" s="8" t="b">
        <f t="shared" si="143"/>
        <v>1</v>
      </c>
      <c r="N1823" s="1" t="b">
        <f t="shared" si="144"/>
        <v>1</v>
      </c>
      <c r="O1823" s="8" t="str">
        <f>IF(F1823="","",IF($F$2=入力リスト!$H$25,ROUNDDOWN(INT(F1823)+ROUNDDOWN((F1823-INT(F1823))*100,0)/60,2),F1823))</f>
        <v/>
      </c>
      <c r="P1823" s="7"/>
      <c r="Q1823" s="7"/>
    </row>
    <row r="1824" spans="1:17">
      <c r="A1824" s="105"/>
      <c r="B1824" s="2"/>
      <c r="C1824" s="3"/>
      <c r="D1824" s="3"/>
      <c r="E1824" s="3"/>
      <c r="F1824" s="8"/>
      <c r="G1824" s="215" t="str">
        <f>IF(AND($B1824="",OR(B1824&lt;&gt;"",C1824&lt;&gt;"",D1824&lt;&gt;"",E1824&lt;&gt;"",F1824&lt;&gt;"")),入力リスト!$K$34,IF($I1824=TRUE,入力リスト!$K$35,IF(J1824=FALSE,"「毎月の固定給与額」","")&amp;IF(AND(J1824=FALSE,OR(K1824=FALSE,L1824=FALSE,M1824=FALSE)),",","")&amp;IF(K1824=FALSE,"「賞与額等」","")&amp;IF(AND(K1824=FALSE,OR(L1824=FALSE,M1824=FALSE)),",","")&amp;IF(L1824=FALSE,"「残業手当」","")&amp;IF(AND(L1824=FALSE,M1824=FALSE),",","")&amp;IF(M1824=FALSE,"「残業時間」","")&amp;IF(OR(J1824=FALSE,K1824=FALSE,L1824=FALSE,M1824=FALSE),入力リスト!$K$36,"")&amp;IF(N1824,"",入力リスト!$K$37)))</f>
        <v/>
      </c>
      <c r="H1824" s="215"/>
      <c r="I1824" s="1" t="b">
        <f>IF(B1824="",FALSE,COUNTIF('従業員情報(給与以外)'!$A$4:$A$1000000,$B1824)=0)</f>
        <v>0</v>
      </c>
      <c r="J1824" s="8" t="b">
        <f t="shared" si="140"/>
        <v>1</v>
      </c>
      <c r="K1824" s="8" t="b">
        <f t="shared" si="141"/>
        <v>1</v>
      </c>
      <c r="L1824" s="8" t="b">
        <f t="shared" si="142"/>
        <v>1</v>
      </c>
      <c r="M1824" s="8" t="b">
        <f t="shared" si="143"/>
        <v>1</v>
      </c>
      <c r="N1824" s="1" t="b">
        <f t="shared" si="144"/>
        <v>1</v>
      </c>
      <c r="O1824" s="8" t="str">
        <f>IF(F1824="","",IF($F$2=入力リスト!$H$25,ROUNDDOWN(INT(F1824)+ROUNDDOWN((F1824-INT(F1824))*100,0)/60,2),F1824))</f>
        <v/>
      </c>
      <c r="P1824" s="7"/>
      <c r="Q1824" s="7"/>
    </row>
    <row r="1825" spans="1:17">
      <c r="A1825" s="105"/>
      <c r="B1825" s="2"/>
      <c r="C1825" s="3"/>
      <c r="D1825" s="3"/>
      <c r="E1825" s="3"/>
      <c r="F1825" s="8"/>
      <c r="G1825" s="215" t="str">
        <f>IF(AND($B1825="",OR(B1825&lt;&gt;"",C1825&lt;&gt;"",D1825&lt;&gt;"",E1825&lt;&gt;"",F1825&lt;&gt;"")),入力リスト!$K$34,IF($I1825=TRUE,入力リスト!$K$35,IF(J1825=FALSE,"「毎月の固定給与額」","")&amp;IF(AND(J1825=FALSE,OR(K1825=FALSE,L1825=FALSE,M1825=FALSE)),",","")&amp;IF(K1825=FALSE,"「賞与額等」","")&amp;IF(AND(K1825=FALSE,OR(L1825=FALSE,M1825=FALSE)),",","")&amp;IF(L1825=FALSE,"「残業手当」","")&amp;IF(AND(L1825=FALSE,M1825=FALSE),",","")&amp;IF(M1825=FALSE,"「残業時間」","")&amp;IF(OR(J1825=FALSE,K1825=FALSE,L1825=FALSE,M1825=FALSE),入力リスト!$K$36,"")&amp;IF(N1825,"",入力リスト!$K$37)))</f>
        <v/>
      </c>
      <c r="H1825" s="215"/>
      <c r="I1825" s="1" t="b">
        <f>IF(B1825="",FALSE,COUNTIF('従業員情報(給与以外)'!$A$4:$A$1000000,$B1825)=0)</f>
        <v>0</v>
      </c>
      <c r="J1825" s="8" t="b">
        <f t="shared" si="140"/>
        <v>1</v>
      </c>
      <c r="K1825" s="8" t="b">
        <f t="shared" si="141"/>
        <v>1</v>
      </c>
      <c r="L1825" s="8" t="b">
        <f t="shared" si="142"/>
        <v>1</v>
      </c>
      <c r="M1825" s="8" t="b">
        <f t="shared" si="143"/>
        <v>1</v>
      </c>
      <c r="N1825" s="1" t="b">
        <f t="shared" si="144"/>
        <v>1</v>
      </c>
      <c r="O1825" s="8" t="str">
        <f>IF(F1825="","",IF($F$2=入力リスト!$H$25,ROUNDDOWN(INT(F1825)+ROUNDDOWN((F1825-INT(F1825))*100,0)/60,2),F1825))</f>
        <v/>
      </c>
      <c r="P1825" s="7"/>
      <c r="Q1825" s="7"/>
    </row>
    <row r="1826" spans="1:17">
      <c r="A1826" s="105"/>
      <c r="B1826" s="2"/>
      <c r="C1826" s="3"/>
      <c r="D1826" s="3"/>
      <c r="E1826" s="3"/>
      <c r="F1826" s="8"/>
      <c r="G1826" s="215" t="str">
        <f>IF(AND($B1826="",OR(B1826&lt;&gt;"",C1826&lt;&gt;"",D1826&lt;&gt;"",E1826&lt;&gt;"",F1826&lt;&gt;"")),入力リスト!$K$34,IF($I1826=TRUE,入力リスト!$K$35,IF(J1826=FALSE,"「毎月の固定給与額」","")&amp;IF(AND(J1826=FALSE,OR(K1826=FALSE,L1826=FALSE,M1826=FALSE)),",","")&amp;IF(K1826=FALSE,"「賞与額等」","")&amp;IF(AND(K1826=FALSE,OR(L1826=FALSE,M1826=FALSE)),",","")&amp;IF(L1826=FALSE,"「残業手当」","")&amp;IF(AND(L1826=FALSE,M1826=FALSE),",","")&amp;IF(M1826=FALSE,"「残業時間」","")&amp;IF(OR(J1826=FALSE,K1826=FALSE,L1826=FALSE,M1826=FALSE),入力リスト!$K$36,"")&amp;IF(N1826,"",入力リスト!$K$37)))</f>
        <v/>
      </c>
      <c r="H1826" s="215"/>
      <c r="I1826" s="1" t="b">
        <f>IF(B1826="",FALSE,COUNTIF('従業員情報(給与以外)'!$A$4:$A$1000000,$B1826)=0)</f>
        <v>0</v>
      </c>
      <c r="J1826" s="8" t="b">
        <f t="shared" si="140"/>
        <v>1</v>
      </c>
      <c r="K1826" s="8" t="b">
        <f t="shared" si="141"/>
        <v>1</v>
      </c>
      <c r="L1826" s="8" t="b">
        <f t="shared" si="142"/>
        <v>1</v>
      </c>
      <c r="M1826" s="8" t="b">
        <f t="shared" si="143"/>
        <v>1</v>
      </c>
      <c r="N1826" s="1" t="b">
        <f t="shared" si="144"/>
        <v>1</v>
      </c>
      <c r="O1826" s="8" t="str">
        <f>IF(F1826="","",IF($F$2=入力リスト!$H$25,ROUNDDOWN(INT(F1826)+ROUNDDOWN((F1826-INT(F1826))*100,0)/60,2),F1826))</f>
        <v/>
      </c>
      <c r="P1826" s="7"/>
      <c r="Q1826" s="7"/>
    </row>
    <row r="1827" spans="1:17">
      <c r="A1827" s="105"/>
      <c r="B1827" s="2"/>
      <c r="C1827" s="3"/>
      <c r="D1827" s="3"/>
      <c r="E1827" s="3"/>
      <c r="F1827" s="8"/>
      <c r="G1827" s="215" t="str">
        <f>IF(AND($B1827="",OR(B1827&lt;&gt;"",C1827&lt;&gt;"",D1827&lt;&gt;"",E1827&lt;&gt;"",F1827&lt;&gt;"")),入力リスト!$K$34,IF($I1827=TRUE,入力リスト!$K$35,IF(J1827=FALSE,"「毎月の固定給与額」","")&amp;IF(AND(J1827=FALSE,OR(K1827=FALSE,L1827=FALSE,M1827=FALSE)),",","")&amp;IF(K1827=FALSE,"「賞与額等」","")&amp;IF(AND(K1827=FALSE,OR(L1827=FALSE,M1827=FALSE)),",","")&amp;IF(L1827=FALSE,"「残業手当」","")&amp;IF(AND(L1827=FALSE,M1827=FALSE),",","")&amp;IF(M1827=FALSE,"「残業時間」","")&amp;IF(OR(J1827=FALSE,K1827=FALSE,L1827=FALSE,M1827=FALSE),入力リスト!$K$36,"")&amp;IF(N1827,"",入力リスト!$K$37)))</f>
        <v/>
      </c>
      <c r="H1827" s="215"/>
      <c r="I1827" s="1" t="b">
        <f>IF(B1827="",FALSE,COUNTIF('従業員情報(給与以外)'!$A$4:$A$1000000,$B1827)=0)</f>
        <v>0</v>
      </c>
      <c r="J1827" s="8" t="b">
        <f t="shared" si="140"/>
        <v>1</v>
      </c>
      <c r="K1827" s="8" t="b">
        <f t="shared" si="141"/>
        <v>1</v>
      </c>
      <c r="L1827" s="8" t="b">
        <f t="shared" si="142"/>
        <v>1</v>
      </c>
      <c r="M1827" s="8" t="b">
        <f t="shared" si="143"/>
        <v>1</v>
      </c>
      <c r="N1827" s="1" t="b">
        <f t="shared" si="144"/>
        <v>1</v>
      </c>
      <c r="O1827" s="8" t="str">
        <f>IF(F1827="","",IF($F$2=入力リスト!$H$25,ROUNDDOWN(INT(F1827)+ROUNDDOWN((F1827-INT(F1827))*100,0)/60,2),F1827))</f>
        <v/>
      </c>
      <c r="P1827" s="7"/>
      <c r="Q1827" s="7"/>
    </row>
    <row r="1828" spans="1:17">
      <c r="A1828" s="105"/>
      <c r="B1828" s="2"/>
      <c r="C1828" s="3"/>
      <c r="D1828" s="3"/>
      <c r="E1828" s="3"/>
      <c r="F1828" s="8"/>
      <c r="G1828" s="215" t="str">
        <f>IF(AND($B1828="",OR(B1828&lt;&gt;"",C1828&lt;&gt;"",D1828&lt;&gt;"",E1828&lt;&gt;"",F1828&lt;&gt;"")),入力リスト!$K$34,IF($I1828=TRUE,入力リスト!$K$35,IF(J1828=FALSE,"「毎月の固定給与額」","")&amp;IF(AND(J1828=FALSE,OR(K1828=FALSE,L1828=FALSE,M1828=FALSE)),",","")&amp;IF(K1828=FALSE,"「賞与額等」","")&amp;IF(AND(K1828=FALSE,OR(L1828=FALSE,M1828=FALSE)),",","")&amp;IF(L1828=FALSE,"「残業手当」","")&amp;IF(AND(L1828=FALSE,M1828=FALSE),",","")&amp;IF(M1828=FALSE,"「残業時間」","")&amp;IF(OR(J1828=FALSE,K1828=FALSE,L1828=FALSE,M1828=FALSE),入力リスト!$K$36,"")&amp;IF(N1828,"",入力リスト!$K$37)))</f>
        <v/>
      </c>
      <c r="H1828" s="215"/>
      <c r="I1828" s="1" t="b">
        <f>IF(B1828="",FALSE,COUNTIF('従業員情報(給与以外)'!$A$4:$A$1000000,$B1828)=0)</f>
        <v>0</v>
      </c>
      <c r="J1828" s="8" t="b">
        <f t="shared" si="140"/>
        <v>1</v>
      </c>
      <c r="K1828" s="8" t="b">
        <f t="shared" si="141"/>
        <v>1</v>
      </c>
      <c r="L1828" s="8" t="b">
        <f t="shared" si="142"/>
        <v>1</v>
      </c>
      <c r="M1828" s="8" t="b">
        <f t="shared" si="143"/>
        <v>1</v>
      </c>
      <c r="N1828" s="1" t="b">
        <f t="shared" si="144"/>
        <v>1</v>
      </c>
      <c r="O1828" s="8" t="str">
        <f>IF(F1828="","",IF($F$2=入力リスト!$H$25,ROUNDDOWN(INT(F1828)+ROUNDDOWN((F1828-INT(F1828))*100,0)/60,2),F1828))</f>
        <v/>
      </c>
      <c r="P1828" s="7"/>
      <c r="Q1828" s="7"/>
    </row>
    <row r="1829" spans="1:17">
      <c r="A1829" s="105"/>
      <c r="B1829" s="2"/>
      <c r="C1829" s="3"/>
      <c r="D1829" s="3"/>
      <c r="E1829" s="3"/>
      <c r="F1829" s="8"/>
      <c r="G1829" s="215" t="str">
        <f>IF(AND($B1829="",OR(B1829&lt;&gt;"",C1829&lt;&gt;"",D1829&lt;&gt;"",E1829&lt;&gt;"",F1829&lt;&gt;"")),入力リスト!$K$34,IF($I1829=TRUE,入力リスト!$K$35,IF(J1829=FALSE,"「毎月の固定給与額」","")&amp;IF(AND(J1829=FALSE,OR(K1829=FALSE,L1829=FALSE,M1829=FALSE)),",","")&amp;IF(K1829=FALSE,"「賞与額等」","")&amp;IF(AND(K1829=FALSE,OR(L1829=FALSE,M1829=FALSE)),",","")&amp;IF(L1829=FALSE,"「残業手当」","")&amp;IF(AND(L1829=FALSE,M1829=FALSE),",","")&amp;IF(M1829=FALSE,"「残業時間」","")&amp;IF(OR(J1829=FALSE,K1829=FALSE,L1829=FALSE,M1829=FALSE),入力リスト!$K$36,"")&amp;IF(N1829,"",入力リスト!$K$37)))</f>
        <v/>
      </c>
      <c r="H1829" s="215"/>
      <c r="I1829" s="1" t="b">
        <f>IF(B1829="",FALSE,COUNTIF('従業員情報(給与以外)'!$A$4:$A$1000000,$B1829)=0)</f>
        <v>0</v>
      </c>
      <c r="J1829" s="8" t="b">
        <f t="shared" si="140"/>
        <v>1</v>
      </c>
      <c r="K1829" s="8" t="b">
        <f t="shared" si="141"/>
        <v>1</v>
      </c>
      <c r="L1829" s="8" t="b">
        <f t="shared" si="142"/>
        <v>1</v>
      </c>
      <c r="M1829" s="8" t="b">
        <f t="shared" si="143"/>
        <v>1</v>
      </c>
      <c r="N1829" s="1" t="b">
        <f t="shared" si="144"/>
        <v>1</v>
      </c>
      <c r="O1829" s="8" t="str">
        <f>IF(F1829="","",IF($F$2=入力リスト!$H$25,ROUNDDOWN(INT(F1829)+ROUNDDOWN((F1829-INT(F1829))*100,0)/60,2),F1829))</f>
        <v/>
      </c>
      <c r="P1829" s="7"/>
      <c r="Q1829" s="7"/>
    </row>
    <row r="1830" spans="1:17">
      <c r="A1830" s="105"/>
      <c r="B1830" s="2"/>
      <c r="C1830" s="3"/>
      <c r="D1830" s="3"/>
      <c r="E1830" s="3"/>
      <c r="F1830" s="8"/>
      <c r="G1830" s="215" t="str">
        <f>IF(AND($B1830="",OR(B1830&lt;&gt;"",C1830&lt;&gt;"",D1830&lt;&gt;"",E1830&lt;&gt;"",F1830&lt;&gt;"")),入力リスト!$K$34,IF($I1830=TRUE,入力リスト!$K$35,IF(J1830=FALSE,"「毎月の固定給与額」","")&amp;IF(AND(J1830=FALSE,OR(K1830=FALSE,L1830=FALSE,M1830=FALSE)),",","")&amp;IF(K1830=FALSE,"「賞与額等」","")&amp;IF(AND(K1830=FALSE,OR(L1830=FALSE,M1830=FALSE)),",","")&amp;IF(L1830=FALSE,"「残業手当」","")&amp;IF(AND(L1830=FALSE,M1830=FALSE),",","")&amp;IF(M1830=FALSE,"「残業時間」","")&amp;IF(OR(J1830=FALSE,K1830=FALSE,L1830=FALSE,M1830=FALSE),入力リスト!$K$36,"")&amp;IF(N1830,"",入力リスト!$K$37)))</f>
        <v/>
      </c>
      <c r="H1830" s="215"/>
      <c r="I1830" s="1" t="b">
        <f>IF(B1830="",FALSE,COUNTIF('従業員情報(給与以外)'!$A$4:$A$1000000,$B1830)=0)</f>
        <v>0</v>
      </c>
      <c r="J1830" s="8" t="b">
        <f t="shared" si="140"/>
        <v>1</v>
      </c>
      <c r="K1830" s="8" t="b">
        <f t="shared" si="141"/>
        <v>1</v>
      </c>
      <c r="L1830" s="8" t="b">
        <f t="shared" si="142"/>
        <v>1</v>
      </c>
      <c r="M1830" s="8" t="b">
        <f t="shared" si="143"/>
        <v>1</v>
      </c>
      <c r="N1830" s="1" t="b">
        <f t="shared" si="144"/>
        <v>1</v>
      </c>
      <c r="O1830" s="8" t="str">
        <f>IF(F1830="","",IF($F$2=入力リスト!$H$25,ROUNDDOWN(INT(F1830)+ROUNDDOWN((F1830-INT(F1830))*100,0)/60,2),F1830))</f>
        <v/>
      </c>
      <c r="P1830" s="7"/>
      <c r="Q1830" s="7"/>
    </row>
    <row r="1831" spans="1:17">
      <c r="A1831" s="105"/>
      <c r="B1831" s="2"/>
      <c r="C1831" s="3"/>
      <c r="D1831" s="3"/>
      <c r="E1831" s="3"/>
      <c r="F1831" s="8"/>
      <c r="G1831" s="215" t="str">
        <f>IF(AND($B1831="",OR(B1831&lt;&gt;"",C1831&lt;&gt;"",D1831&lt;&gt;"",E1831&lt;&gt;"",F1831&lt;&gt;"")),入力リスト!$K$34,IF($I1831=TRUE,入力リスト!$K$35,IF(J1831=FALSE,"「毎月の固定給与額」","")&amp;IF(AND(J1831=FALSE,OR(K1831=FALSE,L1831=FALSE,M1831=FALSE)),",","")&amp;IF(K1831=FALSE,"「賞与額等」","")&amp;IF(AND(K1831=FALSE,OR(L1831=FALSE,M1831=FALSE)),",","")&amp;IF(L1831=FALSE,"「残業手当」","")&amp;IF(AND(L1831=FALSE,M1831=FALSE),",","")&amp;IF(M1831=FALSE,"「残業時間」","")&amp;IF(OR(J1831=FALSE,K1831=FALSE,L1831=FALSE,M1831=FALSE),入力リスト!$K$36,"")&amp;IF(N1831,"",入力リスト!$K$37)))</f>
        <v/>
      </c>
      <c r="H1831" s="215"/>
      <c r="I1831" s="1" t="b">
        <f>IF(B1831="",FALSE,COUNTIF('従業員情報(給与以外)'!$A$4:$A$1000000,$B1831)=0)</f>
        <v>0</v>
      </c>
      <c r="J1831" s="8" t="b">
        <f t="shared" si="140"/>
        <v>1</v>
      </c>
      <c r="K1831" s="8" t="b">
        <f t="shared" si="141"/>
        <v>1</v>
      </c>
      <c r="L1831" s="8" t="b">
        <f t="shared" si="142"/>
        <v>1</v>
      </c>
      <c r="M1831" s="8" t="b">
        <f t="shared" si="143"/>
        <v>1</v>
      </c>
      <c r="N1831" s="1" t="b">
        <f t="shared" si="144"/>
        <v>1</v>
      </c>
      <c r="O1831" s="8" t="str">
        <f>IF(F1831="","",IF($F$2=入力リスト!$H$25,ROUNDDOWN(INT(F1831)+ROUNDDOWN((F1831-INT(F1831))*100,0)/60,2),F1831))</f>
        <v/>
      </c>
      <c r="P1831" s="7"/>
      <c r="Q1831" s="7"/>
    </row>
    <row r="1832" spans="1:17">
      <c r="A1832" s="105"/>
      <c r="B1832" s="2"/>
      <c r="C1832" s="3"/>
      <c r="D1832" s="3"/>
      <c r="E1832" s="3"/>
      <c r="F1832" s="8"/>
      <c r="G1832" s="215" t="str">
        <f>IF(AND($B1832="",OR(B1832&lt;&gt;"",C1832&lt;&gt;"",D1832&lt;&gt;"",E1832&lt;&gt;"",F1832&lt;&gt;"")),入力リスト!$K$34,IF($I1832=TRUE,入力リスト!$K$35,IF(J1832=FALSE,"「毎月の固定給与額」","")&amp;IF(AND(J1832=FALSE,OR(K1832=FALSE,L1832=FALSE,M1832=FALSE)),",","")&amp;IF(K1832=FALSE,"「賞与額等」","")&amp;IF(AND(K1832=FALSE,OR(L1832=FALSE,M1832=FALSE)),",","")&amp;IF(L1832=FALSE,"「残業手当」","")&amp;IF(AND(L1832=FALSE,M1832=FALSE),",","")&amp;IF(M1832=FALSE,"「残業時間」","")&amp;IF(OR(J1832=FALSE,K1832=FALSE,L1832=FALSE,M1832=FALSE),入力リスト!$K$36,"")&amp;IF(N1832,"",入力リスト!$K$37)))</f>
        <v/>
      </c>
      <c r="H1832" s="215"/>
      <c r="I1832" s="1" t="b">
        <f>IF(B1832="",FALSE,COUNTIF('従業員情報(給与以外)'!$A$4:$A$1000000,$B1832)=0)</f>
        <v>0</v>
      </c>
      <c r="J1832" s="8" t="b">
        <f t="shared" si="140"/>
        <v>1</v>
      </c>
      <c r="K1832" s="8" t="b">
        <f t="shared" si="141"/>
        <v>1</v>
      </c>
      <c r="L1832" s="8" t="b">
        <f t="shared" si="142"/>
        <v>1</v>
      </c>
      <c r="M1832" s="8" t="b">
        <f t="shared" si="143"/>
        <v>1</v>
      </c>
      <c r="N1832" s="1" t="b">
        <f t="shared" si="144"/>
        <v>1</v>
      </c>
      <c r="O1832" s="8" t="str">
        <f>IF(F1832="","",IF($F$2=入力リスト!$H$25,ROUNDDOWN(INT(F1832)+ROUNDDOWN((F1832-INT(F1832))*100,0)/60,2),F1832))</f>
        <v/>
      </c>
      <c r="P1832" s="7"/>
      <c r="Q1832" s="7"/>
    </row>
    <row r="1833" spans="1:17">
      <c r="A1833" s="105"/>
      <c r="B1833" s="2"/>
      <c r="C1833" s="3"/>
      <c r="D1833" s="3"/>
      <c r="E1833" s="3"/>
      <c r="F1833" s="8"/>
      <c r="G1833" s="215" t="str">
        <f>IF(AND($B1833="",OR(B1833&lt;&gt;"",C1833&lt;&gt;"",D1833&lt;&gt;"",E1833&lt;&gt;"",F1833&lt;&gt;"")),入力リスト!$K$34,IF($I1833=TRUE,入力リスト!$K$35,IF(J1833=FALSE,"「毎月の固定給与額」","")&amp;IF(AND(J1833=FALSE,OR(K1833=FALSE,L1833=FALSE,M1833=FALSE)),",","")&amp;IF(K1833=FALSE,"「賞与額等」","")&amp;IF(AND(K1833=FALSE,OR(L1833=FALSE,M1833=FALSE)),",","")&amp;IF(L1833=FALSE,"「残業手当」","")&amp;IF(AND(L1833=FALSE,M1833=FALSE),",","")&amp;IF(M1833=FALSE,"「残業時間」","")&amp;IF(OR(J1833=FALSE,K1833=FALSE,L1833=FALSE,M1833=FALSE),入力リスト!$K$36,"")&amp;IF(N1833,"",入力リスト!$K$37)))</f>
        <v/>
      </c>
      <c r="H1833" s="215"/>
      <c r="I1833" s="1" t="b">
        <f>IF(B1833="",FALSE,COUNTIF('従業員情報(給与以外)'!$A$4:$A$1000000,$B1833)=0)</f>
        <v>0</v>
      </c>
      <c r="J1833" s="8" t="b">
        <f t="shared" si="140"/>
        <v>1</v>
      </c>
      <c r="K1833" s="8" t="b">
        <f t="shared" si="141"/>
        <v>1</v>
      </c>
      <c r="L1833" s="8" t="b">
        <f t="shared" si="142"/>
        <v>1</v>
      </c>
      <c r="M1833" s="8" t="b">
        <f t="shared" si="143"/>
        <v>1</v>
      </c>
      <c r="N1833" s="1" t="b">
        <f t="shared" si="144"/>
        <v>1</v>
      </c>
      <c r="O1833" s="8" t="str">
        <f>IF(F1833="","",IF($F$2=入力リスト!$H$25,ROUNDDOWN(INT(F1833)+ROUNDDOWN((F1833-INT(F1833))*100,0)/60,2),F1833))</f>
        <v/>
      </c>
      <c r="P1833" s="7"/>
      <c r="Q1833" s="7"/>
    </row>
    <row r="1834" spans="1:17">
      <c r="A1834" s="105"/>
      <c r="B1834" s="2"/>
      <c r="C1834" s="3"/>
      <c r="D1834" s="3"/>
      <c r="E1834" s="3"/>
      <c r="F1834" s="8"/>
      <c r="G1834" s="215" t="str">
        <f>IF(AND($B1834="",OR(B1834&lt;&gt;"",C1834&lt;&gt;"",D1834&lt;&gt;"",E1834&lt;&gt;"",F1834&lt;&gt;"")),入力リスト!$K$34,IF($I1834=TRUE,入力リスト!$K$35,IF(J1834=FALSE,"「毎月の固定給与額」","")&amp;IF(AND(J1834=FALSE,OR(K1834=FALSE,L1834=FALSE,M1834=FALSE)),",","")&amp;IF(K1834=FALSE,"「賞与額等」","")&amp;IF(AND(K1834=FALSE,OR(L1834=FALSE,M1834=FALSE)),",","")&amp;IF(L1834=FALSE,"「残業手当」","")&amp;IF(AND(L1834=FALSE,M1834=FALSE),",","")&amp;IF(M1834=FALSE,"「残業時間」","")&amp;IF(OR(J1834=FALSE,K1834=FALSE,L1834=FALSE,M1834=FALSE),入力リスト!$K$36,"")&amp;IF(N1834,"",入力リスト!$K$37)))</f>
        <v/>
      </c>
      <c r="H1834" s="215"/>
      <c r="I1834" s="1" t="b">
        <f>IF(B1834="",FALSE,COUNTIF('従業員情報(給与以外)'!$A$4:$A$1000000,$B1834)=0)</f>
        <v>0</v>
      </c>
      <c r="J1834" s="8" t="b">
        <f t="shared" si="140"/>
        <v>1</v>
      </c>
      <c r="K1834" s="8" t="b">
        <f t="shared" si="141"/>
        <v>1</v>
      </c>
      <c r="L1834" s="8" t="b">
        <f t="shared" si="142"/>
        <v>1</v>
      </c>
      <c r="M1834" s="8" t="b">
        <f t="shared" si="143"/>
        <v>1</v>
      </c>
      <c r="N1834" s="1" t="b">
        <f t="shared" si="144"/>
        <v>1</v>
      </c>
      <c r="O1834" s="8" t="str">
        <f>IF(F1834="","",IF($F$2=入力リスト!$H$25,ROUNDDOWN(INT(F1834)+ROUNDDOWN((F1834-INT(F1834))*100,0)/60,2),F1834))</f>
        <v/>
      </c>
      <c r="P1834" s="7"/>
      <c r="Q1834" s="7"/>
    </row>
    <row r="1835" spans="1:17">
      <c r="A1835" s="105"/>
      <c r="B1835" s="2"/>
      <c r="C1835" s="3"/>
      <c r="D1835" s="3"/>
      <c r="E1835" s="3"/>
      <c r="F1835" s="8"/>
      <c r="G1835" s="215" t="str">
        <f>IF(AND($B1835="",OR(B1835&lt;&gt;"",C1835&lt;&gt;"",D1835&lt;&gt;"",E1835&lt;&gt;"",F1835&lt;&gt;"")),入力リスト!$K$34,IF($I1835=TRUE,入力リスト!$K$35,IF(J1835=FALSE,"「毎月の固定給与額」","")&amp;IF(AND(J1835=FALSE,OR(K1835=FALSE,L1835=FALSE,M1835=FALSE)),",","")&amp;IF(K1835=FALSE,"「賞与額等」","")&amp;IF(AND(K1835=FALSE,OR(L1835=FALSE,M1835=FALSE)),",","")&amp;IF(L1835=FALSE,"「残業手当」","")&amp;IF(AND(L1835=FALSE,M1835=FALSE),",","")&amp;IF(M1835=FALSE,"「残業時間」","")&amp;IF(OR(J1835=FALSE,K1835=FALSE,L1835=FALSE,M1835=FALSE),入力リスト!$K$36,"")&amp;IF(N1835,"",入力リスト!$K$37)))</f>
        <v/>
      </c>
      <c r="H1835" s="215"/>
      <c r="I1835" s="1" t="b">
        <f>IF(B1835="",FALSE,COUNTIF('従業員情報(給与以外)'!$A$4:$A$1000000,$B1835)=0)</f>
        <v>0</v>
      </c>
      <c r="J1835" s="8" t="b">
        <f t="shared" si="140"/>
        <v>1</v>
      </c>
      <c r="K1835" s="8" t="b">
        <f t="shared" si="141"/>
        <v>1</v>
      </c>
      <c r="L1835" s="8" t="b">
        <f t="shared" si="142"/>
        <v>1</v>
      </c>
      <c r="M1835" s="8" t="b">
        <f t="shared" si="143"/>
        <v>1</v>
      </c>
      <c r="N1835" s="1" t="b">
        <f t="shared" si="144"/>
        <v>1</v>
      </c>
      <c r="O1835" s="8" t="str">
        <f>IF(F1835="","",IF($F$2=入力リスト!$H$25,ROUNDDOWN(INT(F1835)+ROUNDDOWN((F1835-INT(F1835))*100,0)/60,2),F1835))</f>
        <v/>
      </c>
      <c r="P1835" s="7"/>
      <c r="Q1835" s="7"/>
    </row>
    <row r="1836" spans="1:17">
      <c r="A1836" s="105"/>
      <c r="B1836" s="2"/>
      <c r="C1836" s="3"/>
      <c r="D1836" s="3"/>
      <c r="E1836" s="3"/>
      <c r="F1836" s="8"/>
      <c r="G1836" s="215" t="str">
        <f>IF(AND($B1836="",OR(B1836&lt;&gt;"",C1836&lt;&gt;"",D1836&lt;&gt;"",E1836&lt;&gt;"",F1836&lt;&gt;"")),入力リスト!$K$34,IF($I1836=TRUE,入力リスト!$K$35,IF(J1836=FALSE,"「毎月の固定給与額」","")&amp;IF(AND(J1836=FALSE,OR(K1836=FALSE,L1836=FALSE,M1836=FALSE)),",","")&amp;IF(K1836=FALSE,"「賞与額等」","")&amp;IF(AND(K1836=FALSE,OR(L1836=FALSE,M1836=FALSE)),",","")&amp;IF(L1836=FALSE,"「残業手当」","")&amp;IF(AND(L1836=FALSE,M1836=FALSE),",","")&amp;IF(M1836=FALSE,"「残業時間」","")&amp;IF(OR(J1836=FALSE,K1836=FALSE,L1836=FALSE,M1836=FALSE),入力リスト!$K$36,"")&amp;IF(N1836,"",入力リスト!$K$37)))</f>
        <v/>
      </c>
      <c r="H1836" s="215"/>
      <c r="I1836" s="1" t="b">
        <f>IF(B1836="",FALSE,COUNTIF('従業員情報(給与以外)'!$A$4:$A$1000000,$B1836)=0)</f>
        <v>0</v>
      </c>
      <c r="J1836" s="8" t="b">
        <f t="shared" si="140"/>
        <v>1</v>
      </c>
      <c r="K1836" s="8" t="b">
        <f t="shared" si="141"/>
        <v>1</v>
      </c>
      <c r="L1836" s="8" t="b">
        <f t="shared" si="142"/>
        <v>1</v>
      </c>
      <c r="M1836" s="8" t="b">
        <f t="shared" si="143"/>
        <v>1</v>
      </c>
      <c r="N1836" s="1" t="b">
        <f t="shared" si="144"/>
        <v>1</v>
      </c>
      <c r="O1836" s="8" t="str">
        <f>IF(F1836="","",IF($F$2=入力リスト!$H$25,ROUNDDOWN(INT(F1836)+ROUNDDOWN((F1836-INT(F1836))*100,0)/60,2),F1836))</f>
        <v/>
      </c>
      <c r="P1836" s="7"/>
      <c r="Q1836" s="7"/>
    </row>
    <row r="1837" spans="1:17">
      <c r="A1837" s="105"/>
      <c r="B1837" s="2"/>
      <c r="C1837" s="3"/>
      <c r="D1837" s="3"/>
      <c r="E1837" s="3"/>
      <c r="F1837" s="8"/>
      <c r="G1837" s="215" t="str">
        <f>IF(AND($B1837="",OR(B1837&lt;&gt;"",C1837&lt;&gt;"",D1837&lt;&gt;"",E1837&lt;&gt;"",F1837&lt;&gt;"")),入力リスト!$K$34,IF($I1837=TRUE,入力リスト!$K$35,IF(J1837=FALSE,"「毎月の固定給与額」","")&amp;IF(AND(J1837=FALSE,OR(K1837=FALSE,L1837=FALSE,M1837=FALSE)),",","")&amp;IF(K1837=FALSE,"「賞与額等」","")&amp;IF(AND(K1837=FALSE,OR(L1837=FALSE,M1837=FALSE)),",","")&amp;IF(L1837=FALSE,"「残業手当」","")&amp;IF(AND(L1837=FALSE,M1837=FALSE),",","")&amp;IF(M1837=FALSE,"「残業時間」","")&amp;IF(OR(J1837=FALSE,K1837=FALSE,L1837=FALSE,M1837=FALSE),入力リスト!$K$36,"")&amp;IF(N1837,"",入力リスト!$K$37)))</f>
        <v/>
      </c>
      <c r="H1837" s="215"/>
      <c r="I1837" s="1" t="b">
        <f>IF(B1837="",FALSE,COUNTIF('従業員情報(給与以外)'!$A$4:$A$1000000,$B1837)=0)</f>
        <v>0</v>
      </c>
      <c r="J1837" s="8" t="b">
        <f t="shared" si="140"/>
        <v>1</v>
      </c>
      <c r="K1837" s="8" t="b">
        <f t="shared" si="141"/>
        <v>1</v>
      </c>
      <c r="L1837" s="8" t="b">
        <f t="shared" si="142"/>
        <v>1</v>
      </c>
      <c r="M1837" s="8" t="b">
        <f t="shared" si="143"/>
        <v>1</v>
      </c>
      <c r="N1837" s="1" t="b">
        <f t="shared" si="144"/>
        <v>1</v>
      </c>
      <c r="O1837" s="8" t="str">
        <f>IF(F1837="","",IF($F$2=入力リスト!$H$25,ROUNDDOWN(INT(F1837)+ROUNDDOWN((F1837-INT(F1837))*100,0)/60,2),F1837))</f>
        <v/>
      </c>
      <c r="P1837" s="7"/>
      <c r="Q1837" s="7"/>
    </row>
    <row r="1838" spans="1:17">
      <c r="A1838" s="105"/>
      <c r="B1838" s="2"/>
      <c r="C1838" s="3"/>
      <c r="D1838" s="3"/>
      <c r="E1838" s="3"/>
      <c r="F1838" s="8"/>
      <c r="G1838" s="215" t="str">
        <f>IF(AND($B1838="",OR(B1838&lt;&gt;"",C1838&lt;&gt;"",D1838&lt;&gt;"",E1838&lt;&gt;"",F1838&lt;&gt;"")),入力リスト!$K$34,IF($I1838=TRUE,入力リスト!$K$35,IF(J1838=FALSE,"「毎月の固定給与額」","")&amp;IF(AND(J1838=FALSE,OR(K1838=FALSE,L1838=FALSE,M1838=FALSE)),",","")&amp;IF(K1838=FALSE,"「賞与額等」","")&amp;IF(AND(K1838=FALSE,OR(L1838=FALSE,M1838=FALSE)),",","")&amp;IF(L1838=FALSE,"「残業手当」","")&amp;IF(AND(L1838=FALSE,M1838=FALSE),",","")&amp;IF(M1838=FALSE,"「残業時間」","")&amp;IF(OR(J1838=FALSE,K1838=FALSE,L1838=FALSE,M1838=FALSE),入力リスト!$K$36,"")&amp;IF(N1838,"",入力リスト!$K$37)))</f>
        <v/>
      </c>
      <c r="H1838" s="215"/>
      <c r="I1838" s="1" t="b">
        <f>IF(B1838="",FALSE,COUNTIF('従業員情報(給与以外)'!$A$4:$A$1000000,$B1838)=0)</f>
        <v>0</v>
      </c>
      <c r="J1838" s="8" t="b">
        <f t="shared" si="140"/>
        <v>1</v>
      </c>
      <c r="K1838" s="8" t="b">
        <f t="shared" si="141"/>
        <v>1</v>
      </c>
      <c r="L1838" s="8" t="b">
        <f t="shared" si="142"/>
        <v>1</v>
      </c>
      <c r="M1838" s="8" t="b">
        <f t="shared" si="143"/>
        <v>1</v>
      </c>
      <c r="N1838" s="1" t="b">
        <f t="shared" si="144"/>
        <v>1</v>
      </c>
      <c r="O1838" s="8" t="str">
        <f>IF(F1838="","",IF($F$2=入力リスト!$H$25,ROUNDDOWN(INT(F1838)+ROUNDDOWN((F1838-INT(F1838))*100,0)/60,2),F1838))</f>
        <v/>
      </c>
      <c r="P1838" s="7"/>
      <c r="Q1838" s="7"/>
    </row>
    <row r="1839" spans="1:17">
      <c r="A1839" s="105"/>
      <c r="B1839" s="2"/>
      <c r="C1839" s="3"/>
      <c r="D1839" s="3"/>
      <c r="E1839" s="3"/>
      <c r="F1839" s="8"/>
      <c r="G1839" s="215" t="str">
        <f>IF(AND($B1839="",OR(B1839&lt;&gt;"",C1839&lt;&gt;"",D1839&lt;&gt;"",E1839&lt;&gt;"",F1839&lt;&gt;"")),入力リスト!$K$34,IF($I1839=TRUE,入力リスト!$K$35,IF(J1839=FALSE,"「毎月の固定給与額」","")&amp;IF(AND(J1839=FALSE,OR(K1839=FALSE,L1839=FALSE,M1839=FALSE)),",","")&amp;IF(K1839=FALSE,"「賞与額等」","")&amp;IF(AND(K1839=FALSE,OR(L1839=FALSE,M1839=FALSE)),",","")&amp;IF(L1839=FALSE,"「残業手当」","")&amp;IF(AND(L1839=FALSE,M1839=FALSE),",","")&amp;IF(M1839=FALSE,"「残業時間」","")&amp;IF(OR(J1839=FALSE,K1839=FALSE,L1839=FALSE,M1839=FALSE),入力リスト!$K$36,"")&amp;IF(N1839,"",入力リスト!$K$37)))</f>
        <v/>
      </c>
      <c r="H1839" s="215"/>
      <c r="I1839" s="1" t="b">
        <f>IF(B1839="",FALSE,COUNTIF('従業員情報(給与以外)'!$A$4:$A$1000000,$B1839)=0)</f>
        <v>0</v>
      </c>
      <c r="J1839" s="8" t="b">
        <f t="shared" si="140"/>
        <v>1</v>
      </c>
      <c r="K1839" s="8" t="b">
        <f t="shared" si="141"/>
        <v>1</v>
      </c>
      <c r="L1839" s="8" t="b">
        <f t="shared" si="142"/>
        <v>1</v>
      </c>
      <c r="M1839" s="8" t="b">
        <f t="shared" si="143"/>
        <v>1</v>
      </c>
      <c r="N1839" s="1" t="b">
        <f t="shared" si="144"/>
        <v>1</v>
      </c>
      <c r="O1839" s="8" t="str">
        <f>IF(F1839="","",IF($F$2=入力リスト!$H$25,ROUNDDOWN(INT(F1839)+ROUNDDOWN((F1839-INT(F1839))*100,0)/60,2),F1839))</f>
        <v/>
      </c>
      <c r="P1839" s="7"/>
      <c r="Q1839" s="7"/>
    </row>
    <row r="1840" spans="1:17">
      <c r="A1840" s="105"/>
      <c r="B1840" s="2"/>
      <c r="C1840" s="3"/>
      <c r="D1840" s="3"/>
      <c r="E1840" s="3"/>
      <c r="F1840" s="8"/>
      <c r="G1840" s="215" t="str">
        <f>IF(AND($B1840="",OR(B1840&lt;&gt;"",C1840&lt;&gt;"",D1840&lt;&gt;"",E1840&lt;&gt;"",F1840&lt;&gt;"")),入力リスト!$K$34,IF($I1840=TRUE,入力リスト!$K$35,IF(J1840=FALSE,"「毎月の固定給与額」","")&amp;IF(AND(J1840=FALSE,OR(K1840=FALSE,L1840=FALSE,M1840=FALSE)),",","")&amp;IF(K1840=FALSE,"「賞与額等」","")&amp;IF(AND(K1840=FALSE,OR(L1840=FALSE,M1840=FALSE)),",","")&amp;IF(L1840=FALSE,"「残業手当」","")&amp;IF(AND(L1840=FALSE,M1840=FALSE),",","")&amp;IF(M1840=FALSE,"「残業時間」","")&amp;IF(OR(J1840=FALSE,K1840=FALSE,L1840=FALSE,M1840=FALSE),入力リスト!$K$36,"")&amp;IF(N1840,"",入力リスト!$K$37)))</f>
        <v/>
      </c>
      <c r="H1840" s="215"/>
      <c r="I1840" s="1" t="b">
        <f>IF(B1840="",FALSE,COUNTIF('従業員情報(給与以外)'!$A$4:$A$1000000,$B1840)=0)</f>
        <v>0</v>
      </c>
      <c r="J1840" s="8" t="b">
        <f t="shared" si="140"/>
        <v>1</v>
      </c>
      <c r="K1840" s="8" t="b">
        <f t="shared" si="141"/>
        <v>1</v>
      </c>
      <c r="L1840" s="8" t="b">
        <f t="shared" si="142"/>
        <v>1</v>
      </c>
      <c r="M1840" s="8" t="b">
        <f t="shared" si="143"/>
        <v>1</v>
      </c>
      <c r="N1840" s="1" t="b">
        <f t="shared" si="144"/>
        <v>1</v>
      </c>
      <c r="O1840" s="8" t="str">
        <f>IF(F1840="","",IF($F$2=入力リスト!$H$25,ROUNDDOWN(INT(F1840)+ROUNDDOWN((F1840-INT(F1840))*100,0)/60,2),F1840))</f>
        <v/>
      </c>
      <c r="P1840" s="7"/>
      <c r="Q1840" s="7"/>
    </row>
    <row r="1841" spans="1:17">
      <c r="A1841" s="105"/>
      <c r="B1841" s="2"/>
      <c r="C1841" s="3"/>
      <c r="D1841" s="3"/>
      <c r="E1841" s="3"/>
      <c r="F1841" s="8"/>
      <c r="G1841" s="215" t="str">
        <f>IF(AND($B1841="",OR(B1841&lt;&gt;"",C1841&lt;&gt;"",D1841&lt;&gt;"",E1841&lt;&gt;"",F1841&lt;&gt;"")),入力リスト!$K$34,IF($I1841=TRUE,入力リスト!$K$35,IF(J1841=FALSE,"「毎月の固定給与額」","")&amp;IF(AND(J1841=FALSE,OR(K1841=FALSE,L1841=FALSE,M1841=FALSE)),",","")&amp;IF(K1841=FALSE,"「賞与額等」","")&amp;IF(AND(K1841=FALSE,OR(L1841=FALSE,M1841=FALSE)),",","")&amp;IF(L1841=FALSE,"「残業手当」","")&amp;IF(AND(L1841=FALSE,M1841=FALSE),",","")&amp;IF(M1841=FALSE,"「残業時間」","")&amp;IF(OR(J1841=FALSE,K1841=FALSE,L1841=FALSE,M1841=FALSE),入力リスト!$K$36,"")&amp;IF(N1841,"",入力リスト!$K$37)))</f>
        <v/>
      </c>
      <c r="H1841" s="215"/>
      <c r="I1841" s="1" t="b">
        <f>IF(B1841="",FALSE,COUNTIF('従業員情報(給与以外)'!$A$4:$A$1000000,$B1841)=0)</f>
        <v>0</v>
      </c>
      <c r="J1841" s="8" t="b">
        <f t="shared" si="140"/>
        <v>1</v>
      </c>
      <c r="K1841" s="8" t="b">
        <f t="shared" si="141"/>
        <v>1</v>
      </c>
      <c r="L1841" s="8" t="b">
        <f t="shared" si="142"/>
        <v>1</v>
      </c>
      <c r="M1841" s="8" t="b">
        <f t="shared" si="143"/>
        <v>1</v>
      </c>
      <c r="N1841" s="1" t="b">
        <f t="shared" si="144"/>
        <v>1</v>
      </c>
      <c r="O1841" s="8" t="str">
        <f>IF(F1841="","",IF($F$2=入力リスト!$H$25,ROUNDDOWN(INT(F1841)+ROUNDDOWN((F1841-INT(F1841))*100,0)/60,2),F1841))</f>
        <v/>
      </c>
      <c r="P1841" s="7"/>
      <c r="Q1841" s="7"/>
    </row>
    <row r="1842" spans="1:17">
      <c r="A1842" s="105"/>
      <c r="B1842" s="2"/>
      <c r="C1842" s="3"/>
      <c r="D1842" s="3"/>
      <c r="E1842" s="3"/>
      <c r="F1842" s="8"/>
      <c r="G1842" s="215" t="str">
        <f>IF(AND($B1842="",OR(B1842&lt;&gt;"",C1842&lt;&gt;"",D1842&lt;&gt;"",E1842&lt;&gt;"",F1842&lt;&gt;"")),入力リスト!$K$34,IF($I1842=TRUE,入力リスト!$K$35,IF(J1842=FALSE,"「毎月の固定給与額」","")&amp;IF(AND(J1842=FALSE,OR(K1842=FALSE,L1842=FALSE,M1842=FALSE)),",","")&amp;IF(K1842=FALSE,"「賞与額等」","")&amp;IF(AND(K1842=FALSE,OR(L1842=FALSE,M1842=FALSE)),",","")&amp;IF(L1842=FALSE,"「残業手当」","")&amp;IF(AND(L1842=FALSE,M1842=FALSE),",","")&amp;IF(M1842=FALSE,"「残業時間」","")&amp;IF(OR(J1842=FALSE,K1842=FALSE,L1842=FALSE,M1842=FALSE),入力リスト!$K$36,"")&amp;IF(N1842,"",入力リスト!$K$37)))</f>
        <v/>
      </c>
      <c r="H1842" s="215"/>
      <c r="I1842" s="1" t="b">
        <f>IF(B1842="",FALSE,COUNTIF('従業員情報(給与以外)'!$A$4:$A$1000000,$B1842)=0)</f>
        <v>0</v>
      </c>
      <c r="J1842" s="8" t="b">
        <f t="shared" si="140"/>
        <v>1</v>
      </c>
      <c r="K1842" s="8" t="b">
        <f t="shared" si="141"/>
        <v>1</v>
      </c>
      <c r="L1842" s="8" t="b">
        <f t="shared" si="142"/>
        <v>1</v>
      </c>
      <c r="M1842" s="8" t="b">
        <f t="shared" si="143"/>
        <v>1</v>
      </c>
      <c r="N1842" s="1" t="b">
        <f t="shared" si="144"/>
        <v>1</v>
      </c>
      <c r="O1842" s="8" t="str">
        <f>IF(F1842="","",IF($F$2=入力リスト!$H$25,ROUNDDOWN(INT(F1842)+ROUNDDOWN((F1842-INT(F1842))*100,0)/60,2),F1842))</f>
        <v/>
      </c>
      <c r="P1842" s="7"/>
      <c r="Q1842" s="7"/>
    </row>
    <row r="1843" spans="1:17">
      <c r="A1843" s="105"/>
      <c r="B1843" s="2"/>
      <c r="C1843" s="3"/>
      <c r="D1843" s="3"/>
      <c r="E1843" s="3"/>
      <c r="F1843" s="8"/>
      <c r="G1843" s="215" t="str">
        <f>IF(AND($B1843="",OR(B1843&lt;&gt;"",C1843&lt;&gt;"",D1843&lt;&gt;"",E1843&lt;&gt;"",F1843&lt;&gt;"")),入力リスト!$K$34,IF($I1843=TRUE,入力リスト!$K$35,IF(J1843=FALSE,"「毎月の固定給与額」","")&amp;IF(AND(J1843=FALSE,OR(K1843=FALSE,L1843=FALSE,M1843=FALSE)),",","")&amp;IF(K1843=FALSE,"「賞与額等」","")&amp;IF(AND(K1843=FALSE,OR(L1843=FALSE,M1843=FALSE)),",","")&amp;IF(L1843=FALSE,"「残業手当」","")&amp;IF(AND(L1843=FALSE,M1843=FALSE),",","")&amp;IF(M1843=FALSE,"「残業時間」","")&amp;IF(OR(J1843=FALSE,K1843=FALSE,L1843=FALSE,M1843=FALSE),入力リスト!$K$36,"")&amp;IF(N1843,"",入力リスト!$K$37)))</f>
        <v/>
      </c>
      <c r="H1843" s="215"/>
      <c r="I1843" s="1" t="b">
        <f>IF(B1843="",FALSE,COUNTIF('従業員情報(給与以外)'!$A$4:$A$1000000,$B1843)=0)</f>
        <v>0</v>
      </c>
      <c r="J1843" s="8" t="b">
        <f t="shared" si="140"/>
        <v>1</v>
      </c>
      <c r="K1843" s="8" t="b">
        <f t="shared" si="141"/>
        <v>1</v>
      </c>
      <c r="L1843" s="8" t="b">
        <f t="shared" si="142"/>
        <v>1</v>
      </c>
      <c r="M1843" s="8" t="b">
        <f t="shared" si="143"/>
        <v>1</v>
      </c>
      <c r="N1843" s="1" t="b">
        <f t="shared" si="144"/>
        <v>1</v>
      </c>
      <c r="O1843" s="8" t="str">
        <f>IF(F1843="","",IF($F$2=入力リスト!$H$25,ROUNDDOWN(INT(F1843)+ROUNDDOWN((F1843-INT(F1843))*100,0)/60,2),F1843))</f>
        <v/>
      </c>
      <c r="P1843" s="7"/>
      <c r="Q1843" s="7"/>
    </row>
    <row r="1844" spans="1:17">
      <c r="A1844" s="105"/>
      <c r="B1844" s="2"/>
      <c r="C1844" s="3"/>
      <c r="D1844" s="3"/>
      <c r="E1844" s="3"/>
      <c r="F1844" s="8"/>
      <c r="G1844" s="215" t="str">
        <f>IF(AND($B1844="",OR(B1844&lt;&gt;"",C1844&lt;&gt;"",D1844&lt;&gt;"",E1844&lt;&gt;"",F1844&lt;&gt;"")),入力リスト!$K$34,IF($I1844=TRUE,入力リスト!$K$35,IF(J1844=FALSE,"「毎月の固定給与額」","")&amp;IF(AND(J1844=FALSE,OR(K1844=FALSE,L1844=FALSE,M1844=FALSE)),",","")&amp;IF(K1844=FALSE,"「賞与額等」","")&amp;IF(AND(K1844=FALSE,OR(L1844=FALSE,M1844=FALSE)),",","")&amp;IF(L1844=FALSE,"「残業手当」","")&amp;IF(AND(L1844=FALSE,M1844=FALSE),",","")&amp;IF(M1844=FALSE,"「残業時間」","")&amp;IF(OR(J1844=FALSE,K1844=FALSE,L1844=FALSE,M1844=FALSE),入力リスト!$K$36,"")&amp;IF(N1844,"",入力リスト!$K$37)))</f>
        <v/>
      </c>
      <c r="H1844" s="215"/>
      <c r="I1844" s="1" t="b">
        <f>IF(B1844="",FALSE,COUNTIF('従業員情報(給与以外)'!$A$4:$A$1000000,$B1844)=0)</f>
        <v>0</v>
      </c>
      <c r="J1844" s="8" t="b">
        <f t="shared" si="140"/>
        <v>1</v>
      </c>
      <c r="K1844" s="8" t="b">
        <f t="shared" si="141"/>
        <v>1</v>
      </c>
      <c r="L1844" s="8" t="b">
        <f t="shared" si="142"/>
        <v>1</v>
      </c>
      <c r="M1844" s="8" t="b">
        <f t="shared" si="143"/>
        <v>1</v>
      </c>
      <c r="N1844" s="1" t="b">
        <f t="shared" si="144"/>
        <v>1</v>
      </c>
      <c r="O1844" s="8" t="str">
        <f>IF(F1844="","",IF($F$2=入力リスト!$H$25,ROUNDDOWN(INT(F1844)+ROUNDDOWN((F1844-INT(F1844))*100,0)/60,2),F1844))</f>
        <v/>
      </c>
      <c r="P1844" s="7"/>
      <c r="Q1844" s="7"/>
    </row>
    <row r="1845" spans="1:17">
      <c r="A1845" s="105"/>
      <c r="B1845" s="2"/>
      <c r="C1845" s="3"/>
      <c r="D1845" s="3"/>
      <c r="E1845" s="3"/>
      <c r="F1845" s="8"/>
      <c r="G1845" s="215" t="str">
        <f>IF(AND($B1845="",OR(B1845&lt;&gt;"",C1845&lt;&gt;"",D1845&lt;&gt;"",E1845&lt;&gt;"",F1845&lt;&gt;"")),入力リスト!$K$34,IF($I1845=TRUE,入力リスト!$K$35,IF(J1845=FALSE,"「毎月の固定給与額」","")&amp;IF(AND(J1845=FALSE,OR(K1845=FALSE,L1845=FALSE,M1845=FALSE)),",","")&amp;IF(K1845=FALSE,"「賞与額等」","")&amp;IF(AND(K1845=FALSE,OR(L1845=FALSE,M1845=FALSE)),",","")&amp;IF(L1845=FALSE,"「残業手当」","")&amp;IF(AND(L1845=FALSE,M1845=FALSE),",","")&amp;IF(M1845=FALSE,"「残業時間」","")&amp;IF(OR(J1845=FALSE,K1845=FALSE,L1845=FALSE,M1845=FALSE),入力リスト!$K$36,"")&amp;IF(N1845,"",入力リスト!$K$37)))</f>
        <v/>
      </c>
      <c r="H1845" s="215"/>
      <c r="I1845" s="1" t="b">
        <f>IF(B1845="",FALSE,COUNTIF('従業員情報(給与以外)'!$A$4:$A$1000000,$B1845)=0)</f>
        <v>0</v>
      </c>
      <c r="J1845" s="8" t="b">
        <f t="shared" si="140"/>
        <v>1</v>
      </c>
      <c r="K1845" s="8" t="b">
        <f t="shared" si="141"/>
        <v>1</v>
      </c>
      <c r="L1845" s="8" t="b">
        <f t="shared" si="142"/>
        <v>1</v>
      </c>
      <c r="M1845" s="8" t="b">
        <f t="shared" si="143"/>
        <v>1</v>
      </c>
      <c r="N1845" s="1" t="b">
        <f t="shared" si="144"/>
        <v>1</v>
      </c>
      <c r="O1845" s="8" t="str">
        <f>IF(F1845="","",IF($F$2=入力リスト!$H$25,ROUNDDOWN(INT(F1845)+ROUNDDOWN((F1845-INT(F1845))*100,0)/60,2),F1845))</f>
        <v/>
      </c>
      <c r="P1845" s="7"/>
      <c r="Q1845" s="7"/>
    </row>
    <row r="1846" spans="1:17">
      <c r="A1846" s="105"/>
      <c r="B1846" s="2"/>
      <c r="C1846" s="3"/>
      <c r="D1846" s="3"/>
      <c r="E1846" s="3"/>
      <c r="F1846" s="8"/>
      <c r="G1846" s="215" t="str">
        <f>IF(AND($B1846="",OR(B1846&lt;&gt;"",C1846&lt;&gt;"",D1846&lt;&gt;"",E1846&lt;&gt;"",F1846&lt;&gt;"")),入力リスト!$K$34,IF($I1846=TRUE,入力リスト!$K$35,IF(J1846=FALSE,"「毎月の固定給与額」","")&amp;IF(AND(J1846=FALSE,OR(K1846=FALSE,L1846=FALSE,M1846=FALSE)),",","")&amp;IF(K1846=FALSE,"「賞与額等」","")&amp;IF(AND(K1846=FALSE,OR(L1846=FALSE,M1846=FALSE)),",","")&amp;IF(L1846=FALSE,"「残業手当」","")&amp;IF(AND(L1846=FALSE,M1846=FALSE),",","")&amp;IF(M1846=FALSE,"「残業時間」","")&amp;IF(OR(J1846=FALSE,K1846=FALSE,L1846=FALSE,M1846=FALSE),入力リスト!$K$36,"")&amp;IF(N1846,"",入力リスト!$K$37)))</f>
        <v/>
      </c>
      <c r="H1846" s="215"/>
      <c r="I1846" s="1" t="b">
        <f>IF(B1846="",FALSE,COUNTIF('従業員情報(給与以外)'!$A$4:$A$1000000,$B1846)=0)</f>
        <v>0</v>
      </c>
      <c r="J1846" s="8" t="b">
        <f t="shared" si="140"/>
        <v>1</v>
      </c>
      <c r="K1846" s="8" t="b">
        <f t="shared" si="141"/>
        <v>1</v>
      </c>
      <c r="L1846" s="8" t="b">
        <f t="shared" si="142"/>
        <v>1</v>
      </c>
      <c r="M1846" s="8" t="b">
        <f t="shared" si="143"/>
        <v>1</v>
      </c>
      <c r="N1846" s="1" t="b">
        <f t="shared" si="144"/>
        <v>1</v>
      </c>
      <c r="O1846" s="8" t="str">
        <f>IF(F1846="","",IF($F$2=入力リスト!$H$25,ROUNDDOWN(INT(F1846)+ROUNDDOWN((F1846-INT(F1846))*100,0)/60,2),F1846))</f>
        <v/>
      </c>
      <c r="P1846" s="7"/>
      <c r="Q1846" s="7"/>
    </row>
    <row r="1847" spans="1:17">
      <c r="A1847" s="105"/>
      <c r="B1847" s="2"/>
      <c r="C1847" s="3"/>
      <c r="D1847" s="3"/>
      <c r="E1847" s="3"/>
      <c r="F1847" s="8"/>
      <c r="G1847" s="215" t="str">
        <f>IF(AND($B1847="",OR(B1847&lt;&gt;"",C1847&lt;&gt;"",D1847&lt;&gt;"",E1847&lt;&gt;"",F1847&lt;&gt;"")),入力リスト!$K$34,IF($I1847=TRUE,入力リスト!$K$35,IF(J1847=FALSE,"「毎月の固定給与額」","")&amp;IF(AND(J1847=FALSE,OR(K1847=FALSE,L1847=FALSE,M1847=FALSE)),",","")&amp;IF(K1847=FALSE,"「賞与額等」","")&amp;IF(AND(K1847=FALSE,OR(L1847=FALSE,M1847=FALSE)),",","")&amp;IF(L1847=FALSE,"「残業手当」","")&amp;IF(AND(L1847=FALSE,M1847=FALSE),",","")&amp;IF(M1847=FALSE,"「残業時間」","")&amp;IF(OR(J1847=FALSE,K1847=FALSE,L1847=FALSE,M1847=FALSE),入力リスト!$K$36,"")&amp;IF(N1847,"",入力リスト!$K$37)))</f>
        <v/>
      </c>
      <c r="H1847" s="215"/>
      <c r="I1847" s="1" t="b">
        <f>IF(B1847="",FALSE,COUNTIF('従業員情報(給与以外)'!$A$4:$A$1000000,$B1847)=0)</f>
        <v>0</v>
      </c>
      <c r="J1847" s="8" t="b">
        <f t="shared" si="140"/>
        <v>1</v>
      </c>
      <c r="K1847" s="8" t="b">
        <f t="shared" si="141"/>
        <v>1</v>
      </c>
      <c r="L1847" s="8" t="b">
        <f t="shared" si="142"/>
        <v>1</v>
      </c>
      <c r="M1847" s="8" t="b">
        <f t="shared" si="143"/>
        <v>1</v>
      </c>
      <c r="N1847" s="1" t="b">
        <f t="shared" si="144"/>
        <v>1</v>
      </c>
      <c r="O1847" s="8" t="str">
        <f>IF(F1847="","",IF($F$2=入力リスト!$H$25,ROUNDDOWN(INT(F1847)+ROUNDDOWN((F1847-INT(F1847))*100,0)/60,2),F1847))</f>
        <v/>
      </c>
      <c r="P1847" s="7"/>
      <c r="Q1847" s="7"/>
    </row>
    <row r="1848" spans="1:17">
      <c r="A1848" s="105"/>
      <c r="B1848" s="2"/>
      <c r="C1848" s="3"/>
      <c r="D1848" s="3"/>
      <c r="E1848" s="3"/>
      <c r="F1848" s="8"/>
      <c r="G1848" s="215" t="str">
        <f>IF(AND($B1848="",OR(B1848&lt;&gt;"",C1848&lt;&gt;"",D1848&lt;&gt;"",E1848&lt;&gt;"",F1848&lt;&gt;"")),入力リスト!$K$34,IF($I1848=TRUE,入力リスト!$K$35,IF(J1848=FALSE,"「毎月の固定給与額」","")&amp;IF(AND(J1848=FALSE,OR(K1848=FALSE,L1848=FALSE,M1848=FALSE)),",","")&amp;IF(K1848=FALSE,"「賞与額等」","")&amp;IF(AND(K1848=FALSE,OR(L1848=FALSE,M1848=FALSE)),",","")&amp;IF(L1848=FALSE,"「残業手当」","")&amp;IF(AND(L1848=FALSE,M1848=FALSE),",","")&amp;IF(M1848=FALSE,"「残業時間」","")&amp;IF(OR(J1848=FALSE,K1848=FALSE,L1848=FALSE,M1848=FALSE),入力リスト!$K$36,"")&amp;IF(N1848,"",入力リスト!$K$37)))</f>
        <v/>
      </c>
      <c r="H1848" s="215"/>
      <c r="I1848" s="1" t="b">
        <f>IF(B1848="",FALSE,COUNTIF('従業員情報(給与以外)'!$A$4:$A$1000000,$B1848)=0)</f>
        <v>0</v>
      </c>
      <c r="J1848" s="8" t="b">
        <f t="shared" si="140"/>
        <v>1</v>
      </c>
      <c r="K1848" s="8" t="b">
        <f t="shared" si="141"/>
        <v>1</v>
      </c>
      <c r="L1848" s="8" t="b">
        <f t="shared" si="142"/>
        <v>1</v>
      </c>
      <c r="M1848" s="8" t="b">
        <f t="shared" si="143"/>
        <v>1</v>
      </c>
      <c r="N1848" s="1" t="b">
        <f t="shared" si="144"/>
        <v>1</v>
      </c>
      <c r="O1848" s="8" t="str">
        <f>IF(F1848="","",IF($F$2=入力リスト!$H$25,ROUNDDOWN(INT(F1848)+ROUNDDOWN((F1848-INT(F1848))*100,0)/60,2),F1848))</f>
        <v/>
      </c>
      <c r="P1848" s="7"/>
      <c r="Q1848" s="7"/>
    </row>
    <row r="1849" spans="1:17">
      <c r="A1849" s="105"/>
      <c r="B1849" s="2"/>
      <c r="C1849" s="3"/>
      <c r="D1849" s="3"/>
      <c r="E1849" s="3"/>
      <c r="F1849" s="8"/>
      <c r="G1849" s="215" t="str">
        <f>IF(AND($B1849="",OR(B1849&lt;&gt;"",C1849&lt;&gt;"",D1849&lt;&gt;"",E1849&lt;&gt;"",F1849&lt;&gt;"")),入力リスト!$K$34,IF($I1849=TRUE,入力リスト!$K$35,IF(J1849=FALSE,"「毎月の固定給与額」","")&amp;IF(AND(J1849=FALSE,OR(K1849=FALSE,L1849=FALSE,M1849=FALSE)),",","")&amp;IF(K1849=FALSE,"「賞与額等」","")&amp;IF(AND(K1849=FALSE,OR(L1849=FALSE,M1849=FALSE)),",","")&amp;IF(L1849=FALSE,"「残業手当」","")&amp;IF(AND(L1849=FALSE,M1849=FALSE),",","")&amp;IF(M1849=FALSE,"「残業時間」","")&amp;IF(OR(J1849=FALSE,K1849=FALSE,L1849=FALSE,M1849=FALSE),入力リスト!$K$36,"")&amp;IF(N1849,"",入力リスト!$K$37)))</f>
        <v/>
      </c>
      <c r="H1849" s="215"/>
      <c r="I1849" s="1" t="b">
        <f>IF(B1849="",FALSE,COUNTIF('従業員情報(給与以外)'!$A$4:$A$1000000,$B1849)=0)</f>
        <v>0</v>
      </c>
      <c r="J1849" s="8" t="b">
        <f t="shared" si="140"/>
        <v>1</v>
      </c>
      <c r="K1849" s="8" t="b">
        <f t="shared" si="141"/>
        <v>1</v>
      </c>
      <c r="L1849" s="8" t="b">
        <f t="shared" si="142"/>
        <v>1</v>
      </c>
      <c r="M1849" s="8" t="b">
        <f t="shared" si="143"/>
        <v>1</v>
      </c>
      <c r="N1849" s="1" t="b">
        <f t="shared" si="144"/>
        <v>1</v>
      </c>
      <c r="O1849" s="8" t="str">
        <f>IF(F1849="","",IF($F$2=入力リスト!$H$25,ROUNDDOWN(INT(F1849)+ROUNDDOWN((F1849-INT(F1849))*100,0)/60,2),F1849))</f>
        <v/>
      </c>
      <c r="P1849" s="7"/>
      <c r="Q1849" s="7"/>
    </row>
    <row r="1850" spans="1:17">
      <c r="A1850" s="105"/>
      <c r="B1850" s="2"/>
      <c r="C1850" s="3"/>
      <c r="D1850" s="3"/>
      <c r="E1850" s="3"/>
      <c r="F1850" s="8"/>
      <c r="G1850" s="215" t="str">
        <f>IF(AND($B1850="",OR(B1850&lt;&gt;"",C1850&lt;&gt;"",D1850&lt;&gt;"",E1850&lt;&gt;"",F1850&lt;&gt;"")),入力リスト!$K$34,IF($I1850=TRUE,入力リスト!$K$35,IF(J1850=FALSE,"「毎月の固定給与額」","")&amp;IF(AND(J1850=FALSE,OR(K1850=FALSE,L1850=FALSE,M1850=FALSE)),",","")&amp;IF(K1850=FALSE,"「賞与額等」","")&amp;IF(AND(K1850=FALSE,OR(L1850=FALSE,M1850=FALSE)),",","")&amp;IF(L1850=FALSE,"「残業手当」","")&amp;IF(AND(L1850=FALSE,M1850=FALSE),",","")&amp;IF(M1850=FALSE,"「残業時間」","")&amp;IF(OR(J1850=FALSE,K1850=FALSE,L1850=FALSE,M1850=FALSE),入力リスト!$K$36,"")&amp;IF(N1850,"",入力リスト!$K$37)))</f>
        <v/>
      </c>
      <c r="H1850" s="215"/>
      <c r="I1850" s="1" t="b">
        <f>IF(B1850="",FALSE,COUNTIF('従業員情報(給与以外)'!$A$4:$A$1000000,$B1850)=0)</f>
        <v>0</v>
      </c>
      <c r="J1850" s="8" t="b">
        <f t="shared" si="140"/>
        <v>1</v>
      </c>
      <c r="K1850" s="8" t="b">
        <f t="shared" si="141"/>
        <v>1</v>
      </c>
      <c r="L1850" s="8" t="b">
        <f t="shared" si="142"/>
        <v>1</v>
      </c>
      <c r="M1850" s="8" t="b">
        <f t="shared" si="143"/>
        <v>1</v>
      </c>
      <c r="N1850" s="1" t="b">
        <f t="shared" si="144"/>
        <v>1</v>
      </c>
      <c r="O1850" s="8" t="str">
        <f>IF(F1850="","",IF($F$2=入力リスト!$H$25,ROUNDDOWN(INT(F1850)+ROUNDDOWN((F1850-INT(F1850))*100,0)/60,2),F1850))</f>
        <v/>
      </c>
      <c r="P1850" s="7"/>
      <c r="Q1850" s="7"/>
    </row>
    <row r="1851" spans="1:17">
      <c r="A1851" s="105"/>
      <c r="B1851" s="2"/>
      <c r="C1851" s="3"/>
      <c r="D1851" s="3"/>
      <c r="E1851" s="3"/>
      <c r="F1851" s="8"/>
      <c r="G1851" s="215" t="str">
        <f>IF(AND($B1851="",OR(B1851&lt;&gt;"",C1851&lt;&gt;"",D1851&lt;&gt;"",E1851&lt;&gt;"",F1851&lt;&gt;"")),入力リスト!$K$34,IF($I1851=TRUE,入力リスト!$K$35,IF(J1851=FALSE,"「毎月の固定給与額」","")&amp;IF(AND(J1851=FALSE,OR(K1851=FALSE,L1851=FALSE,M1851=FALSE)),",","")&amp;IF(K1851=FALSE,"「賞与額等」","")&amp;IF(AND(K1851=FALSE,OR(L1851=FALSE,M1851=FALSE)),",","")&amp;IF(L1851=FALSE,"「残業手当」","")&amp;IF(AND(L1851=FALSE,M1851=FALSE),",","")&amp;IF(M1851=FALSE,"「残業時間」","")&amp;IF(OR(J1851=FALSE,K1851=FALSE,L1851=FALSE,M1851=FALSE),入力リスト!$K$36,"")&amp;IF(N1851,"",入力リスト!$K$37)))</f>
        <v/>
      </c>
      <c r="H1851" s="215"/>
      <c r="I1851" s="1" t="b">
        <f>IF(B1851="",FALSE,COUNTIF('従業員情報(給与以外)'!$A$4:$A$1000000,$B1851)=0)</f>
        <v>0</v>
      </c>
      <c r="J1851" s="8" t="b">
        <f t="shared" si="140"/>
        <v>1</v>
      </c>
      <c r="K1851" s="8" t="b">
        <f t="shared" si="141"/>
        <v>1</v>
      </c>
      <c r="L1851" s="8" t="b">
        <f t="shared" si="142"/>
        <v>1</v>
      </c>
      <c r="M1851" s="8" t="b">
        <f t="shared" si="143"/>
        <v>1</v>
      </c>
      <c r="N1851" s="1" t="b">
        <f t="shared" si="144"/>
        <v>1</v>
      </c>
      <c r="O1851" s="8" t="str">
        <f>IF(F1851="","",IF($F$2=入力リスト!$H$25,ROUNDDOWN(INT(F1851)+ROUNDDOWN((F1851-INT(F1851))*100,0)/60,2),F1851))</f>
        <v/>
      </c>
      <c r="P1851" s="7"/>
      <c r="Q1851" s="7"/>
    </row>
    <row r="1852" spans="1:17">
      <c r="A1852" s="105"/>
      <c r="B1852" s="2"/>
      <c r="C1852" s="3"/>
      <c r="D1852" s="3"/>
      <c r="E1852" s="3"/>
      <c r="F1852" s="8"/>
      <c r="G1852" s="215" t="str">
        <f>IF(AND($B1852="",OR(B1852&lt;&gt;"",C1852&lt;&gt;"",D1852&lt;&gt;"",E1852&lt;&gt;"",F1852&lt;&gt;"")),入力リスト!$K$34,IF($I1852=TRUE,入力リスト!$K$35,IF(J1852=FALSE,"「毎月の固定給与額」","")&amp;IF(AND(J1852=FALSE,OR(K1852=FALSE,L1852=FALSE,M1852=FALSE)),",","")&amp;IF(K1852=FALSE,"「賞与額等」","")&amp;IF(AND(K1852=FALSE,OR(L1852=FALSE,M1852=FALSE)),",","")&amp;IF(L1852=FALSE,"「残業手当」","")&amp;IF(AND(L1852=FALSE,M1852=FALSE),",","")&amp;IF(M1852=FALSE,"「残業時間」","")&amp;IF(OR(J1852=FALSE,K1852=FALSE,L1852=FALSE,M1852=FALSE),入力リスト!$K$36,"")&amp;IF(N1852,"",入力リスト!$K$37)))</f>
        <v/>
      </c>
      <c r="H1852" s="215"/>
      <c r="I1852" s="1" t="b">
        <f>IF(B1852="",FALSE,COUNTIF('従業員情報(給与以外)'!$A$4:$A$1000000,$B1852)=0)</f>
        <v>0</v>
      </c>
      <c r="J1852" s="8" t="b">
        <f t="shared" si="140"/>
        <v>1</v>
      </c>
      <c r="K1852" s="8" t="b">
        <f t="shared" si="141"/>
        <v>1</v>
      </c>
      <c r="L1852" s="8" t="b">
        <f t="shared" si="142"/>
        <v>1</v>
      </c>
      <c r="M1852" s="8" t="b">
        <f t="shared" si="143"/>
        <v>1</v>
      </c>
      <c r="N1852" s="1" t="b">
        <f t="shared" si="144"/>
        <v>1</v>
      </c>
      <c r="O1852" s="8" t="str">
        <f>IF(F1852="","",IF($F$2=入力リスト!$H$25,ROUNDDOWN(INT(F1852)+ROUNDDOWN((F1852-INT(F1852))*100,0)/60,2),F1852))</f>
        <v/>
      </c>
      <c r="P1852" s="7"/>
      <c r="Q1852" s="7"/>
    </row>
    <row r="1853" spans="1:17">
      <c r="A1853" s="105"/>
      <c r="B1853" s="2"/>
      <c r="C1853" s="3"/>
      <c r="D1853" s="3"/>
      <c r="E1853" s="3"/>
      <c r="F1853" s="8"/>
      <c r="G1853" s="215" t="str">
        <f>IF(AND($B1853="",OR(B1853&lt;&gt;"",C1853&lt;&gt;"",D1853&lt;&gt;"",E1853&lt;&gt;"",F1853&lt;&gt;"")),入力リスト!$K$34,IF($I1853=TRUE,入力リスト!$K$35,IF(J1853=FALSE,"「毎月の固定給与額」","")&amp;IF(AND(J1853=FALSE,OR(K1853=FALSE,L1853=FALSE,M1853=FALSE)),",","")&amp;IF(K1853=FALSE,"「賞与額等」","")&amp;IF(AND(K1853=FALSE,OR(L1853=FALSE,M1853=FALSE)),",","")&amp;IF(L1853=FALSE,"「残業手当」","")&amp;IF(AND(L1853=FALSE,M1853=FALSE),",","")&amp;IF(M1853=FALSE,"「残業時間」","")&amp;IF(OR(J1853=FALSE,K1853=FALSE,L1853=FALSE,M1853=FALSE),入力リスト!$K$36,"")&amp;IF(N1853,"",入力リスト!$K$37)))</f>
        <v/>
      </c>
      <c r="H1853" s="215"/>
      <c r="I1853" s="1" t="b">
        <f>IF(B1853="",FALSE,COUNTIF('従業員情報(給与以外)'!$A$4:$A$1000000,$B1853)=0)</f>
        <v>0</v>
      </c>
      <c r="J1853" s="8" t="b">
        <f t="shared" si="140"/>
        <v>1</v>
      </c>
      <c r="K1853" s="8" t="b">
        <f t="shared" si="141"/>
        <v>1</v>
      </c>
      <c r="L1853" s="8" t="b">
        <f t="shared" si="142"/>
        <v>1</v>
      </c>
      <c r="M1853" s="8" t="b">
        <f t="shared" si="143"/>
        <v>1</v>
      </c>
      <c r="N1853" s="1" t="b">
        <f t="shared" si="144"/>
        <v>1</v>
      </c>
      <c r="O1853" s="8" t="str">
        <f>IF(F1853="","",IF($F$2=入力リスト!$H$25,ROUNDDOWN(INT(F1853)+ROUNDDOWN((F1853-INT(F1853))*100,0)/60,2),F1853))</f>
        <v/>
      </c>
      <c r="P1853" s="7"/>
      <c r="Q1853" s="7"/>
    </row>
    <row r="1854" spans="1:17">
      <c r="A1854" s="105"/>
      <c r="B1854" s="2"/>
      <c r="C1854" s="3"/>
      <c r="D1854" s="3"/>
      <c r="E1854" s="3"/>
      <c r="F1854" s="8"/>
      <c r="G1854" s="215" t="str">
        <f>IF(AND($B1854="",OR(B1854&lt;&gt;"",C1854&lt;&gt;"",D1854&lt;&gt;"",E1854&lt;&gt;"",F1854&lt;&gt;"")),入力リスト!$K$34,IF($I1854=TRUE,入力リスト!$K$35,IF(J1854=FALSE,"「毎月の固定給与額」","")&amp;IF(AND(J1854=FALSE,OR(K1854=FALSE,L1854=FALSE,M1854=FALSE)),",","")&amp;IF(K1854=FALSE,"「賞与額等」","")&amp;IF(AND(K1854=FALSE,OR(L1854=FALSE,M1854=FALSE)),",","")&amp;IF(L1854=FALSE,"「残業手当」","")&amp;IF(AND(L1854=FALSE,M1854=FALSE),",","")&amp;IF(M1854=FALSE,"「残業時間」","")&amp;IF(OR(J1854=FALSE,K1854=FALSE,L1854=FALSE,M1854=FALSE),入力リスト!$K$36,"")&amp;IF(N1854,"",入力リスト!$K$37)))</f>
        <v/>
      </c>
      <c r="H1854" s="215"/>
      <c r="I1854" s="1" t="b">
        <f>IF(B1854="",FALSE,COUNTIF('従業員情報(給与以外)'!$A$4:$A$1000000,$B1854)=0)</f>
        <v>0</v>
      </c>
      <c r="J1854" s="8" t="b">
        <f t="shared" si="140"/>
        <v>1</v>
      </c>
      <c r="K1854" s="8" t="b">
        <f t="shared" si="141"/>
        <v>1</v>
      </c>
      <c r="L1854" s="8" t="b">
        <f t="shared" si="142"/>
        <v>1</v>
      </c>
      <c r="M1854" s="8" t="b">
        <f t="shared" si="143"/>
        <v>1</v>
      </c>
      <c r="N1854" s="1" t="b">
        <f t="shared" si="144"/>
        <v>1</v>
      </c>
      <c r="O1854" s="8" t="str">
        <f>IF(F1854="","",IF($F$2=入力リスト!$H$25,ROUNDDOWN(INT(F1854)+ROUNDDOWN((F1854-INT(F1854))*100,0)/60,2),F1854))</f>
        <v/>
      </c>
      <c r="P1854" s="7"/>
      <c r="Q1854" s="7"/>
    </row>
    <row r="1855" spans="1:17">
      <c r="A1855" s="105"/>
      <c r="B1855" s="2"/>
      <c r="C1855" s="3"/>
      <c r="D1855" s="3"/>
      <c r="E1855" s="3"/>
      <c r="F1855" s="8"/>
      <c r="G1855" s="215" t="str">
        <f>IF(AND($B1855="",OR(B1855&lt;&gt;"",C1855&lt;&gt;"",D1855&lt;&gt;"",E1855&lt;&gt;"",F1855&lt;&gt;"")),入力リスト!$K$34,IF($I1855=TRUE,入力リスト!$K$35,IF(J1855=FALSE,"「毎月の固定給与額」","")&amp;IF(AND(J1855=FALSE,OR(K1855=FALSE,L1855=FALSE,M1855=FALSE)),",","")&amp;IF(K1855=FALSE,"「賞与額等」","")&amp;IF(AND(K1855=FALSE,OR(L1855=FALSE,M1855=FALSE)),",","")&amp;IF(L1855=FALSE,"「残業手当」","")&amp;IF(AND(L1855=FALSE,M1855=FALSE),",","")&amp;IF(M1855=FALSE,"「残業時間」","")&amp;IF(OR(J1855=FALSE,K1855=FALSE,L1855=FALSE,M1855=FALSE),入力リスト!$K$36,"")&amp;IF(N1855,"",入力リスト!$K$37)))</f>
        <v/>
      </c>
      <c r="H1855" s="215"/>
      <c r="I1855" s="1" t="b">
        <f>IF(B1855="",FALSE,COUNTIF('従業員情報(給与以外)'!$A$4:$A$1000000,$B1855)=0)</f>
        <v>0</v>
      </c>
      <c r="J1855" s="8" t="b">
        <f t="shared" si="140"/>
        <v>1</v>
      </c>
      <c r="K1855" s="8" t="b">
        <f t="shared" si="141"/>
        <v>1</v>
      </c>
      <c r="L1855" s="8" t="b">
        <f t="shared" si="142"/>
        <v>1</v>
      </c>
      <c r="M1855" s="8" t="b">
        <f t="shared" si="143"/>
        <v>1</v>
      </c>
      <c r="N1855" s="1" t="b">
        <f t="shared" si="144"/>
        <v>1</v>
      </c>
      <c r="O1855" s="8" t="str">
        <f>IF(F1855="","",IF($F$2=入力リスト!$H$25,ROUNDDOWN(INT(F1855)+ROUNDDOWN((F1855-INT(F1855))*100,0)/60,2),F1855))</f>
        <v/>
      </c>
      <c r="P1855" s="7"/>
      <c r="Q1855" s="7"/>
    </row>
    <row r="1856" spans="1:17">
      <c r="A1856" s="105"/>
      <c r="B1856" s="2"/>
      <c r="C1856" s="3"/>
      <c r="D1856" s="3"/>
      <c r="E1856" s="3"/>
      <c r="F1856" s="8"/>
      <c r="G1856" s="215" t="str">
        <f>IF(AND($B1856="",OR(B1856&lt;&gt;"",C1856&lt;&gt;"",D1856&lt;&gt;"",E1856&lt;&gt;"",F1856&lt;&gt;"")),入力リスト!$K$34,IF($I1856=TRUE,入力リスト!$K$35,IF(J1856=FALSE,"「毎月の固定給与額」","")&amp;IF(AND(J1856=FALSE,OR(K1856=FALSE,L1856=FALSE,M1856=FALSE)),",","")&amp;IF(K1856=FALSE,"「賞与額等」","")&amp;IF(AND(K1856=FALSE,OR(L1856=FALSE,M1856=FALSE)),",","")&amp;IF(L1856=FALSE,"「残業手当」","")&amp;IF(AND(L1856=FALSE,M1856=FALSE),",","")&amp;IF(M1856=FALSE,"「残業時間」","")&amp;IF(OR(J1856=FALSE,K1856=FALSE,L1856=FALSE,M1856=FALSE),入力リスト!$K$36,"")&amp;IF(N1856,"",入力リスト!$K$37)))</f>
        <v/>
      </c>
      <c r="H1856" s="215"/>
      <c r="I1856" s="1" t="b">
        <f>IF(B1856="",FALSE,COUNTIF('従業員情報(給与以外)'!$A$4:$A$1000000,$B1856)=0)</f>
        <v>0</v>
      </c>
      <c r="J1856" s="8" t="b">
        <f t="shared" si="140"/>
        <v>1</v>
      </c>
      <c r="K1856" s="8" t="b">
        <f t="shared" si="141"/>
        <v>1</v>
      </c>
      <c r="L1856" s="8" t="b">
        <f t="shared" si="142"/>
        <v>1</v>
      </c>
      <c r="M1856" s="8" t="b">
        <f t="shared" si="143"/>
        <v>1</v>
      </c>
      <c r="N1856" s="1" t="b">
        <f t="shared" si="144"/>
        <v>1</v>
      </c>
      <c r="O1856" s="8" t="str">
        <f>IF(F1856="","",IF($F$2=入力リスト!$H$25,ROUNDDOWN(INT(F1856)+ROUNDDOWN((F1856-INT(F1856))*100,0)/60,2),F1856))</f>
        <v/>
      </c>
      <c r="P1856" s="7"/>
      <c r="Q1856" s="7"/>
    </row>
    <row r="1857" spans="1:17">
      <c r="A1857" s="105"/>
      <c r="B1857" s="2"/>
      <c r="C1857" s="3"/>
      <c r="D1857" s="3"/>
      <c r="E1857" s="3"/>
      <c r="F1857" s="8"/>
      <c r="G1857" s="215" t="str">
        <f>IF(AND($B1857="",OR(B1857&lt;&gt;"",C1857&lt;&gt;"",D1857&lt;&gt;"",E1857&lt;&gt;"",F1857&lt;&gt;"")),入力リスト!$K$34,IF($I1857=TRUE,入力リスト!$K$35,IF(J1857=FALSE,"「毎月の固定給与額」","")&amp;IF(AND(J1857=FALSE,OR(K1857=FALSE,L1857=FALSE,M1857=FALSE)),",","")&amp;IF(K1857=FALSE,"「賞与額等」","")&amp;IF(AND(K1857=FALSE,OR(L1857=FALSE,M1857=FALSE)),",","")&amp;IF(L1857=FALSE,"「残業手当」","")&amp;IF(AND(L1857=FALSE,M1857=FALSE),",","")&amp;IF(M1857=FALSE,"「残業時間」","")&amp;IF(OR(J1857=FALSE,K1857=FALSE,L1857=FALSE,M1857=FALSE),入力リスト!$K$36,"")&amp;IF(N1857,"",入力リスト!$K$37)))</f>
        <v/>
      </c>
      <c r="H1857" s="215"/>
      <c r="I1857" s="1" t="b">
        <f>IF(B1857="",FALSE,COUNTIF('従業員情報(給与以外)'!$A$4:$A$1000000,$B1857)=0)</f>
        <v>0</v>
      </c>
      <c r="J1857" s="8" t="b">
        <f t="shared" si="140"/>
        <v>1</v>
      </c>
      <c r="K1857" s="8" t="b">
        <f t="shared" si="141"/>
        <v>1</v>
      </c>
      <c r="L1857" s="8" t="b">
        <f t="shared" si="142"/>
        <v>1</v>
      </c>
      <c r="M1857" s="8" t="b">
        <f t="shared" si="143"/>
        <v>1</v>
      </c>
      <c r="N1857" s="1" t="b">
        <f t="shared" si="144"/>
        <v>1</v>
      </c>
      <c r="O1857" s="8" t="str">
        <f>IF(F1857="","",IF($F$2=入力リスト!$H$25,ROUNDDOWN(INT(F1857)+ROUNDDOWN((F1857-INT(F1857))*100,0)/60,2),F1857))</f>
        <v/>
      </c>
      <c r="P1857" s="7"/>
      <c r="Q1857" s="7"/>
    </row>
    <row r="1858" spans="1:17">
      <c r="A1858" s="105"/>
      <c r="B1858" s="2"/>
      <c r="C1858" s="3"/>
      <c r="D1858" s="3"/>
      <c r="E1858" s="3"/>
      <c r="F1858" s="8"/>
      <c r="G1858" s="215" t="str">
        <f>IF(AND($B1858="",OR(B1858&lt;&gt;"",C1858&lt;&gt;"",D1858&lt;&gt;"",E1858&lt;&gt;"",F1858&lt;&gt;"")),入力リスト!$K$34,IF($I1858=TRUE,入力リスト!$K$35,IF(J1858=FALSE,"「毎月の固定給与額」","")&amp;IF(AND(J1858=FALSE,OR(K1858=FALSE,L1858=FALSE,M1858=FALSE)),",","")&amp;IF(K1858=FALSE,"「賞与額等」","")&amp;IF(AND(K1858=FALSE,OR(L1858=FALSE,M1858=FALSE)),",","")&amp;IF(L1858=FALSE,"「残業手当」","")&amp;IF(AND(L1858=FALSE,M1858=FALSE),",","")&amp;IF(M1858=FALSE,"「残業時間」","")&amp;IF(OR(J1858=FALSE,K1858=FALSE,L1858=FALSE,M1858=FALSE),入力リスト!$K$36,"")&amp;IF(N1858,"",入力リスト!$K$37)))</f>
        <v/>
      </c>
      <c r="H1858" s="215"/>
      <c r="I1858" s="1" t="b">
        <f>IF(B1858="",FALSE,COUNTIF('従業員情報(給与以外)'!$A$4:$A$1000000,$B1858)=0)</f>
        <v>0</v>
      </c>
      <c r="J1858" s="8" t="b">
        <f t="shared" si="140"/>
        <v>1</v>
      </c>
      <c r="K1858" s="8" t="b">
        <f t="shared" si="141"/>
        <v>1</v>
      </c>
      <c r="L1858" s="8" t="b">
        <f t="shared" si="142"/>
        <v>1</v>
      </c>
      <c r="M1858" s="8" t="b">
        <f t="shared" si="143"/>
        <v>1</v>
      </c>
      <c r="N1858" s="1" t="b">
        <f t="shared" si="144"/>
        <v>1</v>
      </c>
      <c r="O1858" s="8" t="str">
        <f>IF(F1858="","",IF($F$2=入力リスト!$H$25,ROUNDDOWN(INT(F1858)+ROUNDDOWN((F1858-INT(F1858))*100,0)/60,2),F1858))</f>
        <v/>
      </c>
      <c r="P1858" s="7"/>
      <c r="Q1858" s="7"/>
    </row>
    <row r="1859" spans="1:17">
      <c r="A1859" s="105"/>
      <c r="B1859" s="2"/>
      <c r="C1859" s="3"/>
      <c r="D1859" s="3"/>
      <c r="E1859" s="3"/>
      <c r="F1859" s="8"/>
      <c r="G1859" s="215" t="str">
        <f>IF(AND($B1859="",OR(B1859&lt;&gt;"",C1859&lt;&gt;"",D1859&lt;&gt;"",E1859&lt;&gt;"",F1859&lt;&gt;"")),入力リスト!$K$34,IF($I1859=TRUE,入力リスト!$K$35,IF(J1859=FALSE,"「毎月の固定給与額」","")&amp;IF(AND(J1859=FALSE,OR(K1859=FALSE,L1859=FALSE,M1859=FALSE)),",","")&amp;IF(K1859=FALSE,"「賞与額等」","")&amp;IF(AND(K1859=FALSE,OR(L1859=FALSE,M1859=FALSE)),",","")&amp;IF(L1859=FALSE,"「残業手当」","")&amp;IF(AND(L1859=FALSE,M1859=FALSE),",","")&amp;IF(M1859=FALSE,"「残業時間」","")&amp;IF(OR(J1859=FALSE,K1859=FALSE,L1859=FALSE,M1859=FALSE),入力リスト!$K$36,"")&amp;IF(N1859,"",入力リスト!$K$37)))</f>
        <v/>
      </c>
      <c r="H1859" s="215"/>
      <c r="I1859" s="1" t="b">
        <f>IF(B1859="",FALSE,COUNTIF('従業員情報(給与以外)'!$A$4:$A$1000000,$B1859)=0)</f>
        <v>0</v>
      </c>
      <c r="J1859" s="8" t="b">
        <f t="shared" si="140"/>
        <v>1</v>
      </c>
      <c r="K1859" s="8" t="b">
        <f t="shared" si="141"/>
        <v>1</v>
      </c>
      <c r="L1859" s="8" t="b">
        <f t="shared" si="142"/>
        <v>1</v>
      </c>
      <c r="M1859" s="8" t="b">
        <f t="shared" si="143"/>
        <v>1</v>
      </c>
      <c r="N1859" s="1" t="b">
        <f t="shared" si="144"/>
        <v>1</v>
      </c>
      <c r="O1859" s="8" t="str">
        <f>IF(F1859="","",IF($F$2=入力リスト!$H$25,ROUNDDOWN(INT(F1859)+ROUNDDOWN((F1859-INT(F1859))*100,0)/60,2),F1859))</f>
        <v/>
      </c>
      <c r="P1859" s="7"/>
      <c r="Q1859" s="7"/>
    </row>
    <row r="1860" spans="1:17">
      <c r="A1860" s="105"/>
      <c r="B1860" s="2"/>
      <c r="C1860" s="3"/>
      <c r="D1860" s="3"/>
      <c r="E1860" s="3"/>
      <c r="F1860" s="8"/>
      <c r="G1860" s="215" t="str">
        <f>IF(AND($B1860="",OR(B1860&lt;&gt;"",C1860&lt;&gt;"",D1860&lt;&gt;"",E1860&lt;&gt;"",F1860&lt;&gt;"")),入力リスト!$K$34,IF($I1860=TRUE,入力リスト!$K$35,IF(J1860=FALSE,"「毎月の固定給与額」","")&amp;IF(AND(J1860=FALSE,OR(K1860=FALSE,L1860=FALSE,M1860=FALSE)),",","")&amp;IF(K1860=FALSE,"「賞与額等」","")&amp;IF(AND(K1860=FALSE,OR(L1860=FALSE,M1860=FALSE)),",","")&amp;IF(L1860=FALSE,"「残業手当」","")&amp;IF(AND(L1860=FALSE,M1860=FALSE),",","")&amp;IF(M1860=FALSE,"「残業時間」","")&amp;IF(OR(J1860=FALSE,K1860=FALSE,L1860=FALSE,M1860=FALSE),入力リスト!$K$36,"")&amp;IF(N1860,"",入力リスト!$K$37)))</f>
        <v/>
      </c>
      <c r="H1860" s="215"/>
      <c r="I1860" s="1" t="b">
        <f>IF(B1860="",FALSE,COUNTIF('従業員情報(給与以外)'!$A$4:$A$1000000,$B1860)=0)</f>
        <v>0</v>
      </c>
      <c r="J1860" s="8" t="b">
        <f t="shared" si="140"/>
        <v>1</v>
      </c>
      <c r="K1860" s="8" t="b">
        <f t="shared" si="141"/>
        <v>1</v>
      </c>
      <c r="L1860" s="8" t="b">
        <f t="shared" si="142"/>
        <v>1</v>
      </c>
      <c r="M1860" s="8" t="b">
        <f t="shared" si="143"/>
        <v>1</v>
      </c>
      <c r="N1860" s="1" t="b">
        <f t="shared" si="144"/>
        <v>1</v>
      </c>
      <c r="O1860" s="8" t="str">
        <f>IF(F1860="","",IF($F$2=入力リスト!$H$25,ROUNDDOWN(INT(F1860)+ROUNDDOWN((F1860-INT(F1860))*100,0)/60,2),F1860))</f>
        <v/>
      </c>
      <c r="P1860" s="7"/>
      <c r="Q1860" s="7"/>
    </row>
    <row r="1861" spans="1:17">
      <c r="A1861" s="105"/>
      <c r="B1861" s="2"/>
      <c r="C1861" s="3"/>
      <c r="D1861" s="3"/>
      <c r="E1861" s="3"/>
      <c r="F1861" s="8"/>
      <c r="G1861" s="215" t="str">
        <f>IF(AND($B1861="",OR(B1861&lt;&gt;"",C1861&lt;&gt;"",D1861&lt;&gt;"",E1861&lt;&gt;"",F1861&lt;&gt;"")),入力リスト!$K$34,IF($I1861=TRUE,入力リスト!$K$35,IF(J1861=FALSE,"「毎月の固定給与額」","")&amp;IF(AND(J1861=FALSE,OR(K1861=FALSE,L1861=FALSE,M1861=FALSE)),",","")&amp;IF(K1861=FALSE,"「賞与額等」","")&amp;IF(AND(K1861=FALSE,OR(L1861=FALSE,M1861=FALSE)),",","")&amp;IF(L1861=FALSE,"「残業手当」","")&amp;IF(AND(L1861=FALSE,M1861=FALSE),",","")&amp;IF(M1861=FALSE,"「残業時間」","")&amp;IF(OR(J1861=FALSE,K1861=FALSE,L1861=FALSE,M1861=FALSE),入力リスト!$K$36,"")&amp;IF(N1861,"",入力リスト!$K$37)))</f>
        <v/>
      </c>
      <c r="H1861" s="215"/>
      <c r="I1861" s="1" t="b">
        <f>IF(B1861="",FALSE,COUNTIF('従業員情報(給与以外)'!$A$4:$A$1000000,$B1861)=0)</f>
        <v>0</v>
      </c>
      <c r="J1861" s="8" t="b">
        <f t="shared" ref="J1861:J1924" si="145">OR(C1861="",ISNUMBER(C1861))</f>
        <v>1</v>
      </c>
      <c r="K1861" s="8" t="b">
        <f t="shared" ref="K1861:K1924" si="146">OR(D1861="",ISNUMBER(D1861))</f>
        <v>1</v>
      </c>
      <c r="L1861" s="8" t="b">
        <f t="shared" ref="L1861:L1924" si="147">OR(E1861="",ISNUMBER(E1861))</f>
        <v>1</v>
      </c>
      <c r="M1861" s="8" t="b">
        <f t="shared" ref="M1861:M1924" si="148">OR(F1861="",ISNUMBER(F1861))</f>
        <v>1</v>
      </c>
      <c r="N1861" s="1" t="b">
        <f t="shared" ref="N1861:N1924" si="149">IF($N$1,TRUE,IF($N$2,IF(F1861-INT(F1861)&lt;0.6,TRUE,FALSE),TRUE))</f>
        <v>1</v>
      </c>
      <c r="O1861" s="8" t="str">
        <f>IF(F1861="","",IF($F$2=入力リスト!$H$25,ROUNDDOWN(INT(F1861)+ROUNDDOWN((F1861-INT(F1861))*100,0)/60,2),F1861))</f>
        <v/>
      </c>
      <c r="P1861" s="7"/>
      <c r="Q1861" s="7"/>
    </row>
    <row r="1862" spans="1:17">
      <c r="A1862" s="105"/>
      <c r="B1862" s="2"/>
      <c r="C1862" s="3"/>
      <c r="D1862" s="3"/>
      <c r="E1862" s="3"/>
      <c r="F1862" s="8"/>
      <c r="G1862" s="215" t="str">
        <f>IF(AND($B1862="",OR(B1862&lt;&gt;"",C1862&lt;&gt;"",D1862&lt;&gt;"",E1862&lt;&gt;"",F1862&lt;&gt;"")),入力リスト!$K$34,IF($I1862=TRUE,入力リスト!$K$35,IF(J1862=FALSE,"「毎月の固定給与額」","")&amp;IF(AND(J1862=FALSE,OR(K1862=FALSE,L1862=FALSE,M1862=FALSE)),",","")&amp;IF(K1862=FALSE,"「賞与額等」","")&amp;IF(AND(K1862=FALSE,OR(L1862=FALSE,M1862=FALSE)),",","")&amp;IF(L1862=FALSE,"「残業手当」","")&amp;IF(AND(L1862=FALSE,M1862=FALSE),",","")&amp;IF(M1862=FALSE,"「残業時間」","")&amp;IF(OR(J1862=FALSE,K1862=FALSE,L1862=FALSE,M1862=FALSE),入力リスト!$K$36,"")&amp;IF(N1862,"",入力リスト!$K$37)))</f>
        <v/>
      </c>
      <c r="H1862" s="215"/>
      <c r="I1862" s="1" t="b">
        <f>IF(B1862="",FALSE,COUNTIF('従業員情報(給与以外)'!$A$4:$A$1000000,$B1862)=0)</f>
        <v>0</v>
      </c>
      <c r="J1862" s="8" t="b">
        <f t="shared" si="145"/>
        <v>1</v>
      </c>
      <c r="K1862" s="8" t="b">
        <f t="shared" si="146"/>
        <v>1</v>
      </c>
      <c r="L1862" s="8" t="b">
        <f t="shared" si="147"/>
        <v>1</v>
      </c>
      <c r="M1862" s="8" t="b">
        <f t="shared" si="148"/>
        <v>1</v>
      </c>
      <c r="N1862" s="1" t="b">
        <f t="shared" si="149"/>
        <v>1</v>
      </c>
      <c r="O1862" s="8" t="str">
        <f>IF(F1862="","",IF($F$2=入力リスト!$H$25,ROUNDDOWN(INT(F1862)+ROUNDDOWN((F1862-INT(F1862))*100,0)/60,2),F1862))</f>
        <v/>
      </c>
      <c r="P1862" s="7"/>
      <c r="Q1862" s="7"/>
    </row>
    <row r="1863" spans="1:17">
      <c r="A1863" s="105"/>
      <c r="B1863" s="2"/>
      <c r="C1863" s="3"/>
      <c r="D1863" s="3"/>
      <c r="E1863" s="3"/>
      <c r="F1863" s="8"/>
      <c r="G1863" s="215" t="str">
        <f>IF(AND($B1863="",OR(B1863&lt;&gt;"",C1863&lt;&gt;"",D1863&lt;&gt;"",E1863&lt;&gt;"",F1863&lt;&gt;"")),入力リスト!$K$34,IF($I1863=TRUE,入力リスト!$K$35,IF(J1863=FALSE,"「毎月の固定給与額」","")&amp;IF(AND(J1863=FALSE,OR(K1863=FALSE,L1863=FALSE,M1863=FALSE)),",","")&amp;IF(K1863=FALSE,"「賞与額等」","")&amp;IF(AND(K1863=FALSE,OR(L1863=FALSE,M1863=FALSE)),",","")&amp;IF(L1863=FALSE,"「残業手当」","")&amp;IF(AND(L1863=FALSE,M1863=FALSE),",","")&amp;IF(M1863=FALSE,"「残業時間」","")&amp;IF(OR(J1863=FALSE,K1863=FALSE,L1863=FALSE,M1863=FALSE),入力リスト!$K$36,"")&amp;IF(N1863,"",入力リスト!$K$37)))</f>
        <v/>
      </c>
      <c r="H1863" s="215"/>
      <c r="I1863" s="1" t="b">
        <f>IF(B1863="",FALSE,COUNTIF('従業員情報(給与以外)'!$A$4:$A$1000000,$B1863)=0)</f>
        <v>0</v>
      </c>
      <c r="J1863" s="8" t="b">
        <f t="shared" si="145"/>
        <v>1</v>
      </c>
      <c r="K1863" s="8" t="b">
        <f t="shared" si="146"/>
        <v>1</v>
      </c>
      <c r="L1863" s="8" t="b">
        <f t="shared" si="147"/>
        <v>1</v>
      </c>
      <c r="M1863" s="8" t="b">
        <f t="shared" si="148"/>
        <v>1</v>
      </c>
      <c r="N1863" s="1" t="b">
        <f t="shared" si="149"/>
        <v>1</v>
      </c>
      <c r="O1863" s="8" t="str">
        <f>IF(F1863="","",IF($F$2=入力リスト!$H$25,ROUNDDOWN(INT(F1863)+ROUNDDOWN((F1863-INT(F1863))*100,0)/60,2),F1863))</f>
        <v/>
      </c>
      <c r="P1863" s="7"/>
      <c r="Q1863" s="7"/>
    </row>
    <row r="1864" spans="1:17">
      <c r="A1864" s="105"/>
      <c r="B1864" s="2"/>
      <c r="C1864" s="3"/>
      <c r="D1864" s="3"/>
      <c r="E1864" s="3"/>
      <c r="F1864" s="8"/>
      <c r="G1864" s="215" t="str">
        <f>IF(AND($B1864="",OR(B1864&lt;&gt;"",C1864&lt;&gt;"",D1864&lt;&gt;"",E1864&lt;&gt;"",F1864&lt;&gt;"")),入力リスト!$K$34,IF($I1864=TRUE,入力リスト!$K$35,IF(J1864=FALSE,"「毎月の固定給与額」","")&amp;IF(AND(J1864=FALSE,OR(K1864=FALSE,L1864=FALSE,M1864=FALSE)),",","")&amp;IF(K1864=FALSE,"「賞与額等」","")&amp;IF(AND(K1864=FALSE,OR(L1864=FALSE,M1864=FALSE)),",","")&amp;IF(L1864=FALSE,"「残業手当」","")&amp;IF(AND(L1864=FALSE,M1864=FALSE),",","")&amp;IF(M1864=FALSE,"「残業時間」","")&amp;IF(OR(J1864=FALSE,K1864=FALSE,L1864=FALSE,M1864=FALSE),入力リスト!$K$36,"")&amp;IF(N1864,"",入力リスト!$K$37)))</f>
        <v/>
      </c>
      <c r="H1864" s="215"/>
      <c r="I1864" s="1" t="b">
        <f>IF(B1864="",FALSE,COUNTIF('従業員情報(給与以外)'!$A$4:$A$1000000,$B1864)=0)</f>
        <v>0</v>
      </c>
      <c r="J1864" s="8" t="b">
        <f t="shared" si="145"/>
        <v>1</v>
      </c>
      <c r="K1864" s="8" t="b">
        <f t="shared" si="146"/>
        <v>1</v>
      </c>
      <c r="L1864" s="8" t="b">
        <f t="shared" si="147"/>
        <v>1</v>
      </c>
      <c r="M1864" s="8" t="b">
        <f t="shared" si="148"/>
        <v>1</v>
      </c>
      <c r="N1864" s="1" t="b">
        <f t="shared" si="149"/>
        <v>1</v>
      </c>
      <c r="O1864" s="8" t="str">
        <f>IF(F1864="","",IF($F$2=入力リスト!$H$25,ROUNDDOWN(INT(F1864)+ROUNDDOWN((F1864-INT(F1864))*100,0)/60,2),F1864))</f>
        <v/>
      </c>
      <c r="P1864" s="7"/>
      <c r="Q1864" s="7"/>
    </row>
    <row r="1865" spans="1:17">
      <c r="A1865" s="105"/>
      <c r="B1865" s="2"/>
      <c r="C1865" s="3"/>
      <c r="D1865" s="3"/>
      <c r="E1865" s="3"/>
      <c r="F1865" s="8"/>
      <c r="G1865" s="215" t="str">
        <f>IF(AND($B1865="",OR(B1865&lt;&gt;"",C1865&lt;&gt;"",D1865&lt;&gt;"",E1865&lt;&gt;"",F1865&lt;&gt;"")),入力リスト!$K$34,IF($I1865=TRUE,入力リスト!$K$35,IF(J1865=FALSE,"「毎月の固定給与額」","")&amp;IF(AND(J1865=FALSE,OR(K1865=FALSE,L1865=FALSE,M1865=FALSE)),",","")&amp;IF(K1865=FALSE,"「賞与額等」","")&amp;IF(AND(K1865=FALSE,OR(L1865=FALSE,M1865=FALSE)),",","")&amp;IF(L1865=FALSE,"「残業手当」","")&amp;IF(AND(L1865=FALSE,M1865=FALSE),",","")&amp;IF(M1865=FALSE,"「残業時間」","")&amp;IF(OR(J1865=FALSE,K1865=FALSE,L1865=FALSE,M1865=FALSE),入力リスト!$K$36,"")&amp;IF(N1865,"",入力リスト!$K$37)))</f>
        <v/>
      </c>
      <c r="H1865" s="215"/>
      <c r="I1865" s="1" t="b">
        <f>IF(B1865="",FALSE,COUNTIF('従業員情報(給与以外)'!$A$4:$A$1000000,$B1865)=0)</f>
        <v>0</v>
      </c>
      <c r="J1865" s="8" t="b">
        <f t="shared" si="145"/>
        <v>1</v>
      </c>
      <c r="K1865" s="8" t="b">
        <f t="shared" si="146"/>
        <v>1</v>
      </c>
      <c r="L1865" s="8" t="b">
        <f t="shared" si="147"/>
        <v>1</v>
      </c>
      <c r="M1865" s="8" t="b">
        <f t="shared" si="148"/>
        <v>1</v>
      </c>
      <c r="N1865" s="1" t="b">
        <f t="shared" si="149"/>
        <v>1</v>
      </c>
      <c r="O1865" s="8" t="str">
        <f>IF(F1865="","",IF($F$2=入力リスト!$H$25,ROUNDDOWN(INT(F1865)+ROUNDDOWN((F1865-INT(F1865))*100,0)/60,2),F1865))</f>
        <v/>
      </c>
      <c r="P1865" s="7"/>
      <c r="Q1865" s="7"/>
    </row>
    <row r="1866" spans="1:17">
      <c r="A1866" s="105"/>
      <c r="B1866" s="2"/>
      <c r="C1866" s="3"/>
      <c r="D1866" s="3"/>
      <c r="E1866" s="3"/>
      <c r="F1866" s="8"/>
      <c r="G1866" s="215" t="str">
        <f>IF(AND($B1866="",OR(B1866&lt;&gt;"",C1866&lt;&gt;"",D1866&lt;&gt;"",E1866&lt;&gt;"",F1866&lt;&gt;"")),入力リスト!$K$34,IF($I1866=TRUE,入力リスト!$K$35,IF(J1866=FALSE,"「毎月の固定給与額」","")&amp;IF(AND(J1866=FALSE,OR(K1866=FALSE,L1866=FALSE,M1866=FALSE)),",","")&amp;IF(K1866=FALSE,"「賞与額等」","")&amp;IF(AND(K1866=FALSE,OR(L1866=FALSE,M1866=FALSE)),",","")&amp;IF(L1866=FALSE,"「残業手当」","")&amp;IF(AND(L1866=FALSE,M1866=FALSE),",","")&amp;IF(M1866=FALSE,"「残業時間」","")&amp;IF(OR(J1866=FALSE,K1866=FALSE,L1866=FALSE,M1866=FALSE),入力リスト!$K$36,"")&amp;IF(N1866,"",入力リスト!$K$37)))</f>
        <v/>
      </c>
      <c r="H1866" s="215"/>
      <c r="I1866" s="1" t="b">
        <f>IF(B1866="",FALSE,COUNTIF('従業員情報(給与以外)'!$A$4:$A$1000000,$B1866)=0)</f>
        <v>0</v>
      </c>
      <c r="J1866" s="8" t="b">
        <f t="shared" si="145"/>
        <v>1</v>
      </c>
      <c r="K1866" s="8" t="b">
        <f t="shared" si="146"/>
        <v>1</v>
      </c>
      <c r="L1866" s="8" t="b">
        <f t="shared" si="147"/>
        <v>1</v>
      </c>
      <c r="M1866" s="8" t="b">
        <f t="shared" si="148"/>
        <v>1</v>
      </c>
      <c r="N1866" s="1" t="b">
        <f t="shared" si="149"/>
        <v>1</v>
      </c>
      <c r="O1866" s="8" t="str">
        <f>IF(F1866="","",IF($F$2=入力リスト!$H$25,ROUNDDOWN(INT(F1866)+ROUNDDOWN((F1866-INT(F1866))*100,0)/60,2),F1866))</f>
        <v/>
      </c>
      <c r="P1866" s="7"/>
      <c r="Q1866" s="7"/>
    </row>
    <row r="1867" spans="1:17">
      <c r="A1867" s="105"/>
      <c r="B1867" s="2"/>
      <c r="C1867" s="3"/>
      <c r="D1867" s="3"/>
      <c r="E1867" s="3"/>
      <c r="F1867" s="8"/>
      <c r="G1867" s="215" t="str">
        <f>IF(AND($B1867="",OR(B1867&lt;&gt;"",C1867&lt;&gt;"",D1867&lt;&gt;"",E1867&lt;&gt;"",F1867&lt;&gt;"")),入力リスト!$K$34,IF($I1867=TRUE,入力リスト!$K$35,IF(J1867=FALSE,"「毎月の固定給与額」","")&amp;IF(AND(J1867=FALSE,OR(K1867=FALSE,L1867=FALSE,M1867=FALSE)),",","")&amp;IF(K1867=FALSE,"「賞与額等」","")&amp;IF(AND(K1867=FALSE,OR(L1867=FALSE,M1867=FALSE)),",","")&amp;IF(L1867=FALSE,"「残業手当」","")&amp;IF(AND(L1867=FALSE,M1867=FALSE),",","")&amp;IF(M1867=FALSE,"「残業時間」","")&amp;IF(OR(J1867=FALSE,K1867=FALSE,L1867=FALSE,M1867=FALSE),入力リスト!$K$36,"")&amp;IF(N1867,"",入力リスト!$K$37)))</f>
        <v/>
      </c>
      <c r="H1867" s="215"/>
      <c r="I1867" s="1" t="b">
        <f>IF(B1867="",FALSE,COUNTIF('従業員情報(給与以外)'!$A$4:$A$1000000,$B1867)=0)</f>
        <v>0</v>
      </c>
      <c r="J1867" s="8" t="b">
        <f t="shared" si="145"/>
        <v>1</v>
      </c>
      <c r="K1867" s="8" t="b">
        <f t="shared" si="146"/>
        <v>1</v>
      </c>
      <c r="L1867" s="8" t="b">
        <f t="shared" si="147"/>
        <v>1</v>
      </c>
      <c r="M1867" s="8" t="b">
        <f t="shared" si="148"/>
        <v>1</v>
      </c>
      <c r="N1867" s="1" t="b">
        <f t="shared" si="149"/>
        <v>1</v>
      </c>
      <c r="O1867" s="8" t="str">
        <f>IF(F1867="","",IF($F$2=入力リスト!$H$25,ROUNDDOWN(INT(F1867)+ROUNDDOWN((F1867-INT(F1867))*100,0)/60,2),F1867))</f>
        <v/>
      </c>
      <c r="P1867" s="7"/>
      <c r="Q1867" s="7"/>
    </row>
    <row r="1868" spans="1:17">
      <c r="A1868" s="105"/>
      <c r="B1868" s="2"/>
      <c r="C1868" s="3"/>
      <c r="D1868" s="3"/>
      <c r="E1868" s="3"/>
      <c r="F1868" s="8"/>
      <c r="G1868" s="215" t="str">
        <f>IF(AND($B1868="",OR(B1868&lt;&gt;"",C1868&lt;&gt;"",D1868&lt;&gt;"",E1868&lt;&gt;"",F1868&lt;&gt;"")),入力リスト!$K$34,IF($I1868=TRUE,入力リスト!$K$35,IF(J1868=FALSE,"「毎月の固定給与額」","")&amp;IF(AND(J1868=FALSE,OR(K1868=FALSE,L1868=FALSE,M1868=FALSE)),",","")&amp;IF(K1868=FALSE,"「賞与額等」","")&amp;IF(AND(K1868=FALSE,OR(L1868=FALSE,M1868=FALSE)),",","")&amp;IF(L1868=FALSE,"「残業手当」","")&amp;IF(AND(L1868=FALSE,M1868=FALSE),",","")&amp;IF(M1868=FALSE,"「残業時間」","")&amp;IF(OR(J1868=FALSE,K1868=FALSE,L1868=FALSE,M1868=FALSE),入力リスト!$K$36,"")&amp;IF(N1868,"",入力リスト!$K$37)))</f>
        <v/>
      </c>
      <c r="H1868" s="215"/>
      <c r="I1868" s="1" t="b">
        <f>IF(B1868="",FALSE,COUNTIF('従業員情報(給与以外)'!$A$4:$A$1000000,$B1868)=0)</f>
        <v>0</v>
      </c>
      <c r="J1868" s="8" t="b">
        <f t="shared" si="145"/>
        <v>1</v>
      </c>
      <c r="K1868" s="8" t="b">
        <f t="shared" si="146"/>
        <v>1</v>
      </c>
      <c r="L1868" s="8" t="b">
        <f t="shared" si="147"/>
        <v>1</v>
      </c>
      <c r="M1868" s="8" t="b">
        <f t="shared" si="148"/>
        <v>1</v>
      </c>
      <c r="N1868" s="1" t="b">
        <f t="shared" si="149"/>
        <v>1</v>
      </c>
      <c r="O1868" s="8" t="str">
        <f>IF(F1868="","",IF($F$2=入力リスト!$H$25,ROUNDDOWN(INT(F1868)+ROUNDDOWN((F1868-INT(F1868))*100,0)/60,2),F1868))</f>
        <v/>
      </c>
      <c r="P1868" s="7"/>
      <c r="Q1868" s="7"/>
    </row>
    <row r="1869" spans="1:17">
      <c r="A1869" s="105"/>
      <c r="B1869" s="2"/>
      <c r="C1869" s="3"/>
      <c r="D1869" s="3"/>
      <c r="E1869" s="3"/>
      <c r="F1869" s="8"/>
      <c r="G1869" s="215" t="str">
        <f>IF(AND($B1869="",OR(B1869&lt;&gt;"",C1869&lt;&gt;"",D1869&lt;&gt;"",E1869&lt;&gt;"",F1869&lt;&gt;"")),入力リスト!$K$34,IF($I1869=TRUE,入力リスト!$K$35,IF(J1869=FALSE,"「毎月の固定給与額」","")&amp;IF(AND(J1869=FALSE,OR(K1869=FALSE,L1869=FALSE,M1869=FALSE)),",","")&amp;IF(K1869=FALSE,"「賞与額等」","")&amp;IF(AND(K1869=FALSE,OR(L1869=FALSE,M1869=FALSE)),",","")&amp;IF(L1869=FALSE,"「残業手当」","")&amp;IF(AND(L1869=FALSE,M1869=FALSE),",","")&amp;IF(M1869=FALSE,"「残業時間」","")&amp;IF(OR(J1869=FALSE,K1869=FALSE,L1869=FALSE,M1869=FALSE),入力リスト!$K$36,"")&amp;IF(N1869,"",入力リスト!$K$37)))</f>
        <v/>
      </c>
      <c r="H1869" s="215"/>
      <c r="I1869" s="1" t="b">
        <f>IF(B1869="",FALSE,COUNTIF('従業員情報(給与以外)'!$A$4:$A$1000000,$B1869)=0)</f>
        <v>0</v>
      </c>
      <c r="J1869" s="8" t="b">
        <f t="shared" si="145"/>
        <v>1</v>
      </c>
      <c r="K1869" s="8" t="b">
        <f t="shared" si="146"/>
        <v>1</v>
      </c>
      <c r="L1869" s="8" t="b">
        <f t="shared" si="147"/>
        <v>1</v>
      </c>
      <c r="M1869" s="8" t="b">
        <f t="shared" si="148"/>
        <v>1</v>
      </c>
      <c r="N1869" s="1" t="b">
        <f t="shared" si="149"/>
        <v>1</v>
      </c>
      <c r="O1869" s="8" t="str">
        <f>IF(F1869="","",IF($F$2=入力リスト!$H$25,ROUNDDOWN(INT(F1869)+ROUNDDOWN((F1869-INT(F1869))*100,0)/60,2),F1869))</f>
        <v/>
      </c>
      <c r="P1869" s="7"/>
      <c r="Q1869" s="7"/>
    </row>
    <row r="1870" spans="1:17">
      <c r="A1870" s="105"/>
      <c r="B1870" s="2"/>
      <c r="C1870" s="3"/>
      <c r="D1870" s="3"/>
      <c r="E1870" s="3"/>
      <c r="F1870" s="8"/>
      <c r="G1870" s="215" t="str">
        <f>IF(AND($B1870="",OR(B1870&lt;&gt;"",C1870&lt;&gt;"",D1870&lt;&gt;"",E1870&lt;&gt;"",F1870&lt;&gt;"")),入力リスト!$K$34,IF($I1870=TRUE,入力リスト!$K$35,IF(J1870=FALSE,"「毎月の固定給与額」","")&amp;IF(AND(J1870=FALSE,OR(K1870=FALSE,L1870=FALSE,M1870=FALSE)),",","")&amp;IF(K1870=FALSE,"「賞与額等」","")&amp;IF(AND(K1870=FALSE,OR(L1870=FALSE,M1870=FALSE)),",","")&amp;IF(L1870=FALSE,"「残業手当」","")&amp;IF(AND(L1870=FALSE,M1870=FALSE),",","")&amp;IF(M1870=FALSE,"「残業時間」","")&amp;IF(OR(J1870=FALSE,K1870=FALSE,L1870=FALSE,M1870=FALSE),入力リスト!$K$36,"")&amp;IF(N1870,"",入力リスト!$K$37)))</f>
        <v/>
      </c>
      <c r="H1870" s="215"/>
      <c r="I1870" s="1" t="b">
        <f>IF(B1870="",FALSE,COUNTIF('従業員情報(給与以外)'!$A$4:$A$1000000,$B1870)=0)</f>
        <v>0</v>
      </c>
      <c r="J1870" s="8" t="b">
        <f t="shared" si="145"/>
        <v>1</v>
      </c>
      <c r="K1870" s="8" t="b">
        <f t="shared" si="146"/>
        <v>1</v>
      </c>
      <c r="L1870" s="8" t="b">
        <f t="shared" si="147"/>
        <v>1</v>
      </c>
      <c r="M1870" s="8" t="b">
        <f t="shared" si="148"/>
        <v>1</v>
      </c>
      <c r="N1870" s="1" t="b">
        <f t="shared" si="149"/>
        <v>1</v>
      </c>
      <c r="O1870" s="8" t="str">
        <f>IF(F1870="","",IF($F$2=入力リスト!$H$25,ROUNDDOWN(INT(F1870)+ROUNDDOWN((F1870-INT(F1870))*100,0)/60,2),F1870))</f>
        <v/>
      </c>
      <c r="P1870" s="7"/>
      <c r="Q1870" s="7"/>
    </row>
    <row r="1871" spans="1:17">
      <c r="A1871" s="105"/>
      <c r="B1871" s="2"/>
      <c r="C1871" s="3"/>
      <c r="D1871" s="3"/>
      <c r="E1871" s="3"/>
      <c r="F1871" s="8"/>
      <c r="G1871" s="215" t="str">
        <f>IF(AND($B1871="",OR(B1871&lt;&gt;"",C1871&lt;&gt;"",D1871&lt;&gt;"",E1871&lt;&gt;"",F1871&lt;&gt;"")),入力リスト!$K$34,IF($I1871=TRUE,入力リスト!$K$35,IF(J1871=FALSE,"「毎月の固定給与額」","")&amp;IF(AND(J1871=FALSE,OR(K1871=FALSE,L1871=FALSE,M1871=FALSE)),",","")&amp;IF(K1871=FALSE,"「賞与額等」","")&amp;IF(AND(K1871=FALSE,OR(L1871=FALSE,M1871=FALSE)),",","")&amp;IF(L1871=FALSE,"「残業手当」","")&amp;IF(AND(L1871=FALSE,M1871=FALSE),",","")&amp;IF(M1871=FALSE,"「残業時間」","")&amp;IF(OR(J1871=FALSE,K1871=FALSE,L1871=FALSE,M1871=FALSE),入力リスト!$K$36,"")&amp;IF(N1871,"",入力リスト!$K$37)))</f>
        <v/>
      </c>
      <c r="H1871" s="215"/>
      <c r="I1871" s="1" t="b">
        <f>IF(B1871="",FALSE,COUNTIF('従業員情報(給与以外)'!$A$4:$A$1000000,$B1871)=0)</f>
        <v>0</v>
      </c>
      <c r="J1871" s="8" t="b">
        <f t="shared" si="145"/>
        <v>1</v>
      </c>
      <c r="K1871" s="8" t="b">
        <f t="shared" si="146"/>
        <v>1</v>
      </c>
      <c r="L1871" s="8" t="b">
        <f t="shared" si="147"/>
        <v>1</v>
      </c>
      <c r="M1871" s="8" t="b">
        <f t="shared" si="148"/>
        <v>1</v>
      </c>
      <c r="N1871" s="1" t="b">
        <f t="shared" si="149"/>
        <v>1</v>
      </c>
      <c r="O1871" s="8" t="str">
        <f>IF(F1871="","",IF($F$2=入力リスト!$H$25,ROUNDDOWN(INT(F1871)+ROUNDDOWN((F1871-INT(F1871))*100,0)/60,2),F1871))</f>
        <v/>
      </c>
      <c r="P1871" s="7"/>
      <c r="Q1871" s="7"/>
    </row>
    <row r="1872" spans="1:17">
      <c r="A1872" s="105"/>
      <c r="B1872" s="2"/>
      <c r="C1872" s="3"/>
      <c r="D1872" s="3"/>
      <c r="E1872" s="3"/>
      <c r="F1872" s="8"/>
      <c r="G1872" s="215" t="str">
        <f>IF(AND($B1872="",OR(B1872&lt;&gt;"",C1872&lt;&gt;"",D1872&lt;&gt;"",E1872&lt;&gt;"",F1872&lt;&gt;"")),入力リスト!$K$34,IF($I1872=TRUE,入力リスト!$K$35,IF(J1872=FALSE,"「毎月の固定給与額」","")&amp;IF(AND(J1872=FALSE,OR(K1872=FALSE,L1872=FALSE,M1872=FALSE)),",","")&amp;IF(K1872=FALSE,"「賞与額等」","")&amp;IF(AND(K1872=FALSE,OR(L1872=FALSE,M1872=FALSE)),",","")&amp;IF(L1872=FALSE,"「残業手当」","")&amp;IF(AND(L1872=FALSE,M1872=FALSE),",","")&amp;IF(M1872=FALSE,"「残業時間」","")&amp;IF(OR(J1872=FALSE,K1872=FALSE,L1872=FALSE,M1872=FALSE),入力リスト!$K$36,"")&amp;IF(N1872,"",入力リスト!$K$37)))</f>
        <v/>
      </c>
      <c r="H1872" s="215"/>
      <c r="I1872" s="1" t="b">
        <f>IF(B1872="",FALSE,COUNTIF('従業員情報(給与以外)'!$A$4:$A$1000000,$B1872)=0)</f>
        <v>0</v>
      </c>
      <c r="J1872" s="8" t="b">
        <f t="shared" si="145"/>
        <v>1</v>
      </c>
      <c r="K1872" s="8" t="b">
        <f t="shared" si="146"/>
        <v>1</v>
      </c>
      <c r="L1872" s="8" t="b">
        <f t="shared" si="147"/>
        <v>1</v>
      </c>
      <c r="M1872" s="8" t="b">
        <f t="shared" si="148"/>
        <v>1</v>
      </c>
      <c r="N1872" s="1" t="b">
        <f t="shared" si="149"/>
        <v>1</v>
      </c>
      <c r="O1872" s="8" t="str">
        <f>IF(F1872="","",IF($F$2=入力リスト!$H$25,ROUNDDOWN(INT(F1872)+ROUNDDOWN((F1872-INT(F1872))*100,0)/60,2),F1872))</f>
        <v/>
      </c>
      <c r="P1872" s="7"/>
      <c r="Q1872" s="7"/>
    </row>
    <row r="1873" spans="1:17">
      <c r="A1873" s="105"/>
      <c r="B1873" s="2"/>
      <c r="C1873" s="3"/>
      <c r="D1873" s="3"/>
      <c r="E1873" s="3"/>
      <c r="F1873" s="8"/>
      <c r="G1873" s="215" t="str">
        <f>IF(AND($B1873="",OR(B1873&lt;&gt;"",C1873&lt;&gt;"",D1873&lt;&gt;"",E1873&lt;&gt;"",F1873&lt;&gt;"")),入力リスト!$K$34,IF($I1873=TRUE,入力リスト!$K$35,IF(J1873=FALSE,"「毎月の固定給与額」","")&amp;IF(AND(J1873=FALSE,OR(K1873=FALSE,L1873=FALSE,M1873=FALSE)),",","")&amp;IF(K1873=FALSE,"「賞与額等」","")&amp;IF(AND(K1873=FALSE,OR(L1873=FALSE,M1873=FALSE)),",","")&amp;IF(L1873=FALSE,"「残業手当」","")&amp;IF(AND(L1873=FALSE,M1873=FALSE),",","")&amp;IF(M1873=FALSE,"「残業時間」","")&amp;IF(OR(J1873=FALSE,K1873=FALSE,L1873=FALSE,M1873=FALSE),入力リスト!$K$36,"")&amp;IF(N1873,"",入力リスト!$K$37)))</f>
        <v/>
      </c>
      <c r="H1873" s="215"/>
      <c r="I1873" s="1" t="b">
        <f>IF(B1873="",FALSE,COUNTIF('従業員情報(給与以外)'!$A$4:$A$1000000,$B1873)=0)</f>
        <v>0</v>
      </c>
      <c r="J1873" s="8" t="b">
        <f t="shared" si="145"/>
        <v>1</v>
      </c>
      <c r="K1873" s="8" t="b">
        <f t="shared" si="146"/>
        <v>1</v>
      </c>
      <c r="L1873" s="8" t="b">
        <f t="shared" si="147"/>
        <v>1</v>
      </c>
      <c r="M1873" s="8" t="b">
        <f t="shared" si="148"/>
        <v>1</v>
      </c>
      <c r="N1873" s="1" t="b">
        <f t="shared" si="149"/>
        <v>1</v>
      </c>
      <c r="O1873" s="8" t="str">
        <f>IF(F1873="","",IF($F$2=入力リスト!$H$25,ROUNDDOWN(INT(F1873)+ROUNDDOWN((F1873-INT(F1873))*100,0)/60,2),F1873))</f>
        <v/>
      </c>
      <c r="P1873" s="7"/>
      <c r="Q1873" s="7"/>
    </row>
    <row r="1874" spans="1:17">
      <c r="A1874" s="105"/>
      <c r="B1874" s="2"/>
      <c r="C1874" s="3"/>
      <c r="D1874" s="3"/>
      <c r="E1874" s="3"/>
      <c r="F1874" s="8"/>
      <c r="G1874" s="215" t="str">
        <f>IF(AND($B1874="",OR(B1874&lt;&gt;"",C1874&lt;&gt;"",D1874&lt;&gt;"",E1874&lt;&gt;"",F1874&lt;&gt;"")),入力リスト!$K$34,IF($I1874=TRUE,入力リスト!$K$35,IF(J1874=FALSE,"「毎月の固定給与額」","")&amp;IF(AND(J1874=FALSE,OR(K1874=FALSE,L1874=FALSE,M1874=FALSE)),",","")&amp;IF(K1874=FALSE,"「賞与額等」","")&amp;IF(AND(K1874=FALSE,OR(L1874=FALSE,M1874=FALSE)),",","")&amp;IF(L1874=FALSE,"「残業手当」","")&amp;IF(AND(L1874=FALSE,M1874=FALSE),",","")&amp;IF(M1874=FALSE,"「残業時間」","")&amp;IF(OR(J1874=FALSE,K1874=FALSE,L1874=FALSE,M1874=FALSE),入力リスト!$K$36,"")&amp;IF(N1874,"",入力リスト!$K$37)))</f>
        <v/>
      </c>
      <c r="H1874" s="215"/>
      <c r="I1874" s="1" t="b">
        <f>IF(B1874="",FALSE,COUNTIF('従業員情報(給与以外)'!$A$4:$A$1000000,$B1874)=0)</f>
        <v>0</v>
      </c>
      <c r="J1874" s="8" t="b">
        <f t="shared" si="145"/>
        <v>1</v>
      </c>
      <c r="K1874" s="8" t="b">
        <f t="shared" si="146"/>
        <v>1</v>
      </c>
      <c r="L1874" s="8" t="b">
        <f t="shared" si="147"/>
        <v>1</v>
      </c>
      <c r="M1874" s="8" t="b">
        <f t="shared" si="148"/>
        <v>1</v>
      </c>
      <c r="N1874" s="1" t="b">
        <f t="shared" si="149"/>
        <v>1</v>
      </c>
      <c r="O1874" s="8" t="str">
        <f>IF(F1874="","",IF($F$2=入力リスト!$H$25,ROUNDDOWN(INT(F1874)+ROUNDDOWN((F1874-INT(F1874))*100,0)/60,2),F1874))</f>
        <v/>
      </c>
      <c r="P1874" s="7"/>
      <c r="Q1874" s="7"/>
    </row>
    <row r="1875" spans="1:17">
      <c r="A1875" s="105"/>
      <c r="B1875" s="2"/>
      <c r="C1875" s="3"/>
      <c r="D1875" s="3"/>
      <c r="E1875" s="3"/>
      <c r="F1875" s="8"/>
      <c r="G1875" s="215" t="str">
        <f>IF(AND($B1875="",OR(B1875&lt;&gt;"",C1875&lt;&gt;"",D1875&lt;&gt;"",E1875&lt;&gt;"",F1875&lt;&gt;"")),入力リスト!$K$34,IF($I1875=TRUE,入力リスト!$K$35,IF(J1875=FALSE,"「毎月の固定給与額」","")&amp;IF(AND(J1875=FALSE,OR(K1875=FALSE,L1875=FALSE,M1875=FALSE)),",","")&amp;IF(K1875=FALSE,"「賞与額等」","")&amp;IF(AND(K1875=FALSE,OR(L1875=FALSE,M1875=FALSE)),",","")&amp;IF(L1875=FALSE,"「残業手当」","")&amp;IF(AND(L1875=FALSE,M1875=FALSE),",","")&amp;IF(M1875=FALSE,"「残業時間」","")&amp;IF(OR(J1875=FALSE,K1875=FALSE,L1875=FALSE,M1875=FALSE),入力リスト!$K$36,"")&amp;IF(N1875,"",入力リスト!$K$37)))</f>
        <v/>
      </c>
      <c r="H1875" s="215"/>
      <c r="I1875" s="1" t="b">
        <f>IF(B1875="",FALSE,COUNTIF('従業員情報(給与以外)'!$A$4:$A$1000000,$B1875)=0)</f>
        <v>0</v>
      </c>
      <c r="J1875" s="8" t="b">
        <f t="shared" si="145"/>
        <v>1</v>
      </c>
      <c r="K1875" s="8" t="b">
        <f t="shared" si="146"/>
        <v>1</v>
      </c>
      <c r="L1875" s="8" t="b">
        <f t="shared" si="147"/>
        <v>1</v>
      </c>
      <c r="M1875" s="8" t="b">
        <f t="shared" si="148"/>
        <v>1</v>
      </c>
      <c r="N1875" s="1" t="b">
        <f t="shared" si="149"/>
        <v>1</v>
      </c>
      <c r="O1875" s="8" t="str">
        <f>IF(F1875="","",IF($F$2=入力リスト!$H$25,ROUNDDOWN(INT(F1875)+ROUNDDOWN((F1875-INT(F1875))*100,0)/60,2),F1875))</f>
        <v/>
      </c>
      <c r="P1875" s="7"/>
      <c r="Q1875" s="7"/>
    </row>
    <row r="1876" spans="1:17">
      <c r="A1876" s="105"/>
      <c r="B1876" s="2"/>
      <c r="C1876" s="3"/>
      <c r="D1876" s="3"/>
      <c r="E1876" s="3"/>
      <c r="F1876" s="8"/>
      <c r="G1876" s="215" t="str">
        <f>IF(AND($B1876="",OR(B1876&lt;&gt;"",C1876&lt;&gt;"",D1876&lt;&gt;"",E1876&lt;&gt;"",F1876&lt;&gt;"")),入力リスト!$K$34,IF($I1876=TRUE,入力リスト!$K$35,IF(J1876=FALSE,"「毎月の固定給与額」","")&amp;IF(AND(J1876=FALSE,OR(K1876=FALSE,L1876=FALSE,M1876=FALSE)),",","")&amp;IF(K1876=FALSE,"「賞与額等」","")&amp;IF(AND(K1876=FALSE,OR(L1876=FALSE,M1876=FALSE)),",","")&amp;IF(L1876=FALSE,"「残業手当」","")&amp;IF(AND(L1876=FALSE,M1876=FALSE),",","")&amp;IF(M1876=FALSE,"「残業時間」","")&amp;IF(OR(J1876=FALSE,K1876=FALSE,L1876=FALSE,M1876=FALSE),入力リスト!$K$36,"")&amp;IF(N1876,"",入力リスト!$K$37)))</f>
        <v/>
      </c>
      <c r="H1876" s="215"/>
      <c r="I1876" s="1" t="b">
        <f>IF(B1876="",FALSE,COUNTIF('従業員情報(給与以外)'!$A$4:$A$1000000,$B1876)=0)</f>
        <v>0</v>
      </c>
      <c r="J1876" s="8" t="b">
        <f t="shared" si="145"/>
        <v>1</v>
      </c>
      <c r="K1876" s="8" t="b">
        <f t="shared" si="146"/>
        <v>1</v>
      </c>
      <c r="L1876" s="8" t="b">
        <f t="shared" si="147"/>
        <v>1</v>
      </c>
      <c r="M1876" s="8" t="b">
        <f t="shared" si="148"/>
        <v>1</v>
      </c>
      <c r="N1876" s="1" t="b">
        <f t="shared" si="149"/>
        <v>1</v>
      </c>
      <c r="O1876" s="8" t="str">
        <f>IF(F1876="","",IF($F$2=入力リスト!$H$25,ROUNDDOWN(INT(F1876)+ROUNDDOWN((F1876-INT(F1876))*100,0)/60,2),F1876))</f>
        <v/>
      </c>
      <c r="P1876" s="7"/>
      <c r="Q1876" s="7"/>
    </row>
    <row r="1877" spans="1:17">
      <c r="A1877" s="105"/>
      <c r="B1877" s="2"/>
      <c r="C1877" s="3"/>
      <c r="D1877" s="3"/>
      <c r="E1877" s="3"/>
      <c r="F1877" s="8"/>
      <c r="G1877" s="215" t="str">
        <f>IF(AND($B1877="",OR(B1877&lt;&gt;"",C1877&lt;&gt;"",D1877&lt;&gt;"",E1877&lt;&gt;"",F1877&lt;&gt;"")),入力リスト!$K$34,IF($I1877=TRUE,入力リスト!$K$35,IF(J1877=FALSE,"「毎月の固定給与額」","")&amp;IF(AND(J1877=FALSE,OR(K1877=FALSE,L1877=FALSE,M1877=FALSE)),",","")&amp;IF(K1877=FALSE,"「賞与額等」","")&amp;IF(AND(K1877=FALSE,OR(L1877=FALSE,M1877=FALSE)),",","")&amp;IF(L1877=FALSE,"「残業手当」","")&amp;IF(AND(L1877=FALSE,M1877=FALSE),",","")&amp;IF(M1877=FALSE,"「残業時間」","")&amp;IF(OR(J1877=FALSE,K1877=FALSE,L1877=FALSE,M1877=FALSE),入力リスト!$K$36,"")&amp;IF(N1877,"",入力リスト!$K$37)))</f>
        <v/>
      </c>
      <c r="H1877" s="215"/>
      <c r="I1877" s="1" t="b">
        <f>IF(B1877="",FALSE,COUNTIF('従業員情報(給与以外)'!$A$4:$A$1000000,$B1877)=0)</f>
        <v>0</v>
      </c>
      <c r="J1877" s="8" t="b">
        <f t="shared" si="145"/>
        <v>1</v>
      </c>
      <c r="K1877" s="8" t="b">
        <f t="shared" si="146"/>
        <v>1</v>
      </c>
      <c r="L1877" s="8" t="b">
        <f t="shared" si="147"/>
        <v>1</v>
      </c>
      <c r="M1877" s="8" t="b">
        <f t="shared" si="148"/>
        <v>1</v>
      </c>
      <c r="N1877" s="1" t="b">
        <f t="shared" si="149"/>
        <v>1</v>
      </c>
      <c r="O1877" s="8" t="str">
        <f>IF(F1877="","",IF($F$2=入力リスト!$H$25,ROUNDDOWN(INT(F1877)+ROUNDDOWN((F1877-INT(F1877))*100,0)/60,2),F1877))</f>
        <v/>
      </c>
      <c r="P1877" s="7"/>
      <c r="Q1877" s="7"/>
    </row>
    <row r="1878" spans="1:17">
      <c r="A1878" s="105"/>
      <c r="B1878" s="2"/>
      <c r="C1878" s="3"/>
      <c r="D1878" s="3"/>
      <c r="E1878" s="3"/>
      <c r="F1878" s="8"/>
      <c r="G1878" s="215" t="str">
        <f>IF(AND($B1878="",OR(B1878&lt;&gt;"",C1878&lt;&gt;"",D1878&lt;&gt;"",E1878&lt;&gt;"",F1878&lt;&gt;"")),入力リスト!$K$34,IF($I1878=TRUE,入力リスト!$K$35,IF(J1878=FALSE,"「毎月の固定給与額」","")&amp;IF(AND(J1878=FALSE,OR(K1878=FALSE,L1878=FALSE,M1878=FALSE)),",","")&amp;IF(K1878=FALSE,"「賞与額等」","")&amp;IF(AND(K1878=FALSE,OR(L1878=FALSE,M1878=FALSE)),",","")&amp;IF(L1878=FALSE,"「残業手当」","")&amp;IF(AND(L1878=FALSE,M1878=FALSE),",","")&amp;IF(M1878=FALSE,"「残業時間」","")&amp;IF(OR(J1878=FALSE,K1878=FALSE,L1878=FALSE,M1878=FALSE),入力リスト!$K$36,"")&amp;IF(N1878,"",入力リスト!$K$37)))</f>
        <v/>
      </c>
      <c r="H1878" s="215"/>
      <c r="I1878" s="1" t="b">
        <f>IF(B1878="",FALSE,COUNTIF('従業員情報(給与以外)'!$A$4:$A$1000000,$B1878)=0)</f>
        <v>0</v>
      </c>
      <c r="J1878" s="8" t="b">
        <f t="shared" si="145"/>
        <v>1</v>
      </c>
      <c r="K1878" s="8" t="b">
        <f t="shared" si="146"/>
        <v>1</v>
      </c>
      <c r="L1878" s="8" t="b">
        <f t="shared" si="147"/>
        <v>1</v>
      </c>
      <c r="M1878" s="8" t="b">
        <f t="shared" si="148"/>
        <v>1</v>
      </c>
      <c r="N1878" s="1" t="b">
        <f t="shared" si="149"/>
        <v>1</v>
      </c>
      <c r="O1878" s="8" t="str">
        <f>IF(F1878="","",IF($F$2=入力リスト!$H$25,ROUNDDOWN(INT(F1878)+ROUNDDOWN((F1878-INT(F1878))*100,0)/60,2),F1878))</f>
        <v/>
      </c>
      <c r="P1878" s="7"/>
      <c r="Q1878" s="7"/>
    </row>
    <row r="1879" spans="1:17">
      <c r="A1879" s="105"/>
      <c r="B1879" s="2"/>
      <c r="C1879" s="3"/>
      <c r="D1879" s="3"/>
      <c r="E1879" s="3"/>
      <c r="F1879" s="8"/>
      <c r="G1879" s="215" t="str">
        <f>IF(AND($B1879="",OR(B1879&lt;&gt;"",C1879&lt;&gt;"",D1879&lt;&gt;"",E1879&lt;&gt;"",F1879&lt;&gt;"")),入力リスト!$K$34,IF($I1879=TRUE,入力リスト!$K$35,IF(J1879=FALSE,"「毎月の固定給与額」","")&amp;IF(AND(J1879=FALSE,OR(K1879=FALSE,L1879=FALSE,M1879=FALSE)),",","")&amp;IF(K1879=FALSE,"「賞与額等」","")&amp;IF(AND(K1879=FALSE,OR(L1879=FALSE,M1879=FALSE)),",","")&amp;IF(L1879=FALSE,"「残業手当」","")&amp;IF(AND(L1879=FALSE,M1879=FALSE),",","")&amp;IF(M1879=FALSE,"「残業時間」","")&amp;IF(OR(J1879=FALSE,K1879=FALSE,L1879=FALSE,M1879=FALSE),入力リスト!$K$36,"")&amp;IF(N1879,"",入力リスト!$K$37)))</f>
        <v/>
      </c>
      <c r="H1879" s="215"/>
      <c r="I1879" s="1" t="b">
        <f>IF(B1879="",FALSE,COUNTIF('従業員情報(給与以外)'!$A$4:$A$1000000,$B1879)=0)</f>
        <v>0</v>
      </c>
      <c r="J1879" s="8" t="b">
        <f t="shared" si="145"/>
        <v>1</v>
      </c>
      <c r="K1879" s="8" t="b">
        <f t="shared" si="146"/>
        <v>1</v>
      </c>
      <c r="L1879" s="8" t="b">
        <f t="shared" si="147"/>
        <v>1</v>
      </c>
      <c r="M1879" s="8" t="b">
        <f t="shared" si="148"/>
        <v>1</v>
      </c>
      <c r="N1879" s="1" t="b">
        <f t="shared" si="149"/>
        <v>1</v>
      </c>
      <c r="O1879" s="8" t="str">
        <f>IF(F1879="","",IF($F$2=入力リスト!$H$25,ROUNDDOWN(INT(F1879)+ROUNDDOWN((F1879-INT(F1879))*100,0)/60,2),F1879))</f>
        <v/>
      </c>
      <c r="P1879" s="7"/>
      <c r="Q1879" s="7"/>
    </row>
    <row r="1880" spans="1:17">
      <c r="A1880" s="105"/>
      <c r="B1880" s="2"/>
      <c r="C1880" s="3"/>
      <c r="D1880" s="3"/>
      <c r="E1880" s="3"/>
      <c r="F1880" s="8"/>
      <c r="G1880" s="215" t="str">
        <f>IF(AND($B1880="",OR(B1880&lt;&gt;"",C1880&lt;&gt;"",D1880&lt;&gt;"",E1880&lt;&gt;"",F1880&lt;&gt;"")),入力リスト!$K$34,IF($I1880=TRUE,入力リスト!$K$35,IF(J1880=FALSE,"「毎月の固定給与額」","")&amp;IF(AND(J1880=FALSE,OR(K1880=FALSE,L1880=FALSE,M1880=FALSE)),",","")&amp;IF(K1880=FALSE,"「賞与額等」","")&amp;IF(AND(K1880=FALSE,OR(L1880=FALSE,M1880=FALSE)),",","")&amp;IF(L1880=FALSE,"「残業手当」","")&amp;IF(AND(L1880=FALSE,M1880=FALSE),",","")&amp;IF(M1880=FALSE,"「残業時間」","")&amp;IF(OR(J1880=FALSE,K1880=FALSE,L1880=FALSE,M1880=FALSE),入力リスト!$K$36,"")&amp;IF(N1880,"",入力リスト!$K$37)))</f>
        <v/>
      </c>
      <c r="H1880" s="215"/>
      <c r="I1880" s="1" t="b">
        <f>IF(B1880="",FALSE,COUNTIF('従業員情報(給与以外)'!$A$4:$A$1000000,$B1880)=0)</f>
        <v>0</v>
      </c>
      <c r="J1880" s="8" t="b">
        <f t="shared" si="145"/>
        <v>1</v>
      </c>
      <c r="K1880" s="8" t="b">
        <f t="shared" si="146"/>
        <v>1</v>
      </c>
      <c r="L1880" s="8" t="b">
        <f t="shared" si="147"/>
        <v>1</v>
      </c>
      <c r="M1880" s="8" t="b">
        <f t="shared" si="148"/>
        <v>1</v>
      </c>
      <c r="N1880" s="1" t="b">
        <f t="shared" si="149"/>
        <v>1</v>
      </c>
      <c r="O1880" s="8" t="str">
        <f>IF(F1880="","",IF($F$2=入力リスト!$H$25,ROUNDDOWN(INT(F1880)+ROUNDDOWN((F1880-INT(F1880))*100,0)/60,2),F1880))</f>
        <v/>
      </c>
      <c r="P1880" s="7"/>
      <c r="Q1880" s="7"/>
    </row>
    <row r="1881" spans="1:17">
      <c r="A1881" s="105"/>
      <c r="B1881" s="2"/>
      <c r="C1881" s="3"/>
      <c r="D1881" s="3"/>
      <c r="E1881" s="3"/>
      <c r="F1881" s="8"/>
      <c r="G1881" s="215" t="str">
        <f>IF(AND($B1881="",OR(B1881&lt;&gt;"",C1881&lt;&gt;"",D1881&lt;&gt;"",E1881&lt;&gt;"",F1881&lt;&gt;"")),入力リスト!$K$34,IF($I1881=TRUE,入力リスト!$K$35,IF(J1881=FALSE,"「毎月の固定給与額」","")&amp;IF(AND(J1881=FALSE,OR(K1881=FALSE,L1881=FALSE,M1881=FALSE)),",","")&amp;IF(K1881=FALSE,"「賞与額等」","")&amp;IF(AND(K1881=FALSE,OR(L1881=FALSE,M1881=FALSE)),",","")&amp;IF(L1881=FALSE,"「残業手当」","")&amp;IF(AND(L1881=FALSE,M1881=FALSE),",","")&amp;IF(M1881=FALSE,"「残業時間」","")&amp;IF(OR(J1881=FALSE,K1881=FALSE,L1881=FALSE,M1881=FALSE),入力リスト!$K$36,"")&amp;IF(N1881,"",入力リスト!$K$37)))</f>
        <v/>
      </c>
      <c r="H1881" s="215"/>
      <c r="I1881" s="1" t="b">
        <f>IF(B1881="",FALSE,COUNTIF('従業員情報(給与以外)'!$A$4:$A$1000000,$B1881)=0)</f>
        <v>0</v>
      </c>
      <c r="J1881" s="8" t="b">
        <f t="shared" si="145"/>
        <v>1</v>
      </c>
      <c r="K1881" s="8" t="b">
        <f t="shared" si="146"/>
        <v>1</v>
      </c>
      <c r="L1881" s="8" t="b">
        <f t="shared" si="147"/>
        <v>1</v>
      </c>
      <c r="M1881" s="8" t="b">
        <f t="shared" si="148"/>
        <v>1</v>
      </c>
      <c r="N1881" s="1" t="b">
        <f t="shared" si="149"/>
        <v>1</v>
      </c>
      <c r="O1881" s="8" t="str">
        <f>IF(F1881="","",IF($F$2=入力リスト!$H$25,ROUNDDOWN(INT(F1881)+ROUNDDOWN((F1881-INT(F1881))*100,0)/60,2),F1881))</f>
        <v/>
      </c>
      <c r="P1881" s="7"/>
      <c r="Q1881" s="7"/>
    </row>
    <row r="1882" spans="1:17">
      <c r="A1882" s="105"/>
      <c r="B1882" s="2"/>
      <c r="C1882" s="3"/>
      <c r="D1882" s="3"/>
      <c r="E1882" s="3"/>
      <c r="F1882" s="8"/>
      <c r="G1882" s="215" t="str">
        <f>IF(AND($B1882="",OR(B1882&lt;&gt;"",C1882&lt;&gt;"",D1882&lt;&gt;"",E1882&lt;&gt;"",F1882&lt;&gt;"")),入力リスト!$K$34,IF($I1882=TRUE,入力リスト!$K$35,IF(J1882=FALSE,"「毎月の固定給与額」","")&amp;IF(AND(J1882=FALSE,OR(K1882=FALSE,L1882=FALSE,M1882=FALSE)),",","")&amp;IF(K1882=FALSE,"「賞与額等」","")&amp;IF(AND(K1882=FALSE,OR(L1882=FALSE,M1882=FALSE)),",","")&amp;IF(L1882=FALSE,"「残業手当」","")&amp;IF(AND(L1882=FALSE,M1882=FALSE),",","")&amp;IF(M1882=FALSE,"「残業時間」","")&amp;IF(OR(J1882=FALSE,K1882=FALSE,L1882=FALSE,M1882=FALSE),入力リスト!$K$36,"")&amp;IF(N1882,"",入力リスト!$K$37)))</f>
        <v/>
      </c>
      <c r="H1882" s="215"/>
      <c r="I1882" s="1" t="b">
        <f>IF(B1882="",FALSE,COUNTIF('従業員情報(給与以外)'!$A$4:$A$1000000,$B1882)=0)</f>
        <v>0</v>
      </c>
      <c r="J1882" s="8" t="b">
        <f t="shared" si="145"/>
        <v>1</v>
      </c>
      <c r="K1882" s="8" t="b">
        <f t="shared" si="146"/>
        <v>1</v>
      </c>
      <c r="L1882" s="8" t="b">
        <f t="shared" si="147"/>
        <v>1</v>
      </c>
      <c r="M1882" s="8" t="b">
        <f t="shared" si="148"/>
        <v>1</v>
      </c>
      <c r="N1882" s="1" t="b">
        <f t="shared" si="149"/>
        <v>1</v>
      </c>
      <c r="O1882" s="8" t="str">
        <f>IF(F1882="","",IF($F$2=入力リスト!$H$25,ROUNDDOWN(INT(F1882)+ROUNDDOWN((F1882-INT(F1882))*100,0)/60,2),F1882))</f>
        <v/>
      </c>
      <c r="P1882" s="7"/>
      <c r="Q1882" s="7"/>
    </row>
    <row r="1883" spans="1:17">
      <c r="A1883" s="105"/>
      <c r="B1883" s="2"/>
      <c r="C1883" s="3"/>
      <c r="D1883" s="3"/>
      <c r="E1883" s="3"/>
      <c r="F1883" s="8"/>
      <c r="G1883" s="215" t="str">
        <f>IF(AND($B1883="",OR(B1883&lt;&gt;"",C1883&lt;&gt;"",D1883&lt;&gt;"",E1883&lt;&gt;"",F1883&lt;&gt;"")),入力リスト!$K$34,IF($I1883=TRUE,入力リスト!$K$35,IF(J1883=FALSE,"「毎月の固定給与額」","")&amp;IF(AND(J1883=FALSE,OR(K1883=FALSE,L1883=FALSE,M1883=FALSE)),",","")&amp;IF(K1883=FALSE,"「賞与額等」","")&amp;IF(AND(K1883=FALSE,OR(L1883=FALSE,M1883=FALSE)),",","")&amp;IF(L1883=FALSE,"「残業手当」","")&amp;IF(AND(L1883=FALSE,M1883=FALSE),",","")&amp;IF(M1883=FALSE,"「残業時間」","")&amp;IF(OR(J1883=FALSE,K1883=FALSE,L1883=FALSE,M1883=FALSE),入力リスト!$K$36,"")&amp;IF(N1883,"",入力リスト!$K$37)))</f>
        <v/>
      </c>
      <c r="H1883" s="215"/>
      <c r="I1883" s="1" t="b">
        <f>IF(B1883="",FALSE,COUNTIF('従業員情報(給与以外)'!$A$4:$A$1000000,$B1883)=0)</f>
        <v>0</v>
      </c>
      <c r="J1883" s="8" t="b">
        <f t="shared" si="145"/>
        <v>1</v>
      </c>
      <c r="K1883" s="8" t="b">
        <f t="shared" si="146"/>
        <v>1</v>
      </c>
      <c r="L1883" s="8" t="b">
        <f t="shared" si="147"/>
        <v>1</v>
      </c>
      <c r="M1883" s="8" t="b">
        <f t="shared" si="148"/>
        <v>1</v>
      </c>
      <c r="N1883" s="1" t="b">
        <f t="shared" si="149"/>
        <v>1</v>
      </c>
      <c r="O1883" s="8" t="str">
        <f>IF(F1883="","",IF($F$2=入力リスト!$H$25,ROUNDDOWN(INT(F1883)+ROUNDDOWN((F1883-INT(F1883))*100,0)/60,2),F1883))</f>
        <v/>
      </c>
      <c r="P1883" s="7"/>
      <c r="Q1883" s="7"/>
    </row>
    <row r="1884" spans="1:17">
      <c r="A1884" s="105"/>
      <c r="B1884" s="2"/>
      <c r="C1884" s="3"/>
      <c r="D1884" s="3"/>
      <c r="E1884" s="3"/>
      <c r="F1884" s="8"/>
      <c r="G1884" s="215" t="str">
        <f>IF(AND($B1884="",OR(B1884&lt;&gt;"",C1884&lt;&gt;"",D1884&lt;&gt;"",E1884&lt;&gt;"",F1884&lt;&gt;"")),入力リスト!$K$34,IF($I1884=TRUE,入力リスト!$K$35,IF(J1884=FALSE,"「毎月の固定給与額」","")&amp;IF(AND(J1884=FALSE,OR(K1884=FALSE,L1884=FALSE,M1884=FALSE)),",","")&amp;IF(K1884=FALSE,"「賞与額等」","")&amp;IF(AND(K1884=FALSE,OR(L1884=FALSE,M1884=FALSE)),",","")&amp;IF(L1884=FALSE,"「残業手当」","")&amp;IF(AND(L1884=FALSE,M1884=FALSE),",","")&amp;IF(M1884=FALSE,"「残業時間」","")&amp;IF(OR(J1884=FALSE,K1884=FALSE,L1884=FALSE,M1884=FALSE),入力リスト!$K$36,"")&amp;IF(N1884,"",入力リスト!$K$37)))</f>
        <v/>
      </c>
      <c r="H1884" s="215"/>
      <c r="I1884" s="1" t="b">
        <f>IF(B1884="",FALSE,COUNTIF('従業員情報(給与以外)'!$A$4:$A$1000000,$B1884)=0)</f>
        <v>0</v>
      </c>
      <c r="J1884" s="8" t="b">
        <f t="shared" si="145"/>
        <v>1</v>
      </c>
      <c r="K1884" s="8" t="b">
        <f t="shared" si="146"/>
        <v>1</v>
      </c>
      <c r="L1884" s="8" t="b">
        <f t="shared" si="147"/>
        <v>1</v>
      </c>
      <c r="M1884" s="8" t="b">
        <f t="shared" si="148"/>
        <v>1</v>
      </c>
      <c r="N1884" s="1" t="b">
        <f t="shared" si="149"/>
        <v>1</v>
      </c>
      <c r="O1884" s="8" t="str">
        <f>IF(F1884="","",IF($F$2=入力リスト!$H$25,ROUNDDOWN(INT(F1884)+ROUNDDOWN((F1884-INT(F1884))*100,0)/60,2),F1884))</f>
        <v/>
      </c>
      <c r="P1884" s="7"/>
      <c r="Q1884" s="7"/>
    </row>
    <row r="1885" spans="1:17">
      <c r="A1885" s="105"/>
      <c r="B1885" s="2"/>
      <c r="C1885" s="3"/>
      <c r="D1885" s="3"/>
      <c r="E1885" s="3"/>
      <c r="F1885" s="8"/>
      <c r="G1885" s="215" t="str">
        <f>IF(AND($B1885="",OR(B1885&lt;&gt;"",C1885&lt;&gt;"",D1885&lt;&gt;"",E1885&lt;&gt;"",F1885&lt;&gt;"")),入力リスト!$K$34,IF($I1885=TRUE,入力リスト!$K$35,IF(J1885=FALSE,"「毎月の固定給与額」","")&amp;IF(AND(J1885=FALSE,OR(K1885=FALSE,L1885=FALSE,M1885=FALSE)),",","")&amp;IF(K1885=FALSE,"「賞与額等」","")&amp;IF(AND(K1885=FALSE,OR(L1885=FALSE,M1885=FALSE)),",","")&amp;IF(L1885=FALSE,"「残業手当」","")&amp;IF(AND(L1885=FALSE,M1885=FALSE),",","")&amp;IF(M1885=FALSE,"「残業時間」","")&amp;IF(OR(J1885=FALSE,K1885=FALSE,L1885=FALSE,M1885=FALSE),入力リスト!$K$36,"")&amp;IF(N1885,"",入力リスト!$K$37)))</f>
        <v/>
      </c>
      <c r="H1885" s="215"/>
      <c r="I1885" s="1" t="b">
        <f>IF(B1885="",FALSE,COUNTIF('従業員情報(給与以外)'!$A$4:$A$1000000,$B1885)=0)</f>
        <v>0</v>
      </c>
      <c r="J1885" s="8" t="b">
        <f t="shared" si="145"/>
        <v>1</v>
      </c>
      <c r="K1885" s="8" t="b">
        <f t="shared" si="146"/>
        <v>1</v>
      </c>
      <c r="L1885" s="8" t="b">
        <f t="shared" si="147"/>
        <v>1</v>
      </c>
      <c r="M1885" s="8" t="b">
        <f t="shared" si="148"/>
        <v>1</v>
      </c>
      <c r="N1885" s="1" t="b">
        <f t="shared" si="149"/>
        <v>1</v>
      </c>
      <c r="O1885" s="8" t="str">
        <f>IF(F1885="","",IF($F$2=入力リスト!$H$25,ROUNDDOWN(INT(F1885)+ROUNDDOWN((F1885-INT(F1885))*100,0)/60,2),F1885))</f>
        <v/>
      </c>
      <c r="P1885" s="7"/>
      <c r="Q1885" s="7"/>
    </row>
    <row r="1886" spans="1:17">
      <c r="A1886" s="105"/>
      <c r="B1886" s="2"/>
      <c r="C1886" s="3"/>
      <c r="D1886" s="3"/>
      <c r="E1886" s="3"/>
      <c r="F1886" s="8"/>
      <c r="G1886" s="215" t="str">
        <f>IF(AND($B1886="",OR(B1886&lt;&gt;"",C1886&lt;&gt;"",D1886&lt;&gt;"",E1886&lt;&gt;"",F1886&lt;&gt;"")),入力リスト!$K$34,IF($I1886=TRUE,入力リスト!$K$35,IF(J1886=FALSE,"「毎月の固定給与額」","")&amp;IF(AND(J1886=FALSE,OR(K1886=FALSE,L1886=FALSE,M1886=FALSE)),",","")&amp;IF(K1886=FALSE,"「賞与額等」","")&amp;IF(AND(K1886=FALSE,OR(L1886=FALSE,M1886=FALSE)),",","")&amp;IF(L1886=FALSE,"「残業手当」","")&amp;IF(AND(L1886=FALSE,M1886=FALSE),",","")&amp;IF(M1886=FALSE,"「残業時間」","")&amp;IF(OR(J1886=FALSE,K1886=FALSE,L1886=FALSE,M1886=FALSE),入力リスト!$K$36,"")&amp;IF(N1886,"",入力リスト!$K$37)))</f>
        <v/>
      </c>
      <c r="H1886" s="215"/>
      <c r="I1886" s="1" t="b">
        <f>IF(B1886="",FALSE,COUNTIF('従業員情報(給与以外)'!$A$4:$A$1000000,$B1886)=0)</f>
        <v>0</v>
      </c>
      <c r="J1886" s="8" t="b">
        <f t="shared" si="145"/>
        <v>1</v>
      </c>
      <c r="K1886" s="8" t="b">
        <f t="shared" si="146"/>
        <v>1</v>
      </c>
      <c r="L1886" s="8" t="b">
        <f t="shared" si="147"/>
        <v>1</v>
      </c>
      <c r="M1886" s="8" t="b">
        <f t="shared" si="148"/>
        <v>1</v>
      </c>
      <c r="N1886" s="1" t="b">
        <f t="shared" si="149"/>
        <v>1</v>
      </c>
      <c r="O1886" s="8" t="str">
        <f>IF(F1886="","",IF($F$2=入力リスト!$H$25,ROUNDDOWN(INT(F1886)+ROUNDDOWN((F1886-INT(F1886))*100,0)/60,2),F1886))</f>
        <v/>
      </c>
      <c r="P1886" s="7"/>
      <c r="Q1886" s="7"/>
    </row>
    <row r="1887" spans="1:17">
      <c r="A1887" s="105"/>
      <c r="B1887" s="2"/>
      <c r="C1887" s="3"/>
      <c r="D1887" s="3"/>
      <c r="E1887" s="3"/>
      <c r="F1887" s="8"/>
      <c r="G1887" s="215" t="str">
        <f>IF(AND($B1887="",OR(B1887&lt;&gt;"",C1887&lt;&gt;"",D1887&lt;&gt;"",E1887&lt;&gt;"",F1887&lt;&gt;"")),入力リスト!$K$34,IF($I1887=TRUE,入力リスト!$K$35,IF(J1887=FALSE,"「毎月の固定給与額」","")&amp;IF(AND(J1887=FALSE,OR(K1887=FALSE,L1887=FALSE,M1887=FALSE)),",","")&amp;IF(K1887=FALSE,"「賞与額等」","")&amp;IF(AND(K1887=FALSE,OR(L1887=FALSE,M1887=FALSE)),",","")&amp;IF(L1887=FALSE,"「残業手当」","")&amp;IF(AND(L1887=FALSE,M1887=FALSE),",","")&amp;IF(M1887=FALSE,"「残業時間」","")&amp;IF(OR(J1887=FALSE,K1887=FALSE,L1887=FALSE,M1887=FALSE),入力リスト!$K$36,"")&amp;IF(N1887,"",入力リスト!$K$37)))</f>
        <v/>
      </c>
      <c r="H1887" s="215"/>
      <c r="I1887" s="1" t="b">
        <f>IF(B1887="",FALSE,COUNTIF('従業員情報(給与以外)'!$A$4:$A$1000000,$B1887)=0)</f>
        <v>0</v>
      </c>
      <c r="J1887" s="8" t="b">
        <f t="shared" si="145"/>
        <v>1</v>
      </c>
      <c r="K1887" s="8" t="b">
        <f t="shared" si="146"/>
        <v>1</v>
      </c>
      <c r="L1887" s="8" t="b">
        <f t="shared" si="147"/>
        <v>1</v>
      </c>
      <c r="M1887" s="8" t="b">
        <f t="shared" si="148"/>
        <v>1</v>
      </c>
      <c r="N1887" s="1" t="b">
        <f t="shared" si="149"/>
        <v>1</v>
      </c>
      <c r="O1887" s="8" t="str">
        <f>IF(F1887="","",IF($F$2=入力リスト!$H$25,ROUNDDOWN(INT(F1887)+ROUNDDOWN((F1887-INT(F1887))*100,0)/60,2),F1887))</f>
        <v/>
      </c>
      <c r="P1887" s="7"/>
      <c r="Q1887" s="7"/>
    </row>
    <row r="1888" spans="1:17">
      <c r="A1888" s="105"/>
      <c r="B1888" s="2"/>
      <c r="C1888" s="3"/>
      <c r="D1888" s="3"/>
      <c r="E1888" s="3"/>
      <c r="F1888" s="8"/>
      <c r="G1888" s="215" t="str">
        <f>IF(AND($B1888="",OR(B1888&lt;&gt;"",C1888&lt;&gt;"",D1888&lt;&gt;"",E1888&lt;&gt;"",F1888&lt;&gt;"")),入力リスト!$K$34,IF($I1888=TRUE,入力リスト!$K$35,IF(J1888=FALSE,"「毎月の固定給与額」","")&amp;IF(AND(J1888=FALSE,OR(K1888=FALSE,L1888=FALSE,M1888=FALSE)),",","")&amp;IF(K1888=FALSE,"「賞与額等」","")&amp;IF(AND(K1888=FALSE,OR(L1888=FALSE,M1888=FALSE)),",","")&amp;IF(L1888=FALSE,"「残業手当」","")&amp;IF(AND(L1888=FALSE,M1888=FALSE),",","")&amp;IF(M1888=FALSE,"「残業時間」","")&amp;IF(OR(J1888=FALSE,K1888=FALSE,L1888=FALSE,M1888=FALSE),入力リスト!$K$36,"")&amp;IF(N1888,"",入力リスト!$K$37)))</f>
        <v/>
      </c>
      <c r="H1888" s="215"/>
      <c r="I1888" s="1" t="b">
        <f>IF(B1888="",FALSE,COUNTIF('従業員情報(給与以外)'!$A$4:$A$1000000,$B1888)=0)</f>
        <v>0</v>
      </c>
      <c r="J1888" s="8" t="b">
        <f t="shared" si="145"/>
        <v>1</v>
      </c>
      <c r="K1888" s="8" t="b">
        <f t="shared" si="146"/>
        <v>1</v>
      </c>
      <c r="L1888" s="8" t="b">
        <f t="shared" si="147"/>
        <v>1</v>
      </c>
      <c r="M1888" s="8" t="b">
        <f t="shared" si="148"/>
        <v>1</v>
      </c>
      <c r="N1888" s="1" t="b">
        <f t="shared" si="149"/>
        <v>1</v>
      </c>
      <c r="O1888" s="8" t="str">
        <f>IF(F1888="","",IF($F$2=入力リスト!$H$25,ROUNDDOWN(INT(F1888)+ROUNDDOWN((F1888-INT(F1888))*100,0)/60,2),F1888))</f>
        <v/>
      </c>
      <c r="P1888" s="7"/>
      <c r="Q1888" s="7"/>
    </row>
    <row r="1889" spans="1:17">
      <c r="A1889" s="105"/>
      <c r="B1889" s="2"/>
      <c r="C1889" s="3"/>
      <c r="D1889" s="3"/>
      <c r="E1889" s="3"/>
      <c r="F1889" s="8"/>
      <c r="G1889" s="215" t="str">
        <f>IF(AND($B1889="",OR(B1889&lt;&gt;"",C1889&lt;&gt;"",D1889&lt;&gt;"",E1889&lt;&gt;"",F1889&lt;&gt;"")),入力リスト!$K$34,IF($I1889=TRUE,入力リスト!$K$35,IF(J1889=FALSE,"「毎月の固定給与額」","")&amp;IF(AND(J1889=FALSE,OR(K1889=FALSE,L1889=FALSE,M1889=FALSE)),",","")&amp;IF(K1889=FALSE,"「賞与額等」","")&amp;IF(AND(K1889=FALSE,OR(L1889=FALSE,M1889=FALSE)),",","")&amp;IF(L1889=FALSE,"「残業手当」","")&amp;IF(AND(L1889=FALSE,M1889=FALSE),",","")&amp;IF(M1889=FALSE,"「残業時間」","")&amp;IF(OR(J1889=FALSE,K1889=FALSE,L1889=FALSE,M1889=FALSE),入力リスト!$K$36,"")&amp;IF(N1889,"",入力リスト!$K$37)))</f>
        <v/>
      </c>
      <c r="H1889" s="215"/>
      <c r="I1889" s="1" t="b">
        <f>IF(B1889="",FALSE,COUNTIF('従業員情報(給与以外)'!$A$4:$A$1000000,$B1889)=0)</f>
        <v>0</v>
      </c>
      <c r="J1889" s="8" t="b">
        <f t="shared" si="145"/>
        <v>1</v>
      </c>
      <c r="K1889" s="8" t="b">
        <f t="shared" si="146"/>
        <v>1</v>
      </c>
      <c r="L1889" s="8" t="b">
        <f t="shared" si="147"/>
        <v>1</v>
      </c>
      <c r="M1889" s="8" t="b">
        <f t="shared" si="148"/>
        <v>1</v>
      </c>
      <c r="N1889" s="1" t="b">
        <f t="shared" si="149"/>
        <v>1</v>
      </c>
      <c r="O1889" s="8" t="str">
        <f>IF(F1889="","",IF($F$2=入力リスト!$H$25,ROUNDDOWN(INT(F1889)+ROUNDDOWN((F1889-INT(F1889))*100,0)/60,2),F1889))</f>
        <v/>
      </c>
      <c r="P1889" s="7"/>
      <c r="Q1889" s="7"/>
    </row>
    <row r="1890" spans="1:17">
      <c r="A1890" s="105"/>
      <c r="B1890" s="2"/>
      <c r="C1890" s="3"/>
      <c r="D1890" s="3"/>
      <c r="E1890" s="3"/>
      <c r="F1890" s="8"/>
      <c r="G1890" s="215" t="str">
        <f>IF(AND($B1890="",OR(B1890&lt;&gt;"",C1890&lt;&gt;"",D1890&lt;&gt;"",E1890&lt;&gt;"",F1890&lt;&gt;"")),入力リスト!$K$34,IF($I1890=TRUE,入力リスト!$K$35,IF(J1890=FALSE,"「毎月の固定給与額」","")&amp;IF(AND(J1890=FALSE,OR(K1890=FALSE,L1890=FALSE,M1890=FALSE)),",","")&amp;IF(K1890=FALSE,"「賞与額等」","")&amp;IF(AND(K1890=FALSE,OR(L1890=FALSE,M1890=FALSE)),",","")&amp;IF(L1890=FALSE,"「残業手当」","")&amp;IF(AND(L1890=FALSE,M1890=FALSE),",","")&amp;IF(M1890=FALSE,"「残業時間」","")&amp;IF(OR(J1890=FALSE,K1890=FALSE,L1890=FALSE,M1890=FALSE),入力リスト!$K$36,"")&amp;IF(N1890,"",入力リスト!$K$37)))</f>
        <v/>
      </c>
      <c r="H1890" s="215"/>
      <c r="I1890" s="1" t="b">
        <f>IF(B1890="",FALSE,COUNTIF('従業員情報(給与以外)'!$A$4:$A$1000000,$B1890)=0)</f>
        <v>0</v>
      </c>
      <c r="J1890" s="8" t="b">
        <f t="shared" si="145"/>
        <v>1</v>
      </c>
      <c r="K1890" s="8" t="b">
        <f t="shared" si="146"/>
        <v>1</v>
      </c>
      <c r="L1890" s="8" t="b">
        <f t="shared" si="147"/>
        <v>1</v>
      </c>
      <c r="M1890" s="8" t="b">
        <f t="shared" si="148"/>
        <v>1</v>
      </c>
      <c r="N1890" s="1" t="b">
        <f t="shared" si="149"/>
        <v>1</v>
      </c>
      <c r="O1890" s="8" t="str">
        <f>IF(F1890="","",IF($F$2=入力リスト!$H$25,ROUNDDOWN(INT(F1890)+ROUNDDOWN((F1890-INT(F1890))*100,0)/60,2),F1890))</f>
        <v/>
      </c>
      <c r="P1890" s="7"/>
      <c r="Q1890" s="7"/>
    </row>
    <row r="1891" spans="1:17">
      <c r="A1891" s="105"/>
      <c r="B1891" s="2"/>
      <c r="C1891" s="3"/>
      <c r="D1891" s="3"/>
      <c r="E1891" s="3"/>
      <c r="F1891" s="8"/>
      <c r="G1891" s="215" t="str">
        <f>IF(AND($B1891="",OR(B1891&lt;&gt;"",C1891&lt;&gt;"",D1891&lt;&gt;"",E1891&lt;&gt;"",F1891&lt;&gt;"")),入力リスト!$K$34,IF($I1891=TRUE,入力リスト!$K$35,IF(J1891=FALSE,"「毎月の固定給与額」","")&amp;IF(AND(J1891=FALSE,OR(K1891=FALSE,L1891=FALSE,M1891=FALSE)),",","")&amp;IF(K1891=FALSE,"「賞与額等」","")&amp;IF(AND(K1891=FALSE,OR(L1891=FALSE,M1891=FALSE)),",","")&amp;IF(L1891=FALSE,"「残業手当」","")&amp;IF(AND(L1891=FALSE,M1891=FALSE),",","")&amp;IF(M1891=FALSE,"「残業時間」","")&amp;IF(OR(J1891=FALSE,K1891=FALSE,L1891=FALSE,M1891=FALSE),入力リスト!$K$36,"")&amp;IF(N1891,"",入力リスト!$K$37)))</f>
        <v/>
      </c>
      <c r="H1891" s="215"/>
      <c r="I1891" s="1" t="b">
        <f>IF(B1891="",FALSE,COUNTIF('従業員情報(給与以外)'!$A$4:$A$1000000,$B1891)=0)</f>
        <v>0</v>
      </c>
      <c r="J1891" s="8" t="b">
        <f t="shared" si="145"/>
        <v>1</v>
      </c>
      <c r="K1891" s="8" t="b">
        <f t="shared" si="146"/>
        <v>1</v>
      </c>
      <c r="L1891" s="8" t="b">
        <f t="shared" si="147"/>
        <v>1</v>
      </c>
      <c r="M1891" s="8" t="b">
        <f t="shared" si="148"/>
        <v>1</v>
      </c>
      <c r="N1891" s="1" t="b">
        <f t="shared" si="149"/>
        <v>1</v>
      </c>
      <c r="O1891" s="8" t="str">
        <f>IF(F1891="","",IF($F$2=入力リスト!$H$25,ROUNDDOWN(INT(F1891)+ROUNDDOWN((F1891-INT(F1891))*100,0)/60,2),F1891))</f>
        <v/>
      </c>
      <c r="P1891" s="7"/>
      <c r="Q1891" s="7"/>
    </row>
    <row r="1892" spans="1:17">
      <c r="A1892" s="105"/>
      <c r="B1892" s="2"/>
      <c r="C1892" s="3"/>
      <c r="D1892" s="3"/>
      <c r="E1892" s="3"/>
      <c r="F1892" s="8"/>
      <c r="G1892" s="215" t="str">
        <f>IF(AND($B1892="",OR(B1892&lt;&gt;"",C1892&lt;&gt;"",D1892&lt;&gt;"",E1892&lt;&gt;"",F1892&lt;&gt;"")),入力リスト!$K$34,IF($I1892=TRUE,入力リスト!$K$35,IF(J1892=FALSE,"「毎月の固定給与額」","")&amp;IF(AND(J1892=FALSE,OR(K1892=FALSE,L1892=FALSE,M1892=FALSE)),",","")&amp;IF(K1892=FALSE,"「賞与額等」","")&amp;IF(AND(K1892=FALSE,OR(L1892=FALSE,M1892=FALSE)),",","")&amp;IF(L1892=FALSE,"「残業手当」","")&amp;IF(AND(L1892=FALSE,M1892=FALSE),",","")&amp;IF(M1892=FALSE,"「残業時間」","")&amp;IF(OR(J1892=FALSE,K1892=FALSE,L1892=FALSE,M1892=FALSE),入力リスト!$K$36,"")&amp;IF(N1892,"",入力リスト!$K$37)))</f>
        <v/>
      </c>
      <c r="H1892" s="215"/>
      <c r="I1892" s="1" t="b">
        <f>IF(B1892="",FALSE,COUNTIF('従業員情報(給与以外)'!$A$4:$A$1000000,$B1892)=0)</f>
        <v>0</v>
      </c>
      <c r="J1892" s="8" t="b">
        <f t="shared" si="145"/>
        <v>1</v>
      </c>
      <c r="K1892" s="8" t="b">
        <f t="shared" si="146"/>
        <v>1</v>
      </c>
      <c r="L1892" s="8" t="b">
        <f t="shared" si="147"/>
        <v>1</v>
      </c>
      <c r="M1892" s="8" t="b">
        <f t="shared" si="148"/>
        <v>1</v>
      </c>
      <c r="N1892" s="1" t="b">
        <f t="shared" si="149"/>
        <v>1</v>
      </c>
      <c r="O1892" s="8" t="str">
        <f>IF(F1892="","",IF($F$2=入力リスト!$H$25,ROUNDDOWN(INT(F1892)+ROUNDDOWN((F1892-INT(F1892))*100,0)/60,2),F1892))</f>
        <v/>
      </c>
      <c r="P1892" s="7"/>
      <c r="Q1892" s="7"/>
    </row>
    <row r="1893" spans="1:17">
      <c r="A1893" s="105"/>
      <c r="B1893" s="2"/>
      <c r="C1893" s="3"/>
      <c r="D1893" s="3"/>
      <c r="E1893" s="3"/>
      <c r="F1893" s="8"/>
      <c r="G1893" s="215" t="str">
        <f>IF(AND($B1893="",OR(B1893&lt;&gt;"",C1893&lt;&gt;"",D1893&lt;&gt;"",E1893&lt;&gt;"",F1893&lt;&gt;"")),入力リスト!$K$34,IF($I1893=TRUE,入力リスト!$K$35,IF(J1893=FALSE,"「毎月の固定給与額」","")&amp;IF(AND(J1893=FALSE,OR(K1893=FALSE,L1893=FALSE,M1893=FALSE)),",","")&amp;IF(K1893=FALSE,"「賞与額等」","")&amp;IF(AND(K1893=FALSE,OR(L1893=FALSE,M1893=FALSE)),",","")&amp;IF(L1893=FALSE,"「残業手当」","")&amp;IF(AND(L1893=FALSE,M1893=FALSE),",","")&amp;IF(M1893=FALSE,"「残業時間」","")&amp;IF(OR(J1893=FALSE,K1893=FALSE,L1893=FALSE,M1893=FALSE),入力リスト!$K$36,"")&amp;IF(N1893,"",入力リスト!$K$37)))</f>
        <v/>
      </c>
      <c r="H1893" s="215"/>
      <c r="I1893" s="1" t="b">
        <f>IF(B1893="",FALSE,COUNTIF('従業員情報(給与以外)'!$A$4:$A$1000000,$B1893)=0)</f>
        <v>0</v>
      </c>
      <c r="J1893" s="8" t="b">
        <f t="shared" si="145"/>
        <v>1</v>
      </c>
      <c r="K1893" s="8" t="b">
        <f t="shared" si="146"/>
        <v>1</v>
      </c>
      <c r="L1893" s="8" t="b">
        <f t="shared" si="147"/>
        <v>1</v>
      </c>
      <c r="M1893" s="8" t="b">
        <f t="shared" si="148"/>
        <v>1</v>
      </c>
      <c r="N1893" s="1" t="b">
        <f t="shared" si="149"/>
        <v>1</v>
      </c>
      <c r="O1893" s="8" t="str">
        <f>IF(F1893="","",IF($F$2=入力リスト!$H$25,ROUNDDOWN(INT(F1893)+ROUNDDOWN((F1893-INT(F1893))*100,0)/60,2),F1893))</f>
        <v/>
      </c>
      <c r="P1893" s="7"/>
      <c r="Q1893" s="7"/>
    </row>
    <row r="1894" spans="1:17">
      <c r="A1894" s="105"/>
      <c r="B1894" s="2"/>
      <c r="C1894" s="3"/>
      <c r="D1894" s="3"/>
      <c r="E1894" s="3"/>
      <c r="F1894" s="8"/>
      <c r="G1894" s="215" t="str">
        <f>IF(AND($B1894="",OR(B1894&lt;&gt;"",C1894&lt;&gt;"",D1894&lt;&gt;"",E1894&lt;&gt;"",F1894&lt;&gt;"")),入力リスト!$K$34,IF($I1894=TRUE,入力リスト!$K$35,IF(J1894=FALSE,"「毎月の固定給与額」","")&amp;IF(AND(J1894=FALSE,OR(K1894=FALSE,L1894=FALSE,M1894=FALSE)),",","")&amp;IF(K1894=FALSE,"「賞与額等」","")&amp;IF(AND(K1894=FALSE,OR(L1894=FALSE,M1894=FALSE)),",","")&amp;IF(L1894=FALSE,"「残業手当」","")&amp;IF(AND(L1894=FALSE,M1894=FALSE),",","")&amp;IF(M1894=FALSE,"「残業時間」","")&amp;IF(OR(J1894=FALSE,K1894=FALSE,L1894=FALSE,M1894=FALSE),入力リスト!$K$36,"")&amp;IF(N1894,"",入力リスト!$K$37)))</f>
        <v/>
      </c>
      <c r="H1894" s="215"/>
      <c r="I1894" s="1" t="b">
        <f>IF(B1894="",FALSE,COUNTIF('従業員情報(給与以外)'!$A$4:$A$1000000,$B1894)=0)</f>
        <v>0</v>
      </c>
      <c r="J1894" s="8" t="b">
        <f t="shared" si="145"/>
        <v>1</v>
      </c>
      <c r="K1894" s="8" t="b">
        <f t="shared" si="146"/>
        <v>1</v>
      </c>
      <c r="L1894" s="8" t="b">
        <f t="shared" si="147"/>
        <v>1</v>
      </c>
      <c r="M1894" s="8" t="b">
        <f t="shared" si="148"/>
        <v>1</v>
      </c>
      <c r="N1894" s="1" t="b">
        <f t="shared" si="149"/>
        <v>1</v>
      </c>
      <c r="O1894" s="8" t="str">
        <f>IF(F1894="","",IF($F$2=入力リスト!$H$25,ROUNDDOWN(INT(F1894)+ROUNDDOWN((F1894-INT(F1894))*100,0)/60,2),F1894))</f>
        <v/>
      </c>
      <c r="P1894" s="7"/>
      <c r="Q1894" s="7"/>
    </row>
    <row r="1895" spans="1:17">
      <c r="A1895" s="105"/>
      <c r="B1895" s="2"/>
      <c r="C1895" s="3"/>
      <c r="D1895" s="3"/>
      <c r="E1895" s="3"/>
      <c r="F1895" s="8"/>
      <c r="G1895" s="215" t="str">
        <f>IF(AND($B1895="",OR(B1895&lt;&gt;"",C1895&lt;&gt;"",D1895&lt;&gt;"",E1895&lt;&gt;"",F1895&lt;&gt;"")),入力リスト!$K$34,IF($I1895=TRUE,入力リスト!$K$35,IF(J1895=FALSE,"「毎月の固定給与額」","")&amp;IF(AND(J1895=FALSE,OR(K1895=FALSE,L1895=FALSE,M1895=FALSE)),",","")&amp;IF(K1895=FALSE,"「賞与額等」","")&amp;IF(AND(K1895=FALSE,OR(L1895=FALSE,M1895=FALSE)),",","")&amp;IF(L1895=FALSE,"「残業手当」","")&amp;IF(AND(L1895=FALSE,M1895=FALSE),",","")&amp;IF(M1895=FALSE,"「残業時間」","")&amp;IF(OR(J1895=FALSE,K1895=FALSE,L1895=FALSE,M1895=FALSE),入力リスト!$K$36,"")&amp;IF(N1895,"",入力リスト!$K$37)))</f>
        <v/>
      </c>
      <c r="H1895" s="215"/>
      <c r="I1895" s="1" t="b">
        <f>IF(B1895="",FALSE,COUNTIF('従業員情報(給与以外)'!$A$4:$A$1000000,$B1895)=0)</f>
        <v>0</v>
      </c>
      <c r="J1895" s="8" t="b">
        <f t="shared" si="145"/>
        <v>1</v>
      </c>
      <c r="K1895" s="8" t="b">
        <f t="shared" si="146"/>
        <v>1</v>
      </c>
      <c r="L1895" s="8" t="b">
        <f t="shared" si="147"/>
        <v>1</v>
      </c>
      <c r="M1895" s="8" t="b">
        <f t="shared" si="148"/>
        <v>1</v>
      </c>
      <c r="N1895" s="1" t="b">
        <f t="shared" si="149"/>
        <v>1</v>
      </c>
      <c r="O1895" s="8" t="str">
        <f>IF(F1895="","",IF($F$2=入力リスト!$H$25,ROUNDDOWN(INT(F1895)+ROUNDDOWN((F1895-INT(F1895))*100,0)/60,2),F1895))</f>
        <v/>
      </c>
      <c r="P1895" s="7"/>
      <c r="Q1895" s="7"/>
    </row>
    <row r="1896" spans="1:17">
      <c r="A1896" s="105"/>
      <c r="B1896" s="2"/>
      <c r="C1896" s="3"/>
      <c r="D1896" s="3"/>
      <c r="E1896" s="3"/>
      <c r="F1896" s="8"/>
      <c r="G1896" s="215" t="str">
        <f>IF(AND($B1896="",OR(B1896&lt;&gt;"",C1896&lt;&gt;"",D1896&lt;&gt;"",E1896&lt;&gt;"",F1896&lt;&gt;"")),入力リスト!$K$34,IF($I1896=TRUE,入力リスト!$K$35,IF(J1896=FALSE,"「毎月の固定給与額」","")&amp;IF(AND(J1896=FALSE,OR(K1896=FALSE,L1896=FALSE,M1896=FALSE)),",","")&amp;IF(K1896=FALSE,"「賞与額等」","")&amp;IF(AND(K1896=FALSE,OR(L1896=FALSE,M1896=FALSE)),",","")&amp;IF(L1896=FALSE,"「残業手当」","")&amp;IF(AND(L1896=FALSE,M1896=FALSE),",","")&amp;IF(M1896=FALSE,"「残業時間」","")&amp;IF(OR(J1896=FALSE,K1896=FALSE,L1896=FALSE,M1896=FALSE),入力リスト!$K$36,"")&amp;IF(N1896,"",入力リスト!$K$37)))</f>
        <v/>
      </c>
      <c r="H1896" s="215"/>
      <c r="I1896" s="1" t="b">
        <f>IF(B1896="",FALSE,COUNTIF('従業員情報(給与以外)'!$A$4:$A$1000000,$B1896)=0)</f>
        <v>0</v>
      </c>
      <c r="J1896" s="8" t="b">
        <f t="shared" si="145"/>
        <v>1</v>
      </c>
      <c r="K1896" s="8" t="b">
        <f t="shared" si="146"/>
        <v>1</v>
      </c>
      <c r="L1896" s="8" t="b">
        <f t="shared" si="147"/>
        <v>1</v>
      </c>
      <c r="M1896" s="8" t="b">
        <f t="shared" si="148"/>
        <v>1</v>
      </c>
      <c r="N1896" s="1" t="b">
        <f t="shared" si="149"/>
        <v>1</v>
      </c>
      <c r="O1896" s="8" t="str">
        <f>IF(F1896="","",IF($F$2=入力リスト!$H$25,ROUNDDOWN(INT(F1896)+ROUNDDOWN((F1896-INT(F1896))*100,0)/60,2),F1896))</f>
        <v/>
      </c>
      <c r="P1896" s="7"/>
      <c r="Q1896" s="7"/>
    </row>
    <row r="1897" spans="1:17">
      <c r="A1897" s="105"/>
      <c r="B1897" s="2"/>
      <c r="C1897" s="3"/>
      <c r="D1897" s="3"/>
      <c r="E1897" s="3"/>
      <c r="F1897" s="8"/>
      <c r="G1897" s="215" t="str">
        <f>IF(AND($B1897="",OR(B1897&lt;&gt;"",C1897&lt;&gt;"",D1897&lt;&gt;"",E1897&lt;&gt;"",F1897&lt;&gt;"")),入力リスト!$K$34,IF($I1897=TRUE,入力リスト!$K$35,IF(J1897=FALSE,"「毎月の固定給与額」","")&amp;IF(AND(J1897=FALSE,OR(K1897=FALSE,L1897=FALSE,M1897=FALSE)),",","")&amp;IF(K1897=FALSE,"「賞与額等」","")&amp;IF(AND(K1897=FALSE,OR(L1897=FALSE,M1897=FALSE)),",","")&amp;IF(L1897=FALSE,"「残業手当」","")&amp;IF(AND(L1897=FALSE,M1897=FALSE),",","")&amp;IF(M1897=FALSE,"「残業時間」","")&amp;IF(OR(J1897=FALSE,K1897=FALSE,L1897=FALSE,M1897=FALSE),入力リスト!$K$36,"")&amp;IF(N1897,"",入力リスト!$K$37)))</f>
        <v/>
      </c>
      <c r="H1897" s="215"/>
      <c r="I1897" s="1" t="b">
        <f>IF(B1897="",FALSE,COUNTIF('従業員情報(給与以外)'!$A$4:$A$1000000,$B1897)=0)</f>
        <v>0</v>
      </c>
      <c r="J1897" s="8" t="b">
        <f t="shared" si="145"/>
        <v>1</v>
      </c>
      <c r="K1897" s="8" t="b">
        <f t="shared" si="146"/>
        <v>1</v>
      </c>
      <c r="L1897" s="8" t="b">
        <f t="shared" si="147"/>
        <v>1</v>
      </c>
      <c r="M1897" s="8" t="b">
        <f t="shared" si="148"/>
        <v>1</v>
      </c>
      <c r="N1897" s="1" t="b">
        <f t="shared" si="149"/>
        <v>1</v>
      </c>
      <c r="O1897" s="8" t="str">
        <f>IF(F1897="","",IF($F$2=入力リスト!$H$25,ROUNDDOWN(INT(F1897)+ROUNDDOWN((F1897-INT(F1897))*100,0)/60,2),F1897))</f>
        <v/>
      </c>
      <c r="P1897" s="7"/>
      <c r="Q1897" s="7"/>
    </row>
    <row r="1898" spans="1:17">
      <c r="A1898" s="105"/>
      <c r="B1898" s="2"/>
      <c r="C1898" s="3"/>
      <c r="D1898" s="3"/>
      <c r="E1898" s="3"/>
      <c r="F1898" s="8"/>
      <c r="G1898" s="215" t="str">
        <f>IF(AND($B1898="",OR(B1898&lt;&gt;"",C1898&lt;&gt;"",D1898&lt;&gt;"",E1898&lt;&gt;"",F1898&lt;&gt;"")),入力リスト!$K$34,IF($I1898=TRUE,入力リスト!$K$35,IF(J1898=FALSE,"「毎月の固定給与額」","")&amp;IF(AND(J1898=FALSE,OR(K1898=FALSE,L1898=FALSE,M1898=FALSE)),",","")&amp;IF(K1898=FALSE,"「賞与額等」","")&amp;IF(AND(K1898=FALSE,OR(L1898=FALSE,M1898=FALSE)),",","")&amp;IF(L1898=FALSE,"「残業手当」","")&amp;IF(AND(L1898=FALSE,M1898=FALSE),",","")&amp;IF(M1898=FALSE,"「残業時間」","")&amp;IF(OR(J1898=FALSE,K1898=FALSE,L1898=FALSE,M1898=FALSE),入力リスト!$K$36,"")&amp;IF(N1898,"",入力リスト!$K$37)))</f>
        <v/>
      </c>
      <c r="H1898" s="215"/>
      <c r="I1898" s="1" t="b">
        <f>IF(B1898="",FALSE,COUNTIF('従業員情報(給与以外)'!$A$4:$A$1000000,$B1898)=0)</f>
        <v>0</v>
      </c>
      <c r="J1898" s="8" t="b">
        <f t="shared" si="145"/>
        <v>1</v>
      </c>
      <c r="K1898" s="8" t="b">
        <f t="shared" si="146"/>
        <v>1</v>
      </c>
      <c r="L1898" s="8" t="b">
        <f t="shared" si="147"/>
        <v>1</v>
      </c>
      <c r="M1898" s="8" t="b">
        <f t="shared" si="148"/>
        <v>1</v>
      </c>
      <c r="N1898" s="1" t="b">
        <f t="shared" si="149"/>
        <v>1</v>
      </c>
      <c r="O1898" s="8" t="str">
        <f>IF(F1898="","",IF($F$2=入力リスト!$H$25,ROUNDDOWN(INT(F1898)+ROUNDDOWN((F1898-INT(F1898))*100,0)/60,2),F1898))</f>
        <v/>
      </c>
      <c r="P1898" s="7"/>
      <c r="Q1898" s="7"/>
    </row>
    <row r="1899" spans="1:17">
      <c r="A1899" s="105"/>
      <c r="B1899" s="2"/>
      <c r="C1899" s="3"/>
      <c r="D1899" s="3"/>
      <c r="E1899" s="3"/>
      <c r="F1899" s="8"/>
      <c r="G1899" s="215" t="str">
        <f>IF(AND($B1899="",OR(B1899&lt;&gt;"",C1899&lt;&gt;"",D1899&lt;&gt;"",E1899&lt;&gt;"",F1899&lt;&gt;"")),入力リスト!$K$34,IF($I1899=TRUE,入力リスト!$K$35,IF(J1899=FALSE,"「毎月の固定給与額」","")&amp;IF(AND(J1899=FALSE,OR(K1899=FALSE,L1899=FALSE,M1899=FALSE)),",","")&amp;IF(K1899=FALSE,"「賞与額等」","")&amp;IF(AND(K1899=FALSE,OR(L1899=FALSE,M1899=FALSE)),",","")&amp;IF(L1899=FALSE,"「残業手当」","")&amp;IF(AND(L1899=FALSE,M1899=FALSE),",","")&amp;IF(M1899=FALSE,"「残業時間」","")&amp;IF(OR(J1899=FALSE,K1899=FALSE,L1899=FALSE,M1899=FALSE),入力リスト!$K$36,"")&amp;IF(N1899,"",入力リスト!$K$37)))</f>
        <v/>
      </c>
      <c r="H1899" s="215"/>
      <c r="I1899" s="1" t="b">
        <f>IF(B1899="",FALSE,COUNTIF('従業員情報(給与以外)'!$A$4:$A$1000000,$B1899)=0)</f>
        <v>0</v>
      </c>
      <c r="J1899" s="8" t="b">
        <f t="shared" si="145"/>
        <v>1</v>
      </c>
      <c r="K1899" s="8" t="b">
        <f t="shared" si="146"/>
        <v>1</v>
      </c>
      <c r="L1899" s="8" t="b">
        <f t="shared" si="147"/>
        <v>1</v>
      </c>
      <c r="M1899" s="8" t="b">
        <f t="shared" si="148"/>
        <v>1</v>
      </c>
      <c r="N1899" s="1" t="b">
        <f t="shared" si="149"/>
        <v>1</v>
      </c>
      <c r="O1899" s="8" t="str">
        <f>IF(F1899="","",IF($F$2=入力リスト!$H$25,ROUNDDOWN(INT(F1899)+ROUNDDOWN((F1899-INT(F1899))*100,0)/60,2),F1899))</f>
        <v/>
      </c>
      <c r="P1899" s="7"/>
      <c r="Q1899" s="7"/>
    </row>
    <row r="1900" spans="1:17">
      <c r="A1900" s="105"/>
      <c r="B1900" s="2"/>
      <c r="C1900" s="3"/>
      <c r="D1900" s="3"/>
      <c r="E1900" s="3"/>
      <c r="F1900" s="8"/>
      <c r="G1900" s="215" t="str">
        <f>IF(AND($B1900="",OR(B1900&lt;&gt;"",C1900&lt;&gt;"",D1900&lt;&gt;"",E1900&lt;&gt;"",F1900&lt;&gt;"")),入力リスト!$K$34,IF($I1900=TRUE,入力リスト!$K$35,IF(J1900=FALSE,"「毎月の固定給与額」","")&amp;IF(AND(J1900=FALSE,OR(K1900=FALSE,L1900=FALSE,M1900=FALSE)),",","")&amp;IF(K1900=FALSE,"「賞与額等」","")&amp;IF(AND(K1900=FALSE,OR(L1900=FALSE,M1900=FALSE)),",","")&amp;IF(L1900=FALSE,"「残業手当」","")&amp;IF(AND(L1900=FALSE,M1900=FALSE),",","")&amp;IF(M1900=FALSE,"「残業時間」","")&amp;IF(OR(J1900=FALSE,K1900=FALSE,L1900=FALSE,M1900=FALSE),入力リスト!$K$36,"")&amp;IF(N1900,"",入力リスト!$K$37)))</f>
        <v/>
      </c>
      <c r="H1900" s="215"/>
      <c r="I1900" s="1" t="b">
        <f>IF(B1900="",FALSE,COUNTIF('従業員情報(給与以外)'!$A$4:$A$1000000,$B1900)=0)</f>
        <v>0</v>
      </c>
      <c r="J1900" s="8" t="b">
        <f t="shared" si="145"/>
        <v>1</v>
      </c>
      <c r="K1900" s="8" t="b">
        <f t="shared" si="146"/>
        <v>1</v>
      </c>
      <c r="L1900" s="8" t="b">
        <f t="shared" si="147"/>
        <v>1</v>
      </c>
      <c r="M1900" s="8" t="b">
        <f t="shared" si="148"/>
        <v>1</v>
      </c>
      <c r="N1900" s="1" t="b">
        <f t="shared" si="149"/>
        <v>1</v>
      </c>
      <c r="O1900" s="8" t="str">
        <f>IF(F1900="","",IF($F$2=入力リスト!$H$25,ROUNDDOWN(INT(F1900)+ROUNDDOWN((F1900-INT(F1900))*100,0)/60,2),F1900))</f>
        <v/>
      </c>
      <c r="P1900" s="7"/>
      <c r="Q1900" s="7"/>
    </row>
    <row r="1901" spans="1:17">
      <c r="A1901" s="105"/>
      <c r="B1901" s="2"/>
      <c r="C1901" s="3"/>
      <c r="D1901" s="3"/>
      <c r="E1901" s="3"/>
      <c r="F1901" s="8"/>
      <c r="G1901" s="215" t="str">
        <f>IF(AND($B1901="",OR(B1901&lt;&gt;"",C1901&lt;&gt;"",D1901&lt;&gt;"",E1901&lt;&gt;"",F1901&lt;&gt;"")),入力リスト!$K$34,IF($I1901=TRUE,入力リスト!$K$35,IF(J1901=FALSE,"「毎月の固定給与額」","")&amp;IF(AND(J1901=FALSE,OR(K1901=FALSE,L1901=FALSE,M1901=FALSE)),",","")&amp;IF(K1901=FALSE,"「賞与額等」","")&amp;IF(AND(K1901=FALSE,OR(L1901=FALSE,M1901=FALSE)),",","")&amp;IF(L1901=FALSE,"「残業手当」","")&amp;IF(AND(L1901=FALSE,M1901=FALSE),",","")&amp;IF(M1901=FALSE,"「残業時間」","")&amp;IF(OR(J1901=FALSE,K1901=FALSE,L1901=FALSE,M1901=FALSE),入力リスト!$K$36,"")&amp;IF(N1901,"",入力リスト!$K$37)))</f>
        <v/>
      </c>
      <c r="H1901" s="215"/>
      <c r="I1901" s="1" t="b">
        <f>IF(B1901="",FALSE,COUNTIF('従業員情報(給与以外)'!$A$4:$A$1000000,$B1901)=0)</f>
        <v>0</v>
      </c>
      <c r="J1901" s="8" t="b">
        <f t="shared" si="145"/>
        <v>1</v>
      </c>
      <c r="K1901" s="8" t="b">
        <f t="shared" si="146"/>
        <v>1</v>
      </c>
      <c r="L1901" s="8" t="b">
        <f t="shared" si="147"/>
        <v>1</v>
      </c>
      <c r="M1901" s="8" t="b">
        <f t="shared" si="148"/>
        <v>1</v>
      </c>
      <c r="N1901" s="1" t="b">
        <f t="shared" si="149"/>
        <v>1</v>
      </c>
      <c r="O1901" s="8" t="str">
        <f>IF(F1901="","",IF($F$2=入力リスト!$H$25,ROUNDDOWN(INT(F1901)+ROUNDDOWN((F1901-INT(F1901))*100,0)/60,2),F1901))</f>
        <v/>
      </c>
      <c r="P1901" s="7"/>
      <c r="Q1901" s="7"/>
    </row>
    <row r="1902" spans="1:17">
      <c r="A1902" s="105"/>
      <c r="B1902" s="2"/>
      <c r="C1902" s="3"/>
      <c r="D1902" s="3"/>
      <c r="E1902" s="3"/>
      <c r="F1902" s="8"/>
      <c r="G1902" s="215" t="str">
        <f>IF(AND($B1902="",OR(B1902&lt;&gt;"",C1902&lt;&gt;"",D1902&lt;&gt;"",E1902&lt;&gt;"",F1902&lt;&gt;"")),入力リスト!$K$34,IF($I1902=TRUE,入力リスト!$K$35,IF(J1902=FALSE,"「毎月の固定給与額」","")&amp;IF(AND(J1902=FALSE,OR(K1902=FALSE,L1902=FALSE,M1902=FALSE)),",","")&amp;IF(K1902=FALSE,"「賞与額等」","")&amp;IF(AND(K1902=FALSE,OR(L1902=FALSE,M1902=FALSE)),",","")&amp;IF(L1902=FALSE,"「残業手当」","")&amp;IF(AND(L1902=FALSE,M1902=FALSE),",","")&amp;IF(M1902=FALSE,"「残業時間」","")&amp;IF(OR(J1902=FALSE,K1902=FALSE,L1902=FALSE,M1902=FALSE),入力リスト!$K$36,"")&amp;IF(N1902,"",入力リスト!$K$37)))</f>
        <v/>
      </c>
      <c r="H1902" s="215"/>
      <c r="I1902" s="1" t="b">
        <f>IF(B1902="",FALSE,COUNTIF('従業員情報(給与以外)'!$A$4:$A$1000000,$B1902)=0)</f>
        <v>0</v>
      </c>
      <c r="J1902" s="8" t="b">
        <f t="shared" si="145"/>
        <v>1</v>
      </c>
      <c r="K1902" s="8" t="b">
        <f t="shared" si="146"/>
        <v>1</v>
      </c>
      <c r="L1902" s="8" t="b">
        <f t="shared" si="147"/>
        <v>1</v>
      </c>
      <c r="M1902" s="8" t="b">
        <f t="shared" si="148"/>
        <v>1</v>
      </c>
      <c r="N1902" s="1" t="b">
        <f t="shared" si="149"/>
        <v>1</v>
      </c>
      <c r="O1902" s="8" t="str">
        <f>IF(F1902="","",IF($F$2=入力リスト!$H$25,ROUNDDOWN(INT(F1902)+ROUNDDOWN((F1902-INT(F1902))*100,0)/60,2),F1902))</f>
        <v/>
      </c>
      <c r="P1902" s="7"/>
      <c r="Q1902" s="7"/>
    </row>
    <row r="1903" spans="1:17">
      <c r="A1903" s="105"/>
      <c r="B1903" s="2"/>
      <c r="C1903" s="3"/>
      <c r="D1903" s="3"/>
      <c r="E1903" s="3"/>
      <c r="F1903" s="8"/>
      <c r="G1903" s="215" t="str">
        <f>IF(AND($B1903="",OR(B1903&lt;&gt;"",C1903&lt;&gt;"",D1903&lt;&gt;"",E1903&lt;&gt;"",F1903&lt;&gt;"")),入力リスト!$K$34,IF($I1903=TRUE,入力リスト!$K$35,IF(J1903=FALSE,"「毎月の固定給与額」","")&amp;IF(AND(J1903=FALSE,OR(K1903=FALSE,L1903=FALSE,M1903=FALSE)),",","")&amp;IF(K1903=FALSE,"「賞与額等」","")&amp;IF(AND(K1903=FALSE,OR(L1903=FALSE,M1903=FALSE)),",","")&amp;IF(L1903=FALSE,"「残業手当」","")&amp;IF(AND(L1903=FALSE,M1903=FALSE),",","")&amp;IF(M1903=FALSE,"「残業時間」","")&amp;IF(OR(J1903=FALSE,K1903=FALSE,L1903=FALSE,M1903=FALSE),入力リスト!$K$36,"")&amp;IF(N1903,"",入力リスト!$K$37)))</f>
        <v/>
      </c>
      <c r="H1903" s="215"/>
      <c r="I1903" s="1" t="b">
        <f>IF(B1903="",FALSE,COUNTIF('従業員情報(給与以外)'!$A$4:$A$1000000,$B1903)=0)</f>
        <v>0</v>
      </c>
      <c r="J1903" s="8" t="b">
        <f t="shared" si="145"/>
        <v>1</v>
      </c>
      <c r="K1903" s="8" t="b">
        <f t="shared" si="146"/>
        <v>1</v>
      </c>
      <c r="L1903" s="8" t="b">
        <f t="shared" si="147"/>
        <v>1</v>
      </c>
      <c r="M1903" s="8" t="b">
        <f t="shared" si="148"/>
        <v>1</v>
      </c>
      <c r="N1903" s="1" t="b">
        <f t="shared" si="149"/>
        <v>1</v>
      </c>
      <c r="O1903" s="8" t="str">
        <f>IF(F1903="","",IF($F$2=入力リスト!$H$25,ROUNDDOWN(INT(F1903)+ROUNDDOWN((F1903-INT(F1903))*100,0)/60,2),F1903))</f>
        <v/>
      </c>
      <c r="P1903" s="7"/>
      <c r="Q1903" s="7"/>
    </row>
    <row r="1904" spans="1:17">
      <c r="A1904" s="105"/>
      <c r="B1904" s="2"/>
      <c r="C1904" s="3"/>
      <c r="D1904" s="3"/>
      <c r="E1904" s="3"/>
      <c r="F1904" s="8"/>
      <c r="G1904" s="215" t="str">
        <f>IF(AND($B1904="",OR(B1904&lt;&gt;"",C1904&lt;&gt;"",D1904&lt;&gt;"",E1904&lt;&gt;"",F1904&lt;&gt;"")),入力リスト!$K$34,IF($I1904=TRUE,入力リスト!$K$35,IF(J1904=FALSE,"「毎月の固定給与額」","")&amp;IF(AND(J1904=FALSE,OR(K1904=FALSE,L1904=FALSE,M1904=FALSE)),",","")&amp;IF(K1904=FALSE,"「賞与額等」","")&amp;IF(AND(K1904=FALSE,OR(L1904=FALSE,M1904=FALSE)),",","")&amp;IF(L1904=FALSE,"「残業手当」","")&amp;IF(AND(L1904=FALSE,M1904=FALSE),",","")&amp;IF(M1904=FALSE,"「残業時間」","")&amp;IF(OR(J1904=FALSE,K1904=FALSE,L1904=FALSE,M1904=FALSE),入力リスト!$K$36,"")&amp;IF(N1904,"",入力リスト!$K$37)))</f>
        <v/>
      </c>
      <c r="H1904" s="215"/>
      <c r="I1904" s="1" t="b">
        <f>IF(B1904="",FALSE,COUNTIF('従業員情報(給与以外)'!$A$4:$A$1000000,$B1904)=0)</f>
        <v>0</v>
      </c>
      <c r="J1904" s="8" t="b">
        <f t="shared" si="145"/>
        <v>1</v>
      </c>
      <c r="K1904" s="8" t="b">
        <f t="shared" si="146"/>
        <v>1</v>
      </c>
      <c r="L1904" s="8" t="b">
        <f t="shared" si="147"/>
        <v>1</v>
      </c>
      <c r="M1904" s="8" t="b">
        <f t="shared" si="148"/>
        <v>1</v>
      </c>
      <c r="N1904" s="1" t="b">
        <f t="shared" si="149"/>
        <v>1</v>
      </c>
      <c r="O1904" s="8" t="str">
        <f>IF(F1904="","",IF($F$2=入力リスト!$H$25,ROUNDDOWN(INT(F1904)+ROUNDDOWN((F1904-INT(F1904))*100,0)/60,2),F1904))</f>
        <v/>
      </c>
      <c r="P1904" s="7"/>
      <c r="Q1904" s="7"/>
    </row>
    <row r="1905" spans="1:17">
      <c r="A1905" s="105"/>
      <c r="B1905" s="2"/>
      <c r="C1905" s="3"/>
      <c r="D1905" s="3"/>
      <c r="E1905" s="3"/>
      <c r="F1905" s="8"/>
      <c r="G1905" s="215" t="str">
        <f>IF(AND($B1905="",OR(B1905&lt;&gt;"",C1905&lt;&gt;"",D1905&lt;&gt;"",E1905&lt;&gt;"",F1905&lt;&gt;"")),入力リスト!$K$34,IF($I1905=TRUE,入力リスト!$K$35,IF(J1905=FALSE,"「毎月の固定給与額」","")&amp;IF(AND(J1905=FALSE,OR(K1905=FALSE,L1905=FALSE,M1905=FALSE)),",","")&amp;IF(K1905=FALSE,"「賞与額等」","")&amp;IF(AND(K1905=FALSE,OR(L1905=FALSE,M1905=FALSE)),",","")&amp;IF(L1905=FALSE,"「残業手当」","")&amp;IF(AND(L1905=FALSE,M1905=FALSE),",","")&amp;IF(M1905=FALSE,"「残業時間」","")&amp;IF(OR(J1905=FALSE,K1905=FALSE,L1905=FALSE,M1905=FALSE),入力リスト!$K$36,"")&amp;IF(N1905,"",入力リスト!$K$37)))</f>
        <v/>
      </c>
      <c r="H1905" s="215"/>
      <c r="I1905" s="1" t="b">
        <f>IF(B1905="",FALSE,COUNTIF('従業員情報(給与以外)'!$A$4:$A$1000000,$B1905)=0)</f>
        <v>0</v>
      </c>
      <c r="J1905" s="8" t="b">
        <f t="shared" si="145"/>
        <v>1</v>
      </c>
      <c r="K1905" s="8" t="b">
        <f t="shared" si="146"/>
        <v>1</v>
      </c>
      <c r="L1905" s="8" t="b">
        <f t="shared" si="147"/>
        <v>1</v>
      </c>
      <c r="M1905" s="8" t="b">
        <f t="shared" si="148"/>
        <v>1</v>
      </c>
      <c r="N1905" s="1" t="b">
        <f t="shared" si="149"/>
        <v>1</v>
      </c>
      <c r="O1905" s="8" t="str">
        <f>IF(F1905="","",IF($F$2=入力リスト!$H$25,ROUNDDOWN(INT(F1905)+ROUNDDOWN((F1905-INT(F1905))*100,0)/60,2),F1905))</f>
        <v/>
      </c>
      <c r="P1905" s="7"/>
      <c r="Q1905" s="7"/>
    </row>
    <row r="1906" spans="1:17">
      <c r="A1906" s="105"/>
      <c r="B1906" s="2"/>
      <c r="C1906" s="3"/>
      <c r="D1906" s="3"/>
      <c r="E1906" s="3"/>
      <c r="F1906" s="8"/>
      <c r="G1906" s="215" t="str">
        <f>IF(AND($B1906="",OR(B1906&lt;&gt;"",C1906&lt;&gt;"",D1906&lt;&gt;"",E1906&lt;&gt;"",F1906&lt;&gt;"")),入力リスト!$K$34,IF($I1906=TRUE,入力リスト!$K$35,IF(J1906=FALSE,"「毎月の固定給与額」","")&amp;IF(AND(J1906=FALSE,OR(K1906=FALSE,L1906=FALSE,M1906=FALSE)),",","")&amp;IF(K1906=FALSE,"「賞与額等」","")&amp;IF(AND(K1906=FALSE,OR(L1906=FALSE,M1906=FALSE)),",","")&amp;IF(L1906=FALSE,"「残業手当」","")&amp;IF(AND(L1906=FALSE,M1906=FALSE),",","")&amp;IF(M1906=FALSE,"「残業時間」","")&amp;IF(OR(J1906=FALSE,K1906=FALSE,L1906=FALSE,M1906=FALSE),入力リスト!$K$36,"")&amp;IF(N1906,"",入力リスト!$K$37)))</f>
        <v/>
      </c>
      <c r="H1906" s="215"/>
      <c r="I1906" s="1" t="b">
        <f>IF(B1906="",FALSE,COUNTIF('従業員情報(給与以外)'!$A$4:$A$1000000,$B1906)=0)</f>
        <v>0</v>
      </c>
      <c r="J1906" s="8" t="b">
        <f t="shared" si="145"/>
        <v>1</v>
      </c>
      <c r="K1906" s="8" t="b">
        <f t="shared" si="146"/>
        <v>1</v>
      </c>
      <c r="L1906" s="8" t="b">
        <f t="shared" si="147"/>
        <v>1</v>
      </c>
      <c r="M1906" s="8" t="b">
        <f t="shared" si="148"/>
        <v>1</v>
      </c>
      <c r="N1906" s="1" t="b">
        <f t="shared" si="149"/>
        <v>1</v>
      </c>
      <c r="O1906" s="8" t="str">
        <f>IF(F1906="","",IF($F$2=入力リスト!$H$25,ROUNDDOWN(INT(F1906)+ROUNDDOWN((F1906-INT(F1906))*100,0)/60,2),F1906))</f>
        <v/>
      </c>
      <c r="P1906" s="7"/>
      <c r="Q1906" s="7"/>
    </row>
    <row r="1907" spans="1:17">
      <c r="A1907" s="105"/>
      <c r="B1907" s="2"/>
      <c r="C1907" s="3"/>
      <c r="D1907" s="3"/>
      <c r="E1907" s="3"/>
      <c r="F1907" s="8"/>
      <c r="G1907" s="215" t="str">
        <f>IF(AND($B1907="",OR(B1907&lt;&gt;"",C1907&lt;&gt;"",D1907&lt;&gt;"",E1907&lt;&gt;"",F1907&lt;&gt;"")),入力リスト!$K$34,IF($I1907=TRUE,入力リスト!$K$35,IF(J1907=FALSE,"「毎月の固定給与額」","")&amp;IF(AND(J1907=FALSE,OR(K1907=FALSE,L1907=FALSE,M1907=FALSE)),",","")&amp;IF(K1907=FALSE,"「賞与額等」","")&amp;IF(AND(K1907=FALSE,OR(L1907=FALSE,M1907=FALSE)),",","")&amp;IF(L1907=FALSE,"「残業手当」","")&amp;IF(AND(L1907=FALSE,M1907=FALSE),",","")&amp;IF(M1907=FALSE,"「残業時間」","")&amp;IF(OR(J1907=FALSE,K1907=FALSE,L1907=FALSE,M1907=FALSE),入力リスト!$K$36,"")&amp;IF(N1907,"",入力リスト!$K$37)))</f>
        <v/>
      </c>
      <c r="H1907" s="215"/>
      <c r="I1907" s="1" t="b">
        <f>IF(B1907="",FALSE,COUNTIF('従業員情報(給与以外)'!$A$4:$A$1000000,$B1907)=0)</f>
        <v>0</v>
      </c>
      <c r="J1907" s="8" t="b">
        <f t="shared" si="145"/>
        <v>1</v>
      </c>
      <c r="K1907" s="8" t="b">
        <f t="shared" si="146"/>
        <v>1</v>
      </c>
      <c r="L1907" s="8" t="b">
        <f t="shared" si="147"/>
        <v>1</v>
      </c>
      <c r="M1907" s="8" t="b">
        <f t="shared" si="148"/>
        <v>1</v>
      </c>
      <c r="N1907" s="1" t="b">
        <f t="shared" si="149"/>
        <v>1</v>
      </c>
      <c r="O1907" s="8" t="str">
        <f>IF(F1907="","",IF($F$2=入力リスト!$H$25,ROUNDDOWN(INT(F1907)+ROUNDDOWN((F1907-INT(F1907))*100,0)/60,2),F1907))</f>
        <v/>
      </c>
      <c r="P1907" s="7"/>
      <c r="Q1907" s="7"/>
    </row>
    <row r="1908" spans="1:17">
      <c r="A1908" s="105"/>
      <c r="B1908" s="2"/>
      <c r="C1908" s="3"/>
      <c r="D1908" s="3"/>
      <c r="E1908" s="3"/>
      <c r="F1908" s="8"/>
      <c r="G1908" s="215" t="str">
        <f>IF(AND($B1908="",OR(B1908&lt;&gt;"",C1908&lt;&gt;"",D1908&lt;&gt;"",E1908&lt;&gt;"",F1908&lt;&gt;"")),入力リスト!$K$34,IF($I1908=TRUE,入力リスト!$K$35,IF(J1908=FALSE,"「毎月の固定給与額」","")&amp;IF(AND(J1908=FALSE,OR(K1908=FALSE,L1908=FALSE,M1908=FALSE)),",","")&amp;IF(K1908=FALSE,"「賞与額等」","")&amp;IF(AND(K1908=FALSE,OR(L1908=FALSE,M1908=FALSE)),",","")&amp;IF(L1908=FALSE,"「残業手当」","")&amp;IF(AND(L1908=FALSE,M1908=FALSE),",","")&amp;IF(M1908=FALSE,"「残業時間」","")&amp;IF(OR(J1908=FALSE,K1908=FALSE,L1908=FALSE,M1908=FALSE),入力リスト!$K$36,"")&amp;IF(N1908,"",入力リスト!$K$37)))</f>
        <v/>
      </c>
      <c r="H1908" s="215"/>
      <c r="I1908" s="1" t="b">
        <f>IF(B1908="",FALSE,COUNTIF('従業員情報(給与以外)'!$A$4:$A$1000000,$B1908)=0)</f>
        <v>0</v>
      </c>
      <c r="J1908" s="8" t="b">
        <f t="shared" si="145"/>
        <v>1</v>
      </c>
      <c r="K1908" s="8" t="b">
        <f t="shared" si="146"/>
        <v>1</v>
      </c>
      <c r="L1908" s="8" t="b">
        <f t="shared" si="147"/>
        <v>1</v>
      </c>
      <c r="M1908" s="8" t="b">
        <f t="shared" si="148"/>
        <v>1</v>
      </c>
      <c r="N1908" s="1" t="b">
        <f t="shared" si="149"/>
        <v>1</v>
      </c>
      <c r="O1908" s="8" t="str">
        <f>IF(F1908="","",IF($F$2=入力リスト!$H$25,ROUNDDOWN(INT(F1908)+ROUNDDOWN((F1908-INT(F1908))*100,0)/60,2),F1908))</f>
        <v/>
      </c>
      <c r="P1908" s="7"/>
      <c r="Q1908" s="7"/>
    </row>
    <row r="1909" spans="1:17">
      <c r="A1909" s="105"/>
      <c r="B1909" s="2"/>
      <c r="C1909" s="3"/>
      <c r="D1909" s="3"/>
      <c r="E1909" s="3"/>
      <c r="F1909" s="8"/>
      <c r="G1909" s="215" t="str">
        <f>IF(AND($B1909="",OR(B1909&lt;&gt;"",C1909&lt;&gt;"",D1909&lt;&gt;"",E1909&lt;&gt;"",F1909&lt;&gt;"")),入力リスト!$K$34,IF($I1909=TRUE,入力リスト!$K$35,IF(J1909=FALSE,"「毎月の固定給与額」","")&amp;IF(AND(J1909=FALSE,OR(K1909=FALSE,L1909=FALSE,M1909=FALSE)),",","")&amp;IF(K1909=FALSE,"「賞与額等」","")&amp;IF(AND(K1909=FALSE,OR(L1909=FALSE,M1909=FALSE)),",","")&amp;IF(L1909=FALSE,"「残業手当」","")&amp;IF(AND(L1909=FALSE,M1909=FALSE),",","")&amp;IF(M1909=FALSE,"「残業時間」","")&amp;IF(OR(J1909=FALSE,K1909=FALSE,L1909=FALSE,M1909=FALSE),入力リスト!$K$36,"")&amp;IF(N1909,"",入力リスト!$K$37)))</f>
        <v/>
      </c>
      <c r="H1909" s="215"/>
      <c r="I1909" s="1" t="b">
        <f>IF(B1909="",FALSE,COUNTIF('従業員情報(給与以外)'!$A$4:$A$1000000,$B1909)=0)</f>
        <v>0</v>
      </c>
      <c r="J1909" s="8" t="b">
        <f t="shared" si="145"/>
        <v>1</v>
      </c>
      <c r="K1909" s="8" t="b">
        <f t="shared" si="146"/>
        <v>1</v>
      </c>
      <c r="L1909" s="8" t="b">
        <f t="shared" si="147"/>
        <v>1</v>
      </c>
      <c r="M1909" s="8" t="b">
        <f t="shared" si="148"/>
        <v>1</v>
      </c>
      <c r="N1909" s="1" t="b">
        <f t="shared" si="149"/>
        <v>1</v>
      </c>
      <c r="O1909" s="8" t="str">
        <f>IF(F1909="","",IF($F$2=入力リスト!$H$25,ROUNDDOWN(INT(F1909)+ROUNDDOWN((F1909-INT(F1909))*100,0)/60,2),F1909))</f>
        <v/>
      </c>
      <c r="P1909" s="7"/>
      <c r="Q1909" s="7"/>
    </row>
    <row r="1910" spans="1:17">
      <c r="A1910" s="105"/>
      <c r="B1910" s="2"/>
      <c r="C1910" s="3"/>
      <c r="D1910" s="3"/>
      <c r="E1910" s="3"/>
      <c r="F1910" s="8"/>
      <c r="G1910" s="215" t="str">
        <f>IF(AND($B1910="",OR(B1910&lt;&gt;"",C1910&lt;&gt;"",D1910&lt;&gt;"",E1910&lt;&gt;"",F1910&lt;&gt;"")),入力リスト!$K$34,IF($I1910=TRUE,入力リスト!$K$35,IF(J1910=FALSE,"「毎月の固定給与額」","")&amp;IF(AND(J1910=FALSE,OR(K1910=FALSE,L1910=FALSE,M1910=FALSE)),",","")&amp;IF(K1910=FALSE,"「賞与額等」","")&amp;IF(AND(K1910=FALSE,OR(L1910=FALSE,M1910=FALSE)),",","")&amp;IF(L1910=FALSE,"「残業手当」","")&amp;IF(AND(L1910=FALSE,M1910=FALSE),",","")&amp;IF(M1910=FALSE,"「残業時間」","")&amp;IF(OR(J1910=FALSE,K1910=FALSE,L1910=FALSE,M1910=FALSE),入力リスト!$K$36,"")&amp;IF(N1910,"",入力リスト!$K$37)))</f>
        <v/>
      </c>
      <c r="H1910" s="215"/>
      <c r="I1910" s="1" t="b">
        <f>IF(B1910="",FALSE,COUNTIF('従業員情報(給与以外)'!$A$4:$A$1000000,$B1910)=0)</f>
        <v>0</v>
      </c>
      <c r="J1910" s="8" t="b">
        <f t="shared" si="145"/>
        <v>1</v>
      </c>
      <c r="K1910" s="8" t="b">
        <f t="shared" si="146"/>
        <v>1</v>
      </c>
      <c r="L1910" s="8" t="b">
        <f t="shared" si="147"/>
        <v>1</v>
      </c>
      <c r="M1910" s="8" t="b">
        <f t="shared" si="148"/>
        <v>1</v>
      </c>
      <c r="N1910" s="1" t="b">
        <f t="shared" si="149"/>
        <v>1</v>
      </c>
      <c r="O1910" s="8" t="str">
        <f>IF(F1910="","",IF($F$2=入力リスト!$H$25,ROUNDDOWN(INT(F1910)+ROUNDDOWN((F1910-INT(F1910))*100,0)/60,2),F1910))</f>
        <v/>
      </c>
      <c r="P1910" s="7"/>
      <c r="Q1910" s="7"/>
    </row>
    <row r="1911" spans="1:17">
      <c r="A1911" s="105"/>
      <c r="B1911" s="2"/>
      <c r="C1911" s="3"/>
      <c r="D1911" s="3"/>
      <c r="E1911" s="3"/>
      <c r="F1911" s="8"/>
      <c r="G1911" s="215" t="str">
        <f>IF(AND($B1911="",OR(B1911&lt;&gt;"",C1911&lt;&gt;"",D1911&lt;&gt;"",E1911&lt;&gt;"",F1911&lt;&gt;"")),入力リスト!$K$34,IF($I1911=TRUE,入力リスト!$K$35,IF(J1911=FALSE,"「毎月の固定給与額」","")&amp;IF(AND(J1911=FALSE,OR(K1911=FALSE,L1911=FALSE,M1911=FALSE)),",","")&amp;IF(K1911=FALSE,"「賞与額等」","")&amp;IF(AND(K1911=FALSE,OR(L1911=FALSE,M1911=FALSE)),",","")&amp;IF(L1911=FALSE,"「残業手当」","")&amp;IF(AND(L1911=FALSE,M1911=FALSE),",","")&amp;IF(M1911=FALSE,"「残業時間」","")&amp;IF(OR(J1911=FALSE,K1911=FALSE,L1911=FALSE,M1911=FALSE),入力リスト!$K$36,"")&amp;IF(N1911,"",入力リスト!$K$37)))</f>
        <v/>
      </c>
      <c r="H1911" s="215"/>
      <c r="I1911" s="1" t="b">
        <f>IF(B1911="",FALSE,COUNTIF('従業員情報(給与以外)'!$A$4:$A$1000000,$B1911)=0)</f>
        <v>0</v>
      </c>
      <c r="J1911" s="8" t="b">
        <f t="shared" si="145"/>
        <v>1</v>
      </c>
      <c r="K1911" s="8" t="b">
        <f t="shared" si="146"/>
        <v>1</v>
      </c>
      <c r="L1911" s="8" t="b">
        <f t="shared" si="147"/>
        <v>1</v>
      </c>
      <c r="M1911" s="8" t="b">
        <f t="shared" si="148"/>
        <v>1</v>
      </c>
      <c r="N1911" s="1" t="b">
        <f t="shared" si="149"/>
        <v>1</v>
      </c>
      <c r="O1911" s="8" t="str">
        <f>IF(F1911="","",IF($F$2=入力リスト!$H$25,ROUNDDOWN(INT(F1911)+ROUNDDOWN((F1911-INT(F1911))*100,0)/60,2),F1911))</f>
        <v/>
      </c>
      <c r="P1911" s="7"/>
      <c r="Q1911" s="7"/>
    </row>
    <row r="1912" spans="1:17">
      <c r="A1912" s="105"/>
      <c r="B1912" s="2"/>
      <c r="C1912" s="3"/>
      <c r="D1912" s="3"/>
      <c r="E1912" s="3"/>
      <c r="F1912" s="8"/>
      <c r="G1912" s="215" t="str">
        <f>IF(AND($B1912="",OR(B1912&lt;&gt;"",C1912&lt;&gt;"",D1912&lt;&gt;"",E1912&lt;&gt;"",F1912&lt;&gt;"")),入力リスト!$K$34,IF($I1912=TRUE,入力リスト!$K$35,IF(J1912=FALSE,"「毎月の固定給与額」","")&amp;IF(AND(J1912=FALSE,OR(K1912=FALSE,L1912=FALSE,M1912=FALSE)),",","")&amp;IF(K1912=FALSE,"「賞与額等」","")&amp;IF(AND(K1912=FALSE,OR(L1912=FALSE,M1912=FALSE)),",","")&amp;IF(L1912=FALSE,"「残業手当」","")&amp;IF(AND(L1912=FALSE,M1912=FALSE),",","")&amp;IF(M1912=FALSE,"「残業時間」","")&amp;IF(OR(J1912=FALSE,K1912=FALSE,L1912=FALSE,M1912=FALSE),入力リスト!$K$36,"")&amp;IF(N1912,"",入力リスト!$K$37)))</f>
        <v/>
      </c>
      <c r="H1912" s="215"/>
      <c r="I1912" s="1" t="b">
        <f>IF(B1912="",FALSE,COUNTIF('従業員情報(給与以外)'!$A$4:$A$1000000,$B1912)=0)</f>
        <v>0</v>
      </c>
      <c r="J1912" s="8" t="b">
        <f t="shared" si="145"/>
        <v>1</v>
      </c>
      <c r="K1912" s="8" t="b">
        <f t="shared" si="146"/>
        <v>1</v>
      </c>
      <c r="L1912" s="8" t="b">
        <f t="shared" si="147"/>
        <v>1</v>
      </c>
      <c r="M1912" s="8" t="b">
        <f t="shared" si="148"/>
        <v>1</v>
      </c>
      <c r="N1912" s="1" t="b">
        <f t="shared" si="149"/>
        <v>1</v>
      </c>
      <c r="O1912" s="8" t="str">
        <f>IF(F1912="","",IF($F$2=入力リスト!$H$25,ROUNDDOWN(INT(F1912)+ROUNDDOWN((F1912-INT(F1912))*100,0)/60,2),F1912))</f>
        <v/>
      </c>
      <c r="P1912" s="7"/>
      <c r="Q1912" s="7"/>
    </row>
    <row r="1913" spans="1:17">
      <c r="A1913" s="105"/>
      <c r="B1913" s="2"/>
      <c r="C1913" s="3"/>
      <c r="D1913" s="3"/>
      <c r="E1913" s="3"/>
      <c r="F1913" s="8"/>
      <c r="G1913" s="215" t="str">
        <f>IF(AND($B1913="",OR(B1913&lt;&gt;"",C1913&lt;&gt;"",D1913&lt;&gt;"",E1913&lt;&gt;"",F1913&lt;&gt;"")),入力リスト!$K$34,IF($I1913=TRUE,入力リスト!$K$35,IF(J1913=FALSE,"「毎月の固定給与額」","")&amp;IF(AND(J1913=FALSE,OR(K1913=FALSE,L1913=FALSE,M1913=FALSE)),",","")&amp;IF(K1913=FALSE,"「賞与額等」","")&amp;IF(AND(K1913=FALSE,OR(L1913=FALSE,M1913=FALSE)),",","")&amp;IF(L1913=FALSE,"「残業手当」","")&amp;IF(AND(L1913=FALSE,M1913=FALSE),",","")&amp;IF(M1913=FALSE,"「残業時間」","")&amp;IF(OR(J1913=FALSE,K1913=FALSE,L1913=FALSE,M1913=FALSE),入力リスト!$K$36,"")&amp;IF(N1913,"",入力リスト!$K$37)))</f>
        <v/>
      </c>
      <c r="H1913" s="215"/>
      <c r="I1913" s="1" t="b">
        <f>IF(B1913="",FALSE,COUNTIF('従業員情報(給与以外)'!$A$4:$A$1000000,$B1913)=0)</f>
        <v>0</v>
      </c>
      <c r="J1913" s="8" t="b">
        <f t="shared" si="145"/>
        <v>1</v>
      </c>
      <c r="K1913" s="8" t="b">
        <f t="shared" si="146"/>
        <v>1</v>
      </c>
      <c r="L1913" s="8" t="b">
        <f t="shared" si="147"/>
        <v>1</v>
      </c>
      <c r="M1913" s="8" t="b">
        <f t="shared" si="148"/>
        <v>1</v>
      </c>
      <c r="N1913" s="1" t="b">
        <f t="shared" si="149"/>
        <v>1</v>
      </c>
      <c r="O1913" s="8" t="str">
        <f>IF(F1913="","",IF($F$2=入力リスト!$H$25,ROUNDDOWN(INT(F1913)+ROUNDDOWN((F1913-INT(F1913))*100,0)/60,2),F1913))</f>
        <v/>
      </c>
      <c r="P1913" s="7"/>
      <c r="Q1913" s="7"/>
    </row>
    <row r="1914" spans="1:17">
      <c r="A1914" s="105"/>
      <c r="B1914" s="2"/>
      <c r="C1914" s="3"/>
      <c r="D1914" s="3"/>
      <c r="E1914" s="3"/>
      <c r="F1914" s="8"/>
      <c r="G1914" s="215" t="str">
        <f>IF(AND($B1914="",OR(B1914&lt;&gt;"",C1914&lt;&gt;"",D1914&lt;&gt;"",E1914&lt;&gt;"",F1914&lt;&gt;"")),入力リスト!$K$34,IF($I1914=TRUE,入力リスト!$K$35,IF(J1914=FALSE,"「毎月の固定給与額」","")&amp;IF(AND(J1914=FALSE,OR(K1914=FALSE,L1914=FALSE,M1914=FALSE)),",","")&amp;IF(K1914=FALSE,"「賞与額等」","")&amp;IF(AND(K1914=FALSE,OR(L1914=FALSE,M1914=FALSE)),",","")&amp;IF(L1914=FALSE,"「残業手当」","")&amp;IF(AND(L1914=FALSE,M1914=FALSE),",","")&amp;IF(M1914=FALSE,"「残業時間」","")&amp;IF(OR(J1914=FALSE,K1914=FALSE,L1914=FALSE,M1914=FALSE),入力リスト!$K$36,"")&amp;IF(N1914,"",入力リスト!$K$37)))</f>
        <v/>
      </c>
      <c r="H1914" s="215"/>
      <c r="I1914" s="1" t="b">
        <f>IF(B1914="",FALSE,COUNTIF('従業員情報(給与以外)'!$A$4:$A$1000000,$B1914)=0)</f>
        <v>0</v>
      </c>
      <c r="J1914" s="8" t="b">
        <f t="shared" si="145"/>
        <v>1</v>
      </c>
      <c r="K1914" s="8" t="b">
        <f t="shared" si="146"/>
        <v>1</v>
      </c>
      <c r="L1914" s="8" t="b">
        <f t="shared" si="147"/>
        <v>1</v>
      </c>
      <c r="M1914" s="8" t="b">
        <f t="shared" si="148"/>
        <v>1</v>
      </c>
      <c r="N1914" s="1" t="b">
        <f t="shared" si="149"/>
        <v>1</v>
      </c>
      <c r="O1914" s="8" t="str">
        <f>IF(F1914="","",IF($F$2=入力リスト!$H$25,ROUNDDOWN(INT(F1914)+ROUNDDOWN((F1914-INT(F1914))*100,0)/60,2),F1914))</f>
        <v/>
      </c>
      <c r="P1914" s="7"/>
      <c r="Q1914" s="7"/>
    </row>
    <row r="1915" spans="1:17">
      <c r="A1915" s="105"/>
      <c r="B1915" s="2"/>
      <c r="C1915" s="3"/>
      <c r="D1915" s="3"/>
      <c r="E1915" s="3"/>
      <c r="F1915" s="8"/>
      <c r="G1915" s="215" t="str">
        <f>IF(AND($B1915="",OR(B1915&lt;&gt;"",C1915&lt;&gt;"",D1915&lt;&gt;"",E1915&lt;&gt;"",F1915&lt;&gt;"")),入力リスト!$K$34,IF($I1915=TRUE,入力リスト!$K$35,IF(J1915=FALSE,"「毎月の固定給与額」","")&amp;IF(AND(J1915=FALSE,OR(K1915=FALSE,L1915=FALSE,M1915=FALSE)),",","")&amp;IF(K1915=FALSE,"「賞与額等」","")&amp;IF(AND(K1915=FALSE,OR(L1915=FALSE,M1915=FALSE)),",","")&amp;IF(L1915=FALSE,"「残業手当」","")&amp;IF(AND(L1915=FALSE,M1915=FALSE),",","")&amp;IF(M1915=FALSE,"「残業時間」","")&amp;IF(OR(J1915=FALSE,K1915=FALSE,L1915=FALSE,M1915=FALSE),入力リスト!$K$36,"")&amp;IF(N1915,"",入力リスト!$K$37)))</f>
        <v/>
      </c>
      <c r="H1915" s="215"/>
      <c r="I1915" s="1" t="b">
        <f>IF(B1915="",FALSE,COUNTIF('従業員情報(給与以外)'!$A$4:$A$1000000,$B1915)=0)</f>
        <v>0</v>
      </c>
      <c r="J1915" s="8" t="b">
        <f t="shared" si="145"/>
        <v>1</v>
      </c>
      <c r="K1915" s="8" t="b">
        <f t="shared" si="146"/>
        <v>1</v>
      </c>
      <c r="L1915" s="8" t="b">
        <f t="shared" si="147"/>
        <v>1</v>
      </c>
      <c r="M1915" s="8" t="b">
        <f t="shared" si="148"/>
        <v>1</v>
      </c>
      <c r="N1915" s="1" t="b">
        <f t="shared" si="149"/>
        <v>1</v>
      </c>
      <c r="O1915" s="8" t="str">
        <f>IF(F1915="","",IF($F$2=入力リスト!$H$25,ROUNDDOWN(INT(F1915)+ROUNDDOWN((F1915-INT(F1915))*100,0)/60,2),F1915))</f>
        <v/>
      </c>
      <c r="P1915" s="7"/>
      <c r="Q1915" s="7"/>
    </row>
    <row r="1916" spans="1:17">
      <c r="A1916" s="105"/>
      <c r="B1916" s="2"/>
      <c r="C1916" s="3"/>
      <c r="D1916" s="3"/>
      <c r="E1916" s="3"/>
      <c r="F1916" s="8"/>
      <c r="G1916" s="215" t="str">
        <f>IF(AND($B1916="",OR(B1916&lt;&gt;"",C1916&lt;&gt;"",D1916&lt;&gt;"",E1916&lt;&gt;"",F1916&lt;&gt;"")),入力リスト!$K$34,IF($I1916=TRUE,入力リスト!$K$35,IF(J1916=FALSE,"「毎月の固定給与額」","")&amp;IF(AND(J1916=FALSE,OR(K1916=FALSE,L1916=FALSE,M1916=FALSE)),",","")&amp;IF(K1916=FALSE,"「賞与額等」","")&amp;IF(AND(K1916=FALSE,OR(L1916=FALSE,M1916=FALSE)),",","")&amp;IF(L1916=FALSE,"「残業手当」","")&amp;IF(AND(L1916=FALSE,M1916=FALSE),",","")&amp;IF(M1916=FALSE,"「残業時間」","")&amp;IF(OR(J1916=FALSE,K1916=FALSE,L1916=FALSE,M1916=FALSE),入力リスト!$K$36,"")&amp;IF(N1916,"",入力リスト!$K$37)))</f>
        <v/>
      </c>
      <c r="H1916" s="215"/>
      <c r="I1916" s="1" t="b">
        <f>IF(B1916="",FALSE,COUNTIF('従業員情報(給与以外)'!$A$4:$A$1000000,$B1916)=0)</f>
        <v>0</v>
      </c>
      <c r="J1916" s="8" t="b">
        <f t="shared" si="145"/>
        <v>1</v>
      </c>
      <c r="K1916" s="8" t="b">
        <f t="shared" si="146"/>
        <v>1</v>
      </c>
      <c r="L1916" s="8" t="b">
        <f t="shared" si="147"/>
        <v>1</v>
      </c>
      <c r="M1916" s="8" t="b">
        <f t="shared" si="148"/>
        <v>1</v>
      </c>
      <c r="N1916" s="1" t="b">
        <f t="shared" si="149"/>
        <v>1</v>
      </c>
      <c r="O1916" s="8" t="str">
        <f>IF(F1916="","",IF($F$2=入力リスト!$H$25,ROUNDDOWN(INT(F1916)+ROUNDDOWN((F1916-INT(F1916))*100,0)/60,2),F1916))</f>
        <v/>
      </c>
      <c r="P1916" s="7"/>
      <c r="Q1916" s="7"/>
    </row>
    <row r="1917" spans="1:17">
      <c r="A1917" s="105"/>
      <c r="B1917" s="2"/>
      <c r="C1917" s="3"/>
      <c r="D1917" s="3"/>
      <c r="E1917" s="3"/>
      <c r="F1917" s="8"/>
      <c r="G1917" s="215" t="str">
        <f>IF(AND($B1917="",OR(B1917&lt;&gt;"",C1917&lt;&gt;"",D1917&lt;&gt;"",E1917&lt;&gt;"",F1917&lt;&gt;"")),入力リスト!$K$34,IF($I1917=TRUE,入力リスト!$K$35,IF(J1917=FALSE,"「毎月の固定給与額」","")&amp;IF(AND(J1917=FALSE,OR(K1917=FALSE,L1917=FALSE,M1917=FALSE)),",","")&amp;IF(K1917=FALSE,"「賞与額等」","")&amp;IF(AND(K1917=FALSE,OR(L1917=FALSE,M1917=FALSE)),",","")&amp;IF(L1917=FALSE,"「残業手当」","")&amp;IF(AND(L1917=FALSE,M1917=FALSE),",","")&amp;IF(M1917=FALSE,"「残業時間」","")&amp;IF(OR(J1917=FALSE,K1917=FALSE,L1917=FALSE,M1917=FALSE),入力リスト!$K$36,"")&amp;IF(N1917,"",入力リスト!$K$37)))</f>
        <v/>
      </c>
      <c r="H1917" s="215"/>
      <c r="I1917" s="1" t="b">
        <f>IF(B1917="",FALSE,COUNTIF('従業員情報(給与以外)'!$A$4:$A$1000000,$B1917)=0)</f>
        <v>0</v>
      </c>
      <c r="J1917" s="8" t="b">
        <f t="shared" si="145"/>
        <v>1</v>
      </c>
      <c r="K1917" s="8" t="b">
        <f t="shared" si="146"/>
        <v>1</v>
      </c>
      <c r="L1917" s="8" t="b">
        <f t="shared" si="147"/>
        <v>1</v>
      </c>
      <c r="M1917" s="8" t="b">
        <f t="shared" si="148"/>
        <v>1</v>
      </c>
      <c r="N1917" s="1" t="b">
        <f t="shared" si="149"/>
        <v>1</v>
      </c>
      <c r="O1917" s="8" t="str">
        <f>IF(F1917="","",IF($F$2=入力リスト!$H$25,ROUNDDOWN(INT(F1917)+ROUNDDOWN((F1917-INT(F1917))*100,0)/60,2),F1917))</f>
        <v/>
      </c>
      <c r="P1917" s="7"/>
      <c r="Q1917" s="7"/>
    </row>
    <row r="1918" spans="1:17">
      <c r="A1918" s="105"/>
      <c r="B1918" s="2"/>
      <c r="C1918" s="3"/>
      <c r="D1918" s="3"/>
      <c r="E1918" s="3"/>
      <c r="F1918" s="8"/>
      <c r="G1918" s="215" t="str">
        <f>IF(AND($B1918="",OR(B1918&lt;&gt;"",C1918&lt;&gt;"",D1918&lt;&gt;"",E1918&lt;&gt;"",F1918&lt;&gt;"")),入力リスト!$K$34,IF($I1918=TRUE,入力リスト!$K$35,IF(J1918=FALSE,"「毎月の固定給与額」","")&amp;IF(AND(J1918=FALSE,OR(K1918=FALSE,L1918=FALSE,M1918=FALSE)),",","")&amp;IF(K1918=FALSE,"「賞与額等」","")&amp;IF(AND(K1918=FALSE,OR(L1918=FALSE,M1918=FALSE)),",","")&amp;IF(L1918=FALSE,"「残業手当」","")&amp;IF(AND(L1918=FALSE,M1918=FALSE),",","")&amp;IF(M1918=FALSE,"「残業時間」","")&amp;IF(OR(J1918=FALSE,K1918=FALSE,L1918=FALSE,M1918=FALSE),入力リスト!$K$36,"")&amp;IF(N1918,"",入力リスト!$K$37)))</f>
        <v/>
      </c>
      <c r="H1918" s="215"/>
      <c r="I1918" s="1" t="b">
        <f>IF(B1918="",FALSE,COUNTIF('従業員情報(給与以外)'!$A$4:$A$1000000,$B1918)=0)</f>
        <v>0</v>
      </c>
      <c r="J1918" s="8" t="b">
        <f t="shared" si="145"/>
        <v>1</v>
      </c>
      <c r="K1918" s="8" t="b">
        <f t="shared" si="146"/>
        <v>1</v>
      </c>
      <c r="L1918" s="8" t="b">
        <f t="shared" si="147"/>
        <v>1</v>
      </c>
      <c r="M1918" s="8" t="b">
        <f t="shared" si="148"/>
        <v>1</v>
      </c>
      <c r="N1918" s="1" t="b">
        <f t="shared" si="149"/>
        <v>1</v>
      </c>
      <c r="O1918" s="8" t="str">
        <f>IF(F1918="","",IF($F$2=入力リスト!$H$25,ROUNDDOWN(INT(F1918)+ROUNDDOWN((F1918-INT(F1918))*100,0)/60,2),F1918))</f>
        <v/>
      </c>
      <c r="P1918" s="7"/>
      <c r="Q1918" s="7"/>
    </row>
    <row r="1919" spans="1:17">
      <c r="A1919" s="105"/>
      <c r="B1919" s="2"/>
      <c r="C1919" s="3"/>
      <c r="D1919" s="3"/>
      <c r="E1919" s="3"/>
      <c r="F1919" s="8"/>
      <c r="G1919" s="215" t="str">
        <f>IF(AND($B1919="",OR(B1919&lt;&gt;"",C1919&lt;&gt;"",D1919&lt;&gt;"",E1919&lt;&gt;"",F1919&lt;&gt;"")),入力リスト!$K$34,IF($I1919=TRUE,入力リスト!$K$35,IF(J1919=FALSE,"「毎月の固定給与額」","")&amp;IF(AND(J1919=FALSE,OR(K1919=FALSE,L1919=FALSE,M1919=FALSE)),",","")&amp;IF(K1919=FALSE,"「賞与額等」","")&amp;IF(AND(K1919=FALSE,OR(L1919=FALSE,M1919=FALSE)),",","")&amp;IF(L1919=FALSE,"「残業手当」","")&amp;IF(AND(L1919=FALSE,M1919=FALSE),",","")&amp;IF(M1919=FALSE,"「残業時間」","")&amp;IF(OR(J1919=FALSE,K1919=FALSE,L1919=FALSE,M1919=FALSE),入力リスト!$K$36,"")&amp;IF(N1919,"",入力リスト!$K$37)))</f>
        <v/>
      </c>
      <c r="H1919" s="215"/>
      <c r="I1919" s="1" t="b">
        <f>IF(B1919="",FALSE,COUNTIF('従業員情報(給与以外)'!$A$4:$A$1000000,$B1919)=0)</f>
        <v>0</v>
      </c>
      <c r="J1919" s="8" t="b">
        <f t="shared" si="145"/>
        <v>1</v>
      </c>
      <c r="K1919" s="8" t="b">
        <f t="shared" si="146"/>
        <v>1</v>
      </c>
      <c r="L1919" s="8" t="b">
        <f t="shared" si="147"/>
        <v>1</v>
      </c>
      <c r="M1919" s="8" t="b">
        <f t="shared" si="148"/>
        <v>1</v>
      </c>
      <c r="N1919" s="1" t="b">
        <f t="shared" si="149"/>
        <v>1</v>
      </c>
      <c r="O1919" s="8" t="str">
        <f>IF(F1919="","",IF($F$2=入力リスト!$H$25,ROUNDDOWN(INT(F1919)+ROUNDDOWN((F1919-INT(F1919))*100,0)/60,2),F1919))</f>
        <v/>
      </c>
      <c r="P1919" s="7"/>
      <c r="Q1919" s="7"/>
    </row>
    <row r="1920" spans="1:17">
      <c r="A1920" s="105"/>
      <c r="B1920" s="2"/>
      <c r="C1920" s="3"/>
      <c r="D1920" s="3"/>
      <c r="E1920" s="3"/>
      <c r="F1920" s="8"/>
      <c r="G1920" s="215" t="str">
        <f>IF(AND($B1920="",OR(B1920&lt;&gt;"",C1920&lt;&gt;"",D1920&lt;&gt;"",E1920&lt;&gt;"",F1920&lt;&gt;"")),入力リスト!$K$34,IF($I1920=TRUE,入力リスト!$K$35,IF(J1920=FALSE,"「毎月の固定給与額」","")&amp;IF(AND(J1920=FALSE,OR(K1920=FALSE,L1920=FALSE,M1920=FALSE)),",","")&amp;IF(K1920=FALSE,"「賞与額等」","")&amp;IF(AND(K1920=FALSE,OR(L1920=FALSE,M1920=FALSE)),",","")&amp;IF(L1920=FALSE,"「残業手当」","")&amp;IF(AND(L1920=FALSE,M1920=FALSE),",","")&amp;IF(M1920=FALSE,"「残業時間」","")&amp;IF(OR(J1920=FALSE,K1920=FALSE,L1920=FALSE,M1920=FALSE),入力リスト!$K$36,"")&amp;IF(N1920,"",入力リスト!$K$37)))</f>
        <v/>
      </c>
      <c r="H1920" s="215"/>
      <c r="I1920" s="1" t="b">
        <f>IF(B1920="",FALSE,COUNTIF('従業員情報(給与以外)'!$A$4:$A$1000000,$B1920)=0)</f>
        <v>0</v>
      </c>
      <c r="J1920" s="8" t="b">
        <f t="shared" si="145"/>
        <v>1</v>
      </c>
      <c r="K1920" s="8" t="b">
        <f t="shared" si="146"/>
        <v>1</v>
      </c>
      <c r="L1920" s="8" t="b">
        <f t="shared" si="147"/>
        <v>1</v>
      </c>
      <c r="M1920" s="8" t="b">
        <f t="shared" si="148"/>
        <v>1</v>
      </c>
      <c r="N1920" s="1" t="b">
        <f t="shared" si="149"/>
        <v>1</v>
      </c>
      <c r="O1920" s="8" t="str">
        <f>IF(F1920="","",IF($F$2=入力リスト!$H$25,ROUNDDOWN(INT(F1920)+ROUNDDOWN((F1920-INT(F1920))*100,0)/60,2),F1920))</f>
        <v/>
      </c>
      <c r="P1920" s="7"/>
      <c r="Q1920" s="7"/>
    </row>
    <row r="1921" spans="1:17">
      <c r="A1921" s="105"/>
      <c r="B1921" s="2"/>
      <c r="C1921" s="3"/>
      <c r="D1921" s="3"/>
      <c r="E1921" s="3"/>
      <c r="F1921" s="8"/>
      <c r="G1921" s="215" t="str">
        <f>IF(AND($B1921="",OR(B1921&lt;&gt;"",C1921&lt;&gt;"",D1921&lt;&gt;"",E1921&lt;&gt;"",F1921&lt;&gt;"")),入力リスト!$K$34,IF($I1921=TRUE,入力リスト!$K$35,IF(J1921=FALSE,"「毎月の固定給与額」","")&amp;IF(AND(J1921=FALSE,OR(K1921=FALSE,L1921=FALSE,M1921=FALSE)),",","")&amp;IF(K1921=FALSE,"「賞与額等」","")&amp;IF(AND(K1921=FALSE,OR(L1921=FALSE,M1921=FALSE)),",","")&amp;IF(L1921=FALSE,"「残業手当」","")&amp;IF(AND(L1921=FALSE,M1921=FALSE),",","")&amp;IF(M1921=FALSE,"「残業時間」","")&amp;IF(OR(J1921=FALSE,K1921=FALSE,L1921=FALSE,M1921=FALSE),入力リスト!$K$36,"")&amp;IF(N1921,"",入力リスト!$K$37)))</f>
        <v/>
      </c>
      <c r="H1921" s="215"/>
      <c r="I1921" s="1" t="b">
        <f>IF(B1921="",FALSE,COUNTIF('従業員情報(給与以外)'!$A$4:$A$1000000,$B1921)=0)</f>
        <v>0</v>
      </c>
      <c r="J1921" s="8" t="b">
        <f t="shared" si="145"/>
        <v>1</v>
      </c>
      <c r="K1921" s="8" t="b">
        <f t="shared" si="146"/>
        <v>1</v>
      </c>
      <c r="L1921" s="8" t="b">
        <f t="shared" si="147"/>
        <v>1</v>
      </c>
      <c r="M1921" s="8" t="b">
        <f t="shared" si="148"/>
        <v>1</v>
      </c>
      <c r="N1921" s="1" t="b">
        <f t="shared" si="149"/>
        <v>1</v>
      </c>
      <c r="O1921" s="8" t="str">
        <f>IF(F1921="","",IF($F$2=入力リスト!$H$25,ROUNDDOWN(INT(F1921)+ROUNDDOWN((F1921-INT(F1921))*100,0)/60,2),F1921))</f>
        <v/>
      </c>
      <c r="P1921" s="7"/>
      <c r="Q1921" s="7"/>
    </row>
    <row r="1922" spans="1:17">
      <c r="A1922" s="105"/>
      <c r="B1922" s="2"/>
      <c r="C1922" s="3"/>
      <c r="D1922" s="3"/>
      <c r="E1922" s="3"/>
      <c r="F1922" s="8"/>
      <c r="G1922" s="215" t="str">
        <f>IF(AND($B1922="",OR(B1922&lt;&gt;"",C1922&lt;&gt;"",D1922&lt;&gt;"",E1922&lt;&gt;"",F1922&lt;&gt;"")),入力リスト!$K$34,IF($I1922=TRUE,入力リスト!$K$35,IF(J1922=FALSE,"「毎月の固定給与額」","")&amp;IF(AND(J1922=FALSE,OR(K1922=FALSE,L1922=FALSE,M1922=FALSE)),",","")&amp;IF(K1922=FALSE,"「賞与額等」","")&amp;IF(AND(K1922=FALSE,OR(L1922=FALSE,M1922=FALSE)),",","")&amp;IF(L1922=FALSE,"「残業手当」","")&amp;IF(AND(L1922=FALSE,M1922=FALSE),",","")&amp;IF(M1922=FALSE,"「残業時間」","")&amp;IF(OR(J1922=FALSE,K1922=FALSE,L1922=FALSE,M1922=FALSE),入力リスト!$K$36,"")&amp;IF(N1922,"",入力リスト!$K$37)))</f>
        <v/>
      </c>
      <c r="H1922" s="215"/>
      <c r="I1922" s="1" t="b">
        <f>IF(B1922="",FALSE,COUNTIF('従業員情報(給与以外)'!$A$4:$A$1000000,$B1922)=0)</f>
        <v>0</v>
      </c>
      <c r="J1922" s="8" t="b">
        <f t="shared" si="145"/>
        <v>1</v>
      </c>
      <c r="K1922" s="8" t="b">
        <f t="shared" si="146"/>
        <v>1</v>
      </c>
      <c r="L1922" s="8" t="b">
        <f t="shared" si="147"/>
        <v>1</v>
      </c>
      <c r="M1922" s="8" t="b">
        <f t="shared" si="148"/>
        <v>1</v>
      </c>
      <c r="N1922" s="1" t="b">
        <f t="shared" si="149"/>
        <v>1</v>
      </c>
      <c r="O1922" s="8" t="str">
        <f>IF(F1922="","",IF($F$2=入力リスト!$H$25,ROUNDDOWN(INT(F1922)+ROUNDDOWN((F1922-INT(F1922))*100,0)/60,2),F1922))</f>
        <v/>
      </c>
      <c r="P1922" s="7"/>
      <c r="Q1922" s="7"/>
    </row>
    <row r="1923" spans="1:17">
      <c r="A1923" s="105"/>
      <c r="B1923" s="2"/>
      <c r="C1923" s="3"/>
      <c r="D1923" s="3"/>
      <c r="E1923" s="3"/>
      <c r="F1923" s="8"/>
      <c r="G1923" s="215" t="str">
        <f>IF(AND($B1923="",OR(B1923&lt;&gt;"",C1923&lt;&gt;"",D1923&lt;&gt;"",E1923&lt;&gt;"",F1923&lt;&gt;"")),入力リスト!$K$34,IF($I1923=TRUE,入力リスト!$K$35,IF(J1923=FALSE,"「毎月の固定給与額」","")&amp;IF(AND(J1923=FALSE,OR(K1923=FALSE,L1923=FALSE,M1923=FALSE)),",","")&amp;IF(K1923=FALSE,"「賞与額等」","")&amp;IF(AND(K1923=FALSE,OR(L1923=FALSE,M1923=FALSE)),",","")&amp;IF(L1923=FALSE,"「残業手当」","")&amp;IF(AND(L1923=FALSE,M1923=FALSE),",","")&amp;IF(M1923=FALSE,"「残業時間」","")&amp;IF(OR(J1923=FALSE,K1923=FALSE,L1923=FALSE,M1923=FALSE),入力リスト!$K$36,"")&amp;IF(N1923,"",入力リスト!$K$37)))</f>
        <v/>
      </c>
      <c r="H1923" s="215"/>
      <c r="I1923" s="1" t="b">
        <f>IF(B1923="",FALSE,COUNTIF('従業員情報(給与以外)'!$A$4:$A$1000000,$B1923)=0)</f>
        <v>0</v>
      </c>
      <c r="J1923" s="8" t="b">
        <f t="shared" si="145"/>
        <v>1</v>
      </c>
      <c r="K1923" s="8" t="b">
        <f t="shared" si="146"/>
        <v>1</v>
      </c>
      <c r="L1923" s="8" t="b">
        <f t="shared" si="147"/>
        <v>1</v>
      </c>
      <c r="M1923" s="8" t="b">
        <f t="shared" si="148"/>
        <v>1</v>
      </c>
      <c r="N1923" s="1" t="b">
        <f t="shared" si="149"/>
        <v>1</v>
      </c>
      <c r="O1923" s="8" t="str">
        <f>IF(F1923="","",IF($F$2=入力リスト!$H$25,ROUNDDOWN(INT(F1923)+ROUNDDOWN((F1923-INT(F1923))*100,0)/60,2),F1923))</f>
        <v/>
      </c>
      <c r="P1923" s="7"/>
      <c r="Q1923" s="7"/>
    </row>
    <row r="1924" spans="1:17">
      <c r="A1924" s="105"/>
      <c r="B1924" s="2"/>
      <c r="C1924" s="3"/>
      <c r="D1924" s="3"/>
      <c r="E1924" s="3"/>
      <c r="F1924" s="8"/>
      <c r="G1924" s="215" t="str">
        <f>IF(AND($B1924="",OR(B1924&lt;&gt;"",C1924&lt;&gt;"",D1924&lt;&gt;"",E1924&lt;&gt;"",F1924&lt;&gt;"")),入力リスト!$K$34,IF($I1924=TRUE,入力リスト!$K$35,IF(J1924=FALSE,"「毎月の固定給与額」","")&amp;IF(AND(J1924=FALSE,OR(K1924=FALSE,L1924=FALSE,M1924=FALSE)),",","")&amp;IF(K1924=FALSE,"「賞与額等」","")&amp;IF(AND(K1924=FALSE,OR(L1924=FALSE,M1924=FALSE)),",","")&amp;IF(L1924=FALSE,"「残業手当」","")&amp;IF(AND(L1924=FALSE,M1924=FALSE),",","")&amp;IF(M1924=FALSE,"「残業時間」","")&amp;IF(OR(J1924=FALSE,K1924=FALSE,L1924=FALSE,M1924=FALSE),入力リスト!$K$36,"")&amp;IF(N1924,"",入力リスト!$K$37)))</f>
        <v/>
      </c>
      <c r="H1924" s="215"/>
      <c r="I1924" s="1" t="b">
        <f>IF(B1924="",FALSE,COUNTIF('従業員情報(給与以外)'!$A$4:$A$1000000,$B1924)=0)</f>
        <v>0</v>
      </c>
      <c r="J1924" s="8" t="b">
        <f t="shared" si="145"/>
        <v>1</v>
      </c>
      <c r="K1924" s="8" t="b">
        <f t="shared" si="146"/>
        <v>1</v>
      </c>
      <c r="L1924" s="8" t="b">
        <f t="shared" si="147"/>
        <v>1</v>
      </c>
      <c r="M1924" s="8" t="b">
        <f t="shared" si="148"/>
        <v>1</v>
      </c>
      <c r="N1924" s="1" t="b">
        <f t="shared" si="149"/>
        <v>1</v>
      </c>
      <c r="O1924" s="8" t="str">
        <f>IF(F1924="","",IF($F$2=入力リスト!$H$25,ROUNDDOWN(INT(F1924)+ROUNDDOWN((F1924-INT(F1924))*100,0)/60,2),F1924))</f>
        <v/>
      </c>
      <c r="P1924" s="7"/>
      <c r="Q1924" s="7"/>
    </row>
    <row r="1925" spans="1:17">
      <c r="A1925" s="105"/>
      <c r="B1925" s="2"/>
      <c r="C1925" s="3"/>
      <c r="D1925" s="3"/>
      <c r="E1925" s="3"/>
      <c r="F1925" s="8"/>
      <c r="G1925" s="215" t="str">
        <f>IF(AND($B1925="",OR(B1925&lt;&gt;"",C1925&lt;&gt;"",D1925&lt;&gt;"",E1925&lt;&gt;"",F1925&lt;&gt;"")),入力リスト!$K$34,IF($I1925=TRUE,入力リスト!$K$35,IF(J1925=FALSE,"「毎月の固定給与額」","")&amp;IF(AND(J1925=FALSE,OR(K1925=FALSE,L1925=FALSE,M1925=FALSE)),",","")&amp;IF(K1925=FALSE,"「賞与額等」","")&amp;IF(AND(K1925=FALSE,OR(L1925=FALSE,M1925=FALSE)),",","")&amp;IF(L1925=FALSE,"「残業手当」","")&amp;IF(AND(L1925=FALSE,M1925=FALSE),",","")&amp;IF(M1925=FALSE,"「残業時間」","")&amp;IF(OR(J1925=FALSE,K1925=FALSE,L1925=FALSE,M1925=FALSE),入力リスト!$K$36,"")&amp;IF(N1925,"",入力リスト!$K$37)))</f>
        <v/>
      </c>
      <c r="H1925" s="215"/>
      <c r="I1925" s="1" t="b">
        <f>IF(B1925="",FALSE,COUNTIF('従業員情報(給与以外)'!$A$4:$A$1000000,$B1925)=0)</f>
        <v>0</v>
      </c>
      <c r="J1925" s="8" t="b">
        <f t="shared" ref="J1925:J1988" si="150">OR(C1925="",ISNUMBER(C1925))</f>
        <v>1</v>
      </c>
      <c r="K1925" s="8" t="b">
        <f t="shared" ref="K1925:K1988" si="151">OR(D1925="",ISNUMBER(D1925))</f>
        <v>1</v>
      </c>
      <c r="L1925" s="8" t="b">
        <f t="shared" ref="L1925:L1988" si="152">OR(E1925="",ISNUMBER(E1925))</f>
        <v>1</v>
      </c>
      <c r="M1925" s="8" t="b">
        <f t="shared" ref="M1925:M1988" si="153">OR(F1925="",ISNUMBER(F1925))</f>
        <v>1</v>
      </c>
      <c r="N1925" s="1" t="b">
        <f t="shared" ref="N1925:N1988" si="154">IF($N$1,TRUE,IF($N$2,IF(F1925-INT(F1925)&lt;0.6,TRUE,FALSE),TRUE))</f>
        <v>1</v>
      </c>
      <c r="O1925" s="8" t="str">
        <f>IF(F1925="","",IF($F$2=入力リスト!$H$25,ROUNDDOWN(INT(F1925)+ROUNDDOWN((F1925-INT(F1925))*100,0)/60,2),F1925))</f>
        <v/>
      </c>
      <c r="P1925" s="7"/>
      <c r="Q1925" s="7"/>
    </row>
    <row r="1926" spans="1:17">
      <c r="A1926" s="105"/>
      <c r="B1926" s="2"/>
      <c r="C1926" s="3"/>
      <c r="D1926" s="3"/>
      <c r="E1926" s="3"/>
      <c r="F1926" s="8"/>
      <c r="G1926" s="215" t="str">
        <f>IF(AND($B1926="",OR(B1926&lt;&gt;"",C1926&lt;&gt;"",D1926&lt;&gt;"",E1926&lt;&gt;"",F1926&lt;&gt;"")),入力リスト!$K$34,IF($I1926=TRUE,入力リスト!$K$35,IF(J1926=FALSE,"「毎月の固定給与額」","")&amp;IF(AND(J1926=FALSE,OR(K1926=FALSE,L1926=FALSE,M1926=FALSE)),",","")&amp;IF(K1926=FALSE,"「賞与額等」","")&amp;IF(AND(K1926=FALSE,OR(L1926=FALSE,M1926=FALSE)),",","")&amp;IF(L1926=FALSE,"「残業手当」","")&amp;IF(AND(L1926=FALSE,M1926=FALSE),",","")&amp;IF(M1926=FALSE,"「残業時間」","")&amp;IF(OR(J1926=FALSE,K1926=FALSE,L1926=FALSE,M1926=FALSE),入力リスト!$K$36,"")&amp;IF(N1926,"",入力リスト!$K$37)))</f>
        <v/>
      </c>
      <c r="H1926" s="215"/>
      <c r="I1926" s="1" t="b">
        <f>IF(B1926="",FALSE,COUNTIF('従業員情報(給与以外)'!$A$4:$A$1000000,$B1926)=0)</f>
        <v>0</v>
      </c>
      <c r="J1926" s="8" t="b">
        <f t="shared" si="150"/>
        <v>1</v>
      </c>
      <c r="K1926" s="8" t="b">
        <f t="shared" si="151"/>
        <v>1</v>
      </c>
      <c r="L1926" s="8" t="b">
        <f t="shared" si="152"/>
        <v>1</v>
      </c>
      <c r="M1926" s="8" t="b">
        <f t="shared" si="153"/>
        <v>1</v>
      </c>
      <c r="N1926" s="1" t="b">
        <f t="shared" si="154"/>
        <v>1</v>
      </c>
      <c r="O1926" s="8" t="str">
        <f>IF(F1926="","",IF($F$2=入力リスト!$H$25,ROUNDDOWN(INT(F1926)+ROUNDDOWN((F1926-INT(F1926))*100,0)/60,2),F1926))</f>
        <v/>
      </c>
      <c r="P1926" s="7"/>
      <c r="Q1926" s="7"/>
    </row>
    <row r="1927" spans="1:17">
      <c r="A1927" s="105"/>
      <c r="B1927" s="2"/>
      <c r="C1927" s="3"/>
      <c r="D1927" s="3"/>
      <c r="E1927" s="3"/>
      <c r="F1927" s="8"/>
      <c r="G1927" s="215" t="str">
        <f>IF(AND($B1927="",OR(B1927&lt;&gt;"",C1927&lt;&gt;"",D1927&lt;&gt;"",E1927&lt;&gt;"",F1927&lt;&gt;"")),入力リスト!$K$34,IF($I1927=TRUE,入力リスト!$K$35,IF(J1927=FALSE,"「毎月の固定給与額」","")&amp;IF(AND(J1927=FALSE,OR(K1927=FALSE,L1927=FALSE,M1927=FALSE)),",","")&amp;IF(K1927=FALSE,"「賞与額等」","")&amp;IF(AND(K1927=FALSE,OR(L1927=FALSE,M1927=FALSE)),",","")&amp;IF(L1927=FALSE,"「残業手当」","")&amp;IF(AND(L1927=FALSE,M1927=FALSE),",","")&amp;IF(M1927=FALSE,"「残業時間」","")&amp;IF(OR(J1927=FALSE,K1927=FALSE,L1927=FALSE,M1927=FALSE),入力リスト!$K$36,"")&amp;IF(N1927,"",入力リスト!$K$37)))</f>
        <v/>
      </c>
      <c r="H1927" s="215"/>
      <c r="I1927" s="1" t="b">
        <f>IF(B1927="",FALSE,COUNTIF('従業員情報(給与以外)'!$A$4:$A$1000000,$B1927)=0)</f>
        <v>0</v>
      </c>
      <c r="J1927" s="8" t="b">
        <f t="shared" si="150"/>
        <v>1</v>
      </c>
      <c r="K1927" s="8" t="b">
        <f t="shared" si="151"/>
        <v>1</v>
      </c>
      <c r="L1927" s="8" t="b">
        <f t="shared" si="152"/>
        <v>1</v>
      </c>
      <c r="M1927" s="8" t="b">
        <f t="shared" si="153"/>
        <v>1</v>
      </c>
      <c r="N1927" s="1" t="b">
        <f t="shared" si="154"/>
        <v>1</v>
      </c>
      <c r="O1927" s="8" t="str">
        <f>IF(F1927="","",IF($F$2=入力リスト!$H$25,ROUNDDOWN(INT(F1927)+ROUNDDOWN((F1927-INT(F1927))*100,0)/60,2),F1927))</f>
        <v/>
      </c>
      <c r="P1927" s="7"/>
      <c r="Q1927" s="7"/>
    </row>
    <row r="1928" spans="1:17">
      <c r="A1928" s="105"/>
      <c r="B1928" s="2"/>
      <c r="C1928" s="3"/>
      <c r="D1928" s="3"/>
      <c r="E1928" s="3"/>
      <c r="F1928" s="8"/>
      <c r="G1928" s="215" t="str">
        <f>IF(AND($B1928="",OR(B1928&lt;&gt;"",C1928&lt;&gt;"",D1928&lt;&gt;"",E1928&lt;&gt;"",F1928&lt;&gt;"")),入力リスト!$K$34,IF($I1928=TRUE,入力リスト!$K$35,IF(J1928=FALSE,"「毎月の固定給与額」","")&amp;IF(AND(J1928=FALSE,OR(K1928=FALSE,L1928=FALSE,M1928=FALSE)),",","")&amp;IF(K1928=FALSE,"「賞与額等」","")&amp;IF(AND(K1928=FALSE,OR(L1928=FALSE,M1928=FALSE)),",","")&amp;IF(L1928=FALSE,"「残業手当」","")&amp;IF(AND(L1928=FALSE,M1928=FALSE),",","")&amp;IF(M1928=FALSE,"「残業時間」","")&amp;IF(OR(J1928=FALSE,K1928=FALSE,L1928=FALSE,M1928=FALSE),入力リスト!$K$36,"")&amp;IF(N1928,"",入力リスト!$K$37)))</f>
        <v/>
      </c>
      <c r="H1928" s="215"/>
      <c r="I1928" s="1" t="b">
        <f>IF(B1928="",FALSE,COUNTIF('従業員情報(給与以外)'!$A$4:$A$1000000,$B1928)=0)</f>
        <v>0</v>
      </c>
      <c r="J1928" s="8" t="b">
        <f t="shared" si="150"/>
        <v>1</v>
      </c>
      <c r="K1928" s="8" t="b">
        <f t="shared" si="151"/>
        <v>1</v>
      </c>
      <c r="L1928" s="8" t="b">
        <f t="shared" si="152"/>
        <v>1</v>
      </c>
      <c r="M1928" s="8" t="b">
        <f t="shared" si="153"/>
        <v>1</v>
      </c>
      <c r="N1928" s="1" t="b">
        <f t="shared" si="154"/>
        <v>1</v>
      </c>
      <c r="O1928" s="8" t="str">
        <f>IF(F1928="","",IF($F$2=入力リスト!$H$25,ROUNDDOWN(INT(F1928)+ROUNDDOWN((F1928-INT(F1928))*100,0)/60,2),F1928))</f>
        <v/>
      </c>
      <c r="P1928" s="7"/>
      <c r="Q1928" s="7"/>
    </row>
    <row r="1929" spans="1:17">
      <c r="A1929" s="105"/>
      <c r="B1929" s="2"/>
      <c r="C1929" s="3"/>
      <c r="D1929" s="3"/>
      <c r="E1929" s="3"/>
      <c r="F1929" s="8"/>
      <c r="G1929" s="215" t="str">
        <f>IF(AND($B1929="",OR(B1929&lt;&gt;"",C1929&lt;&gt;"",D1929&lt;&gt;"",E1929&lt;&gt;"",F1929&lt;&gt;"")),入力リスト!$K$34,IF($I1929=TRUE,入力リスト!$K$35,IF(J1929=FALSE,"「毎月の固定給与額」","")&amp;IF(AND(J1929=FALSE,OR(K1929=FALSE,L1929=FALSE,M1929=FALSE)),",","")&amp;IF(K1929=FALSE,"「賞与額等」","")&amp;IF(AND(K1929=FALSE,OR(L1929=FALSE,M1929=FALSE)),",","")&amp;IF(L1929=FALSE,"「残業手当」","")&amp;IF(AND(L1929=FALSE,M1929=FALSE),",","")&amp;IF(M1929=FALSE,"「残業時間」","")&amp;IF(OR(J1929=FALSE,K1929=FALSE,L1929=FALSE,M1929=FALSE),入力リスト!$K$36,"")&amp;IF(N1929,"",入力リスト!$K$37)))</f>
        <v/>
      </c>
      <c r="H1929" s="215"/>
      <c r="I1929" s="1" t="b">
        <f>IF(B1929="",FALSE,COUNTIF('従業員情報(給与以外)'!$A$4:$A$1000000,$B1929)=0)</f>
        <v>0</v>
      </c>
      <c r="J1929" s="8" t="b">
        <f t="shared" si="150"/>
        <v>1</v>
      </c>
      <c r="K1929" s="8" t="b">
        <f t="shared" si="151"/>
        <v>1</v>
      </c>
      <c r="L1929" s="8" t="b">
        <f t="shared" si="152"/>
        <v>1</v>
      </c>
      <c r="M1929" s="8" t="b">
        <f t="shared" si="153"/>
        <v>1</v>
      </c>
      <c r="N1929" s="1" t="b">
        <f t="shared" si="154"/>
        <v>1</v>
      </c>
      <c r="O1929" s="8" t="str">
        <f>IF(F1929="","",IF($F$2=入力リスト!$H$25,ROUNDDOWN(INT(F1929)+ROUNDDOWN((F1929-INT(F1929))*100,0)/60,2),F1929))</f>
        <v/>
      </c>
      <c r="P1929" s="7"/>
      <c r="Q1929" s="7"/>
    </row>
    <row r="1930" spans="1:17">
      <c r="A1930" s="105"/>
      <c r="B1930" s="2"/>
      <c r="C1930" s="3"/>
      <c r="D1930" s="3"/>
      <c r="E1930" s="3"/>
      <c r="F1930" s="8"/>
      <c r="G1930" s="215" t="str">
        <f>IF(AND($B1930="",OR(B1930&lt;&gt;"",C1930&lt;&gt;"",D1930&lt;&gt;"",E1930&lt;&gt;"",F1930&lt;&gt;"")),入力リスト!$K$34,IF($I1930=TRUE,入力リスト!$K$35,IF(J1930=FALSE,"「毎月の固定給与額」","")&amp;IF(AND(J1930=FALSE,OR(K1930=FALSE,L1930=FALSE,M1930=FALSE)),",","")&amp;IF(K1930=FALSE,"「賞与額等」","")&amp;IF(AND(K1930=FALSE,OR(L1930=FALSE,M1930=FALSE)),",","")&amp;IF(L1930=FALSE,"「残業手当」","")&amp;IF(AND(L1930=FALSE,M1930=FALSE),",","")&amp;IF(M1930=FALSE,"「残業時間」","")&amp;IF(OR(J1930=FALSE,K1930=FALSE,L1930=FALSE,M1930=FALSE),入力リスト!$K$36,"")&amp;IF(N1930,"",入力リスト!$K$37)))</f>
        <v/>
      </c>
      <c r="H1930" s="215"/>
      <c r="I1930" s="1" t="b">
        <f>IF(B1930="",FALSE,COUNTIF('従業員情報(給与以外)'!$A$4:$A$1000000,$B1930)=0)</f>
        <v>0</v>
      </c>
      <c r="J1930" s="8" t="b">
        <f t="shared" si="150"/>
        <v>1</v>
      </c>
      <c r="K1930" s="8" t="b">
        <f t="shared" si="151"/>
        <v>1</v>
      </c>
      <c r="L1930" s="8" t="b">
        <f t="shared" si="152"/>
        <v>1</v>
      </c>
      <c r="M1930" s="8" t="b">
        <f t="shared" si="153"/>
        <v>1</v>
      </c>
      <c r="N1930" s="1" t="b">
        <f t="shared" si="154"/>
        <v>1</v>
      </c>
      <c r="O1930" s="8" t="str">
        <f>IF(F1930="","",IF($F$2=入力リスト!$H$25,ROUNDDOWN(INT(F1930)+ROUNDDOWN((F1930-INT(F1930))*100,0)/60,2),F1930))</f>
        <v/>
      </c>
      <c r="P1930" s="7"/>
      <c r="Q1930" s="7"/>
    </row>
    <row r="1931" spans="1:17">
      <c r="A1931" s="105"/>
      <c r="B1931" s="2"/>
      <c r="C1931" s="3"/>
      <c r="D1931" s="3"/>
      <c r="E1931" s="3"/>
      <c r="F1931" s="8"/>
      <c r="G1931" s="215" t="str">
        <f>IF(AND($B1931="",OR(B1931&lt;&gt;"",C1931&lt;&gt;"",D1931&lt;&gt;"",E1931&lt;&gt;"",F1931&lt;&gt;"")),入力リスト!$K$34,IF($I1931=TRUE,入力リスト!$K$35,IF(J1931=FALSE,"「毎月の固定給与額」","")&amp;IF(AND(J1931=FALSE,OR(K1931=FALSE,L1931=FALSE,M1931=FALSE)),",","")&amp;IF(K1931=FALSE,"「賞与額等」","")&amp;IF(AND(K1931=FALSE,OR(L1931=FALSE,M1931=FALSE)),",","")&amp;IF(L1931=FALSE,"「残業手当」","")&amp;IF(AND(L1931=FALSE,M1931=FALSE),",","")&amp;IF(M1931=FALSE,"「残業時間」","")&amp;IF(OR(J1931=FALSE,K1931=FALSE,L1931=FALSE,M1931=FALSE),入力リスト!$K$36,"")&amp;IF(N1931,"",入力リスト!$K$37)))</f>
        <v/>
      </c>
      <c r="H1931" s="215"/>
      <c r="I1931" s="1" t="b">
        <f>IF(B1931="",FALSE,COUNTIF('従業員情報(給与以外)'!$A$4:$A$1000000,$B1931)=0)</f>
        <v>0</v>
      </c>
      <c r="J1931" s="8" t="b">
        <f t="shared" si="150"/>
        <v>1</v>
      </c>
      <c r="K1931" s="8" t="b">
        <f t="shared" si="151"/>
        <v>1</v>
      </c>
      <c r="L1931" s="8" t="b">
        <f t="shared" si="152"/>
        <v>1</v>
      </c>
      <c r="M1931" s="8" t="b">
        <f t="shared" si="153"/>
        <v>1</v>
      </c>
      <c r="N1931" s="1" t="b">
        <f t="shared" si="154"/>
        <v>1</v>
      </c>
      <c r="O1931" s="8" t="str">
        <f>IF(F1931="","",IF($F$2=入力リスト!$H$25,ROUNDDOWN(INT(F1931)+ROUNDDOWN((F1931-INT(F1931))*100,0)/60,2),F1931))</f>
        <v/>
      </c>
      <c r="P1931" s="7"/>
      <c r="Q1931" s="7"/>
    </row>
    <row r="1932" spans="1:17">
      <c r="A1932" s="105"/>
      <c r="B1932" s="2"/>
      <c r="C1932" s="3"/>
      <c r="D1932" s="3"/>
      <c r="E1932" s="3"/>
      <c r="F1932" s="8"/>
      <c r="G1932" s="215" t="str">
        <f>IF(AND($B1932="",OR(B1932&lt;&gt;"",C1932&lt;&gt;"",D1932&lt;&gt;"",E1932&lt;&gt;"",F1932&lt;&gt;"")),入力リスト!$K$34,IF($I1932=TRUE,入力リスト!$K$35,IF(J1932=FALSE,"「毎月の固定給与額」","")&amp;IF(AND(J1932=FALSE,OR(K1932=FALSE,L1932=FALSE,M1932=FALSE)),",","")&amp;IF(K1932=FALSE,"「賞与額等」","")&amp;IF(AND(K1932=FALSE,OR(L1932=FALSE,M1932=FALSE)),",","")&amp;IF(L1932=FALSE,"「残業手当」","")&amp;IF(AND(L1932=FALSE,M1932=FALSE),",","")&amp;IF(M1932=FALSE,"「残業時間」","")&amp;IF(OR(J1932=FALSE,K1932=FALSE,L1932=FALSE,M1932=FALSE),入力リスト!$K$36,"")&amp;IF(N1932,"",入力リスト!$K$37)))</f>
        <v/>
      </c>
      <c r="H1932" s="215"/>
      <c r="I1932" s="1" t="b">
        <f>IF(B1932="",FALSE,COUNTIF('従業員情報(給与以外)'!$A$4:$A$1000000,$B1932)=0)</f>
        <v>0</v>
      </c>
      <c r="J1932" s="8" t="b">
        <f t="shared" si="150"/>
        <v>1</v>
      </c>
      <c r="K1932" s="8" t="b">
        <f t="shared" si="151"/>
        <v>1</v>
      </c>
      <c r="L1932" s="8" t="b">
        <f t="shared" si="152"/>
        <v>1</v>
      </c>
      <c r="M1932" s="8" t="b">
        <f t="shared" si="153"/>
        <v>1</v>
      </c>
      <c r="N1932" s="1" t="b">
        <f t="shared" si="154"/>
        <v>1</v>
      </c>
      <c r="O1932" s="8" t="str">
        <f>IF(F1932="","",IF($F$2=入力リスト!$H$25,ROUNDDOWN(INT(F1932)+ROUNDDOWN((F1932-INT(F1932))*100,0)/60,2),F1932))</f>
        <v/>
      </c>
      <c r="P1932" s="7"/>
      <c r="Q1932" s="7"/>
    </row>
    <row r="1933" spans="1:17">
      <c r="A1933" s="105"/>
      <c r="B1933" s="2"/>
      <c r="C1933" s="3"/>
      <c r="D1933" s="3"/>
      <c r="E1933" s="3"/>
      <c r="F1933" s="8"/>
      <c r="G1933" s="215" t="str">
        <f>IF(AND($B1933="",OR(B1933&lt;&gt;"",C1933&lt;&gt;"",D1933&lt;&gt;"",E1933&lt;&gt;"",F1933&lt;&gt;"")),入力リスト!$K$34,IF($I1933=TRUE,入力リスト!$K$35,IF(J1933=FALSE,"「毎月の固定給与額」","")&amp;IF(AND(J1933=FALSE,OR(K1933=FALSE,L1933=FALSE,M1933=FALSE)),",","")&amp;IF(K1933=FALSE,"「賞与額等」","")&amp;IF(AND(K1933=FALSE,OR(L1933=FALSE,M1933=FALSE)),",","")&amp;IF(L1933=FALSE,"「残業手当」","")&amp;IF(AND(L1933=FALSE,M1933=FALSE),",","")&amp;IF(M1933=FALSE,"「残業時間」","")&amp;IF(OR(J1933=FALSE,K1933=FALSE,L1933=FALSE,M1933=FALSE),入力リスト!$K$36,"")&amp;IF(N1933,"",入力リスト!$K$37)))</f>
        <v/>
      </c>
      <c r="H1933" s="215"/>
      <c r="I1933" s="1" t="b">
        <f>IF(B1933="",FALSE,COUNTIF('従業員情報(給与以外)'!$A$4:$A$1000000,$B1933)=0)</f>
        <v>0</v>
      </c>
      <c r="J1933" s="8" t="b">
        <f t="shared" si="150"/>
        <v>1</v>
      </c>
      <c r="K1933" s="8" t="b">
        <f t="shared" si="151"/>
        <v>1</v>
      </c>
      <c r="L1933" s="8" t="b">
        <f t="shared" si="152"/>
        <v>1</v>
      </c>
      <c r="M1933" s="8" t="b">
        <f t="shared" si="153"/>
        <v>1</v>
      </c>
      <c r="N1933" s="1" t="b">
        <f t="shared" si="154"/>
        <v>1</v>
      </c>
      <c r="O1933" s="8" t="str">
        <f>IF(F1933="","",IF($F$2=入力リスト!$H$25,ROUNDDOWN(INT(F1933)+ROUNDDOWN((F1933-INT(F1933))*100,0)/60,2),F1933))</f>
        <v/>
      </c>
      <c r="P1933" s="7"/>
      <c r="Q1933" s="7"/>
    </row>
    <row r="1934" spans="1:17">
      <c r="A1934" s="105"/>
      <c r="B1934" s="2"/>
      <c r="C1934" s="3"/>
      <c r="D1934" s="3"/>
      <c r="E1934" s="3"/>
      <c r="F1934" s="8"/>
      <c r="G1934" s="215" t="str">
        <f>IF(AND($B1934="",OR(B1934&lt;&gt;"",C1934&lt;&gt;"",D1934&lt;&gt;"",E1934&lt;&gt;"",F1934&lt;&gt;"")),入力リスト!$K$34,IF($I1934=TRUE,入力リスト!$K$35,IF(J1934=FALSE,"「毎月の固定給与額」","")&amp;IF(AND(J1934=FALSE,OR(K1934=FALSE,L1934=FALSE,M1934=FALSE)),",","")&amp;IF(K1934=FALSE,"「賞与額等」","")&amp;IF(AND(K1934=FALSE,OR(L1934=FALSE,M1934=FALSE)),",","")&amp;IF(L1934=FALSE,"「残業手当」","")&amp;IF(AND(L1934=FALSE,M1934=FALSE),",","")&amp;IF(M1934=FALSE,"「残業時間」","")&amp;IF(OR(J1934=FALSE,K1934=FALSE,L1934=FALSE,M1934=FALSE),入力リスト!$K$36,"")&amp;IF(N1934,"",入力リスト!$K$37)))</f>
        <v/>
      </c>
      <c r="H1934" s="215"/>
      <c r="I1934" s="1" t="b">
        <f>IF(B1934="",FALSE,COUNTIF('従業員情報(給与以外)'!$A$4:$A$1000000,$B1934)=0)</f>
        <v>0</v>
      </c>
      <c r="J1934" s="8" t="b">
        <f t="shared" si="150"/>
        <v>1</v>
      </c>
      <c r="K1934" s="8" t="b">
        <f t="shared" si="151"/>
        <v>1</v>
      </c>
      <c r="L1934" s="8" t="b">
        <f t="shared" si="152"/>
        <v>1</v>
      </c>
      <c r="M1934" s="8" t="b">
        <f t="shared" si="153"/>
        <v>1</v>
      </c>
      <c r="N1934" s="1" t="b">
        <f t="shared" si="154"/>
        <v>1</v>
      </c>
      <c r="O1934" s="8" t="str">
        <f>IF(F1934="","",IF($F$2=入力リスト!$H$25,ROUNDDOWN(INT(F1934)+ROUNDDOWN((F1934-INT(F1934))*100,0)/60,2),F1934))</f>
        <v/>
      </c>
      <c r="P1934" s="7"/>
      <c r="Q1934" s="7"/>
    </row>
    <row r="1935" spans="1:17">
      <c r="A1935" s="105"/>
      <c r="B1935" s="2"/>
      <c r="C1935" s="3"/>
      <c r="D1935" s="3"/>
      <c r="E1935" s="3"/>
      <c r="F1935" s="8"/>
      <c r="G1935" s="215" t="str">
        <f>IF(AND($B1935="",OR(B1935&lt;&gt;"",C1935&lt;&gt;"",D1935&lt;&gt;"",E1935&lt;&gt;"",F1935&lt;&gt;"")),入力リスト!$K$34,IF($I1935=TRUE,入力リスト!$K$35,IF(J1935=FALSE,"「毎月の固定給与額」","")&amp;IF(AND(J1935=FALSE,OR(K1935=FALSE,L1935=FALSE,M1935=FALSE)),",","")&amp;IF(K1935=FALSE,"「賞与額等」","")&amp;IF(AND(K1935=FALSE,OR(L1935=FALSE,M1935=FALSE)),",","")&amp;IF(L1935=FALSE,"「残業手当」","")&amp;IF(AND(L1935=FALSE,M1935=FALSE),",","")&amp;IF(M1935=FALSE,"「残業時間」","")&amp;IF(OR(J1935=FALSE,K1935=FALSE,L1935=FALSE,M1935=FALSE),入力リスト!$K$36,"")&amp;IF(N1935,"",入力リスト!$K$37)))</f>
        <v/>
      </c>
      <c r="H1935" s="215"/>
      <c r="I1935" s="1" t="b">
        <f>IF(B1935="",FALSE,COUNTIF('従業員情報(給与以外)'!$A$4:$A$1000000,$B1935)=0)</f>
        <v>0</v>
      </c>
      <c r="J1935" s="8" t="b">
        <f t="shared" si="150"/>
        <v>1</v>
      </c>
      <c r="K1935" s="8" t="b">
        <f t="shared" si="151"/>
        <v>1</v>
      </c>
      <c r="L1935" s="8" t="b">
        <f t="shared" si="152"/>
        <v>1</v>
      </c>
      <c r="M1935" s="8" t="b">
        <f t="shared" si="153"/>
        <v>1</v>
      </c>
      <c r="N1935" s="1" t="b">
        <f t="shared" si="154"/>
        <v>1</v>
      </c>
      <c r="O1935" s="8" t="str">
        <f>IF(F1935="","",IF($F$2=入力リスト!$H$25,ROUNDDOWN(INT(F1935)+ROUNDDOWN((F1935-INT(F1935))*100,0)/60,2),F1935))</f>
        <v/>
      </c>
      <c r="P1935" s="7"/>
      <c r="Q1935" s="7"/>
    </row>
    <row r="1936" spans="1:17">
      <c r="A1936" s="105"/>
      <c r="B1936" s="2"/>
      <c r="C1936" s="3"/>
      <c r="D1936" s="3"/>
      <c r="E1936" s="3"/>
      <c r="F1936" s="8"/>
      <c r="G1936" s="215" t="str">
        <f>IF(AND($B1936="",OR(B1936&lt;&gt;"",C1936&lt;&gt;"",D1936&lt;&gt;"",E1936&lt;&gt;"",F1936&lt;&gt;"")),入力リスト!$K$34,IF($I1936=TRUE,入力リスト!$K$35,IF(J1936=FALSE,"「毎月の固定給与額」","")&amp;IF(AND(J1936=FALSE,OR(K1936=FALSE,L1936=FALSE,M1936=FALSE)),",","")&amp;IF(K1936=FALSE,"「賞与額等」","")&amp;IF(AND(K1936=FALSE,OR(L1936=FALSE,M1936=FALSE)),",","")&amp;IF(L1936=FALSE,"「残業手当」","")&amp;IF(AND(L1936=FALSE,M1936=FALSE),",","")&amp;IF(M1936=FALSE,"「残業時間」","")&amp;IF(OR(J1936=FALSE,K1936=FALSE,L1936=FALSE,M1936=FALSE),入力リスト!$K$36,"")&amp;IF(N1936,"",入力リスト!$K$37)))</f>
        <v/>
      </c>
      <c r="H1936" s="215"/>
      <c r="I1936" s="1" t="b">
        <f>IF(B1936="",FALSE,COUNTIF('従業員情報(給与以外)'!$A$4:$A$1000000,$B1936)=0)</f>
        <v>0</v>
      </c>
      <c r="J1936" s="8" t="b">
        <f t="shared" si="150"/>
        <v>1</v>
      </c>
      <c r="K1936" s="8" t="b">
        <f t="shared" si="151"/>
        <v>1</v>
      </c>
      <c r="L1936" s="8" t="b">
        <f t="shared" si="152"/>
        <v>1</v>
      </c>
      <c r="M1936" s="8" t="b">
        <f t="shared" si="153"/>
        <v>1</v>
      </c>
      <c r="N1936" s="1" t="b">
        <f t="shared" si="154"/>
        <v>1</v>
      </c>
      <c r="O1936" s="8" t="str">
        <f>IF(F1936="","",IF($F$2=入力リスト!$H$25,ROUNDDOWN(INT(F1936)+ROUNDDOWN((F1936-INT(F1936))*100,0)/60,2),F1936))</f>
        <v/>
      </c>
      <c r="P1936" s="7"/>
      <c r="Q1936" s="7"/>
    </row>
    <row r="1937" spans="1:17">
      <c r="A1937" s="105"/>
      <c r="B1937" s="2"/>
      <c r="C1937" s="3"/>
      <c r="D1937" s="3"/>
      <c r="E1937" s="3"/>
      <c r="F1937" s="8"/>
      <c r="G1937" s="215" t="str">
        <f>IF(AND($B1937="",OR(B1937&lt;&gt;"",C1937&lt;&gt;"",D1937&lt;&gt;"",E1937&lt;&gt;"",F1937&lt;&gt;"")),入力リスト!$K$34,IF($I1937=TRUE,入力リスト!$K$35,IF(J1937=FALSE,"「毎月の固定給与額」","")&amp;IF(AND(J1937=FALSE,OR(K1937=FALSE,L1937=FALSE,M1937=FALSE)),",","")&amp;IF(K1937=FALSE,"「賞与額等」","")&amp;IF(AND(K1937=FALSE,OR(L1937=FALSE,M1937=FALSE)),",","")&amp;IF(L1937=FALSE,"「残業手当」","")&amp;IF(AND(L1937=FALSE,M1937=FALSE),",","")&amp;IF(M1937=FALSE,"「残業時間」","")&amp;IF(OR(J1937=FALSE,K1937=FALSE,L1937=FALSE,M1937=FALSE),入力リスト!$K$36,"")&amp;IF(N1937,"",入力リスト!$K$37)))</f>
        <v/>
      </c>
      <c r="H1937" s="215"/>
      <c r="I1937" s="1" t="b">
        <f>IF(B1937="",FALSE,COUNTIF('従業員情報(給与以外)'!$A$4:$A$1000000,$B1937)=0)</f>
        <v>0</v>
      </c>
      <c r="J1937" s="8" t="b">
        <f t="shared" si="150"/>
        <v>1</v>
      </c>
      <c r="K1937" s="8" t="b">
        <f t="shared" si="151"/>
        <v>1</v>
      </c>
      <c r="L1937" s="8" t="b">
        <f t="shared" si="152"/>
        <v>1</v>
      </c>
      <c r="M1937" s="8" t="b">
        <f t="shared" si="153"/>
        <v>1</v>
      </c>
      <c r="N1937" s="1" t="b">
        <f t="shared" si="154"/>
        <v>1</v>
      </c>
      <c r="O1937" s="8" t="str">
        <f>IF(F1937="","",IF($F$2=入力リスト!$H$25,ROUNDDOWN(INT(F1937)+ROUNDDOWN((F1937-INT(F1937))*100,0)/60,2),F1937))</f>
        <v/>
      </c>
      <c r="P1937" s="7"/>
      <c r="Q1937" s="7"/>
    </row>
    <row r="1938" spans="1:17">
      <c r="A1938" s="105"/>
      <c r="B1938" s="2"/>
      <c r="C1938" s="3"/>
      <c r="D1938" s="3"/>
      <c r="E1938" s="3"/>
      <c r="F1938" s="8"/>
      <c r="G1938" s="215" t="str">
        <f>IF(AND($B1938="",OR(B1938&lt;&gt;"",C1938&lt;&gt;"",D1938&lt;&gt;"",E1938&lt;&gt;"",F1938&lt;&gt;"")),入力リスト!$K$34,IF($I1938=TRUE,入力リスト!$K$35,IF(J1938=FALSE,"「毎月の固定給与額」","")&amp;IF(AND(J1938=FALSE,OR(K1938=FALSE,L1938=FALSE,M1938=FALSE)),",","")&amp;IF(K1938=FALSE,"「賞与額等」","")&amp;IF(AND(K1938=FALSE,OR(L1938=FALSE,M1938=FALSE)),",","")&amp;IF(L1938=FALSE,"「残業手当」","")&amp;IF(AND(L1938=FALSE,M1938=FALSE),",","")&amp;IF(M1938=FALSE,"「残業時間」","")&amp;IF(OR(J1938=FALSE,K1938=FALSE,L1938=FALSE,M1938=FALSE),入力リスト!$K$36,"")&amp;IF(N1938,"",入力リスト!$K$37)))</f>
        <v/>
      </c>
      <c r="H1938" s="215"/>
      <c r="I1938" s="1" t="b">
        <f>IF(B1938="",FALSE,COUNTIF('従業員情報(給与以外)'!$A$4:$A$1000000,$B1938)=0)</f>
        <v>0</v>
      </c>
      <c r="J1938" s="8" t="b">
        <f t="shared" si="150"/>
        <v>1</v>
      </c>
      <c r="K1938" s="8" t="b">
        <f t="shared" si="151"/>
        <v>1</v>
      </c>
      <c r="L1938" s="8" t="b">
        <f t="shared" si="152"/>
        <v>1</v>
      </c>
      <c r="M1938" s="8" t="b">
        <f t="shared" si="153"/>
        <v>1</v>
      </c>
      <c r="N1938" s="1" t="b">
        <f t="shared" si="154"/>
        <v>1</v>
      </c>
      <c r="O1938" s="8" t="str">
        <f>IF(F1938="","",IF($F$2=入力リスト!$H$25,ROUNDDOWN(INT(F1938)+ROUNDDOWN((F1938-INT(F1938))*100,0)/60,2),F1938))</f>
        <v/>
      </c>
      <c r="P1938" s="7"/>
      <c r="Q1938" s="7"/>
    </row>
    <row r="1939" spans="1:17">
      <c r="A1939" s="105"/>
      <c r="B1939" s="2"/>
      <c r="C1939" s="3"/>
      <c r="D1939" s="3"/>
      <c r="E1939" s="3"/>
      <c r="F1939" s="8"/>
      <c r="G1939" s="215" t="str">
        <f>IF(AND($B1939="",OR(B1939&lt;&gt;"",C1939&lt;&gt;"",D1939&lt;&gt;"",E1939&lt;&gt;"",F1939&lt;&gt;"")),入力リスト!$K$34,IF($I1939=TRUE,入力リスト!$K$35,IF(J1939=FALSE,"「毎月の固定給与額」","")&amp;IF(AND(J1939=FALSE,OR(K1939=FALSE,L1939=FALSE,M1939=FALSE)),",","")&amp;IF(K1939=FALSE,"「賞与額等」","")&amp;IF(AND(K1939=FALSE,OR(L1939=FALSE,M1939=FALSE)),",","")&amp;IF(L1939=FALSE,"「残業手当」","")&amp;IF(AND(L1939=FALSE,M1939=FALSE),",","")&amp;IF(M1939=FALSE,"「残業時間」","")&amp;IF(OR(J1939=FALSE,K1939=FALSE,L1939=FALSE,M1939=FALSE),入力リスト!$K$36,"")&amp;IF(N1939,"",入力リスト!$K$37)))</f>
        <v/>
      </c>
      <c r="H1939" s="215"/>
      <c r="I1939" s="1" t="b">
        <f>IF(B1939="",FALSE,COUNTIF('従業員情報(給与以外)'!$A$4:$A$1000000,$B1939)=0)</f>
        <v>0</v>
      </c>
      <c r="J1939" s="8" t="b">
        <f t="shared" si="150"/>
        <v>1</v>
      </c>
      <c r="K1939" s="8" t="b">
        <f t="shared" si="151"/>
        <v>1</v>
      </c>
      <c r="L1939" s="8" t="b">
        <f t="shared" si="152"/>
        <v>1</v>
      </c>
      <c r="M1939" s="8" t="b">
        <f t="shared" si="153"/>
        <v>1</v>
      </c>
      <c r="N1939" s="1" t="b">
        <f t="shared" si="154"/>
        <v>1</v>
      </c>
      <c r="O1939" s="8" t="str">
        <f>IF(F1939="","",IF($F$2=入力リスト!$H$25,ROUNDDOWN(INT(F1939)+ROUNDDOWN((F1939-INT(F1939))*100,0)/60,2),F1939))</f>
        <v/>
      </c>
      <c r="P1939" s="7"/>
      <c r="Q1939" s="7"/>
    </row>
    <row r="1940" spans="1:17">
      <c r="A1940" s="105"/>
      <c r="B1940" s="2"/>
      <c r="C1940" s="3"/>
      <c r="D1940" s="3"/>
      <c r="E1940" s="3"/>
      <c r="F1940" s="8"/>
      <c r="G1940" s="215" t="str">
        <f>IF(AND($B1940="",OR(B1940&lt;&gt;"",C1940&lt;&gt;"",D1940&lt;&gt;"",E1940&lt;&gt;"",F1940&lt;&gt;"")),入力リスト!$K$34,IF($I1940=TRUE,入力リスト!$K$35,IF(J1940=FALSE,"「毎月の固定給与額」","")&amp;IF(AND(J1940=FALSE,OR(K1940=FALSE,L1940=FALSE,M1940=FALSE)),",","")&amp;IF(K1940=FALSE,"「賞与額等」","")&amp;IF(AND(K1940=FALSE,OR(L1940=FALSE,M1940=FALSE)),",","")&amp;IF(L1940=FALSE,"「残業手当」","")&amp;IF(AND(L1940=FALSE,M1940=FALSE),",","")&amp;IF(M1940=FALSE,"「残業時間」","")&amp;IF(OR(J1940=FALSE,K1940=FALSE,L1940=FALSE,M1940=FALSE),入力リスト!$K$36,"")&amp;IF(N1940,"",入力リスト!$K$37)))</f>
        <v/>
      </c>
      <c r="H1940" s="215"/>
      <c r="I1940" s="1" t="b">
        <f>IF(B1940="",FALSE,COUNTIF('従業員情報(給与以外)'!$A$4:$A$1000000,$B1940)=0)</f>
        <v>0</v>
      </c>
      <c r="J1940" s="8" t="b">
        <f t="shared" si="150"/>
        <v>1</v>
      </c>
      <c r="K1940" s="8" t="b">
        <f t="shared" si="151"/>
        <v>1</v>
      </c>
      <c r="L1940" s="8" t="b">
        <f t="shared" si="152"/>
        <v>1</v>
      </c>
      <c r="M1940" s="8" t="b">
        <f t="shared" si="153"/>
        <v>1</v>
      </c>
      <c r="N1940" s="1" t="b">
        <f t="shared" si="154"/>
        <v>1</v>
      </c>
      <c r="O1940" s="8" t="str">
        <f>IF(F1940="","",IF($F$2=入力リスト!$H$25,ROUNDDOWN(INT(F1940)+ROUNDDOWN((F1940-INT(F1940))*100,0)/60,2),F1940))</f>
        <v/>
      </c>
      <c r="P1940" s="7"/>
      <c r="Q1940" s="7"/>
    </row>
    <row r="1941" spans="1:17">
      <c r="A1941" s="105"/>
      <c r="B1941" s="2"/>
      <c r="C1941" s="3"/>
      <c r="D1941" s="3"/>
      <c r="E1941" s="3"/>
      <c r="F1941" s="8"/>
      <c r="G1941" s="215" t="str">
        <f>IF(AND($B1941="",OR(B1941&lt;&gt;"",C1941&lt;&gt;"",D1941&lt;&gt;"",E1941&lt;&gt;"",F1941&lt;&gt;"")),入力リスト!$K$34,IF($I1941=TRUE,入力リスト!$K$35,IF(J1941=FALSE,"「毎月の固定給与額」","")&amp;IF(AND(J1941=FALSE,OR(K1941=FALSE,L1941=FALSE,M1941=FALSE)),",","")&amp;IF(K1941=FALSE,"「賞与額等」","")&amp;IF(AND(K1941=FALSE,OR(L1941=FALSE,M1941=FALSE)),",","")&amp;IF(L1941=FALSE,"「残業手当」","")&amp;IF(AND(L1941=FALSE,M1941=FALSE),",","")&amp;IF(M1941=FALSE,"「残業時間」","")&amp;IF(OR(J1941=FALSE,K1941=FALSE,L1941=FALSE,M1941=FALSE),入力リスト!$K$36,"")&amp;IF(N1941,"",入力リスト!$K$37)))</f>
        <v/>
      </c>
      <c r="H1941" s="215"/>
      <c r="I1941" s="1" t="b">
        <f>IF(B1941="",FALSE,COUNTIF('従業員情報(給与以外)'!$A$4:$A$1000000,$B1941)=0)</f>
        <v>0</v>
      </c>
      <c r="J1941" s="8" t="b">
        <f t="shared" si="150"/>
        <v>1</v>
      </c>
      <c r="K1941" s="8" t="b">
        <f t="shared" si="151"/>
        <v>1</v>
      </c>
      <c r="L1941" s="8" t="b">
        <f t="shared" si="152"/>
        <v>1</v>
      </c>
      <c r="M1941" s="8" t="b">
        <f t="shared" si="153"/>
        <v>1</v>
      </c>
      <c r="N1941" s="1" t="b">
        <f t="shared" si="154"/>
        <v>1</v>
      </c>
      <c r="O1941" s="8" t="str">
        <f>IF(F1941="","",IF($F$2=入力リスト!$H$25,ROUNDDOWN(INT(F1941)+ROUNDDOWN((F1941-INT(F1941))*100,0)/60,2),F1941))</f>
        <v/>
      </c>
      <c r="P1941" s="7"/>
      <c r="Q1941" s="7"/>
    </row>
    <row r="1942" spans="1:17">
      <c r="A1942" s="105"/>
      <c r="B1942" s="2"/>
      <c r="C1942" s="3"/>
      <c r="D1942" s="3"/>
      <c r="E1942" s="3"/>
      <c r="F1942" s="8"/>
      <c r="G1942" s="215" t="str">
        <f>IF(AND($B1942="",OR(B1942&lt;&gt;"",C1942&lt;&gt;"",D1942&lt;&gt;"",E1942&lt;&gt;"",F1942&lt;&gt;"")),入力リスト!$K$34,IF($I1942=TRUE,入力リスト!$K$35,IF(J1942=FALSE,"「毎月の固定給与額」","")&amp;IF(AND(J1942=FALSE,OR(K1942=FALSE,L1942=FALSE,M1942=FALSE)),",","")&amp;IF(K1942=FALSE,"「賞与額等」","")&amp;IF(AND(K1942=FALSE,OR(L1942=FALSE,M1942=FALSE)),",","")&amp;IF(L1942=FALSE,"「残業手当」","")&amp;IF(AND(L1942=FALSE,M1942=FALSE),",","")&amp;IF(M1942=FALSE,"「残業時間」","")&amp;IF(OR(J1942=FALSE,K1942=FALSE,L1942=FALSE,M1942=FALSE),入力リスト!$K$36,"")&amp;IF(N1942,"",入力リスト!$K$37)))</f>
        <v/>
      </c>
      <c r="H1942" s="215"/>
      <c r="I1942" s="1" t="b">
        <f>IF(B1942="",FALSE,COUNTIF('従業員情報(給与以外)'!$A$4:$A$1000000,$B1942)=0)</f>
        <v>0</v>
      </c>
      <c r="J1942" s="8" t="b">
        <f t="shared" si="150"/>
        <v>1</v>
      </c>
      <c r="K1942" s="8" t="b">
        <f t="shared" si="151"/>
        <v>1</v>
      </c>
      <c r="L1942" s="8" t="b">
        <f t="shared" si="152"/>
        <v>1</v>
      </c>
      <c r="M1942" s="8" t="b">
        <f t="shared" si="153"/>
        <v>1</v>
      </c>
      <c r="N1942" s="1" t="b">
        <f t="shared" si="154"/>
        <v>1</v>
      </c>
      <c r="O1942" s="8" t="str">
        <f>IF(F1942="","",IF($F$2=入力リスト!$H$25,ROUNDDOWN(INT(F1942)+ROUNDDOWN((F1942-INT(F1942))*100,0)/60,2),F1942))</f>
        <v/>
      </c>
      <c r="P1942" s="7"/>
      <c r="Q1942" s="7"/>
    </row>
    <row r="1943" spans="1:17">
      <c r="A1943" s="105"/>
      <c r="B1943" s="2"/>
      <c r="C1943" s="3"/>
      <c r="D1943" s="3"/>
      <c r="E1943" s="3"/>
      <c r="F1943" s="8"/>
      <c r="G1943" s="215" t="str">
        <f>IF(AND($B1943="",OR(B1943&lt;&gt;"",C1943&lt;&gt;"",D1943&lt;&gt;"",E1943&lt;&gt;"",F1943&lt;&gt;"")),入力リスト!$K$34,IF($I1943=TRUE,入力リスト!$K$35,IF(J1943=FALSE,"「毎月の固定給与額」","")&amp;IF(AND(J1943=FALSE,OR(K1943=FALSE,L1943=FALSE,M1943=FALSE)),",","")&amp;IF(K1943=FALSE,"「賞与額等」","")&amp;IF(AND(K1943=FALSE,OR(L1943=FALSE,M1943=FALSE)),",","")&amp;IF(L1943=FALSE,"「残業手当」","")&amp;IF(AND(L1943=FALSE,M1943=FALSE),",","")&amp;IF(M1943=FALSE,"「残業時間」","")&amp;IF(OR(J1943=FALSE,K1943=FALSE,L1943=FALSE,M1943=FALSE),入力リスト!$K$36,"")&amp;IF(N1943,"",入力リスト!$K$37)))</f>
        <v/>
      </c>
      <c r="H1943" s="215"/>
      <c r="I1943" s="1" t="b">
        <f>IF(B1943="",FALSE,COUNTIF('従業員情報(給与以外)'!$A$4:$A$1000000,$B1943)=0)</f>
        <v>0</v>
      </c>
      <c r="J1943" s="8" t="b">
        <f t="shared" si="150"/>
        <v>1</v>
      </c>
      <c r="K1943" s="8" t="b">
        <f t="shared" si="151"/>
        <v>1</v>
      </c>
      <c r="L1943" s="8" t="b">
        <f t="shared" si="152"/>
        <v>1</v>
      </c>
      <c r="M1943" s="8" t="b">
        <f t="shared" si="153"/>
        <v>1</v>
      </c>
      <c r="N1943" s="1" t="b">
        <f t="shared" si="154"/>
        <v>1</v>
      </c>
      <c r="O1943" s="8" t="str">
        <f>IF(F1943="","",IF($F$2=入力リスト!$H$25,ROUNDDOWN(INT(F1943)+ROUNDDOWN((F1943-INT(F1943))*100,0)/60,2),F1943))</f>
        <v/>
      </c>
      <c r="P1943" s="7"/>
      <c r="Q1943" s="7"/>
    </row>
    <row r="1944" spans="1:17">
      <c r="A1944" s="105"/>
      <c r="B1944" s="2"/>
      <c r="C1944" s="3"/>
      <c r="D1944" s="3"/>
      <c r="E1944" s="3"/>
      <c r="F1944" s="8"/>
      <c r="G1944" s="215" t="str">
        <f>IF(AND($B1944="",OR(B1944&lt;&gt;"",C1944&lt;&gt;"",D1944&lt;&gt;"",E1944&lt;&gt;"",F1944&lt;&gt;"")),入力リスト!$K$34,IF($I1944=TRUE,入力リスト!$K$35,IF(J1944=FALSE,"「毎月の固定給与額」","")&amp;IF(AND(J1944=FALSE,OR(K1944=FALSE,L1944=FALSE,M1944=FALSE)),",","")&amp;IF(K1944=FALSE,"「賞与額等」","")&amp;IF(AND(K1944=FALSE,OR(L1944=FALSE,M1944=FALSE)),",","")&amp;IF(L1944=FALSE,"「残業手当」","")&amp;IF(AND(L1944=FALSE,M1944=FALSE),",","")&amp;IF(M1944=FALSE,"「残業時間」","")&amp;IF(OR(J1944=FALSE,K1944=FALSE,L1944=FALSE,M1944=FALSE),入力リスト!$K$36,"")&amp;IF(N1944,"",入力リスト!$K$37)))</f>
        <v/>
      </c>
      <c r="H1944" s="215"/>
      <c r="I1944" s="1" t="b">
        <f>IF(B1944="",FALSE,COUNTIF('従業員情報(給与以外)'!$A$4:$A$1000000,$B1944)=0)</f>
        <v>0</v>
      </c>
      <c r="J1944" s="8" t="b">
        <f t="shared" si="150"/>
        <v>1</v>
      </c>
      <c r="K1944" s="8" t="b">
        <f t="shared" si="151"/>
        <v>1</v>
      </c>
      <c r="L1944" s="8" t="b">
        <f t="shared" si="152"/>
        <v>1</v>
      </c>
      <c r="M1944" s="8" t="b">
        <f t="shared" si="153"/>
        <v>1</v>
      </c>
      <c r="N1944" s="1" t="b">
        <f t="shared" si="154"/>
        <v>1</v>
      </c>
      <c r="O1944" s="8" t="str">
        <f>IF(F1944="","",IF($F$2=入力リスト!$H$25,ROUNDDOWN(INT(F1944)+ROUNDDOWN((F1944-INT(F1944))*100,0)/60,2),F1944))</f>
        <v/>
      </c>
      <c r="P1944" s="7"/>
      <c r="Q1944" s="7"/>
    </row>
    <row r="1945" spans="1:17">
      <c r="A1945" s="105"/>
      <c r="B1945" s="2"/>
      <c r="C1945" s="3"/>
      <c r="D1945" s="3"/>
      <c r="E1945" s="3"/>
      <c r="F1945" s="8"/>
      <c r="G1945" s="215" t="str">
        <f>IF(AND($B1945="",OR(B1945&lt;&gt;"",C1945&lt;&gt;"",D1945&lt;&gt;"",E1945&lt;&gt;"",F1945&lt;&gt;"")),入力リスト!$K$34,IF($I1945=TRUE,入力リスト!$K$35,IF(J1945=FALSE,"「毎月の固定給与額」","")&amp;IF(AND(J1945=FALSE,OR(K1945=FALSE,L1945=FALSE,M1945=FALSE)),",","")&amp;IF(K1945=FALSE,"「賞与額等」","")&amp;IF(AND(K1945=FALSE,OR(L1945=FALSE,M1945=FALSE)),",","")&amp;IF(L1945=FALSE,"「残業手当」","")&amp;IF(AND(L1945=FALSE,M1945=FALSE),",","")&amp;IF(M1945=FALSE,"「残業時間」","")&amp;IF(OR(J1945=FALSE,K1945=FALSE,L1945=FALSE,M1945=FALSE),入力リスト!$K$36,"")&amp;IF(N1945,"",入力リスト!$K$37)))</f>
        <v/>
      </c>
      <c r="H1945" s="215"/>
      <c r="I1945" s="1" t="b">
        <f>IF(B1945="",FALSE,COUNTIF('従業員情報(給与以外)'!$A$4:$A$1000000,$B1945)=0)</f>
        <v>0</v>
      </c>
      <c r="J1945" s="8" t="b">
        <f t="shared" si="150"/>
        <v>1</v>
      </c>
      <c r="K1945" s="8" t="b">
        <f t="shared" si="151"/>
        <v>1</v>
      </c>
      <c r="L1945" s="8" t="b">
        <f t="shared" si="152"/>
        <v>1</v>
      </c>
      <c r="M1945" s="8" t="b">
        <f t="shared" si="153"/>
        <v>1</v>
      </c>
      <c r="N1945" s="1" t="b">
        <f t="shared" si="154"/>
        <v>1</v>
      </c>
      <c r="O1945" s="8" t="str">
        <f>IF(F1945="","",IF($F$2=入力リスト!$H$25,ROUNDDOWN(INT(F1945)+ROUNDDOWN((F1945-INT(F1945))*100,0)/60,2),F1945))</f>
        <v/>
      </c>
      <c r="P1945" s="7"/>
      <c r="Q1945" s="7"/>
    </row>
    <row r="1946" spans="1:17">
      <c r="A1946" s="105"/>
      <c r="B1946" s="2"/>
      <c r="C1946" s="3"/>
      <c r="D1946" s="3"/>
      <c r="E1946" s="3"/>
      <c r="F1946" s="8"/>
      <c r="G1946" s="215" t="str">
        <f>IF(AND($B1946="",OR(B1946&lt;&gt;"",C1946&lt;&gt;"",D1946&lt;&gt;"",E1946&lt;&gt;"",F1946&lt;&gt;"")),入力リスト!$K$34,IF($I1946=TRUE,入力リスト!$K$35,IF(J1946=FALSE,"「毎月の固定給与額」","")&amp;IF(AND(J1946=FALSE,OR(K1946=FALSE,L1946=FALSE,M1946=FALSE)),",","")&amp;IF(K1946=FALSE,"「賞与額等」","")&amp;IF(AND(K1946=FALSE,OR(L1946=FALSE,M1946=FALSE)),",","")&amp;IF(L1946=FALSE,"「残業手当」","")&amp;IF(AND(L1946=FALSE,M1946=FALSE),",","")&amp;IF(M1946=FALSE,"「残業時間」","")&amp;IF(OR(J1946=FALSE,K1946=FALSE,L1946=FALSE,M1946=FALSE),入力リスト!$K$36,"")&amp;IF(N1946,"",入力リスト!$K$37)))</f>
        <v/>
      </c>
      <c r="H1946" s="215"/>
      <c r="I1946" s="1" t="b">
        <f>IF(B1946="",FALSE,COUNTIF('従業員情報(給与以外)'!$A$4:$A$1000000,$B1946)=0)</f>
        <v>0</v>
      </c>
      <c r="J1946" s="8" t="b">
        <f t="shared" si="150"/>
        <v>1</v>
      </c>
      <c r="K1946" s="8" t="b">
        <f t="shared" si="151"/>
        <v>1</v>
      </c>
      <c r="L1946" s="8" t="b">
        <f t="shared" si="152"/>
        <v>1</v>
      </c>
      <c r="M1946" s="8" t="b">
        <f t="shared" si="153"/>
        <v>1</v>
      </c>
      <c r="N1946" s="1" t="b">
        <f t="shared" si="154"/>
        <v>1</v>
      </c>
      <c r="O1946" s="8" t="str">
        <f>IF(F1946="","",IF($F$2=入力リスト!$H$25,ROUNDDOWN(INT(F1946)+ROUNDDOWN((F1946-INT(F1946))*100,0)/60,2),F1946))</f>
        <v/>
      </c>
      <c r="P1946" s="7"/>
      <c r="Q1946" s="7"/>
    </row>
    <row r="1947" spans="1:17">
      <c r="A1947" s="105"/>
      <c r="B1947" s="2"/>
      <c r="C1947" s="3"/>
      <c r="D1947" s="3"/>
      <c r="E1947" s="3"/>
      <c r="F1947" s="8"/>
      <c r="G1947" s="215" t="str">
        <f>IF(AND($B1947="",OR(B1947&lt;&gt;"",C1947&lt;&gt;"",D1947&lt;&gt;"",E1947&lt;&gt;"",F1947&lt;&gt;"")),入力リスト!$K$34,IF($I1947=TRUE,入力リスト!$K$35,IF(J1947=FALSE,"「毎月の固定給与額」","")&amp;IF(AND(J1947=FALSE,OR(K1947=FALSE,L1947=FALSE,M1947=FALSE)),",","")&amp;IF(K1947=FALSE,"「賞与額等」","")&amp;IF(AND(K1947=FALSE,OR(L1947=FALSE,M1947=FALSE)),",","")&amp;IF(L1947=FALSE,"「残業手当」","")&amp;IF(AND(L1947=FALSE,M1947=FALSE),",","")&amp;IF(M1947=FALSE,"「残業時間」","")&amp;IF(OR(J1947=FALSE,K1947=FALSE,L1947=FALSE,M1947=FALSE),入力リスト!$K$36,"")&amp;IF(N1947,"",入力リスト!$K$37)))</f>
        <v/>
      </c>
      <c r="H1947" s="215"/>
      <c r="I1947" s="1" t="b">
        <f>IF(B1947="",FALSE,COUNTIF('従業員情報(給与以外)'!$A$4:$A$1000000,$B1947)=0)</f>
        <v>0</v>
      </c>
      <c r="J1947" s="8" t="b">
        <f t="shared" si="150"/>
        <v>1</v>
      </c>
      <c r="K1947" s="8" t="b">
        <f t="shared" si="151"/>
        <v>1</v>
      </c>
      <c r="L1947" s="8" t="b">
        <f t="shared" si="152"/>
        <v>1</v>
      </c>
      <c r="M1947" s="8" t="b">
        <f t="shared" si="153"/>
        <v>1</v>
      </c>
      <c r="N1947" s="1" t="b">
        <f t="shared" si="154"/>
        <v>1</v>
      </c>
      <c r="O1947" s="8" t="str">
        <f>IF(F1947="","",IF($F$2=入力リスト!$H$25,ROUNDDOWN(INT(F1947)+ROUNDDOWN((F1947-INT(F1947))*100,0)/60,2),F1947))</f>
        <v/>
      </c>
      <c r="P1947" s="7"/>
      <c r="Q1947" s="7"/>
    </row>
    <row r="1948" spans="1:17">
      <c r="A1948" s="105"/>
      <c r="B1948" s="2"/>
      <c r="C1948" s="3"/>
      <c r="D1948" s="3"/>
      <c r="E1948" s="3"/>
      <c r="F1948" s="8"/>
      <c r="G1948" s="215" t="str">
        <f>IF(AND($B1948="",OR(B1948&lt;&gt;"",C1948&lt;&gt;"",D1948&lt;&gt;"",E1948&lt;&gt;"",F1948&lt;&gt;"")),入力リスト!$K$34,IF($I1948=TRUE,入力リスト!$K$35,IF(J1948=FALSE,"「毎月の固定給与額」","")&amp;IF(AND(J1948=FALSE,OR(K1948=FALSE,L1948=FALSE,M1948=FALSE)),",","")&amp;IF(K1948=FALSE,"「賞与額等」","")&amp;IF(AND(K1948=FALSE,OR(L1948=FALSE,M1948=FALSE)),",","")&amp;IF(L1948=FALSE,"「残業手当」","")&amp;IF(AND(L1948=FALSE,M1948=FALSE),",","")&amp;IF(M1948=FALSE,"「残業時間」","")&amp;IF(OR(J1948=FALSE,K1948=FALSE,L1948=FALSE,M1948=FALSE),入力リスト!$K$36,"")&amp;IF(N1948,"",入力リスト!$K$37)))</f>
        <v/>
      </c>
      <c r="H1948" s="215"/>
      <c r="I1948" s="1" t="b">
        <f>IF(B1948="",FALSE,COUNTIF('従業員情報(給与以外)'!$A$4:$A$1000000,$B1948)=0)</f>
        <v>0</v>
      </c>
      <c r="J1948" s="8" t="b">
        <f t="shared" si="150"/>
        <v>1</v>
      </c>
      <c r="K1948" s="8" t="b">
        <f t="shared" si="151"/>
        <v>1</v>
      </c>
      <c r="L1948" s="8" t="b">
        <f t="shared" si="152"/>
        <v>1</v>
      </c>
      <c r="M1948" s="8" t="b">
        <f t="shared" si="153"/>
        <v>1</v>
      </c>
      <c r="N1948" s="1" t="b">
        <f t="shared" si="154"/>
        <v>1</v>
      </c>
      <c r="O1948" s="8" t="str">
        <f>IF(F1948="","",IF($F$2=入力リスト!$H$25,ROUNDDOWN(INT(F1948)+ROUNDDOWN((F1948-INT(F1948))*100,0)/60,2),F1948))</f>
        <v/>
      </c>
      <c r="P1948" s="7"/>
      <c r="Q1948" s="7"/>
    </row>
    <row r="1949" spans="1:17">
      <c r="A1949" s="105"/>
      <c r="B1949" s="2"/>
      <c r="C1949" s="3"/>
      <c r="D1949" s="3"/>
      <c r="E1949" s="3"/>
      <c r="F1949" s="8"/>
      <c r="G1949" s="215" t="str">
        <f>IF(AND($B1949="",OR(B1949&lt;&gt;"",C1949&lt;&gt;"",D1949&lt;&gt;"",E1949&lt;&gt;"",F1949&lt;&gt;"")),入力リスト!$K$34,IF($I1949=TRUE,入力リスト!$K$35,IF(J1949=FALSE,"「毎月の固定給与額」","")&amp;IF(AND(J1949=FALSE,OR(K1949=FALSE,L1949=FALSE,M1949=FALSE)),",","")&amp;IF(K1949=FALSE,"「賞与額等」","")&amp;IF(AND(K1949=FALSE,OR(L1949=FALSE,M1949=FALSE)),",","")&amp;IF(L1949=FALSE,"「残業手当」","")&amp;IF(AND(L1949=FALSE,M1949=FALSE),",","")&amp;IF(M1949=FALSE,"「残業時間」","")&amp;IF(OR(J1949=FALSE,K1949=FALSE,L1949=FALSE,M1949=FALSE),入力リスト!$K$36,"")&amp;IF(N1949,"",入力リスト!$K$37)))</f>
        <v/>
      </c>
      <c r="H1949" s="215"/>
      <c r="I1949" s="1" t="b">
        <f>IF(B1949="",FALSE,COUNTIF('従業員情報(給与以外)'!$A$4:$A$1000000,$B1949)=0)</f>
        <v>0</v>
      </c>
      <c r="J1949" s="8" t="b">
        <f t="shared" si="150"/>
        <v>1</v>
      </c>
      <c r="K1949" s="8" t="b">
        <f t="shared" si="151"/>
        <v>1</v>
      </c>
      <c r="L1949" s="8" t="b">
        <f t="shared" si="152"/>
        <v>1</v>
      </c>
      <c r="M1949" s="8" t="b">
        <f t="shared" si="153"/>
        <v>1</v>
      </c>
      <c r="N1949" s="1" t="b">
        <f t="shared" si="154"/>
        <v>1</v>
      </c>
      <c r="O1949" s="8" t="str">
        <f>IF(F1949="","",IF($F$2=入力リスト!$H$25,ROUNDDOWN(INT(F1949)+ROUNDDOWN((F1949-INT(F1949))*100,0)/60,2),F1949))</f>
        <v/>
      </c>
      <c r="P1949" s="7"/>
      <c r="Q1949" s="7"/>
    </row>
    <row r="1950" spans="1:17">
      <c r="A1950" s="105"/>
      <c r="B1950" s="2"/>
      <c r="C1950" s="3"/>
      <c r="D1950" s="3"/>
      <c r="E1950" s="3"/>
      <c r="F1950" s="8"/>
      <c r="G1950" s="215" t="str">
        <f>IF(AND($B1950="",OR(B1950&lt;&gt;"",C1950&lt;&gt;"",D1950&lt;&gt;"",E1950&lt;&gt;"",F1950&lt;&gt;"")),入力リスト!$K$34,IF($I1950=TRUE,入力リスト!$K$35,IF(J1950=FALSE,"「毎月の固定給与額」","")&amp;IF(AND(J1950=FALSE,OR(K1950=FALSE,L1950=FALSE,M1950=FALSE)),",","")&amp;IF(K1950=FALSE,"「賞与額等」","")&amp;IF(AND(K1950=FALSE,OR(L1950=FALSE,M1950=FALSE)),",","")&amp;IF(L1950=FALSE,"「残業手当」","")&amp;IF(AND(L1950=FALSE,M1950=FALSE),",","")&amp;IF(M1950=FALSE,"「残業時間」","")&amp;IF(OR(J1950=FALSE,K1950=FALSE,L1950=FALSE,M1950=FALSE),入力リスト!$K$36,"")&amp;IF(N1950,"",入力リスト!$K$37)))</f>
        <v/>
      </c>
      <c r="H1950" s="215"/>
      <c r="I1950" s="1" t="b">
        <f>IF(B1950="",FALSE,COUNTIF('従業員情報(給与以外)'!$A$4:$A$1000000,$B1950)=0)</f>
        <v>0</v>
      </c>
      <c r="J1950" s="8" t="b">
        <f t="shared" si="150"/>
        <v>1</v>
      </c>
      <c r="K1950" s="8" t="b">
        <f t="shared" si="151"/>
        <v>1</v>
      </c>
      <c r="L1950" s="8" t="b">
        <f t="shared" si="152"/>
        <v>1</v>
      </c>
      <c r="M1950" s="8" t="b">
        <f t="shared" si="153"/>
        <v>1</v>
      </c>
      <c r="N1950" s="1" t="b">
        <f t="shared" si="154"/>
        <v>1</v>
      </c>
      <c r="O1950" s="8" t="str">
        <f>IF(F1950="","",IF($F$2=入力リスト!$H$25,ROUNDDOWN(INT(F1950)+ROUNDDOWN((F1950-INT(F1950))*100,0)/60,2),F1950))</f>
        <v/>
      </c>
      <c r="P1950" s="7"/>
      <c r="Q1950" s="7"/>
    </row>
    <row r="1951" spans="1:17">
      <c r="A1951" s="105"/>
      <c r="B1951" s="2"/>
      <c r="C1951" s="3"/>
      <c r="D1951" s="3"/>
      <c r="E1951" s="3"/>
      <c r="F1951" s="8"/>
      <c r="G1951" s="215" t="str">
        <f>IF(AND($B1951="",OR(B1951&lt;&gt;"",C1951&lt;&gt;"",D1951&lt;&gt;"",E1951&lt;&gt;"",F1951&lt;&gt;"")),入力リスト!$K$34,IF($I1951=TRUE,入力リスト!$K$35,IF(J1951=FALSE,"「毎月の固定給与額」","")&amp;IF(AND(J1951=FALSE,OR(K1951=FALSE,L1951=FALSE,M1951=FALSE)),",","")&amp;IF(K1951=FALSE,"「賞与額等」","")&amp;IF(AND(K1951=FALSE,OR(L1951=FALSE,M1951=FALSE)),",","")&amp;IF(L1951=FALSE,"「残業手当」","")&amp;IF(AND(L1951=FALSE,M1951=FALSE),",","")&amp;IF(M1951=FALSE,"「残業時間」","")&amp;IF(OR(J1951=FALSE,K1951=FALSE,L1951=FALSE,M1951=FALSE),入力リスト!$K$36,"")&amp;IF(N1951,"",入力リスト!$K$37)))</f>
        <v/>
      </c>
      <c r="H1951" s="215"/>
      <c r="I1951" s="1" t="b">
        <f>IF(B1951="",FALSE,COUNTIF('従業員情報(給与以外)'!$A$4:$A$1000000,$B1951)=0)</f>
        <v>0</v>
      </c>
      <c r="J1951" s="8" t="b">
        <f t="shared" si="150"/>
        <v>1</v>
      </c>
      <c r="K1951" s="8" t="b">
        <f t="shared" si="151"/>
        <v>1</v>
      </c>
      <c r="L1951" s="8" t="b">
        <f t="shared" si="152"/>
        <v>1</v>
      </c>
      <c r="M1951" s="8" t="b">
        <f t="shared" si="153"/>
        <v>1</v>
      </c>
      <c r="N1951" s="1" t="b">
        <f t="shared" si="154"/>
        <v>1</v>
      </c>
      <c r="O1951" s="8" t="str">
        <f>IF(F1951="","",IF($F$2=入力リスト!$H$25,ROUNDDOWN(INT(F1951)+ROUNDDOWN((F1951-INT(F1951))*100,0)/60,2),F1951))</f>
        <v/>
      </c>
      <c r="P1951" s="7"/>
      <c r="Q1951" s="7"/>
    </row>
    <row r="1952" spans="1:17">
      <c r="A1952" s="105"/>
      <c r="B1952" s="2"/>
      <c r="C1952" s="3"/>
      <c r="D1952" s="3"/>
      <c r="E1952" s="3"/>
      <c r="F1952" s="8"/>
      <c r="G1952" s="215" t="str">
        <f>IF(AND($B1952="",OR(B1952&lt;&gt;"",C1952&lt;&gt;"",D1952&lt;&gt;"",E1952&lt;&gt;"",F1952&lt;&gt;"")),入力リスト!$K$34,IF($I1952=TRUE,入力リスト!$K$35,IF(J1952=FALSE,"「毎月の固定給与額」","")&amp;IF(AND(J1952=FALSE,OR(K1952=FALSE,L1952=FALSE,M1952=FALSE)),",","")&amp;IF(K1952=FALSE,"「賞与額等」","")&amp;IF(AND(K1952=FALSE,OR(L1952=FALSE,M1952=FALSE)),",","")&amp;IF(L1952=FALSE,"「残業手当」","")&amp;IF(AND(L1952=FALSE,M1952=FALSE),",","")&amp;IF(M1952=FALSE,"「残業時間」","")&amp;IF(OR(J1952=FALSE,K1952=FALSE,L1952=FALSE,M1952=FALSE),入力リスト!$K$36,"")&amp;IF(N1952,"",入力リスト!$K$37)))</f>
        <v/>
      </c>
      <c r="H1952" s="215"/>
      <c r="I1952" s="1" t="b">
        <f>IF(B1952="",FALSE,COUNTIF('従業員情報(給与以外)'!$A$4:$A$1000000,$B1952)=0)</f>
        <v>0</v>
      </c>
      <c r="J1952" s="8" t="b">
        <f t="shared" si="150"/>
        <v>1</v>
      </c>
      <c r="K1952" s="8" t="b">
        <f t="shared" si="151"/>
        <v>1</v>
      </c>
      <c r="L1952" s="8" t="b">
        <f t="shared" si="152"/>
        <v>1</v>
      </c>
      <c r="M1952" s="8" t="b">
        <f t="shared" si="153"/>
        <v>1</v>
      </c>
      <c r="N1952" s="1" t="b">
        <f t="shared" si="154"/>
        <v>1</v>
      </c>
      <c r="O1952" s="8" t="str">
        <f>IF(F1952="","",IF($F$2=入力リスト!$H$25,ROUNDDOWN(INT(F1952)+ROUNDDOWN((F1952-INT(F1952))*100,0)/60,2),F1952))</f>
        <v/>
      </c>
      <c r="P1952" s="7"/>
      <c r="Q1952" s="7"/>
    </row>
    <row r="1953" spans="1:17">
      <c r="A1953" s="105"/>
      <c r="B1953" s="2"/>
      <c r="C1953" s="3"/>
      <c r="D1953" s="3"/>
      <c r="E1953" s="3"/>
      <c r="F1953" s="8"/>
      <c r="G1953" s="215" t="str">
        <f>IF(AND($B1953="",OR(B1953&lt;&gt;"",C1953&lt;&gt;"",D1953&lt;&gt;"",E1953&lt;&gt;"",F1953&lt;&gt;"")),入力リスト!$K$34,IF($I1953=TRUE,入力リスト!$K$35,IF(J1953=FALSE,"「毎月の固定給与額」","")&amp;IF(AND(J1953=FALSE,OR(K1953=FALSE,L1953=FALSE,M1953=FALSE)),",","")&amp;IF(K1953=FALSE,"「賞与額等」","")&amp;IF(AND(K1953=FALSE,OR(L1953=FALSE,M1953=FALSE)),",","")&amp;IF(L1953=FALSE,"「残業手当」","")&amp;IF(AND(L1953=FALSE,M1953=FALSE),",","")&amp;IF(M1953=FALSE,"「残業時間」","")&amp;IF(OR(J1953=FALSE,K1953=FALSE,L1953=FALSE,M1953=FALSE),入力リスト!$K$36,"")&amp;IF(N1953,"",入力リスト!$K$37)))</f>
        <v/>
      </c>
      <c r="H1953" s="215"/>
      <c r="I1953" s="1" t="b">
        <f>IF(B1953="",FALSE,COUNTIF('従業員情報(給与以外)'!$A$4:$A$1000000,$B1953)=0)</f>
        <v>0</v>
      </c>
      <c r="J1953" s="8" t="b">
        <f t="shared" si="150"/>
        <v>1</v>
      </c>
      <c r="K1953" s="8" t="b">
        <f t="shared" si="151"/>
        <v>1</v>
      </c>
      <c r="L1953" s="8" t="b">
        <f t="shared" si="152"/>
        <v>1</v>
      </c>
      <c r="M1953" s="8" t="b">
        <f t="shared" si="153"/>
        <v>1</v>
      </c>
      <c r="N1953" s="1" t="b">
        <f t="shared" si="154"/>
        <v>1</v>
      </c>
      <c r="O1953" s="8" t="str">
        <f>IF(F1953="","",IF($F$2=入力リスト!$H$25,ROUNDDOWN(INT(F1953)+ROUNDDOWN((F1953-INT(F1953))*100,0)/60,2),F1953))</f>
        <v/>
      </c>
      <c r="P1953" s="7"/>
      <c r="Q1953" s="7"/>
    </row>
    <row r="1954" spans="1:17">
      <c r="A1954" s="105"/>
      <c r="B1954" s="2"/>
      <c r="C1954" s="3"/>
      <c r="D1954" s="3"/>
      <c r="E1954" s="3"/>
      <c r="F1954" s="8"/>
      <c r="G1954" s="215" t="str">
        <f>IF(AND($B1954="",OR(B1954&lt;&gt;"",C1954&lt;&gt;"",D1954&lt;&gt;"",E1954&lt;&gt;"",F1954&lt;&gt;"")),入力リスト!$K$34,IF($I1954=TRUE,入力リスト!$K$35,IF(J1954=FALSE,"「毎月の固定給与額」","")&amp;IF(AND(J1954=FALSE,OR(K1954=FALSE,L1954=FALSE,M1954=FALSE)),",","")&amp;IF(K1954=FALSE,"「賞与額等」","")&amp;IF(AND(K1954=FALSE,OR(L1954=FALSE,M1954=FALSE)),",","")&amp;IF(L1954=FALSE,"「残業手当」","")&amp;IF(AND(L1954=FALSE,M1954=FALSE),",","")&amp;IF(M1954=FALSE,"「残業時間」","")&amp;IF(OR(J1954=FALSE,K1954=FALSE,L1954=FALSE,M1954=FALSE),入力リスト!$K$36,"")&amp;IF(N1954,"",入力リスト!$K$37)))</f>
        <v/>
      </c>
      <c r="H1954" s="215"/>
      <c r="I1954" s="1" t="b">
        <f>IF(B1954="",FALSE,COUNTIF('従業員情報(給与以外)'!$A$4:$A$1000000,$B1954)=0)</f>
        <v>0</v>
      </c>
      <c r="J1954" s="8" t="b">
        <f t="shared" si="150"/>
        <v>1</v>
      </c>
      <c r="K1954" s="8" t="b">
        <f t="shared" si="151"/>
        <v>1</v>
      </c>
      <c r="L1954" s="8" t="b">
        <f t="shared" si="152"/>
        <v>1</v>
      </c>
      <c r="M1954" s="8" t="b">
        <f t="shared" si="153"/>
        <v>1</v>
      </c>
      <c r="N1954" s="1" t="b">
        <f t="shared" si="154"/>
        <v>1</v>
      </c>
      <c r="O1954" s="8" t="str">
        <f>IF(F1954="","",IF($F$2=入力リスト!$H$25,ROUNDDOWN(INT(F1954)+ROUNDDOWN((F1954-INT(F1954))*100,0)/60,2),F1954))</f>
        <v/>
      </c>
      <c r="P1954" s="7"/>
      <c r="Q1954" s="7"/>
    </row>
    <row r="1955" spans="1:17">
      <c r="A1955" s="105"/>
      <c r="B1955" s="2"/>
      <c r="C1955" s="3"/>
      <c r="D1955" s="3"/>
      <c r="E1955" s="3"/>
      <c r="F1955" s="8"/>
      <c r="G1955" s="215" t="str">
        <f>IF(AND($B1955="",OR(B1955&lt;&gt;"",C1955&lt;&gt;"",D1955&lt;&gt;"",E1955&lt;&gt;"",F1955&lt;&gt;"")),入力リスト!$K$34,IF($I1955=TRUE,入力リスト!$K$35,IF(J1955=FALSE,"「毎月の固定給与額」","")&amp;IF(AND(J1955=FALSE,OR(K1955=FALSE,L1955=FALSE,M1955=FALSE)),",","")&amp;IF(K1955=FALSE,"「賞与額等」","")&amp;IF(AND(K1955=FALSE,OR(L1955=FALSE,M1955=FALSE)),",","")&amp;IF(L1955=FALSE,"「残業手当」","")&amp;IF(AND(L1955=FALSE,M1955=FALSE),",","")&amp;IF(M1955=FALSE,"「残業時間」","")&amp;IF(OR(J1955=FALSE,K1955=FALSE,L1955=FALSE,M1955=FALSE),入力リスト!$K$36,"")&amp;IF(N1955,"",入力リスト!$K$37)))</f>
        <v/>
      </c>
      <c r="H1955" s="215"/>
      <c r="I1955" s="1" t="b">
        <f>IF(B1955="",FALSE,COUNTIF('従業員情報(給与以外)'!$A$4:$A$1000000,$B1955)=0)</f>
        <v>0</v>
      </c>
      <c r="J1955" s="8" t="b">
        <f t="shared" si="150"/>
        <v>1</v>
      </c>
      <c r="K1955" s="8" t="b">
        <f t="shared" si="151"/>
        <v>1</v>
      </c>
      <c r="L1955" s="8" t="b">
        <f t="shared" si="152"/>
        <v>1</v>
      </c>
      <c r="M1955" s="8" t="b">
        <f t="shared" si="153"/>
        <v>1</v>
      </c>
      <c r="N1955" s="1" t="b">
        <f t="shared" si="154"/>
        <v>1</v>
      </c>
      <c r="O1955" s="8" t="str">
        <f>IF(F1955="","",IF($F$2=入力リスト!$H$25,ROUNDDOWN(INT(F1955)+ROUNDDOWN((F1955-INT(F1955))*100,0)/60,2),F1955))</f>
        <v/>
      </c>
      <c r="P1955" s="7"/>
      <c r="Q1955" s="7"/>
    </row>
    <row r="1956" spans="1:17">
      <c r="A1956" s="105"/>
      <c r="B1956" s="2"/>
      <c r="C1956" s="3"/>
      <c r="D1956" s="3"/>
      <c r="E1956" s="3"/>
      <c r="F1956" s="8"/>
      <c r="G1956" s="215" t="str">
        <f>IF(AND($B1956="",OR(B1956&lt;&gt;"",C1956&lt;&gt;"",D1956&lt;&gt;"",E1956&lt;&gt;"",F1956&lt;&gt;"")),入力リスト!$K$34,IF($I1956=TRUE,入力リスト!$K$35,IF(J1956=FALSE,"「毎月の固定給与額」","")&amp;IF(AND(J1956=FALSE,OR(K1956=FALSE,L1956=FALSE,M1956=FALSE)),",","")&amp;IF(K1956=FALSE,"「賞与額等」","")&amp;IF(AND(K1956=FALSE,OR(L1956=FALSE,M1956=FALSE)),",","")&amp;IF(L1956=FALSE,"「残業手当」","")&amp;IF(AND(L1956=FALSE,M1956=FALSE),",","")&amp;IF(M1956=FALSE,"「残業時間」","")&amp;IF(OR(J1956=FALSE,K1956=FALSE,L1956=FALSE,M1956=FALSE),入力リスト!$K$36,"")&amp;IF(N1956,"",入力リスト!$K$37)))</f>
        <v/>
      </c>
      <c r="H1956" s="215"/>
      <c r="I1956" s="1" t="b">
        <f>IF(B1956="",FALSE,COUNTIF('従業員情報(給与以外)'!$A$4:$A$1000000,$B1956)=0)</f>
        <v>0</v>
      </c>
      <c r="J1956" s="8" t="b">
        <f t="shared" si="150"/>
        <v>1</v>
      </c>
      <c r="K1956" s="8" t="b">
        <f t="shared" si="151"/>
        <v>1</v>
      </c>
      <c r="L1956" s="8" t="b">
        <f t="shared" si="152"/>
        <v>1</v>
      </c>
      <c r="M1956" s="8" t="b">
        <f t="shared" si="153"/>
        <v>1</v>
      </c>
      <c r="N1956" s="1" t="b">
        <f t="shared" si="154"/>
        <v>1</v>
      </c>
      <c r="O1956" s="8" t="str">
        <f>IF(F1956="","",IF($F$2=入力リスト!$H$25,ROUNDDOWN(INT(F1956)+ROUNDDOWN((F1956-INT(F1956))*100,0)/60,2),F1956))</f>
        <v/>
      </c>
      <c r="P1956" s="7"/>
      <c r="Q1956" s="7"/>
    </row>
    <row r="1957" spans="1:17">
      <c r="A1957" s="105"/>
      <c r="B1957" s="2"/>
      <c r="C1957" s="3"/>
      <c r="D1957" s="3"/>
      <c r="E1957" s="3"/>
      <c r="F1957" s="8"/>
      <c r="G1957" s="215" t="str">
        <f>IF(AND($B1957="",OR(B1957&lt;&gt;"",C1957&lt;&gt;"",D1957&lt;&gt;"",E1957&lt;&gt;"",F1957&lt;&gt;"")),入力リスト!$K$34,IF($I1957=TRUE,入力リスト!$K$35,IF(J1957=FALSE,"「毎月の固定給与額」","")&amp;IF(AND(J1957=FALSE,OR(K1957=FALSE,L1957=FALSE,M1957=FALSE)),",","")&amp;IF(K1957=FALSE,"「賞与額等」","")&amp;IF(AND(K1957=FALSE,OR(L1957=FALSE,M1957=FALSE)),",","")&amp;IF(L1957=FALSE,"「残業手当」","")&amp;IF(AND(L1957=FALSE,M1957=FALSE),",","")&amp;IF(M1957=FALSE,"「残業時間」","")&amp;IF(OR(J1957=FALSE,K1957=FALSE,L1957=FALSE,M1957=FALSE),入力リスト!$K$36,"")&amp;IF(N1957,"",入力リスト!$K$37)))</f>
        <v/>
      </c>
      <c r="H1957" s="215"/>
      <c r="I1957" s="1" t="b">
        <f>IF(B1957="",FALSE,COUNTIF('従業員情報(給与以外)'!$A$4:$A$1000000,$B1957)=0)</f>
        <v>0</v>
      </c>
      <c r="J1957" s="8" t="b">
        <f t="shared" si="150"/>
        <v>1</v>
      </c>
      <c r="K1957" s="8" t="b">
        <f t="shared" si="151"/>
        <v>1</v>
      </c>
      <c r="L1957" s="8" t="b">
        <f t="shared" si="152"/>
        <v>1</v>
      </c>
      <c r="M1957" s="8" t="b">
        <f t="shared" si="153"/>
        <v>1</v>
      </c>
      <c r="N1957" s="1" t="b">
        <f t="shared" si="154"/>
        <v>1</v>
      </c>
      <c r="O1957" s="8" t="str">
        <f>IF(F1957="","",IF($F$2=入力リスト!$H$25,ROUNDDOWN(INT(F1957)+ROUNDDOWN((F1957-INT(F1957))*100,0)/60,2),F1957))</f>
        <v/>
      </c>
      <c r="P1957" s="7"/>
      <c r="Q1957" s="7"/>
    </row>
    <row r="1958" spans="1:17">
      <c r="A1958" s="105"/>
      <c r="B1958" s="2"/>
      <c r="C1958" s="3"/>
      <c r="D1958" s="3"/>
      <c r="E1958" s="3"/>
      <c r="F1958" s="8"/>
      <c r="G1958" s="215" t="str">
        <f>IF(AND($B1958="",OR(B1958&lt;&gt;"",C1958&lt;&gt;"",D1958&lt;&gt;"",E1958&lt;&gt;"",F1958&lt;&gt;"")),入力リスト!$K$34,IF($I1958=TRUE,入力リスト!$K$35,IF(J1958=FALSE,"「毎月の固定給与額」","")&amp;IF(AND(J1958=FALSE,OR(K1958=FALSE,L1958=FALSE,M1958=FALSE)),",","")&amp;IF(K1958=FALSE,"「賞与額等」","")&amp;IF(AND(K1958=FALSE,OR(L1958=FALSE,M1958=FALSE)),",","")&amp;IF(L1958=FALSE,"「残業手当」","")&amp;IF(AND(L1958=FALSE,M1958=FALSE),",","")&amp;IF(M1958=FALSE,"「残業時間」","")&amp;IF(OR(J1958=FALSE,K1958=FALSE,L1958=FALSE,M1958=FALSE),入力リスト!$K$36,"")&amp;IF(N1958,"",入力リスト!$K$37)))</f>
        <v/>
      </c>
      <c r="H1958" s="215"/>
      <c r="I1958" s="1" t="b">
        <f>IF(B1958="",FALSE,COUNTIF('従業員情報(給与以外)'!$A$4:$A$1000000,$B1958)=0)</f>
        <v>0</v>
      </c>
      <c r="J1958" s="8" t="b">
        <f t="shared" si="150"/>
        <v>1</v>
      </c>
      <c r="K1958" s="8" t="b">
        <f t="shared" si="151"/>
        <v>1</v>
      </c>
      <c r="L1958" s="8" t="b">
        <f t="shared" si="152"/>
        <v>1</v>
      </c>
      <c r="M1958" s="8" t="b">
        <f t="shared" si="153"/>
        <v>1</v>
      </c>
      <c r="N1958" s="1" t="b">
        <f t="shared" si="154"/>
        <v>1</v>
      </c>
      <c r="O1958" s="8" t="str">
        <f>IF(F1958="","",IF($F$2=入力リスト!$H$25,ROUNDDOWN(INT(F1958)+ROUNDDOWN((F1958-INT(F1958))*100,0)/60,2),F1958))</f>
        <v/>
      </c>
      <c r="P1958" s="7"/>
      <c r="Q1958" s="7"/>
    </row>
    <row r="1959" spans="1:17">
      <c r="A1959" s="105"/>
      <c r="B1959" s="2"/>
      <c r="C1959" s="3"/>
      <c r="D1959" s="3"/>
      <c r="E1959" s="3"/>
      <c r="F1959" s="8"/>
      <c r="G1959" s="215" t="str">
        <f>IF(AND($B1959="",OR(B1959&lt;&gt;"",C1959&lt;&gt;"",D1959&lt;&gt;"",E1959&lt;&gt;"",F1959&lt;&gt;"")),入力リスト!$K$34,IF($I1959=TRUE,入力リスト!$K$35,IF(J1959=FALSE,"「毎月の固定給与額」","")&amp;IF(AND(J1959=FALSE,OR(K1959=FALSE,L1959=FALSE,M1959=FALSE)),",","")&amp;IF(K1959=FALSE,"「賞与額等」","")&amp;IF(AND(K1959=FALSE,OR(L1959=FALSE,M1959=FALSE)),",","")&amp;IF(L1959=FALSE,"「残業手当」","")&amp;IF(AND(L1959=FALSE,M1959=FALSE),",","")&amp;IF(M1959=FALSE,"「残業時間」","")&amp;IF(OR(J1959=FALSE,K1959=FALSE,L1959=FALSE,M1959=FALSE),入力リスト!$K$36,"")&amp;IF(N1959,"",入力リスト!$K$37)))</f>
        <v/>
      </c>
      <c r="H1959" s="215"/>
      <c r="I1959" s="1" t="b">
        <f>IF(B1959="",FALSE,COUNTIF('従業員情報(給与以外)'!$A$4:$A$1000000,$B1959)=0)</f>
        <v>0</v>
      </c>
      <c r="J1959" s="8" t="b">
        <f t="shared" si="150"/>
        <v>1</v>
      </c>
      <c r="K1959" s="8" t="b">
        <f t="shared" si="151"/>
        <v>1</v>
      </c>
      <c r="L1959" s="8" t="b">
        <f t="shared" si="152"/>
        <v>1</v>
      </c>
      <c r="M1959" s="8" t="b">
        <f t="shared" si="153"/>
        <v>1</v>
      </c>
      <c r="N1959" s="1" t="b">
        <f t="shared" si="154"/>
        <v>1</v>
      </c>
      <c r="O1959" s="8" t="str">
        <f>IF(F1959="","",IF($F$2=入力リスト!$H$25,ROUNDDOWN(INT(F1959)+ROUNDDOWN((F1959-INT(F1959))*100,0)/60,2),F1959))</f>
        <v/>
      </c>
      <c r="P1959" s="7"/>
      <c r="Q1959" s="7"/>
    </row>
    <row r="1960" spans="1:17">
      <c r="A1960" s="105"/>
      <c r="B1960" s="2"/>
      <c r="C1960" s="3"/>
      <c r="D1960" s="3"/>
      <c r="E1960" s="3"/>
      <c r="F1960" s="8"/>
      <c r="G1960" s="215" t="str">
        <f>IF(AND($B1960="",OR(B1960&lt;&gt;"",C1960&lt;&gt;"",D1960&lt;&gt;"",E1960&lt;&gt;"",F1960&lt;&gt;"")),入力リスト!$K$34,IF($I1960=TRUE,入力リスト!$K$35,IF(J1960=FALSE,"「毎月の固定給与額」","")&amp;IF(AND(J1960=FALSE,OR(K1960=FALSE,L1960=FALSE,M1960=FALSE)),",","")&amp;IF(K1960=FALSE,"「賞与額等」","")&amp;IF(AND(K1960=FALSE,OR(L1960=FALSE,M1960=FALSE)),",","")&amp;IF(L1960=FALSE,"「残業手当」","")&amp;IF(AND(L1960=FALSE,M1960=FALSE),",","")&amp;IF(M1960=FALSE,"「残業時間」","")&amp;IF(OR(J1960=FALSE,K1960=FALSE,L1960=FALSE,M1960=FALSE),入力リスト!$K$36,"")&amp;IF(N1960,"",入力リスト!$K$37)))</f>
        <v/>
      </c>
      <c r="H1960" s="215"/>
      <c r="I1960" s="1" t="b">
        <f>IF(B1960="",FALSE,COUNTIF('従業員情報(給与以外)'!$A$4:$A$1000000,$B1960)=0)</f>
        <v>0</v>
      </c>
      <c r="J1960" s="8" t="b">
        <f t="shared" si="150"/>
        <v>1</v>
      </c>
      <c r="K1960" s="8" t="b">
        <f t="shared" si="151"/>
        <v>1</v>
      </c>
      <c r="L1960" s="8" t="b">
        <f t="shared" si="152"/>
        <v>1</v>
      </c>
      <c r="M1960" s="8" t="b">
        <f t="shared" si="153"/>
        <v>1</v>
      </c>
      <c r="N1960" s="1" t="b">
        <f t="shared" si="154"/>
        <v>1</v>
      </c>
      <c r="O1960" s="8" t="str">
        <f>IF(F1960="","",IF($F$2=入力リスト!$H$25,ROUNDDOWN(INT(F1960)+ROUNDDOWN((F1960-INT(F1960))*100,0)/60,2),F1960))</f>
        <v/>
      </c>
      <c r="P1960" s="7"/>
      <c r="Q1960" s="7"/>
    </row>
    <row r="1961" spans="1:17">
      <c r="A1961" s="105"/>
      <c r="B1961" s="2"/>
      <c r="C1961" s="3"/>
      <c r="D1961" s="3"/>
      <c r="E1961" s="3"/>
      <c r="F1961" s="8"/>
      <c r="G1961" s="215" t="str">
        <f>IF(AND($B1961="",OR(B1961&lt;&gt;"",C1961&lt;&gt;"",D1961&lt;&gt;"",E1961&lt;&gt;"",F1961&lt;&gt;"")),入力リスト!$K$34,IF($I1961=TRUE,入力リスト!$K$35,IF(J1961=FALSE,"「毎月の固定給与額」","")&amp;IF(AND(J1961=FALSE,OR(K1961=FALSE,L1961=FALSE,M1961=FALSE)),",","")&amp;IF(K1961=FALSE,"「賞与額等」","")&amp;IF(AND(K1961=FALSE,OR(L1961=FALSE,M1961=FALSE)),",","")&amp;IF(L1961=FALSE,"「残業手当」","")&amp;IF(AND(L1961=FALSE,M1961=FALSE),",","")&amp;IF(M1961=FALSE,"「残業時間」","")&amp;IF(OR(J1961=FALSE,K1961=FALSE,L1961=FALSE,M1961=FALSE),入力リスト!$K$36,"")&amp;IF(N1961,"",入力リスト!$K$37)))</f>
        <v/>
      </c>
      <c r="H1961" s="215"/>
      <c r="I1961" s="1" t="b">
        <f>IF(B1961="",FALSE,COUNTIF('従業員情報(給与以外)'!$A$4:$A$1000000,$B1961)=0)</f>
        <v>0</v>
      </c>
      <c r="J1961" s="8" t="b">
        <f t="shared" si="150"/>
        <v>1</v>
      </c>
      <c r="K1961" s="8" t="b">
        <f t="shared" si="151"/>
        <v>1</v>
      </c>
      <c r="L1961" s="8" t="b">
        <f t="shared" si="152"/>
        <v>1</v>
      </c>
      <c r="M1961" s="8" t="b">
        <f t="shared" si="153"/>
        <v>1</v>
      </c>
      <c r="N1961" s="1" t="b">
        <f t="shared" si="154"/>
        <v>1</v>
      </c>
      <c r="O1961" s="8" t="str">
        <f>IF(F1961="","",IF($F$2=入力リスト!$H$25,ROUNDDOWN(INT(F1961)+ROUNDDOWN((F1961-INT(F1961))*100,0)/60,2),F1961))</f>
        <v/>
      </c>
      <c r="P1961" s="7"/>
      <c r="Q1961" s="7"/>
    </row>
    <row r="1962" spans="1:17">
      <c r="A1962" s="105"/>
      <c r="B1962" s="2"/>
      <c r="C1962" s="3"/>
      <c r="D1962" s="3"/>
      <c r="E1962" s="3"/>
      <c r="F1962" s="8"/>
      <c r="G1962" s="215" t="str">
        <f>IF(AND($B1962="",OR(B1962&lt;&gt;"",C1962&lt;&gt;"",D1962&lt;&gt;"",E1962&lt;&gt;"",F1962&lt;&gt;"")),入力リスト!$K$34,IF($I1962=TRUE,入力リスト!$K$35,IF(J1962=FALSE,"「毎月の固定給与額」","")&amp;IF(AND(J1962=FALSE,OR(K1962=FALSE,L1962=FALSE,M1962=FALSE)),",","")&amp;IF(K1962=FALSE,"「賞与額等」","")&amp;IF(AND(K1962=FALSE,OR(L1962=FALSE,M1962=FALSE)),",","")&amp;IF(L1962=FALSE,"「残業手当」","")&amp;IF(AND(L1962=FALSE,M1962=FALSE),",","")&amp;IF(M1962=FALSE,"「残業時間」","")&amp;IF(OR(J1962=FALSE,K1962=FALSE,L1962=FALSE,M1962=FALSE),入力リスト!$K$36,"")&amp;IF(N1962,"",入力リスト!$K$37)))</f>
        <v/>
      </c>
      <c r="H1962" s="215"/>
      <c r="I1962" s="1" t="b">
        <f>IF(B1962="",FALSE,COUNTIF('従業員情報(給与以外)'!$A$4:$A$1000000,$B1962)=0)</f>
        <v>0</v>
      </c>
      <c r="J1962" s="8" t="b">
        <f t="shared" si="150"/>
        <v>1</v>
      </c>
      <c r="K1962" s="8" t="b">
        <f t="shared" si="151"/>
        <v>1</v>
      </c>
      <c r="L1962" s="8" t="b">
        <f t="shared" si="152"/>
        <v>1</v>
      </c>
      <c r="M1962" s="8" t="b">
        <f t="shared" si="153"/>
        <v>1</v>
      </c>
      <c r="N1962" s="1" t="b">
        <f t="shared" si="154"/>
        <v>1</v>
      </c>
      <c r="O1962" s="8" t="str">
        <f>IF(F1962="","",IF($F$2=入力リスト!$H$25,ROUNDDOWN(INT(F1962)+ROUNDDOWN((F1962-INT(F1962))*100,0)/60,2),F1962))</f>
        <v/>
      </c>
      <c r="P1962" s="7"/>
      <c r="Q1962" s="7"/>
    </row>
    <row r="1963" spans="1:17">
      <c r="A1963" s="105"/>
      <c r="B1963" s="2"/>
      <c r="C1963" s="3"/>
      <c r="D1963" s="3"/>
      <c r="E1963" s="3"/>
      <c r="F1963" s="8"/>
      <c r="G1963" s="215" t="str">
        <f>IF(AND($B1963="",OR(B1963&lt;&gt;"",C1963&lt;&gt;"",D1963&lt;&gt;"",E1963&lt;&gt;"",F1963&lt;&gt;"")),入力リスト!$K$34,IF($I1963=TRUE,入力リスト!$K$35,IF(J1963=FALSE,"「毎月の固定給与額」","")&amp;IF(AND(J1963=FALSE,OR(K1963=FALSE,L1963=FALSE,M1963=FALSE)),",","")&amp;IF(K1963=FALSE,"「賞与額等」","")&amp;IF(AND(K1963=FALSE,OR(L1963=FALSE,M1963=FALSE)),",","")&amp;IF(L1963=FALSE,"「残業手当」","")&amp;IF(AND(L1963=FALSE,M1963=FALSE),",","")&amp;IF(M1963=FALSE,"「残業時間」","")&amp;IF(OR(J1963=FALSE,K1963=FALSE,L1963=FALSE,M1963=FALSE),入力リスト!$K$36,"")&amp;IF(N1963,"",入力リスト!$K$37)))</f>
        <v/>
      </c>
      <c r="H1963" s="215"/>
      <c r="I1963" s="1" t="b">
        <f>IF(B1963="",FALSE,COUNTIF('従業員情報(給与以外)'!$A$4:$A$1000000,$B1963)=0)</f>
        <v>0</v>
      </c>
      <c r="J1963" s="8" t="b">
        <f t="shared" si="150"/>
        <v>1</v>
      </c>
      <c r="K1963" s="8" t="b">
        <f t="shared" si="151"/>
        <v>1</v>
      </c>
      <c r="L1963" s="8" t="b">
        <f t="shared" si="152"/>
        <v>1</v>
      </c>
      <c r="M1963" s="8" t="b">
        <f t="shared" si="153"/>
        <v>1</v>
      </c>
      <c r="N1963" s="1" t="b">
        <f t="shared" si="154"/>
        <v>1</v>
      </c>
      <c r="O1963" s="8" t="str">
        <f>IF(F1963="","",IF($F$2=入力リスト!$H$25,ROUNDDOWN(INT(F1963)+ROUNDDOWN((F1963-INT(F1963))*100,0)/60,2),F1963))</f>
        <v/>
      </c>
      <c r="P1963" s="7"/>
      <c r="Q1963" s="7"/>
    </row>
    <row r="1964" spans="1:17">
      <c r="A1964" s="105"/>
      <c r="B1964" s="2"/>
      <c r="C1964" s="3"/>
      <c r="D1964" s="3"/>
      <c r="E1964" s="3"/>
      <c r="F1964" s="8"/>
      <c r="G1964" s="215" t="str">
        <f>IF(AND($B1964="",OR(B1964&lt;&gt;"",C1964&lt;&gt;"",D1964&lt;&gt;"",E1964&lt;&gt;"",F1964&lt;&gt;"")),入力リスト!$K$34,IF($I1964=TRUE,入力リスト!$K$35,IF(J1964=FALSE,"「毎月の固定給与額」","")&amp;IF(AND(J1964=FALSE,OR(K1964=FALSE,L1964=FALSE,M1964=FALSE)),",","")&amp;IF(K1964=FALSE,"「賞与額等」","")&amp;IF(AND(K1964=FALSE,OR(L1964=FALSE,M1964=FALSE)),",","")&amp;IF(L1964=FALSE,"「残業手当」","")&amp;IF(AND(L1964=FALSE,M1964=FALSE),",","")&amp;IF(M1964=FALSE,"「残業時間」","")&amp;IF(OR(J1964=FALSE,K1964=FALSE,L1964=FALSE,M1964=FALSE),入力リスト!$K$36,"")&amp;IF(N1964,"",入力リスト!$K$37)))</f>
        <v/>
      </c>
      <c r="H1964" s="215"/>
      <c r="I1964" s="1" t="b">
        <f>IF(B1964="",FALSE,COUNTIF('従業員情報(給与以外)'!$A$4:$A$1000000,$B1964)=0)</f>
        <v>0</v>
      </c>
      <c r="J1964" s="8" t="b">
        <f t="shared" si="150"/>
        <v>1</v>
      </c>
      <c r="K1964" s="8" t="b">
        <f t="shared" si="151"/>
        <v>1</v>
      </c>
      <c r="L1964" s="8" t="b">
        <f t="shared" si="152"/>
        <v>1</v>
      </c>
      <c r="M1964" s="8" t="b">
        <f t="shared" si="153"/>
        <v>1</v>
      </c>
      <c r="N1964" s="1" t="b">
        <f t="shared" si="154"/>
        <v>1</v>
      </c>
      <c r="O1964" s="8" t="str">
        <f>IF(F1964="","",IF($F$2=入力リスト!$H$25,ROUNDDOWN(INT(F1964)+ROUNDDOWN((F1964-INT(F1964))*100,0)/60,2),F1964))</f>
        <v/>
      </c>
      <c r="P1964" s="7"/>
      <c r="Q1964" s="7"/>
    </row>
    <row r="1965" spans="1:17">
      <c r="A1965" s="105"/>
      <c r="B1965" s="2"/>
      <c r="C1965" s="3"/>
      <c r="D1965" s="3"/>
      <c r="E1965" s="3"/>
      <c r="F1965" s="8"/>
      <c r="G1965" s="215" t="str">
        <f>IF(AND($B1965="",OR(B1965&lt;&gt;"",C1965&lt;&gt;"",D1965&lt;&gt;"",E1965&lt;&gt;"",F1965&lt;&gt;"")),入力リスト!$K$34,IF($I1965=TRUE,入力リスト!$K$35,IF(J1965=FALSE,"「毎月の固定給与額」","")&amp;IF(AND(J1965=FALSE,OR(K1965=FALSE,L1965=FALSE,M1965=FALSE)),",","")&amp;IF(K1965=FALSE,"「賞与額等」","")&amp;IF(AND(K1965=FALSE,OR(L1965=FALSE,M1965=FALSE)),",","")&amp;IF(L1965=FALSE,"「残業手当」","")&amp;IF(AND(L1965=FALSE,M1965=FALSE),",","")&amp;IF(M1965=FALSE,"「残業時間」","")&amp;IF(OR(J1965=FALSE,K1965=FALSE,L1965=FALSE,M1965=FALSE),入力リスト!$K$36,"")&amp;IF(N1965,"",入力リスト!$K$37)))</f>
        <v/>
      </c>
      <c r="H1965" s="215"/>
      <c r="I1965" s="1" t="b">
        <f>IF(B1965="",FALSE,COUNTIF('従業員情報(給与以外)'!$A$4:$A$1000000,$B1965)=0)</f>
        <v>0</v>
      </c>
      <c r="J1965" s="8" t="b">
        <f t="shared" si="150"/>
        <v>1</v>
      </c>
      <c r="K1965" s="8" t="b">
        <f t="shared" si="151"/>
        <v>1</v>
      </c>
      <c r="L1965" s="8" t="b">
        <f t="shared" si="152"/>
        <v>1</v>
      </c>
      <c r="M1965" s="8" t="b">
        <f t="shared" si="153"/>
        <v>1</v>
      </c>
      <c r="N1965" s="1" t="b">
        <f t="shared" si="154"/>
        <v>1</v>
      </c>
      <c r="O1965" s="8" t="str">
        <f>IF(F1965="","",IF($F$2=入力リスト!$H$25,ROUNDDOWN(INT(F1965)+ROUNDDOWN((F1965-INT(F1965))*100,0)/60,2),F1965))</f>
        <v/>
      </c>
      <c r="P1965" s="7"/>
      <c r="Q1965" s="7"/>
    </row>
    <row r="1966" spans="1:17">
      <c r="A1966" s="105"/>
      <c r="B1966" s="2"/>
      <c r="C1966" s="3"/>
      <c r="D1966" s="3"/>
      <c r="E1966" s="3"/>
      <c r="F1966" s="8"/>
      <c r="G1966" s="215" t="str">
        <f>IF(AND($B1966="",OR(B1966&lt;&gt;"",C1966&lt;&gt;"",D1966&lt;&gt;"",E1966&lt;&gt;"",F1966&lt;&gt;"")),入力リスト!$K$34,IF($I1966=TRUE,入力リスト!$K$35,IF(J1966=FALSE,"「毎月の固定給与額」","")&amp;IF(AND(J1966=FALSE,OR(K1966=FALSE,L1966=FALSE,M1966=FALSE)),",","")&amp;IF(K1966=FALSE,"「賞与額等」","")&amp;IF(AND(K1966=FALSE,OR(L1966=FALSE,M1966=FALSE)),",","")&amp;IF(L1966=FALSE,"「残業手当」","")&amp;IF(AND(L1966=FALSE,M1966=FALSE),",","")&amp;IF(M1966=FALSE,"「残業時間」","")&amp;IF(OR(J1966=FALSE,K1966=FALSE,L1966=FALSE,M1966=FALSE),入力リスト!$K$36,"")&amp;IF(N1966,"",入力リスト!$K$37)))</f>
        <v/>
      </c>
      <c r="H1966" s="215"/>
      <c r="I1966" s="1" t="b">
        <f>IF(B1966="",FALSE,COUNTIF('従業員情報(給与以外)'!$A$4:$A$1000000,$B1966)=0)</f>
        <v>0</v>
      </c>
      <c r="J1966" s="8" t="b">
        <f t="shared" si="150"/>
        <v>1</v>
      </c>
      <c r="K1966" s="8" t="b">
        <f t="shared" si="151"/>
        <v>1</v>
      </c>
      <c r="L1966" s="8" t="b">
        <f t="shared" si="152"/>
        <v>1</v>
      </c>
      <c r="M1966" s="8" t="b">
        <f t="shared" si="153"/>
        <v>1</v>
      </c>
      <c r="N1966" s="1" t="b">
        <f t="shared" si="154"/>
        <v>1</v>
      </c>
      <c r="O1966" s="8" t="str">
        <f>IF(F1966="","",IF($F$2=入力リスト!$H$25,ROUNDDOWN(INT(F1966)+ROUNDDOWN((F1966-INT(F1966))*100,0)/60,2),F1966))</f>
        <v/>
      </c>
      <c r="P1966" s="7"/>
      <c r="Q1966" s="7"/>
    </row>
    <row r="1967" spans="1:17">
      <c r="A1967" s="105"/>
      <c r="B1967" s="2"/>
      <c r="C1967" s="3"/>
      <c r="D1967" s="3"/>
      <c r="E1967" s="3"/>
      <c r="F1967" s="8"/>
      <c r="G1967" s="215" t="str">
        <f>IF(AND($B1967="",OR(B1967&lt;&gt;"",C1967&lt;&gt;"",D1967&lt;&gt;"",E1967&lt;&gt;"",F1967&lt;&gt;"")),入力リスト!$K$34,IF($I1967=TRUE,入力リスト!$K$35,IF(J1967=FALSE,"「毎月の固定給与額」","")&amp;IF(AND(J1967=FALSE,OR(K1967=FALSE,L1967=FALSE,M1967=FALSE)),",","")&amp;IF(K1967=FALSE,"「賞与額等」","")&amp;IF(AND(K1967=FALSE,OR(L1967=FALSE,M1967=FALSE)),",","")&amp;IF(L1967=FALSE,"「残業手当」","")&amp;IF(AND(L1967=FALSE,M1967=FALSE),",","")&amp;IF(M1967=FALSE,"「残業時間」","")&amp;IF(OR(J1967=FALSE,K1967=FALSE,L1967=FALSE,M1967=FALSE),入力リスト!$K$36,"")&amp;IF(N1967,"",入力リスト!$K$37)))</f>
        <v/>
      </c>
      <c r="H1967" s="215"/>
      <c r="I1967" s="1" t="b">
        <f>IF(B1967="",FALSE,COUNTIF('従業員情報(給与以外)'!$A$4:$A$1000000,$B1967)=0)</f>
        <v>0</v>
      </c>
      <c r="J1967" s="8" t="b">
        <f t="shared" si="150"/>
        <v>1</v>
      </c>
      <c r="K1967" s="8" t="b">
        <f t="shared" si="151"/>
        <v>1</v>
      </c>
      <c r="L1967" s="8" t="b">
        <f t="shared" si="152"/>
        <v>1</v>
      </c>
      <c r="M1967" s="8" t="b">
        <f t="shared" si="153"/>
        <v>1</v>
      </c>
      <c r="N1967" s="1" t="b">
        <f t="shared" si="154"/>
        <v>1</v>
      </c>
      <c r="O1967" s="8" t="str">
        <f>IF(F1967="","",IF($F$2=入力リスト!$H$25,ROUNDDOWN(INT(F1967)+ROUNDDOWN((F1967-INT(F1967))*100,0)/60,2),F1967))</f>
        <v/>
      </c>
      <c r="P1967" s="7"/>
      <c r="Q1967" s="7"/>
    </row>
    <row r="1968" spans="1:17">
      <c r="A1968" s="105"/>
      <c r="B1968" s="2"/>
      <c r="C1968" s="3"/>
      <c r="D1968" s="3"/>
      <c r="E1968" s="3"/>
      <c r="F1968" s="8"/>
      <c r="G1968" s="215" t="str">
        <f>IF(AND($B1968="",OR(B1968&lt;&gt;"",C1968&lt;&gt;"",D1968&lt;&gt;"",E1968&lt;&gt;"",F1968&lt;&gt;"")),入力リスト!$K$34,IF($I1968=TRUE,入力リスト!$K$35,IF(J1968=FALSE,"「毎月の固定給与額」","")&amp;IF(AND(J1968=FALSE,OR(K1968=FALSE,L1968=FALSE,M1968=FALSE)),",","")&amp;IF(K1968=FALSE,"「賞与額等」","")&amp;IF(AND(K1968=FALSE,OR(L1968=FALSE,M1968=FALSE)),",","")&amp;IF(L1968=FALSE,"「残業手当」","")&amp;IF(AND(L1968=FALSE,M1968=FALSE),",","")&amp;IF(M1968=FALSE,"「残業時間」","")&amp;IF(OR(J1968=FALSE,K1968=FALSE,L1968=FALSE,M1968=FALSE),入力リスト!$K$36,"")&amp;IF(N1968,"",入力リスト!$K$37)))</f>
        <v/>
      </c>
      <c r="H1968" s="215"/>
      <c r="I1968" s="1" t="b">
        <f>IF(B1968="",FALSE,COUNTIF('従業員情報(給与以外)'!$A$4:$A$1000000,$B1968)=0)</f>
        <v>0</v>
      </c>
      <c r="J1968" s="8" t="b">
        <f t="shared" si="150"/>
        <v>1</v>
      </c>
      <c r="K1968" s="8" t="b">
        <f t="shared" si="151"/>
        <v>1</v>
      </c>
      <c r="L1968" s="8" t="b">
        <f t="shared" si="152"/>
        <v>1</v>
      </c>
      <c r="M1968" s="8" t="b">
        <f t="shared" si="153"/>
        <v>1</v>
      </c>
      <c r="N1968" s="1" t="b">
        <f t="shared" si="154"/>
        <v>1</v>
      </c>
      <c r="O1968" s="8" t="str">
        <f>IF(F1968="","",IF($F$2=入力リスト!$H$25,ROUNDDOWN(INT(F1968)+ROUNDDOWN((F1968-INT(F1968))*100,0)/60,2),F1968))</f>
        <v/>
      </c>
      <c r="P1968" s="7"/>
      <c r="Q1968" s="7"/>
    </row>
    <row r="1969" spans="1:17">
      <c r="A1969" s="105"/>
      <c r="B1969" s="2"/>
      <c r="C1969" s="3"/>
      <c r="D1969" s="3"/>
      <c r="E1969" s="3"/>
      <c r="F1969" s="8"/>
      <c r="G1969" s="215" t="str">
        <f>IF(AND($B1969="",OR(B1969&lt;&gt;"",C1969&lt;&gt;"",D1969&lt;&gt;"",E1969&lt;&gt;"",F1969&lt;&gt;"")),入力リスト!$K$34,IF($I1969=TRUE,入力リスト!$K$35,IF(J1969=FALSE,"「毎月の固定給与額」","")&amp;IF(AND(J1969=FALSE,OR(K1969=FALSE,L1969=FALSE,M1969=FALSE)),",","")&amp;IF(K1969=FALSE,"「賞与額等」","")&amp;IF(AND(K1969=FALSE,OR(L1969=FALSE,M1969=FALSE)),",","")&amp;IF(L1969=FALSE,"「残業手当」","")&amp;IF(AND(L1969=FALSE,M1969=FALSE),",","")&amp;IF(M1969=FALSE,"「残業時間」","")&amp;IF(OR(J1969=FALSE,K1969=FALSE,L1969=FALSE,M1969=FALSE),入力リスト!$K$36,"")&amp;IF(N1969,"",入力リスト!$K$37)))</f>
        <v/>
      </c>
      <c r="H1969" s="215"/>
      <c r="I1969" s="1" t="b">
        <f>IF(B1969="",FALSE,COUNTIF('従業員情報(給与以外)'!$A$4:$A$1000000,$B1969)=0)</f>
        <v>0</v>
      </c>
      <c r="J1969" s="8" t="b">
        <f t="shared" si="150"/>
        <v>1</v>
      </c>
      <c r="K1969" s="8" t="b">
        <f t="shared" si="151"/>
        <v>1</v>
      </c>
      <c r="L1969" s="8" t="b">
        <f t="shared" si="152"/>
        <v>1</v>
      </c>
      <c r="M1969" s="8" t="b">
        <f t="shared" si="153"/>
        <v>1</v>
      </c>
      <c r="N1969" s="1" t="b">
        <f t="shared" si="154"/>
        <v>1</v>
      </c>
      <c r="O1969" s="8" t="str">
        <f>IF(F1969="","",IF($F$2=入力リスト!$H$25,ROUNDDOWN(INT(F1969)+ROUNDDOWN((F1969-INT(F1969))*100,0)/60,2),F1969))</f>
        <v/>
      </c>
      <c r="P1969" s="7"/>
      <c r="Q1969" s="7"/>
    </row>
    <row r="1970" spans="1:17">
      <c r="A1970" s="105"/>
      <c r="B1970" s="2"/>
      <c r="C1970" s="3"/>
      <c r="D1970" s="3"/>
      <c r="E1970" s="3"/>
      <c r="F1970" s="8"/>
      <c r="G1970" s="215" t="str">
        <f>IF(AND($B1970="",OR(B1970&lt;&gt;"",C1970&lt;&gt;"",D1970&lt;&gt;"",E1970&lt;&gt;"",F1970&lt;&gt;"")),入力リスト!$K$34,IF($I1970=TRUE,入力リスト!$K$35,IF(J1970=FALSE,"「毎月の固定給与額」","")&amp;IF(AND(J1970=FALSE,OR(K1970=FALSE,L1970=FALSE,M1970=FALSE)),",","")&amp;IF(K1970=FALSE,"「賞与額等」","")&amp;IF(AND(K1970=FALSE,OR(L1970=FALSE,M1970=FALSE)),",","")&amp;IF(L1970=FALSE,"「残業手当」","")&amp;IF(AND(L1970=FALSE,M1970=FALSE),",","")&amp;IF(M1970=FALSE,"「残業時間」","")&amp;IF(OR(J1970=FALSE,K1970=FALSE,L1970=FALSE,M1970=FALSE),入力リスト!$K$36,"")&amp;IF(N1970,"",入力リスト!$K$37)))</f>
        <v/>
      </c>
      <c r="H1970" s="215"/>
      <c r="I1970" s="1" t="b">
        <f>IF(B1970="",FALSE,COUNTIF('従業員情報(給与以外)'!$A$4:$A$1000000,$B1970)=0)</f>
        <v>0</v>
      </c>
      <c r="J1970" s="8" t="b">
        <f t="shared" si="150"/>
        <v>1</v>
      </c>
      <c r="K1970" s="8" t="b">
        <f t="shared" si="151"/>
        <v>1</v>
      </c>
      <c r="L1970" s="8" t="b">
        <f t="shared" si="152"/>
        <v>1</v>
      </c>
      <c r="M1970" s="8" t="b">
        <f t="shared" si="153"/>
        <v>1</v>
      </c>
      <c r="N1970" s="1" t="b">
        <f t="shared" si="154"/>
        <v>1</v>
      </c>
      <c r="O1970" s="8" t="str">
        <f>IF(F1970="","",IF($F$2=入力リスト!$H$25,ROUNDDOWN(INT(F1970)+ROUNDDOWN((F1970-INT(F1970))*100,0)/60,2),F1970))</f>
        <v/>
      </c>
      <c r="P1970" s="7"/>
      <c r="Q1970" s="7"/>
    </row>
    <row r="1971" spans="1:17">
      <c r="A1971" s="105"/>
      <c r="B1971" s="2"/>
      <c r="C1971" s="3"/>
      <c r="D1971" s="3"/>
      <c r="E1971" s="3"/>
      <c r="F1971" s="8"/>
      <c r="G1971" s="215" t="str">
        <f>IF(AND($B1971="",OR(B1971&lt;&gt;"",C1971&lt;&gt;"",D1971&lt;&gt;"",E1971&lt;&gt;"",F1971&lt;&gt;"")),入力リスト!$K$34,IF($I1971=TRUE,入力リスト!$K$35,IF(J1971=FALSE,"「毎月の固定給与額」","")&amp;IF(AND(J1971=FALSE,OR(K1971=FALSE,L1971=FALSE,M1971=FALSE)),",","")&amp;IF(K1971=FALSE,"「賞与額等」","")&amp;IF(AND(K1971=FALSE,OR(L1971=FALSE,M1971=FALSE)),",","")&amp;IF(L1971=FALSE,"「残業手当」","")&amp;IF(AND(L1971=FALSE,M1971=FALSE),",","")&amp;IF(M1971=FALSE,"「残業時間」","")&amp;IF(OR(J1971=FALSE,K1971=FALSE,L1971=FALSE,M1971=FALSE),入力リスト!$K$36,"")&amp;IF(N1971,"",入力リスト!$K$37)))</f>
        <v/>
      </c>
      <c r="H1971" s="215"/>
      <c r="I1971" s="1" t="b">
        <f>IF(B1971="",FALSE,COUNTIF('従業員情報(給与以外)'!$A$4:$A$1000000,$B1971)=0)</f>
        <v>0</v>
      </c>
      <c r="J1971" s="8" t="b">
        <f t="shared" si="150"/>
        <v>1</v>
      </c>
      <c r="K1971" s="8" t="b">
        <f t="shared" si="151"/>
        <v>1</v>
      </c>
      <c r="L1971" s="8" t="b">
        <f t="shared" si="152"/>
        <v>1</v>
      </c>
      <c r="M1971" s="8" t="b">
        <f t="shared" si="153"/>
        <v>1</v>
      </c>
      <c r="N1971" s="1" t="b">
        <f t="shared" si="154"/>
        <v>1</v>
      </c>
      <c r="O1971" s="8" t="str">
        <f>IF(F1971="","",IF($F$2=入力リスト!$H$25,ROUNDDOWN(INT(F1971)+ROUNDDOWN((F1971-INT(F1971))*100,0)/60,2),F1971))</f>
        <v/>
      </c>
      <c r="P1971" s="7"/>
      <c r="Q1971" s="7"/>
    </row>
    <row r="1972" spans="1:17">
      <c r="A1972" s="105"/>
      <c r="B1972" s="2"/>
      <c r="C1972" s="3"/>
      <c r="D1972" s="3"/>
      <c r="E1972" s="3"/>
      <c r="F1972" s="8"/>
      <c r="G1972" s="215" t="str">
        <f>IF(AND($B1972="",OR(B1972&lt;&gt;"",C1972&lt;&gt;"",D1972&lt;&gt;"",E1972&lt;&gt;"",F1972&lt;&gt;"")),入力リスト!$K$34,IF($I1972=TRUE,入力リスト!$K$35,IF(J1972=FALSE,"「毎月の固定給与額」","")&amp;IF(AND(J1972=FALSE,OR(K1972=FALSE,L1972=FALSE,M1972=FALSE)),",","")&amp;IF(K1972=FALSE,"「賞与額等」","")&amp;IF(AND(K1972=FALSE,OR(L1972=FALSE,M1972=FALSE)),",","")&amp;IF(L1972=FALSE,"「残業手当」","")&amp;IF(AND(L1972=FALSE,M1972=FALSE),",","")&amp;IF(M1972=FALSE,"「残業時間」","")&amp;IF(OR(J1972=FALSE,K1972=FALSE,L1972=FALSE,M1972=FALSE),入力リスト!$K$36,"")&amp;IF(N1972,"",入力リスト!$K$37)))</f>
        <v/>
      </c>
      <c r="H1972" s="215"/>
      <c r="I1972" s="1" t="b">
        <f>IF(B1972="",FALSE,COUNTIF('従業員情報(給与以外)'!$A$4:$A$1000000,$B1972)=0)</f>
        <v>0</v>
      </c>
      <c r="J1972" s="8" t="b">
        <f t="shared" si="150"/>
        <v>1</v>
      </c>
      <c r="K1972" s="8" t="b">
        <f t="shared" si="151"/>
        <v>1</v>
      </c>
      <c r="L1972" s="8" t="b">
        <f t="shared" si="152"/>
        <v>1</v>
      </c>
      <c r="M1972" s="8" t="b">
        <f t="shared" si="153"/>
        <v>1</v>
      </c>
      <c r="N1972" s="1" t="b">
        <f t="shared" si="154"/>
        <v>1</v>
      </c>
      <c r="O1972" s="8" t="str">
        <f>IF(F1972="","",IF($F$2=入力リスト!$H$25,ROUNDDOWN(INT(F1972)+ROUNDDOWN((F1972-INT(F1972))*100,0)/60,2),F1972))</f>
        <v/>
      </c>
      <c r="P1972" s="7"/>
      <c r="Q1972" s="7"/>
    </row>
    <row r="1973" spans="1:17">
      <c r="A1973" s="105"/>
      <c r="B1973" s="2"/>
      <c r="C1973" s="3"/>
      <c r="D1973" s="3"/>
      <c r="E1973" s="3"/>
      <c r="F1973" s="8"/>
      <c r="G1973" s="215" t="str">
        <f>IF(AND($B1973="",OR(B1973&lt;&gt;"",C1973&lt;&gt;"",D1973&lt;&gt;"",E1973&lt;&gt;"",F1973&lt;&gt;"")),入力リスト!$K$34,IF($I1973=TRUE,入力リスト!$K$35,IF(J1973=FALSE,"「毎月の固定給与額」","")&amp;IF(AND(J1973=FALSE,OR(K1973=FALSE,L1973=FALSE,M1973=FALSE)),",","")&amp;IF(K1973=FALSE,"「賞与額等」","")&amp;IF(AND(K1973=FALSE,OR(L1973=FALSE,M1973=FALSE)),",","")&amp;IF(L1973=FALSE,"「残業手当」","")&amp;IF(AND(L1973=FALSE,M1973=FALSE),",","")&amp;IF(M1973=FALSE,"「残業時間」","")&amp;IF(OR(J1973=FALSE,K1973=FALSE,L1973=FALSE,M1973=FALSE),入力リスト!$K$36,"")&amp;IF(N1973,"",入力リスト!$K$37)))</f>
        <v/>
      </c>
      <c r="H1973" s="215"/>
      <c r="I1973" s="1" t="b">
        <f>IF(B1973="",FALSE,COUNTIF('従業員情報(給与以外)'!$A$4:$A$1000000,$B1973)=0)</f>
        <v>0</v>
      </c>
      <c r="J1973" s="8" t="b">
        <f t="shared" si="150"/>
        <v>1</v>
      </c>
      <c r="K1973" s="8" t="b">
        <f t="shared" si="151"/>
        <v>1</v>
      </c>
      <c r="L1973" s="8" t="b">
        <f t="shared" si="152"/>
        <v>1</v>
      </c>
      <c r="M1973" s="8" t="b">
        <f t="shared" si="153"/>
        <v>1</v>
      </c>
      <c r="N1973" s="1" t="b">
        <f t="shared" si="154"/>
        <v>1</v>
      </c>
      <c r="O1973" s="8" t="str">
        <f>IF(F1973="","",IF($F$2=入力リスト!$H$25,ROUNDDOWN(INT(F1973)+ROUNDDOWN((F1973-INT(F1973))*100,0)/60,2),F1973))</f>
        <v/>
      </c>
      <c r="P1973" s="7"/>
      <c r="Q1973" s="7"/>
    </row>
    <row r="1974" spans="1:17">
      <c r="A1974" s="105"/>
      <c r="B1974" s="2"/>
      <c r="C1974" s="3"/>
      <c r="D1974" s="3"/>
      <c r="E1974" s="3"/>
      <c r="F1974" s="8"/>
      <c r="G1974" s="215" t="str">
        <f>IF(AND($B1974="",OR(B1974&lt;&gt;"",C1974&lt;&gt;"",D1974&lt;&gt;"",E1974&lt;&gt;"",F1974&lt;&gt;"")),入力リスト!$K$34,IF($I1974=TRUE,入力リスト!$K$35,IF(J1974=FALSE,"「毎月の固定給与額」","")&amp;IF(AND(J1974=FALSE,OR(K1974=FALSE,L1974=FALSE,M1974=FALSE)),",","")&amp;IF(K1974=FALSE,"「賞与額等」","")&amp;IF(AND(K1974=FALSE,OR(L1974=FALSE,M1974=FALSE)),",","")&amp;IF(L1974=FALSE,"「残業手当」","")&amp;IF(AND(L1974=FALSE,M1974=FALSE),",","")&amp;IF(M1974=FALSE,"「残業時間」","")&amp;IF(OR(J1974=FALSE,K1974=FALSE,L1974=FALSE,M1974=FALSE),入力リスト!$K$36,"")&amp;IF(N1974,"",入力リスト!$K$37)))</f>
        <v/>
      </c>
      <c r="H1974" s="215"/>
      <c r="I1974" s="1" t="b">
        <f>IF(B1974="",FALSE,COUNTIF('従業員情報(給与以外)'!$A$4:$A$1000000,$B1974)=0)</f>
        <v>0</v>
      </c>
      <c r="J1974" s="8" t="b">
        <f t="shared" si="150"/>
        <v>1</v>
      </c>
      <c r="K1974" s="8" t="b">
        <f t="shared" si="151"/>
        <v>1</v>
      </c>
      <c r="L1974" s="8" t="b">
        <f t="shared" si="152"/>
        <v>1</v>
      </c>
      <c r="M1974" s="8" t="b">
        <f t="shared" si="153"/>
        <v>1</v>
      </c>
      <c r="N1974" s="1" t="b">
        <f t="shared" si="154"/>
        <v>1</v>
      </c>
      <c r="O1974" s="8" t="str">
        <f>IF(F1974="","",IF($F$2=入力リスト!$H$25,ROUNDDOWN(INT(F1974)+ROUNDDOWN((F1974-INT(F1974))*100,0)/60,2),F1974))</f>
        <v/>
      </c>
      <c r="P1974" s="7"/>
      <c r="Q1974" s="7"/>
    </row>
    <row r="1975" spans="1:17">
      <c r="A1975" s="105"/>
      <c r="B1975" s="2"/>
      <c r="C1975" s="3"/>
      <c r="D1975" s="3"/>
      <c r="E1975" s="3"/>
      <c r="F1975" s="8"/>
      <c r="G1975" s="215" t="str">
        <f>IF(AND($B1975="",OR(B1975&lt;&gt;"",C1975&lt;&gt;"",D1975&lt;&gt;"",E1975&lt;&gt;"",F1975&lt;&gt;"")),入力リスト!$K$34,IF($I1975=TRUE,入力リスト!$K$35,IF(J1975=FALSE,"「毎月の固定給与額」","")&amp;IF(AND(J1975=FALSE,OR(K1975=FALSE,L1975=FALSE,M1975=FALSE)),",","")&amp;IF(K1975=FALSE,"「賞与額等」","")&amp;IF(AND(K1975=FALSE,OR(L1975=FALSE,M1975=FALSE)),",","")&amp;IF(L1975=FALSE,"「残業手当」","")&amp;IF(AND(L1975=FALSE,M1975=FALSE),",","")&amp;IF(M1975=FALSE,"「残業時間」","")&amp;IF(OR(J1975=FALSE,K1975=FALSE,L1975=FALSE,M1975=FALSE),入力リスト!$K$36,"")&amp;IF(N1975,"",入力リスト!$K$37)))</f>
        <v/>
      </c>
      <c r="H1975" s="215"/>
      <c r="I1975" s="1" t="b">
        <f>IF(B1975="",FALSE,COUNTIF('従業員情報(給与以外)'!$A$4:$A$1000000,$B1975)=0)</f>
        <v>0</v>
      </c>
      <c r="J1975" s="8" t="b">
        <f t="shared" si="150"/>
        <v>1</v>
      </c>
      <c r="K1975" s="8" t="b">
        <f t="shared" si="151"/>
        <v>1</v>
      </c>
      <c r="L1975" s="8" t="b">
        <f t="shared" si="152"/>
        <v>1</v>
      </c>
      <c r="M1975" s="8" t="b">
        <f t="shared" si="153"/>
        <v>1</v>
      </c>
      <c r="N1975" s="1" t="b">
        <f t="shared" si="154"/>
        <v>1</v>
      </c>
      <c r="O1975" s="8" t="str">
        <f>IF(F1975="","",IF($F$2=入力リスト!$H$25,ROUNDDOWN(INT(F1975)+ROUNDDOWN((F1975-INT(F1975))*100,0)/60,2),F1975))</f>
        <v/>
      </c>
      <c r="P1975" s="7"/>
      <c r="Q1975" s="7"/>
    </row>
    <row r="1976" spans="1:17">
      <c r="A1976" s="105"/>
      <c r="B1976" s="2"/>
      <c r="C1976" s="3"/>
      <c r="D1976" s="3"/>
      <c r="E1976" s="3"/>
      <c r="F1976" s="8"/>
      <c r="G1976" s="215" t="str">
        <f>IF(AND($B1976="",OR(B1976&lt;&gt;"",C1976&lt;&gt;"",D1976&lt;&gt;"",E1976&lt;&gt;"",F1976&lt;&gt;"")),入力リスト!$K$34,IF($I1976=TRUE,入力リスト!$K$35,IF(J1976=FALSE,"「毎月の固定給与額」","")&amp;IF(AND(J1976=FALSE,OR(K1976=FALSE,L1976=FALSE,M1976=FALSE)),",","")&amp;IF(K1976=FALSE,"「賞与額等」","")&amp;IF(AND(K1976=FALSE,OR(L1976=FALSE,M1976=FALSE)),",","")&amp;IF(L1976=FALSE,"「残業手当」","")&amp;IF(AND(L1976=FALSE,M1976=FALSE),",","")&amp;IF(M1976=FALSE,"「残業時間」","")&amp;IF(OR(J1976=FALSE,K1976=FALSE,L1976=FALSE,M1976=FALSE),入力リスト!$K$36,"")&amp;IF(N1976,"",入力リスト!$K$37)))</f>
        <v/>
      </c>
      <c r="H1976" s="215"/>
      <c r="I1976" s="1" t="b">
        <f>IF(B1976="",FALSE,COUNTIF('従業員情報(給与以外)'!$A$4:$A$1000000,$B1976)=0)</f>
        <v>0</v>
      </c>
      <c r="J1976" s="8" t="b">
        <f t="shared" si="150"/>
        <v>1</v>
      </c>
      <c r="K1976" s="8" t="b">
        <f t="shared" si="151"/>
        <v>1</v>
      </c>
      <c r="L1976" s="8" t="b">
        <f t="shared" si="152"/>
        <v>1</v>
      </c>
      <c r="M1976" s="8" t="b">
        <f t="shared" si="153"/>
        <v>1</v>
      </c>
      <c r="N1976" s="1" t="b">
        <f t="shared" si="154"/>
        <v>1</v>
      </c>
      <c r="O1976" s="8" t="str">
        <f>IF(F1976="","",IF($F$2=入力リスト!$H$25,ROUNDDOWN(INT(F1976)+ROUNDDOWN((F1976-INT(F1976))*100,0)/60,2),F1976))</f>
        <v/>
      </c>
      <c r="P1976" s="7"/>
      <c r="Q1976" s="7"/>
    </row>
    <row r="1977" spans="1:17">
      <c r="A1977" s="105"/>
      <c r="B1977" s="2"/>
      <c r="C1977" s="3"/>
      <c r="D1977" s="3"/>
      <c r="E1977" s="3"/>
      <c r="F1977" s="8"/>
      <c r="G1977" s="215" t="str">
        <f>IF(AND($B1977="",OR(B1977&lt;&gt;"",C1977&lt;&gt;"",D1977&lt;&gt;"",E1977&lt;&gt;"",F1977&lt;&gt;"")),入力リスト!$K$34,IF($I1977=TRUE,入力リスト!$K$35,IF(J1977=FALSE,"「毎月の固定給与額」","")&amp;IF(AND(J1977=FALSE,OR(K1977=FALSE,L1977=FALSE,M1977=FALSE)),",","")&amp;IF(K1977=FALSE,"「賞与額等」","")&amp;IF(AND(K1977=FALSE,OR(L1977=FALSE,M1977=FALSE)),",","")&amp;IF(L1977=FALSE,"「残業手当」","")&amp;IF(AND(L1977=FALSE,M1977=FALSE),",","")&amp;IF(M1977=FALSE,"「残業時間」","")&amp;IF(OR(J1977=FALSE,K1977=FALSE,L1977=FALSE,M1977=FALSE),入力リスト!$K$36,"")&amp;IF(N1977,"",入力リスト!$K$37)))</f>
        <v/>
      </c>
      <c r="H1977" s="215"/>
      <c r="I1977" s="1" t="b">
        <f>IF(B1977="",FALSE,COUNTIF('従業員情報(給与以外)'!$A$4:$A$1000000,$B1977)=0)</f>
        <v>0</v>
      </c>
      <c r="J1977" s="8" t="b">
        <f t="shared" si="150"/>
        <v>1</v>
      </c>
      <c r="K1977" s="8" t="b">
        <f t="shared" si="151"/>
        <v>1</v>
      </c>
      <c r="L1977" s="8" t="b">
        <f t="shared" si="152"/>
        <v>1</v>
      </c>
      <c r="M1977" s="8" t="b">
        <f t="shared" si="153"/>
        <v>1</v>
      </c>
      <c r="N1977" s="1" t="b">
        <f t="shared" si="154"/>
        <v>1</v>
      </c>
      <c r="O1977" s="8" t="str">
        <f>IF(F1977="","",IF($F$2=入力リスト!$H$25,ROUNDDOWN(INT(F1977)+ROUNDDOWN((F1977-INT(F1977))*100,0)/60,2),F1977))</f>
        <v/>
      </c>
      <c r="P1977" s="7"/>
      <c r="Q1977" s="7"/>
    </row>
    <row r="1978" spans="1:17">
      <c r="A1978" s="105"/>
      <c r="B1978" s="2"/>
      <c r="C1978" s="3"/>
      <c r="D1978" s="3"/>
      <c r="E1978" s="3"/>
      <c r="F1978" s="8"/>
      <c r="G1978" s="215" t="str">
        <f>IF(AND($B1978="",OR(B1978&lt;&gt;"",C1978&lt;&gt;"",D1978&lt;&gt;"",E1978&lt;&gt;"",F1978&lt;&gt;"")),入力リスト!$K$34,IF($I1978=TRUE,入力リスト!$K$35,IF(J1978=FALSE,"「毎月の固定給与額」","")&amp;IF(AND(J1978=FALSE,OR(K1978=FALSE,L1978=FALSE,M1978=FALSE)),",","")&amp;IF(K1978=FALSE,"「賞与額等」","")&amp;IF(AND(K1978=FALSE,OR(L1978=FALSE,M1978=FALSE)),",","")&amp;IF(L1978=FALSE,"「残業手当」","")&amp;IF(AND(L1978=FALSE,M1978=FALSE),",","")&amp;IF(M1978=FALSE,"「残業時間」","")&amp;IF(OR(J1978=FALSE,K1978=FALSE,L1978=FALSE,M1978=FALSE),入力リスト!$K$36,"")&amp;IF(N1978,"",入力リスト!$K$37)))</f>
        <v/>
      </c>
      <c r="H1978" s="215"/>
      <c r="I1978" s="1" t="b">
        <f>IF(B1978="",FALSE,COUNTIF('従業員情報(給与以外)'!$A$4:$A$1000000,$B1978)=0)</f>
        <v>0</v>
      </c>
      <c r="J1978" s="8" t="b">
        <f t="shared" si="150"/>
        <v>1</v>
      </c>
      <c r="K1978" s="8" t="b">
        <f t="shared" si="151"/>
        <v>1</v>
      </c>
      <c r="L1978" s="8" t="b">
        <f t="shared" si="152"/>
        <v>1</v>
      </c>
      <c r="M1978" s="8" t="b">
        <f t="shared" si="153"/>
        <v>1</v>
      </c>
      <c r="N1978" s="1" t="b">
        <f t="shared" si="154"/>
        <v>1</v>
      </c>
      <c r="O1978" s="8" t="str">
        <f>IF(F1978="","",IF($F$2=入力リスト!$H$25,ROUNDDOWN(INT(F1978)+ROUNDDOWN((F1978-INT(F1978))*100,0)/60,2),F1978))</f>
        <v/>
      </c>
      <c r="P1978" s="7"/>
      <c r="Q1978" s="7"/>
    </row>
    <row r="1979" spans="1:17">
      <c r="A1979" s="105"/>
      <c r="B1979" s="2"/>
      <c r="C1979" s="3"/>
      <c r="D1979" s="3"/>
      <c r="E1979" s="3"/>
      <c r="F1979" s="8"/>
      <c r="G1979" s="215" t="str">
        <f>IF(AND($B1979="",OR(B1979&lt;&gt;"",C1979&lt;&gt;"",D1979&lt;&gt;"",E1979&lt;&gt;"",F1979&lt;&gt;"")),入力リスト!$K$34,IF($I1979=TRUE,入力リスト!$K$35,IF(J1979=FALSE,"「毎月の固定給与額」","")&amp;IF(AND(J1979=FALSE,OR(K1979=FALSE,L1979=FALSE,M1979=FALSE)),",","")&amp;IF(K1979=FALSE,"「賞与額等」","")&amp;IF(AND(K1979=FALSE,OR(L1979=FALSE,M1979=FALSE)),",","")&amp;IF(L1979=FALSE,"「残業手当」","")&amp;IF(AND(L1979=FALSE,M1979=FALSE),",","")&amp;IF(M1979=FALSE,"「残業時間」","")&amp;IF(OR(J1979=FALSE,K1979=FALSE,L1979=FALSE,M1979=FALSE),入力リスト!$K$36,"")&amp;IF(N1979,"",入力リスト!$K$37)))</f>
        <v/>
      </c>
      <c r="H1979" s="215"/>
      <c r="I1979" s="1" t="b">
        <f>IF(B1979="",FALSE,COUNTIF('従業員情報(給与以外)'!$A$4:$A$1000000,$B1979)=0)</f>
        <v>0</v>
      </c>
      <c r="J1979" s="8" t="b">
        <f t="shared" si="150"/>
        <v>1</v>
      </c>
      <c r="K1979" s="8" t="b">
        <f t="shared" si="151"/>
        <v>1</v>
      </c>
      <c r="L1979" s="8" t="b">
        <f t="shared" si="152"/>
        <v>1</v>
      </c>
      <c r="M1979" s="8" t="b">
        <f t="shared" si="153"/>
        <v>1</v>
      </c>
      <c r="N1979" s="1" t="b">
        <f t="shared" si="154"/>
        <v>1</v>
      </c>
      <c r="O1979" s="8" t="str">
        <f>IF(F1979="","",IF($F$2=入力リスト!$H$25,ROUNDDOWN(INT(F1979)+ROUNDDOWN((F1979-INT(F1979))*100,0)/60,2),F1979))</f>
        <v/>
      </c>
      <c r="P1979" s="7"/>
      <c r="Q1979" s="7"/>
    </row>
    <row r="1980" spans="1:17">
      <c r="A1980" s="105"/>
      <c r="B1980" s="2"/>
      <c r="C1980" s="3"/>
      <c r="D1980" s="3"/>
      <c r="E1980" s="3"/>
      <c r="F1980" s="8"/>
      <c r="G1980" s="215" t="str">
        <f>IF(AND($B1980="",OR(B1980&lt;&gt;"",C1980&lt;&gt;"",D1980&lt;&gt;"",E1980&lt;&gt;"",F1980&lt;&gt;"")),入力リスト!$K$34,IF($I1980=TRUE,入力リスト!$K$35,IF(J1980=FALSE,"「毎月の固定給与額」","")&amp;IF(AND(J1980=FALSE,OR(K1980=FALSE,L1980=FALSE,M1980=FALSE)),",","")&amp;IF(K1980=FALSE,"「賞与額等」","")&amp;IF(AND(K1980=FALSE,OR(L1980=FALSE,M1980=FALSE)),",","")&amp;IF(L1980=FALSE,"「残業手当」","")&amp;IF(AND(L1980=FALSE,M1980=FALSE),",","")&amp;IF(M1980=FALSE,"「残業時間」","")&amp;IF(OR(J1980=FALSE,K1980=FALSE,L1980=FALSE,M1980=FALSE),入力リスト!$K$36,"")&amp;IF(N1980,"",入力リスト!$K$37)))</f>
        <v/>
      </c>
      <c r="H1980" s="215"/>
      <c r="I1980" s="1" t="b">
        <f>IF(B1980="",FALSE,COUNTIF('従業員情報(給与以外)'!$A$4:$A$1000000,$B1980)=0)</f>
        <v>0</v>
      </c>
      <c r="J1980" s="8" t="b">
        <f t="shared" si="150"/>
        <v>1</v>
      </c>
      <c r="K1980" s="8" t="b">
        <f t="shared" si="151"/>
        <v>1</v>
      </c>
      <c r="L1980" s="8" t="b">
        <f t="shared" si="152"/>
        <v>1</v>
      </c>
      <c r="M1980" s="8" t="b">
        <f t="shared" si="153"/>
        <v>1</v>
      </c>
      <c r="N1980" s="1" t="b">
        <f t="shared" si="154"/>
        <v>1</v>
      </c>
      <c r="O1980" s="8" t="str">
        <f>IF(F1980="","",IF($F$2=入力リスト!$H$25,ROUNDDOWN(INT(F1980)+ROUNDDOWN((F1980-INT(F1980))*100,0)/60,2),F1980))</f>
        <v/>
      </c>
      <c r="P1980" s="7"/>
      <c r="Q1980" s="7"/>
    </row>
    <row r="1981" spans="1:17">
      <c r="A1981" s="105"/>
      <c r="B1981" s="2"/>
      <c r="C1981" s="3"/>
      <c r="D1981" s="3"/>
      <c r="E1981" s="3"/>
      <c r="F1981" s="8"/>
      <c r="G1981" s="215" t="str">
        <f>IF(AND($B1981="",OR(B1981&lt;&gt;"",C1981&lt;&gt;"",D1981&lt;&gt;"",E1981&lt;&gt;"",F1981&lt;&gt;"")),入力リスト!$K$34,IF($I1981=TRUE,入力リスト!$K$35,IF(J1981=FALSE,"「毎月の固定給与額」","")&amp;IF(AND(J1981=FALSE,OR(K1981=FALSE,L1981=FALSE,M1981=FALSE)),",","")&amp;IF(K1981=FALSE,"「賞与額等」","")&amp;IF(AND(K1981=FALSE,OR(L1981=FALSE,M1981=FALSE)),",","")&amp;IF(L1981=FALSE,"「残業手当」","")&amp;IF(AND(L1981=FALSE,M1981=FALSE),",","")&amp;IF(M1981=FALSE,"「残業時間」","")&amp;IF(OR(J1981=FALSE,K1981=FALSE,L1981=FALSE,M1981=FALSE),入力リスト!$K$36,"")&amp;IF(N1981,"",入力リスト!$K$37)))</f>
        <v/>
      </c>
      <c r="H1981" s="215"/>
      <c r="I1981" s="1" t="b">
        <f>IF(B1981="",FALSE,COUNTIF('従業員情報(給与以外)'!$A$4:$A$1000000,$B1981)=0)</f>
        <v>0</v>
      </c>
      <c r="J1981" s="8" t="b">
        <f t="shared" si="150"/>
        <v>1</v>
      </c>
      <c r="K1981" s="8" t="b">
        <f t="shared" si="151"/>
        <v>1</v>
      </c>
      <c r="L1981" s="8" t="b">
        <f t="shared" si="152"/>
        <v>1</v>
      </c>
      <c r="M1981" s="8" t="b">
        <f t="shared" si="153"/>
        <v>1</v>
      </c>
      <c r="N1981" s="1" t="b">
        <f t="shared" si="154"/>
        <v>1</v>
      </c>
      <c r="O1981" s="8" t="str">
        <f>IF(F1981="","",IF($F$2=入力リスト!$H$25,ROUNDDOWN(INT(F1981)+ROUNDDOWN((F1981-INT(F1981))*100,0)/60,2),F1981))</f>
        <v/>
      </c>
      <c r="P1981" s="7"/>
      <c r="Q1981" s="7"/>
    </row>
    <row r="1982" spans="1:17">
      <c r="A1982" s="105"/>
      <c r="B1982" s="2"/>
      <c r="C1982" s="3"/>
      <c r="D1982" s="3"/>
      <c r="E1982" s="3"/>
      <c r="F1982" s="8"/>
      <c r="G1982" s="215" t="str">
        <f>IF(AND($B1982="",OR(B1982&lt;&gt;"",C1982&lt;&gt;"",D1982&lt;&gt;"",E1982&lt;&gt;"",F1982&lt;&gt;"")),入力リスト!$K$34,IF($I1982=TRUE,入力リスト!$K$35,IF(J1982=FALSE,"「毎月の固定給与額」","")&amp;IF(AND(J1982=FALSE,OR(K1982=FALSE,L1982=FALSE,M1982=FALSE)),",","")&amp;IF(K1982=FALSE,"「賞与額等」","")&amp;IF(AND(K1982=FALSE,OR(L1982=FALSE,M1982=FALSE)),",","")&amp;IF(L1982=FALSE,"「残業手当」","")&amp;IF(AND(L1982=FALSE,M1982=FALSE),",","")&amp;IF(M1982=FALSE,"「残業時間」","")&amp;IF(OR(J1982=FALSE,K1982=FALSE,L1982=FALSE,M1982=FALSE),入力リスト!$K$36,"")&amp;IF(N1982,"",入力リスト!$K$37)))</f>
        <v/>
      </c>
      <c r="H1982" s="215"/>
      <c r="I1982" s="1" t="b">
        <f>IF(B1982="",FALSE,COUNTIF('従業員情報(給与以外)'!$A$4:$A$1000000,$B1982)=0)</f>
        <v>0</v>
      </c>
      <c r="J1982" s="8" t="b">
        <f t="shared" si="150"/>
        <v>1</v>
      </c>
      <c r="K1982" s="8" t="b">
        <f t="shared" si="151"/>
        <v>1</v>
      </c>
      <c r="L1982" s="8" t="b">
        <f t="shared" si="152"/>
        <v>1</v>
      </c>
      <c r="M1982" s="8" t="b">
        <f t="shared" si="153"/>
        <v>1</v>
      </c>
      <c r="N1982" s="1" t="b">
        <f t="shared" si="154"/>
        <v>1</v>
      </c>
      <c r="O1982" s="8" t="str">
        <f>IF(F1982="","",IF($F$2=入力リスト!$H$25,ROUNDDOWN(INT(F1982)+ROUNDDOWN((F1982-INT(F1982))*100,0)/60,2),F1982))</f>
        <v/>
      </c>
      <c r="P1982" s="7"/>
      <c r="Q1982" s="7"/>
    </row>
    <row r="1983" spans="1:17">
      <c r="A1983" s="105"/>
      <c r="B1983" s="2"/>
      <c r="C1983" s="3"/>
      <c r="D1983" s="3"/>
      <c r="E1983" s="3"/>
      <c r="F1983" s="8"/>
      <c r="G1983" s="215" t="str">
        <f>IF(AND($B1983="",OR(B1983&lt;&gt;"",C1983&lt;&gt;"",D1983&lt;&gt;"",E1983&lt;&gt;"",F1983&lt;&gt;"")),入力リスト!$K$34,IF($I1983=TRUE,入力リスト!$K$35,IF(J1983=FALSE,"「毎月の固定給与額」","")&amp;IF(AND(J1983=FALSE,OR(K1983=FALSE,L1983=FALSE,M1983=FALSE)),",","")&amp;IF(K1983=FALSE,"「賞与額等」","")&amp;IF(AND(K1983=FALSE,OR(L1983=FALSE,M1983=FALSE)),",","")&amp;IF(L1983=FALSE,"「残業手当」","")&amp;IF(AND(L1983=FALSE,M1983=FALSE),",","")&amp;IF(M1983=FALSE,"「残業時間」","")&amp;IF(OR(J1983=FALSE,K1983=FALSE,L1983=FALSE,M1983=FALSE),入力リスト!$K$36,"")&amp;IF(N1983,"",入力リスト!$K$37)))</f>
        <v/>
      </c>
      <c r="H1983" s="215"/>
      <c r="I1983" s="1" t="b">
        <f>IF(B1983="",FALSE,COUNTIF('従業員情報(給与以外)'!$A$4:$A$1000000,$B1983)=0)</f>
        <v>0</v>
      </c>
      <c r="J1983" s="8" t="b">
        <f t="shared" si="150"/>
        <v>1</v>
      </c>
      <c r="K1983" s="8" t="b">
        <f t="shared" si="151"/>
        <v>1</v>
      </c>
      <c r="L1983" s="8" t="b">
        <f t="shared" si="152"/>
        <v>1</v>
      </c>
      <c r="M1983" s="8" t="b">
        <f t="shared" si="153"/>
        <v>1</v>
      </c>
      <c r="N1983" s="1" t="b">
        <f t="shared" si="154"/>
        <v>1</v>
      </c>
      <c r="O1983" s="8" t="str">
        <f>IF(F1983="","",IF($F$2=入力リスト!$H$25,ROUNDDOWN(INT(F1983)+ROUNDDOWN((F1983-INT(F1983))*100,0)/60,2),F1983))</f>
        <v/>
      </c>
      <c r="P1983" s="7"/>
      <c r="Q1983" s="7"/>
    </row>
    <row r="1984" spans="1:17">
      <c r="A1984" s="105"/>
      <c r="B1984" s="2"/>
      <c r="C1984" s="3"/>
      <c r="D1984" s="3"/>
      <c r="E1984" s="3"/>
      <c r="F1984" s="8"/>
      <c r="G1984" s="215" t="str">
        <f>IF(AND($B1984="",OR(B1984&lt;&gt;"",C1984&lt;&gt;"",D1984&lt;&gt;"",E1984&lt;&gt;"",F1984&lt;&gt;"")),入力リスト!$K$34,IF($I1984=TRUE,入力リスト!$K$35,IF(J1984=FALSE,"「毎月の固定給与額」","")&amp;IF(AND(J1984=FALSE,OR(K1984=FALSE,L1984=FALSE,M1984=FALSE)),",","")&amp;IF(K1984=FALSE,"「賞与額等」","")&amp;IF(AND(K1984=FALSE,OR(L1984=FALSE,M1984=FALSE)),",","")&amp;IF(L1984=FALSE,"「残業手当」","")&amp;IF(AND(L1984=FALSE,M1984=FALSE),",","")&amp;IF(M1984=FALSE,"「残業時間」","")&amp;IF(OR(J1984=FALSE,K1984=FALSE,L1984=FALSE,M1984=FALSE),入力リスト!$K$36,"")&amp;IF(N1984,"",入力リスト!$K$37)))</f>
        <v/>
      </c>
      <c r="H1984" s="215"/>
      <c r="I1984" s="1" t="b">
        <f>IF(B1984="",FALSE,COUNTIF('従業員情報(給与以外)'!$A$4:$A$1000000,$B1984)=0)</f>
        <v>0</v>
      </c>
      <c r="J1984" s="8" t="b">
        <f t="shared" si="150"/>
        <v>1</v>
      </c>
      <c r="K1984" s="8" t="b">
        <f t="shared" si="151"/>
        <v>1</v>
      </c>
      <c r="L1984" s="8" t="b">
        <f t="shared" si="152"/>
        <v>1</v>
      </c>
      <c r="M1984" s="8" t="b">
        <f t="shared" si="153"/>
        <v>1</v>
      </c>
      <c r="N1984" s="1" t="b">
        <f t="shared" si="154"/>
        <v>1</v>
      </c>
      <c r="O1984" s="8" t="str">
        <f>IF(F1984="","",IF($F$2=入力リスト!$H$25,ROUNDDOWN(INT(F1984)+ROUNDDOWN((F1984-INT(F1984))*100,0)/60,2),F1984))</f>
        <v/>
      </c>
      <c r="P1984" s="7"/>
      <c r="Q1984" s="7"/>
    </row>
    <row r="1985" spans="1:17">
      <c r="A1985" s="105"/>
      <c r="B1985" s="2"/>
      <c r="C1985" s="3"/>
      <c r="D1985" s="3"/>
      <c r="E1985" s="3"/>
      <c r="F1985" s="8"/>
      <c r="G1985" s="215" t="str">
        <f>IF(AND($B1985="",OR(B1985&lt;&gt;"",C1985&lt;&gt;"",D1985&lt;&gt;"",E1985&lt;&gt;"",F1985&lt;&gt;"")),入力リスト!$K$34,IF($I1985=TRUE,入力リスト!$K$35,IF(J1985=FALSE,"「毎月の固定給与額」","")&amp;IF(AND(J1985=FALSE,OR(K1985=FALSE,L1985=FALSE,M1985=FALSE)),",","")&amp;IF(K1985=FALSE,"「賞与額等」","")&amp;IF(AND(K1985=FALSE,OR(L1985=FALSE,M1985=FALSE)),",","")&amp;IF(L1985=FALSE,"「残業手当」","")&amp;IF(AND(L1985=FALSE,M1985=FALSE),",","")&amp;IF(M1985=FALSE,"「残業時間」","")&amp;IF(OR(J1985=FALSE,K1985=FALSE,L1985=FALSE,M1985=FALSE),入力リスト!$K$36,"")&amp;IF(N1985,"",入力リスト!$K$37)))</f>
        <v/>
      </c>
      <c r="H1985" s="215"/>
      <c r="I1985" s="1" t="b">
        <f>IF(B1985="",FALSE,COUNTIF('従業員情報(給与以外)'!$A$4:$A$1000000,$B1985)=0)</f>
        <v>0</v>
      </c>
      <c r="J1985" s="8" t="b">
        <f t="shared" si="150"/>
        <v>1</v>
      </c>
      <c r="K1985" s="8" t="b">
        <f t="shared" si="151"/>
        <v>1</v>
      </c>
      <c r="L1985" s="8" t="b">
        <f t="shared" si="152"/>
        <v>1</v>
      </c>
      <c r="M1985" s="8" t="b">
        <f t="shared" si="153"/>
        <v>1</v>
      </c>
      <c r="N1985" s="1" t="b">
        <f t="shared" si="154"/>
        <v>1</v>
      </c>
      <c r="O1985" s="8" t="str">
        <f>IF(F1985="","",IF($F$2=入力リスト!$H$25,ROUNDDOWN(INT(F1985)+ROUNDDOWN((F1985-INT(F1985))*100,0)/60,2),F1985))</f>
        <v/>
      </c>
      <c r="P1985" s="7"/>
      <c r="Q1985" s="7"/>
    </row>
    <row r="1986" spans="1:17">
      <c r="A1986" s="105"/>
      <c r="B1986" s="2"/>
      <c r="C1986" s="3"/>
      <c r="D1986" s="3"/>
      <c r="E1986" s="3"/>
      <c r="F1986" s="8"/>
      <c r="G1986" s="215" t="str">
        <f>IF(AND($B1986="",OR(B1986&lt;&gt;"",C1986&lt;&gt;"",D1986&lt;&gt;"",E1986&lt;&gt;"",F1986&lt;&gt;"")),入力リスト!$K$34,IF($I1986=TRUE,入力リスト!$K$35,IF(J1986=FALSE,"「毎月の固定給与額」","")&amp;IF(AND(J1986=FALSE,OR(K1986=FALSE,L1986=FALSE,M1986=FALSE)),",","")&amp;IF(K1986=FALSE,"「賞与額等」","")&amp;IF(AND(K1986=FALSE,OR(L1986=FALSE,M1986=FALSE)),",","")&amp;IF(L1986=FALSE,"「残業手当」","")&amp;IF(AND(L1986=FALSE,M1986=FALSE),",","")&amp;IF(M1986=FALSE,"「残業時間」","")&amp;IF(OR(J1986=FALSE,K1986=FALSE,L1986=FALSE,M1986=FALSE),入力リスト!$K$36,"")&amp;IF(N1986,"",入力リスト!$K$37)))</f>
        <v/>
      </c>
      <c r="H1986" s="215"/>
      <c r="I1986" s="1" t="b">
        <f>IF(B1986="",FALSE,COUNTIF('従業員情報(給与以外)'!$A$4:$A$1000000,$B1986)=0)</f>
        <v>0</v>
      </c>
      <c r="J1986" s="8" t="b">
        <f t="shared" si="150"/>
        <v>1</v>
      </c>
      <c r="K1986" s="8" t="b">
        <f t="shared" si="151"/>
        <v>1</v>
      </c>
      <c r="L1986" s="8" t="b">
        <f t="shared" si="152"/>
        <v>1</v>
      </c>
      <c r="M1986" s="8" t="b">
        <f t="shared" si="153"/>
        <v>1</v>
      </c>
      <c r="N1986" s="1" t="b">
        <f t="shared" si="154"/>
        <v>1</v>
      </c>
      <c r="O1986" s="8" t="str">
        <f>IF(F1986="","",IF($F$2=入力リスト!$H$25,ROUNDDOWN(INT(F1986)+ROUNDDOWN((F1986-INT(F1986))*100,0)/60,2),F1986))</f>
        <v/>
      </c>
      <c r="P1986" s="7"/>
      <c r="Q1986" s="7"/>
    </row>
    <row r="1987" spans="1:17">
      <c r="A1987" s="105"/>
      <c r="B1987" s="2"/>
      <c r="C1987" s="3"/>
      <c r="D1987" s="3"/>
      <c r="E1987" s="3"/>
      <c r="F1987" s="8"/>
      <c r="G1987" s="215" t="str">
        <f>IF(AND($B1987="",OR(B1987&lt;&gt;"",C1987&lt;&gt;"",D1987&lt;&gt;"",E1987&lt;&gt;"",F1987&lt;&gt;"")),入力リスト!$K$34,IF($I1987=TRUE,入力リスト!$K$35,IF(J1987=FALSE,"「毎月の固定給与額」","")&amp;IF(AND(J1987=FALSE,OR(K1987=FALSE,L1987=FALSE,M1987=FALSE)),",","")&amp;IF(K1987=FALSE,"「賞与額等」","")&amp;IF(AND(K1987=FALSE,OR(L1987=FALSE,M1987=FALSE)),",","")&amp;IF(L1987=FALSE,"「残業手当」","")&amp;IF(AND(L1987=FALSE,M1987=FALSE),",","")&amp;IF(M1987=FALSE,"「残業時間」","")&amp;IF(OR(J1987=FALSE,K1987=FALSE,L1987=FALSE,M1987=FALSE),入力リスト!$K$36,"")&amp;IF(N1987,"",入力リスト!$K$37)))</f>
        <v/>
      </c>
      <c r="H1987" s="215"/>
      <c r="I1987" s="1" t="b">
        <f>IF(B1987="",FALSE,COUNTIF('従業員情報(給与以外)'!$A$4:$A$1000000,$B1987)=0)</f>
        <v>0</v>
      </c>
      <c r="J1987" s="8" t="b">
        <f t="shared" si="150"/>
        <v>1</v>
      </c>
      <c r="K1987" s="8" t="b">
        <f t="shared" si="151"/>
        <v>1</v>
      </c>
      <c r="L1987" s="8" t="b">
        <f t="shared" si="152"/>
        <v>1</v>
      </c>
      <c r="M1987" s="8" t="b">
        <f t="shared" si="153"/>
        <v>1</v>
      </c>
      <c r="N1987" s="1" t="b">
        <f t="shared" si="154"/>
        <v>1</v>
      </c>
      <c r="O1987" s="8" t="str">
        <f>IF(F1987="","",IF($F$2=入力リスト!$H$25,ROUNDDOWN(INT(F1987)+ROUNDDOWN((F1987-INT(F1987))*100,0)/60,2),F1987))</f>
        <v/>
      </c>
      <c r="P1987" s="7"/>
      <c r="Q1987" s="7"/>
    </row>
    <row r="1988" spans="1:17">
      <c r="A1988" s="105"/>
      <c r="B1988" s="2"/>
      <c r="C1988" s="3"/>
      <c r="D1988" s="3"/>
      <c r="E1988" s="3"/>
      <c r="F1988" s="8"/>
      <c r="G1988" s="215" t="str">
        <f>IF(AND($B1988="",OR(B1988&lt;&gt;"",C1988&lt;&gt;"",D1988&lt;&gt;"",E1988&lt;&gt;"",F1988&lt;&gt;"")),入力リスト!$K$34,IF($I1988=TRUE,入力リスト!$K$35,IF(J1988=FALSE,"「毎月の固定給与額」","")&amp;IF(AND(J1988=FALSE,OR(K1988=FALSE,L1988=FALSE,M1988=FALSE)),",","")&amp;IF(K1988=FALSE,"「賞与額等」","")&amp;IF(AND(K1988=FALSE,OR(L1988=FALSE,M1988=FALSE)),",","")&amp;IF(L1988=FALSE,"「残業手当」","")&amp;IF(AND(L1988=FALSE,M1988=FALSE),",","")&amp;IF(M1988=FALSE,"「残業時間」","")&amp;IF(OR(J1988=FALSE,K1988=FALSE,L1988=FALSE,M1988=FALSE),入力リスト!$K$36,"")&amp;IF(N1988,"",入力リスト!$K$37)))</f>
        <v/>
      </c>
      <c r="H1988" s="215"/>
      <c r="I1988" s="1" t="b">
        <f>IF(B1988="",FALSE,COUNTIF('従業員情報(給与以外)'!$A$4:$A$1000000,$B1988)=0)</f>
        <v>0</v>
      </c>
      <c r="J1988" s="8" t="b">
        <f t="shared" si="150"/>
        <v>1</v>
      </c>
      <c r="K1988" s="8" t="b">
        <f t="shared" si="151"/>
        <v>1</v>
      </c>
      <c r="L1988" s="8" t="b">
        <f t="shared" si="152"/>
        <v>1</v>
      </c>
      <c r="M1988" s="8" t="b">
        <f t="shared" si="153"/>
        <v>1</v>
      </c>
      <c r="N1988" s="1" t="b">
        <f t="shared" si="154"/>
        <v>1</v>
      </c>
      <c r="O1988" s="8" t="str">
        <f>IF(F1988="","",IF($F$2=入力リスト!$H$25,ROUNDDOWN(INT(F1988)+ROUNDDOWN((F1988-INT(F1988))*100,0)/60,2),F1988))</f>
        <v/>
      </c>
      <c r="P1988" s="7"/>
      <c r="Q1988" s="7"/>
    </row>
    <row r="1989" spans="1:17">
      <c r="A1989" s="105"/>
      <c r="B1989" s="2"/>
      <c r="C1989" s="3"/>
      <c r="D1989" s="3"/>
      <c r="E1989" s="3"/>
      <c r="F1989" s="8"/>
      <c r="G1989" s="215" t="str">
        <f>IF(AND($B1989="",OR(B1989&lt;&gt;"",C1989&lt;&gt;"",D1989&lt;&gt;"",E1989&lt;&gt;"",F1989&lt;&gt;"")),入力リスト!$K$34,IF($I1989=TRUE,入力リスト!$K$35,IF(J1989=FALSE,"「毎月の固定給与額」","")&amp;IF(AND(J1989=FALSE,OR(K1989=FALSE,L1989=FALSE,M1989=FALSE)),",","")&amp;IF(K1989=FALSE,"「賞与額等」","")&amp;IF(AND(K1989=FALSE,OR(L1989=FALSE,M1989=FALSE)),",","")&amp;IF(L1989=FALSE,"「残業手当」","")&amp;IF(AND(L1989=FALSE,M1989=FALSE),",","")&amp;IF(M1989=FALSE,"「残業時間」","")&amp;IF(OR(J1989=FALSE,K1989=FALSE,L1989=FALSE,M1989=FALSE),入力リスト!$K$36,"")&amp;IF(N1989,"",入力リスト!$K$37)))</f>
        <v/>
      </c>
      <c r="H1989" s="215"/>
      <c r="I1989" s="1" t="b">
        <f>IF(B1989="",FALSE,COUNTIF('従業員情報(給与以外)'!$A$4:$A$1000000,$B1989)=0)</f>
        <v>0</v>
      </c>
      <c r="J1989" s="8" t="b">
        <f t="shared" ref="J1989:J2052" si="155">OR(C1989="",ISNUMBER(C1989))</f>
        <v>1</v>
      </c>
      <c r="K1989" s="8" t="b">
        <f t="shared" ref="K1989:K2052" si="156">OR(D1989="",ISNUMBER(D1989))</f>
        <v>1</v>
      </c>
      <c r="L1989" s="8" t="b">
        <f t="shared" ref="L1989:L2052" si="157">OR(E1989="",ISNUMBER(E1989))</f>
        <v>1</v>
      </c>
      <c r="M1989" s="8" t="b">
        <f t="shared" ref="M1989:M2052" si="158">OR(F1989="",ISNUMBER(F1989))</f>
        <v>1</v>
      </c>
      <c r="N1989" s="1" t="b">
        <f t="shared" ref="N1989:N2052" si="159">IF($N$1,TRUE,IF($N$2,IF(F1989-INT(F1989)&lt;0.6,TRUE,FALSE),TRUE))</f>
        <v>1</v>
      </c>
      <c r="O1989" s="8" t="str">
        <f>IF(F1989="","",IF($F$2=入力リスト!$H$25,ROUNDDOWN(INT(F1989)+ROUNDDOWN((F1989-INT(F1989))*100,0)/60,2),F1989))</f>
        <v/>
      </c>
      <c r="P1989" s="7"/>
      <c r="Q1989" s="7"/>
    </row>
    <row r="1990" spans="1:17">
      <c r="A1990" s="105"/>
      <c r="B1990" s="2"/>
      <c r="C1990" s="3"/>
      <c r="D1990" s="3"/>
      <c r="E1990" s="3"/>
      <c r="F1990" s="8"/>
      <c r="G1990" s="215" t="str">
        <f>IF(AND($B1990="",OR(B1990&lt;&gt;"",C1990&lt;&gt;"",D1990&lt;&gt;"",E1990&lt;&gt;"",F1990&lt;&gt;"")),入力リスト!$K$34,IF($I1990=TRUE,入力リスト!$K$35,IF(J1990=FALSE,"「毎月の固定給与額」","")&amp;IF(AND(J1990=FALSE,OR(K1990=FALSE,L1990=FALSE,M1990=FALSE)),",","")&amp;IF(K1990=FALSE,"「賞与額等」","")&amp;IF(AND(K1990=FALSE,OR(L1990=FALSE,M1990=FALSE)),",","")&amp;IF(L1990=FALSE,"「残業手当」","")&amp;IF(AND(L1990=FALSE,M1990=FALSE),",","")&amp;IF(M1990=FALSE,"「残業時間」","")&amp;IF(OR(J1990=FALSE,K1990=FALSE,L1990=FALSE,M1990=FALSE),入力リスト!$K$36,"")&amp;IF(N1990,"",入力リスト!$K$37)))</f>
        <v/>
      </c>
      <c r="H1990" s="215"/>
      <c r="I1990" s="1" t="b">
        <f>IF(B1990="",FALSE,COUNTIF('従業員情報(給与以外)'!$A$4:$A$1000000,$B1990)=0)</f>
        <v>0</v>
      </c>
      <c r="J1990" s="8" t="b">
        <f t="shared" si="155"/>
        <v>1</v>
      </c>
      <c r="K1990" s="8" t="b">
        <f t="shared" si="156"/>
        <v>1</v>
      </c>
      <c r="L1990" s="8" t="b">
        <f t="shared" si="157"/>
        <v>1</v>
      </c>
      <c r="M1990" s="8" t="b">
        <f t="shared" si="158"/>
        <v>1</v>
      </c>
      <c r="N1990" s="1" t="b">
        <f t="shared" si="159"/>
        <v>1</v>
      </c>
      <c r="O1990" s="8" t="str">
        <f>IF(F1990="","",IF($F$2=入力リスト!$H$25,ROUNDDOWN(INT(F1990)+ROUNDDOWN((F1990-INT(F1990))*100,0)/60,2),F1990))</f>
        <v/>
      </c>
      <c r="P1990" s="7"/>
      <c r="Q1990" s="7"/>
    </row>
    <row r="1991" spans="1:17">
      <c r="A1991" s="105"/>
      <c r="B1991" s="2"/>
      <c r="C1991" s="3"/>
      <c r="D1991" s="3"/>
      <c r="E1991" s="3"/>
      <c r="F1991" s="8"/>
      <c r="G1991" s="215" t="str">
        <f>IF(AND($B1991="",OR(B1991&lt;&gt;"",C1991&lt;&gt;"",D1991&lt;&gt;"",E1991&lt;&gt;"",F1991&lt;&gt;"")),入力リスト!$K$34,IF($I1991=TRUE,入力リスト!$K$35,IF(J1991=FALSE,"「毎月の固定給与額」","")&amp;IF(AND(J1991=FALSE,OR(K1991=FALSE,L1991=FALSE,M1991=FALSE)),",","")&amp;IF(K1991=FALSE,"「賞与額等」","")&amp;IF(AND(K1991=FALSE,OR(L1991=FALSE,M1991=FALSE)),",","")&amp;IF(L1991=FALSE,"「残業手当」","")&amp;IF(AND(L1991=FALSE,M1991=FALSE),",","")&amp;IF(M1991=FALSE,"「残業時間」","")&amp;IF(OR(J1991=FALSE,K1991=FALSE,L1991=FALSE,M1991=FALSE),入力リスト!$K$36,"")&amp;IF(N1991,"",入力リスト!$K$37)))</f>
        <v/>
      </c>
      <c r="H1991" s="215"/>
      <c r="I1991" s="1" t="b">
        <f>IF(B1991="",FALSE,COUNTIF('従業員情報(給与以外)'!$A$4:$A$1000000,$B1991)=0)</f>
        <v>0</v>
      </c>
      <c r="J1991" s="8" t="b">
        <f t="shared" si="155"/>
        <v>1</v>
      </c>
      <c r="K1991" s="8" t="b">
        <f t="shared" si="156"/>
        <v>1</v>
      </c>
      <c r="L1991" s="8" t="b">
        <f t="shared" si="157"/>
        <v>1</v>
      </c>
      <c r="M1991" s="8" t="b">
        <f t="shared" si="158"/>
        <v>1</v>
      </c>
      <c r="N1991" s="1" t="b">
        <f t="shared" si="159"/>
        <v>1</v>
      </c>
      <c r="O1991" s="8" t="str">
        <f>IF(F1991="","",IF($F$2=入力リスト!$H$25,ROUNDDOWN(INT(F1991)+ROUNDDOWN((F1991-INT(F1991))*100,0)/60,2),F1991))</f>
        <v/>
      </c>
      <c r="P1991" s="7"/>
      <c r="Q1991" s="7"/>
    </row>
    <row r="1992" spans="1:17">
      <c r="A1992" s="105"/>
      <c r="B1992" s="2"/>
      <c r="C1992" s="3"/>
      <c r="D1992" s="3"/>
      <c r="E1992" s="3"/>
      <c r="F1992" s="8"/>
      <c r="G1992" s="215" t="str">
        <f>IF(AND($B1992="",OR(B1992&lt;&gt;"",C1992&lt;&gt;"",D1992&lt;&gt;"",E1992&lt;&gt;"",F1992&lt;&gt;"")),入力リスト!$K$34,IF($I1992=TRUE,入力リスト!$K$35,IF(J1992=FALSE,"「毎月の固定給与額」","")&amp;IF(AND(J1992=FALSE,OR(K1992=FALSE,L1992=FALSE,M1992=FALSE)),",","")&amp;IF(K1992=FALSE,"「賞与額等」","")&amp;IF(AND(K1992=FALSE,OR(L1992=FALSE,M1992=FALSE)),",","")&amp;IF(L1992=FALSE,"「残業手当」","")&amp;IF(AND(L1992=FALSE,M1992=FALSE),",","")&amp;IF(M1992=FALSE,"「残業時間」","")&amp;IF(OR(J1992=FALSE,K1992=FALSE,L1992=FALSE,M1992=FALSE),入力リスト!$K$36,"")&amp;IF(N1992,"",入力リスト!$K$37)))</f>
        <v/>
      </c>
      <c r="H1992" s="215"/>
      <c r="I1992" s="1" t="b">
        <f>IF(B1992="",FALSE,COUNTIF('従業員情報(給与以外)'!$A$4:$A$1000000,$B1992)=0)</f>
        <v>0</v>
      </c>
      <c r="J1992" s="8" t="b">
        <f t="shared" si="155"/>
        <v>1</v>
      </c>
      <c r="K1992" s="8" t="b">
        <f t="shared" si="156"/>
        <v>1</v>
      </c>
      <c r="L1992" s="8" t="b">
        <f t="shared" si="157"/>
        <v>1</v>
      </c>
      <c r="M1992" s="8" t="b">
        <f t="shared" si="158"/>
        <v>1</v>
      </c>
      <c r="N1992" s="1" t="b">
        <f t="shared" si="159"/>
        <v>1</v>
      </c>
      <c r="O1992" s="8" t="str">
        <f>IF(F1992="","",IF($F$2=入力リスト!$H$25,ROUNDDOWN(INT(F1992)+ROUNDDOWN((F1992-INT(F1992))*100,0)/60,2),F1992))</f>
        <v/>
      </c>
      <c r="P1992" s="7"/>
      <c r="Q1992" s="7"/>
    </row>
    <row r="1993" spans="1:17">
      <c r="A1993" s="105"/>
      <c r="B1993" s="2"/>
      <c r="C1993" s="3"/>
      <c r="D1993" s="3"/>
      <c r="E1993" s="3"/>
      <c r="F1993" s="8"/>
      <c r="G1993" s="215" t="str">
        <f>IF(AND($B1993="",OR(B1993&lt;&gt;"",C1993&lt;&gt;"",D1993&lt;&gt;"",E1993&lt;&gt;"",F1993&lt;&gt;"")),入力リスト!$K$34,IF($I1993=TRUE,入力リスト!$K$35,IF(J1993=FALSE,"「毎月の固定給与額」","")&amp;IF(AND(J1993=FALSE,OR(K1993=FALSE,L1993=FALSE,M1993=FALSE)),",","")&amp;IF(K1993=FALSE,"「賞与額等」","")&amp;IF(AND(K1993=FALSE,OR(L1993=FALSE,M1993=FALSE)),",","")&amp;IF(L1993=FALSE,"「残業手当」","")&amp;IF(AND(L1993=FALSE,M1993=FALSE),",","")&amp;IF(M1993=FALSE,"「残業時間」","")&amp;IF(OR(J1993=FALSE,K1993=FALSE,L1993=FALSE,M1993=FALSE),入力リスト!$K$36,"")&amp;IF(N1993,"",入力リスト!$K$37)))</f>
        <v/>
      </c>
      <c r="H1993" s="215"/>
      <c r="I1993" s="1" t="b">
        <f>IF(B1993="",FALSE,COUNTIF('従業員情報(給与以外)'!$A$4:$A$1000000,$B1993)=0)</f>
        <v>0</v>
      </c>
      <c r="J1993" s="8" t="b">
        <f t="shared" si="155"/>
        <v>1</v>
      </c>
      <c r="K1993" s="8" t="b">
        <f t="shared" si="156"/>
        <v>1</v>
      </c>
      <c r="L1993" s="8" t="b">
        <f t="shared" si="157"/>
        <v>1</v>
      </c>
      <c r="M1993" s="8" t="b">
        <f t="shared" si="158"/>
        <v>1</v>
      </c>
      <c r="N1993" s="1" t="b">
        <f t="shared" si="159"/>
        <v>1</v>
      </c>
      <c r="O1993" s="8" t="str">
        <f>IF(F1993="","",IF($F$2=入力リスト!$H$25,ROUNDDOWN(INT(F1993)+ROUNDDOWN((F1993-INT(F1993))*100,0)/60,2),F1993))</f>
        <v/>
      </c>
      <c r="P1993" s="7"/>
      <c r="Q1993" s="7"/>
    </row>
    <row r="1994" spans="1:17">
      <c r="A1994" s="105"/>
      <c r="B1994" s="2"/>
      <c r="C1994" s="3"/>
      <c r="D1994" s="3"/>
      <c r="E1994" s="3"/>
      <c r="F1994" s="8"/>
      <c r="G1994" s="215" t="str">
        <f>IF(AND($B1994="",OR(B1994&lt;&gt;"",C1994&lt;&gt;"",D1994&lt;&gt;"",E1994&lt;&gt;"",F1994&lt;&gt;"")),入力リスト!$K$34,IF($I1994=TRUE,入力リスト!$K$35,IF(J1994=FALSE,"「毎月の固定給与額」","")&amp;IF(AND(J1994=FALSE,OR(K1994=FALSE,L1994=FALSE,M1994=FALSE)),",","")&amp;IF(K1994=FALSE,"「賞与額等」","")&amp;IF(AND(K1994=FALSE,OR(L1994=FALSE,M1994=FALSE)),",","")&amp;IF(L1994=FALSE,"「残業手当」","")&amp;IF(AND(L1994=FALSE,M1994=FALSE),",","")&amp;IF(M1994=FALSE,"「残業時間」","")&amp;IF(OR(J1994=FALSE,K1994=FALSE,L1994=FALSE,M1994=FALSE),入力リスト!$K$36,"")&amp;IF(N1994,"",入力リスト!$K$37)))</f>
        <v/>
      </c>
      <c r="H1994" s="215"/>
      <c r="I1994" s="1" t="b">
        <f>IF(B1994="",FALSE,COUNTIF('従業員情報(給与以外)'!$A$4:$A$1000000,$B1994)=0)</f>
        <v>0</v>
      </c>
      <c r="J1994" s="8" t="b">
        <f t="shared" si="155"/>
        <v>1</v>
      </c>
      <c r="K1994" s="8" t="b">
        <f t="shared" si="156"/>
        <v>1</v>
      </c>
      <c r="L1994" s="8" t="b">
        <f t="shared" si="157"/>
        <v>1</v>
      </c>
      <c r="M1994" s="8" t="b">
        <f t="shared" si="158"/>
        <v>1</v>
      </c>
      <c r="N1994" s="1" t="b">
        <f t="shared" si="159"/>
        <v>1</v>
      </c>
      <c r="O1994" s="8" t="str">
        <f>IF(F1994="","",IF($F$2=入力リスト!$H$25,ROUNDDOWN(INT(F1994)+ROUNDDOWN((F1994-INT(F1994))*100,0)/60,2),F1994))</f>
        <v/>
      </c>
      <c r="P1994" s="7"/>
      <c r="Q1994" s="7"/>
    </row>
    <row r="1995" spans="1:17">
      <c r="A1995" s="105"/>
      <c r="B1995" s="2"/>
      <c r="C1995" s="3"/>
      <c r="D1995" s="3"/>
      <c r="E1995" s="3"/>
      <c r="F1995" s="8"/>
      <c r="G1995" s="215" t="str">
        <f>IF(AND($B1995="",OR(B1995&lt;&gt;"",C1995&lt;&gt;"",D1995&lt;&gt;"",E1995&lt;&gt;"",F1995&lt;&gt;"")),入力リスト!$K$34,IF($I1995=TRUE,入力リスト!$K$35,IF(J1995=FALSE,"「毎月の固定給与額」","")&amp;IF(AND(J1995=FALSE,OR(K1995=FALSE,L1995=FALSE,M1995=FALSE)),",","")&amp;IF(K1995=FALSE,"「賞与額等」","")&amp;IF(AND(K1995=FALSE,OR(L1995=FALSE,M1995=FALSE)),",","")&amp;IF(L1995=FALSE,"「残業手当」","")&amp;IF(AND(L1995=FALSE,M1995=FALSE),",","")&amp;IF(M1995=FALSE,"「残業時間」","")&amp;IF(OR(J1995=FALSE,K1995=FALSE,L1995=FALSE,M1995=FALSE),入力リスト!$K$36,"")&amp;IF(N1995,"",入力リスト!$K$37)))</f>
        <v/>
      </c>
      <c r="H1995" s="215"/>
      <c r="I1995" s="1" t="b">
        <f>IF(B1995="",FALSE,COUNTIF('従業員情報(給与以外)'!$A$4:$A$1000000,$B1995)=0)</f>
        <v>0</v>
      </c>
      <c r="J1995" s="8" t="b">
        <f t="shared" si="155"/>
        <v>1</v>
      </c>
      <c r="K1995" s="8" t="b">
        <f t="shared" si="156"/>
        <v>1</v>
      </c>
      <c r="L1995" s="8" t="b">
        <f t="shared" si="157"/>
        <v>1</v>
      </c>
      <c r="M1995" s="8" t="b">
        <f t="shared" si="158"/>
        <v>1</v>
      </c>
      <c r="N1995" s="1" t="b">
        <f t="shared" si="159"/>
        <v>1</v>
      </c>
      <c r="O1995" s="8" t="str">
        <f>IF(F1995="","",IF($F$2=入力リスト!$H$25,ROUNDDOWN(INT(F1995)+ROUNDDOWN((F1995-INT(F1995))*100,0)/60,2),F1995))</f>
        <v/>
      </c>
      <c r="P1995" s="7"/>
      <c r="Q1995" s="7"/>
    </row>
    <row r="1996" spans="1:17">
      <c r="A1996" s="105"/>
      <c r="B1996" s="2"/>
      <c r="C1996" s="3"/>
      <c r="D1996" s="3"/>
      <c r="E1996" s="3"/>
      <c r="F1996" s="8"/>
      <c r="G1996" s="215" t="str">
        <f>IF(AND($B1996="",OR(B1996&lt;&gt;"",C1996&lt;&gt;"",D1996&lt;&gt;"",E1996&lt;&gt;"",F1996&lt;&gt;"")),入力リスト!$K$34,IF($I1996=TRUE,入力リスト!$K$35,IF(J1996=FALSE,"「毎月の固定給与額」","")&amp;IF(AND(J1996=FALSE,OR(K1996=FALSE,L1996=FALSE,M1996=FALSE)),",","")&amp;IF(K1996=FALSE,"「賞与額等」","")&amp;IF(AND(K1996=FALSE,OR(L1996=FALSE,M1996=FALSE)),",","")&amp;IF(L1996=FALSE,"「残業手当」","")&amp;IF(AND(L1996=FALSE,M1996=FALSE),",","")&amp;IF(M1996=FALSE,"「残業時間」","")&amp;IF(OR(J1996=FALSE,K1996=FALSE,L1996=FALSE,M1996=FALSE),入力リスト!$K$36,"")&amp;IF(N1996,"",入力リスト!$K$37)))</f>
        <v/>
      </c>
      <c r="H1996" s="215"/>
      <c r="I1996" s="1" t="b">
        <f>IF(B1996="",FALSE,COUNTIF('従業員情報(給与以外)'!$A$4:$A$1000000,$B1996)=0)</f>
        <v>0</v>
      </c>
      <c r="J1996" s="8" t="b">
        <f t="shared" si="155"/>
        <v>1</v>
      </c>
      <c r="K1996" s="8" t="b">
        <f t="shared" si="156"/>
        <v>1</v>
      </c>
      <c r="L1996" s="8" t="b">
        <f t="shared" si="157"/>
        <v>1</v>
      </c>
      <c r="M1996" s="8" t="b">
        <f t="shared" si="158"/>
        <v>1</v>
      </c>
      <c r="N1996" s="1" t="b">
        <f t="shared" si="159"/>
        <v>1</v>
      </c>
      <c r="O1996" s="8" t="str">
        <f>IF(F1996="","",IF($F$2=入力リスト!$H$25,ROUNDDOWN(INT(F1996)+ROUNDDOWN((F1996-INT(F1996))*100,0)/60,2),F1996))</f>
        <v/>
      </c>
      <c r="P1996" s="7"/>
      <c r="Q1996" s="7"/>
    </row>
    <row r="1997" spans="1:17">
      <c r="A1997" s="105"/>
      <c r="B1997" s="2"/>
      <c r="C1997" s="3"/>
      <c r="D1997" s="3"/>
      <c r="E1997" s="3"/>
      <c r="F1997" s="8"/>
      <c r="G1997" s="215" t="str">
        <f>IF(AND($B1997="",OR(B1997&lt;&gt;"",C1997&lt;&gt;"",D1997&lt;&gt;"",E1997&lt;&gt;"",F1997&lt;&gt;"")),入力リスト!$K$34,IF($I1997=TRUE,入力リスト!$K$35,IF(J1997=FALSE,"「毎月の固定給与額」","")&amp;IF(AND(J1997=FALSE,OR(K1997=FALSE,L1997=FALSE,M1997=FALSE)),",","")&amp;IF(K1997=FALSE,"「賞与額等」","")&amp;IF(AND(K1997=FALSE,OR(L1997=FALSE,M1997=FALSE)),",","")&amp;IF(L1997=FALSE,"「残業手当」","")&amp;IF(AND(L1997=FALSE,M1997=FALSE),",","")&amp;IF(M1997=FALSE,"「残業時間」","")&amp;IF(OR(J1997=FALSE,K1997=FALSE,L1997=FALSE,M1997=FALSE),入力リスト!$K$36,"")&amp;IF(N1997,"",入力リスト!$K$37)))</f>
        <v/>
      </c>
      <c r="H1997" s="215"/>
      <c r="I1997" s="1" t="b">
        <f>IF(B1997="",FALSE,COUNTIF('従業員情報(給与以外)'!$A$4:$A$1000000,$B1997)=0)</f>
        <v>0</v>
      </c>
      <c r="J1997" s="8" t="b">
        <f t="shared" si="155"/>
        <v>1</v>
      </c>
      <c r="K1997" s="8" t="b">
        <f t="shared" si="156"/>
        <v>1</v>
      </c>
      <c r="L1997" s="8" t="b">
        <f t="shared" si="157"/>
        <v>1</v>
      </c>
      <c r="M1997" s="8" t="b">
        <f t="shared" si="158"/>
        <v>1</v>
      </c>
      <c r="N1997" s="1" t="b">
        <f t="shared" si="159"/>
        <v>1</v>
      </c>
      <c r="O1997" s="8" t="str">
        <f>IF(F1997="","",IF($F$2=入力リスト!$H$25,ROUNDDOWN(INT(F1997)+ROUNDDOWN((F1997-INT(F1997))*100,0)/60,2),F1997))</f>
        <v/>
      </c>
      <c r="P1997" s="7"/>
      <c r="Q1997" s="7"/>
    </row>
    <row r="1998" spans="1:17">
      <c r="A1998" s="105"/>
      <c r="B1998" s="2"/>
      <c r="C1998" s="3"/>
      <c r="D1998" s="3"/>
      <c r="E1998" s="3"/>
      <c r="F1998" s="8"/>
      <c r="G1998" s="215" t="str">
        <f>IF(AND($B1998="",OR(B1998&lt;&gt;"",C1998&lt;&gt;"",D1998&lt;&gt;"",E1998&lt;&gt;"",F1998&lt;&gt;"")),入力リスト!$K$34,IF($I1998=TRUE,入力リスト!$K$35,IF(J1998=FALSE,"「毎月の固定給与額」","")&amp;IF(AND(J1998=FALSE,OR(K1998=FALSE,L1998=FALSE,M1998=FALSE)),",","")&amp;IF(K1998=FALSE,"「賞与額等」","")&amp;IF(AND(K1998=FALSE,OR(L1998=FALSE,M1998=FALSE)),",","")&amp;IF(L1998=FALSE,"「残業手当」","")&amp;IF(AND(L1998=FALSE,M1998=FALSE),",","")&amp;IF(M1998=FALSE,"「残業時間」","")&amp;IF(OR(J1998=FALSE,K1998=FALSE,L1998=FALSE,M1998=FALSE),入力リスト!$K$36,"")&amp;IF(N1998,"",入力リスト!$K$37)))</f>
        <v/>
      </c>
      <c r="H1998" s="215"/>
      <c r="I1998" s="1" t="b">
        <f>IF(B1998="",FALSE,COUNTIF('従業員情報(給与以外)'!$A$4:$A$1000000,$B1998)=0)</f>
        <v>0</v>
      </c>
      <c r="J1998" s="8" t="b">
        <f t="shared" si="155"/>
        <v>1</v>
      </c>
      <c r="K1998" s="8" t="b">
        <f t="shared" si="156"/>
        <v>1</v>
      </c>
      <c r="L1998" s="8" t="b">
        <f t="shared" si="157"/>
        <v>1</v>
      </c>
      <c r="M1998" s="8" t="b">
        <f t="shared" si="158"/>
        <v>1</v>
      </c>
      <c r="N1998" s="1" t="b">
        <f t="shared" si="159"/>
        <v>1</v>
      </c>
      <c r="O1998" s="8" t="str">
        <f>IF(F1998="","",IF($F$2=入力リスト!$H$25,ROUNDDOWN(INT(F1998)+ROUNDDOWN((F1998-INT(F1998))*100,0)/60,2),F1998))</f>
        <v/>
      </c>
      <c r="P1998" s="7"/>
      <c r="Q1998" s="7"/>
    </row>
    <row r="1999" spans="1:17">
      <c r="A1999" s="105"/>
      <c r="B1999" s="2"/>
      <c r="C1999" s="3"/>
      <c r="D1999" s="3"/>
      <c r="E1999" s="3"/>
      <c r="F1999" s="8"/>
      <c r="G1999" s="215" t="str">
        <f>IF(AND($B1999="",OR(B1999&lt;&gt;"",C1999&lt;&gt;"",D1999&lt;&gt;"",E1999&lt;&gt;"",F1999&lt;&gt;"")),入力リスト!$K$34,IF($I1999=TRUE,入力リスト!$K$35,IF(J1999=FALSE,"「毎月の固定給与額」","")&amp;IF(AND(J1999=FALSE,OR(K1999=FALSE,L1999=FALSE,M1999=FALSE)),",","")&amp;IF(K1999=FALSE,"「賞与額等」","")&amp;IF(AND(K1999=FALSE,OR(L1999=FALSE,M1999=FALSE)),",","")&amp;IF(L1999=FALSE,"「残業手当」","")&amp;IF(AND(L1999=FALSE,M1999=FALSE),",","")&amp;IF(M1999=FALSE,"「残業時間」","")&amp;IF(OR(J1999=FALSE,K1999=FALSE,L1999=FALSE,M1999=FALSE),入力リスト!$K$36,"")&amp;IF(N1999,"",入力リスト!$K$37)))</f>
        <v/>
      </c>
      <c r="H1999" s="215"/>
      <c r="I1999" s="1" t="b">
        <f>IF(B1999="",FALSE,COUNTIF('従業員情報(給与以外)'!$A$4:$A$1000000,$B1999)=0)</f>
        <v>0</v>
      </c>
      <c r="J1999" s="8" t="b">
        <f t="shared" si="155"/>
        <v>1</v>
      </c>
      <c r="K1999" s="8" t="b">
        <f t="shared" si="156"/>
        <v>1</v>
      </c>
      <c r="L1999" s="8" t="b">
        <f t="shared" si="157"/>
        <v>1</v>
      </c>
      <c r="M1999" s="8" t="b">
        <f t="shared" si="158"/>
        <v>1</v>
      </c>
      <c r="N1999" s="1" t="b">
        <f t="shared" si="159"/>
        <v>1</v>
      </c>
      <c r="O1999" s="8" t="str">
        <f>IF(F1999="","",IF($F$2=入力リスト!$H$25,ROUNDDOWN(INT(F1999)+ROUNDDOWN((F1999-INT(F1999))*100,0)/60,2),F1999))</f>
        <v/>
      </c>
      <c r="P1999" s="7"/>
      <c r="Q1999" s="7"/>
    </row>
    <row r="2000" spans="1:17">
      <c r="A2000" s="105"/>
      <c r="B2000" s="2"/>
      <c r="C2000" s="3"/>
      <c r="D2000" s="3"/>
      <c r="E2000" s="3"/>
      <c r="F2000" s="8"/>
      <c r="G2000" s="215" t="str">
        <f>IF(AND($B2000="",OR(B2000&lt;&gt;"",C2000&lt;&gt;"",D2000&lt;&gt;"",E2000&lt;&gt;"",F2000&lt;&gt;"")),入力リスト!$K$34,IF($I2000=TRUE,入力リスト!$K$35,IF(J2000=FALSE,"「毎月の固定給与額」","")&amp;IF(AND(J2000=FALSE,OR(K2000=FALSE,L2000=FALSE,M2000=FALSE)),",","")&amp;IF(K2000=FALSE,"「賞与額等」","")&amp;IF(AND(K2000=FALSE,OR(L2000=FALSE,M2000=FALSE)),",","")&amp;IF(L2000=FALSE,"「残業手当」","")&amp;IF(AND(L2000=FALSE,M2000=FALSE),",","")&amp;IF(M2000=FALSE,"「残業時間」","")&amp;IF(OR(J2000=FALSE,K2000=FALSE,L2000=FALSE,M2000=FALSE),入力リスト!$K$36,"")&amp;IF(N2000,"",入力リスト!$K$37)))</f>
        <v/>
      </c>
      <c r="H2000" s="215"/>
      <c r="I2000" s="1" t="b">
        <f>IF(B2000="",FALSE,COUNTIF('従業員情報(給与以外)'!$A$4:$A$1000000,$B2000)=0)</f>
        <v>0</v>
      </c>
      <c r="J2000" s="8" t="b">
        <f t="shared" si="155"/>
        <v>1</v>
      </c>
      <c r="K2000" s="8" t="b">
        <f t="shared" si="156"/>
        <v>1</v>
      </c>
      <c r="L2000" s="8" t="b">
        <f t="shared" si="157"/>
        <v>1</v>
      </c>
      <c r="M2000" s="8" t="b">
        <f t="shared" si="158"/>
        <v>1</v>
      </c>
      <c r="N2000" s="1" t="b">
        <f t="shared" si="159"/>
        <v>1</v>
      </c>
      <c r="O2000" s="8" t="str">
        <f>IF(F2000="","",IF($F$2=入力リスト!$H$25,ROUNDDOWN(INT(F2000)+ROUNDDOWN((F2000-INT(F2000))*100,0)/60,2),F2000))</f>
        <v/>
      </c>
      <c r="P2000" s="7"/>
      <c r="Q2000" s="7"/>
    </row>
    <row r="2001" spans="1:17">
      <c r="A2001" s="105"/>
      <c r="B2001" s="2"/>
      <c r="C2001" s="3"/>
      <c r="D2001" s="3"/>
      <c r="E2001" s="3"/>
      <c r="F2001" s="8"/>
      <c r="G2001" s="215" t="str">
        <f>IF(AND($B2001="",OR(B2001&lt;&gt;"",C2001&lt;&gt;"",D2001&lt;&gt;"",E2001&lt;&gt;"",F2001&lt;&gt;"")),入力リスト!$K$34,IF($I2001=TRUE,入力リスト!$K$35,IF(J2001=FALSE,"「毎月の固定給与額」","")&amp;IF(AND(J2001=FALSE,OR(K2001=FALSE,L2001=FALSE,M2001=FALSE)),",","")&amp;IF(K2001=FALSE,"「賞与額等」","")&amp;IF(AND(K2001=FALSE,OR(L2001=FALSE,M2001=FALSE)),",","")&amp;IF(L2001=FALSE,"「残業手当」","")&amp;IF(AND(L2001=FALSE,M2001=FALSE),",","")&amp;IF(M2001=FALSE,"「残業時間」","")&amp;IF(OR(J2001=FALSE,K2001=FALSE,L2001=FALSE,M2001=FALSE),入力リスト!$K$36,"")&amp;IF(N2001,"",入力リスト!$K$37)))</f>
        <v/>
      </c>
      <c r="H2001" s="215"/>
      <c r="I2001" s="1" t="b">
        <f>IF(B2001="",FALSE,COUNTIF('従業員情報(給与以外)'!$A$4:$A$1000000,$B2001)=0)</f>
        <v>0</v>
      </c>
      <c r="J2001" s="8" t="b">
        <f t="shared" si="155"/>
        <v>1</v>
      </c>
      <c r="K2001" s="8" t="b">
        <f t="shared" si="156"/>
        <v>1</v>
      </c>
      <c r="L2001" s="8" t="b">
        <f t="shared" si="157"/>
        <v>1</v>
      </c>
      <c r="M2001" s="8" t="b">
        <f t="shared" si="158"/>
        <v>1</v>
      </c>
      <c r="N2001" s="1" t="b">
        <f t="shared" si="159"/>
        <v>1</v>
      </c>
      <c r="O2001" s="8" t="str">
        <f>IF(F2001="","",IF($F$2=入力リスト!$H$25,ROUNDDOWN(INT(F2001)+ROUNDDOWN((F2001-INT(F2001))*100,0)/60,2),F2001))</f>
        <v/>
      </c>
      <c r="P2001" s="7"/>
      <c r="Q2001" s="7"/>
    </row>
    <row r="2002" spans="1:17">
      <c r="A2002" s="105"/>
      <c r="B2002" s="2"/>
      <c r="C2002" s="3"/>
      <c r="D2002" s="3"/>
      <c r="E2002" s="3"/>
      <c r="F2002" s="8"/>
      <c r="G2002" s="215" t="str">
        <f>IF(AND($B2002="",OR(B2002&lt;&gt;"",C2002&lt;&gt;"",D2002&lt;&gt;"",E2002&lt;&gt;"",F2002&lt;&gt;"")),入力リスト!$K$34,IF($I2002=TRUE,入力リスト!$K$35,IF(J2002=FALSE,"「毎月の固定給与額」","")&amp;IF(AND(J2002=FALSE,OR(K2002=FALSE,L2002=FALSE,M2002=FALSE)),",","")&amp;IF(K2002=FALSE,"「賞与額等」","")&amp;IF(AND(K2002=FALSE,OR(L2002=FALSE,M2002=FALSE)),",","")&amp;IF(L2002=FALSE,"「残業手当」","")&amp;IF(AND(L2002=FALSE,M2002=FALSE),",","")&amp;IF(M2002=FALSE,"「残業時間」","")&amp;IF(OR(J2002=FALSE,K2002=FALSE,L2002=FALSE,M2002=FALSE),入力リスト!$K$36,"")&amp;IF(N2002,"",入力リスト!$K$37)))</f>
        <v/>
      </c>
      <c r="H2002" s="215"/>
      <c r="I2002" s="1" t="b">
        <f>IF(B2002="",FALSE,COUNTIF('従業員情報(給与以外)'!$A$4:$A$1000000,$B2002)=0)</f>
        <v>0</v>
      </c>
      <c r="J2002" s="8" t="b">
        <f t="shared" si="155"/>
        <v>1</v>
      </c>
      <c r="K2002" s="8" t="b">
        <f t="shared" si="156"/>
        <v>1</v>
      </c>
      <c r="L2002" s="8" t="b">
        <f t="shared" si="157"/>
        <v>1</v>
      </c>
      <c r="M2002" s="8" t="b">
        <f t="shared" si="158"/>
        <v>1</v>
      </c>
      <c r="N2002" s="1" t="b">
        <f t="shared" si="159"/>
        <v>1</v>
      </c>
      <c r="O2002" s="8" t="str">
        <f>IF(F2002="","",IF($F$2=入力リスト!$H$25,ROUNDDOWN(INT(F2002)+ROUNDDOWN((F2002-INT(F2002))*100,0)/60,2),F2002))</f>
        <v/>
      </c>
      <c r="P2002" s="7"/>
      <c r="Q2002" s="7"/>
    </row>
    <row r="2003" spans="1:17">
      <c r="A2003" s="105"/>
      <c r="B2003" s="2"/>
      <c r="C2003" s="3"/>
      <c r="D2003" s="3"/>
      <c r="E2003" s="3"/>
      <c r="F2003" s="8"/>
      <c r="G2003" s="215" t="str">
        <f>IF(AND($B2003="",OR(B2003&lt;&gt;"",C2003&lt;&gt;"",D2003&lt;&gt;"",E2003&lt;&gt;"",F2003&lt;&gt;"")),入力リスト!$K$34,IF($I2003=TRUE,入力リスト!$K$35,IF(J2003=FALSE,"「毎月の固定給与額」","")&amp;IF(AND(J2003=FALSE,OR(K2003=FALSE,L2003=FALSE,M2003=FALSE)),",","")&amp;IF(K2003=FALSE,"「賞与額等」","")&amp;IF(AND(K2003=FALSE,OR(L2003=FALSE,M2003=FALSE)),",","")&amp;IF(L2003=FALSE,"「残業手当」","")&amp;IF(AND(L2003=FALSE,M2003=FALSE),",","")&amp;IF(M2003=FALSE,"「残業時間」","")&amp;IF(OR(J2003=FALSE,K2003=FALSE,L2003=FALSE,M2003=FALSE),入力リスト!$K$36,"")&amp;IF(N2003,"",入力リスト!$K$37)))</f>
        <v/>
      </c>
      <c r="H2003" s="215"/>
      <c r="I2003" s="1" t="b">
        <f>IF(B2003="",FALSE,COUNTIF('従業員情報(給与以外)'!$A$4:$A$1000000,$B2003)=0)</f>
        <v>0</v>
      </c>
      <c r="J2003" s="8" t="b">
        <f t="shared" si="155"/>
        <v>1</v>
      </c>
      <c r="K2003" s="8" t="b">
        <f t="shared" si="156"/>
        <v>1</v>
      </c>
      <c r="L2003" s="8" t="b">
        <f t="shared" si="157"/>
        <v>1</v>
      </c>
      <c r="M2003" s="8" t="b">
        <f t="shared" si="158"/>
        <v>1</v>
      </c>
      <c r="N2003" s="1" t="b">
        <f t="shared" si="159"/>
        <v>1</v>
      </c>
      <c r="O2003" s="8" t="str">
        <f>IF(F2003="","",IF($F$2=入力リスト!$H$25,ROUNDDOWN(INT(F2003)+ROUNDDOWN((F2003-INT(F2003))*100,0)/60,2),F2003))</f>
        <v/>
      </c>
      <c r="P2003" s="7"/>
      <c r="Q2003" s="7"/>
    </row>
    <row r="2004" spans="1:17">
      <c r="A2004" s="105"/>
      <c r="B2004" s="2"/>
      <c r="C2004" s="3"/>
      <c r="D2004" s="3"/>
      <c r="E2004" s="3"/>
      <c r="F2004" s="8"/>
      <c r="G2004" s="215" t="str">
        <f>IF(AND($B2004="",OR(B2004&lt;&gt;"",C2004&lt;&gt;"",D2004&lt;&gt;"",E2004&lt;&gt;"",F2004&lt;&gt;"")),入力リスト!$K$34,IF($I2004=TRUE,入力リスト!$K$35,IF(J2004=FALSE,"「毎月の固定給与額」","")&amp;IF(AND(J2004=FALSE,OR(K2004=FALSE,L2004=FALSE,M2004=FALSE)),",","")&amp;IF(K2004=FALSE,"「賞与額等」","")&amp;IF(AND(K2004=FALSE,OR(L2004=FALSE,M2004=FALSE)),",","")&amp;IF(L2004=FALSE,"「残業手当」","")&amp;IF(AND(L2004=FALSE,M2004=FALSE),",","")&amp;IF(M2004=FALSE,"「残業時間」","")&amp;IF(OR(J2004=FALSE,K2004=FALSE,L2004=FALSE,M2004=FALSE),入力リスト!$K$36,"")&amp;IF(N2004,"",入力リスト!$K$37)))</f>
        <v/>
      </c>
      <c r="H2004" s="215"/>
      <c r="I2004" s="1" t="b">
        <f>IF(B2004="",FALSE,COUNTIF('従業員情報(給与以外)'!$A$4:$A$1000000,$B2004)=0)</f>
        <v>0</v>
      </c>
      <c r="J2004" s="8" t="b">
        <f t="shared" si="155"/>
        <v>1</v>
      </c>
      <c r="K2004" s="8" t="b">
        <f t="shared" si="156"/>
        <v>1</v>
      </c>
      <c r="L2004" s="8" t="b">
        <f t="shared" si="157"/>
        <v>1</v>
      </c>
      <c r="M2004" s="8" t="b">
        <f t="shared" si="158"/>
        <v>1</v>
      </c>
      <c r="N2004" s="1" t="b">
        <f t="shared" si="159"/>
        <v>1</v>
      </c>
      <c r="O2004" s="8" t="str">
        <f>IF(F2004="","",IF($F$2=入力リスト!$H$25,ROUNDDOWN(INT(F2004)+ROUNDDOWN((F2004-INT(F2004))*100,0)/60,2),F2004))</f>
        <v/>
      </c>
      <c r="P2004" s="7"/>
      <c r="Q2004" s="7"/>
    </row>
    <row r="2005" spans="1:17">
      <c r="A2005" s="105"/>
      <c r="B2005" s="2"/>
      <c r="C2005" s="3"/>
      <c r="D2005" s="3"/>
      <c r="E2005" s="3"/>
      <c r="F2005" s="8"/>
      <c r="G2005" s="215" t="str">
        <f>IF(AND($B2005="",OR(B2005&lt;&gt;"",C2005&lt;&gt;"",D2005&lt;&gt;"",E2005&lt;&gt;"",F2005&lt;&gt;"")),入力リスト!$K$34,IF($I2005=TRUE,入力リスト!$K$35,IF(J2005=FALSE,"「毎月の固定給与額」","")&amp;IF(AND(J2005=FALSE,OR(K2005=FALSE,L2005=FALSE,M2005=FALSE)),",","")&amp;IF(K2005=FALSE,"「賞与額等」","")&amp;IF(AND(K2005=FALSE,OR(L2005=FALSE,M2005=FALSE)),",","")&amp;IF(L2005=FALSE,"「残業手当」","")&amp;IF(AND(L2005=FALSE,M2005=FALSE),",","")&amp;IF(M2005=FALSE,"「残業時間」","")&amp;IF(OR(J2005=FALSE,K2005=FALSE,L2005=FALSE,M2005=FALSE),入力リスト!$K$36,"")&amp;IF(N2005,"",入力リスト!$K$37)))</f>
        <v/>
      </c>
      <c r="H2005" s="215"/>
      <c r="I2005" s="1" t="b">
        <f>IF(B2005="",FALSE,COUNTIF('従業員情報(給与以外)'!$A$4:$A$1000000,$B2005)=0)</f>
        <v>0</v>
      </c>
      <c r="J2005" s="8" t="b">
        <f t="shared" si="155"/>
        <v>1</v>
      </c>
      <c r="K2005" s="8" t="b">
        <f t="shared" si="156"/>
        <v>1</v>
      </c>
      <c r="L2005" s="8" t="b">
        <f t="shared" si="157"/>
        <v>1</v>
      </c>
      <c r="M2005" s="8" t="b">
        <f t="shared" si="158"/>
        <v>1</v>
      </c>
      <c r="N2005" s="1" t="b">
        <f t="shared" si="159"/>
        <v>1</v>
      </c>
      <c r="O2005" s="8" t="str">
        <f>IF(F2005="","",IF($F$2=入力リスト!$H$25,ROUNDDOWN(INT(F2005)+ROUNDDOWN((F2005-INT(F2005))*100,0)/60,2),F2005))</f>
        <v/>
      </c>
      <c r="P2005" s="7"/>
      <c r="Q2005" s="7"/>
    </row>
    <row r="2006" spans="1:17">
      <c r="A2006" s="105"/>
      <c r="B2006" s="2"/>
      <c r="C2006" s="3"/>
      <c r="D2006" s="3"/>
      <c r="E2006" s="3"/>
      <c r="F2006" s="8"/>
      <c r="G2006" s="215" t="str">
        <f>IF(AND($B2006="",OR(B2006&lt;&gt;"",C2006&lt;&gt;"",D2006&lt;&gt;"",E2006&lt;&gt;"",F2006&lt;&gt;"")),入力リスト!$K$34,IF($I2006=TRUE,入力リスト!$K$35,IF(J2006=FALSE,"「毎月の固定給与額」","")&amp;IF(AND(J2006=FALSE,OR(K2006=FALSE,L2006=FALSE,M2006=FALSE)),",","")&amp;IF(K2006=FALSE,"「賞与額等」","")&amp;IF(AND(K2006=FALSE,OR(L2006=FALSE,M2006=FALSE)),",","")&amp;IF(L2006=FALSE,"「残業手当」","")&amp;IF(AND(L2006=FALSE,M2006=FALSE),",","")&amp;IF(M2006=FALSE,"「残業時間」","")&amp;IF(OR(J2006=FALSE,K2006=FALSE,L2006=FALSE,M2006=FALSE),入力リスト!$K$36,"")&amp;IF(N2006,"",入力リスト!$K$37)))</f>
        <v/>
      </c>
      <c r="H2006" s="215"/>
      <c r="I2006" s="1" t="b">
        <f>IF(B2006="",FALSE,COUNTIF('従業員情報(給与以外)'!$A$4:$A$1000000,$B2006)=0)</f>
        <v>0</v>
      </c>
      <c r="J2006" s="8" t="b">
        <f t="shared" si="155"/>
        <v>1</v>
      </c>
      <c r="K2006" s="8" t="b">
        <f t="shared" si="156"/>
        <v>1</v>
      </c>
      <c r="L2006" s="8" t="b">
        <f t="shared" si="157"/>
        <v>1</v>
      </c>
      <c r="M2006" s="8" t="b">
        <f t="shared" si="158"/>
        <v>1</v>
      </c>
      <c r="N2006" s="1" t="b">
        <f t="shared" si="159"/>
        <v>1</v>
      </c>
      <c r="O2006" s="8" t="str">
        <f>IF(F2006="","",IF($F$2=入力リスト!$H$25,ROUNDDOWN(INT(F2006)+ROUNDDOWN((F2006-INT(F2006))*100,0)/60,2),F2006))</f>
        <v/>
      </c>
      <c r="P2006" s="7"/>
      <c r="Q2006" s="7"/>
    </row>
    <row r="2007" spans="1:17">
      <c r="A2007" s="105"/>
      <c r="B2007" s="2"/>
      <c r="C2007" s="3"/>
      <c r="D2007" s="3"/>
      <c r="E2007" s="3"/>
      <c r="F2007" s="8"/>
      <c r="G2007" s="215" t="str">
        <f>IF(AND($B2007="",OR(B2007&lt;&gt;"",C2007&lt;&gt;"",D2007&lt;&gt;"",E2007&lt;&gt;"",F2007&lt;&gt;"")),入力リスト!$K$34,IF($I2007=TRUE,入力リスト!$K$35,IF(J2007=FALSE,"「毎月の固定給与額」","")&amp;IF(AND(J2007=FALSE,OR(K2007=FALSE,L2007=FALSE,M2007=FALSE)),",","")&amp;IF(K2007=FALSE,"「賞与額等」","")&amp;IF(AND(K2007=FALSE,OR(L2007=FALSE,M2007=FALSE)),",","")&amp;IF(L2007=FALSE,"「残業手当」","")&amp;IF(AND(L2007=FALSE,M2007=FALSE),",","")&amp;IF(M2007=FALSE,"「残業時間」","")&amp;IF(OR(J2007=FALSE,K2007=FALSE,L2007=FALSE,M2007=FALSE),入力リスト!$K$36,"")&amp;IF(N2007,"",入力リスト!$K$37)))</f>
        <v/>
      </c>
      <c r="H2007" s="215"/>
      <c r="I2007" s="1" t="b">
        <f>IF(B2007="",FALSE,COUNTIF('従業員情報(給与以外)'!$A$4:$A$1000000,$B2007)=0)</f>
        <v>0</v>
      </c>
      <c r="J2007" s="8" t="b">
        <f t="shared" si="155"/>
        <v>1</v>
      </c>
      <c r="K2007" s="8" t="b">
        <f t="shared" si="156"/>
        <v>1</v>
      </c>
      <c r="L2007" s="8" t="b">
        <f t="shared" si="157"/>
        <v>1</v>
      </c>
      <c r="M2007" s="8" t="b">
        <f t="shared" si="158"/>
        <v>1</v>
      </c>
      <c r="N2007" s="1" t="b">
        <f t="shared" si="159"/>
        <v>1</v>
      </c>
      <c r="O2007" s="8" t="str">
        <f>IF(F2007="","",IF($F$2=入力リスト!$H$25,ROUNDDOWN(INT(F2007)+ROUNDDOWN((F2007-INT(F2007))*100,0)/60,2),F2007))</f>
        <v/>
      </c>
      <c r="P2007" s="7"/>
      <c r="Q2007" s="7"/>
    </row>
    <row r="2008" spans="1:17">
      <c r="A2008" s="105"/>
      <c r="B2008" s="2"/>
      <c r="C2008" s="3"/>
      <c r="D2008" s="3"/>
      <c r="E2008" s="3"/>
      <c r="F2008" s="8"/>
      <c r="G2008" s="215" t="str">
        <f>IF(AND($B2008="",OR(B2008&lt;&gt;"",C2008&lt;&gt;"",D2008&lt;&gt;"",E2008&lt;&gt;"",F2008&lt;&gt;"")),入力リスト!$K$34,IF($I2008=TRUE,入力リスト!$K$35,IF(J2008=FALSE,"「毎月の固定給与額」","")&amp;IF(AND(J2008=FALSE,OR(K2008=FALSE,L2008=FALSE,M2008=FALSE)),",","")&amp;IF(K2008=FALSE,"「賞与額等」","")&amp;IF(AND(K2008=FALSE,OR(L2008=FALSE,M2008=FALSE)),",","")&amp;IF(L2008=FALSE,"「残業手当」","")&amp;IF(AND(L2008=FALSE,M2008=FALSE),",","")&amp;IF(M2008=FALSE,"「残業時間」","")&amp;IF(OR(J2008=FALSE,K2008=FALSE,L2008=FALSE,M2008=FALSE),入力リスト!$K$36,"")&amp;IF(N2008,"",入力リスト!$K$37)))</f>
        <v/>
      </c>
      <c r="H2008" s="215"/>
      <c r="I2008" s="1" t="b">
        <f>IF(B2008="",FALSE,COUNTIF('従業員情報(給与以外)'!$A$4:$A$1000000,$B2008)=0)</f>
        <v>0</v>
      </c>
      <c r="J2008" s="8" t="b">
        <f t="shared" si="155"/>
        <v>1</v>
      </c>
      <c r="K2008" s="8" t="b">
        <f t="shared" si="156"/>
        <v>1</v>
      </c>
      <c r="L2008" s="8" t="b">
        <f t="shared" si="157"/>
        <v>1</v>
      </c>
      <c r="M2008" s="8" t="b">
        <f t="shared" si="158"/>
        <v>1</v>
      </c>
      <c r="N2008" s="1" t="b">
        <f t="shared" si="159"/>
        <v>1</v>
      </c>
      <c r="O2008" s="8" t="str">
        <f>IF(F2008="","",IF($F$2=入力リスト!$H$25,ROUNDDOWN(INT(F2008)+ROUNDDOWN((F2008-INT(F2008))*100,0)/60,2),F2008))</f>
        <v/>
      </c>
      <c r="P2008" s="7"/>
      <c r="Q2008" s="7"/>
    </row>
    <row r="2009" spans="1:17">
      <c r="A2009" s="105"/>
      <c r="B2009" s="2"/>
      <c r="C2009" s="3"/>
      <c r="D2009" s="3"/>
      <c r="E2009" s="3"/>
      <c r="F2009" s="8"/>
      <c r="G2009" s="215" t="str">
        <f>IF(AND($B2009="",OR(B2009&lt;&gt;"",C2009&lt;&gt;"",D2009&lt;&gt;"",E2009&lt;&gt;"",F2009&lt;&gt;"")),入力リスト!$K$34,IF($I2009=TRUE,入力リスト!$K$35,IF(J2009=FALSE,"「毎月の固定給与額」","")&amp;IF(AND(J2009=FALSE,OR(K2009=FALSE,L2009=FALSE,M2009=FALSE)),",","")&amp;IF(K2009=FALSE,"「賞与額等」","")&amp;IF(AND(K2009=FALSE,OR(L2009=FALSE,M2009=FALSE)),",","")&amp;IF(L2009=FALSE,"「残業手当」","")&amp;IF(AND(L2009=FALSE,M2009=FALSE),",","")&amp;IF(M2009=FALSE,"「残業時間」","")&amp;IF(OR(J2009=FALSE,K2009=FALSE,L2009=FALSE,M2009=FALSE),入力リスト!$K$36,"")&amp;IF(N2009,"",入力リスト!$K$37)))</f>
        <v/>
      </c>
      <c r="H2009" s="215"/>
      <c r="I2009" s="1" t="b">
        <f>IF(B2009="",FALSE,COUNTIF('従業員情報(給与以外)'!$A$4:$A$1000000,$B2009)=0)</f>
        <v>0</v>
      </c>
      <c r="J2009" s="8" t="b">
        <f t="shared" si="155"/>
        <v>1</v>
      </c>
      <c r="K2009" s="8" t="b">
        <f t="shared" si="156"/>
        <v>1</v>
      </c>
      <c r="L2009" s="8" t="b">
        <f t="shared" si="157"/>
        <v>1</v>
      </c>
      <c r="M2009" s="8" t="b">
        <f t="shared" si="158"/>
        <v>1</v>
      </c>
      <c r="N2009" s="1" t="b">
        <f t="shared" si="159"/>
        <v>1</v>
      </c>
      <c r="O2009" s="8" t="str">
        <f>IF(F2009="","",IF($F$2=入力リスト!$H$25,ROUNDDOWN(INT(F2009)+ROUNDDOWN((F2009-INT(F2009))*100,0)/60,2),F2009))</f>
        <v/>
      </c>
      <c r="P2009" s="7"/>
      <c r="Q2009" s="7"/>
    </row>
    <row r="2010" spans="1:17">
      <c r="A2010" s="105"/>
      <c r="B2010" s="2"/>
      <c r="C2010" s="3"/>
      <c r="D2010" s="3"/>
      <c r="E2010" s="3"/>
      <c r="F2010" s="8"/>
      <c r="G2010" s="215" t="str">
        <f>IF(AND($B2010="",OR(B2010&lt;&gt;"",C2010&lt;&gt;"",D2010&lt;&gt;"",E2010&lt;&gt;"",F2010&lt;&gt;"")),入力リスト!$K$34,IF($I2010=TRUE,入力リスト!$K$35,IF(J2010=FALSE,"「毎月の固定給与額」","")&amp;IF(AND(J2010=FALSE,OR(K2010=FALSE,L2010=FALSE,M2010=FALSE)),",","")&amp;IF(K2010=FALSE,"「賞与額等」","")&amp;IF(AND(K2010=FALSE,OR(L2010=FALSE,M2010=FALSE)),",","")&amp;IF(L2010=FALSE,"「残業手当」","")&amp;IF(AND(L2010=FALSE,M2010=FALSE),",","")&amp;IF(M2010=FALSE,"「残業時間」","")&amp;IF(OR(J2010=FALSE,K2010=FALSE,L2010=FALSE,M2010=FALSE),入力リスト!$K$36,"")&amp;IF(N2010,"",入力リスト!$K$37)))</f>
        <v/>
      </c>
      <c r="H2010" s="215"/>
      <c r="I2010" s="1" t="b">
        <f>IF(B2010="",FALSE,COUNTIF('従業員情報(給与以外)'!$A$4:$A$1000000,$B2010)=0)</f>
        <v>0</v>
      </c>
      <c r="J2010" s="8" t="b">
        <f t="shared" si="155"/>
        <v>1</v>
      </c>
      <c r="K2010" s="8" t="b">
        <f t="shared" si="156"/>
        <v>1</v>
      </c>
      <c r="L2010" s="8" t="b">
        <f t="shared" si="157"/>
        <v>1</v>
      </c>
      <c r="M2010" s="8" t="b">
        <f t="shared" si="158"/>
        <v>1</v>
      </c>
      <c r="N2010" s="1" t="b">
        <f t="shared" si="159"/>
        <v>1</v>
      </c>
      <c r="O2010" s="8" t="str">
        <f>IF(F2010="","",IF($F$2=入力リスト!$H$25,ROUNDDOWN(INT(F2010)+ROUNDDOWN((F2010-INT(F2010))*100,0)/60,2),F2010))</f>
        <v/>
      </c>
      <c r="P2010" s="7"/>
      <c r="Q2010" s="7"/>
    </row>
    <row r="2011" spans="1:17">
      <c r="A2011" s="105"/>
      <c r="B2011" s="2"/>
      <c r="C2011" s="3"/>
      <c r="D2011" s="3"/>
      <c r="E2011" s="3"/>
      <c r="F2011" s="8"/>
      <c r="G2011" s="215" t="str">
        <f>IF(AND($B2011="",OR(B2011&lt;&gt;"",C2011&lt;&gt;"",D2011&lt;&gt;"",E2011&lt;&gt;"",F2011&lt;&gt;"")),入力リスト!$K$34,IF($I2011=TRUE,入力リスト!$K$35,IF(J2011=FALSE,"「毎月の固定給与額」","")&amp;IF(AND(J2011=FALSE,OR(K2011=FALSE,L2011=FALSE,M2011=FALSE)),",","")&amp;IF(K2011=FALSE,"「賞与額等」","")&amp;IF(AND(K2011=FALSE,OR(L2011=FALSE,M2011=FALSE)),",","")&amp;IF(L2011=FALSE,"「残業手当」","")&amp;IF(AND(L2011=FALSE,M2011=FALSE),",","")&amp;IF(M2011=FALSE,"「残業時間」","")&amp;IF(OR(J2011=FALSE,K2011=FALSE,L2011=FALSE,M2011=FALSE),入力リスト!$K$36,"")&amp;IF(N2011,"",入力リスト!$K$37)))</f>
        <v/>
      </c>
      <c r="H2011" s="215"/>
      <c r="I2011" s="1" t="b">
        <f>IF(B2011="",FALSE,COUNTIF('従業員情報(給与以外)'!$A$4:$A$1000000,$B2011)=0)</f>
        <v>0</v>
      </c>
      <c r="J2011" s="8" t="b">
        <f t="shared" si="155"/>
        <v>1</v>
      </c>
      <c r="K2011" s="8" t="b">
        <f t="shared" si="156"/>
        <v>1</v>
      </c>
      <c r="L2011" s="8" t="b">
        <f t="shared" si="157"/>
        <v>1</v>
      </c>
      <c r="M2011" s="8" t="b">
        <f t="shared" si="158"/>
        <v>1</v>
      </c>
      <c r="N2011" s="1" t="b">
        <f t="shared" si="159"/>
        <v>1</v>
      </c>
      <c r="O2011" s="8" t="str">
        <f>IF(F2011="","",IF($F$2=入力リスト!$H$25,ROUNDDOWN(INT(F2011)+ROUNDDOWN((F2011-INT(F2011))*100,0)/60,2),F2011))</f>
        <v/>
      </c>
      <c r="P2011" s="7"/>
      <c r="Q2011" s="7"/>
    </row>
    <row r="2012" spans="1:17">
      <c r="A2012" s="105"/>
      <c r="B2012" s="2"/>
      <c r="C2012" s="3"/>
      <c r="D2012" s="3"/>
      <c r="E2012" s="3"/>
      <c r="F2012" s="8"/>
      <c r="G2012" s="215" t="str">
        <f>IF(AND($B2012="",OR(B2012&lt;&gt;"",C2012&lt;&gt;"",D2012&lt;&gt;"",E2012&lt;&gt;"",F2012&lt;&gt;"")),入力リスト!$K$34,IF($I2012=TRUE,入力リスト!$K$35,IF(J2012=FALSE,"「毎月の固定給与額」","")&amp;IF(AND(J2012=FALSE,OR(K2012=FALSE,L2012=FALSE,M2012=FALSE)),",","")&amp;IF(K2012=FALSE,"「賞与額等」","")&amp;IF(AND(K2012=FALSE,OR(L2012=FALSE,M2012=FALSE)),",","")&amp;IF(L2012=FALSE,"「残業手当」","")&amp;IF(AND(L2012=FALSE,M2012=FALSE),",","")&amp;IF(M2012=FALSE,"「残業時間」","")&amp;IF(OR(J2012=FALSE,K2012=FALSE,L2012=FALSE,M2012=FALSE),入力リスト!$K$36,"")&amp;IF(N2012,"",入力リスト!$K$37)))</f>
        <v/>
      </c>
      <c r="H2012" s="215"/>
      <c r="I2012" s="1" t="b">
        <f>IF(B2012="",FALSE,COUNTIF('従業員情報(給与以外)'!$A$4:$A$1000000,$B2012)=0)</f>
        <v>0</v>
      </c>
      <c r="J2012" s="8" t="b">
        <f t="shared" si="155"/>
        <v>1</v>
      </c>
      <c r="K2012" s="8" t="b">
        <f t="shared" si="156"/>
        <v>1</v>
      </c>
      <c r="L2012" s="8" t="b">
        <f t="shared" si="157"/>
        <v>1</v>
      </c>
      <c r="M2012" s="8" t="b">
        <f t="shared" si="158"/>
        <v>1</v>
      </c>
      <c r="N2012" s="1" t="b">
        <f t="shared" si="159"/>
        <v>1</v>
      </c>
      <c r="O2012" s="8" t="str">
        <f>IF(F2012="","",IF($F$2=入力リスト!$H$25,ROUNDDOWN(INT(F2012)+ROUNDDOWN((F2012-INT(F2012))*100,0)/60,2),F2012))</f>
        <v/>
      </c>
      <c r="P2012" s="7"/>
      <c r="Q2012" s="7"/>
    </row>
    <row r="2013" spans="1:17">
      <c r="A2013" s="105"/>
      <c r="B2013" s="2"/>
      <c r="C2013" s="3"/>
      <c r="D2013" s="3"/>
      <c r="E2013" s="3"/>
      <c r="F2013" s="8"/>
      <c r="G2013" s="215" t="str">
        <f>IF(AND($B2013="",OR(B2013&lt;&gt;"",C2013&lt;&gt;"",D2013&lt;&gt;"",E2013&lt;&gt;"",F2013&lt;&gt;"")),入力リスト!$K$34,IF($I2013=TRUE,入力リスト!$K$35,IF(J2013=FALSE,"「毎月の固定給与額」","")&amp;IF(AND(J2013=FALSE,OR(K2013=FALSE,L2013=FALSE,M2013=FALSE)),",","")&amp;IF(K2013=FALSE,"「賞与額等」","")&amp;IF(AND(K2013=FALSE,OR(L2013=FALSE,M2013=FALSE)),",","")&amp;IF(L2013=FALSE,"「残業手当」","")&amp;IF(AND(L2013=FALSE,M2013=FALSE),",","")&amp;IF(M2013=FALSE,"「残業時間」","")&amp;IF(OR(J2013=FALSE,K2013=FALSE,L2013=FALSE,M2013=FALSE),入力リスト!$K$36,"")&amp;IF(N2013,"",入力リスト!$K$37)))</f>
        <v/>
      </c>
      <c r="H2013" s="215"/>
      <c r="I2013" s="1" t="b">
        <f>IF(B2013="",FALSE,COUNTIF('従業員情報(給与以外)'!$A$4:$A$1000000,$B2013)=0)</f>
        <v>0</v>
      </c>
      <c r="J2013" s="8" t="b">
        <f t="shared" si="155"/>
        <v>1</v>
      </c>
      <c r="K2013" s="8" t="b">
        <f t="shared" si="156"/>
        <v>1</v>
      </c>
      <c r="L2013" s="8" t="b">
        <f t="shared" si="157"/>
        <v>1</v>
      </c>
      <c r="M2013" s="8" t="b">
        <f t="shared" si="158"/>
        <v>1</v>
      </c>
      <c r="N2013" s="1" t="b">
        <f t="shared" si="159"/>
        <v>1</v>
      </c>
      <c r="O2013" s="8" t="str">
        <f>IF(F2013="","",IF($F$2=入力リスト!$H$25,ROUNDDOWN(INT(F2013)+ROUNDDOWN((F2013-INT(F2013))*100,0)/60,2),F2013))</f>
        <v/>
      </c>
      <c r="P2013" s="7"/>
      <c r="Q2013" s="7"/>
    </row>
    <row r="2014" spans="1:17">
      <c r="A2014" s="105"/>
      <c r="B2014" s="2"/>
      <c r="C2014" s="3"/>
      <c r="D2014" s="3"/>
      <c r="E2014" s="3"/>
      <c r="F2014" s="8"/>
      <c r="G2014" s="215" t="str">
        <f>IF(AND($B2014="",OR(B2014&lt;&gt;"",C2014&lt;&gt;"",D2014&lt;&gt;"",E2014&lt;&gt;"",F2014&lt;&gt;"")),入力リスト!$K$34,IF($I2014=TRUE,入力リスト!$K$35,IF(J2014=FALSE,"「毎月の固定給与額」","")&amp;IF(AND(J2014=FALSE,OR(K2014=FALSE,L2014=FALSE,M2014=FALSE)),",","")&amp;IF(K2014=FALSE,"「賞与額等」","")&amp;IF(AND(K2014=FALSE,OR(L2014=FALSE,M2014=FALSE)),",","")&amp;IF(L2014=FALSE,"「残業手当」","")&amp;IF(AND(L2014=FALSE,M2014=FALSE),",","")&amp;IF(M2014=FALSE,"「残業時間」","")&amp;IF(OR(J2014=FALSE,K2014=FALSE,L2014=FALSE,M2014=FALSE),入力リスト!$K$36,"")&amp;IF(N2014,"",入力リスト!$K$37)))</f>
        <v/>
      </c>
      <c r="H2014" s="215"/>
      <c r="I2014" s="1" t="b">
        <f>IF(B2014="",FALSE,COUNTIF('従業員情報(給与以外)'!$A$4:$A$1000000,$B2014)=0)</f>
        <v>0</v>
      </c>
      <c r="J2014" s="8" t="b">
        <f t="shared" si="155"/>
        <v>1</v>
      </c>
      <c r="K2014" s="8" t="b">
        <f t="shared" si="156"/>
        <v>1</v>
      </c>
      <c r="L2014" s="8" t="b">
        <f t="shared" si="157"/>
        <v>1</v>
      </c>
      <c r="M2014" s="8" t="b">
        <f t="shared" si="158"/>
        <v>1</v>
      </c>
      <c r="N2014" s="1" t="b">
        <f t="shared" si="159"/>
        <v>1</v>
      </c>
      <c r="O2014" s="8" t="str">
        <f>IF(F2014="","",IF($F$2=入力リスト!$H$25,ROUNDDOWN(INT(F2014)+ROUNDDOWN((F2014-INT(F2014))*100,0)/60,2),F2014))</f>
        <v/>
      </c>
      <c r="P2014" s="7"/>
      <c r="Q2014" s="7"/>
    </row>
    <row r="2015" spans="1:17">
      <c r="A2015" s="105"/>
      <c r="B2015" s="2"/>
      <c r="C2015" s="3"/>
      <c r="D2015" s="3"/>
      <c r="E2015" s="3"/>
      <c r="F2015" s="8"/>
      <c r="G2015" s="215" t="str">
        <f>IF(AND($B2015="",OR(B2015&lt;&gt;"",C2015&lt;&gt;"",D2015&lt;&gt;"",E2015&lt;&gt;"",F2015&lt;&gt;"")),入力リスト!$K$34,IF($I2015=TRUE,入力リスト!$K$35,IF(J2015=FALSE,"「毎月の固定給与額」","")&amp;IF(AND(J2015=FALSE,OR(K2015=FALSE,L2015=FALSE,M2015=FALSE)),",","")&amp;IF(K2015=FALSE,"「賞与額等」","")&amp;IF(AND(K2015=FALSE,OR(L2015=FALSE,M2015=FALSE)),",","")&amp;IF(L2015=FALSE,"「残業手当」","")&amp;IF(AND(L2015=FALSE,M2015=FALSE),",","")&amp;IF(M2015=FALSE,"「残業時間」","")&amp;IF(OR(J2015=FALSE,K2015=FALSE,L2015=FALSE,M2015=FALSE),入力リスト!$K$36,"")&amp;IF(N2015,"",入力リスト!$K$37)))</f>
        <v/>
      </c>
      <c r="H2015" s="215"/>
      <c r="I2015" s="1" t="b">
        <f>IF(B2015="",FALSE,COUNTIF('従業員情報(給与以外)'!$A$4:$A$1000000,$B2015)=0)</f>
        <v>0</v>
      </c>
      <c r="J2015" s="8" t="b">
        <f t="shared" si="155"/>
        <v>1</v>
      </c>
      <c r="K2015" s="8" t="b">
        <f t="shared" si="156"/>
        <v>1</v>
      </c>
      <c r="L2015" s="8" t="b">
        <f t="shared" si="157"/>
        <v>1</v>
      </c>
      <c r="M2015" s="8" t="b">
        <f t="shared" si="158"/>
        <v>1</v>
      </c>
      <c r="N2015" s="1" t="b">
        <f t="shared" si="159"/>
        <v>1</v>
      </c>
      <c r="O2015" s="8" t="str">
        <f>IF(F2015="","",IF($F$2=入力リスト!$H$25,ROUNDDOWN(INT(F2015)+ROUNDDOWN((F2015-INT(F2015))*100,0)/60,2),F2015))</f>
        <v/>
      </c>
      <c r="P2015" s="7"/>
      <c r="Q2015" s="7"/>
    </row>
    <row r="2016" spans="1:17">
      <c r="A2016" s="105"/>
      <c r="B2016" s="2"/>
      <c r="C2016" s="3"/>
      <c r="D2016" s="3"/>
      <c r="E2016" s="3"/>
      <c r="F2016" s="8"/>
      <c r="G2016" s="215" t="str">
        <f>IF(AND($B2016="",OR(B2016&lt;&gt;"",C2016&lt;&gt;"",D2016&lt;&gt;"",E2016&lt;&gt;"",F2016&lt;&gt;"")),入力リスト!$K$34,IF($I2016=TRUE,入力リスト!$K$35,IF(J2016=FALSE,"「毎月の固定給与額」","")&amp;IF(AND(J2016=FALSE,OR(K2016=FALSE,L2016=FALSE,M2016=FALSE)),",","")&amp;IF(K2016=FALSE,"「賞与額等」","")&amp;IF(AND(K2016=FALSE,OR(L2016=FALSE,M2016=FALSE)),",","")&amp;IF(L2016=FALSE,"「残業手当」","")&amp;IF(AND(L2016=FALSE,M2016=FALSE),",","")&amp;IF(M2016=FALSE,"「残業時間」","")&amp;IF(OR(J2016=FALSE,K2016=FALSE,L2016=FALSE,M2016=FALSE),入力リスト!$K$36,"")&amp;IF(N2016,"",入力リスト!$K$37)))</f>
        <v/>
      </c>
      <c r="H2016" s="215"/>
      <c r="I2016" s="1" t="b">
        <f>IF(B2016="",FALSE,COUNTIF('従業員情報(給与以外)'!$A$4:$A$1000000,$B2016)=0)</f>
        <v>0</v>
      </c>
      <c r="J2016" s="8" t="b">
        <f t="shared" si="155"/>
        <v>1</v>
      </c>
      <c r="K2016" s="8" t="b">
        <f t="shared" si="156"/>
        <v>1</v>
      </c>
      <c r="L2016" s="8" t="b">
        <f t="shared" si="157"/>
        <v>1</v>
      </c>
      <c r="M2016" s="8" t="b">
        <f t="shared" si="158"/>
        <v>1</v>
      </c>
      <c r="N2016" s="1" t="b">
        <f t="shared" si="159"/>
        <v>1</v>
      </c>
      <c r="O2016" s="8" t="str">
        <f>IF(F2016="","",IF($F$2=入力リスト!$H$25,ROUNDDOWN(INT(F2016)+ROUNDDOWN((F2016-INT(F2016))*100,0)/60,2),F2016))</f>
        <v/>
      </c>
      <c r="P2016" s="7"/>
      <c r="Q2016" s="7"/>
    </row>
    <row r="2017" spans="1:17">
      <c r="A2017" s="105"/>
      <c r="B2017" s="2"/>
      <c r="C2017" s="3"/>
      <c r="D2017" s="3"/>
      <c r="E2017" s="3"/>
      <c r="F2017" s="8"/>
      <c r="G2017" s="215" t="str">
        <f>IF(AND($B2017="",OR(B2017&lt;&gt;"",C2017&lt;&gt;"",D2017&lt;&gt;"",E2017&lt;&gt;"",F2017&lt;&gt;"")),入力リスト!$K$34,IF($I2017=TRUE,入力リスト!$K$35,IF(J2017=FALSE,"「毎月の固定給与額」","")&amp;IF(AND(J2017=FALSE,OR(K2017=FALSE,L2017=FALSE,M2017=FALSE)),",","")&amp;IF(K2017=FALSE,"「賞与額等」","")&amp;IF(AND(K2017=FALSE,OR(L2017=FALSE,M2017=FALSE)),",","")&amp;IF(L2017=FALSE,"「残業手当」","")&amp;IF(AND(L2017=FALSE,M2017=FALSE),",","")&amp;IF(M2017=FALSE,"「残業時間」","")&amp;IF(OR(J2017=FALSE,K2017=FALSE,L2017=FALSE,M2017=FALSE),入力リスト!$K$36,"")&amp;IF(N2017,"",入力リスト!$K$37)))</f>
        <v/>
      </c>
      <c r="H2017" s="215"/>
      <c r="I2017" s="1" t="b">
        <f>IF(B2017="",FALSE,COUNTIF('従業員情報(給与以外)'!$A$4:$A$1000000,$B2017)=0)</f>
        <v>0</v>
      </c>
      <c r="J2017" s="8" t="b">
        <f t="shared" si="155"/>
        <v>1</v>
      </c>
      <c r="K2017" s="8" t="b">
        <f t="shared" si="156"/>
        <v>1</v>
      </c>
      <c r="L2017" s="8" t="b">
        <f t="shared" si="157"/>
        <v>1</v>
      </c>
      <c r="M2017" s="8" t="b">
        <f t="shared" si="158"/>
        <v>1</v>
      </c>
      <c r="N2017" s="1" t="b">
        <f t="shared" si="159"/>
        <v>1</v>
      </c>
      <c r="O2017" s="8" t="str">
        <f>IF(F2017="","",IF($F$2=入力リスト!$H$25,ROUNDDOWN(INT(F2017)+ROUNDDOWN((F2017-INT(F2017))*100,0)/60,2),F2017))</f>
        <v/>
      </c>
      <c r="P2017" s="7"/>
      <c r="Q2017" s="7"/>
    </row>
    <row r="2018" spans="1:17">
      <c r="A2018" s="105"/>
      <c r="B2018" s="2"/>
      <c r="C2018" s="3"/>
      <c r="D2018" s="3"/>
      <c r="E2018" s="3"/>
      <c r="F2018" s="8"/>
      <c r="G2018" s="215" t="str">
        <f>IF(AND($B2018="",OR(B2018&lt;&gt;"",C2018&lt;&gt;"",D2018&lt;&gt;"",E2018&lt;&gt;"",F2018&lt;&gt;"")),入力リスト!$K$34,IF($I2018=TRUE,入力リスト!$K$35,IF(J2018=FALSE,"「毎月の固定給与額」","")&amp;IF(AND(J2018=FALSE,OR(K2018=FALSE,L2018=FALSE,M2018=FALSE)),",","")&amp;IF(K2018=FALSE,"「賞与額等」","")&amp;IF(AND(K2018=FALSE,OR(L2018=FALSE,M2018=FALSE)),",","")&amp;IF(L2018=FALSE,"「残業手当」","")&amp;IF(AND(L2018=FALSE,M2018=FALSE),",","")&amp;IF(M2018=FALSE,"「残業時間」","")&amp;IF(OR(J2018=FALSE,K2018=FALSE,L2018=FALSE,M2018=FALSE),入力リスト!$K$36,"")&amp;IF(N2018,"",入力リスト!$K$37)))</f>
        <v/>
      </c>
      <c r="H2018" s="215"/>
      <c r="I2018" s="1" t="b">
        <f>IF(B2018="",FALSE,COUNTIF('従業員情報(給与以外)'!$A$4:$A$1000000,$B2018)=0)</f>
        <v>0</v>
      </c>
      <c r="J2018" s="8" t="b">
        <f t="shared" si="155"/>
        <v>1</v>
      </c>
      <c r="K2018" s="8" t="b">
        <f t="shared" si="156"/>
        <v>1</v>
      </c>
      <c r="L2018" s="8" t="b">
        <f t="shared" si="157"/>
        <v>1</v>
      </c>
      <c r="M2018" s="8" t="b">
        <f t="shared" si="158"/>
        <v>1</v>
      </c>
      <c r="N2018" s="1" t="b">
        <f t="shared" si="159"/>
        <v>1</v>
      </c>
      <c r="O2018" s="8" t="str">
        <f>IF(F2018="","",IF($F$2=入力リスト!$H$25,ROUNDDOWN(INT(F2018)+ROUNDDOWN((F2018-INT(F2018))*100,0)/60,2),F2018))</f>
        <v/>
      </c>
      <c r="P2018" s="7"/>
      <c r="Q2018" s="7"/>
    </row>
    <row r="2019" spans="1:17">
      <c r="A2019" s="105"/>
      <c r="B2019" s="2"/>
      <c r="C2019" s="3"/>
      <c r="D2019" s="3"/>
      <c r="E2019" s="3"/>
      <c r="F2019" s="8"/>
      <c r="G2019" s="215" t="str">
        <f>IF(AND($B2019="",OR(B2019&lt;&gt;"",C2019&lt;&gt;"",D2019&lt;&gt;"",E2019&lt;&gt;"",F2019&lt;&gt;"")),入力リスト!$K$34,IF($I2019=TRUE,入力リスト!$K$35,IF(J2019=FALSE,"「毎月の固定給与額」","")&amp;IF(AND(J2019=FALSE,OR(K2019=FALSE,L2019=FALSE,M2019=FALSE)),",","")&amp;IF(K2019=FALSE,"「賞与額等」","")&amp;IF(AND(K2019=FALSE,OR(L2019=FALSE,M2019=FALSE)),",","")&amp;IF(L2019=FALSE,"「残業手当」","")&amp;IF(AND(L2019=FALSE,M2019=FALSE),",","")&amp;IF(M2019=FALSE,"「残業時間」","")&amp;IF(OR(J2019=FALSE,K2019=FALSE,L2019=FALSE,M2019=FALSE),入力リスト!$K$36,"")&amp;IF(N2019,"",入力リスト!$K$37)))</f>
        <v/>
      </c>
      <c r="H2019" s="215"/>
      <c r="I2019" s="1" t="b">
        <f>IF(B2019="",FALSE,COUNTIF('従業員情報(給与以外)'!$A$4:$A$1000000,$B2019)=0)</f>
        <v>0</v>
      </c>
      <c r="J2019" s="8" t="b">
        <f t="shared" si="155"/>
        <v>1</v>
      </c>
      <c r="K2019" s="8" t="b">
        <f t="shared" si="156"/>
        <v>1</v>
      </c>
      <c r="L2019" s="8" t="b">
        <f t="shared" si="157"/>
        <v>1</v>
      </c>
      <c r="M2019" s="8" t="b">
        <f t="shared" si="158"/>
        <v>1</v>
      </c>
      <c r="N2019" s="1" t="b">
        <f t="shared" si="159"/>
        <v>1</v>
      </c>
      <c r="O2019" s="8" t="str">
        <f>IF(F2019="","",IF($F$2=入力リスト!$H$25,ROUNDDOWN(INT(F2019)+ROUNDDOWN((F2019-INT(F2019))*100,0)/60,2),F2019))</f>
        <v/>
      </c>
      <c r="P2019" s="7"/>
      <c r="Q2019" s="7"/>
    </row>
    <row r="2020" spans="1:17">
      <c r="A2020" s="105"/>
      <c r="B2020" s="2"/>
      <c r="C2020" s="3"/>
      <c r="D2020" s="3"/>
      <c r="E2020" s="3"/>
      <c r="F2020" s="8"/>
      <c r="G2020" s="215" t="str">
        <f>IF(AND($B2020="",OR(B2020&lt;&gt;"",C2020&lt;&gt;"",D2020&lt;&gt;"",E2020&lt;&gt;"",F2020&lt;&gt;"")),入力リスト!$K$34,IF($I2020=TRUE,入力リスト!$K$35,IF(J2020=FALSE,"「毎月の固定給与額」","")&amp;IF(AND(J2020=FALSE,OR(K2020=FALSE,L2020=FALSE,M2020=FALSE)),",","")&amp;IF(K2020=FALSE,"「賞与額等」","")&amp;IF(AND(K2020=FALSE,OR(L2020=FALSE,M2020=FALSE)),",","")&amp;IF(L2020=FALSE,"「残業手当」","")&amp;IF(AND(L2020=FALSE,M2020=FALSE),",","")&amp;IF(M2020=FALSE,"「残業時間」","")&amp;IF(OR(J2020=FALSE,K2020=FALSE,L2020=FALSE,M2020=FALSE),入力リスト!$K$36,"")&amp;IF(N2020,"",入力リスト!$K$37)))</f>
        <v/>
      </c>
      <c r="H2020" s="215"/>
      <c r="I2020" s="1" t="b">
        <f>IF(B2020="",FALSE,COUNTIF('従業員情報(給与以外)'!$A$4:$A$1000000,$B2020)=0)</f>
        <v>0</v>
      </c>
      <c r="J2020" s="8" t="b">
        <f t="shared" si="155"/>
        <v>1</v>
      </c>
      <c r="K2020" s="8" t="b">
        <f t="shared" si="156"/>
        <v>1</v>
      </c>
      <c r="L2020" s="8" t="b">
        <f t="shared" si="157"/>
        <v>1</v>
      </c>
      <c r="M2020" s="8" t="b">
        <f t="shared" si="158"/>
        <v>1</v>
      </c>
      <c r="N2020" s="1" t="b">
        <f t="shared" si="159"/>
        <v>1</v>
      </c>
      <c r="O2020" s="8" t="str">
        <f>IF(F2020="","",IF($F$2=入力リスト!$H$25,ROUNDDOWN(INT(F2020)+ROUNDDOWN((F2020-INT(F2020))*100,0)/60,2),F2020))</f>
        <v/>
      </c>
      <c r="P2020" s="7"/>
      <c r="Q2020" s="7"/>
    </row>
    <row r="2021" spans="1:17">
      <c r="A2021" s="105"/>
      <c r="B2021" s="2"/>
      <c r="C2021" s="3"/>
      <c r="D2021" s="3"/>
      <c r="E2021" s="3"/>
      <c r="F2021" s="8"/>
      <c r="G2021" s="215" t="str">
        <f>IF(AND($B2021="",OR(B2021&lt;&gt;"",C2021&lt;&gt;"",D2021&lt;&gt;"",E2021&lt;&gt;"",F2021&lt;&gt;"")),入力リスト!$K$34,IF($I2021=TRUE,入力リスト!$K$35,IF(J2021=FALSE,"「毎月の固定給与額」","")&amp;IF(AND(J2021=FALSE,OR(K2021=FALSE,L2021=FALSE,M2021=FALSE)),",","")&amp;IF(K2021=FALSE,"「賞与額等」","")&amp;IF(AND(K2021=FALSE,OR(L2021=FALSE,M2021=FALSE)),",","")&amp;IF(L2021=FALSE,"「残業手当」","")&amp;IF(AND(L2021=FALSE,M2021=FALSE),",","")&amp;IF(M2021=FALSE,"「残業時間」","")&amp;IF(OR(J2021=FALSE,K2021=FALSE,L2021=FALSE,M2021=FALSE),入力リスト!$K$36,"")&amp;IF(N2021,"",入力リスト!$K$37)))</f>
        <v/>
      </c>
      <c r="H2021" s="215"/>
      <c r="I2021" s="1" t="b">
        <f>IF(B2021="",FALSE,COUNTIF('従業員情報(給与以外)'!$A$4:$A$1000000,$B2021)=0)</f>
        <v>0</v>
      </c>
      <c r="J2021" s="8" t="b">
        <f t="shared" si="155"/>
        <v>1</v>
      </c>
      <c r="K2021" s="8" t="b">
        <f t="shared" si="156"/>
        <v>1</v>
      </c>
      <c r="L2021" s="8" t="b">
        <f t="shared" si="157"/>
        <v>1</v>
      </c>
      <c r="M2021" s="8" t="b">
        <f t="shared" si="158"/>
        <v>1</v>
      </c>
      <c r="N2021" s="1" t="b">
        <f t="shared" si="159"/>
        <v>1</v>
      </c>
      <c r="O2021" s="8" t="str">
        <f>IF(F2021="","",IF($F$2=入力リスト!$H$25,ROUNDDOWN(INT(F2021)+ROUNDDOWN((F2021-INT(F2021))*100,0)/60,2),F2021))</f>
        <v/>
      </c>
      <c r="P2021" s="7"/>
      <c r="Q2021" s="7"/>
    </row>
    <row r="2022" spans="1:17">
      <c r="A2022" s="105"/>
      <c r="B2022" s="2"/>
      <c r="C2022" s="3"/>
      <c r="D2022" s="3"/>
      <c r="E2022" s="3"/>
      <c r="F2022" s="8"/>
      <c r="G2022" s="215" t="str">
        <f>IF(AND($B2022="",OR(B2022&lt;&gt;"",C2022&lt;&gt;"",D2022&lt;&gt;"",E2022&lt;&gt;"",F2022&lt;&gt;"")),入力リスト!$K$34,IF($I2022=TRUE,入力リスト!$K$35,IF(J2022=FALSE,"「毎月の固定給与額」","")&amp;IF(AND(J2022=FALSE,OR(K2022=FALSE,L2022=FALSE,M2022=FALSE)),",","")&amp;IF(K2022=FALSE,"「賞与額等」","")&amp;IF(AND(K2022=FALSE,OR(L2022=FALSE,M2022=FALSE)),",","")&amp;IF(L2022=FALSE,"「残業手当」","")&amp;IF(AND(L2022=FALSE,M2022=FALSE),",","")&amp;IF(M2022=FALSE,"「残業時間」","")&amp;IF(OR(J2022=FALSE,K2022=FALSE,L2022=FALSE,M2022=FALSE),入力リスト!$K$36,"")&amp;IF(N2022,"",入力リスト!$K$37)))</f>
        <v/>
      </c>
      <c r="H2022" s="215"/>
      <c r="I2022" s="1" t="b">
        <f>IF(B2022="",FALSE,COUNTIF('従業員情報(給与以外)'!$A$4:$A$1000000,$B2022)=0)</f>
        <v>0</v>
      </c>
      <c r="J2022" s="8" t="b">
        <f t="shared" si="155"/>
        <v>1</v>
      </c>
      <c r="K2022" s="8" t="b">
        <f t="shared" si="156"/>
        <v>1</v>
      </c>
      <c r="L2022" s="8" t="b">
        <f t="shared" si="157"/>
        <v>1</v>
      </c>
      <c r="M2022" s="8" t="b">
        <f t="shared" si="158"/>
        <v>1</v>
      </c>
      <c r="N2022" s="1" t="b">
        <f t="shared" si="159"/>
        <v>1</v>
      </c>
      <c r="O2022" s="8" t="str">
        <f>IF(F2022="","",IF($F$2=入力リスト!$H$25,ROUNDDOWN(INT(F2022)+ROUNDDOWN((F2022-INT(F2022))*100,0)/60,2),F2022))</f>
        <v/>
      </c>
      <c r="P2022" s="7"/>
      <c r="Q2022" s="7"/>
    </row>
    <row r="2023" spans="1:17">
      <c r="A2023" s="105"/>
      <c r="B2023" s="2"/>
      <c r="C2023" s="3"/>
      <c r="D2023" s="3"/>
      <c r="E2023" s="3"/>
      <c r="F2023" s="8"/>
      <c r="G2023" s="215" t="str">
        <f>IF(AND($B2023="",OR(B2023&lt;&gt;"",C2023&lt;&gt;"",D2023&lt;&gt;"",E2023&lt;&gt;"",F2023&lt;&gt;"")),入力リスト!$K$34,IF($I2023=TRUE,入力リスト!$K$35,IF(J2023=FALSE,"「毎月の固定給与額」","")&amp;IF(AND(J2023=FALSE,OR(K2023=FALSE,L2023=FALSE,M2023=FALSE)),",","")&amp;IF(K2023=FALSE,"「賞与額等」","")&amp;IF(AND(K2023=FALSE,OR(L2023=FALSE,M2023=FALSE)),",","")&amp;IF(L2023=FALSE,"「残業手当」","")&amp;IF(AND(L2023=FALSE,M2023=FALSE),",","")&amp;IF(M2023=FALSE,"「残業時間」","")&amp;IF(OR(J2023=FALSE,K2023=FALSE,L2023=FALSE,M2023=FALSE),入力リスト!$K$36,"")&amp;IF(N2023,"",入力リスト!$K$37)))</f>
        <v/>
      </c>
      <c r="H2023" s="215"/>
      <c r="I2023" s="1" t="b">
        <f>IF(B2023="",FALSE,COUNTIF('従業員情報(給与以外)'!$A$4:$A$1000000,$B2023)=0)</f>
        <v>0</v>
      </c>
      <c r="J2023" s="8" t="b">
        <f t="shared" si="155"/>
        <v>1</v>
      </c>
      <c r="K2023" s="8" t="b">
        <f t="shared" si="156"/>
        <v>1</v>
      </c>
      <c r="L2023" s="8" t="b">
        <f t="shared" si="157"/>
        <v>1</v>
      </c>
      <c r="M2023" s="8" t="b">
        <f t="shared" si="158"/>
        <v>1</v>
      </c>
      <c r="N2023" s="1" t="b">
        <f t="shared" si="159"/>
        <v>1</v>
      </c>
      <c r="O2023" s="8" t="str">
        <f>IF(F2023="","",IF($F$2=入力リスト!$H$25,ROUNDDOWN(INT(F2023)+ROUNDDOWN((F2023-INT(F2023))*100,0)/60,2),F2023))</f>
        <v/>
      </c>
      <c r="P2023" s="7"/>
      <c r="Q2023" s="7"/>
    </row>
    <row r="2024" spans="1:17">
      <c r="A2024" s="105"/>
      <c r="B2024" s="2"/>
      <c r="C2024" s="3"/>
      <c r="D2024" s="3"/>
      <c r="E2024" s="3"/>
      <c r="F2024" s="8"/>
      <c r="G2024" s="215" t="str">
        <f>IF(AND($B2024="",OR(B2024&lt;&gt;"",C2024&lt;&gt;"",D2024&lt;&gt;"",E2024&lt;&gt;"",F2024&lt;&gt;"")),入力リスト!$K$34,IF($I2024=TRUE,入力リスト!$K$35,IF(J2024=FALSE,"「毎月の固定給与額」","")&amp;IF(AND(J2024=FALSE,OR(K2024=FALSE,L2024=FALSE,M2024=FALSE)),",","")&amp;IF(K2024=FALSE,"「賞与額等」","")&amp;IF(AND(K2024=FALSE,OR(L2024=FALSE,M2024=FALSE)),",","")&amp;IF(L2024=FALSE,"「残業手当」","")&amp;IF(AND(L2024=FALSE,M2024=FALSE),",","")&amp;IF(M2024=FALSE,"「残業時間」","")&amp;IF(OR(J2024=FALSE,K2024=FALSE,L2024=FALSE,M2024=FALSE),入力リスト!$K$36,"")&amp;IF(N2024,"",入力リスト!$K$37)))</f>
        <v/>
      </c>
      <c r="H2024" s="215"/>
      <c r="I2024" s="1" t="b">
        <f>IF(B2024="",FALSE,COUNTIF('従業員情報(給与以外)'!$A$4:$A$1000000,$B2024)=0)</f>
        <v>0</v>
      </c>
      <c r="J2024" s="8" t="b">
        <f t="shared" si="155"/>
        <v>1</v>
      </c>
      <c r="K2024" s="8" t="b">
        <f t="shared" si="156"/>
        <v>1</v>
      </c>
      <c r="L2024" s="8" t="b">
        <f t="shared" si="157"/>
        <v>1</v>
      </c>
      <c r="M2024" s="8" t="b">
        <f t="shared" si="158"/>
        <v>1</v>
      </c>
      <c r="N2024" s="1" t="b">
        <f t="shared" si="159"/>
        <v>1</v>
      </c>
      <c r="O2024" s="8" t="str">
        <f>IF(F2024="","",IF($F$2=入力リスト!$H$25,ROUNDDOWN(INT(F2024)+ROUNDDOWN((F2024-INT(F2024))*100,0)/60,2),F2024))</f>
        <v/>
      </c>
      <c r="P2024" s="7"/>
      <c r="Q2024" s="7"/>
    </row>
    <row r="2025" spans="1:17">
      <c r="A2025" s="105"/>
      <c r="B2025" s="2"/>
      <c r="C2025" s="3"/>
      <c r="D2025" s="3"/>
      <c r="E2025" s="3"/>
      <c r="F2025" s="8"/>
      <c r="G2025" s="215" t="str">
        <f>IF(AND($B2025="",OR(B2025&lt;&gt;"",C2025&lt;&gt;"",D2025&lt;&gt;"",E2025&lt;&gt;"",F2025&lt;&gt;"")),入力リスト!$K$34,IF($I2025=TRUE,入力リスト!$K$35,IF(J2025=FALSE,"「毎月の固定給与額」","")&amp;IF(AND(J2025=FALSE,OR(K2025=FALSE,L2025=FALSE,M2025=FALSE)),",","")&amp;IF(K2025=FALSE,"「賞与額等」","")&amp;IF(AND(K2025=FALSE,OR(L2025=FALSE,M2025=FALSE)),",","")&amp;IF(L2025=FALSE,"「残業手当」","")&amp;IF(AND(L2025=FALSE,M2025=FALSE),",","")&amp;IF(M2025=FALSE,"「残業時間」","")&amp;IF(OR(J2025=FALSE,K2025=FALSE,L2025=FALSE,M2025=FALSE),入力リスト!$K$36,"")&amp;IF(N2025,"",入力リスト!$K$37)))</f>
        <v/>
      </c>
      <c r="H2025" s="215"/>
      <c r="I2025" s="1" t="b">
        <f>IF(B2025="",FALSE,COUNTIF('従業員情報(給与以外)'!$A$4:$A$1000000,$B2025)=0)</f>
        <v>0</v>
      </c>
      <c r="J2025" s="8" t="b">
        <f t="shared" si="155"/>
        <v>1</v>
      </c>
      <c r="K2025" s="8" t="b">
        <f t="shared" si="156"/>
        <v>1</v>
      </c>
      <c r="L2025" s="8" t="b">
        <f t="shared" si="157"/>
        <v>1</v>
      </c>
      <c r="M2025" s="8" t="b">
        <f t="shared" si="158"/>
        <v>1</v>
      </c>
      <c r="N2025" s="1" t="b">
        <f t="shared" si="159"/>
        <v>1</v>
      </c>
      <c r="O2025" s="8" t="str">
        <f>IF(F2025="","",IF($F$2=入力リスト!$H$25,ROUNDDOWN(INT(F2025)+ROUNDDOWN((F2025-INT(F2025))*100,0)/60,2),F2025))</f>
        <v/>
      </c>
      <c r="P2025" s="7"/>
      <c r="Q2025" s="7"/>
    </row>
    <row r="2026" spans="1:17">
      <c r="A2026" s="105"/>
      <c r="B2026" s="2"/>
      <c r="C2026" s="3"/>
      <c r="D2026" s="3"/>
      <c r="E2026" s="3"/>
      <c r="F2026" s="8"/>
      <c r="G2026" s="215" t="str">
        <f>IF(AND($B2026="",OR(B2026&lt;&gt;"",C2026&lt;&gt;"",D2026&lt;&gt;"",E2026&lt;&gt;"",F2026&lt;&gt;"")),入力リスト!$K$34,IF($I2026=TRUE,入力リスト!$K$35,IF(J2026=FALSE,"「毎月の固定給与額」","")&amp;IF(AND(J2026=FALSE,OR(K2026=FALSE,L2026=FALSE,M2026=FALSE)),",","")&amp;IF(K2026=FALSE,"「賞与額等」","")&amp;IF(AND(K2026=FALSE,OR(L2026=FALSE,M2026=FALSE)),",","")&amp;IF(L2026=FALSE,"「残業手当」","")&amp;IF(AND(L2026=FALSE,M2026=FALSE),",","")&amp;IF(M2026=FALSE,"「残業時間」","")&amp;IF(OR(J2026=FALSE,K2026=FALSE,L2026=FALSE,M2026=FALSE),入力リスト!$K$36,"")&amp;IF(N2026,"",入力リスト!$K$37)))</f>
        <v/>
      </c>
      <c r="H2026" s="215"/>
      <c r="I2026" s="1" t="b">
        <f>IF(B2026="",FALSE,COUNTIF('従業員情報(給与以外)'!$A$4:$A$1000000,$B2026)=0)</f>
        <v>0</v>
      </c>
      <c r="J2026" s="8" t="b">
        <f t="shared" si="155"/>
        <v>1</v>
      </c>
      <c r="K2026" s="8" t="b">
        <f t="shared" si="156"/>
        <v>1</v>
      </c>
      <c r="L2026" s="8" t="b">
        <f t="shared" si="157"/>
        <v>1</v>
      </c>
      <c r="M2026" s="8" t="b">
        <f t="shared" si="158"/>
        <v>1</v>
      </c>
      <c r="N2026" s="1" t="b">
        <f t="shared" si="159"/>
        <v>1</v>
      </c>
      <c r="O2026" s="8" t="str">
        <f>IF(F2026="","",IF($F$2=入力リスト!$H$25,ROUNDDOWN(INT(F2026)+ROUNDDOWN((F2026-INT(F2026))*100,0)/60,2),F2026))</f>
        <v/>
      </c>
      <c r="P2026" s="7"/>
      <c r="Q2026" s="7"/>
    </row>
    <row r="2027" spans="1:17">
      <c r="A2027" s="105"/>
      <c r="B2027" s="2"/>
      <c r="C2027" s="3"/>
      <c r="D2027" s="3"/>
      <c r="E2027" s="3"/>
      <c r="F2027" s="8"/>
      <c r="G2027" s="215" t="str">
        <f>IF(AND($B2027="",OR(B2027&lt;&gt;"",C2027&lt;&gt;"",D2027&lt;&gt;"",E2027&lt;&gt;"",F2027&lt;&gt;"")),入力リスト!$K$34,IF($I2027=TRUE,入力リスト!$K$35,IF(J2027=FALSE,"「毎月の固定給与額」","")&amp;IF(AND(J2027=FALSE,OR(K2027=FALSE,L2027=FALSE,M2027=FALSE)),",","")&amp;IF(K2027=FALSE,"「賞与額等」","")&amp;IF(AND(K2027=FALSE,OR(L2027=FALSE,M2027=FALSE)),",","")&amp;IF(L2027=FALSE,"「残業手当」","")&amp;IF(AND(L2027=FALSE,M2027=FALSE),",","")&amp;IF(M2027=FALSE,"「残業時間」","")&amp;IF(OR(J2027=FALSE,K2027=FALSE,L2027=FALSE,M2027=FALSE),入力リスト!$K$36,"")&amp;IF(N2027,"",入力リスト!$K$37)))</f>
        <v/>
      </c>
      <c r="H2027" s="215"/>
      <c r="I2027" s="1" t="b">
        <f>IF(B2027="",FALSE,COUNTIF('従業員情報(給与以外)'!$A$4:$A$1000000,$B2027)=0)</f>
        <v>0</v>
      </c>
      <c r="J2027" s="8" t="b">
        <f t="shared" si="155"/>
        <v>1</v>
      </c>
      <c r="K2027" s="8" t="b">
        <f t="shared" si="156"/>
        <v>1</v>
      </c>
      <c r="L2027" s="8" t="b">
        <f t="shared" si="157"/>
        <v>1</v>
      </c>
      <c r="M2027" s="8" t="b">
        <f t="shared" si="158"/>
        <v>1</v>
      </c>
      <c r="N2027" s="1" t="b">
        <f t="shared" si="159"/>
        <v>1</v>
      </c>
      <c r="O2027" s="8" t="str">
        <f>IF(F2027="","",IF($F$2=入力リスト!$H$25,ROUNDDOWN(INT(F2027)+ROUNDDOWN((F2027-INT(F2027))*100,0)/60,2),F2027))</f>
        <v/>
      </c>
      <c r="P2027" s="7"/>
      <c r="Q2027" s="7"/>
    </row>
    <row r="2028" spans="1:17">
      <c r="A2028" s="105"/>
      <c r="B2028" s="2"/>
      <c r="C2028" s="3"/>
      <c r="D2028" s="3"/>
      <c r="E2028" s="3"/>
      <c r="F2028" s="8"/>
      <c r="G2028" s="215" t="str">
        <f>IF(AND($B2028="",OR(B2028&lt;&gt;"",C2028&lt;&gt;"",D2028&lt;&gt;"",E2028&lt;&gt;"",F2028&lt;&gt;"")),入力リスト!$K$34,IF($I2028=TRUE,入力リスト!$K$35,IF(J2028=FALSE,"「毎月の固定給与額」","")&amp;IF(AND(J2028=FALSE,OR(K2028=FALSE,L2028=FALSE,M2028=FALSE)),",","")&amp;IF(K2028=FALSE,"「賞与額等」","")&amp;IF(AND(K2028=FALSE,OR(L2028=FALSE,M2028=FALSE)),",","")&amp;IF(L2028=FALSE,"「残業手当」","")&amp;IF(AND(L2028=FALSE,M2028=FALSE),",","")&amp;IF(M2028=FALSE,"「残業時間」","")&amp;IF(OR(J2028=FALSE,K2028=FALSE,L2028=FALSE,M2028=FALSE),入力リスト!$K$36,"")&amp;IF(N2028,"",入力リスト!$K$37)))</f>
        <v/>
      </c>
      <c r="H2028" s="215"/>
      <c r="I2028" s="1" t="b">
        <f>IF(B2028="",FALSE,COUNTIF('従業員情報(給与以外)'!$A$4:$A$1000000,$B2028)=0)</f>
        <v>0</v>
      </c>
      <c r="J2028" s="8" t="b">
        <f t="shared" si="155"/>
        <v>1</v>
      </c>
      <c r="K2028" s="8" t="b">
        <f t="shared" si="156"/>
        <v>1</v>
      </c>
      <c r="L2028" s="8" t="b">
        <f t="shared" si="157"/>
        <v>1</v>
      </c>
      <c r="M2028" s="8" t="b">
        <f t="shared" si="158"/>
        <v>1</v>
      </c>
      <c r="N2028" s="1" t="b">
        <f t="shared" si="159"/>
        <v>1</v>
      </c>
      <c r="O2028" s="8" t="str">
        <f>IF(F2028="","",IF($F$2=入力リスト!$H$25,ROUNDDOWN(INT(F2028)+ROUNDDOWN((F2028-INT(F2028))*100,0)/60,2),F2028))</f>
        <v/>
      </c>
      <c r="P2028" s="7"/>
      <c r="Q2028" s="7"/>
    </row>
    <row r="2029" spans="1:17">
      <c r="A2029" s="105"/>
      <c r="B2029" s="2"/>
      <c r="C2029" s="3"/>
      <c r="D2029" s="3"/>
      <c r="E2029" s="3"/>
      <c r="F2029" s="8"/>
      <c r="G2029" s="215" t="str">
        <f>IF(AND($B2029="",OR(B2029&lt;&gt;"",C2029&lt;&gt;"",D2029&lt;&gt;"",E2029&lt;&gt;"",F2029&lt;&gt;"")),入力リスト!$K$34,IF($I2029=TRUE,入力リスト!$K$35,IF(J2029=FALSE,"「毎月の固定給与額」","")&amp;IF(AND(J2029=FALSE,OR(K2029=FALSE,L2029=FALSE,M2029=FALSE)),",","")&amp;IF(K2029=FALSE,"「賞与額等」","")&amp;IF(AND(K2029=FALSE,OR(L2029=FALSE,M2029=FALSE)),",","")&amp;IF(L2029=FALSE,"「残業手当」","")&amp;IF(AND(L2029=FALSE,M2029=FALSE),",","")&amp;IF(M2029=FALSE,"「残業時間」","")&amp;IF(OR(J2029=FALSE,K2029=FALSE,L2029=FALSE,M2029=FALSE),入力リスト!$K$36,"")&amp;IF(N2029,"",入力リスト!$K$37)))</f>
        <v/>
      </c>
      <c r="H2029" s="215"/>
      <c r="I2029" s="1" t="b">
        <f>IF(B2029="",FALSE,COUNTIF('従業員情報(給与以外)'!$A$4:$A$1000000,$B2029)=0)</f>
        <v>0</v>
      </c>
      <c r="J2029" s="8" t="b">
        <f t="shared" si="155"/>
        <v>1</v>
      </c>
      <c r="K2029" s="8" t="b">
        <f t="shared" si="156"/>
        <v>1</v>
      </c>
      <c r="L2029" s="8" t="b">
        <f t="shared" si="157"/>
        <v>1</v>
      </c>
      <c r="M2029" s="8" t="b">
        <f t="shared" si="158"/>
        <v>1</v>
      </c>
      <c r="N2029" s="1" t="b">
        <f t="shared" si="159"/>
        <v>1</v>
      </c>
      <c r="O2029" s="8" t="str">
        <f>IF(F2029="","",IF($F$2=入力リスト!$H$25,ROUNDDOWN(INT(F2029)+ROUNDDOWN((F2029-INT(F2029))*100,0)/60,2),F2029))</f>
        <v/>
      </c>
      <c r="P2029" s="7"/>
      <c r="Q2029" s="7"/>
    </row>
    <row r="2030" spans="1:17">
      <c r="A2030" s="105"/>
      <c r="B2030" s="2"/>
      <c r="C2030" s="3"/>
      <c r="D2030" s="3"/>
      <c r="E2030" s="3"/>
      <c r="F2030" s="8"/>
      <c r="G2030" s="215" t="str">
        <f>IF(AND($B2030="",OR(B2030&lt;&gt;"",C2030&lt;&gt;"",D2030&lt;&gt;"",E2030&lt;&gt;"",F2030&lt;&gt;"")),入力リスト!$K$34,IF($I2030=TRUE,入力リスト!$K$35,IF(J2030=FALSE,"「毎月の固定給与額」","")&amp;IF(AND(J2030=FALSE,OR(K2030=FALSE,L2030=FALSE,M2030=FALSE)),",","")&amp;IF(K2030=FALSE,"「賞与額等」","")&amp;IF(AND(K2030=FALSE,OR(L2030=FALSE,M2030=FALSE)),",","")&amp;IF(L2030=FALSE,"「残業手当」","")&amp;IF(AND(L2030=FALSE,M2030=FALSE),",","")&amp;IF(M2030=FALSE,"「残業時間」","")&amp;IF(OR(J2030=FALSE,K2030=FALSE,L2030=FALSE,M2030=FALSE),入力リスト!$K$36,"")&amp;IF(N2030,"",入力リスト!$K$37)))</f>
        <v/>
      </c>
      <c r="H2030" s="215"/>
      <c r="I2030" s="1" t="b">
        <f>IF(B2030="",FALSE,COUNTIF('従業員情報(給与以外)'!$A$4:$A$1000000,$B2030)=0)</f>
        <v>0</v>
      </c>
      <c r="J2030" s="8" t="b">
        <f t="shared" si="155"/>
        <v>1</v>
      </c>
      <c r="K2030" s="8" t="b">
        <f t="shared" si="156"/>
        <v>1</v>
      </c>
      <c r="L2030" s="8" t="b">
        <f t="shared" si="157"/>
        <v>1</v>
      </c>
      <c r="M2030" s="8" t="b">
        <f t="shared" si="158"/>
        <v>1</v>
      </c>
      <c r="N2030" s="1" t="b">
        <f t="shared" si="159"/>
        <v>1</v>
      </c>
      <c r="O2030" s="8" t="str">
        <f>IF(F2030="","",IF($F$2=入力リスト!$H$25,ROUNDDOWN(INT(F2030)+ROUNDDOWN((F2030-INT(F2030))*100,0)/60,2),F2030))</f>
        <v/>
      </c>
      <c r="P2030" s="7"/>
      <c r="Q2030" s="7"/>
    </row>
    <row r="2031" spans="1:17">
      <c r="A2031" s="105"/>
      <c r="B2031" s="2"/>
      <c r="C2031" s="3"/>
      <c r="D2031" s="3"/>
      <c r="E2031" s="3"/>
      <c r="F2031" s="8"/>
      <c r="G2031" s="215" t="str">
        <f>IF(AND($B2031="",OR(B2031&lt;&gt;"",C2031&lt;&gt;"",D2031&lt;&gt;"",E2031&lt;&gt;"",F2031&lt;&gt;"")),入力リスト!$K$34,IF($I2031=TRUE,入力リスト!$K$35,IF(J2031=FALSE,"「毎月の固定給与額」","")&amp;IF(AND(J2031=FALSE,OR(K2031=FALSE,L2031=FALSE,M2031=FALSE)),",","")&amp;IF(K2031=FALSE,"「賞与額等」","")&amp;IF(AND(K2031=FALSE,OR(L2031=FALSE,M2031=FALSE)),",","")&amp;IF(L2031=FALSE,"「残業手当」","")&amp;IF(AND(L2031=FALSE,M2031=FALSE),",","")&amp;IF(M2031=FALSE,"「残業時間」","")&amp;IF(OR(J2031=FALSE,K2031=FALSE,L2031=FALSE,M2031=FALSE),入力リスト!$K$36,"")&amp;IF(N2031,"",入力リスト!$K$37)))</f>
        <v/>
      </c>
      <c r="H2031" s="215"/>
      <c r="I2031" s="1" t="b">
        <f>IF(B2031="",FALSE,COUNTIF('従業員情報(給与以外)'!$A$4:$A$1000000,$B2031)=0)</f>
        <v>0</v>
      </c>
      <c r="J2031" s="8" t="b">
        <f t="shared" si="155"/>
        <v>1</v>
      </c>
      <c r="K2031" s="8" t="b">
        <f t="shared" si="156"/>
        <v>1</v>
      </c>
      <c r="L2031" s="8" t="b">
        <f t="shared" si="157"/>
        <v>1</v>
      </c>
      <c r="M2031" s="8" t="b">
        <f t="shared" si="158"/>
        <v>1</v>
      </c>
      <c r="N2031" s="1" t="b">
        <f t="shared" si="159"/>
        <v>1</v>
      </c>
      <c r="O2031" s="8" t="str">
        <f>IF(F2031="","",IF($F$2=入力リスト!$H$25,ROUNDDOWN(INT(F2031)+ROUNDDOWN((F2031-INT(F2031))*100,0)/60,2),F2031))</f>
        <v/>
      </c>
      <c r="P2031" s="7"/>
      <c r="Q2031" s="7"/>
    </row>
    <row r="2032" spans="1:17">
      <c r="A2032" s="105"/>
      <c r="B2032" s="2"/>
      <c r="C2032" s="3"/>
      <c r="D2032" s="3"/>
      <c r="E2032" s="3"/>
      <c r="F2032" s="8"/>
      <c r="G2032" s="215" t="str">
        <f>IF(AND($B2032="",OR(B2032&lt;&gt;"",C2032&lt;&gt;"",D2032&lt;&gt;"",E2032&lt;&gt;"",F2032&lt;&gt;"")),入力リスト!$K$34,IF($I2032=TRUE,入力リスト!$K$35,IF(J2032=FALSE,"「毎月の固定給与額」","")&amp;IF(AND(J2032=FALSE,OR(K2032=FALSE,L2032=FALSE,M2032=FALSE)),",","")&amp;IF(K2032=FALSE,"「賞与額等」","")&amp;IF(AND(K2032=FALSE,OR(L2032=FALSE,M2032=FALSE)),",","")&amp;IF(L2032=FALSE,"「残業手当」","")&amp;IF(AND(L2032=FALSE,M2032=FALSE),",","")&amp;IF(M2032=FALSE,"「残業時間」","")&amp;IF(OR(J2032=FALSE,K2032=FALSE,L2032=FALSE,M2032=FALSE),入力リスト!$K$36,"")&amp;IF(N2032,"",入力リスト!$K$37)))</f>
        <v/>
      </c>
      <c r="H2032" s="215"/>
      <c r="I2032" s="1" t="b">
        <f>IF(B2032="",FALSE,COUNTIF('従業員情報(給与以外)'!$A$4:$A$1000000,$B2032)=0)</f>
        <v>0</v>
      </c>
      <c r="J2032" s="8" t="b">
        <f t="shared" si="155"/>
        <v>1</v>
      </c>
      <c r="K2032" s="8" t="b">
        <f t="shared" si="156"/>
        <v>1</v>
      </c>
      <c r="L2032" s="8" t="b">
        <f t="shared" si="157"/>
        <v>1</v>
      </c>
      <c r="M2032" s="8" t="b">
        <f t="shared" si="158"/>
        <v>1</v>
      </c>
      <c r="N2032" s="1" t="b">
        <f t="shared" si="159"/>
        <v>1</v>
      </c>
      <c r="O2032" s="8" t="str">
        <f>IF(F2032="","",IF($F$2=入力リスト!$H$25,ROUNDDOWN(INT(F2032)+ROUNDDOWN((F2032-INT(F2032))*100,0)/60,2),F2032))</f>
        <v/>
      </c>
      <c r="P2032" s="7"/>
      <c r="Q2032" s="7"/>
    </row>
    <row r="2033" spans="1:17">
      <c r="A2033" s="105"/>
      <c r="B2033" s="2"/>
      <c r="C2033" s="3"/>
      <c r="D2033" s="3"/>
      <c r="E2033" s="3"/>
      <c r="F2033" s="8"/>
      <c r="G2033" s="215" t="str">
        <f>IF(AND($B2033="",OR(B2033&lt;&gt;"",C2033&lt;&gt;"",D2033&lt;&gt;"",E2033&lt;&gt;"",F2033&lt;&gt;"")),入力リスト!$K$34,IF($I2033=TRUE,入力リスト!$K$35,IF(J2033=FALSE,"「毎月の固定給与額」","")&amp;IF(AND(J2033=FALSE,OR(K2033=FALSE,L2033=FALSE,M2033=FALSE)),",","")&amp;IF(K2033=FALSE,"「賞与額等」","")&amp;IF(AND(K2033=FALSE,OR(L2033=FALSE,M2033=FALSE)),",","")&amp;IF(L2033=FALSE,"「残業手当」","")&amp;IF(AND(L2033=FALSE,M2033=FALSE),",","")&amp;IF(M2033=FALSE,"「残業時間」","")&amp;IF(OR(J2033=FALSE,K2033=FALSE,L2033=FALSE,M2033=FALSE),入力リスト!$K$36,"")&amp;IF(N2033,"",入力リスト!$K$37)))</f>
        <v/>
      </c>
      <c r="H2033" s="215"/>
      <c r="I2033" s="1" t="b">
        <f>IF(B2033="",FALSE,COUNTIF('従業員情報(給与以外)'!$A$4:$A$1000000,$B2033)=0)</f>
        <v>0</v>
      </c>
      <c r="J2033" s="8" t="b">
        <f t="shared" si="155"/>
        <v>1</v>
      </c>
      <c r="K2033" s="8" t="b">
        <f t="shared" si="156"/>
        <v>1</v>
      </c>
      <c r="L2033" s="8" t="b">
        <f t="shared" si="157"/>
        <v>1</v>
      </c>
      <c r="M2033" s="8" t="b">
        <f t="shared" si="158"/>
        <v>1</v>
      </c>
      <c r="N2033" s="1" t="b">
        <f t="shared" si="159"/>
        <v>1</v>
      </c>
      <c r="O2033" s="8" t="str">
        <f>IF(F2033="","",IF($F$2=入力リスト!$H$25,ROUNDDOWN(INT(F2033)+ROUNDDOWN((F2033-INT(F2033))*100,0)/60,2),F2033))</f>
        <v/>
      </c>
      <c r="P2033" s="7"/>
      <c r="Q2033" s="7"/>
    </row>
    <row r="2034" spans="1:17">
      <c r="A2034" s="105"/>
      <c r="B2034" s="2"/>
      <c r="C2034" s="3"/>
      <c r="D2034" s="3"/>
      <c r="E2034" s="3"/>
      <c r="F2034" s="8"/>
      <c r="G2034" s="215" t="str">
        <f>IF(AND($B2034="",OR(B2034&lt;&gt;"",C2034&lt;&gt;"",D2034&lt;&gt;"",E2034&lt;&gt;"",F2034&lt;&gt;"")),入力リスト!$K$34,IF($I2034=TRUE,入力リスト!$K$35,IF(J2034=FALSE,"「毎月の固定給与額」","")&amp;IF(AND(J2034=FALSE,OR(K2034=FALSE,L2034=FALSE,M2034=FALSE)),",","")&amp;IF(K2034=FALSE,"「賞与額等」","")&amp;IF(AND(K2034=FALSE,OR(L2034=FALSE,M2034=FALSE)),",","")&amp;IF(L2034=FALSE,"「残業手当」","")&amp;IF(AND(L2034=FALSE,M2034=FALSE),",","")&amp;IF(M2034=FALSE,"「残業時間」","")&amp;IF(OR(J2034=FALSE,K2034=FALSE,L2034=FALSE,M2034=FALSE),入力リスト!$K$36,"")&amp;IF(N2034,"",入力リスト!$K$37)))</f>
        <v/>
      </c>
      <c r="H2034" s="215"/>
      <c r="I2034" s="1" t="b">
        <f>IF(B2034="",FALSE,COUNTIF('従業員情報(給与以外)'!$A$4:$A$1000000,$B2034)=0)</f>
        <v>0</v>
      </c>
      <c r="J2034" s="8" t="b">
        <f t="shared" si="155"/>
        <v>1</v>
      </c>
      <c r="K2034" s="8" t="b">
        <f t="shared" si="156"/>
        <v>1</v>
      </c>
      <c r="L2034" s="8" t="b">
        <f t="shared" si="157"/>
        <v>1</v>
      </c>
      <c r="M2034" s="8" t="b">
        <f t="shared" si="158"/>
        <v>1</v>
      </c>
      <c r="N2034" s="1" t="b">
        <f t="shared" si="159"/>
        <v>1</v>
      </c>
      <c r="O2034" s="8" t="str">
        <f>IF(F2034="","",IF($F$2=入力リスト!$H$25,ROUNDDOWN(INT(F2034)+ROUNDDOWN((F2034-INT(F2034))*100,0)/60,2),F2034))</f>
        <v/>
      </c>
      <c r="P2034" s="7"/>
      <c r="Q2034" s="7"/>
    </row>
    <row r="2035" spans="1:17">
      <c r="A2035" s="105"/>
      <c r="B2035" s="2"/>
      <c r="C2035" s="3"/>
      <c r="D2035" s="3"/>
      <c r="E2035" s="3"/>
      <c r="F2035" s="8"/>
      <c r="G2035" s="215" t="str">
        <f>IF(AND($B2035="",OR(B2035&lt;&gt;"",C2035&lt;&gt;"",D2035&lt;&gt;"",E2035&lt;&gt;"",F2035&lt;&gt;"")),入力リスト!$K$34,IF($I2035=TRUE,入力リスト!$K$35,IF(J2035=FALSE,"「毎月の固定給与額」","")&amp;IF(AND(J2035=FALSE,OR(K2035=FALSE,L2035=FALSE,M2035=FALSE)),",","")&amp;IF(K2035=FALSE,"「賞与額等」","")&amp;IF(AND(K2035=FALSE,OR(L2035=FALSE,M2035=FALSE)),",","")&amp;IF(L2035=FALSE,"「残業手当」","")&amp;IF(AND(L2035=FALSE,M2035=FALSE),",","")&amp;IF(M2035=FALSE,"「残業時間」","")&amp;IF(OR(J2035=FALSE,K2035=FALSE,L2035=FALSE,M2035=FALSE),入力リスト!$K$36,"")&amp;IF(N2035,"",入力リスト!$K$37)))</f>
        <v/>
      </c>
      <c r="H2035" s="215"/>
      <c r="I2035" s="1" t="b">
        <f>IF(B2035="",FALSE,COUNTIF('従業員情報(給与以外)'!$A$4:$A$1000000,$B2035)=0)</f>
        <v>0</v>
      </c>
      <c r="J2035" s="8" t="b">
        <f t="shared" si="155"/>
        <v>1</v>
      </c>
      <c r="K2035" s="8" t="b">
        <f t="shared" si="156"/>
        <v>1</v>
      </c>
      <c r="L2035" s="8" t="b">
        <f t="shared" si="157"/>
        <v>1</v>
      </c>
      <c r="M2035" s="8" t="b">
        <f t="shared" si="158"/>
        <v>1</v>
      </c>
      <c r="N2035" s="1" t="b">
        <f t="shared" si="159"/>
        <v>1</v>
      </c>
      <c r="O2035" s="8" t="str">
        <f>IF(F2035="","",IF($F$2=入力リスト!$H$25,ROUNDDOWN(INT(F2035)+ROUNDDOWN((F2035-INT(F2035))*100,0)/60,2),F2035))</f>
        <v/>
      </c>
      <c r="P2035" s="7"/>
      <c r="Q2035" s="7"/>
    </row>
    <row r="2036" spans="1:17">
      <c r="A2036" s="105"/>
      <c r="B2036" s="2"/>
      <c r="C2036" s="3"/>
      <c r="D2036" s="3"/>
      <c r="E2036" s="3"/>
      <c r="F2036" s="8"/>
      <c r="G2036" s="215" t="str">
        <f>IF(AND($B2036="",OR(B2036&lt;&gt;"",C2036&lt;&gt;"",D2036&lt;&gt;"",E2036&lt;&gt;"",F2036&lt;&gt;"")),入力リスト!$K$34,IF($I2036=TRUE,入力リスト!$K$35,IF(J2036=FALSE,"「毎月の固定給与額」","")&amp;IF(AND(J2036=FALSE,OR(K2036=FALSE,L2036=FALSE,M2036=FALSE)),",","")&amp;IF(K2036=FALSE,"「賞与額等」","")&amp;IF(AND(K2036=FALSE,OR(L2036=FALSE,M2036=FALSE)),",","")&amp;IF(L2036=FALSE,"「残業手当」","")&amp;IF(AND(L2036=FALSE,M2036=FALSE),",","")&amp;IF(M2036=FALSE,"「残業時間」","")&amp;IF(OR(J2036=FALSE,K2036=FALSE,L2036=FALSE,M2036=FALSE),入力リスト!$K$36,"")&amp;IF(N2036,"",入力リスト!$K$37)))</f>
        <v/>
      </c>
      <c r="H2036" s="215"/>
      <c r="I2036" s="1" t="b">
        <f>IF(B2036="",FALSE,COUNTIF('従業員情報(給与以外)'!$A$4:$A$1000000,$B2036)=0)</f>
        <v>0</v>
      </c>
      <c r="J2036" s="8" t="b">
        <f t="shared" si="155"/>
        <v>1</v>
      </c>
      <c r="K2036" s="8" t="b">
        <f t="shared" si="156"/>
        <v>1</v>
      </c>
      <c r="L2036" s="8" t="b">
        <f t="shared" si="157"/>
        <v>1</v>
      </c>
      <c r="M2036" s="8" t="b">
        <f t="shared" si="158"/>
        <v>1</v>
      </c>
      <c r="N2036" s="1" t="b">
        <f t="shared" si="159"/>
        <v>1</v>
      </c>
      <c r="O2036" s="8" t="str">
        <f>IF(F2036="","",IF($F$2=入力リスト!$H$25,ROUNDDOWN(INT(F2036)+ROUNDDOWN((F2036-INT(F2036))*100,0)/60,2),F2036))</f>
        <v/>
      </c>
      <c r="P2036" s="7"/>
      <c r="Q2036" s="7"/>
    </row>
    <row r="2037" spans="1:17">
      <c r="A2037" s="105"/>
      <c r="B2037" s="2"/>
      <c r="C2037" s="3"/>
      <c r="D2037" s="3"/>
      <c r="E2037" s="3"/>
      <c r="F2037" s="8"/>
      <c r="G2037" s="215" t="str">
        <f>IF(AND($B2037="",OR(B2037&lt;&gt;"",C2037&lt;&gt;"",D2037&lt;&gt;"",E2037&lt;&gt;"",F2037&lt;&gt;"")),入力リスト!$K$34,IF($I2037=TRUE,入力リスト!$K$35,IF(J2037=FALSE,"「毎月の固定給与額」","")&amp;IF(AND(J2037=FALSE,OR(K2037=FALSE,L2037=FALSE,M2037=FALSE)),",","")&amp;IF(K2037=FALSE,"「賞与額等」","")&amp;IF(AND(K2037=FALSE,OR(L2037=FALSE,M2037=FALSE)),",","")&amp;IF(L2037=FALSE,"「残業手当」","")&amp;IF(AND(L2037=FALSE,M2037=FALSE),",","")&amp;IF(M2037=FALSE,"「残業時間」","")&amp;IF(OR(J2037=FALSE,K2037=FALSE,L2037=FALSE,M2037=FALSE),入力リスト!$K$36,"")&amp;IF(N2037,"",入力リスト!$K$37)))</f>
        <v/>
      </c>
      <c r="H2037" s="215"/>
      <c r="I2037" s="1" t="b">
        <f>IF(B2037="",FALSE,COUNTIF('従業員情報(給与以外)'!$A$4:$A$1000000,$B2037)=0)</f>
        <v>0</v>
      </c>
      <c r="J2037" s="8" t="b">
        <f t="shared" si="155"/>
        <v>1</v>
      </c>
      <c r="K2037" s="8" t="b">
        <f t="shared" si="156"/>
        <v>1</v>
      </c>
      <c r="L2037" s="8" t="b">
        <f t="shared" si="157"/>
        <v>1</v>
      </c>
      <c r="M2037" s="8" t="b">
        <f t="shared" si="158"/>
        <v>1</v>
      </c>
      <c r="N2037" s="1" t="b">
        <f t="shared" si="159"/>
        <v>1</v>
      </c>
      <c r="O2037" s="8" t="str">
        <f>IF(F2037="","",IF($F$2=入力リスト!$H$25,ROUNDDOWN(INT(F2037)+ROUNDDOWN((F2037-INT(F2037))*100,0)/60,2),F2037))</f>
        <v/>
      </c>
      <c r="P2037" s="7"/>
      <c r="Q2037" s="7"/>
    </row>
    <row r="2038" spans="1:17">
      <c r="A2038" s="105"/>
      <c r="B2038" s="2"/>
      <c r="C2038" s="3"/>
      <c r="D2038" s="3"/>
      <c r="E2038" s="3"/>
      <c r="F2038" s="8"/>
      <c r="G2038" s="215" t="str">
        <f>IF(AND($B2038="",OR(B2038&lt;&gt;"",C2038&lt;&gt;"",D2038&lt;&gt;"",E2038&lt;&gt;"",F2038&lt;&gt;"")),入力リスト!$K$34,IF($I2038=TRUE,入力リスト!$K$35,IF(J2038=FALSE,"「毎月の固定給与額」","")&amp;IF(AND(J2038=FALSE,OR(K2038=FALSE,L2038=FALSE,M2038=FALSE)),",","")&amp;IF(K2038=FALSE,"「賞与額等」","")&amp;IF(AND(K2038=FALSE,OR(L2038=FALSE,M2038=FALSE)),",","")&amp;IF(L2038=FALSE,"「残業手当」","")&amp;IF(AND(L2038=FALSE,M2038=FALSE),",","")&amp;IF(M2038=FALSE,"「残業時間」","")&amp;IF(OR(J2038=FALSE,K2038=FALSE,L2038=FALSE,M2038=FALSE),入力リスト!$K$36,"")&amp;IF(N2038,"",入力リスト!$K$37)))</f>
        <v/>
      </c>
      <c r="H2038" s="215"/>
      <c r="I2038" s="1" t="b">
        <f>IF(B2038="",FALSE,COUNTIF('従業員情報(給与以外)'!$A$4:$A$1000000,$B2038)=0)</f>
        <v>0</v>
      </c>
      <c r="J2038" s="8" t="b">
        <f t="shared" si="155"/>
        <v>1</v>
      </c>
      <c r="K2038" s="8" t="b">
        <f t="shared" si="156"/>
        <v>1</v>
      </c>
      <c r="L2038" s="8" t="b">
        <f t="shared" si="157"/>
        <v>1</v>
      </c>
      <c r="M2038" s="8" t="b">
        <f t="shared" si="158"/>
        <v>1</v>
      </c>
      <c r="N2038" s="1" t="b">
        <f t="shared" si="159"/>
        <v>1</v>
      </c>
      <c r="O2038" s="8" t="str">
        <f>IF(F2038="","",IF($F$2=入力リスト!$H$25,ROUNDDOWN(INT(F2038)+ROUNDDOWN((F2038-INT(F2038))*100,0)/60,2),F2038))</f>
        <v/>
      </c>
      <c r="P2038" s="7"/>
      <c r="Q2038" s="7"/>
    </row>
    <row r="2039" spans="1:17">
      <c r="A2039" s="105"/>
      <c r="B2039" s="2"/>
      <c r="C2039" s="3"/>
      <c r="D2039" s="3"/>
      <c r="E2039" s="3"/>
      <c r="F2039" s="8"/>
      <c r="G2039" s="215" t="str">
        <f>IF(AND($B2039="",OR(B2039&lt;&gt;"",C2039&lt;&gt;"",D2039&lt;&gt;"",E2039&lt;&gt;"",F2039&lt;&gt;"")),入力リスト!$K$34,IF($I2039=TRUE,入力リスト!$K$35,IF(J2039=FALSE,"「毎月の固定給与額」","")&amp;IF(AND(J2039=FALSE,OR(K2039=FALSE,L2039=FALSE,M2039=FALSE)),",","")&amp;IF(K2039=FALSE,"「賞与額等」","")&amp;IF(AND(K2039=FALSE,OR(L2039=FALSE,M2039=FALSE)),",","")&amp;IF(L2039=FALSE,"「残業手当」","")&amp;IF(AND(L2039=FALSE,M2039=FALSE),",","")&amp;IF(M2039=FALSE,"「残業時間」","")&amp;IF(OR(J2039=FALSE,K2039=FALSE,L2039=FALSE,M2039=FALSE),入力リスト!$K$36,"")&amp;IF(N2039,"",入力リスト!$K$37)))</f>
        <v/>
      </c>
      <c r="H2039" s="215"/>
      <c r="I2039" s="1" t="b">
        <f>IF(B2039="",FALSE,COUNTIF('従業員情報(給与以外)'!$A$4:$A$1000000,$B2039)=0)</f>
        <v>0</v>
      </c>
      <c r="J2039" s="8" t="b">
        <f t="shared" si="155"/>
        <v>1</v>
      </c>
      <c r="K2039" s="8" t="b">
        <f t="shared" si="156"/>
        <v>1</v>
      </c>
      <c r="L2039" s="8" t="b">
        <f t="shared" si="157"/>
        <v>1</v>
      </c>
      <c r="M2039" s="8" t="b">
        <f t="shared" si="158"/>
        <v>1</v>
      </c>
      <c r="N2039" s="1" t="b">
        <f t="shared" si="159"/>
        <v>1</v>
      </c>
      <c r="O2039" s="8" t="str">
        <f>IF(F2039="","",IF($F$2=入力リスト!$H$25,ROUNDDOWN(INT(F2039)+ROUNDDOWN((F2039-INT(F2039))*100,0)/60,2),F2039))</f>
        <v/>
      </c>
      <c r="P2039" s="7"/>
      <c r="Q2039" s="7"/>
    </row>
    <row r="2040" spans="1:17">
      <c r="A2040" s="105"/>
      <c r="B2040" s="2"/>
      <c r="C2040" s="3"/>
      <c r="D2040" s="3"/>
      <c r="E2040" s="3"/>
      <c r="F2040" s="8"/>
      <c r="G2040" s="215" t="str">
        <f>IF(AND($B2040="",OR(B2040&lt;&gt;"",C2040&lt;&gt;"",D2040&lt;&gt;"",E2040&lt;&gt;"",F2040&lt;&gt;"")),入力リスト!$K$34,IF($I2040=TRUE,入力リスト!$K$35,IF(J2040=FALSE,"「毎月の固定給与額」","")&amp;IF(AND(J2040=FALSE,OR(K2040=FALSE,L2040=FALSE,M2040=FALSE)),",","")&amp;IF(K2040=FALSE,"「賞与額等」","")&amp;IF(AND(K2040=FALSE,OR(L2040=FALSE,M2040=FALSE)),",","")&amp;IF(L2040=FALSE,"「残業手当」","")&amp;IF(AND(L2040=FALSE,M2040=FALSE),",","")&amp;IF(M2040=FALSE,"「残業時間」","")&amp;IF(OR(J2040=FALSE,K2040=FALSE,L2040=FALSE,M2040=FALSE),入力リスト!$K$36,"")&amp;IF(N2040,"",入力リスト!$K$37)))</f>
        <v/>
      </c>
      <c r="H2040" s="215"/>
      <c r="I2040" s="1" t="b">
        <f>IF(B2040="",FALSE,COUNTIF('従業員情報(給与以外)'!$A$4:$A$1000000,$B2040)=0)</f>
        <v>0</v>
      </c>
      <c r="J2040" s="8" t="b">
        <f t="shared" si="155"/>
        <v>1</v>
      </c>
      <c r="K2040" s="8" t="b">
        <f t="shared" si="156"/>
        <v>1</v>
      </c>
      <c r="L2040" s="8" t="b">
        <f t="shared" si="157"/>
        <v>1</v>
      </c>
      <c r="M2040" s="8" t="b">
        <f t="shared" si="158"/>
        <v>1</v>
      </c>
      <c r="N2040" s="1" t="b">
        <f t="shared" si="159"/>
        <v>1</v>
      </c>
      <c r="O2040" s="8" t="str">
        <f>IF(F2040="","",IF($F$2=入力リスト!$H$25,ROUNDDOWN(INT(F2040)+ROUNDDOWN((F2040-INT(F2040))*100,0)/60,2),F2040))</f>
        <v/>
      </c>
      <c r="P2040" s="7"/>
      <c r="Q2040" s="7"/>
    </row>
    <row r="2041" spans="1:17">
      <c r="A2041" s="105"/>
      <c r="B2041" s="2"/>
      <c r="C2041" s="3"/>
      <c r="D2041" s="3"/>
      <c r="E2041" s="3"/>
      <c r="F2041" s="8"/>
      <c r="G2041" s="215" t="str">
        <f>IF(AND($B2041="",OR(B2041&lt;&gt;"",C2041&lt;&gt;"",D2041&lt;&gt;"",E2041&lt;&gt;"",F2041&lt;&gt;"")),入力リスト!$K$34,IF($I2041=TRUE,入力リスト!$K$35,IF(J2041=FALSE,"「毎月の固定給与額」","")&amp;IF(AND(J2041=FALSE,OR(K2041=FALSE,L2041=FALSE,M2041=FALSE)),",","")&amp;IF(K2041=FALSE,"「賞与額等」","")&amp;IF(AND(K2041=FALSE,OR(L2041=FALSE,M2041=FALSE)),",","")&amp;IF(L2041=FALSE,"「残業手当」","")&amp;IF(AND(L2041=FALSE,M2041=FALSE),",","")&amp;IF(M2041=FALSE,"「残業時間」","")&amp;IF(OR(J2041=FALSE,K2041=FALSE,L2041=FALSE,M2041=FALSE),入力リスト!$K$36,"")&amp;IF(N2041,"",入力リスト!$K$37)))</f>
        <v/>
      </c>
      <c r="H2041" s="215"/>
      <c r="I2041" s="1" t="b">
        <f>IF(B2041="",FALSE,COUNTIF('従業員情報(給与以外)'!$A$4:$A$1000000,$B2041)=0)</f>
        <v>0</v>
      </c>
      <c r="J2041" s="8" t="b">
        <f t="shared" si="155"/>
        <v>1</v>
      </c>
      <c r="K2041" s="8" t="b">
        <f t="shared" si="156"/>
        <v>1</v>
      </c>
      <c r="L2041" s="8" t="b">
        <f t="shared" si="157"/>
        <v>1</v>
      </c>
      <c r="M2041" s="8" t="b">
        <f t="shared" si="158"/>
        <v>1</v>
      </c>
      <c r="N2041" s="1" t="b">
        <f t="shared" si="159"/>
        <v>1</v>
      </c>
      <c r="O2041" s="8" t="str">
        <f>IF(F2041="","",IF($F$2=入力リスト!$H$25,ROUNDDOWN(INT(F2041)+ROUNDDOWN((F2041-INT(F2041))*100,0)/60,2),F2041))</f>
        <v/>
      </c>
      <c r="P2041" s="7"/>
      <c r="Q2041" s="7"/>
    </row>
    <row r="2042" spans="1:17">
      <c r="A2042" s="105"/>
      <c r="B2042" s="2"/>
      <c r="C2042" s="3"/>
      <c r="D2042" s="3"/>
      <c r="E2042" s="3"/>
      <c r="F2042" s="8"/>
      <c r="G2042" s="215" t="str">
        <f>IF(AND($B2042="",OR(B2042&lt;&gt;"",C2042&lt;&gt;"",D2042&lt;&gt;"",E2042&lt;&gt;"",F2042&lt;&gt;"")),入力リスト!$K$34,IF($I2042=TRUE,入力リスト!$K$35,IF(J2042=FALSE,"「毎月の固定給与額」","")&amp;IF(AND(J2042=FALSE,OR(K2042=FALSE,L2042=FALSE,M2042=FALSE)),",","")&amp;IF(K2042=FALSE,"「賞与額等」","")&amp;IF(AND(K2042=FALSE,OR(L2042=FALSE,M2042=FALSE)),",","")&amp;IF(L2042=FALSE,"「残業手当」","")&amp;IF(AND(L2042=FALSE,M2042=FALSE),",","")&amp;IF(M2042=FALSE,"「残業時間」","")&amp;IF(OR(J2042=FALSE,K2042=FALSE,L2042=FALSE,M2042=FALSE),入力リスト!$K$36,"")&amp;IF(N2042,"",入力リスト!$K$37)))</f>
        <v/>
      </c>
      <c r="H2042" s="215"/>
      <c r="I2042" s="1" t="b">
        <f>IF(B2042="",FALSE,COUNTIF('従業員情報(給与以外)'!$A$4:$A$1000000,$B2042)=0)</f>
        <v>0</v>
      </c>
      <c r="J2042" s="8" t="b">
        <f t="shared" si="155"/>
        <v>1</v>
      </c>
      <c r="K2042" s="8" t="b">
        <f t="shared" si="156"/>
        <v>1</v>
      </c>
      <c r="L2042" s="8" t="b">
        <f t="shared" si="157"/>
        <v>1</v>
      </c>
      <c r="M2042" s="8" t="b">
        <f t="shared" si="158"/>
        <v>1</v>
      </c>
      <c r="N2042" s="1" t="b">
        <f t="shared" si="159"/>
        <v>1</v>
      </c>
      <c r="O2042" s="8" t="str">
        <f>IF(F2042="","",IF($F$2=入力リスト!$H$25,ROUNDDOWN(INT(F2042)+ROUNDDOWN((F2042-INT(F2042))*100,0)/60,2),F2042))</f>
        <v/>
      </c>
      <c r="P2042" s="7"/>
      <c r="Q2042" s="7"/>
    </row>
    <row r="2043" spans="1:17">
      <c r="A2043" s="105"/>
      <c r="B2043" s="2"/>
      <c r="C2043" s="3"/>
      <c r="D2043" s="3"/>
      <c r="E2043" s="3"/>
      <c r="F2043" s="8"/>
      <c r="G2043" s="215" t="str">
        <f>IF(AND($B2043="",OR(B2043&lt;&gt;"",C2043&lt;&gt;"",D2043&lt;&gt;"",E2043&lt;&gt;"",F2043&lt;&gt;"")),入力リスト!$K$34,IF($I2043=TRUE,入力リスト!$K$35,IF(J2043=FALSE,"「毎月の固定給与額」","")&amp;IF(AND(J2043=FALSE,OR(K2043=FALSE,L2043=FALSE,M2043=FALSE)),",","")&amp;IF(K2043=FALSE,"「賞与額等」","")&amp;IF(AND(K2043=FALSE,OR(L2043=FALSE,M2043=FALSE)),",","")&amp;IF(L2043=FALSE,"「残業手当」","")&amp;IF(AND(L2043=FALSE,M2043=FALSE),",","")&amp;IF(M2043=FALSE,"「残業時間」","")&amp;IF(OR(J2043=FALSE,K2043=FALSE,L2043=FALSE,M2043=FALSE),入力リスト!$K$36,"")&amp;IF(N2043,"",入力リスト!$K$37)))</f>
        <v/>
      </c>
      <c r="H2043" s="215"/>
      <c r="I2043" s="1" t="b">
        <f>IF(B2043="",FALSE,COUNTIF('従業員情報(給与以外)'!$A$4:$A$1000000,$B2043)=0)</f>
        <v>0</v>
      </c>
      <c r="J2043" s="8" t="b">
        <f t="shared" si="155"/>
        <v>1</v>
      </c>
      <c r="K2043" s="8" t="b">
        <f t="shared" si="156"/>
        <v>1</v>
      </c>
      <c r="L2043" s="8" t="b">
        <f t="shared" si="157"/>
        <v>1</v>
      </c>
      <c r="M2043" s="8" t="b">
        <f t="shared" si="158"/>
        <v>1</v>
      </c>
      <c r="N2043" s="1" t="b">
        <f t="shared" si="159"/>
        <v>1</v>
      </c>
      <c r="O2043" s="8" t="str">
        <f>IF(F2043="","",IF($F$2=入力リスト!$H$25,ROUNDDOWN(INT(F2043)+ROUNDDOWN((F2043-INT(F2043))*100,0)/60,2),F2043))</f>
        <v/>
      </c>
      <c r="P2043" s="7"/>
      <c r="Q2043" s="7"/>
    </row>
    <row r="2044" spans="1:17">
      <c r="A2044" s="105"/>
      <c r="B2044" s="2"/>
      <c r="C2044" s="3"/>
      <c r="D2044" s="3"/>
      <c r="E2044" s="3"/>
      <c r="F2044" s="8"/>
      <c r="G2044" s="215" t="str">
        <f>IF(AND($B2044="",OR(B2044&lt;&gt;"",C2044&lt;&gt;"",D2044&lt;&gt;"",E2044&lt;&gt;"",F2044&lt;&gt;"")),入力リスト!$K$34,IF($I2044=TRUE,入力リスト!$K$35,IF(J2044=FALSE,"「毎月の固定給与額」","")&amp;IF(AND(J2044=FALSE,OR(K2044=FALSE,L2044=FALSE,M2044=FALSE)),",","")&amp;IF(K2044=FALSE,"「賞与額等」","")&amp;IF(AND(K2044=FALSE,OR(L2044=FALSE,M2044=FALSE)),",","")&amp;IF(L2044=FALSE,"「残業手当」","")&amp;IF(AND(L2044=FALSE,M2044=FALSE),",","")&amp;IF(M2044=FALSE,"「残業時間」","")&amp;IF(OR(J2044=FALSE,K2044=FALSE,L2044=FALSE,M2044=FALSE),入力リスト!$K$36,"")&amp;IF(N2044,"",入力リスト!$K$37)))</f>
        <v/>
      </c>
      <c r="H2044" s="215"/>
      <c r="I2044" s="1" t="b">
        <f>IF(B2044="",FALSE,COUNTIF('従業員情報(給与以外)'!$A$4:$A$1000000,$B2044)=0)</f>
        <v>0</v>
      </c>
      <c r="J2044" s="8" t="b">
        <f t="shared" si="155"/>
        <v>1</v>
      </c>
      <c r="K2044" s="8" t="b">
        <f t="shared" si="156"/>
        <v>1</v>
      </c>
      <c r="L2044" s="8" t="b">
        <f t="shared" si="157"/>
        <v>1</v>
      </c>
      <c r="M2044" s="8" t="b">
        <f t="shared" si="158"/>
        <v>1</v>
      </c>
      <c r="N2044" s="1" t="b">
        <f t="shared" si="159"/>
        <v>1</v>
      </c>
      <c r="O2044" s="8" t="str">
        <f>IF(F2044="","",IF($F$2=入力リスト!$H$25,ROUNDDOWN(INT(F2044)+ROUNDDOWN((F2044-INT(F2044))*100,0)/60,2),F2044))</f>
        <v/>
      </c>
      <c r="P2044" s="7"/>
      <c r="Q2044" s="7"/>
    </row>
    <row r="2045" spans="1:17">
      <c r="A2045" s="105"/>
      <c r="B2045" s="2"/>
      <c r="C2045" s="3"/>
      <c r="D2045" s="3"/>
      <c r="E2045" s="3"/>
      <c r="F2045" s="8"/>
      <c r="G2045" s="215" t="str">
        <f>IF(AND($B2045="",OR(B2045&lt;&gt;"",C2045&lt;&gt;"",D2045&lt;&gt;"",E2045&lt;&gt;"",F2045&lt;&gt;"")),入力リスト!$K$34,IF($I2045=TRUE,入力リスト!$K$35,IF(J2045=FALSE,"「毎月の固定給与額」","")&amp;IF(AND(J2045=FALSE,OR(K2045=FALSE,L2045=FALSE,M2045=FALSE)),",","")&amp;IF(K2045=FALSE,"「賞与額等」","")&amp;IF(AND(K2045=FALSE,OR(L2045=FALSE,M2045=FALSE)),",","")&amp;IF(L2045=FALSE,"「残業手当」","")&amp;IF(AND(L2045=FALSE,M2045=FALSE),",","")&amp;IF(M2045=FALSE,"「残業時間」","")&amp;IF(OR(J2045=FALSE,K2045=FALSE,L2045=FALSE,M2045=FALSE),入力リスト!$K$36,"")&amp;IF(N2045,"",入力リスト!$K$37)))</f>
        <v/>
      </c>
      <c r="H2045" s="215"/>
      <c r="I2045" s="1" t="b">
        <f>IF(B2045="",FALSE,COUNTIF('従業員情報(給与以外)'!$A$4:$A$1000000,$B2045)=0)</f>
        <v>0</v>
      </c>
      <c r="J2045" s="8" t="b">
        <f t="shared" si="155"/>
        <v>1</v>
      </c>
      <c r="K2045" s="8" t="b">
        <f t="shared" si="156"/>
        <v>1</v>
      </c>
      <c r="L2045" s="8" t="b">
        <f t="shared" si="157"/>
        <v>1</v>
      </c>
      <c r="M2045" s="8" t="b">
        <f t="shared" si="158"/>
        <v>1</v>
      </c>
      <c r="N2045" s="1" t="b">
        <f t="shared" si="159"/>
        <v>1</v>
      </c>
      <c r="O2045" s="8" t="str">
        <f>IF(F2045="","",IF($F$2=入力リスト!$H$25,ROUNDDOWN(INT(F2045)+ROUNDDOWN((F2045-INT(F2045))*100,0)/60,2),F2045))</f>
        <v/>
      </c>
      <c r="P2045" s="7"/>
      <c r="Q2045" s="7"/>
    </row>
    <row r="2046" spans="1:17">
      <c r="A2046" s="105"/>
      <c r="B2046" s="2"/>
      <c r="C2046" s="3"/>
      <c r="D2046" s="3"/>
      <c r="E2046" s="3"/>
      <c r="F2046" s="8"/>
      <c r="G2046" s="215" t="str">
        <f>IF(AND($B2046="",OR(B2046&lt;&gt;"",C2046&lt;&gt;"",D2046&lt;&gt;"",E2046&lt;&gt;"",F2046&lt;&gt;"")),入力リスト!$K$34,IF($I2046=TRUE,入力リスト!$K$35,IF(J2046=FALSE,"「毎月の固定給与額」","")&amp;IF(AND(J2046=FALSE,OR(K2046=FALSE,L2046=FALSE,M2046=FALSE)),",","")&amp;IF(K2046=FALSE,"「賞与額等」","")&amp;IF(AND(K2046=FALSE,OR(L2046=FALSE,M2046=FALSE)),",","")&amp;IF(L2046=FALSE,"「残業手当」","")&amp;IF(AND(L2046=FALSE,M2046=FALSE),",","")&amp;IF(M2046=FALSE,"「残業時間」","")&amp;IF(OR(J2046=FALSE,K2046=FALSE,L2046=FALSE,M2046=FALSE),入力リスト!$K$36,"")&amp;IF(N2046,"",入力リスト!$K$37)))</f>
        <v/>
      </c>
      <c r="H2046" s="215"/>
      <c r="I2046" s="1" t="b">
        <f>IF(B2046="",FALSE,COUNTIF('従業員情報(給与以外)'!$A$4:$A$1000000,$B2046)=0)</f>
        <v>0</v>
      </c>
      <c r="J2046" s="8" t="b">
        <f t="shared" si="155"/>
        <v>1</v>
      </c>
      <c r="K2046" s="8" t="b">
        <f t="shared" si="156"/>
        <v>1</v>
      </c>
      <c r="L2046" s="8" t="b">
        <f t="shared" si="157"/>
        <v>1</v>
      </c>
      <c r="M2046" s="8" t="b">
        <f t="shared" si="158"/>
        <v>1</v>
      </c>
      <c r="N2046" s="1" t="b">
        <f t="shared" si="159"/>
        <v>1</v>
      </c>
      <c r="O2046" s="8" t="str">
        <f>IF(F2046="","",IF($F$2=入力リスト!$H$25,ROUNDDOWN(INT(F2046)+ROUNDDOWN((F2046-INT(F2046))*100,0)/60,2),F2046))</f>
        <v/>
      </c>
      <c r="P2046" s="7"/>
      <c r="Q2046" s="7"/>
    </row>
    <row r="2047" spans="1:17">
      <c r="A2047" s="105"/>
      <c r="B2047" s="2"/>
      <c r="C2047" s="3"/>
      <c r="D2047" s="3"/>
      <c r="E2047" s="3"/>
      <c r="F2047" s="8"/>
      <c r="G2047" s="215" t="str">
        <f>IF(AND($B2047="",OR(B2047&lt;&gt;"",C2047&lt;&gt;"",D2047&lt;&gt;"",E2047&lt;&gt;"",F2047&lt;&gt;"")),入力リスト!$K$34,IF($I2047=TRUE,入力リスト!$K$35,IF(J2047=FALSE,"「毎月の固定給与額」","")&amp;IF(AND(J2047=FALSE,OR(K2047=FALSE,L2047=FALSE,M2047=FALSE)),",","")&amp;IF(K2047=FALSE,"「賞与額等」","")&amp;IF(AND(K2047=FALSE,OR(L2047=FALSE,M2047=FALSE)),",","")&amp;IF(L2047=FALSE,"「残業手当」","")&amp;IF(AND(L2047=FALSE,M2047=FALSE),",","")&amp;IF(M2047=FALSE,"「残業時間」","")&amp;IF(OR(J2047=FALSE,K2047=FALSE,L2047=FALSE,M2047=FALSE),入力リスト!$K$36,"")&amp;IF(N2047,"",入力リスト!$K$37)))</f>
        <v/>
      </c>
      <c r="H2047" s="215"/>
      <c r="I2047" s="1" t="b">
        <f>IF(B2047="",FALSE,COUNTIF('従業員情報(給与以外)'!$A$4:$A$1000000,$B2047)=0)</f>
        <v>0</v>
      </c>
      <c r="J2047" s="8" t="b">
        <f t="shared" si="155"/>
        <v>1</v>
      </c>
      <c r="K2047" s="8" t="b">
        <f t="shared" si="156"/>
        <v>1</v>
      </c>
      <c r="L2047" s="8" t="b">
        <f t="shared" si="157"/>
        <v>1</v>
      </c>
      <c r="M2047" s="8" t="b">
        <f t="shared" si="158"/>
        <v>1</v>
      </c>
      <c r="N2047" s="1" t="b">
        <f t="shared" si="159"/>
        <v>1</v>
      </c>
      <c r="O2047" s="8" t="str">
        <f>IF(F2047="","",IF($F$2=入力リスト!$H$25,ROUNDDOWN(INT(F2047)+ROUNDDOWN((F2047-INT(F2047))*100,0)/60,2),F2047))</f>
        <v/>
      </c>
      <c r="P2047" s="7"/>
      <c r="Q2047" s="7"/>
    </row>
    <row r="2048" spans="1:17">
      <c r="A2048" s="105"/>
      <c r="B2048" s="2"/>
      <c r="C2048" s="3"/>
      <c r="D2048" s="3"/>
      <c r="E2048" s="3"/>
      <c r="F2048" s="8"/>
      <c r="G2048" s="215" t="str">
        <f>IF(AND($B2048="",OR(B2048&lt;&gt;"",C2048&lt;&gt;"",D2048&lt;&gt;"",E2048&lt;&gt;"",F2048&lt;&gt;"")),入力リスト!$K$34,IF($I2048=TRUE,入力リスト!$K$35,IF(J2048=FALSE,"「毎月の固定給与額」","")&amp;IF(AND(J2048=FALSE,OR(K2048=FALSE,L2048=FALSE,M2048=FALSE)),",","")&amp;IF(K2048=FALSE,"「賞与額等」","")&amp;IF(AND(K2048=FALSE,OR(L2048=FALSE,M2048=FALSE)),",","")&amp;IF(L2048=FALSE,"「残業手当」","")&amp;IF(AND(L2048=FALSE,M2048=FALSE),",","")&amp;IF(M2048=FALSE,"「残業時間」","")&amp;IF(OR(J2048=FALSE,K2048=FALSE,L2048=FALSE,M2048=FALSE),入力リスト!$K$36,"")&amp;IF(N2048,"",入力リスト!$K$37)))</f>
        <v/>
      </c>
      <c r="H2048" s="215"/>
      <c r="I2048" s="1" t="b">
        <f>IF(B2048="",FALSE,COUNTIF('従業員情報(給与以外)'!$A$4:$A$1000000,$B2048)=0)</f>
        <v>0</v>
      </c>
      <c r="J2048" s="8" t="b">
        <f t="shared" si="155"/>
        <v>1</v>
      </c>
      <c r="K2048" s="8" t="b">
        <f t="shared" si="156"/>
        <v>1</v>
      </c>
      <c r="L2048" s="8" t="b">
        <f t="shared" si="157"/>
        <v>1</v>
      </c>
      <c r="M2048" s="8" t="b">
        <f t="shared" si="158"/>
        <v>1</v>
      </c>
      <c r="N2048" s="1" t="b">
        <f t="shared" si="159"/>
        <v>1</v>
      </c>
      <c r="O2048" s="8" t="str">
        <f>IF(F2048="","",IF($F$2=入力リスト!$H$25,ROUNDDOWN(INT(F2048)+ROUNDDOWN((F2048-INT(F2048))*100,0)/60,2),F2048))</f>
        <v/>
      </c>
      <c r="P2048" s="7"/>
      <c r="Q2048" s="7"/>
    </row>
    <row r="2049" spans="1:17">
      <c r="A2049" s="105"/>
      <c r="B2049" s="2"/>
      <c r="C2049" s="3"/>
      <c r="D2049" s="3"/>
      <c r="E2049" s="3"/>
      <c r="F2049" s="8"/>
      <c r="G2049" s="215" t="str">
        <f>IF(AND($B2049="",OR(B2049&lt;&gt;"",C2049&lt;&gt;"",D2049&lt;&gt;"",E2049&lt;&gt;"",F2049&lt;&gt;"")),入力リスト!$K$34,IF($I2049=TRUE,入力リスト!$K$35,IF(J2049=FALSE,"「毎月の固定給与額」","")&amp;IF(AND(J2049=FALSE,OR(K2049=FALSE,L2049=FALSE,M2049=FALSE)),",","")&amp;IF(K2049=FALSE,"「賞与額等」","")&amp;IF(AND(K2049=FALSE,OR(L2049=FALSE,M2049=FALSE)),",","")&amp;IF(L2049=FALSE,"「残業手当」","")&amp;IF(AND(L2049=FALSE,M2049=FALSE),",","")&amp;IF(M2049=FALSE,"「残業時間」","")&amp;IF(OR(J2049=FALSE,K2049=FALSE,L2049=FALSE,M2049=FALSE),入力リスト!$K$36,"")&amp;IF(N2049,"",入力リスト!$K$37)))</f>
        <v/>
      </c>
      <c r="H2049" s="215"/>
      <c r="I2049" s="1" t="b">
        <f>IF(B2049="",FALSE,COUNTIF('従業員情報(給与以外)'!$A$4:$A$1000000,$B2049)=0)</f>
        <v>0</v>
      </c>
      <c r="J2049" s="8" t="b">
        <f t="shared" si="155"/>
        <v>1</v>
      </c>
      <c r="K2049" s="8" t="b">
        <f t="shared" si="156"/>
        <v>1</v>
      </c>
      <c r="L2049" s="8" t="b">
        <f t="shared" si="157"/>
        <v>1</v>
      </c>
      <c r="M2049" s="8" t="b">
        <f t="shared" si="158"/>
        <v>1</v>
      </c>
      <c r="N2049" s="1" t="b">
        <f t="shared" si="159"/>
        <v>1</v>
      </c>
      <c r="O2049" s="8" t="str">
        <f>IF(F2049="","",IF($F$2=入力リスト!$H$25,ROUNDDOWN(INT(F2049)+ROUNDDOWN((F2049-INT(F2049))*100,0)/60,2),F2049))</f>
        <v/>
      </c>
      <c r="P2049" s="7"/>
      <c r="Q2049" s="7"/>
    </row>
    <row r="2050" spans="1:17">
      <c r="A2050" s="105"/>
      <c r="B2050" s="2"/>
      <c r="C2050" s="3"/>
      <c r="D2050" s="3"/>
      <c r="E2050" s="3"/>
      <c r="F2050" s="8"/>
      <c r="G2050" s="215" t="str">
        <f>IF(AND($B2050="",OR(B2050&lt;&gt;"",C2050&lt;&gt;"",D2050&lt;&gt;"",E2050&lt;&gt;"",F2050&lt;&gt;"")),入力リスト!$K$34,IF($I2050=TRUE,入力リスト!$K$35,IF(J2050=FALSE,"「毎月の固定給与額」","")&amp;IF(AND(J2050=FALSE,OR(K2050=FALSE,L2050=FALSE,M2050=FALSE)),",","")&amp;IF(K2050=FALSE,"「賞与額等」","")&amp;IF(AND(K2050=FALSE,OR(L2050=FALSE,M2050=FALSE)),",","")&amp;IF(L2050=FALSE,"「残業手当」","")&amp;IF(AND(L2050=FALSE,M2050=FALSE),",","")&amp;IF(M2050=FALSE,"「残業時間」","")&amp;IF(OR(J2050=FALSE,K2050=FALSE,L2050=FALSE,M2050=FALSE),入力リスト!$K$36,"")&amp;IF(N2050,"",入力リスト!$K$37)))</f>
        <v/>
      </c>
      <c r="H2050" s="215"/>
      <c r="I2050" s="1" t="b">
        <f>IF(B2050="",FALSE,COUNTIF('従業員情報(給与以外)'!$A$4:$A$1000000,$B2050)=0)</f>
        <v>0</v>
      </c>
      <c r="J2050" s="8" t="b">
        <f t="shared" si="155"/>
        <v>1</v>
      </c>
      <c r="K2050" s="8" t="b">
        <f t="shared" si="156"/>
        <v>1</v>
      </c>
      <c r="L2050" s="8" t="b">
        <f t="shared" si="157"/>
        <v>1</v>
      </c>
      <c r="M2050" s="8" t="b">
        <f t="shared" si="158"/>
        <v>1</v>
      </c>
      <c r="N2050" s="1" t="b">
        <f t="shared" si="159"/>
        <v>1</v>
      </c>
      <c r="O2050" s="8" t="str">
        <f>IF(F2050="","",IF($F$2=入力リスト!$H$25,ROUNDDOWN(INT(F2050)+ROUNDDOWN((F2050-INT(F2050))*100,0)/60,2),F2050))</f>
        <v/>
      </c>
      <c r="P2050" s="7"/>
      <c r="Q2050" s="7"/>
    </row>
    <row r="2051" spans="1:17">
      <c r="A2051" s="105"/>
      <c r="B2051" s="2"/>
      <c r="C2051" s="3"/>
      <c r="D2051" s="3"/>
      <c r="E2051" s="3"/>
      <c r="F2051" s="8"/>
      <c r="G2051" s="215" t="str">
        <f>IF(AND($B2051="",OR(B2051&lt;&gt;"",C2051&lt;&gt;"",D2051&lt;&gt;"",E2051&lt;&gt;"",F2051&lt;&gt;"")),入力リスト!$K$34,IF($I2051=TRUE,入力リスト!$K$35,IF(J2051=FALSE,"「毎月の固定給与額」","")&amp;IF(AND(J2051=FALSE,OR(K2051=FALSE,L2051=FALSE,M2051=FALSE)),",","")&amp;IF(K2051=FALSE,"「賞与額等」","")&amp;IF(AND(K2051=FALSE,OR(L2051=FALSE,M2051=FALSE)),",","")&amp;IF(L2051=FALSE,"「残業手当」","")&amp;IF(AND(L2051=FALSE,M2051=FALSE),",","")&amp;IF(M2051=FALSE,"「残業時間」","")&amp;IF(OR(J2051=FALSE,K2051=FALSE,L2051=FALSE,M2051=FALSE),入力リスト!$K$36,"")&amp;IF(N2051,"",入力リスト!$K$37)))</f>
        <v/>
      </c>
      <c r="H2051" s="215"/>
      <c r="I2051" s="1" t="b">
        <f>IF(B2051="",FALSE,COUNTIF('従業員情報(給与以外)'!$A$4:$A$1000000,$B2051)=0)</f>
        <v>0</v>
      </c>
      <c r="J2051" s="8" t="b">
        <f t="shared" si="155"/>
        <v>1</v>
      </c>
      <c r="K2051" s="8" t="b">
        <f t="shared" si="156"/>
        <v>1</v>
      </c>
      <c r="L2051" s="8" t="b">
        <f t="shared" si="157"/>
        <v>1</v>
      </c>
      <c r="M2051" s="8" t="b">
        <f t="shared" si="158"/>
        <v>1</v>
      </c>
      <c r="N2051" s="1" t="b">
        <f t="shared" si="159"/>
        <v>1</v>
      </c>
      <c r="O2051" s="8" t="str">
        <f>IF(F2051="","",IF($F$2=入力リスト!$H$25,ROUNDDOWN(INT(F2051)+ROUNDDOWN((F2051-INT(F2051))*100,0)/60,2),F2051))</f>
        <v/>
      </c>
      <c r="P2051" s="7"/>
      <c r="Q2051" s="7"/>
    </row>
    <row r="2052" spans="1:17">
      <c r="A2052" s="105"/>
      <c r="B2052" s="2"/>
      <c r="C2052" s="3"/>
      <c r="D2052" s="3"/>
      <c r="E2052" s="3"/>
      <c r="F2052" s="8"/>
      <c r="G2052" s="215" t="str">
        <f>IF(AND($B2052="",OR(B2052&lt;&gt;"",C2052&lt;&gt;"",D2052&lt;&gt;"",E2052&lt;&gt;"",F2052&lt;&gt;"")),入力リスト!$K$34,IF($I2052=TRUE,入力リスト!$K$35,IF(J2052=FALSE,"「毎月の固定給与額」","")&amp;IF(AND(J2052=FALSE,OR(K2052=FALSE,L2052=FALSE,M2052=FALSE)),",","")&amp;IF(K2052=FALSE,"「賞与額等」","")&amp;IF(AND(K2052=FALSE,OR(L2052=FALSE,M2052=FALSE)),",","")&amp;IF(L2052=FALSE,"「残業手当」","")&amp;IF(AND(L2052=FALSE,M2052=FALSE),",","")&amp;IF(M2052=FALSE,"「残業時間」","")&amp;IF(OR(J2052=FALSE,K2052=FALSE,L2052=FALSE,M2052=FALSE),入力リスト!$K$36,"")&amp;IF(N2052,"",入力リスト!$K$37)))</f>
        <v/>
      </c>
      <c r="H2052" s="215"/>
      <c r="I2052" s="1" t="b">
        <f>IF(B2052="",FALSE,COUNTIF('従業員情報(給与以外)'!$A$4:$A$1000000,$B2052)=0)</f>
        <v>0</v>
      </c>
      <c r="J2052" s="8" t="b">
        <f t="shared" si="155"/>
        <v>1</v>
      </c>
      <c r="K2052" s="8" t="b">
        <f t="shared" si="156"/>
        <v>1</v>
      </c>
      <c r="L2052" s="8" t="b">
        <f t="shared" si="157"/>
        <v>1</v>
      </c>
      <c r="M2052" s="8" t="b">
        <f t="shared" si="158"/>
        <v>1</v>
      </c>
      <c r="N2052" s="1" t="b">
        <f t="shared" si="159"/>
        <v>1</v>
      </c>
      <c r="O2052" s="8" t="str">
        <f>IF(F2052="","",IF($F$2=入力リスト!$H$25,ROUNDDOWN(INT(F2052)+ROUNDDOWN((F2052-INT(F2052))*100,0)/60,2),F2052))</f>
        <v/>
      </c>
      <c r="P2052" s="7"/>
      <c r="Q2052" s="7"/>
    </row>
    <row r="2053" spans="1:17">
      <c r="A2053" s="105"/>
      <c r="B2053" s="2"/>
      <c r="C2053" s="3"/>
      <c r="D2053" s="3"/>
      <c r="E2053" s="3"/>
      <c r="F2053" s="8"/>
      <c r="G2053" s="215" t="str">
        <f>IF(AND($B2053="",OR(B2053&lt;&gt;"",C2053&lt;&gt;"",D2053&lt;&gt;"",E2053&lt;&gt;"",F2053&lt;&gt;"")),入力リスト!$K$34,IF($I2053=TRUE,入力リスト!$K$35,IF(J2053=FALSE,"「毎月の固定給与額」","")&amp;IF(AND(J2053=FALSE,OR(K2053=FALSE,L2053=FALSE,M2053=FALSE)),",","")&amp;IF(K2053=FALSE,"「賞与額等」","")&amp;IF(AND(K2053=FALSE,OR(L2053=FALSE,M2053=FALSE)),",","")&amp;IF(L2053=FALSE,"「残業手当」","")&amp;IF(AND(L2053=FALSE,M2053=FALSE),",","")&amp;IF(M2053=FALSE,"「残業時間」","")&amp;IF(OR(J2053=FALSE,K2053=FALSE,L2053=FALSE,M2053=FALSE),入力リスト!$K$36,"")&amp;IF(N2053,"",入力リスト!$K$37)))</f>
        <v/>
      </c>
      <c r="H2053" s="215"/>
      <c r="I2053" s="1" t="b">
        <f>IF(B2053="",FALSE,COUNTIF('従業員情報(給与以外)'!$A$4:$A$1000000,$B2053)=0)</f>
        <v>0</v>
      </c>
      <c r="J2053" s="8" t="b">
        <f t="shared" ref="J2053:J2116" si="160">OR(C2053="",ISNUMBER(C2053))</f>
        <v>1</v>
      </c>
      <c r="K2053" s="8" t="b">
        <f t="shared" ref="K2053:K2116" si="161">OR(D2053="",ISNUMBER(D2053))</f>
        <v>1</v>
      </c>
      <c r="L2053" s="8" t="b">
        <f t="shared" ref="L2053:L2116" si="162">OR(E2053="",ISNUMBER(E2053))</f>
        <v>1</v>
      </c>
      <c r="M2053" s="8" t="b">
        <f t="shared" ref="M2053:M2116" si="163">OR(F2053="",ISNUMBER(F2053))</f>
        <v>1</v>
      </c>
      <c r="N2053" s="1" t="b">
        <f t="shared" ref="N2053:N2116" si="164">IF($N$1,TRUE,IF($N$2,IF(F2053-INT(F2053)&lt;0.6,TRUE,FALSE),TRUE))</f>
        <v>1</v>
      </c>
      <c r="O2053" s="8" t="str">
        <f>IF(F2053="","",IF($F$2=入力リスト!$H$25,ROUNDDOWN(INT(F2053)+ROUNDDOWN((F2053-INT(F2053))*100,0)/60,2),F2053))</f>
        <v/>
      </c>
      <c r="P2053" s="7"/>
      <c r="Q2053" s="7"/>
    </row>
    <row r="2054" spans="1:17">
      <c r="A2054" s="105"/>
      <c r="B2054" s="2"/>
      <c r="C2054" s="3"/>
      <c r="D2054" s="3"/>
      <c r="E2054" s="3"/>
      <c r="F2054" s="8"/>
      <c r="G2054" s="215" t="str">
        <f>IF(AND($B2054="",OR(B2054&lt;&gt;"",C2054&lt;&gt;"",D2054&lt;&gt;"",E2054&lt;&gt;"",F2054&lt;&gt;"")),入力リスト!$K$34,IF($I2054=TRUE,入力リスト!$K$35,IF(J2054=FALSE,"「毎月の固定給与額」","")&amp;IF(AND(J2054=FALSE,OR(K2054=FALSE,L2054=FALSE,M2054=FALSE)),",","")&amp;IF(K2054=FALSE,"「賞与額等」","")&amp;IF(AND(K2054=FALSE,OR(L2054=FALSE,M2054=FALSE)),",","")&amp;IF(L2054=FALSE,"「残業手当」","")&amp;IF(AND(L2054=FALSE,M2054=FALSE),",","")&amp;IF(M2054=FALSE,"「残業時間」","")&amp;IF(OR(J2054=FALSE,K2054=FALSE,L2054=FALSE,M2054=FALSE),入力リスト!$K$36,"")&amp;IF(N2054,"",入力リスト!$K$37)))</f>
        <v/>
      </c>
      <c r="H2054" s="215"/>
      <c r="I2054" s="1" t="b">
        <f>IF(B2054="",FALSE,COUNTIF('従業員情報(給与以外)'!$A$4:$A$1000000,$B2054)=0)</f>
        <v>0</v>
      </c>
      <c r="J2054" s="8" t="b">
        <f t="shared" si="160"/>
        <v>1</v>
      </c>
      <c r="K2054" s="8" t="b">
        <f t="shared" si="161"/>
        <v>1</v>
      </c>
      <c r="L2054" s="8" t="b">
        <f t="shared" si="162"/>
        <v>1</v>
      </c>
      <c r="M2054" s="8" t="b">
        <f t="shared" si="163"/>
        <v>1</v>
      </c>
      <c r="N2054" s="1" t="b">
        <f t="shared" si="164"/>
        <v>1</v>
      </c>
      <c r="O2054" s="8" t="str">
        <f>IF(F2054="","",IF($F$2=入力リスト!$H$25,ROUNDDOWN(INT(F2054)+ROUNDDOWN((F2054-INT(F2054))*100,0)/60,2),F2054))</f>
        <v/>
      </c>
      <c r="P2054" s="7"/>
      <c r="Q2054" s="7"/>
    </row>
    <row r="2055" spans="1:17">
      <c r="A2055" s="105"/>
      <c r="B2055" s="2"/>
      <c r="C2055" s="3"/>
      <c r="D2055" s="3"/>
      <c r="E2055" s="3"/>
      <c r="F2055" s="8"/>
      <c r="G2055" s="215" t="str">
        <f>IF(AND($B2055="",OR(B2055&lt;&gt;"",C2055&lt;&gt;"",D2055&lt;&gt;"",E2055&lt;&gt;"",F2055&lt;&gt;"")),入力リスト!$K$34,IF($I2055=TRUE,入力リスト!$K$35,IF(J2055=FALSE,"「毎月の固定給与額」","")&amp;IF(AND(J2055=FALSE,OR(K2055=FALSE,L2055=FALSE,M2055=FALSE)),",","")&amp;IF(K2055=FALSE,"「賞与額等」","")&amp;IF(AND(K2055=FALSE,OR(L2055=FALSE,M2055=FALSE)),",","")&amp;IF(L2055=FALSE,"「残業手当」","")&amp;IF(AND(L2055=FALSE,M2055=FALSE),",","")&amp;IF(M2055=FALSE,"「残業時間」","")&amp;IF(OR(J2055=FALSE,K2055=FALSE,L2055=FALSE,M2055=FALSE),入力リスト!$K$36,"")&amp;IF(N2055,"",入力リスト!$K$37)))</f>
        <v/>
      </c>
      <c r="H2055" s="215"/>
      <c r="I2055" s="1" t="b">
        <f>IF(B2055="",FALSE,COUNTIF('従業員情報(給与以外)'!$A$4:$A$1000000,$B2055)=0)</f>
        <v>0</v>
      </c>
      <c r="J2055" s="8" t="b">
        <f t="shared" si="160"/>
        <v>1</v>
      </c>
      <c r="K2055" s="8" t="b">
        <f t="shared" si="161"/>
        <v>1</v>
      </c>
      <c r="L2055" s="8" t="b">
        <f t="shared" si="162"/>
        <v>1</v>
      </c>
      <c r="M2055" s="8" t="b">
        <f t="shared" si="163"/>
        <v>1</v>
      </c>
      <c r="N2055" s="1" t="b">
        <f t="shared" si="164"/>
        <v>1</v>
      </c>
      <c r="O2055" s="8" t="str">
        <f>IF(F2055="","",IF($F$2=入力リスト!$H$25,ROUNDDOWN(INT(F2055)+ROUNDDOWN((F2055-INT(F2055))*100,0)/60,2),F2055))</f>
        <v/>
      </c>
      <c r="P2055" s="7"/>
      <c r="Q2055" s="7"/>
    </row>
    <row r="2056" spans="1:17">
      <c r="A2056" s="105"/>
      <c r="B2056" s="2"/>
      <c r="C2056" s="3"/>
      <c r="D2056" s="3"/>
      <c r="E2056" s="3"/>
      <c r="F2056" s="8"/>
      <c r="G2056" s="215" t="str">
        <f>IF(AND($B2056="",OR(B2056&lt;&gt;"",C2056&lt;&gt;"",D2056&lt;&gt;"",E2056&lt;&gt;"",F2056&lt;&gt;"")),入力リスト!$K$34,IF($I2056=TRUE,入力リスト!$K$35,IF(J2056=FALSE,"「毎月の固定給与額」","")&amp;IF(AND(J2056=FALSE,OR(K2056=FALSE,L2056=FALSE,M2056=FALSE)),",","")&amp;IF(K2056=FALSE,"「賞与額等」","")&amp;IF(AND(K2056=FALSE,OR(L2056=FALSE,M2056=FALSE)),",","")&amp;IF(L2056=FALSE,"「残業手当」","")&amp;IF(AND(L2056=FALSE,M2056=FALSE),",","")&amp;IF(M2056=FALSE,"「残業時間」","")&amp;IF(OR(J2056=FALSE,K2056=FALSE,L2056=FALSE,M2056=FALSE),入力リスト!$K$36,"")&amp;IF(N2056,"",入力リスト!$K$37)))</f>
        <v/>
      </c>
      <c r="H2056" s="215"/>
      <c r="I2056" s="1" t="b">
        <f>IF(B2056="",FALSE,COUNTIF('従業員情報(給与以外)'!$A$4:$A$1000000,$B2056)=0)</f>
        <v>0</v>
      </c>
      <c r="J2056" s="8" t="b">
        <f t="shared" si="160"/>
        <v>1</v>
      </c>
      <c r="K2056" s="8" t="b">
        <f t="shared" si="161"/>
        <v>1</v>
      </c>
      <c r="L2056" s="8" t="b">
        <f t="shared" si="162"/>
        <v>1</v>
      </c>
      <c r="M2056" s="8" t="b">
        <f t="shared" si="163"/>
        <v>1</v>
      </c>
      <c r="N2056" s="1" t="b">
        <f t="shared" si="164"/>
        <v>1</v>
      </c>
      <c r="O2056" s="8" t="str">
        <f>IF(F2056="","",IF($F$2=入力リスト!$H$25,ROUNDDOWN(INT(F2056)+ROUNDDOWN((F2056-INT(F2056))*100,0)/60,2),F2056))</f>
        <v/>
      </c>
      <c r="P2056" s="7"/>
      <c r="Q2056" s="7"/>
    </row>
    <row r="2057" spans="1:17">
      <c r="A2057" s="105"/>
      <c r="B2057" s="2"/>
      <c r="C2057" s="3"/>
      <c r="D2057" s="3"/>
      <c r="E2057" s="3"/>
      <c r="F2057" s="8"/>
      <c r="G2057" s="215" t="str">
        <f>IF(AND($B2057="",OR(B2057&lt;&gt;"",C2057&lt;&gt;"",D2057&lt;&gt;"",E2057&lt;&gt;"",F2057&lt;&gt;"")),入力リスト!$K$34,IF($I2057=TRUE,入力リスト!$K$35,IF(J2057=FALSE,"「毎月の固定給与額」","")&amp;IF(AND(J2057=FALSE,OR(K2057=FALSE,L2057=FALSE,M2057=FALSE)),",","")&amp;IF(K2057=FALSE,"「賞与額等」","")&amp;IF(AND(K2057=FALSE,OR(L2057=FALSE,M2057=FALSE)),",","")&amp;IF(L2057=FALSE,"「残業手当」","")&amp;IF(AND(L2057=FALSE,M2057=FALSE),",","")&amp;IF(M2057=FALSE,"「残業時間」","")&amp;IF(OR(J2057=FALSE,K2057=FALSE,L2057=FALSE,M2057=FALSE),入力リスト!$K$36,"")&amp;IF(N2057,"",入力リスト!$K$37)))</f>
        <v/>
      </c>
      <c r="H2057" s="215"/>
      <c r="I2057" s="1" t="b">
        <f>IF(B2057="",FALSE,COUNTIF('従業員情報(給与以外)'!$A$4:$A$1000000,$B2057)=0)</f>
        <v>0</v>
      </c>
      <c r="J2057" s="8" t="b">
        <f t="shared" si="160"/>
        <v>1</v>
      </c>
      <c r="K2057" s="8" t="b">
        <f t="shared" si="161"/>
        <v>1</v>
      </c>
      <c r="L2057" s="8" t="b">
        <f t="shared" si="162"/>
        <v>1</v>
      </c>
      <c r="M2057" s="8" t="b">
        <f t="shared" si="163"/>
        <v>1</v>
      </c>
      <c r="N2057" s="1" t="b">
        <f t="shared" si="164"/>
        <v>1</v>
      </c>
      <c r="O2057" s="8" t="str">
        <f>IF(F2057="","",IF($F$2=入力リスト!$H$25,ROUNDDOWN(INT(F2057)+ROUNDDOWN((F2057-INT(F2057))*100,0)/60,2),F2057))</f>
        <v/>
      </c>
      <c r="P2057" s="7"/>
      <c r="Q2057" s="7"/>
    </row>
    <row r="2058" spans="1:17">
      <c r="A2058" s="105"/>
      <c r="B2058" s="2"/>
      <c r="C2058" s="3"/>
      <c r="D2058" s="3"/>
      <c r="E2058" s="3"/>
      <c r="F2058" s="8"/>
      <c r="G2058" s="215" t="str">
        <f>IF(AND($B2058="",OR(B2058&lt;&gt;"",C2058&lt;&gt;"",D2058&lt;&gt;"",E2058&lt;&gt;"",F2058&lt;&gt;"")),入力リスト!$K$34,IF($I2058=TRUE,入力リスト!$K$35,IF(J2058=FALSE,"「毎月の固定給与額」","")&amp;IF(AND(J2058=FALSE,OR(K2058=FALSE,L2058=FALSE,M2058=FALSE)),",","")&amp;IF(K2058=FALSE,"「賞与額等」","")&amp;IF(AND(K2058=FALSE,OR(L2058=FALSE,M2058=FALSE)),",","")&amp;IF(L2058=FALSE,"「残業手当」","")&amp;IF(AND(L2058=FALSE,M2058=FALSE),",","")&amp;IF(M2058=FALSE,"「残業時間」","")&amp;IF(OR(J2058=FALSE,K2058=FALSE,L2058=FALSE,M2058=FALSE),入力リスト!$K$36,"")&amp;IF(N2058,"",入力リスト!$K$37)))</f>
        <v/>
      </c>
      <c r="H2058" s="215"/>
      <c r="I2058" s="1" t="b">
        <f>IF(B2058="",FALSE,COUNTIF('従業員情報(給与以外)'!$A$4:$A$1000000,$B2058)=0)</f>
        <v>0</v>
      </c>
      <c r="J2058" s="8" t="b">
        <f t="shared" si="160"/>
        <v>1</v>
      </c>
      <c r="K2058" s="8" t="b">
        <f t="shared" si="161"/>
        <v>1</v>
      </c>
      <c r="L2058" s="8" t="b">
        <f t="shared" si="162"/>
        <v>1</v>
      </c>
      <c r="M2058" s="8" t="b">
        <f t="shared" si="163"/>
        <v>1</v>
      </c>
      <c r="N2058" s="1" t="b">
        <f t="shared" si="164"/>
        <v>1</v>
      </c>
      <c r="O2058" s="8" t="str">
        <f>IF(F2058="","",IF($F$2=入力リスト!$H$25,ROUNDDOWN(INT(F2058)+ROUNDDOWN((F2058-INT(F2058))*100,0)/60,2),F2058))</f>
        <v/>
      </c>
      <c r="P2058" s="7"/>
      <c r="Q2058" s="7"/>
    </row>
    <row r="2059" spans="1:17">
      <c r="A2059" s="105"/>
      <c r="B2059" s="2"/>
      <c r="C2059" s="3"/>
      <c r="D2059" s="3"/>
      <c r="E2059" s="3"/>
      <c r="F2059" s="8"/>
      <c r="G2059" s="215" t="str">
        <f>IF(AND($B2059="",OR(B2059&lt;&gt;"",C2059&lt;&gt;"",D2059&lt;&gt;"",E2059&lt;&gt;"",F2059&lt;&gt;"")),入力リスト!$K$34,IF($I2059=TRUE,入力リスト!$K$35,IF(J2059=FALSE,"「毎月の固定給与額」","")&amp;IF(AND(J2059=FALSE,OR(K2059=FALSE,L2059=FALSE,M2059=FALSE)),",","")&amp;IF(K2059=FALSE,"「賞与額等」","")&amp;IF(AND(K2059=FALSE,OR(L2059=FALSE,M2059=FALSE)),",","")&amp;IF(L2059=FALSE,"「残業手当」","")&amp;IF(AND(L2059=FALSE,M2059=FALSE),",","")&amp;IF(M2059=FALSE,"「残業時間」","")&amp;IF(OR(J2059=FALSE,K2059=FALSE,L2059=FALSE,M2059=FALSE),入力リスト!$K$36,"")&amp;IF(N2059,"",入力リスト!$K$37)))</f>
        <v/>
      </c>
      <c r="H2059" s="215"/>
      <c r="I2059" s="1" t="b">
        <f>IF(B2059="",FALSE,COUNTIF('従業員情報(給与以外)'!$A$4:$A$1000000,$B2059)=0)</f>
        <v>0</v>
      </c>
      <c r="J2059" s="8" t="b">
        <f t="shared" si="160"/>
        <v>1</v>
      </c>
      <c r="K2059" s="8" t="b">
        <f t="shared" si="161"/>
        <v>1</v>
      </c>
      <c r="L2059" s="8" t="b">
        <f t="shared" si="162"/>
        <v>1</v>
      </c>
      <c r="M2059" s="8" t="b">
        <f t="shared" si="163"/>
        <v>1</v>
      </c>
      <c r="N2059" s="1" t="b">
        <f t="shared" si="164"/>
        <v>1</v>
      </c>
      <c r="O2059" s="8" t="str">
        <f>IF(F2059="","",IF($F$2=入力リスト!$H$25,ROUNDDOWN(INT(F2059)+ROUNDDOWN((F2059-INT(F2059))*100,0)/60,2),F2059))</f>
        <v/>
      </c>
      <c r="P2059" s="7"/>
      <c r="Q2059" s="7"/>
    </row>
    <row r="2060" spans="1:17">
      <c r="A2060" s="105"/>
      <c r="B2060" s="2"/>
      <c r="C2060" s="3"/>
      <c r="D2060" s="3"/>
      <c r="E2060" s="3"/>
      <c r="F2060" s="8"/>
      <c r="G2060" s="215" t="str">
        <f>IF(AND($B2060="",OR(B2060&lt;&gt;"",C2060&lt;&gt;"",D2060&lt;&gt;"",E2060&lt;&gt;"",F2060&lt;&gt;"")),入力リスト!$K$34,IF($I2060=TRUE,入力リスト!$K$35,IF(J2060=FALSE,"「毎月の固定給与額」","")&amp;IF(AND(J2060=FALSE,OR(K2060=FALSE,L2060=FALSE,M2060=FALSE)),",","")&amp;IF(K2060=FALSE,"「賞与額等」","")&amp;IF(AND(K2060=FALSE,OR(L2060=FALSE,M2060=FALSE)),",","")&amp;IF(L2060=FALSE,"「残業手当」","")&amp;IF(AND(L2060=FALSE,M2060=FALSE),",","")&amp;IF(M2060=FALSE,"「残業時間」","")&amp;IF(OR(J2060=FALSE,K2060=FALSE,L2060=FALSE,M2060=FALSE),入力リスト!$K$36,"")&amp;IF(N2060,"",入力リスト!$K$37)))</f>
        <v/>
      </c>
      <c r="H2060" s="215"/>
      <c r="I2060" s="1" t="b">
        <f>IF(B2060="",FALSE,COUNTIF('従業員情報(給与以外)'!$A$4:$A$1000000,$B2060)=0)</f>
        <v>0</v>
      </c>
      <c r="J2060" s="8" t="b">
        <f t="shared" si="160"/>
        <v>1</v>
      </c>
      <c r="K2060" s="8" t="b">
        <f t="shared" si="161"/>
        <v>1</v>
      </c>
      <c r="L2060" s="8" t="b">
        <f t="shared" si="162"/>
        <v>1</v>
      </c>
      <c r="M2060" s="8" t="b">
        <f t="shared" si="163"/>
        <v>1</v>
      </c>
      <c r="N2060" s="1" t="b">
        <f t="shared" si="164"/>
        <v>1</v>
      </c>
      <c r="O2060" s="8" t="str">
        <f>IF(F2060="","",IF($F$2=入力リスト!$H$25,ROUNDDOWN(INT(F2060)+ROUNDDOWN((F2060-INT(F2060))*100,0)/60,2),F2060))</f>
        <v/>
      </c>
      <c r="P2060" s="7"/>
      <c r="Q2060" s="7"/>
    </row>
    <row r="2061" spans="1:17">
      <c r="A2061" s="105"/>
      <c r="B2061" s="2"/>
      <c r="C2061" s="3"/>
      <c r="D2061" s="3"/>
      <c r="E2061" s="3"/>
      <c r="F2061" s="8"/>
      <c r="G2061" s="215" t="str">
        <f>IF(AND($B2061="",OR(B2061&lt;&gt;"",C2061&lt;&gt;"",D2061&lt;&gt;"",E2061&lt;&gt;"",F2061&lt;&gt;"")),入力リスト!$K$34,IF($I2061=TRUE,入力リスト!$K$35,IF(J2061=FALSE,"「毎月の固定給与額」","")&amp;IF(AND(J2061=FALSE,OR(K2061=FALSE,L2061=FALSE,M2061=FALSE)),",","")&amp;IF(K2061=FALSE,"「賞与額等」","")&amp;IF(AND(K2061=FALSE,OR(L2061=FALSE,M2061=FALSE)),",","")&amp;IF(L2061=FALSE,"「残業手当」","")&amp;IF(AND(L2061=FALSE,M2061=FALSE),",","")&amp;IF(M2061=FALSE,"「残業時間」","")&amp;IF(OR(J2061=FALSE,K2061=FALSE,L2061=FALSE,M2061=FALSE),入力リスト!$K$36,"")&amp;IF(N2061,"",入力リスト!$K$37)))</f>
        <v/>
      </c>
      <c r="H2061" s="215"/>
      <c r="I2061" s="1" t="b">
        <f>IF(B2061="",FALSE,COUNTIF('従業員情報(給与以外)'!$A$4:$A$1000000,$B2061)=0)</f>
        <v>0</v>
      </c>
      <c r="J2061" s="8" t="b">
        <f t="shared" si="160"/>
        <v>1</v>
      </c>
      <c r="K2061" s="8" t="b">
        <f t="shared" si="161"/>
        <v>1</v>
      </c>
      <c r="L2061" s="8" t="b">
        <f t="shared" si="162"/>
        <v>1</v>
      </c>
      <c r="M2061" s="8" t="b">
        <f t="shared" si="163"/>
        <v>1</v>
      </c>
      <c r="N2061" s="1" t="b">
        <f t="shared" si="164"/>
        <v>1</v>
      </c>
      <c r="O2061" s="8" t="str">
        <f>IF(F2061="","",IF($F$2=入力リスト!$H$25,ROUNDDOWN(INT(F2061)+ROUNDDOWN((F2061-INT(F2061))*100,0)/60,2),F2061))</f>
        <v/>
      </c>
      <c r="P2061" s="7"/>
      <c r="Q2061" s="7"/>
    </row>
    <row r="2062" spans="1:17">
      <c r="A2062" s="105"/>
      <c r="B2062" s="2"/>
      <c r="C2062" s="3"/>
      <c r="D2062" s="3"/>
      <c r="E2062" s="3"/>
      <c r="F2062" s="8"/>
      <c r="G2062" s="215" t="str">
        <f>IF(AND($B2062="",OR(B2062&lt;&gt;"",C2062&lt;&gt;"",D2062&lt;&gt;"",E2062&lt;&gt;"",F2062&lt;&gt;"")),入力リスト!$K$34,IF($I2062=TRUE,入力リスト!$K$35,IF(J2062=FALSE,"「毎月の固定給与額」","")&amp;IF(AND(J2062=FALSE,OR(K2062=FALSE,L2062=FALSE,M2062=FALSE)),",","")&amp;IF(K2062=FALSE,"「賞与額等」","")&amp;IF(AND(K2062=FALSE,OR(L2062=FALSE,M2062=FALSE)),",","")&amp;IF(L2062=FALSE,"「残業手当」","")&amp;IF(AND(L2062=FALSE,M2062=FALSE),",","")&amp;IF(M2062=FALSE,"「残業時間」","")&amp;IF(OR(J2062=FALSE,K2062=FALSE,L2062=FALSE,M2062=FALSE),入力リスト!$K$36,"")&amp;IF(N2062,"",入力リスト!$K$37)))</f>
        <v/>
      </c>
      <c r="H2062" s="215"/>
      <c r="I2062" s="1" t="b">
        <f>IF(B2062="",FALSE,COUNTIF('従業員情報(給与以外)'!$A$4:$A$1000000,$B2062)=0)</f>
        <v>0</v>
      </c>
      <c r="J2062" s="8" t="b">
        <f t="shared" si="160"/>
        <v>1</v>
      </c>
      <c r="K2062" s="8" t="b">
        <f t="shared" si="161"/>
        <v>1</v>
      </c>
      <c r="L2062" s="8" t="b">
        <f t="shared" si="162"/>
        <v>1</v>
      </c>
      <c r="M2062" s="8" t="b">
        <f t="shared" si="163"/>
        <v>1</v>
      </c>
      <c r="N2062" s="1" t="b">
        <f t="shared" si="164"/>
        <v>1</v>
      </c>
      <c r="O2062" s="8" t="str">
        <f>IF(F2062="","",IF($F$2=入力リスト!$H$25,ROUNDDOWN(INT(F2062)+ROUNDDOWN((F2062-INT(F2062))*100,0)/60,2),F2062))</f>
        <v/>
      </c>
      <c r="P2062" s="7"/>
      <c r="Q2062" s="7"/>
    </row>
    <row r="2063" spans="1:17">
      <c r="A2063" s="105"/>
      <c r="B2063" s="2"/>
      <c r="C2063" s="3"/>
      <c r="D2063" s="3"/>
      <c r="E2063" s="3"/>
      <c r="F2063" s="8"/>
      <c r="G2063" s="215" t="str">
        <f>IF(AND($B2063="",OR(B2063&lt;&gt;"",C2063&lt;&gt;"",D2063&lt;&gt;"",E2063&lt;&gt;"",F2063&lt;&gt;"")),入力リスト!$K$34,IF($I2063=TRUE,入力リスト!$K$35,IF(J2063=FALSE,"「毎月の固定給与額」","")&amp;IF(AND(J2063=FALSE,OR(K2063=FALSE,L2063=FALSE,M2063=FALSE)),",","")&amp;IF(K2063=FALSE,"「賞与額等」","")&amp;IF(AND(K2063=FALSE,OR(L2063=FALSE,M2063=FALSE)),",","")&amp;IF(L2063=FALSE,"「残業手当」","")&amp;IF(AND(L2063=FALSE,M2063=FALSE),",","")&amp;IF(M2063=FALSE,"「残業時間」","")&amp;IF(OR(J2063=FALSE,K2063=FALSE,L2063=FALSE,M2063=FALSE),入力リスト!$K$36,"")&amp;IF(N2063,"",入力リスト!$K$37)))</f>
        <v/>
      </c>
      <c r="H2063" s="215"/>
      <c r="I2063" s="1" t="b">
        <f>IF(B2063="",FALSE,COUNTIF('従業員情報(給与以外)'!$A$4:$A$1000000,$B2063)=0)</f>
        <v>0</v>
      </c>
      <c r="J2063" s="8" t="b">
        <f t="shared" si="160"/>
        <v>1</v>
      </c>
      <c r="K2063" s="8" t="b">
        <f t="shared" si="161"/>
        <v>1</v>
      </c>
      <c r="L2063" s="8" t="b">
        <f t="shared" si="162"/>
        <v>1</v>
      </c>
      <c r="M2063" s="8" t="b">
        <f t="shared" si="163"/>
        <v>1</v>
      </c>
      <c r="N2063" s="1" t="b">
        <f t="shared" si="164"/>
        <v>1</v>
      </c>
      <c r="O2063" s="8" t="str">
        <f>IF(F2063="","",IF($F$2=入力リスト!$H$25,ROUNDDOWN(INT(F2063)+ROUNDDOWN((F2063-INT(F2063))*100,0)/60,2),F2063))</f>
        <v/>
      </c>
      <c r="P2063" s="7"/>
      <c r="Q2063" s="7"/>
    </row>
    <row r="2064" spans="1:17">
      <c r="A2064" s="105"/>
      <c r="B2064" s="2"/>
      <c r="C2064" s="3"/>
      <c r="D2064" s="3"/>
      <c r="E2064" s="3"/>
      <c r="F2064" s="8"/>
      <c r="G2064" s="215" t="str">
        <f>IF(AND($B2064="",OR(B2064&lt;&gt;"",C2064&lt;&gt;"",D2064&lt;&gt;"",E2064&lt;&gt;"",F2064&lt;&gt;"")),入力リスト!$K$34,IF($I2064=TRUE,入力リスト!$K$35,IF(J2064=FALSE,"「毎月の固定給与額」","")&amp;IF(AND(J2064=FALSE,OR(K2064=FALSE,L2064=FALSE,M2064=FALSE)),",","")&amp;IF(K2064=FALSE,"「賞与額等」","")&amp;IF(AND(K2064=FALSE,OR(L2064=FALSE,M2064=FALSE)),",","")&amp;IF(L2064=FALSE,"「残業手当」","")&amp;IF(AND(L2064=FALSE,M2064=FALSE),",","")&amp;IF(M2064=FALSE,"「残業時間」","")&amp;IF(OR(J2064=FALSE,K2064=FALSE,L2064=FALSE,M2064=FALSE),入力リスト!$K$36,"")&amp;IF(N2064,"",入力リスト!$K$37)))</f>
        <v/>
      </c>
      <c r="H2064" s="215"/>
      <c r="I2064" s="1" t="b">
        <f>IF(B2064="",FALSE,COUNTIF('従業員情報(給与以外)'!$A$4:$A$1000000,$B2064)=0)</f>
        <v>0</v>
      </c>
      <c r="J2064" s="8" t="b">
        <f t="shared" si="160"/>
        <v>1</v>
      </c>
      <c r="K2064" s="8" t="b">
        <f t="shared" si="161"/>
        <v>1</v>
      </c>
      <c r="L2064" s="8" t="b">
        <f t="shared" si="162"/>
        <v>1</v>
      </c>
      <c r="M2064" s="8" t="b">
        <f t="shared" si="163"/>
        <v>1</v>
      </c>
      <c r="N2064" s="1" t="b">
        <f t="shared" si="164"/>
        <v>1</v>
      </c>
      <c r="O2064" s="8" t="str">
        <f>IF(F2064="","",IF($F$2=入力リスト!$H$25,ROUNDDOWN(INT(F2064)+ROUNDDOWN((F2064-INT(F2064))*100,0)/60,2),F2064))</f>
        <v/>
      </c>
      <c r="P2064" s="7"/>
      <c r="Q2064" s="7"/>
    </row>
    <row r="2065" spans="1:17">
      <c r="A2065" s="105"/>
      <c r="B2065" s="2"/>
      <c r="C2065" s="3"/>
      <c r="D2065" s="3"/>
      <c r="E2065" s="3"/>
      <c r="F2065" s="8"/>
      <c r="G2065" s="215" t="str">
        <f>IF(AND($B2065="",OR(B2065&lt;&gt;"",C2065&lt;&gt;"",D2065&lt;&gt;"",E2065&lt;&gt;"",F2065&lt;&gt;"")),入力リスト!$K$34,IF($I2065=TRUE,入力リスト!$K$35,IF(J2065=FALSE,"「毎月の固定給与額」","")&amp;IF(AND(J2065=FALSE,OR(K2065=FALSE,L2065=FALSE,M2065=FALSE)),",","")&amp;IF(K2065=FALSE,"「賞与額等」","")&amp;IF(AND(K2065=FALSE,OR(L2065=FALSE,M2065=FALSE)),",","")&amp;IF(L2065=FALSE,"「残業手当」","")&amp;IF(AND(L2065=FALSE,M2065=FALSE),",","")&amp;IF(M2065=FALSE,"「残業時間」","")&amp;IF(OR(J2065=FALSE,K2065=FALSE,L2065=FALSE,M2065=FALSE),入力リスト!$K$36,"")&amp;IF(N2065,"",入力リスト!$K$37)))</f>
        <v/>
      </c>
      <c r="H2065" s="215"/>
      <c r="I2065" s="1" t="b">
        <f>IF(B2065="",FALSE,COUNTIF('従業員情報(給与以外)'!$A$4:$A$1000000,$B2065)=0)</f>
        <v>0</v>
      </c>
      <c r="J2065" s="8" t="b">
        <f t="shared" si="160"/>
        <v>1</v>
      </c>
      <c r="K2065" s="8" t="b">
        <f t="shared" si="161"/>
        <v>1</v>
      </c>
      <c r="L2065" s="8" t="b">
        <f t="shared" si="162"/>
        <v>1</v>
      </c>
      <c r="M2065" s="8" t="b">
        <f t="shared" si="163"/>
        <v>1</v>
      </c>
      <c r="N2065" s="1" t="b">
        <f t="shared" si="164"/>
        <v>1</v>
      </c>
      <c r="O2065" s="8" t="str">
        <f>IF(F2065="","",IF($F$2=入力リスト!$H$25,ROUNDDOWN(INT(F2065)+ROUNDDOWN((F2065-INT(F2065))*100,0)/60,2),F2065))</f>
        <v/>
      </c>
      <c r="P2065" s="7"/>
      <c r="Q2065" s="7"/>
    </row>
    <row r="2066" spans="1:17">
      <c r="A2066" s="105"/>
      <c r="B2066" s="2"/>
      <c r="C2066" s="3"/>
      <c r="D2066" s="3"/>
      <c r="E2066" s="3"/>
      <c r="F2066" s="8"/>
      <c r="G2066" s="215" t="str">
        <f>IF(AND($B2066="",OR(B2066&lt;&gt;"",C2066&lt;&gt;"",D2066&lt;&gt;"",E2066&lt;&gt;"",F2066&lt;&gt;"")),入力リスト!$K$34,IF($I2066=TRUE,入力リスト!$K$35,IF(J2066=FALSE,"「毎月の固定給与額」","")&amp;IF(AND(J2066=FALSE,OR(K2066=FALSE,L2066=FALSE,M2066=FALSE)),",","")&amp;IF(K2066=FALSE,"「賞与額等」","")&amp;IF(AND(K2066=FALSE,OR(L2066=FALSE,M2066=FALSE)),",","")&amp;IF(L2066=FALSE,"「残業手当」","")&amp;IF(AND(L2066=FALSE,M2066=FALSE),",","")&amp;IF(M2066=FALSE,"「残業時間」","")&amp;IF(OR(J2066=FALSE,K2066=FALSE,L2066=FALSE,M2066=FALSE),入力リスト!$K$36,"")&amp;IF(N2066,"",入力リスト!$K$37)))</f>
        <v/>
      </c>
      <c r="H2066" s="215"/>
      <c r="I2066" s="1" t="b">
        <f>IF(B2066="",FALSE,COUNTIF('従業員情報(給与以外)'!$A$4:$A$1000000,$B2066)=0)</f>
        <v>0</v>
      </c>
      <c r="J2066" s="8" t="b">
        <f t="shared" si="160"/>
        <v>1</v>
      </c>
      <c r="K2066" s="8" t="b">
        <f t="shared" si="161"/>
        <v>1</v>
      </c>
      <c r="L2066" s="8" t="b">
        <f t="shared" si="162"/>
        <v>1</v>
      </c>
      <c r="M2066" s="8" t="b">
        <f t="shared" si="163"/>
        <v>1</v>
      </c>
      <c r="N2066" s="1" t="b">
        <f t="shared" si="164"/>
        <v>1</v>
      </c>
      <c r="O2066" s="8" t="str">
        <f>IF(F2066="","",IF($F$2=入力リスト!$H$25,ROUNDDOWN(INT(F2066)+ROUNDDOWN((F2066-INT(F2066))*100,0)/60,2),F2066))</f>
        <v/>
      </c>
      <c r="P2066" s="7"/>
      <c r="Q2066" s="7"/>
    </row>
    <row r="2067" spans="1:17">
      <c r="A2067" s="105"/>
      <c r="B2067" s="2"/>
      <c r="C2067" s="3"/>
      <c r="D2067" s="3"/>
      <c r="E2067" s="3"/>
      <c r="F2067" s="8"/>
      <c r="G2067" s="215" t="str">
        <f>IF(AND($B2067="",OR(B2067&lt;&gt;"",C2067&lt;&gt;"",D2067&lt;&gt;"",E2067&lt;&gt;"",F2067&lt;&gt;"")),入力リスト!$K$34,IF($I2067=TRUE,入力リスト!$K$35,IF(J2067=FALSE,"「毎月の固定給与額」","")&amp;IF(AND(J2067=FALSE,OR(K2067=FALSE,L2067=FALSE,M2067=FALSE)),",","")&amp;IF(K2067=FALSE,"「賞与額等」","")&amp;IF(AND(K2067=FALSE,OR(L2067=FALSE,M2067=FALSE)),",","")&amp;IF(L2067=FALSE,"「残業手当」","")&amp;IF(AND(L2067=FALSE,M2067=FALSE),",","")&amp;IF(M2067=FALSE,"「残業時間」","")&amp;IF(OR(J2067=FALSE,K2067=FALSE,L2067=FALSE,M2067=FALSE),入力リスト!$K$36,"")&amp;IF(N2067,"",入力リスト!$K$37)))</f>
        <v/>
      </c>
      <c r="H2067" s="215"/>
      <c r="I2067" s="1" t="b">
        <f>IF(B2067="",FALSE,COUNTIF('従業員情報(給与以外)'!$A$4:$A$1000000,$B2067)=0)</f>
        <v>0</v>
      </c>
      <c r="J2067" s="8" t="b">
        <f t="shared" si="160"/>
        <v>1</v>
      </c>
      <c r="K2067" s="8" t="b">
        <f t="shared" si="161"/>
        <v>1</v>
      </c>
      <c r="L2067" s="8" t="b">
        <f t="shared" si="162"/>
        <v>1</v>
      </c>
      <c r="M2067" s="8" t="b">
        <f t="shared" si="163"/>
        <v>1</v>
      </c>
      <c r="N2067" s="1" t="b">
        <f t="shared" si="164"/>
        <v>1</v>
      </c>
      <c r="O2067" s="8" t="str">
        <f>IF(F2067="","",IF($F$2=入力リスト!$H$25,ROUNDDOWN(INT(F2067)+ROUNDDOWN((F2067-INT(F2067))*100,0)/60,2),F2067))</f>
        <v/>
      </c>
      <c r="P2067" s="7"/>
      <c r="Q2067" s="7"/>
    </row>
    <row r="2068" spans="1:17">
      <c r="A2068" s="105"/>
      <c r="B2068" s="2"/>
      <c r="C2068" s="3"/>
      <c r="D2068" s="3"/>
      <c r="E2068" s="3"/>
      <c r="F2068" s="8"/>
      <c r="G2068" s="215" t="str">
        <f>IF(AND($B2068="",OR(B2068&lt;&gt;"",C2068&lt;&gt;"",D2068&lt;&gt;"",E2068&lt;&gt;"",F2068&lt;&gt;"")),入力リスト!$K$34,IF($I2068=TRUE,入力リスト!$K$35,IF(J2068=FALSE,"「毎月の固定給与額」","")&amp;IF(AND(J2068=FALSE,OR(K2068=FALSE,L2068=FALSE,M2068=FALSE)),",","")&amp;IF(K2068=FALSE,"「賞与額等」","")&amp;IF(AND(K2068=FALSE,OR(L2068=FALSE,M2068=FALSE)),",","")&amp;IF(L2068=FALSE,"「残業手当」","")&amp;IF(AND(L2068=FALSE,M2068=FALSE),",","")&amp;IF(M2068=FALSE,"「残業時間」","")&amp;IF(OR(J2068=FALSE,K2068=FALSE,L2068=FALSE,M2068=FALSE),入力リスト!$K$36,"")&amp;IF(N2068,"",入力リスト!$K$37)))</f>
        <v/>
      </c>
      <c r="H2068" s="215"/>
      <c r="I2068" s="1" t="b">
        <f>IF(B2068="",FALSE,COUNTIF('従業員情報(給与以外)'!$A$4:$A$1000000,$B2068)=0)</f>
        <v>0</v>
      </c>
      <c r="J2068" s="8" t="b">
        <f t="shared" si="160"/>
        <v>1</v>
      </c>
      <c r="K2068" s="8" t="b">
        <f t="shared" si="161"/>
        <v>1</v>
      </c>
      <c r="L2068" s="8" t="b">
        <f t="shared" si="162"/>
        <v>1</v>
      </c>
      <c r="M2068" s="8" t="b">
        <f t="shared" si="163"/>
        <v>1</v>
      </c>
      <c r="N2068" s="1" t="b">
        <f t="shared" si="164"/>
        <v>1</v>
      </c>
      <c r="O2068" s="8" t="str">
        <f>IF(F2068="","",IF($F$2=入力リスト!$H$25,ROUNDDOWN(INT(F2068)+ROUNDDOWN((F2068-INT(F2068))*100,0)/60,2),F2068))</f>
        <v/>
      </c>
      <c r="P2068" s="7"/>
      <c r="Q2068" s="7"/>
    </row>
    <row r="2069" spans="1:17">
      <c r="A2069" s="105"/>
      <c r="B2069" s="2"/>
      <c r="C2069" s="3"/>
      <c r="D2069" s="3"/>
      <c r="E2069" s="3"/>
      <c r="F2069" s="8"/>
      <c r="G2069" s="215" t="str">
        <f>IF(AND($B2069="",OR(B2069&lt;&gt;"",C2069&lt;&gt;"",D2069&lt;&gt;"",E2069&lt;&gt;"",F2069&lt;&gt;"")),入力リスト!$K$34,IF($I2069=TRUE,入力リスト!$K$35,IF(J2069=FALSE,"「毎月の固定給与額」","")&amp;IF(AND(J2069=FALSE,OR(K2069=FALSE,L2069=FALSE,M2069=FALSE)),",","")&amp;IF(K2069=FALSE,"「賞与額等」","")&amp;IF(AND(K2069=FALSE,OR(L2069=FALSE,M2069=FALSE)),",","")&amp;IF(L2069=FALSE,"「残業手当」","")&amp;IF(AND(L2069=FALSE,M2069=FALSE),",","")&amp;IF(M2069=FALSE,"「残業時間」","")&amp;IF(OR(J2069=FALSE,K2069=FALSE,L2069=FALSE,M2069=FALSE),入力リスト!$K$36,"")&amp;IF(N2069,"",入力リスト!$K$37)))</f>
        <v/>
      </c>
      <c r="H2069" s="215"/>
      <c r="I2069" s="1" t="b">
        <f>IF(B2069="",FALSE,COUNTIF('従業員情報(給与以外)'!$A$4:$A$1000000,$B2069)=0)</f>
        <v>0</v>
      </c>
      <c r="J2069" s="8" t="b">
        <f t="shared" si="160"/>
        <v>1</v>
      </c>
      <c r="K2069" s="8" t="b">
        <f t="shared" si="161"/>
        <v>1</v>
      </c>
      <c r="L2069" s="8" t="b">
        <f t="shared" si="162"/>
        <v>1</v>
      </c>
      <c r="M2069" s="8" t="b">
        <f t="shared" si="163"/>
        <v>1</v>
      </c>
      <c r="N2069" s="1" t="b">
        <f t="shared" si="164"/>
        <v>1</v>
      </c>
      <c r="O2069" s="8" t="str">
        <f>IF(F2069="","",IF($F$2=入力リスト!$H$25,ROUNDDOWN(INT(F2069)+ROUNDDOWN((F2069-INT(F2069))*100,0)/60,2),F2069))</f>
        <v/>
      </c>
      <c r="P2069" s="7"/>
      <c r="Q2069" s="7"/>
    </row>
    <row r="2070" spans="1:17">
      <c r="A2070" s="105"/>
      <c r="B2070" s="2"/>
      <c r="C2070" s="3"/>
      <c r="D2070" s="3"/>
      <c r="E2070" s="3"/>
      <c r="F2070" s="8"/>
      <c r="G2070" s="215" t="str">
        <f>IF(AND($B2070="",OR(B2070&lt;&gt;"",C2070&lt;&gt;"",D2070&lt;&gt;"",E2070&lt;&gt;"",F2070&lt;&gt;"")),入力リスト!$K$34,IF($I2070=TRUE,入力リスト!$K$35,IF(J2070=FALSE,"「毎月の固定給与額」","")&amp;IF(AND(J2070=FALSE,OR(K2070=FALSE,L2070=FALSE,M2070=FALSE)),",","")&amp;IF(K2070=FALSE,"「賞与額等」","")&amp;IF(AND(K2070=FALSE,OR(L2070=FALSE,M2070=FALSE)),",","")&amp;IF(L2070=FALSE,"「残業手当」","")&amp;IF(AND(L2070=FALSE,M2070=FALSE),",","")&amp;IF(M2070=FALSE,"「残業時間」","")&amp;IF(OR(J2070=FALSE,K2070=FALSE,L2070=FALSE,M2070=FALSE),入力リスト!$K$36,"")&amp;IF(N2070,"",入力リスト!$K$37)))</f>
        <v/>
      </c>
      <c r="H2070" s="215"/>
      <c r="I2070" s="1" t="b">
        <f>IF(B2070="",FALSE,COUNTIF('従業員情報(給与以外)'!$A$4:$A$1000000,$B2070)=0)</f>
        <v>0</v>
      </c>
      <c r="J2070" s="8" t="b">
        <f t="shared" si="160"/>
        <v>1</v>
      </c>
      <c r="K2070" s="8" t="b">
        <f t="shared" si="161"/>
        <v>1</v>
      </c>
      <c r="L2070" s="8" t="b">
        <f t="shared" si="162"/>
        <v>1</v>
      </c>
      <c r="M2070" s="8" t="b">
        <f t="shared" si="163"/>
        <v>1</v>
      </c>
      <c r="N2070" s="1" t="b">
        <f t="shared" si="164"/>
        <v>1</v>
      </c>
      <c r="O2070" s="8" t="str">
        <f>IF(F2070="","",IF($F$2=入力リスト!$H$25,ROUNDDOWN(INT(F2070)+ROUNDDOWN((F2070-INT(F2070))*100,0)/60,2),F2070))</f>
        <v/>
      </c>
      <c r="P2070" s="7"/>
      <c r="Q2070" s="7"/>
    </row>
    <row r="2071" spans="1:17">
      <c r="A2071" s="105"/>
      <c r="B2071" s="2"/>
      <c r="C2071" s="3"/>
      <c r="D2071" s="3"/>
      <c r="E2071" s="3"/>
      <c r="F2071" s="8"/>
      <c r="G2071" s="215" t="str">
        <f>IF(AND($B2071="",OR(B2071&lt;&gt;"",C2071&lt;&gt;"",D2071&lt;&gt;"",E2071&lt;&gt;"",F2071&lt;&gt;"")),入力リスト!$K$34,IF($I2071=TRUE,入力リスト!$K$35,IF(J2071=FALSE,"「毎月の固定給与額」","")&amp;IF(AND(J2071=FALSE,OR(K2071=FALSE,L2071=FALSE,M2071=FALSE)),",","")&amp;IF(K2071=FALSE,"「賞与額等」","")&amp;IF(AND(K2071=FALSE,OR(L2071=FALSE,M2071=FALSE)),",","")&amp;IF(L2071=FALSE,"「残業手当」","")&amp;IF(AND(L2071=FALSE,M2071=FALSE),",","")&amp;IF(M2071=FALSE,"「残業時間」","")&amp;IF(OR(J2071=FALSE,K2071=FALSE,L2071=FALSE,M2071=FALSE),入力リスト!$K$36,"")&amp;IF(N2071,"",入力リスト!$K$37)))</f>
        <v/>
      </c>
      <c r="H2071" s="215"/>
      <c r="I2071" s="1" t="b">
        <f>IF(B2071="",FALSE,COUNTIF('従業員情報(給与以外)'!$A$4:$A$1000000,$B2071)=0)</f>
        <v>0</v>
      </c>
      <c r="J2071" s="8" t="b">
        <f t="shared" si="160"/>
        <v>1</v>
      </c>
      <c r="K2071" s="8" t="b">
        <f t="shared" si="161"/>
        <v>1</v>
      </c>
      <c r="L2071" s="8" t="b">
        <f t="shared" si="162"/>
        <v>1</v>
      </c>
      <c r="M2071" s="8" t="b">
        <f t="shared" si="163"/>
        <v>1</v>
      </c>
      <c r="N2071" s="1" t="b">
        <f t="shared" si="164"/>
        <v>1</v>
      </c>
      <c r="O2071" s="8" t="str">
        <f>IF(F2071="","",IF($F$2=入力リスト!$H$25,ROUNDDOWN(INT(F2071)+ROUNDDOWN((F2071-INT(F2071))*100,0)/60,2),F2071))</f>
        <v/>
      </c>
      <c r="P2071" s="7"/>
      <c r="Q2071" s="7"/>
    </row>
    <row r="2072" spans="1:17">
      <c r="A2072" s="105"/>
      <c r="B2072" s="2"/>
      <c r="C2072" s="3"/>
      <c r="D2072" s="3"/>
      <c r="E2072" s="3"/>
      <c r="F2072" s="8"/>
      <c r="G2072" s="215" t="str">
        <f>IF(AND($B2072="",OR(B2072&lt;&gt;"",C2072&lt;&gt;"",D2072&lt;&gt;"",E2072&lt;&gt;"",F2072&lt;&gt;"")),入力リスト!$K$34,IF($I2072=TRUE,入力リスト!$K$35,IF(J2072=FALSE,"「毎月の固定給与額」","")&amp;IF(AND(J2072=FALSE,OR(K2072=FALSE,L2072=FALSE,M2072=FALSE)),",","")&amp;IF(K2072=FALSE,"「賞与額等」","")&amp;IF(AND(K2072=FALSE,OR(L2072=FALSE,M2072=FALSE)),",","")&amp;IF(L2072=FALSE,"「残業手当」","")&amp;IF(AND(L2072=FALSE,M2072=FALSE),",","")&amp;IF(M2072=FALSE,"「残業時間」","")&amp;IF(OR(J2072=FALSE,K2072=FALSE,L2072=FALSE,M2072=FALSE),入力リスト!$K$36,"")&amp;IF(N2072,"",入力リスト!$K$37)))</f>
        <v/>
      </c>
      <c r="H2072" s="215"/>
      <c r="I2072" s="1" t="b">
        <f>IF(B2072="",FALSE,COUNTIF('従業員情報(給与以外)'!$A$4:$A$1000000,$B2072)=0)</f>
        <v>0</v>
      </c>
      <c r="J2072" s="8" t="b">
        <f t="shared" si="160"/>
        <v>1</v>
      </c>
      <c r="K2072" s="8" t="b">
        <f t="shared" si="161"/>
        <v>1</v>
      </c>
      <c r="L2072" s="8" t="b">
        <f t="shared" si="162"/>
        <v>1</v>
      </c>
      <c r="M2072" s="8" t="b">
        <f t="shared" si="163"/>
        <v>1</v>
      </c>
      <c r="N2072" s="1" t="b">
        <f t="shared" si="164"/>
        <v>1</v>
      </c>
      <c r="O2072" s="8" t="str">
        <f>IF(F2072="","",IF($F$2=入力リスト!$H$25,ROUNDDOWN(INT(F2072)+ROUNDDOWN((F2072-INT(F2072))*100,0)/60,2),F2072))</f>
        <v/>
      </c>
      <c r="P2072" s="7"/>
      <c r="Q2072" s="7"/>
    </row>
    <row r="2073" spans="1:17">
      <c r="A2073" s="105"/>
      <c r="B2073" s="2"/>
      <c r="C2073" s="3"/>
      <c r="D2073" s="3"/>
      <c r="E2073" s="3"/>
      <c r="F2073" s="8"/>
      <c r="G2073" s="215" t="str">
        <f>IF(AND($B2073="",OR(B2073&lt;&gt;"",C2073&lt;&gt;"",D2073&lt;&gt;"",E2073&lt;&gt;"",F2073&lt;&gt;"")),入力リスト!$K$34,IF($I2073=TRUE,入力リスト!$K$35,IF(J2073=FALSE,"「毎月の固定給与額」","")&amp;IF(AND(J2073=FALSE,OR(K2073=FALSE,L2073=FALSE,M2073=FALSE)),",","")&amp;IF(K2073=FALSE,"「賞与額等」","")&amp;IF(AND(K2073=FALSE,OR(L2073=FALSE,M2073=FALSE)),",","")&amp;IF(L2073=FALSE,"「残業手当」","")&amp;IF(AND(L2073=FALSE,M2073=FALSE),",","")&amp;IF(M2073=FALSE,"「残業時間」","")&amp;IF(OR(J2073=FALSE,K2073=FALSE,L2073=FALSE,M2073=FALSE),入力リスト!$K$36,"")&amp;IF(N2073,"",入力リスト!$K$37)))</f>
        <v/>
      </c>
      <c r="H2073" s="215"/>
      <c r="I2073" s="1" t="b">
        <f>IF(B2073="",FALSE,COUNTIF('従業員情報(給与以外)'!$A$4:$A$1000000,$B2073)=0)</f>
        <v>0</v>
      </c>
      <c r="J2073" s="8" t="b">
        <f t="shared" si="160"/>
        <v>1</v>
      </c>
      <c r="K2073" s="8" t="b">
        <f t="shared" si="161"/>
        <v>1</v>
      </c>
      <c r="L2073" s="8" t="b">
        <f t="shared" si="162"/>
        <v>1</v>
      </c>
      <c r="M2073" s="8" t="b">
        <f t="shared" si="163"/>
        <v>1</v>
      </c>
      <c r="N2073" s="1" t="b">
        <f t="shared" si="164"/>
        <v>1</v>
      </c>
      <c r="O2073" s="8" t="str">
        <f>IF(F2073="","",IF($F$2=入力リスト!$H$25,ROUNDDOWN(INT(F2073)+ROUNDDOWN((F2073-INT(F2073))*100,0)/60,2),F2073))</f>
        <v/>
      </c>
      <c r="P2073" s="7"/>
      <c r="Q2073" s="7"/>
    </row>
    <row r="2074" spans="1:17">
      <c r="A2074" s="105"/>
      <c r="B2074" s="2"/>
      <c r="C2074" s="3"/>
      <c r="D2074" s="3"/>
      <c r="E2074" s="3"/>
      <c r="F2074" s="8"/>
      <c r="G2074" s="215" t="str">
        <f>IF(AND($B2074="",OR(B2074&lt;&gt;"",C2074&lt;&gt;"",D2074&lt;&gt;"",E2074&lt;&gt;"",F2074&lt;&gt;"")),入力リスト!$K$34,IF($I2074=TRUE,入力リスト!$K$35,IF(J2074=FALSE,"「毎月の固定給与額」","")&amp;IF(AND(J2074=FALSE,OR(K2074=FALSE,L2074=FALSE,M2074=FALSE)),",","")&amp;IF(K2074=FALSE,"「賞与額等」","")&amp;IF(AND(K2074=FALSE,OR(L2074=FALSE,M2074=FALSE)),",","")&amp;IF(L2074=FALSE,"「残業手当」","")&amp;IF(AND(L2074=FALSE,M2074=FALSE),",","")&amp;IF(M2074=FALSE,"「残業時間」","")&amp;IF(OR(J2074=FALSE,K2074=FALSE,L2074=FALSE,M2074=FALSE),入力リスト!$K$36,"")&amp;IF(N2074,"",入力リスト!$K$37)))</f>
        <v/>
      </c>
      <c r="H2074" s="215"/>
      <c r="I2074" s="1" t="b">
        <f>IF(B2074="",FALSE,COUNTIF('従業員情報(給与以外)'!$A$4:$A$1000000,$B2074)=0)</f>
        <v>0</v>
      </c>
      <c r="J2074" s="8" t="b">
        <f t="shared" si="160"/>
        <v>1</v>
      </c>
      <c r="K2074" s="8" t="b">
        <f t="shared" si="161"/>
        <v>1</v>
      </c>
      <c r="L2074" s="8" t="b">
        <f t="shared" si="162"/>
        <v>1</v>
      </c>
      <c r="M2074" s="8" t="b">
        <f t="shared" si="163"/>
        <v>1</v>
      </c>
      <c r="N2074" s="1" t="b">
        <f t="shared" si="164"/>
        <v>1</v>
      </c>
      <c r="O2074" s="8" t="str">
        <f>IF(F2074="","",IF($F$2=入力リスト!$H$25,ROUNDDOWN(INT(F2074)+ROUNDDOWN((F2074-INT(F2074))*100,0)/60,2),F2074))</f>
        <v/>
      </c>
      <c r="P2074" s="7"/>
      <c r="Q2074" s="7"/>
    </row>
    <row r="2075" spans="1:17">
      <c r="A2075" s="105"/>
      <c r="B2075" s="2"/>
      <c r="C2075" s="3"/>
      <c r="D2075" s="3"/>
      <c r="E2075" s="3"/>
      <c r="F2075" s="8"/>
      <c r="G2075" s="215" t="str">
        <f>IF(AND($B2075="",OR(B2075&lt;&gt;"",C2075&lt;&gt;"",D2075&lt;&gt;"",E2075&lt;&gt;"",F2075&lt;&gt;"")),入力リスト!$K$34,IF($I2075=TRUE,入力リスト!$K$35,IF(J2075=FALSE,"「毎月の固定給与額」","")&amp;IF(AND(J2075=FALSE,OR(K2075=FALSE,L2075=FALSE,M2075=FALSE)),",","")&amp;IF(K2075=FALSE,"「賞与額等」","")&amp;IF(AND(K2075=FALSE,OR(L2075=FALSE,M2075=FALSE)),",","")&amp;IF(L2075=FALSE,"「残業手当」","")&amp;IF(AND(L2075=FALSE,M2075=FALSE),",","")&amp;IF(M2075=FALSE,"「残業時間」","")&amp;IF(OR(J2075=FALSE,K2075=FALSE,L2075=FALSE,M2075=FALSE),入力リスト!$K$36,"")&amp;IF(N2075,"",入力リスト!$K$37)))</f>
        <v/>
      </c>
      <c r="H2075" s="215"/>
      <c r="I2075" s="1" t="b">
        <f>IF(B2075="",FALSE,COUNTIF('従業員情報(給与以外)'!$A$4:$A$1000000,$B2075)=0)</f>
        <v>0</v>
      </c>
      <c r="J2075" s="8" t="b">
        <f t="shared" si="160"/>
        <v>1</v>
      </c>
      <c r="K2075" s="8" t="b">
        <f t="shared" si="161"/>
        <v>1</v>
      </c>
      <c r="L2075" s="8" t="b">
        <f t="shared" si="162"/>
        <v>1</v>
      </c>
      <c r="M2075" s="8" t="b">
        <f t="shared" si="163"/>
        <v>1</v>
      </c>
      <c r="N2075" s="1" t="b">
        <f t="shared" si="164"/>
        <v>1</v>
      </c>
      <c r="O2075" s="8" t="str">
        <f>IF(F2075="","",IF($F$2=入力リスト!$H$25,ROUNDDOWN(INT(F2075)+ROUNDDOWN((F2075-INT(F2075))*100,0)/60,2),F2075))</f>
        <v/>
      </c>
      <c r="P2075" s="7"/>
      <c r="Q2075" s="7"/>
    </row>
    <row r="2076" spans="1:17">
      <c r="A2076" s="105"/>
      <c r="B2076" s="2"/>
      <c r="C2076" s="3"/>
      <c r="D2076" s="3"/>
      <c r="E2076" s="3"/>
      <c r="F2076" s="8"/>
      <c r="G2076" s="215" t="str">
        <f>IF(AND($B2076="",OR(B2076&lt;&gt;"",C2076&lt;&gt;"",D2076&lt;&gt;"",E2076&lt;&gt;"",F2076&lt;&gt;"")),入力リスト!$K$34,IF($I2076=TRUE,入力リスト!$K$35,IF(J2076=FALSE,"「毎月の固定給与額」","")&amp;IF(AND(J2076=FALSE,OR(K2076=FALSE,L2076=FALSE,M2076=FALSE)),",","")&amp;IF(K2076=FALSE,"「賞与額等」","")&amp;IF(AND(K2076=FALSE,OR(L2076=FALSE,M2076=FALSE)),",","")&amp;IF(L2076=FALSE,"「残業手当」","")&amp;IF(AND(L2076=FALSE,M2076=FALSE),",","")&amp;IF(M2076=FALSE,"「残業時間」","")&amp;IF(OR(J2076=FALSE,K2076=FALSE,L2076=FALSE,M2076=FALSE),入力リスト!$K$36,"")&amp;IF(N2076,"",入力リスト!$K$37)))</f>
        <v/>
      </c>
      <c r="H2076" s="215"/>
      <c r="I2076" s="1" t="b">
        <f>IF(B2076="",FALSE,COUNTIF('従業員情報(給与以外)'!$A$4:$A$1000000,$B2076)=0)</f>
        <v>0</v>
      </c>
      <c r="J2076" s="8" t="b">
        <f t="shared" si="160"/>
        <v>1</v>
      </c>
      <c r="K2076" s="8" t="b">
        <f t="shared" si="161"/>
        <v>1</v>
      </c>
      <c r="L2076" s="8" t="b">
        <f t="shared" si="162"/>
        <v>1</v>
      </c>
      <c r="M2076" s="8" t="b">
        <f t="shared" si="163"/>
        <v>1</v>
      </c>
      <c r="N2076" s="1" t="b">
        <f t="shared" si="164"/>
        <v>1</v>
      </c>
      <c r="O2076" s="8" t="str">
        <f>IF(F2076="","",IF($F$2=入力リスト!$H$25,ROUNDDOWN(INT(F2076)+ROUNDDOWN((F2076-INT(F2076))*100,0)/60,2),F2076))</f>
        <v/>
      </c>
      <c r="P2076" s="7"/>
      <c r="Q2076" s="7"/>
    </row>
    <row r="2077" spans="1:17">
      <c r="A2077" s="105"/>
      <c r="B2077" s="2"/>
      <c r="C2077" s="3"/>
      <c r="D2077" s="3"/>
      <c r="E2077" s="3"/>
      <c r="F2077" s="8"/>
      <c r="G2077" s="215" t="str">
        <f>IF(AND($B2077="",OR(B2077&lt;&gt;"",C2077&lt;&gt;"",D2077&lt;&gt;"",E2077&lt;&gt;"",F2077&lt;&gt;"")),入力リスト!$K$34,IF($I2077=TRUE,入力リスト!$K$35,IF(J2077=FALSE,"「毎月の固定給与額」","")&amp;IF(AND(J2077=FALSE,OR(K2077=FALSE,L2077=FALSE,M2077=FALSE)),",","")&amp;IF(K2077=FALSE,"「賞与額等」","")&amp;IF(AND(K2077=FALSE,OR(L2077=FALSE,M2077=FALSE)),",","")&amp;IF(L2077=FALSE,"「残業手当」","")&amp;IF(AND(L2077=FALSE,M2077=FALSE),",","")&amp;IF(M2077=FALSE,"「残業時間」","")&amp;IF(OR(J2077=FALSE,K2077=FALSE,L2077=FALSE,M2077=FALSE),入力リスト!$K$36,"")&amp;IF(N2077,"",入力リスト!$K$37)))</f>
        <v/>
      </c>
      <c r="H2077" s="215"/>
      <c r="I2077" s="1" t="b">
        <f>IF(B2077="",FALSE,COUNTIF('従業員情報(給与以外)'!$A$4:$A$1000000,$B2077)=0)</f>
        <v>0</v>
      </c>
      <c r="J2077" s="8" t="b">
        <f t="shared" si="160"/>
        <v>1</v>
      </c>
      <c r="K2077" s="8" t="b">
        <f t="shared" si="161"/>
        <v>1</v>
      </c>
      <c r="L2077" s="8" t="b">
        <f t="shared" si="162"/>
        <v>1</v>
      </c>
      <c r="M2077" s="8" t="b">
        <f t="shared" si="163"/>
        <v>1</v>
      </c>
      <c r="N2077" s="1" t="b">
        <f t="shared" si="164"/>
        <v>1</v>
      </c>
      <c r="O2077" s="8" t="str">
        <f>IF(F2077="","",IF($F$2=入力リスト!$H$25,ROUNDDOWN(INT(F2077)+ROUNDDOWN((F2077-INT(F2077))*100,0)/60,2),F2077))</f>
        <v/>
      </c>
      <c r="P2077" s="7"/>
      <c r="Q2077" s="7"/>
    </row>
    <row r="2078" spans="1:17">
      <c r="A2078" s="105"/>
      <c r="B2078" s="2"/>
      <c r="C2078" s="3"/>
      <c r="D2078" s="3"/>
      <c r="E2078" s="3"/>
      <c r="F2078" s="8"/>
      <c r="G2078" s="215" t="str">
        <f>IF(AND($B2078="",OR(B2078&lt;&gt;"",C2078&lt;&gt;"",D2078&lt;&gt;"",E2078&lt;&gt;"",F2078&lt;&gt;"")),入力リスト!$K$34,IF($I2078=TRUE,入力リスト!$K$35,IF(J2078=FALSE,"「毎月の固定給与額」","")&amp;IF(AND(J2078=FALSE,OR(K2078=FALSE,L2078=FALSE,M2078=FALSE)),",","")&amp;IF(K2078=FALSE,"「賞与額等」","")&amp;IF(AND(K2078=FALSE,OR(L2078=FALSE,M2078=FALSE)),",","")&amp;IF(L2078=FALSE,"「残業手当」","")&amp;IF(AND(L2078=FALSE,M2078=FALSE),",","")&amp;IF(M2078=FALSE,"「残業時間」","")&amp;IF(OR(J2078=FALSE,K2078=FALSE,L2078=FALSE,M2078=FALSE),入力リスト!$K$36,"")&amp;IF(N2078,"",入力リスト!$K$37)))</f>
        <v/>
      </c>
      <c r="H2078" s="215"/>
      <c r="I2078" s="1" t="b">
        <f>IF(B2078="",FALSE,COUNTIF('従業員情報(給与以外)'!$A$4:$A$1000000,$B2078)=0)</f>
        <v>0</v>
      </c>
      <c r="J2078" s="8" t="b">
        <f t="shared" si="160"/>
        <v>1</v>
      </c>
      <c r="K2078" s="8" t="b">
        <f t="shared" si="161"/>
        <v>1</v>
      </c>
      <c r="L2078" s="8" t="b">
        <f t="shared" si="162"/>
        <v>1</v>
      </c>
      <c r="M2078" s="8" t="b">
        <f t="shared" si="163"/>
        <v>1</v>
      </c>
      <c r="N2078" s="1" t="b">
        <f t="shared" si="164"/>
        <v>1</v>
      </c>
      <c r="O2078" s="8" t="str">
        <f>IF(F2078="","",IF($F$2=入力リスト!$H$25,ROUNDDOWN(INT(F2078)+ROUNDDOWN((F2078-INT(F2078))*100,0)/60,2),F2078))</f>
        <v/>
      </c>
      <c r="P2078" s="7"/>
      <c r="Q2078" s="7"/>
    </row>
    <row r="2079" spans="1:17">
      <c r="A2079" s="105"/>
      <c r="B2079" s="2"/>
      <c r="C2079" s="3"/>
      <c r="D2079" s="3"/>
      <c r="E2079" s="3"/>
      <c r="F2079" s="8"/>
      <c r="G2079" s="215" t="str">
        <f>IF(AND($B2079="",OR(B2079&lt;&gt;"",C2079&lt;&gt;"",D2079&lt;&gt;"",E2079&lt;&gt;"",F2079&lt;&gt;"")),入力リスト!$K$34,IF($I2079=TRUE,入力リスト!$K$35,IF(J2079=FALSE,"「毎月の固定給与額」","")&amp;IF(AND(J2079=FALSE,OR(K2079=FALSE,L2079=FALSE,M2079=FALSE)),",","")&amp;IF(K2079=FALSE,"「賞与額等」","")&amp;IF(AND(K2079=FALSE,OR(L2079=FALSE,M2079=FALSE)),",","")&amp;IF(L2079=FALSE,"「残業手当」","")&amp;IF(AND(L2079=FALSE,M2079=FALSE),",","")&amp;IF(M2079=FALSE,"「残業時間」","")&amp;IF(OR(J2079=FALSE,K2079=FALSE,L2079=FALSE,M2079=FALSE),入力リスト!$K$36,"")&amp;IF(N2079,"",入力リスト!$K$37)))</f>
        <v/>
      </c>
      <c r="H2079" s="215"/>
      <c r="I2079" s="1" t="b">
        <f>IF(B2079="",FALSE,COUNTIF('従業員情報(給与以外)'!$A$4:$A$1000000,$B2079)=0)</f>
        <v>0</v>
      </c>
      <c r="J2079" s="8" t="b">
        <f t="shared" si="160"/>
        <v>1</v>
      </c>
      <c r="K2079" s="8" t="b">
        <f t="shared" si="161"/>
        <v>1</v>
      </c>
      <c r="L2079" s="8" t="b">
        <f t="shared" si="162"/>
        <v>1</v>
      </c>
      <c r="M2079" s="8" t="b">
        <f t="shared" si="163"/>
        <v>1</v>
      </c>
      <c r="N2079" s="1" t="b">
        <f t="shared" si="164"/>
        <v>1</v>
      </c>
      <c r="O2079" s="8" t="str">
        <f>IF(F2079="","",IF($F$2=入力リスト!$H$25,ROUNDDOWN(INT(F2079)+ROUNDDOWN((F2079-INT(F2079))*100,0)/60,2),F2079))</f>
        <v/>
      </c>
      <c r="P2079" s="7"/>
      <c r="Q2079" s="7"/>
    </row>
    <row r="2080" spans="1:17">
      <c r="A2080" s="105"/>
      <c r="B2080" s="2"/>
      <c r="C2080" s="3"/>
      <c r="D2080" s="3"/>
      <c r="E2080" s="3"/>
      <c r="F2080" s="8"/>
      <c r="G2080" s="215" t="str">
        <f>IF(AND($B2080="",OR(B2080&lt;&gt;"",C2080&lt;&gt;"",D2080&lt;&gt;"",E2080&lt;&gt;"",F2080&lt;&gt;"")),入力リスト!$K$34,IF($I2080=TRUE,入力リスト!$K$35,IF(J2080=FALSE,"「毎月の固定給与額」","")&amp;IF(AND(J2080=FALSE,OR(K2080=FALSE,L2080=FALSE,M2080=FALSE)),",","")&amp;IF(K2080=FALSE,"「賞与額等」","")&amp;IF(AND(K2080=FALSE,OR(L2080=FALSE,M2080=FALSE)),",","")&amp;IF(L2080=FALSE,"「残業手当」","")&amp;IF(AND(L2080=FALSE,M2080=FALSE),",","")&amp;IF(M2080=FALSE,"「残業時間」","")&amp;IF(OR(J2080=FALSE,K2080=FALSE,L2080=FALSE,M2080=FALSE),入力リスト!$K$36,"")&amp;IF(N2080,"",入力リスト!$K$37)))</f>
        <v/>
      </c>
      <c r="H2080" s="215"/>
      <c r="I2080" s="1" t="b">
        <f>IF(B2080="",FALSE,COUNTIF('従業員情報(給与以外)'!$A$4:$A$1000000,$B2080)=0)</f>
        <v>0</v>
      </c>
      <c r="J2080" s="8" t="b">
        <f t="shared" si="160"/>
        <v>1</v>
      </c>
      <c r="K2080" s="8" t="b">
        <f t="shared" si="161"/>
        <v>1</v>
      </c>
      <c r="L2080" s="8" t="b">
        <f t="shared" si="162"/>
        <v>1</v>
      </c>
      <c r="M2080" s="8" t="b">
        <f t="shared" si="163"/>
        <v>1</v>
      </c>
      <c r="N2080" s="1" t="b">
        <f t="shared" si="164"/>
        <v>1</v>
      </c>
      <c r="O2080" s="8" t="str">
        <f>IF(F2080="","",IF($F$2=入力リスト!$H$25,ROUNDDOWN(INT(F2080)+ROUNDDOWN((F2080-INT(F2080))*100,0)/60,2),F2080))</f>
        <v/>
      </c>
      <c r="P2080" s="7"/>
      <c r="Q2080" s="7"/>
    </row>
    <row r="2081" spans="1:17">
      <c r="A2081" s="105"/>
      <c r="B2081" s="2"/>
      <c r="C2081" s="3"/>
      <c r="D2081" s="3"/>
      <c r="E2081" s="3"/>
      <c r="F2081" s="8"/>
      <c r="G2081" s="215" t="str">
        <f>IF(AND($B2081="",OR(B2081&lt;&gt;"",C2081&lt;&gt;"",D2081&lt;&gt;"",E2081&lt;&gt;"",F2081&lt;&gt;"")),入力リスト!$K$34,IF($I2081=TRUE,入力リスト!$K$35,IF(J2081=FALSE,"「毎月の固定給与額」","")&amp;IF(AND(J2081=FALSE,OR(K2081=FALSE,L2081=FALSE,M2081=FALSE)),",","")&amp;IF(K2081=FALSE,"「賞与額等」","")&amp;IF(AND(K2081=FALSE,OR(L2081=FALSE,M2081=FALSE)),",","")&amp;IF(L2081=FALSE,"「残業手当」","")&amp;IF(AND(L2081=FALSE,M2081=FALSE),",","")&amp;IF(M2081=FALSE,"「残業時間」","")&amp;IF(OR(J2081=FALSE,K2081=FALSE,L2081=FALSE,M2081=FALSE),入力リスト!$K$36,"")&amp;IF(N2081,"",入力リスト!$K$37)))</f>
        <v/>
      </c>
      <c r="H2081" s="215"/>
      <c r="I2081" s="1" t="b">
        <f>IF(B2081="",FALSE,COUNTIF('従業員情報(給与以外)'!$A$4:$A$1000000,$B2081)=0)</f>
        <v>0</v>
      </c>
      <c r="J2081" s="8" t="b">
        <f t="shared" si="160"/>
        <v>1</v>
      </c>
      <c r="K2081" s="8" t="b">
        <f t="shared" si="161"/>
        <v>1</v>
      </c>
      <c r="L2081" s="8" t="b">
        <f t="shared" si="162"/>
        <v>1</v>
      </c>
      <c r="M2081" s="8" t="b">
        <f t="shared" si="163"/>
        <v>1</v>
      </c>
      <c r="N2081" s="1" t="b">
        <f t="shared" si="164"/>
        <v>1</v>
      </c>
      <c r="O2081" s="8" t="str">
        <f>IF(F2081="","",IF($F$2=入力リスト!$H$25,ROUNDDOWN(INT(F2081)+ROUNDDOWN((F2081-INT(F2081))*100,0)/60,2),F2081))</f>
        <v/>
      </c>
      <c r="P2081" s="7"/>
      <c r="Q2081" s="7"/>
    </row>
    <row r="2082" spans="1:17">
      <c r="A2082" s="105"/>
      <c r="B2082" s="2"/>
      <c r="C2082" s="3"/>
      <c r="D2082" s="3"/>
      <c r="E2082" s="3"/>
      <c r="F2082" s="8"/>
      <c r="G2082" s="215" t="str">
        <f>IF(AND($B2082="",OR(B2082&lt;&gt;"",C2082&lt;&gt;"",D2082&lt;&gt;"",E2082&lt;&gt;"",F2082&lt;&gt;"")),入力リスト!$K$34,IF($I2082=TRUE,入力リスト!$K$35,IF(J2082=FALSE,"「毎月の固定給与額」","")&amp;IF(AND(J2082=FALSE,OR(K2082=FALSE,L2082=FALSE,M2082=FALSE)),",","")&amp;IF(K2082=FALSE,"「賞与額等」","")&amp;IF(AND(K2082=FALSE,OR(L2082=FALSE,M2082=FALSE)),",","")&amp;IF(L2082=FALSE,"「残業手当」","")&amp;IF(AND(L2082=FALSE,M2082=FALSE),",","")&amp;IF(M2082=FALSE,"「残業時間」","")&amp;IF(OR(J2082=FALSE,K2082=FALSE,L2082=FALSE,M2082=FALSE),入力リスト!$K$36,"")&amp;IF(N2082,"",入力リスト!$K$37)))</f>
        <v/>
      </c>
      <c r="H2082" s="215"/>
      <c r="I2082" s="1" t="b">
        <f>IF(B2082="",FALSE,COUNTIF('従業員情報(給与以外)'!$A$4:$A$1000000,$B2082)=0)</f>
        <v>0</v>
      </c>
      <c r="J2082" s="8" t="b">
        <f t="shared" si="160"/>
        <v>1</v>
      </c>
      <c r="K2082" s="8" t="b">
        <f t="shared" si="161"/>
        <v>1</v>
      </c>
      <c r="L2082" s="8" t="b">
        <f t="shared" si="162"/>
        <v>1</v>
      </c>
      <c r="M2082" s="8" t="b">
        <f t="shared" si="163"/>
        <v>1</v>
      </c>
      <c r="N2082" s="1" t="b">
        <f t="shared" si="164"/>
        <v>1</v>
      </c>
      <c r="O2082" s="8" t="str">
        <f>IF(F2082="","",IF($F$2=入力リスト!$H$25,ROUNDDOWN(INT(F2082)+ROUNDDOWN((F2082-INT(F2082))*100,0)/60,2),F2082))</f>
        <v/>
      </c>
      <c r="P2082" s="7"/>
      <c r="Q2082" s="7"/>
    </row>
    <row r="2083" spans="1:17">
      <c r="A2083" s="105"/>
      <c r="B2083" s="2"/>
      <c r="C2083" s="3"/>
      <c r="D2083" s="3"/>
      <c r="E2083" s="3"/>
      <c r="F2083" s="8"/>
      <c r="G2083" s="215" t="str">
        <f>IF(AND($B2083="",OR(B2083&lt;&gt;"",C2083&lt;&gt;"",D2083&lt;&gt;"",E2083&lt;&gt;"",F2083&lt;&gt;"")),入力リスト!$K$34,IF($I2083=TRUE,入力リスト!$K$35,IF(J2083=FALSE,"「毎月の固定給与額」","")&amp;IF(AND(J2083=FALSE,OR(K2083=FALSE,L2083=FALSE,M2083=FALSE)),",","")&amp;IF(K2083=FALSE,"「賞与額等」","")&amp;IF(AND(K2083=FALSE,OR(L2083=FALSE,M2083=FALSE)),",","")&amp;IF(L2083=FALSE,"「残業手当」","")&amp;IF(AND(L2083=FALSE,M2083=FALSE),",","")&amp;IF(M2083=FALSE,"「残業時間」","")&amp;IF(OR(J2083=FALSE,K2083=FALSE,L2083=FALSE,M2083=FALSE),入力リスト!$K$36,"")&amp;IF(N2083,"",入力リスト!$K$37)))</f>
        <v/>
      </c>
      <c r="H2083" s="215"/>
      <c r="I2083" s="1" t="b">
        <f>IF(B2083="",FALSE,COUNTIF('従業員情報(給与以外)'!$A$4:$A$1000000,$B2083)=0)</f>
        <v>0</v>
      </c>
      <c r="J2083" s="8" t="b">
        <f t="shared" si="160"/>
        <v>1</v>
      </c>
      <c r="K2083" s="8" t="b">
        <f t="shared" si="161"/>
        <v>1</v>
      </c>
      <c r="L2083" s="8" t="b">
        <f t="shared" si="162"/>
        <v>1</v>
      </c>
      <c r="M2083" s="8" t="b">
        <f t="shared" si="163"/>
        <v>1</v>
      </c>
      <c r="N2083" s="1" t="b">
        <f t="shared" si="164"/>
        <v>1</v>
      </c>
      <c r="O2083" s="8" t="str">
        <f>IF(F2083="","",IF($F$2=入力リスト!$H$25,ROUNDDOWN(INT(F2083)+ROUNDDOWN((F2083-INT(F2083))*100,0)/60,2),F2083))</f>
        <v/>
      </c>
      <c r="P2083" s="7"/>
      <c r="Q2083" s="7"/>
    </row>
    <row r="2084" spans="1:17">
      <c r="A2084" s="105"/>
      <c r="B2084" s="2"/>
      <c r="C2084" s="3"/>
      <c r="D2084" s="3"/>
      <c r="E2084" s="3"/>
      <c r="F2084" s="8"/>
      <c r="G2084" s="215" t="str">
        <f>IF(AND($B2084="",OR(B2084&lt;&gt;"",C2084&lt;&gt;"",D2084&lt;&gt;"",E2084&lt;&gt;"",F2084&lt;&gt;"")),入力リスト!$K$34,IF($I2084=TRUE,入力リスト!$K$35,IF(J2084=FALSE,"「毎月の固定給与額」","")&amp;IF(AND(J2084=FALSE,OR(K2084=FALSE,L2084=FALSE,M2084=FALSE)),",","")&amp;IF(K2084=FALSE,"「賞与額等」","")&amp;IF(AND(K2084=FALSE,OR(L2084=FALSE,M2084=FALSE)),",","")&amp;IF(L2084=FALSE,"「残業手当」","")&amp;IF(AND(L2084=FALSE,M2084=FALSE),",","")&amp;IF(M2084=FALSE,"「残業時間」","")&amp;IF(OR(J2084=FALSE,K2084=FALSE,L2084=FALSE,M2084=FALSE),入力リスト!$K$36,"")&amp;IF(N2084,"",入力リスト!$K$37)))</f>
        <v/>
      </c>
      <c r="H2084" s="215"/>
      <c r="I2084" s="1" t="b">
        <f>IF(B2084="",FALSE,COUNTIF('従業員情報(給与以外)'!$A$4:$A$1000000,$B2084)=0)</f>
        <v>0</v>
      </c>
      <c r="J2084" s="8" t="b">
        <f t="shared" si="160"/>
        <v>1</v>
      </c>
      <c r="K2084" s="8" t="b">
        <f t="shared" si="161"/>
        <v>1</v>
      </c>
      <c r="L2084" s="8" t="b">
        <f t="shared" si="162"/>
        <v>1</v>
      </c>
      <c r="M2084" s="8" t="b">
        <f t="shared" si="163"/>
        <v>1</v>
      </c>
      <c r="N2084" s="1" t="b">
        <f t="shared" si="164"/>
        <v>1</v>
      </c>
      <c r="O2084" s="8" t="str">
        <f>IF(F2084="","",IF($F$2=入力リスト!$H$25,ROUNDDOWN(INT(F2084)+ROUNDDOWN((F2084-INT(F2084))*100,0)/60,2),F2084))</f>
        <v/>
      </c>
      <c r="P2084" s="7"/>
      <c r="Q2084" s="7"/>
    </row>
    <row r="2085" spans="1:17">
      <c r="A2085" s="105"/>
      <c r="B2085" s="2"/>
      <c r="C2085" s="3"/>
      <c r="D2085" s="3"/>
      <c r="E2085" s="3"/>
      <c r="F2085" s="8"/>
      <c r="G2085" s="215" t="str">
        <f>IF(AND($B2085="",OR(B2085&lt;&gt;"",C2085&lt;&gt;"",D2085&lt;&gt;"",E2085&lt;&gt;"",F2085&lt;&gt;"")),入力リスト!$K$34,IF($I2085=TRUE,入力リスト!$K$35,IF(J2085=FALSE,"「毎月の固定給与額」","")&amp;IF(AND(J2085=FALSE,OR(K2085=FALSE,L2085=FALSE,M2085=FALSE)),",","")&amp;IF(K2085=FALSE,"「賞与額等」","")&amp;IF(AND(K2085=FALSE,OR(L2085=FALSE,M2085=FALSE)),",","")&amp;IF(L2085=FALSE,"「残業手当」","")&amp;IF(AND(L2085=FALSE,M2085=FALSE),",","")&amp;IF(M2085=FALSE,"「残業時間」","")&amp;IF(OR(J2085=FALSE,K2085=FALSE,L2085=FALSE,M2085=FALSE),入力リスト!$K$36,"")&amp;IF(N2085,"",入力リスト!$K$37)))</f>
        <v/>
      </c>
      <c r="H2085" s="215"/>
      <c r="I2085" s="1" t="b">
        <f>IF(B2085="",FALSE,COUNTIF('従業員情報(給与以外)'!$A$4:$A$1000000,$B2085)=0)</f>
        <v>0</v>
      </c>
      <c r="J2085" s="8" t="b">
        <f t="shared" si="160"/>
        <v>1</v>
      </c>
      <c r="K2085" s="8" t="b">
        <f t="shared" si="161"/>
        <v>1</v>
      </c>
      <c r="L2085" s="8" t="b">
        <f t="shared" si="162"/>
        <v>1</v>
      </c>
      <c r="M2085" s="8" t="b">
        <f t="shared" si="163"/>
        <v>1</v>
      </c>
      <c r="N2085" s="1" t="b">
        <f t="shared" si="164"/>
        <v>1</v>
      </c>
      <c r="O2085" s="8" t="str">
        <f>IF(F2085="","",IF($F$2=入力リスト!$H$25,ROUNDDOWN(INT(F2085)+ROUNDDOWN((F2085-INT(F2085))*100,0)/60,2),F2085))</f>
        <v/>
      </c>
      <c r="P2085" s="7"/>
      <c r="Q2085" s="7"/>
    </row>
    <row r="2086" spans="1:17">
      <c r="A2086" s="105"/>
      <c r="B2086" s="2"/>
      <c r="C2086" s="3"/>
      <c r="D2086" s="3"/>
      <c r="E2086" s="3"/>
      <c r="F2086" s="8"/>
      <c r="G2086" s="215" t="str">
        <f>IF(AND($B2086="",OR(B2086&lt;&gt;"",C2086&lt;&gt;"",D2086&lt;&gt;"",E2086&lt;&gt;"",F2086&lt;&gt;"")),入力リスト!$K$34,IF($I2086=TRUE,入力リスト!$K$35,IF(J2086=FALSE,"「毎月の固定給与額」","")&amp;IF(AND(J2086=FALSE,OR(K2086=FALSE,L2086=FALSE,M2086=FALSE)),",","")&amp;IF(K2086=FALSE,"「賞与額等」","")&amp;IF(AND(K2086=FALSE,OR(L2086=FALSE,M2086=FALSE)),",","")&amp;IF(L2086=FALSE,"「残業手当」","")&amp;IF(AND(L2086=FALSE,M2086=FALSE),",","")&amp;IF(M2086=FALSE,"「残業時間」","")&amp;IF(OR(J2086=FALSE,K2086=FALSE,L2086=FALSE,M2086=FALSE),入力リスト!$K$36,"")&amp;IF(N2086,"",入力リスト!$K$37)))</f>
        <v/>
      </c>
      <c r="H2086" s="215"/>
      <c r="I2086" s="1" t="b">
        <f>IF(B2086="",FALSE,COUNTIF('従業員情報(給与以外)'!$A$4:$A$1000000,$B2086)=0)</f>
        <v>0</v>
      </c>
      <c r="J2086" s="8" t="b">
        <f t="shared" si="160"/>
        <v>1</v>
      </c>
      <c r="K2086" s="8" t="b">
        <f t="shared" si="161"/>
        <v>1</v>
      </c>
      <c r="L2086" s="8" t="b">
        <f t="shared" si="162"/>
        <v>1</v>
      </c>
      <c r="M2086" s="8" t="b">
        <f t="shared" si="163"/>
        <v>1</v>
      </c>
      <c r="N2086" s="1" t="b">
        <f t="shared" si="164"/>
        <v>1</v>
      </c>
      <c r="O2086" s="8" t="str">
        <f>IF(F2086="","",IF($F$2=入力リスト!$H$25,ROUNDDOWN(INT(F2086)+ROUNDDOWN((F2086-INT(F2086))*100,0)/60,2),F2086))</f>
        <v/>
      </c>
      <c r="P2086" s="7"/>
      <c r="Q2086" s="7"/>
    </row>
    <row r="2087" spans="1:17">
      <c r="A2087" s="105"/>
      <c r="B2087" s="2"/>
      <c r="C2087" s="3"/>
      <c r="D2087" s="3"/>
      <c r="E2087" s="3"/>
      <c r="F2087" s="8"/>
      <c r="G2087" s="215" t="str">
        <f>IF(AND($B2087="",OR(B2087&lt;&gt;"",C2087&lt;&gt;"",D2087&lt;&gt;"",E2087&lt;&gt;"",F2087&lt;&gt;"")),入力リスト!$K$34,IF($I2087=TRUE,入力リスト!$K$35,IF(J2087=FALSE,"「毎月の固定給与額」","")&amp;IF(AND(J2087=FALSE,OR(K2087=FALSE,L2087=FALSE,M2087=FALSE)),",","")&amp;IF(K2087=FALSE,"「賞与額等」","")&amp;IF(AND(K2087=FALSE,OR(L2087=FALSE,M2087=FALSE)),",","")&amp;IF(L2087=FALSE,"「残業手当」","")&amp;IF(AND(L2087=FALSE,M2087=FALSE),",","")&amp;IF(M2087=FALSE,"「残業時間」","")&amp;IF(OR(J2087=FALSE,K2087=FALSE,L2087=FALSE,M2087=FALSE),入力リスト!$K$36,"")&amp;IF(N2087,"",入力リスト!$K$37)))</f>
        <v/>
      </c>
      <c r="H2087" s="215"/>
      <c r="I2087" s="1" t="b">
        <f>IF(B2087="",FALSE,COUNTIF('従業員情報(給与以外)'!$A$4:$A$1000000,$B2087)=0)</f>
        <v>0</v>
      </c>
      <c r="J2087" s="8" t="b">
        <f t="shared" si="160"/>
        <v>1</v>
      </c>
      <c r="K2087" s="8" t="b">
        <f t="shared" si="161"/>
        <v>1</v>
      </c>
      <c r="L2087" s="8" t="b">
        <f t="shared" si="162"/>
        <v>1</v>
      </c>
      <c r="M2087" s="8" t="b">
        <f t="shared" si="163"/>
        <v>1</v>
      </c>
      <c r="N2087" s="1" t="b">
        <f t="shared" si="164"/>
        <v>1</v>
      </c>
      <c r="O2087" s="8" t="str">
        <f>IF(F2087="","",IF($F$2=入力リスト!$H$25,ROUNDDOWN(INT(F2087)+ROUNDDOWN((F2087-INT(F2087))*100,0)/60,2),F2087))</f>
        <v/>
      </c>
      <c r="P2087" s="7"/>
      <c r="Q2087" s="7"/>
    </row>
    <row r="2088" spans="1:17">
      <c r="A2088" s="105"/>
      <c r="B2088" s="2"/>
      <c r="C2088" s="3"/>
      <c r="D2088" s="3"/>
      <c r="E2088" s="3"/>
      <c r="F2088" s="8"/>
      <c r="G2088" s="215" t="str">
        <f>IF(AND($B2088="",OR(B2088&lt;&gt;"",C2088&lt;&gt;"",D2088&lt;&gt;"",E2088&lt;&gt;"",F2088&lt;&gt;"")),入力リスト!$K$34,IF($I2088=TRUE,入力リスト!$K$35,IF(J2088=FALSE,"「毎月の固定給与額」","")&amp;IF(AND(J2088=FALSE,OR(K2088=FALSE,L2088=FALSE,M2088=FALSE)),",","")&amp;IF(K2088=FALSE,"「賞与額等」","")&amp;IF(AND(K2088=FALSE,OR(L2088=FALSE,M2088=FALSE)),",","")&amp;IF(L2088=FALSE,"「残業手当」","")&amp;IF(AND(L2088=FALSE,M2088=FALSE),",","")&amp;IF(M2088=FALSE,"「残業時間」","")&amp;IF(OR(J2088=FALSE,K2088=FALSE,L2088=FALSE,M2088=FALSE),入力リスト!$K$36,"")&amp;IF(N2088,"",入力リスト!$K$37)))</f>
        <v/>
      </c>
      <c r="H2088" s="215"/>
      <c r="I2088" s="1" t="b">
        <f>IF(B2088="",FALSE,COUNTIF('従業員情報(給与以外)'!$A$4:$A$1000000,$B2088)=0)</f>
        <v>0</v>
      </c>
      <c r="J2088" s="8" t="b">
        <f t="shared" si="160"/>
        <v>1</v>
      </c>
      <c r="K2088" s="8" t="b">
        <f t="shared" si="161"/>
        <v>1</v>
      </c>
      <c r="L2088" s="8" t="b">
        <f t="shared" si="162"/>
        <v>1</v>
      </c>
      <c r="M2088" s="8" t="b">
        <f t="shared" si="163"/>
        <v>1</v>
      </c>
      <c r="N2088" s="1" t="b">
        <f t="shared" si="164"/>
        <v>1</v>
      </c>
      <c r="O2088" s="8" t="str">
        <f>IF(F2088="","",IF($F$2=入力リスト!$H$25,ROUNDDOWN(INT(F2088)+ROUNDDOWN((F2088-INT(F2088))*100,0)/60,2),F2088))</f>
        <v/>
      </c>
      <c r="P2088" s="7"/>
      <c r="Q2088" s="7"/>
    </row>
    <row r="2089" spans="1:17">
      <c r="A2089" s="105"/>
      <c r="B2089" s="2"/>
      <c r="C2089" s="3"/>
      <c r="D2089" s="3"/>
      <c r="E2089" s="3"/>
      <c r="F2089" s="8"/>
      <c r="G2089" s="215" t="str">
        <f>IF(AND($B2089="",OR(B2089&lt;&gt;"",C2089&lt;&gt;"",D2089&lt;&gt;"",E2089&lt;&gt;"",F2089&lt;&gt;"")),入力リスト!$K$34,IF($I2089=TRUE,入力リスト!$K$35,IF(J2089=FALSE,"「毎月の固定給与額」","")&amp;IF(AND(J2089=FALSE,OR(K2089=FALSE,L2089=FALSE,M2089=FALSE)),",","")&amp;IF(K2089=FALSE,"「賞与額等」","")&amp;IF(AND(K2089=FALSE,OR(L2089=FALSE,M2089=FALSE)),",","")&amp;IF(L2089=FALSE,"「残業手当」","")&amp;IF(AND(L2089=FALSE,M2089=FALSE),",","")&amp;IF(M2089=FALSE,"「残業時間」","")&amp;IF(OR(J2089=FALSE,K2089=FALSE,L2089=FALSE,M2089=FALSE),入力リスト!$K$36,"")&amp;IF(N2089,"",入力リスト!$K$37)))</f>
        <v/>
      </c>
      <c r="H2089" s="215"/>
      <c r="I2089" s="1" t="b">
        <f>IF(B2089="",FALSE,COUNTIF('従業員情報(給与以外)'!$A$4:$A$1000000,$B2089)=0)</f>
        <v>0</v>
      </c>
      <c r="J2089" s="8" t="b">
        <f t="shared" si="160"/>
        <v>1</v>
      </c>
      <c r="K2089" s="8" t="b">
        <f t="shared" si="161"/>
        <v>1</v>
      </c>
      <c r="L2089" s="8" t="b">
        <f t="shared" si="162"/>
        <v>1</v>
      </c>
      <c r="M2089" s="8" t="b">
        <f t="shared" si="163"/>
        <v>1</v>
      </c>
      <c r="N2089" s="1" t="b">
        <f t="shared" si="164"/>
        <v>1</v>
      </c>
      <c r="O2089" s="8" t="str">
        <f>IF(F2089="","",IF($F$2=入力リスト!$H$25,ROUNDDOWN(INT(F2089)+ROUNDDOWN((F2089-INT(F2089))*100,0)/60,2),F2089))</f>
        <v/>
      </c>
      <c r="P2089" s="7"/>
      <c r="Q2089" s="7"/>
    </row>
    <row r="2090" spans="1:17">
      <c r="A2090" s="105"/>
      <c r="B2090" s="2"/>
      <c r="C2090" s="3"/>
      <c r="D2090" s="3"/>
      <c r="E2090" s="3"/>
      <c r="F2090" s="8"/>
      <c r="G2090" s="215" t="str">
        <f>IF(AND($B2090="",OR(B2090&lt;&gt;"",C2090&lt;&gt;"",D2090&lt;&gt;"",E2090&lt;&gt;"",F2090&lt;&gt;"")),入力リスト!$K$34,IF($I2090=TRUE,入力リスト!$K$35,IF(J2090=FALSE,"「毎月の固定給与額」","")&amp;IF(AND(J2090=FALSE,OR(K2090=FALSE,L2090=FALSE,M2090=FALSE)),",","")&amp;IF(K2090=FALSE,"「賞与額等」","")&amp;IF(AND(K2090=FALSE,OR(L2090=FALSE,M2090=FALSE)),",","")&amp;IF(L2090=FALSE,"「残業手当」","")&amp;IF(AND(L2090=FALSE,M2090=FALSE),",","")&amp;IF(M2090=FALSE,"「残業時間」","")&amp;IF(OR(J2090=FALSE,K2090=FALSE,L2090=FALSE,M2090=FALSE),入力リスト!$K$36,"")&amp;IF(N2090,"",入力リスト!$K$37)))</f>
        <v/>
      </c>
      <c r="H2090" s="215"/>
      <c r="I2090" s="1" t="b">
        <f>IF(B2090="",FALSE,COUNTIF('従業員情報(給与以外)'!$A$4:$A$1000000,$B2090)=0)</f>
        <v>0</v>
      </c>
      <c r="J2090" s="8" t="b">
        <f t="shared" si="160"/>
        <v>1</v>
      </c>
      <c r="K2090" s="8" t="b">
        <f t="shared" si="161"/>
        <v>1</v>
      </c>
      <c r="L2090" s="8" t="b">
        <f t="shared" si="162"/>
        <v>1</v>
      </c>
      <c r="M2090" s="8" t="b">
        <f t="shared" si="163"/>
        <v>1</v>
      </c>
      <c r="N2090" s="1" t="b">
        <f t="shared" si="164"/>
        <v>1</v>
      </c>
      <c r="O2090" s="8" t="str">
        <f>IF(F2090="","",IF($F$2=入力リスト!$H$25,ROUNDDOWN(INT(F2090)+ROUNDDOWN((F2090-INT(F2090))*100,0)/60,2),F2090))</f>
        <v/>
      </c>
      <c r="P2090" s="7"/>
      <c r="Q2090" s="7"/>
    </row>
    <row r="2091" spans="1:17">
      <c r="A2091" s="105"/>
      <c r="B2091" s="2"/>
      <c r="C2091" s="3"/>
      <c r="D2091" s="3"/>
      <c r="E2091" s="3"/>
      <c r="F2091" s="8"/>
      <c r="G2091" s="215" t="str">
        <f>IF(AND($B2091="",OR(B2091&lt;&gt;"",C2091&lt;&gt;"",D2091&lt;&gt;"",E2091&lt;&gt;"",F2091&lt;&gt;"")),入力リスト!$K$34,IF($I2091=TRUE,入力リスト!$K$35,IF(J2091=FALSE,"「毎月の固定給与額」","")&amp;IF(AND(J2091=FALSE,OR(K2091=FALSE,L2091=FALSE,M2091=FALSE)),",","")&amp;IF(K2091=FALSE,"「賞与額等」","")&amp;IF(AND(K2091=FALSE,OR(L2091=FALSE,M2091=FALSE)),",","")&amp;IF(L2091=FALSE,"「残業手当」","")&amp;IF(AND(L2091=FALSE,M2091=FALSE),",","")&amp;IF(M2091=FALSE,"「残業時間」","")&amp;IF(OR(J2091=FALSE,K2091=FALSE,L2091=FALSE,M2091=FALSE),入力リスト!$K$36,"")&amp;IF(N2091,"",入力リスト!$K$37)))</f>
        <v/>
      </c>
      <c r="H2091" s="215"/>
      <c r="I2091" s="1" t="b">
        <f>IF(B2091="",FALSE,COUNTIF('従業員情報(給与以外)'!$A$4:$A$1000000,$B2091)=0)</f>
        <v>0</v>
      </c>
      <c r="J2091" s="8" t="b">
        <f t="shared" si="160"/>
        <v>1</v>
      </c>
      <c r="K2091" s="8" t="b">
        <f t="shared" si="161"/>
        <v>1</v>
      </c>
      <c r="L2091" s="8" t="b">
        <f t="shared" si="162"/>
        <v>1</v>
      </c>
      <c r="M2091" s="8" t="b">
        <f t="shared" si="163"/>
        <v>1</v>
      </c>
      <c r="N2091" s="1" t="b">
        <f t="shared" si="164"/>
        <v>1</v>
      </c>
      <c r="O2091" s="8" t="str">
        <f>IF(F2091="","",IF($F$2=入力リスト!$H$25,ROUNDDOWN(INT(F2091)+ROUNDDOWN((F2091-INT(F2091))*100,0)/60,2),F2091))</f>
        <v/>
      </c>
      <c r="P2091" s="7"/>
      <c r="Q2091" s="7"/>
    </row>
    <row r="2092" spans="1:17">
      <c r="A2092" s="105"/>
      <c r="B2092" s="2"/>
      <c r="C2092" s="3"/>
      <c r="D2092" s="3"/>
      <c r="E2092" s="3"/>
      <c r="F2092" s="8"/>
      <c r="G2092" s="215" t="str">
        <f>IF(AND($B2092="",OR(B2092&lt;&gt;"",C2092&lt;&gt;"",D2092&lt;&gt;"",E2092&lt;&gt;"",F2092&lt;&gt;"")),入力リスト!$K$34,IF($I2092=TRUE,入力リスト!$K$35,IF(J2092=FALSE,"「毎月の固定給与額」","")&amp;IF(AND(J2092=FALSE,OR(K2092=FALSE,L2092=FALSE,M2092=FALSE)),",","")&amp;IF(K2092=FALSE,"「賞与額等」","")&amp;IF(AND(K2092=FALSE,OR(L2092=FALSE,M2092=FALSE)),",","")&amp;IF(L2092=FALSE,"「残業手当」","")&amp;IF(AND(L2092=FALSE,M2092=FALSE),",","")&amp;IF(M2092=FALSE,"「残業時間」","")&amp;IF(OR(J2092=FALSE,K2092=FALSE,L2092=FALSE,M2092=FALSE),入力リスト!$K$36,"")&amp;IF(N2092,"",入力リスト!$K$37)))</f>
        <v/>
      </c>
      <c r="H2092" s="215"/>
      <c r="I2092" s="1" t="b">
        <f>IF(B2092="",FALSE,COUNTIF('従業員情報(給与以外)'!$A$4:$A$1000000,$B2092)=0)</f>
        <v>0</v>
      </c>
      <c r="J2092" s="8" t="b">
        <f t="shared" si="160"/>
        <v>1</v>
      </c>
      <c r="K2092" s="8" t="b">
        <f t="shared" si="161"/>
        <v>1</v>
      </c>
      <c r="L2092" s="8" t="b">
        <f t="shared" si="162"/>
        <v>1</v>
      </c>
      <c r="M2092" s="8" t="b">
        <f t="shared" si="163"/>
        <v>1</v>
      </c>
      <c r="N2092" s="1" t="b">
        <f t="shared" si="164"/>
        <v>1</v>
      </c>
      <c r="O2092" s="8" t="str">
        <f>IF(F2092="","",IF($F$2=入力リスト!$H$25,ROUNDDOWN(INT(F2092)+ROUNDDOWN((F2092-INT(F2092))*100,0)/60,2),F2092))</f>
        <v/>
      </c>
      <c r="P2092" s="7"/>
      <c r="Q2092" s="7"/>
    </row>
    <row r="2093" spans="1:17">
      <c r="A2093" s="105"/>
      <c r="B2093" s="2"/>
      <c r="C2093" s="3"/>
      <c r="D2093" s="3"/>
      <c r="E2093" s="3"/>
      <c r="F2093" s="8"/>
      <c r="G2093" s="215" t="str">
        <f>IF(AND($B2093="",OR(B2093&lt;&gt;"",C2093&lt;&gt;"",D2093&lt;&gt;"",E2093&lt;&gt;"",F2093&lt;&gt;"")),入力リスト!$K$34,IF($I2093=TRUE,入力リスト!$K$35,IF(J2093=FALSE,"「毎月の固定給与額」","")&amp;IF(AND(J2093=FALSE,OR(K2093=FALSE,L2093=FALSE,M2093=FALSE)),",","")&amp;IF(K2093=FALSE,"「賞与額等」","")&amp;IF(AND(K2093=FALSE,OR(L2093=FALSE,M2093=FALSE)),",","")&amp;IF(L2093=FALSE,"「残業手当」","")&amp;IF(AND(L2093=FALSE,M2093=FALSE),",","")&amp;IF(M2093=FALSE,"「残業時間」","")&amp;IF(OR(J2093=FALSE,K2093=FALSE,L2093=FALSE,M2093=FALSE),入力リスト!$K$36,"")&amp;IF(N2093,"",入力リスト!$K$37)))</f>
        <v/>
      </c>
      <c r="H2093" s="215"/>
      <c r="I2093" s="1" t="b">
        <f>IF(B2093="",FALSE,COUNTIF('従業員情報(給与以外)'!$A$4:$A$1000000,$B2093)=0)</f>
        <v>0</v>
      </c>
      <c r="J2093" s="8" t="b">
        <f t="shared" si="160"/>
        <v>1</v>
      </c>
      <c r="K2093" s="8" t="b">
        <f t="shared" si="161"/>
        <v>1</v>
      </c>
      <c r="L2093" s="8" t="b">
        <f t="shared" si="162"/>
        <v>1</v>
      </c>
      <c r="M2093" s="8" t="b">
        <f t="shared" si="163"/>
        <v>1</v>
      </c>
      <c r="N2093" s="1" t="b">
        <f t="shared" si="164"/>
        <v>1</v>
      </c>
      <c r="O2093" s="8" t="str">
        <f>IF(F2093="","",IF($F$2=入力リスト!$H$25,ROUNDDOWN(INT(F2093)+ROUNDDOWN((F2093-INT(F2093))*100,0)/60,2),F2093))</f>
        <v/>
      </c>
      <c r="P2093" s="7"/>
      <c r="Q2093" s="7"/>
    </row>
    <row r="2094" spans="1:17">
      <c r="A2094" s="105"/>
      <c r="B2094" s="2"/>
      <c r="C2094" s="3"/>
      <c r="D2094" s="3"/>
      <c r="E2094" s="3"/>
      <c r="F2094" s="8"/>
      <c r="G2094" s="215" t="str">
        <f>IF(AND($B2094="",OR(B2094&lt;&gt;"",C2094&lt;&gt;"",D2094&lt;&gt;"",E2094&lt;&gt;"",F2094&lt;&gt;"")),入力リスト!$K$34,IF($I2094=TRUE,入力リスト!$K$35,IF(J2094=FALSE,"「毎月の固定給与額」","")&amp;IF(AND(J2094=FALSE,OR(K2094=FALSE,L2094=FALSE,M2094=FALSE)),",","")&amp;IF(K2094=FALSE,"「賞与額等」","")&amp;IF(AND(K2094=FALSE,OR(L2094=FALSE,M2094=FALSE)),",","")&amp;IF(L2094=FALSE,"「残業手当」","")&amp;IF(AND(L2094=FALSE,M2094=FALSE),",","")&amp;IF(M2094=FALSE,"「残業時間」","")&amp;IF(OR(J2094=FALSE,K2094=FALSE,L2094=FALSE,M2094=FALSE),入力リスト!$K$36,"")&amp;IF(N2094,"",入力リスト!$K$37)))</f>
        <v/>
      </c>
      <c r="H2094" s="215"/>
      <c r="I2094" s="1" t="b">
        <f>IF(B2094="",FALSE,COUNTIF('従業員情報(給与以外)'!$A$4:$A$1000000,$B2094)=0)</f>
        <v>0</v>
      </c>
      <c r="J2094" s="8" t="b">
        <f t="shared" si="160"/>
        <v>1</v>
      </c>
      <c r="K2094" s="8" t="b">
        <f t="shared" si="161"/>
        <v>1</v>
      </c>
      <c r="L2094" s="8" t="b">
        <f t="shared" si="162"/>
        <v>1</v>
      </c>
      <c r="M2094" s="8" t="b">
        <f t="shared" si="163"/>
        <v>1</v>
      </c>
      <c r="N2094" s="1" t="b">
        <f t="shared" si="164"/>
        <v>1</v>
      </c>
      <c r="O2094" s="8" t="str">
        <f>IF(F2094="","",IF($F$2=入力リスト!$H$25,ROUNDDOWN(INT(F2094)+ROUNDDOWN((F2094-INT(F2094))*100,0)/60,2),F2094))</f>
        <v/>
      </c>
      <c r="P2094" s="7"/>
      <c r="Q2094" s="7"/>
    </row>
    <row r="2095" spans="1:17">
      <c r="A2095" s="105"/>
      <c r="B2095" s="2"/>
      <c r="C2095" s="3"/>
      <c r="D2095" s="3"/>
      <c r="E2095" s="3"/>
      <c r="F2095" s="8"/>
      <c r="G2095" s="215" t="str">
        <f>IF(AND($B2095="",OR(B2095&lt;&gt;"",C2095&lt;&gt;"",D2095&lt;&gt;"",E2095&lt;&gt;"",F2095&lt;&gt;"")),入力リスト!$K$34,IF($I2095=TRUE,入力リスト!$K$35,IF(J2095=FALSE,"「毎月の固定給与額」","")&amp;IF(AND(J2095=FALSE,OR(K2095=FALSE,L2095=FALSE,M2095=FALSE)),",","")&amp;IF(K2095=FALSE,"「賞与額等」","")&amp;IF(AND(K2095=FALSE,OR(L2095=FALSE,M2095=FALSE)),",","")&amp;IF(L2095=FALSE,"「残業手当」","")&amp;IF(AND(L2095=FALSE,M2095=FALSE),",","")&amp;IF(M2095=FALSE,"「残業時間」","")&amp;IF(OR(J2095=FALSE,K2095=FALSE,L2095=FALSE,M2095=FALSE),入力リスト!$K$36,"")&amp;IF(N2095,"",入力リスト!$K$37)))</f>
        <v/>
      </c>
      <c r="H2095" s="215"/>
      <c r="I2095" s="1" t="b">
        <f>IF(B2095="",FALSE,COUNTIF('従業員情報(給与以外)'!$A$4:$A$1000000,$B2095)=0)</f>
        <v>0</v>
      </c>
      <c r="J2095" s="8" t="b">
        <f t="shared" si="160"/>
        <v>1</v>
      </c>
      <c r="K2095" s="8" t="b">
        <f t="shared" si="161"/>
        <v>1</v>
      </c>
      <c r="L2095" s="8" t="b">
        <f t="shared" si="162"/>
        <v>1</v>
      </c>
      <c r="M2095" s="8" t="b">
        <f t="shared" si="163"/>
        <v>1</v>
      </c>
      <c r="N2095" s="1" t="b">
        <f t="shared" si="164"/>
        <v>1</v>
      </c>
      <c r="O2095" s="8" t="str">
        <f>IF(F2095="","",IF($F$2=入力リスト!$H$25,ROUNDDOWN(INT(F2095)+ROUNDDOWN((F2095-INT(F2095))*100,0)/60,2),F2095))</f>
        <v/>
      </c>
      <c r="P2095" s="7"/>
      <c r="Q2095" s="7"/>
    </row>
    <row r="2096" spans="1:17">
      <c r="A2096" s="105"/>
      <c r="B2096" s="2"/>
      <c r="C2096" s="3"/>
      <c r="D2096" s="3"/>
      <c r="E2096" s="3"/>
      <c r="F2096" s="8"/>
      <c r="G2096" s="215" t="str">
        <f>IF(AND($B2096="",OR(B2096&lt;&gt;"",C2096&lt;&gt;"",D2096&lt;&gt;"",E2096&lt;&gt;"",F2096&lt;&gt;"")),入力リスト!$K$34,IF($I2096=TRUE,入力リスト!$K$35,IF(J2096=FALSE,"「毎月の固定給与額」","")&amp;IF(AND(J2096=FALSE,OR(K2096=FALSE,L2096=FALSE,M2096=FALSE)),",","")&amp;IF(K2096=FALSE,"「賞与額等」","")&amp;IF(AND(K2096=FALSE,OR(L2096=FALSE,M2096=FALSE)),",","")&amp;IF(L2096=FALSE,"「残業手当」","")&amp;IF(AND(L2096=FALSE,M2096=FALSE),",","")&amp;IF(M2096=FALSE,"「残業時間」","")&amp;IF(OR(J2096=FALSE,K2096=FALSE,L2096=FALSE,M2096=FALSE),入力リスト!$K$36,"")&amp;IF(N2096,"",入力リスト!$K$37)))</f>
        <v/>
      </c>
      <c r="H2096" s="215"/>
      <c r="I2096" s="1" t="b">
        <f>IF(B2096="",FALSE,COUNTIF('従業員情報(給与以外)'!$A$4:$A$1000000,$B2096)=0)</f>
        <v>0</v>
      </c>
      <c r="J2096" s="8" t="b">
        <f t="shared" si="160"/>
        <v>1</v>
      </c>
      <c r="K2096" s="8" t="b">
        <f t="shared" si="161"/>
        <v>1</v>
      </c>
      <c r="L2096" s="8" t="b">
        <f t="shared" si="162"/>
        <v>1</v>
      </c>
      <c r="M2096" s="8" t="b">
        <f t="shared" si="163"/>
        <v>1</v>
      </c>
      <c r="N2096" s="1" t="b">
        <f t="shared" si="164"/>
        <v>1</v>
      </c>
      <c r="O2096" s="8" t="str">
        <f>IF(F2096="","",IF($F$2=入力リスト!$H$25,ROUNDDOWN(INT(F2096)+ROUNDDOWN((F2096-INT(F2096))*100,0)/60,2),F2096))</f>
        <v/>
      </c>
      <c r="P2096" s="7"/>
      <c r="Q2096" s="7"/>
    </row>
    <row r="2097" spans="1:17">
      <c r="A2097" s="105"/>
      <c r="B2097" s="2"/>
      <c r="C2097" s="3"/>
      <c r="D2097" s="3"/>
      <c r="E2097" s="3"/>
      <c r="F2097" s="8"/>
      <c r="G2097" s="215" t="str">
        <f>IF(AND($B2097="",OR(B2097&lt;&gt;"",C2097&lt;&gt;"",D2097&lt;&gt;"",E2097&lt;&gt;"",F2097&lt;&gt;"")),入力リスト!$K$34,IF($I2097=TRUE,入力リスト!$K$35,IF(J2097=FALSE,"「毎月の固定給与額」","")&amp;IF(AND(J2097=FALSE,OR(K2097=FALSE,L2097=FALSE,M2097=FALSE)),",","")&amp;IF(K2097=FALSE,"「賞与額等」","")&amp;IF(AND(K2097=FALSE,OR(L2097=FALSE,M2097=FALSE)),",","")&amp;IF(L2097=FALSE,"「残業手当」","")&amp;IF(AND(L2097=FALSE,M2097=FALSE),",","")&amp;IF(M2097=FALSE,"「残業時間」","")&amp;IF(OR(J2097=FALSE,K2097=FALSE,L2097=FALSE,M2097=FALSE),入力リスト!$K$36,"")&amp;IF(N2097,"",入力リスト!$K$37)))</f>
        <v/>
      </c>
      <c r="H2097" s="215"/>
      <c r="I2097" s="1" t="b">
        <f>IF(B2097="",FALSE,COUNTIF('従業員情報(給与以外)'!$A$4:$A$1000000,$B2097)=0)</f>
        <v>0</v>
      </c>
      <c r="J2097" s="8" t="b">
        <f t="shared" si="160"/>
        <v>1</v>
      </c>
      <c r="K2097" s="8" t="b">
        <f t="shared" si="161"/>
        <v>1</v>
      </c>
      <c r="L2097" s="8" t="b">
        <f t="shared" si="162"/>
        <v>1</v>
      </c>
      <c r="M2097" s="8" t="b">
        <f t="shared" si="163"/>
        <v>1</v>
      </c>
      <c r="N2097" s="1" t="b">
        <f t="shared" si="164"/>
        <v>1</v>
      </c>
      <c r="O2097" s="8" t="str">
        <f>IF(F2097="","",IF($F$2=入力リスト!$H$25,ROUNDDOWN(INT(F2097)+ROUNDDOWN((F2097-INT(F2097))*100,0)/60,2),F2097))</f>
        <v/>
      </c>
      <c r="P2097" s="7"/>
      <c r="Q2097" s="7"/>
    </row>
    <row r="2098" spans="1:17">
      <c r="A2098" s="105"/>
      <c r="B2098" s="2"/>
      <c r="C2098" s="3"/>
      <c r="D2098" s="3"/>
      <c r="E2098" s="3"/>
      <c r="F2098" s="8"/>
      <c r="G2098" s="215" t="str">
        <f>IF(AND($B2098="",OR(B2098&lt;&gt;"",C2098&lt;&gt;"",D2098&lt;&gt;"",E2098&lt;&gt;"",F2098&lt;&gt;"")),入力リスト!$K$34,IF($I2098=TRUE,入力リスト!$K$35,IF(J2098=FALSE,"「毎月の固定給与額」","")&amp;IF(AND(J2098=FALSE,OR(K2098=FALSE,L2098=FALSE,M2098=FALSE)),",","")&amp;IF(K2098=FALSE,"「賞与額等」","")&amp;IF(AND(K2098=FALSE,OR(L2098=FALSE,M2098=FALSE)),",","")&amp;IF(L2098=FALSE,"「残業手当」","")&amp;IF(AND(L2098=FALSE,M2098=FALSE),",","")&amp;IF(M2098=FALSE,"「残業時間」","")&amp;IF(OR(J2098=FALSE,K2098=FALSE,L2098=FALSE,M2098=FALSE),入力リスト!$K$36,"")&amp;IF(N2098,"",入力リスト!$K$37)))</f>
        <v/>
      </c>
      <c r="H2098" s="215"/>
      <c r="I2098" s="1" t="b">
        <f>IF(B2098="",FALSE,COUNTIF('従業員情報(給与以外)'!$A$4:$A$1000000,$B2098)=0)</f>
        <v>0</v>
      </c>
      <c r="J2098" s="8" t="b">
        <f t="shared" si="160"/>
        <v>1</v>
      </c>
      <c r="K2098" s="8" t="b">
        <f t="shared" si="161"/>
        <v>1</v>
      </c>
      <c r="L2098" s="8" t="b">
        <f t="shared" si="162"/>
        <v>1</v>
      </c>
      <c r="M2098" s="8" t="b">
        <f t="shared" si="163"/>
        <v>1</v>
      </c>
      <c r="N2098" s="1" t="b">
        <f t="shared" si="164"/>
        <v>1</v>
      </c>
      <c r="O2098" s="8" t="str">
        <f>IF(F2098="","",IF($F$2=入力リスト!$H$25,ROUNDDOWN(INT(F2098)+ROUNDDOWN((F2098-INT(F2098))*100,0)/60,2),F2098))</f>
        <v/>
      </c>
      <c r="P2098" s="7"/>
      <c r="Q2098" s="7"/>
    </row>
    <row r="2099" spans="1:17">
      <c r="A2099" s="105"/>
      <c r="B2099" s="2"/>
      <c r="C2099" s="3"/>
      <c r="D2099" s="3"/>
      <c r="E2099" s="3"/>
      <c r="F2099" s="8"/>
      <c r="G2099" s="215" t="str">
        <f>IF(AND($B2099="",OR(B2099&lt;&gt;"",C2099&lt;&gt;"",D2099&lt;&gt;"",E2099&lt;&gt;"",F2099&lt;&gt;"")),入力リスト!$K$34,IF($I2099=TRUE,入力リスト!$K$35,IF(J2099=FALSE,"「毎月の固定給与額」","")&amp;IF(AND(J2099=FALSE,OR(K2099=FALSE,L2099=FALSE,M2099=FALSE)),",","")&amp;IF(K2099=FALSE,"「賞与額等」","")&amp;IF(AND(K2099=FALSE,OR(L2099=FALSE,M2099=FALSE)),",","")&amp;IF(L2099=FALSE,"「残業手当」","")&amp;IF(AND(L2099=FALSE,M2099=FALSE),",","")&amp;IF(M2099=FALSE,"「残業時間」","")&amp;IF(OR(J2099=FALSE,K2099=FALSE,L2099=FALSE,M2099=FALSE),入力リスト!$K$36,"")&amp;IF(N2099,"",入力リスト!$K$37)))</f>
        <v/>
      </c>
      <c r="H2099" s="215"/>
      <c r="I2099" s="1" t="b">
        <f>IF(B2099="",FALSE,COUNTIF('従業員情報(給与以外)'!$A$4:$A$1000000,$B2099)=0)</f>
        <v>0</v>
      </c>
      <c r="J2099" s="8" t="b">
        <f t="shared" si="160"/>
        <v>1</v>
      </c>
      <c r="K2099" s="8" t="b">
        <f t="shared" si="161"/>
        <v>1</v>
      </c>
      <c r="L2099" s="8" t="b">
        <f t="shared" si="162"/>
        <v>1</v>
      </c>
      <c r="M2099" s="8" t="b">
        <f t="shared" si="163"/>
        <v>1</v>
      </c>
      <c r="N2099" s="1" t="b">
        <f t="shared" si="164"/>
        <v>1</v>
      </c>
      <c r="O2099" s="8" t="str">
        <f>IF(F2099="","",IF($F$2=入力リスト!$H$25,ROUNDDOWN(INT(F2099)+ROUNDDOWN((F2099-INT(F2099))*100,0)/60,2),F2099))</f>
        <v/>
      </c>
      <c r="P2099" s="7"/>
      <c r="Q2099" s="7"/>
    </row>
    <row r="2100" spans="1:17">
      <c r="A2100" s="105"/>
      <c r="B2100" s="2"/>
      <c r="C2100" s="3"/>
      <c r="D2100" s="3"/>
      <c r="E2100" s="3"/>
      <c r="F2100" s="8"/>
      <c r="G2100" s="215" t="str">
        <f>IF(AND($B2100="",OR(B2100&lt;&gt;"",C2100&lt;&gt;"",D2100&lt;&gt;"",E2100&lt;&gt;"",F2100&lt;&gt;"")),入力リスト!$K$34,IF($I2100=TRUE,入力リスト!$K$35,IF(J2100=FALSE,"「毎月の固定給与額」","")&amp;IF(AND(J2100=FALSE,OR(K2100=FALSE,L2100=FALSE,M2100=FALSE)),",","")&amp;IF(K2100=FALSE,"「賞与額等」","")&amp;IF(AND(K2100=FALSE,OR(L2100=FALSE,M2100=FALSE)),",","")&amp;IF(L2100=FALSE,"「残業手当」","")&amp;IF(AND(L2100=FALSE,M2100=FALSE),",","")&amp;IF(M2100=FALSE,"「残業時間」","")&amp;IF(OR(J2100=FALSE,K2100=FALSE,L2100=FALSE,M2100=FALSE),入力リスト!$K$36,"")&amp;IF(N2100,"",入力リスト!$K$37)))</f>
        <v/>
      </c>
      <c r="H2100" s="215"/>
      <c r="I2100" s="1" t="b">
        <f>IF(B2100="",FALSE,COUNTIF('従業員情報(給与以外)'!$A$4:$A$1000000,$B2100)=0)</f>
        <v>0</v>
      </c>
      <c r="J2100" s="8" t="b">
        <f t="shared" si="160"/>
        <v>1</v>
      </c>
      <c r="K2100" s="8" t="b">
        <f t="shared" si="161"/>
        <v>1</v>
      </c>
      <c r="L2100" s="8" t="b">
        <f t="shared" si="162"/>
        <v>1</v>
      </c>
      <c r="M2100" s="8" t="b">
        <f t="shared" si="163"/>
        <v>1</v>
      </c>
      <c r="N2100" s="1" t="b">
        <f t="shared" si="164"/>
        <v>1</v>
      </c>
      <c r="O2100" s="8" t="str">
        <f>IF(F2100="","",IF($F$2=入力リスト!$H$25,ROUNDDOWN(INT(F2100)+ROUNDDOWN((F2100-INT(F2100))*100,0)/60,2),F2100))</f>
        <v/>
      </c>
      <c r="P2100" s="7"/>
      <c r="Q2100" s="7"/>
    </row>
    <row r="2101" spans="1:17">
      <c r="A2101" s="105"/>
      <c r="B2101" s="2"/>
      <c r="C2101" s="3"/>
      <c r="D2101" s="3"/>
      <c r="E2101" s="3"/>
      <c r="F2101" s="8"/>
      <c r="G2101" s="215" t="str">
        <f>IF(AND($B2101="",OR(B2101&lt;&gt;"",C2101&lt;&gt;"",D2101&lt;&gt;"",E2101&lt;&gt;"",F2101&lt;&gt;"")),入力リスト!$K$34,IF($I2101=TRUE,入力リスト!$K$35,IF(J2101=FALSE,"「毎月の固定給与額」","")&amp;IF(AND(J2101=FALSE,OR(K2101=FALSE,L2101=FALSE,M2101=FALSE)),",","")&amp;IF(K2101=FALSE,"「賞与額等」","")&amp;IF(AND(K2101=FALSE,OR(L2101=FALSE,M2101=FALSE)),",","")&amp;IF(L2101=FALSE,"「残業手当」","")&amp;IF(AND(L2101=FALSE,M2101=FALSE),",","")&amp;IF(M2101=FALSE,"「残業時間」","")&amp;IF(OR(J2101=FALSE,K2101=FALSE,L2101=FALSE,M2101=FALSE),入力リスト!$K$36,"")&amp;IF(N2101,"",入力リスト!$K$37)))</f>
        <v/>
      </c>
      <c r="H2101" s="215"/>
      <c r="I2101" s="1" t="b">
        <f>IF(B2101="",FALSE,COUNTIF('従業員情報(給与以外)'!$A$4:$A$1000000,$B2101)=0)</f>
        <v>0</v>
      </c>
      <c r="J2101" s="8" t="b">
        <f t="shared" si="160"/>
        <v>1</v>
      </c>
      <c r="K2101" s="8" t="b">
        <f t="shared" si="161"/>
        <v>1</v>
      </c>
      <c r="L2101" s="8" t="b">
        <f t="shared" si="162"/>
        <v>1</v>
      </c>
      <c r="M2101" s="8" t="b">
        <f t="shared" si="163"/>
        <v>1</v>
      </c>
      <c r="N2101" s="1" t="b">
        <f t="shared" si="164"/>
        <v>1</v>
      </c>
      <c r="O2101" s="8" t="str">
        <f>IF(F2101="","",IF($F$2=入力リスト!$H$25,ROUNDDOWN(INT(F2101)+ROUNDDOWN((F2101-INT(F2101))*100,0)/60,2),F2101))</f>
        <v/>
      </c>
      <c r="P2101" s="7"/>
      <c r="Q2101" s="7"/>
    </row>
    <row r="2102" spans="1:17">
      <c r="A2102" s="105"/>
      <c r="B2102" s="2"/>
      <c r="C2102" s="3"/>
      <c r="D2102" s="3"/>
      <c r="E2102" s="3"/>
      <c r="F2102" s="8"/>
      <c r="G2102" s="215" t="str">
        <f>IF(AND($B2102="",OR(B2102&lt;&gt;"",C2102&lt;&gt;"",D2102&lt;&gt;"",E2102&lt;&gt;"",F2102&lt;&gt;"")),入力リスト!$K$34,IF($I2102=TRUE,入力リスト!$K$35,IF(J2102=FALSE,"「毎月の固定給与額」","")&amp;IF(AND(J2102=FALSE,OR(K2102=FALSE,L2102=FALSE,M2102=FALSE)),",","")&amp;IF(K2102=FALSE,"「賞与額等」","")&amp;IF(AND(K2102=FALSE,OR(L2102=FALSE,M2102=FALSE)),",","")&amp;IF(L2102=FALSE,"「残業手当」","")&amp;IF(AND(L2102=FALSE,M2102=FALSE),",","")&amp;IF(M2102=FALSE,"「残業時間」","")&amp;IF(OR(J2102=FALSE,K2102=FALSE,L2102=FALSE,M2102=FALSE),入力リスト!$K$36,"")&amp;IF(N2102,"",入力リスト!$K$37)))</f>
        <v/>
      </c>
      <c r="H2102" s="215"/>
      <c r="I2102" s="1" t="b">
        <f>IF(B2102="",FALSE,COUNTIF('従業員情報(給与以外)'!$A$4:$A$1000000,$B2102)=0)</f>
        <v>0</v>
      </c>
      <c r="J2102" s="8" t="b">
        <f t="shared" si="160"/>
        <v>1</v>
      </c>
      <c r="K2102" s="8" t="b">
        <f t="shared" si="161"/>
        <v>1</v>
      </c>
      <c r="L2102" s="8" t="b">
        <f t="shared" si="162"/>
        <v>1</v>
      </c>
      <c r="M2102" s="8" t="b">
        <f t="shared" si="163"/>
        <v>1</v>
      </c>
      <c r="N2102" s="1" t="b">
        <f t="shared" si="164"/>
        <v>1</v>
      </c>
      <c r="O2102" s="8" t="str">
        <f>IF(F2102="","",IF($F$2=入力リスト!$H$25,ROUNDDOWN(INT(F2102)+ROUNDDOWN((F2102-INT(F2102))*100,0)/60,2),F2102))</f>
        <v/>
      </c>
      <c r="P2102" s="7"/>
      <c r="Q2102" s="7"/>
    </row>
    <row r="2103" spans="1:17">
      <c r="A2103" s="105"/>
      <c r="B2103" s="2"/>
      <c r="C2103" s="3"/>
      <c r="D2103" s="3"/>
      <c r="E2103" s="3"/>
      <c r="F2103" s="8"/>
      <c r="G2103" s="215" t="str">
        <f>IF(AND($B2103="",OR(B2103&lt;&gt;"",C2103&lt;&gt;"",D2103&lt;&gt;"",E2103&lt;&gt;"",F2103&lt;&gt;"")),入力リスト!$K$34,IF($I2103=TRUE,入力リスト!$K$35,IF(J2103=FALSE,"「毎月の固定給与額」","")&amp;IF(AND(J2103=FALSE,OR(K2103=FALSE,L2103=FALSE,M2103=FALSE)),",","")&amp;IF(K2103=FALSE,"「賞与額等」","")&amp;IF(AND(K2103=FALSE,OR(L2103=FALSE,M2103=FALSE)),",","")&amp;IF(L2103=FALSE,"「残業手当」","")&amp;IF(AND(L2103=FALSE,M2103=FALSE),",","")&amp;IF(M2103=FALSE,"「残業時間」","")&amp;IF(OR(J2103=FALSE,K2103=FALSE,L2103=FALSE,M2103=FALSE),入力リスト!$K$36,"")&amp;IF(N2103,"",入力リスト!$K$37)))</f>
        <v/>
      </c>
      <c r="H2103" s="215"/>
      <c r="I2103" s="1" t="b">
        <f>IF(B2103="",FALSE,COUNTIF('従業員情報(給与以外)'!$A$4:$A$1000000,$B2103)=0)</f>
        <v>0</v>
      </c>
      <c r="J2103" s="8" t="b">
        <f t="shared" si="160"/>
        <v>1</v>
      </c>
      <c r="K2103" s="8" t="b">
        <f t="shared" si="161"/>
        <v>1</v>
      </c>
      <c r="L2103" s="8" t="b">
        <f t="shared" si="162"/>
        <v>1</v>
      </c>
      <c r="M2103" s="8" t="b">
        <f t="shared" si="163"/>
        <v>1</v>
      </c>
      <c r="N2103" s="1" t="b">
        <f t="shared" si="164"/>
        <v>1</v>
      </c>
      <c r="O2103" s="8" t="str">
        <f>IF(F2103="","",IF($F$2=入力リスト!$H$25,ROUNDDOWN(INT(F2103)+ROUNDDOWN((F2103-INT(F2103))*100,0)/60,2),F2103))</f>
        <v/>
      </c>
      <c r="P2103" s="7"/>
      <c r="Q2103" s="7"/>
    </row>
    <row r="2104" spans="1:17">
      <c r="A2104" s="105"/>
      <c r="B2104" s="2"/>
      <c r="C2104" s="3"/>
      <c r="D2104" s="3"/>
      <c r="E2104" s="3"/>
      <c r="F2104" s="8"/>
      <c r="G2104" s="215" t="str">
        <f>IF(AND($B2104="",OR(B2104&lt;&gt;"",C2104&lt;&gt;"",D2104&lt;&gt;"",E2104&lt;&gt;"",F2104&lt;&gt;"")),入力リスト!$K$34,IF($I2104=TRUE,入力リスト!$K$35,IF(J2104=FALSE,"「毎月の固定給与額」","")&amp;IF(AND(J2104=FALSE,OR(K2104=FALSE,L2104=FALSE,M2104=FALSE)),",","")&amp;IF(K2104=FALSE,"「賞与額等」","")&amp;IF(AND(K2104=FALSE,OR(L2104=FALSE,M2104=FALSE)),",","")&amp;IF(L2104=FALSE,"「残業手当」","")&amp;IF(AND(L2104=FALSE,M2104=FALSE),",","")&amp;IF(M2104=FALSE,"「残業時間」","")&amp;IF(OR(J2104=FALSE,K2104=FALSE,L2104=FALSE,M2104=FALSE),入力リスト!$K$36,"")&amp;IF(N2104,"",入力リスト!$K$37)))</f>
        <v/>
      </c>
      <c r="H2104" s="215"/>
      <c r="I2104" s="1" t="b">
        <f>IF(B2104="",FALSE,COUNTIF('従業員情報(給与以外)'!$A$4:$A$1000000,$B2104)=0)</f>
        <v>0</v>
      </c>
      <c r="J2104" s="8" t="b">
        <f t="shared" si="160"/>
        <v>1</v>
      </c>
      <c r="K2104" s="8" t="b">
        <f t="shared" si="161"/>
        <v>1</v>
      </c>
      <c r="L2104" s="8" t="b">
        <f t="shared" si="162"/>
        <v>1</v>
      </c>
      <c r="M2104" s="8" t="b">
        <f t="shared" si="163"/>
        <v>1</v>
      </c>
      <c r="N2104" s="1" t="b">
        <f t="shared" si="164"/>
        <v>1</v>
      </c>
      <c r="O2104" s="8" t="str">
        <f>IF(F2104="","",IF($F$2=入力リスト!$H$25,ROUNDDOWN(INT(F2104)+ROUNDDOWN((F2104-INT(F2104))*100,0)/60,2),F2104))</f>
        <v/>
      </c>
      <c r="P2104" s="7"/>
      <c r="Q2104" s="7"/>
    </row>
    <row r="2105" spans="1:17">
      <c r="A2105" s="105"/>
      <c r="B2105" s="2"/>
      <c r="C2105" s="3"/>
      <c r="D2105" s="3"/>
      <c r="E2105" s="3"/>
      <c r="F2105" s="8"/>
      <c r="G2105" s="215" t="str">
        <f>IF(AND($B2105="",OR(B2105&lt;&gt;"",C2105&lt;&gt;"",D2105&lt;&gt;"",E2105&lt;&gt;"",F2105&lt;&gt;"")),入力リスト!$K$34,IF($I2105=TRUE,入力リスト!$K$35,IF(J2105=FALSE,"「毎月の固定給与額」","")&amp;IF(AND(J2105=FALSE,OR(K2105=FALSE,L2105=FALSE,M2105=FALSE)),",","")&amp;IF(K2105=FALSE,"「賞与額等」","")&amp;IF(AND(K2105=FALSE,OR(L2105=FALSE,M2105=FALSE)),",","")&amp;IF(L2105=FALSE,"「残業手当」","")&amp;IF(AND(L2105=FALSE,M2105=FALSE),",","")&amp;IF(M2105=FALSE,"「残業時間」","")&amp;IF(OR(J2105=FALSE,K2105=FALSE,L2105=FALSE,M2105=FALSE),入力リスト!$K$36,"")&amp;IF(N2105,"",入力リスト!$K$37)))</f>
        <v/>
      </c>
      <c r="H2105" s="215"/>
      <c r="I2105" s="1" t="b">
        <f>IF(B2105="",FALSE,COUNTIF('従業員情報(給与以外)'!$A$4:$A$1000000,$B2105)=0)</f>
        <v>0</v>
      </c>
      <c r="J2105" s="8" t="b">
        <f t="shared" si="160"/>
        <v>1</v>
      </c>
      <c r="K2105" s="8" t="b">
        <f t="shared" si="161"/>
        <v>1</v>
      </c>
      <c r="L2105" s="8" t="b">
        <f t="shared" si="162"/>
        <v>1</v>
      </c>
      <c r="M2105" s="8" t="b">
        <f t="shared" si="163"/>
        <v>1</v>
      </c>
      <c r="N2105" s="1" t="b">
        <f t="shared" si="164"/>
        <v>1</v>
      </c>
      <c r="O2105" s="8" t="str">
        <f>IF(F2105="","",IF($F$2=入力リスト!$H$25,ROUNDDOWN(INT(F2105)+ROUNDDOWN((F2105-INT(F2105))*100,0)/60,2),F2105))</f>
        <v/>
      </c>
      <c r="P2105" s="7"/>
      <c r="Q2105" s="7"/>
    </row>
    <row r="2106" spans="1:17">
      <c r="A2106" s="105"/>
      <c r="B2106" s="2"/>
      <c r="C2106" s="3"/>
      <c r="D2106" s="3"/>
      <c r="E2106" s="3"/>
      <c r="F2106" s="8"/>
      <c r="G2106" s="215" t="str">
        <f>IF(AND($B2106="",OR(B2106&lt;&gt;"",C2106&lt;&gt;"",D2106&lt;&gt;"",E2106&lt;&gt;"",F2106&lt;&gt;"")),入力リスト!$K$34,IF($I2106=TRUE,入力リスト!$K$35,IF(J2106=FALSE,"「毎月の固定給与額」","")&amp;IF(AND(J2106=FALSE,OR(K2106=FALSE,L2106=FALSE,M2106=FALSE)),",","")&amp;IF(K2106=FALSE,"「賞与額等」","")&amp;IF(AND(K2106=FALSE,OR(L2106=FALSE,M2106=FALSE)),",","")&amp;IF(L2106=FALSE,"「残業手当」","")&amp;IF(AND(L2106=FALSE,M2106=FALSE),",","")&amp;IF(M2106=FALSE,"「残業時間」","")&amp;IF(OR(J2106=FALSE,K2106=FALSE,L2106=FALSE,M2106=FALSE),入力リスト!$K$36,"")&amp;IF(N2106,"",入力リスト!$K$37)))</f>
        <v/>
      </c>
      <c r="H2106" s="215"/>
      <c r="I2106" s="1" t="b">
        <f>IF(B2106="",FALSE,COUNTIF('従業員情報(給与以外)'!$A$4:$A$1000000,$B2106)=0)</f>
        <v>0</v>
      </c>
      <c r="J2106" s="8" t="b">
        <f t="shared" si="160"/>
        <v>1</v>
      </c>
      <c r="K2106" s="8" t="b">
        <f t="shared" si="161"/>
        <v>1</v>
      </c>
      <c r="L2106" s="8" t="b">
        <f t="shared" si="162"/>
        <v>1</v>
      </c>
      <c r="M2106" s="8" t="b">
        <f t="shared" si="163"/>
        <v>1</v>
      </c>
      <c r="N2106" s="1" t="b">
        <f t="shared" si="164"/>
        <v>1</v>
      </c>
      <c r="O2106" s="8" t="str">
        <f>IF(F2106="","",IF($F$2=入力リスト!$H$25,ROUNDDOWN(INT(F2106)+ROUNDDOWN((F2106-INT(F2106))*100,0)/60,2),F2106))</f>
        <v/>
      </c>
      <c r="P2106" s="7"/>
      <c r="Q2106" s="7"/>
    </row>
    <row r="2107" spans="1:17">
      <c r="A2107" s="105"/>
      <c r="B2107" s="2"/>
      <c r="C2107" s="3"/>
      <c r="D2107" s="3"/>
      <c r="E2107" s="3"/>
      <c r="F2107" s="8"/>
      <c r="G2107" s="215" t="str">
        <f>IF(AND($B2107="",OR(B2107&lt;&gt;"",C2107&lt;&gt;"",D2107&lt;&gt;"",E2107&lt;&gt;"",F2107&lt;&gt;"")),入力リスト!$K$34,IF($I2107=TRUE,入力リスト!$K$35,IF(J2107=FALSE,"「毎月の固定給与額」","")&amp;IF(AND(J2107=FALSE,OR(K2107=FALSE,L2107=FALSE,M2107=FALSE)),",","")&amp;IF(K2107=FALSE,"「賞与額等」","")&amp;IF(AND(K2107=FALSE,OR(L2107=FALSE,M2107=FALSE)),",","")&amp;IF(L2107=FALSE,"「残業手当」","")&amp;IF(AND(L2107=FALSE,M2107=FALSE),",","")&amp;IF(M2107=FALSE,"「残業時間」","")&amp;IF(OR(J2107=FALSE,K2107=FALSE,L2107=FALSE,M2107=FALSE),入力リスト!$K$36,"")&amp;IF(N2107,"",入力リスト!$K$37)))</f>
        <v/>
      </c>
      <c r="H2107" s="215"/>
      <c r="I2107" s="1" t="b">
        <f>IF(B2107="",FALSE,COUNTIF('従業員情報(給与以外)'!$A$4:$A$1000000,$B2107)=0)</f>
        <v>0</v>
      </c>
      <c r="J2107" s="8" t="b">
        <f t="shared" si="160"/>
        <v>1</v>
      </c>
      <c r="K2107" s="8" t="b">
        <f t="shared" si="161"/>
        <v>1</v>
      </c>
      <c r="L2107" s="8" t="b">
        <f t="shared" si="162"/>
        <v>1</v>
      </c>
      <c r="M2107" s="8" t="b">
        <f t="shared" si="163"/>
        <v>1</v>
      </c>
      <c r="N2107" s="1" t="b">
        <f t="shared" si="164"/>
        <v>1</v>
      </c>
      <c r="O2107" s="8" t="str">
        <f>IF(F2107="","",IF($F$2=入力リスト!$H$25,ROUNDDOWN(INT(F2107)+ROUNDDOWN((F2107-INT(F2107))*100,0)/60,2),F2107))</f>
        <v/>
      </c>
      <c r="P2107" s="7"/>
      <c r="Q2107" s="7"/>
    </row>
    <row r="2108" spans="1:17">
      <c r="A2108" s="105"/>
      <c r="B2108" s="2"/>
      <c r="C2108" s="3"/>
      <c r="D2108" s="3"/>
      <c r="E2108" s="3"/>
      <c r="F2108" s="8"/>
      <c r="G2108" s="215" t="str">
        <f>IF(AND($B2108="",OR(B2108&lt;&gt;"",C2108&lt;&gt;"",D2108&lt;&gt;"",E2108&lt;&gt;"",F2108&lt;&gt;"")),入力リスト!$K$34,IF($I2108=TRUE,入力リスト!$K$35,IF(J2108=FALSE,"「毎月の固定給与額」","")&amp;IF(AND(J2108=FALSE,OR(K2108=FALSE,L2108=FALSE,M2108=FALSE)),",","")&amp;IF(K2108=FALSE,"「賞与額等」","")&amp;IF(AND(K2108=FALSE,OR(L2108=FALSE,M2108=FALSE)),",","")&amp;IF(L2108=FALSE,"「残業手当」","")&amp;IF(AND(L2108=FALSE,M2108=FALSE),",","")&amp;IF(M2108=FALSE,"「残業時間」","")&amp;IF(OR(J2108=FALSE,K2108=FALSE,L2108=FALSE,M2108=FALSE),入力リスト!$K$36,"")&amp;IF(N2108,"",入力リスト!$K$37)))</f>
        <v/>
      </c>
      <c r="H2108" s="215"/>
      <c r="I2108" s="1" t="b">
        <f>IF(B2108="",FALSE,COUNTIF('従業員情報(給与以外)'!$A$4:$A$1000000,$B2108)=0)</f>
        <v>0</v>
      </c>
      <c r="J2108" s="8" t="b">
        <f t="shared" si="160"/>
        <v>1</v>
      </c>
      <c r="K2108" s="8" t="b">
        <f t="shared" si="161"/>
        <v>1</v>
      </c>
      <c r="L2108" s="8" t="b">
        <f t="shared" si="162"/>
        <v>1</v>
      </c>
      <c r="M2108" s="8" t="b">
        <f t="shared" si="163"/>
        <v>1</v>
      </c>
      <c r="N2108" s="1" t="b">
        <f t="shared" si="164"/>
        <v>1</v>
      </c>
      <c r="O2108" s="8" t="str">
        <f>IF(F2108="","",IF($F$2=入力リスト!$H$25,ROUNDDOWN(INT(F2108)+ROUNDDOWN((F2108-INT(F2108))*100,0)/60,2),F2108))</f>
        <v/>
      </c>
      <c r="P2108" s="7"/>
      <c r="Q2108" s="7"/>
    </row>
    <row r="2109" spans="1:17">
      <c r="A2109" s="105"/>
      <c r="B2109" s="2"/>
      <c r="C2109" s="3"/>
      <c r="D2109" s="3"/>
      <c r="E2109" s="3"/>
      <c r="F2109" s="8"/>
      <c r="G2109" s="215" t="str">
        <f>IF(AND($B2109="",OR(B2109&lt;&gt;"",C2109&lt;&gt;"",D2109&lt;&gt;"",E2109&lt;&gt;"",F2109&lt;&gt;"")),入力リスト!$K$34,IF($I2109=TRUE,入力リスト!$K$35,IF(J2109=FALSE,"「毎月の固定給与額」","")&amp;IF(AND(J2109=FALSE,OR(K2109=FALSE,L2109=FALSE,M2109=FALSE)),",","")&amp;IF(K2109=FALSE,"「賞与額等」","")&amp;IF(AND(K2109=FALSE,OR(L2109=FALSE,M2109=FALSE)),",","")&amp;IF(L2109=FALSE,"「残業手当」","")&amp;IF(AND(L2109=FALSE,M2109=FALSE),",","")&amp;IF(M2109=FALSE,"「残業時間」","")&amp;IF(OR(J2109=FALSE,K2109=FALSE,L2109=FALSE,M2109=FALSE),入力リスト!$K$36,"")&amp;IF(N2109,"",入力リスト!$K$37)))</f>
        <v/>
      </c>
      <c r="H2109" s="215"/>
      <c r="I2109" s="1" t="b">
        <f>IF(B2109="",FALSE,COUNTIF('従業員情報(給与以外)'!$A$4:$A$1000000,$B2109)=0)</f>
        <v>0</v>
      </c>
      <c r="J2109" s="8" t="b">
        <f t="shared" si="160"/>
        <v>1</v>
      </c>
      <c r="K2109" s="8" t="b">
        <f t="shared" si="161"/>
        <v>1</v>
      </c>
      <c r="L2109" s="8" t="b">
        <f t="shared" si="162"/>
        <v>1</v>
      </c>
      <c r="M2109" s="8" t="b">
        <f t="shared" si="163"/>
        <v>1</v>
      </c>
      <c r="N2109" s="1" t="b">
        <f t="shared" si="164"/>
        <v>1</v>
      </c>
      <c r="O2109" s="8" t="str">
        <f>IF(F2109="","",IF($F$2=入力リスト!$H$25,ROUNDDOWN(INT(F2109)+ROUNDDOWN((F2109-INT(F2109))*100,0)/60,2),F2109))</f>
        <v/>
      </c>
      <c r="P2109" s="7"/>
      <c r="Q2109" s="7"/>
    </row>
    <row r="2110" spans="1:17">
      <c r="A2110" s="105"/>
      <c r="B2110" s="2"/>
      <c r="C2110" s="3"/>
      <c r="D2110" s="3"/>
      <c r="E2110" s="3"/>
      <c r="F2110" s="8"/>
      <c r="G2110" s="215" t="str">
        <f>IF(AND($B2110="",OR(B2110&lt;&gt;"",C2110&lt;&gt;"",D2110&lt;&gt;"",E2110&lt;&gt;"",F2110&lt;&gt;"")),入力リスト!$K$34,IF($I2110=TRUE,入力リスト!$K$35,IF(J2110=FALSE,"「毎月の固定給与額」","")&amp;IF(AND(J2110=FALSE,OR(K2110=FALSE,L2110=FALSE,M2110=FALSE)),",","")&amp;IF(K2110=FALSE,"「賞与額等」","")&amp;IF(AND(K2110=FALSE,OR(L2110=FALSE,M2110=FALSE)),",","")&amp;IF(L2110=FALSE,"「残業手当」","")&amp;IF(AND(L2110=FALSE,M2110=FALSE),",","")&amp;IF(M2110=FALSE,"「残業時間」","")&amp;IF(OR(J2110=FALSE,K2110=FALSE,L2110=FALSE,M2110=FALSE),入力リスト!$K$36,"")&amp;IF(N2110,"",入力リスト!$K$37)))</f>
        <v/>
      </c>
      <c r="H2110" s="215"/>
      <c r="I2110" s="1" t="b">
        <f>IF(B2110="",FALSE,COUNTIF('従業員情報(給与以外)'!$A$4:$A$1000000,$B2110)=0)</f>
        <v>0</v>
      </c>
      <c r="J2110" s="8" t="b">
        <f t="shared" si="160"/>
        <v>1</v>
      </c>
      <c r="K2110" s="8" t="b">
        <f t="shared" si="161"/>
        <v>1</v>
      </c>
      <c r="L2110" s="8" t="b">
        <f t="shared" si="162"/>
        <v>1</v>
      </c>
      <c r="M2110" s="8" t="b">
        <f t="shared" si="163"/>
        <v>1</v>
      </c>
      <c r="N2110" s="1" t="b">
        <f t="shared" si="164"/>
        <v>1</v>
      </c>
      <c r="O2110" s="8" t="str">
        <f>IF(F2110="","",IF($F$2=入力リスト!$H$25,ROUNDDOWN(INT(F2110)+ROUNDDOWN((F2110-INT(F2110))*100,0)/60,2),F2110))</f>
        <v/>
      </c>
      <c r="P2110" s="7"/>
      <c r="Q2110" s="7"/>
    </row>
    <row r="2111" spans="1:17">
      <c r="A2111" s="105"/>
      <c r="B2111" s="2"/>
      <c r="C2111" s="3"/>
      <c r="D2111" s="3"/>
      <c r="E2111" s="3"/>
      <c r="F2111" s="8"/>
      <c r="G2111" s="215" t="str">
        <f>IF(AND($B2111="",OR(B2111&lt;&gt;"",C2111&lt;&gt;"",D2111&lt;&gt;"",E2111&lt;&gt;"",F2111&lt;&gt;"")),入力リスト!$K$34,IF($I2111=TRUE,入力リスト!$K$35,IF(J2111=FALSE,"「毎月の固定給与額」","")&amp;IF(AND(J2111=FALSE,OR(K2111=FALSE,L2111=FALSE,M2111=FALSE)),",","")&amp;IF(K2111=FALSE,"「賞与額等」","")&amp;IF(AND(K2111=FALSE,OR(L2111=FALSE,M2111=FALSE)),",","")&amp;IF(L2111=FALSE,"「残業手当」","")&amp;IF(AND(L2111=FALSE,M2111=FALSE),",","")&amp;IF(M2111=FALSE,"「残業時間」","")&amp;IF(OR(J2111=FALSE,K2111=FALSE,L2111=FALSE,M2111=FALSE),入力リスト!$K$36,"")&amp;IF(N2111,"",入力リスト!$K$37)))</f>
        <v/>
      </c>
      <c r="H2111" s="215"/>
      <c r="I2111" s="1" t="b">
        <f>IF(B2111="",FALSE,COUNTIF('従業員情報(給与以外)'!$A$4:$A$1000000,$B2111)=0)</f>
        <v>0</v>
      </c>
      <c r="J2111" s="8" t="b">
        <f t="shared" si="160"/>
        <v>1</v>
      </c>
      <c r="K2111" s="8" t="b">
        <f t="shared" si="161"/>
        <v>1</v>
      </c>
      <c r="L2111" s="8" t="b">
        <f t="shared" si="162"/>
        <v>1</v>
      </c>
      <c r="M2111" s="8" t="b">
        <f t="shared" si="163"/>
        <v>1</v>
      </c>
      <c r="N2111" s="1" t="b">
        <f t="shared" si="164"/>
        <v>1</v>
      </c>
      <c r="O2111" s="8" t="str">
        <f>IF(F2111="","",IF($F$2=入力リスト!$H$25,ROUNDDOWN(INT(F2111)+ROUNDDOWN((F2111-INT(F2111))*100,0)/60,2),F2111))</f>
        <v/>
      </c>
      <c r="P2111" s="7"/>
      <c r="Q2111" s="7"/>
    </row>
    <row r="2112" spans="1:17">
      <c r="A2112" s="105"/>
      <c r="B2112" s="2"/>
      <c r="C2112" s="3"/>
      <c r="D2112" s="3"/>
      <c r="E2112" s="3"/>
      <c r="F2112" s="8"/>
      <c r="G2112" s="215" t="str">
        <f>IF(AND($B2112="",OR(B2112&lt;&gt;"",C2112&lt;&gt;"",D2112&lt;&gt;"",E2112&lt;&gt;"",F2112&lt;&gt;"")),入力リスト!$K$34,IF($I2112=TRUE,入力リスト!$K$35,IF(J2112=FALSE,"「毎月の固定給与額」","")&amp;IF(AND(J2112=FALSE,OR(K2112=FALSE,L2112=FALSE,M2112=FALSE)),",","")&amp;IF(K2112=FALSE,"「賞与額等」","")&amp;IF(AND(K2112=FALSE,OR(L2112=FALSE,M2112=FALSE)),",","")&amp;IF(L2112=FALSE,"「残業手当」","")&amp;IF(AND(L2112=FALSE,M2112=FALSE),",","")&amp;IF(M2112=FALSE,"「残業時間」","")&amp;IF(OR(J2112=FALSE,K2112=FALSE,L2112=FALSE,M2112=FALSE),入力リスト!$K$36,"")&amp;IF(N2112,"",入力リスト!$K$37)))</f>
        <v/>
      </c>
      <c r="H2112" s="215"/>
      <c r="I2112" s="1" t="b">
        <f>IF(B2112="",FALSE,COUNTIF('従業員情報(給与以外)'!$A$4:$A$1000000,$B2112)=0)</f>
        <v>0</v>
      </c>
      <c r="J2112" s="8" t="b">
        <f t="shared" si="160"/>
        <v>1</v>
      </c>
      <c r="K2112" s="8" t="b">
        <f t="shared" si="161"/>
        <v>1</v>
      </c>
      <c r="L2112" s="8" t="b">
        <f t="shared" si="162"/>
        <v>1</v>
      </c>
      <c r="M2112" s="8" t="b">
        <f t="shared" si="163"/>
        <v>1</v>
      </c>
      <c r="N2112" s="1" t="b">
        <f t="shared" si="164"/>
        <v>1</v>
      </c>
      <c r="O2112" s="8" t="str">
        <f>IF(F2112="","",IF($F$2=入力リスト!$H$25,ROUNDDOWN(INT(F2112)+ROUNDDOWN((F2112-INT(F2112))*100,0)/60,2),F2112))</f>
        <v/>
      </c>
      <c r="P2112" s="7"/>
      <c r="Q2112" s="7"/>
    </row>
    <row r="2113" spans="1:17">
      <c r="A2113" s="105"/>
      <c r="B2113" s="2"/>
      <c r="C2113" s="3"/>
      <c r="D2113" s="3"/>
      <c r="E2113" s="3"/>
      <c r="F2113" s="8"/>
      <c r="G2113" s="215" t="str">
        <f>IF(AND($B2113="",OR(B2113&lt;&gt;"",C2113&lt;&gt;"",D2113&lt;&gt;"",E2113&lt;&gt;"",F2113&lt;&gt;"")),入力リスト!$K$34,IF($I2113=TRUE,入力リスト!$K$35,IF(J2113=FALSE,"「毎月の固定給与額」","")&amp;IF(AND(J2113=FALSE,OR(K2113=FALSE,L2113=FALSE,M2113=FALSE)),",","")&amp;IF(K2113=FALSE,"「賞与額等」","")&amp;IF(AND(K2113=FALSE,OR(L2113=FALSE,M2113=FALSE)),",","")&amp;IF(L2113=FALSE,"「残業手当」","")&amp;IF(AND(L2113=FALSE,M2113=FALSE),",","")&amp;IF(M2113=FALSE,"「残業時間」","")&amp;IF(OR(J2113=FALSE,K2113=FALSE,L2113=FALSE,M2113=FALSE),入力リスト!$K$36,"")&amp;IF(N2113,"",入力リスト!$K$37)))</f>
        <v/>
      </c>
      <c r="H2113" s="215"/>
      <c r="I2113" s="1" t="b">
        <f>IF(B2113="",FALSE,COUNTIF('従業員情報(給与以外)'!$A$4:$A$1000000,$B2113)=0)</f>
        <v>0</v>
      </c>
      <c r="J2113" s="8" t="b">
        <f t="shared" si="160"/>
        <v>1</v>
      </c>
      <c r="K2113" s="8" t="b">
        <f t="shared" si="161"/>
        <v>1</v>
      </c>
      <c r="L2113" s="8" t="b">
        <f t="shared" si="162"/>
        <v>1</v>
      </c>
      <c r="M2113" s="8" t="b">
        <f t="shared" si="163"/>
        <v>1</v>
      </c>
      <c r="N2113" s="1" t="b">
        <f t="shared" si="164"/>
        <v>1</v>
      </c>
      <c r="O2113" s="8" t="str">
        <f>IF(F2113="","",IF($F$2=入力リスト!$H$25,ROUNDDOWN(INT(F2113)+ROUNDDOWN((F2113-INT(F2113))*100,0)/60,2),F2113))</f>
        <v/>
      </c>
      <c r="P2113" s="7"/>
      <c r="Q2113" s="7"/>
    </row>
    <row r="2114" spans="1:17">
      <c r="A2114" s="105"/>
      <c r="B2114" s="2"/>
      <c r="C2114" s="3"/>
      <c r="D2114" s="3"/>
      <c r="E2114" s="3"/>
      <c r="F2114" s="8"/>
      <c r="G2114" s="215" t="str">
        <f>IF(AND($B2114="",OR(B2114&lt;&gt;"",C2114&lt;&gt;"",D2114&lt;&gt;"",E2114&lt;&gt;"",F2114&lt;&gt;"")),入力リスト!$K$34,IF($I2114=TRUE,入力リスト!$K$35,IF(J2114=FALSE,"「毎月の固定給与額」","")&amp;IF(AND(J2114=FALSE,OR(K2114=FALSE,L2114=FALSE,M2114=FALSE)),",","")&amp;IF(K2114=FALSE,"「賞与額等」","")&amp;IF(AND(K2114=FALSE,OR(L2114=FALSE,M2114=FALSE)),",","")&amp;IF(L2114=FALSE,"「残業手当」","")&amp;IF(AND(L2114=FALSE,M2114=FALSE),",","")&amp;IF(M2114=FALSE,"「残業時間」","")&amp;IF(OR(J2114=FALSE,K2114=FALSE,L2114=FALSE,M2114=FALSE),入力リスト!$K$36,"")&amp;IF(N2114,"",入力リスト!$K$37)))</f>
        <v/>
      </c>
      <c r="H2114" s="215"/>
      <c r="I2114" s="1" t="b">
        <f>IF(B2114="",FALSE,COUNTIF('従業員情報(給与以外)'!$A$4:$A$1000000,$B2114)=0)</f>
        <v>0</v>
      </c>
      <c r="J2114" s="8" t="b">
        <f t="shared" si="160"/>
        <v>1</v>
      </c>
      <c r="K2114" s="8" t="b">
        <f t="shared" si="161"/>
        <v>1</v>
      </c>
      <c r="L2114" s="8" t="b">
        <f t="shared" si="162"/>
        <v>1</v>
      </c>
      <c r="M2114" s="8" t="b">
        <f t="shared" si="163"/>
        <v>1</v>
      </c>
      <c r="N2114" s="1" t="b">
        <f t="shared" si="164"/>
        <v>1</v>
      </c>
      <c r="O2114" s="8" t="str">
        <f>IF(F2114="","",IF($F$2=入力リスト!$H$25,ROUNDDOWN(INT(F2114)+ROUNDDOWN((F2114-INT(F2114))*100,0)/60,2),F2114))</f>
        <v/>
      </c>
      <c r="P2114" s="7"/>
      <c r="Q2114" s="7"/>
    </row>
    <row r="2115" spans="1:17">
      <c r="A2115" s="105"/>
      <c r="B2115" s="2"/>
      <c r="C2115" s="3"/>
      <c r="D2115" s="3"/>
      <c r="E2115" s="3"/>
      <c r="F2115" s="8"/>
      <c r="G2115" s="215" t="str">
        <f>IF(AND($B2115="",OR(B2115&lt;&gt;"",C2115&lt;&gt;"",D2115&lt;&gt;"",E2115&lt;&gt;"",F2115&lt;&gt;"")),入力リスト!$K$34,IF($I2115=TRUE,入力リスト!$K$35,IF(J2115=FALSE,"「毎月の固定給与額」","")&amp;IF(AND(J2115=FALSE,OR(K2115=FALSE,L2115=FALSE,M2115=FALSE)),",","")&amp;IF(K2115=FALSE,"「賞与額等」","")&amp;IF(AND(K2115=FALSE,OR(L2115=FALSE,M2115=FALSE)),",","")&amp;IF(L2115=FALSE,"「残業手当」","")&amp;IF(AND(L2115=FALSE,M2115=FALSE),",","")&amp;IF(M2115=FALSE,"「残業時間」","")&amp;IF(OR(J2115=FALSE,K2115=FALSE,L2115=FALSE,M2115=FALSE),入力リスト!$K$36,"")&amp;IF(N2115,"",入力リスト!$K$37)))</f>
        <v/>
      </c>
      <c r="H2115" s="215"/>
      <c r="I2115" s="1" t="b">
        <f>IF(B2115="",FALSE,COUNTIF('従業員情報(給与以外)'!$A$4:$A$1000000,$B2115)=0)</f>
        <v>0</v>
      </c>
      <c r="J2115" s="8" t="b">
        <f t="shared" si="160"/>
        <v>1</v>
      </c>
      <c r="K2115" s="8" t="b">
        <f t="shared" si="161"/>
        <v>1</v>
      </c>
      <c r="L2115" s="8" t="b">
        <f t="shared" si="162"/>
        <v>1</v>
      </c>
      <c r="M2115" s="8" t="b">
        <f t="shared" si="163"/>
        <v>1</v>
      </c>
      <c r="N2115" s="1" t="b">
        <f t="shared" si="164"/>
        <v>1</v>
      </c>
      <c r="O2115" s="8" t="str">
        <f>IF(F2115="","",IF($F$2=入力リスト!$H$25,ROUNDDOWN(INT(F2115)+ROUNDDOWN((F2115-INT(F2115))*100,0)/60,2),F2115))</f>
        <v/>
      </c>
      <c r="P2115" s="7"/>
      <c r="Q2115" s="7"/>
    </row>
    <row r="2116" spans="1:17">
      <c r="A2116" s="105"/>
      <c r="B2116" s="2"/>
      <c r="C2116" s="3"/>
      <c r="D2116" s="3"/>
      <c r="E2116" s="3"/>
      <c r="F2116" s="8"/>
      <c r="G2116" s="215" t="str">
        <f>IF(AND($B2116="",OR(B2116&lt;&gt;"",C2116&lt;&gt;"",D2116&lt;&gt;"",E2116&lt;&gt;"",F2116&lt;&gt;"")),入力リスト!$K$34,IF($I2116=TRUE,入力リスト!$K$35,IF(J2116=FALSE,"「毎月の固定給与額」","")&amp;IF(AND(J2116=FALSE,OR(K2116=FALSE,L2116=FALSE,M2116=FALSE)),",","")&amp;IF(K2116=FALSE,"「賞与額等」","")&amp;IF(AND(K2116=FALSE,OR(L2116=FALSE,M2116=FALSE)),",","")&amp;IF(L2116=FALSE,"「残業手当」","")&amp;IF(AND(L2116=FALSE,M2116=FALSE),",","")&amp;IF(M2116=FALSE,"「残業時間」","")&amp;IF(OR(J2116=FALSE,K2116=FALSE,L2116=FALSE,M2116=FALSE),入力リスト!$K$36,"")&amp;IF(N2116,"",入力リスト!$K$37)))</f>
        <v/>
      </c>
      <c r="H2116" s="215"/>
      <c r="I2116" s="1" t="b">
        <f>IF(B2116="",FALSE,COUNTIF('従業員情報(給与以外)'!$A$4:$A$1000000,$B2116)=0)</f>
        <v>0</v>
      </c>
      <c r="J2116" s="8" t="b">
        <f t="shared" si="160"/>
        <v>1</v>
      </c>
      <c r="K2116" s="8" t="b">
        <f t="shared" si="161"/>
        <v>1</v>
      </c>
      <c r="L2116" s="8" t="b">
        <f t="shared" si="162"/>
        <v>1</v>
      </c>
      <c r="M2116" s="8" t="b">
        <f t="shared" si="163"/>
        <v>1</v>
      </c>
      <c r="N2116" s="1" t="b">
        <f t="shared" si="164"/>
        <v>1</v>
      </c>
      <c r="O2116" s="8" t="str">
        <f>IF(F2116="","",IF($F$2=入力リスト!$H$25,ROUNDDOWN(INT(F2116)+ROUNDDOWN((F2116-INT(F2116))*100,0)/60,2),F2116))</f>
        <v/>
      </c>
      <c r="P2116" s="7"/>
      <c r="Q2116" s="7"/>
    </row>
    <row r="2117" spans="1:17">
      <c r="A2117" s="105"/>
      <c r="B2117" s="2"/>
      <c r="C2117" s="3"/>
      <c r="D2117" s="3"/>
      <c r="E2117" s="3"/>
      <c r="F2117" s="8"/>
      <c r="G2117" s="215" t="str">
        <f>IF(AND($B2117="",OR(B2117&lt;&gt;"",C2117&lt;&gt;"",D2117&lt;&gt;"",E2117&lt;&gt;"",F2117&lt;&gt;"")),入力リスト!$K$34,IF($I2117=TRUE,入力リスト!$K$35,IF(J2117=FALSE,"「毎月の固定給与額」","")&amp;IF(AND(J2117=FALSE,OR(K2117=FALSE,L2117=FALSE,M2117=FALSE)),",","")&amp;IF(K2117=FALSE,"「賞与額等」","")&amp;IF(AND(K2117=FALSE,OR(L2117=FALSE,M2117=FALSE)),",","")&amp;IF(L2117=FALSE,"「残業手当」","")&amp;IF(AND(L2117=FALSE,M2117=FALSE),",","")&amp;IF(M2117=FALSE,"「残業時間」","")&amp;IF(OR(J2117=FALSE,K2117=FALSE,L2117=FALSE,M2117=FALSE),入力リスト!$K$36,"")&amp;IF(N2117,"",入力リスト!$K$37)))</f>
        <v/>
      </c>
      <c r="H2117" s="215"/>
      <c r="I2117" s="1" t="b">
        <f>IF(B2117="",FALSE,COUNTIF('従業員情報(給与以外)'!$A$4:$A$1000000,$B2117)=0)</f>
        <v>0</v>
      </c>
      <c r="J2117" s="8" t="b">
        <f t="shared" ref="J2117:J2180" si="165">OR(C2117="",ISNUMBER(C2117))</f>
        <v>1</v>
      </c>
      <c r="K2117" s="8" t="b">
        <f t="shared" ref="K2117:K2180" si="166">OR(D2117="",ISNUMBER(D2117))</f>
        <v>1</v>
      </c>
      <c r="L2117" s="8" t="b">
        <f t="shared" ref="L2117:L2180" si="167">OR(E2117="",ISNUMBER(E2117))</f>
        <v>1</v>
      </c>
      <c r="M2117" s="8" t="b">
        <f t="shared" ref="M2117:M2180" si="168">OR(F2117="",ISNUMBER(F2117))</f>
        <v>1</v>
      </c>
      <c r="N2117" s="1" t="b">
        <f t="shared" ref="N2117:N2180" si="169">IF($N$1,TRUE,IF($N$2,IF(F2117-INT(F2117)&lt;0.6,TRUE,FALSE),TRUE))</f>
        <v>1</v>
      </c>
      <c r="O2117" s="8" t="str">
        <f>IF(F2117="","",IF($F$2=入力リスト!$H$25,ROUNDDOWN(INT(F2117)+ROUNDDOWN((F2117-INT(F2117))*100,0)/60,2),F2117))</f>
        <v/>
      </c>
      <c r="P2117" s="7"/>
      <c r="Q2117" s="7"/>
    </row>
    <row r="2118" spans="1:17">
      <c r="A2118" s="105"/>
      <c r="B2118" s="2"/>
      <c r="C2118" s="3"/>
      <c r="D2118" s="3"/>
      <c r="E2118" s="3"/>
      <c r="F2118" s="8"/>
      <c r="G2118" s="215" t="str">
        <f>IF(AND($B2118="",OR(B2118&lt;&gt;"",C2118&lt;&gt;"",D2118&lt;&gt;"",E2118&lt;&gt;"",F2118&lt;&gt;"")),入力リスト!$K$34,IF($I2118=TRUE,入力リスト!$K$35,IF(J2118=FALSE,"「毎月の固定給与額」","")&amp;IF(AND(J2118=FALSE,OR(K2118=FALSE,L2118=FALSE,M2118=FALSE)),",","")&amp;IF(K2118=FALSE,"「賞与額等」","")&amp;IF(AND(K2118=FALSE,OR(L2118=FALSE,M2118=FALSE)),",","")&amp;IF(L2118=FALSE,"「残業手当」","")&amp;IF(AND(L2118=FALSE,M2118=FALSE),",","")&amp;IF(M2118=FALSE,"「残業時間」","")&amp;IF(OR(J2118=FALSE,K2118=FALSE,L2118=FALSE,M2118=FALSE),入力リスト!$K$36,"")&amp;IF(N2118,"",入力リスト!$K$37)))</f>
        <v/>
      </c>
      <c r="H2118" s="215"/>
      <c r="I2118" s="1" t="b">
        <f>IF(B2118="",FALSE,COUNTIF('従業員情報(給与以外)'!$A$4:$A$1000000,$B2118)=0)</f>
        <v>0</v>
      </c>
      <c r="J2118" s="8" t="b">
        <f t="shared" si="165"/>
        <v>1</v>
      </c>
      <c r="K2118" s="8" t="b">
        <f t="shared" si="166"/>
        <v>1</v>
      </c>
      <c r="L2118" s="8" t="b">
        <f t="shared" si="167"/>
        <v>1</v>
      </c>
      <c r="M2118" s="8" t="b">
        <f t="shared" si="168"/>
        <v>1</v>
      </c>
      <c r="N2118" s="1" t="b">
        <f t="shared" si="169"/>
        <v>1</v>
      </c>
      <c r="O2118" s="8" t="str">
        <f>IF(F2118="","",IF($F$2=入力リスト!$H$25,ROUNDDOWN(INT(F2118)+ROUNDDOWN((F2118-INT(F2118))*100,0)/60,2),F2118))</f>
        <v/>
      </c>
      <c r="P2118" s="7"/>
      <c r="Q2118" s="7"/>
    </row>
    <row r="2119" spans="1:17">
      <c r="A2119" s="105"/>
      <c r="B2119" s="2"/>
      <c r="C2119" s="3"/>
      <c r="D2119" s="3"/>
      <c r="E2119" s="3"/>
      <c r="F2119" s="8"/>
      <c r="G2119" s="215" t="str">
        <f>IF(AND($B2119="",OR(B2119&lt;&gt;"",C2119&lt;&gt;"",D2119&lt;&gt;"",E2119&lt;&gt;"",F2119&lt;&gt;"")),入力リスト!$K$34,IF($I2119=TRUE,入力リスト!$K$35,IF(J2119=FALSE,"「毎月の固定給与額」","")&amp;IF(AND(J2119=FALSE,OR(K2119=FALSE,L2119=FALSE,M2119=FALSE)),",","")&amp;IF(K2119=FALSE,"「賞与額等」","")&amp;IF(AND(K2119=FALSE,OR(L2119=FALSE,M2119=FALSE)),",","")&amp;IF(L2119=FALSE,"「残業手当」","")&amp;IF(AND(L2119=FALSE,M2119=FALSE),",","")&amp;IF(M2119=FALSE,"「残業時間」","")&amp;IF(OR(J2119=FALSE,K2119=FALSE,L2119=FALSE,M2119=FALSE),入力リスト!$K$36,"")&amp;IF(N2119,"",入力リスト!$K$37)))</f>
        <v/>
      </c>
      <c r="H2119" s="215"/>
      <c r="I2119" s="1" t="b">
        <f>IF(B2119="",FALSE,COUNTIF('従業員情報(給与以外)'!$A$4:$A$1000000,$B2119)=0)</f>
        <v>0</v>
      </c>
      <c r="J2119" s="8" t="b">
        <f t="shared" si="165"/>
        <v>1</v>
      </c>
      <c r="K2119" s="8" t="b">
        <f t="shared" si="166"/>
        <v>1</v>
      </c>
      <c r="L2119" s="8" t="b">
        <f t="shared" si="167"/>
        <v>1</v>
      </c>
      <c r="M2119" s="8" t="b">
        <f t="shared" si="168"/>
        <v>1</v>
      </c>
      <c r="N2119" s="1" t="b">
        <f t="shared" si="169"/>
        <v>1</v>
      </c>
      <c r="O2119" s="8" t="str">
        <f>IF(F2119="","",IF($F$2=入力リスト!$H$25,ROUNDDOWN(INT(F2119)+ROUNDDOWN((F2119-INT(F2119))*100,0)/60,2),F2119))</f>
        <v/>
      </c>
      <c r="P2119" s="7"/>
      <c r="Q2119" s="7"/>
    </row>
    <row r="2120" spans="1:17">
      <c r="A2120" s="105"/>
      <c r="B2120" s="2"/>
      <c r="C2120" s="3"/>
      <c r="D2120" s="3"/>
      <c r="E2120" s="3"/>
      <c r="F2120" s="8"/>
      <c r="G2120" s="215" t="str">
        <f>IF(AND($B2120="",OR(B2120&lt;&gt;"",C2120&lt;&gt;"",D2120&lt;&gt;"",E2120&lt;&gt;"",F2120&lt;&gt;"")),入力リスト!$K$34,IF($I2120=TRUE,入力リスト!$K$35,IF(J2120=FALSE,"「毎月の固定給与額」","")&amp;IF(AND(J2120=FALSE,OR(K2120=FALSE,L2120=FALSE,M2120=FALSE)),",","")&amp;IF(K2120=FALSE,"「賞与額等」","")&amp;IF(AND(K2120=FALSE,OR(L2120=FALSE,M2120=FALSE)),",","")&amp;IF(L2120=FALSE,"「残業手当」","")&amp;IF(AND(L2120=FALSE,M2120=FALSE),",","")&amp;IF(M2120=FALSE,"「残業時間」","")&amp;IF(OR(J2120=FALSE,K2120=FALSE,L2120=FALSE,M2120=FALSE),入力リスト!$K$36,"")&amp;IF(N2120,"",入力リスト!$K$37)))</f>
        <v/>
      </c>
      <c r="H2120" s="215"/>
      <c r="I2120" s="1" t="b">
        <f>IF(B2120="",FALSE,COUNTIF('従業員情報(給与以外)'!$A$4:$A$1000000,$B2120)=0)</f>
        <v>0</v>
      </c>
      <c r="J2120" s="8" t="b">
        <f t="shared" si="165"/>
        <v>1</v>
      </c>
      <c r="K2120" s="8" t="b">
        <f t="shared" si="166"/>
        <v>1</v>
      </c>
      <c r="L2120" s="8" t="b">
        <f t="shared" si="167"/>
        <v>1</v>
      </c>
      <c r="M2120" s="8" t="b">
        <f t="shared" si="168"/>
        <v>1</v>
      </c>
      <c r="N2120" s="1" t="b">
        <f t="shared" si="169"/>
        <v>1</v>
      </c>
      <c r="O2120" s="8" t="str">
        <f>IF(F2120="","",IF($F$2=入力リスト!$H$25,ROUNDDOWN(INT(F2120)+ROUNDDOWN((F2120-INT(F2120))*100,0)/60,2),F2120))</f>
        <v/>
      </c>
      <c r="P2120" s="7"/>
      <c r="Q2120" s="7"/>
    </row>
    <row r="2121" spans="1:17">
      <c r="A2121" s="105"/>
      <c r="B2121" s="2"/>
      <c r="C2121" s="3"/>
      <c r="D2121" s="3"/>
      <c r="E2121" s="3"/>
      <c r="F2121" s="8"/>
      <c r="G2121" s="215" t="str">
        <f>IF(AND($B2121="",OR(B2121&lt;&gt;"",C2121&lt;&gt;"",D2121&lt;&gt;"",E2121&lt;&gt;"",F2121&lt;&gt;"")),入力リスト!$K$34,IF($I2121=TRUE,入力リスト!$K$35,IF(J2121=FALSE,"「毎月の固定給与額」","")&amp;IF(AND(J2121=FALSE,OR(K2121=FALSE,L2121=FALSE,M2121=FALSE)),",","")&amp;IF(K2121=FALSE,"「賞与額等」","")&amp;IF(AND(K2121=FALSE,OR(L2121=FALSE,M2121=FALSE)),",","")&amp;IF(L2121=FALSE,"「残業手当」","")&amp;IF(AND(L2121=FALSE,M2121=FALSE),",","")&amp;IF(M2121=FALSE,"「残業時間」","")&amp;IF(OR(J2121=FALSE,K2121=FALSE,L2121=FALSE,M2121=FALSE),入力リスト!$K$36,"")&amp;IF(N2121,"",入力リスト!$K$37)))</f>
        <v/>
      </c>
      <c r="H2121" s="215"/>
      <c r="I2121" s="1" t="b">
        <f>IF(B2121="",FALSE,COUNTIF('従業員情報(給与以外)'!$A$4:$A$1000000,$B2121)=0)</f>
        <v>0</v>
      </c>
      <c r="J2121" s="8" t="b">
        <f t="shared" si="165"/>
        <v>1</v>
      </c>
      <c r="K2121" s="8" t="b">
        <f t="shared" si="166"/>
        <v>1</v>
      </c>
      <c r="L2121" s="8" t="b">
        <f t="shared" si="167"/>
        <v>1</v>
      </c>
      <c r="M2121" s="8" t="b">
        <f t="shared" si="168"/>
        <v>1</v>
      </c>
      <c r="N2121" s="1" t="b">
        <f t="shared" si="169"/>
        <v>1</v>
      </c>
      <c r="O2121" s="8" t="str">
        <f>IF(F2121="","",IF($F$2=入力リスト!$H$25,ROUNDDOWN(INT(F2121)+ROUNDDOWN((F2121-INT(F2121))*100,0)/60,2),F2121))</f>
        <v/>
      </c>
      <c r="P2121" s="7"/>
      <c r="Q2121" s="7"/>
    </row>
    <row r="2122" spans="1:17">
      <c r="A2122" s="105"/>
      <c r="B2122" s="2"/>
      <c r="C2122" s="3"/>
      <c r="D2122" s="3"/>
      <c r="E2122" s="3"/>
      <c r="F2122" s="8"/>
      <c r="G2122" s="215" t="str">
        <f>IF(AND($B2122="",OR(B2122&lt;&gt;"",C2122&lt;&gt;"",D2122&lt;&gt;"",E2122&lt;&gt;"",F2122&lt;&gt;"")),入力リスト!$K$34,IF($I2122=TRUE,入力リスト!$K$35,IF(J2122=FALSE,"「毎月の固定給与額」","")&amp;IF(AND(J2122=FALSE,OR(K2122=FALSE,L2122=FALSE,M2122=FALSE)),",","")&amp;IF(K2122=FALSE,"「賞与額等」","")&amp;IF(AND(K2122=FALSE,OR(L2122=FALSE,M2122=FALSE)),",","")&amp;IF(L2122=FALSE,"「残業手当」","")&amp;IF(AND(L2122=FALSE,M2122=FALSE),",","")&amp;IF(M2122=FALSE,"「残業時間」","")&amp;IF(OR(J2122=FALSE,K2122=FALSE,L2122=FALSE,M2122=FALSE),入力リスト!$K$36,"")&amp;IF(N2122,"",入力リスト!$K$37)))</f>
        <v/>
      </c>
      <c r="H2122" s="215"/>
      <c r="I2122" s="1" t="b">
        <f>IF(B2122="",FALSE,COUNTIF('従業員情報(給与以外)'!$A$4:$A$1000000,$B2122)=0)</f>
        <v>0</v>
      </c>
      <c r="J2122" s="8" t="b">
        <f t="shared" si="165"/>
        <v>1</v>
      </c>
      <c r="K2122" s="8" t="b">
        <f t="shared" si="166"/>
        <v>1</v>
      </c>
      <c r="L2122" s="8" t="b">
        <f t="shared" si="167"/>
        <v>1</v>
      </c>
      <c r="M2122" s="8" t="b">
        <f t="shared" si="168"/>
        <v>1</v>
      </c>
      <c r="N2122" s="1" t="b">
        <f t="shared" si="169"/>
        <v>1</v>
      </c>
      <c r="O2122" s="8" t="str">
        <f>IF(F2122="","",IF($F$2=入力リスト!$H$25,ROUNDDOWN(INT(F2122)+ROUNDDOWN((F2122-INT(F2122))*100,0)/60,2),F2122))</f>
        <v/>
      </c>
      <c r="P2122" s="7"/>
      <c r="Q2122" s="7"/>
    </row>
    <row r="2123" spans="1:17">
      <c r="A2123" s="105"/>
      <c r="B2123" s="2"/>
      <c r="C2123" s="3"/>
      <c r="D2123" s="3"/>
      <c r="E2123" s="3"/>
      <c r="F2123" s="8"/>
      <c r="G2123" s="215" t="str">
        <f>IF(AND($B2123="",OR(B2123&lt;&gt;"",C2123&lt;&gt;"",D2123&lt;&gt;"",E2123&lt;&gt;"",F2123&lt;&gt;"")),入力リスト!$K$34,IF($I2123=TRUE,入力リスト!$K$35,IF(J2123=FALSE,"「毎月の固定給与額」","")&amp;IF(AND(J2123=FALSE,OR(K2123=FALSE,L2123=FALSE,M2123=FALSE)),",","")&amp;IF(K2123=FALSE,"「賞与額等」","")&amp;IF(AND(K2123=FALSE,OR(L2123=FALSE,M2123=FALSE)),",","")&amp;IF(L2123=FALSE,"「残業手当」","")&amp;IF(AND(L2123=FALSE,M2123=FALSE),",","")&amp;IF(M2123=FALSE,"「残業時間」","")&amp;IF(OR(J2123=FALSE,K2123=FALSE,L2123=FALSE,M2123=FALSE),入力リスト!$K$36,"")&amp;IF(N2123,"",入力リスト!$K$37)))</f>
        <v/>
      </c>
      <c r="H2123" s="215"/>
      <c r="I2123" s="1" t="b">
        <f>IF(B2123="",FALSE,COUNTIF('従業員情報(給与以外)'!$A$4:$A$1000000,$B2123)=0)</f>
        <v>0</v>
      </c>
      <c r="J2123" s="8" t="b">
        <f t="shared" si="165"/>
        <v>1</v>
      </c>
      <c r="K2123" s="8" t="b">
        <f t="shared" si="166"/>
        <v>1</v>
      </c>
      <c r="L2123" s="8" t="b">
        <f t="shared" si="167"/>
        <v>1</v>
      </c>
      <c r="M2123" s="8" t="b">
        <f t="shared" si="168"/>
        <v>1</v>
      </c>
      <c r="N2123" s="1" t="b">
        <f t="shared" si="169"/>
        <v>1</v>
      </c>
      <c r="O2123" s="8" t="str">
        <f>IF(F2123="","",IF($F$2=入力リスト!$H$25,ROUNDDOWN(INT(F2123)+ROUNDDOWN((F2123-INT(F2123))*100,0)/60,2),F2123))</f>
        <v/>
      </c>
      <c r="P2123" s="7"/>
      <c r="Q2123" s="7"/>
    </row>
    <row r="2124" spans="1:17">
      <c r="A2124" s="105"/>
      <c r="B2124" s="2"/>
      <c r="C2124" s="3"/>
      <c r="D2124" s="3"/>
      <c r="E2124" s="3"/>
      <c r="F2124" s="8"/>
      <c r="G2124" s="215" t="str">
        <f>IF(AND($B2124="",OR(B2124&lt;&gt;"",C2124&lt;&gt;"",D2124&lt;&gt;"",E2124&lt;&gt;"",F2124&lt;&gt;"")),入力リスト!$K$34,IF($I2124=TRUE,入力リスト!$K$35,IF(J2124=FALSE,"「毎月の固定給与額」","")&amp;IF(AND(J2124=FALSE,OR(K2124=FALSE,L2124=FALSE,M2124=FALSE)),",","")&amp;IF(K2124=FALSE,"「賞与額等」","")&amp;IF(AND(K2124=FALSE,OR(L2124=FALSE,M2124=FALSE)),",","")&amp;IF(L2124=FALSE,"「残業手当」","")&amp;IF(AND(L2124=FALSE,M2124=FALSE),",","")&amp;IF(M2124=FALSE,"「残業時間」","")&amp;IF(OR(J2124=FALSE,K2124=FALSE,L2124=FALSE,M2124=FALSE),入力リスト!$K$36,"")&amp;IF(N2124,"",入力リスト!$K$37)))</f>
        <v/>
      </c>
      <c r="H2124" s="215"/>
      <c r="I2124" s="1" t="b">
        <f>IF(B2124="",FALSE,COUNTIF('従業員情報(給与以外)'!$A$4:$A$1000000,$B2124)=0)</f>
        <v>0</v>
      </c>
      <c r="J2124" s="8" t="b">
        <f t="shared" si="165"/>
        <v>1</v>
      </c>
      <c r="K2124" s="8" t="b">
        <f t="shared" si="166"/>
        <v>1</v>
      </c>
      <c r="L2124" s="8" t="b">
        <f t="shared" si="167"/>
        <v>1</v>
      </c>
      <c r="M2124" s="8" t="b">
        <f t="shared" si="168"/>
        <v>1</v>
      </c>
      <c r="N2124" s="1" t="b">
        <f t="shared" si="169"/>
        <v>1</v>
      </c>
      <c r="O2124" s="8" t="str">
        <f>IF(F2124="","",IF($F$2=入力リスト!$H$25,ROUNDDOWN(INT(F2124)+ROUNDDOWN((F2124-INT(F2124))*100,0)/60,2),F2124))</f>
        <v/>
      </c>
      <c r="P2124" s="7"/>
      <c r="Q2124" s="7"/>
    </row>
    <row r="2125" spans="1:17">
      <c r="A2125" s="105"/>
      <c r="B2125" s="2"/>
      <c r="C2125" s="3"/>
      <c r="D2125" s="3"/>
      <c r="E2125" s="3"/>
      <c r="F2125" s="8"/>
      <c r="G2125" s="215" t="str">
        <f>IF(AND($B2125="",OR(B2125&lt;&gt;"",C2125&lt;&gt;"",D2125&lt;&gt;"",E2125&lt;&gt;"",F2125&lt;&gt;"")),入力リスト!$K$34,IF($I2125=TRUE,入力リスト!$K$35,IF(J2125=FALSE,"「毎月の固定給与額」","")&amp;IF(AND(J2125=FALSE,OR(K2125=FALSE,L2125=FALSE,M2125=FALSE)),",","")&amp;IF(K2125=FALSE,"「賞与額等」","")&amp;IF(AND(K2125=FALSE,OR(L2125=FALSE,M2125=FALSE)),",","")&amp;IF(L2125=FALSE,"「残業手当」","")&amp;IF(AND(L2125=FALSE,M2125=FALSE),",","")&amp;IF(M2125=FALSE,"「残業時間」","")&amp;IF(OR(J2125=FALSE,K2125=FALSE,L2125=FALSE,M2125=FALSE),入力リスト!$K$36,"")&amp;IF(N2125,"",入力リスト!$K$37)))</f>
        <v/>
      </c>
      <c r="H2125" s="215"/>
      <c r="I2125" s="1" t="b">
        <f>IF(B2125="",FALSE,COUNTIF('従業員情報(給与以外)'!$A$4:$A$1000000,$B2125)=0)</f>
        <v>0</v>
      </c>
      <c r="J2125" s="8" t="b">
        <f t="shared" si="165"/>
        <v>1</v>
      </c>
      <c r="K2125" s="8" t="b">
        <f t="shared" si="166"/>
        <v>1</v>
      </c>
      <c r="L2125" s="8" t="b">
        <f t="shared" si="167"/>
        <v>1</v>
      </c>
      <c r="M2125" s="8" t="b">
        <f t="shared" si="168"/>
        <v>1</v>
      </c>
      <c r="N2125" s="1" t="b">
        <f t="shared" si="169"/>
        <v>1</v>
      </c>
      <c r="O2125" s="8" t="str">
        <f>IF(F2125="","",IF($F$2=入力リスト!$H$25,ROUNDDOWN(INT(F2125)+ROUNDDOWN((F2125-INT(F2125))*100,0)/60,2),F2125))</f>
        <v/>
      </c>
      <c r="P2125" s="7"/>
      <c r="Q2125" s="7"/>
    </row>
    <row r="2126" spans="1:17">
      <c r="A2126" s="105"/>
      <c r="B2126" s="2"/>
      <c r="C2126" s="3"/>
      <c r="D2126" s="3"/>
      <c r="E2126" s="3"/>
      <c r="F2126" s="8"/>
      <c r="G2126" s="215" t="str">
        <f>IF(AND($B2126="",OR(B2126&lt;&gt;"",C2126&lt;&gt;"",D2126&lt;&gt;"",E2126&lt;&gt;"",F2126&lt;&gt;"")),入力リスト!$K$34,IF($I2126=TRUE,入力リスト!$K$35,IF(J2126=FALSE,"「毎月の固定給与額」","")&amp;IF(AND(J2126=FALSE,OR(K2126=FALSE,L2126=FALSE,M2126=FALSE)),",","")&amp;IF(K2126=FALSE,"「賞与額等」","")&amp;IF(AND(K2126=FALSE,OR(L2126=FALSE,M2126=FALSE)),",","")&amp;IF(L2126=FALSE,"「残業手当」","")&amp;IF(AND(L2126=FALSE,M2126=FALSE),",","")&amp;IF(M2126=FALSE,"「残業時間」","")&amp;IF(OR(J2126=FALSE,K2126=FALSE,L2126=FALSE,M2126=FALSE),入力リスト!$K$36,"")&amp;IF(N2126,"",入力リスト!$K$37)))</f>
        <v/>
      </c>
      <c r="H2126" s="215"/>
      <c r="I2126" s="1" t="b">
        <f>IF(B2126="",FALSE,COUNTIF('従業員情報(給与以外)'!$A$4:$A$1000000,$B2126)=0)</f>
        <v>0</v>
      </c>
      <c r="J2126" s="8" t="b">
        <f t="shared" si="165"/>
        <v>1</v>
      </c>
      <c r="K2126" s="8" t="b">
        <f t="shared" si="166"/>
        <v>1</v>
      </c>
      <c r="L2126" s="8" t="b">
        <f t="shared" si="167"/>
        <v>1</v>
      </c>
      <c r="M2126" s="8" t="b">
        <f t="shared" si="168"/>
        <v>1</v>
      </c>
      <c r="N2126" s="1" t="b">
        <f t="shared" si="169"/>
        <v>1</v>
      </c>
      <c r="O2126" s="8" t="str">
        <f>IF(F2126="","",IF($F$2=入力リスト!$H$25,ROUNDDOWN(INT(F2126)+ROUNDDOWN((F2126-INT(F2126))*100,0)/60,2),F2126))</f>
        <v/>
      </c>
      <c r="P2126" s="7"/>
      <c r="Q2126" s="7"/>
    </row>
    <row r="2127" spans="1:17">
      <c r="A2127" s="105"/>
      <c r="B2127" s="2"/>
      <c r="C2127" s="3"/>
      <c r="D2127" s="3"/>
      <c r="E2127" s="3"/>
      <c r="F2127" s="8"/>
      <c r="G2127" s="215" t="str">
        <f>IF(AND($B2127="",OR(B2127&lt;&gt;"",C2127&lt;&gt;"",D2127&lt;&gt;"",E2127&lt;&gt;"",F2127&lt;&gt;"")),入力リスト!$K$34,IF($I2127=TRUE,入力リスト!$K$35,IF(J2127=FALSE,"「毎月の固定給与額」","")&amp;IF(AND(J2127=FALSE,OR(K2127=FALSE,L2127=FALSE,M2127=FALSE)),",","")&amp;IF(K2127=FALSE,"「賞与額等」","")&amp;IF(AND(K2127=FALSE,OR(L2127=FALSE,M2127=FALSE)),",","")&amp;IF(L2127=FALSE,"「残業手当」","")&amp;IF(AND(L2127=FALSE,M2127=FALSE),",","")&amp;IF(M2127=FALSE,"「残業時間」","")&amp;IF(OR(J2127=FALSE,K2127=FALSE,L2127=FALSE,M2127=FALSE),入力リスト!$K$36,"")&amp;IF(N2127,"",入力リスト!$K$37)))</f>
        <v/>
      </c>
      <c r="H2127" s="215"/>
      <c r="I2127" s="1" t="b">
        <f>IF(B2127="",FALSE,COUNTIF('従業員情報(給与以外)'!$A$4:$A$1000000,$B2127)=0)</f>
        <v>0</v>
      </c>
      <c r="J2127" s="8" t="b">
        <f t="shared" si="165"/>
        <v>1</v>
      </c>
      <c r="K2127" s="8" t="b">
        <f t="shared" si="166"/>
        <v>1</v>
      </c>
      <c r="L2127" s="8" t="b">
        <f t="shared" si="167"/>
        <v>1</v>
      </c>
      <c r="M2127" s="8" t="b">
        <f t="shared" si="168"/>
        <v>1</v>
      </c>
      <c r="N2127" s="1" t="b">
        <f t="shared" si="169"/>
        <v>1</v>
      </c>
      <c r="O2127" s="8" t="str">
        <f>IF(F2127="","",IF($F$2=入力リスト!$H$25,ROUNDDOWN(INT(F2127)+ROUNDDOWN((F2127-INT(F2127))*100,0)/60,2),F2127))</f>
        <v/>
      </c>
      <c r="P2127" s="7"/>
      <c r="Q2127" s="7"/>
    </row>
    <row r="2128" spans="1:17">
      <c r="A2128" s="105"/>
      <c r="B2128" s="2"/>
      <c r="C2128" s="3"/>
      <c r="D2128" s="3"/>
      <c r="E2128" s="3"/>
      <c r="F2128" s="8"/>
      <c r="G2128" s="215" t="str">
        <f>IF(AND($B2128="",OR(B2128&lt;&gt;"",C2128&lt;&gt;"",D2128&lt;&gt;"",E2128&lt;&gt;"",F2128&lt;&gt;"")),入力リスト!$K$34,IF($I2128=TRUE,入力リスト!$K$35,IF(J2128=FALSE,"「毎月の固定給与額」","")&amp;IF(AND(J2128=FALSE,OR(K2128=FALSE,L2128=FALSE,M2128=FALSE)),",","")&amp;IF(K2128=FALSE,"「賞与額等」","")&amp;IF(AND(K2128=FALSE,OR(L2128=FALSE,M2128=FALSE)),",","")&amp;IF(L2128=FALSE,"「残業手当」","")&amp;IF(AND(L2128=FALSE,M2128=FALSE),",","")&amp;IF(M2128=FALSE,"「残業時間」","")&amp;IF(OR(J2128=FALSE,K2128=FALSE,L2128=FALSE,M2128=FALSE),入力リスト!$K$36,"")&amp;IF(N2128,"",入力リスト!$K$37)))</f>
        <v/>
      </c>
      <c r="H2128" s="215"/>
      <c r="I2128" s="1" t="b">
        <f>IF(B2128="",FALSE,COUNTIF('従業員情報(給与以外)'!$A$4:$A$1000000,$B2128)=0)</f>
        <v>0</v>
      </c>
      <c r="J2128" s="8" t="b">
        <f t="shared" si="165"/>
        <v>1</v>
      </c>
      <c r="K2128" s="8" t="b">
        <f t="shared" si="166"/>
        <v>1</v>
      </c>
      <c r="L2128" s="8" t="b">
        <f t="shared" si="167"/>
        <v>1</v>
      </c>
      <c r="M2128" s="8" t="b">
        <f t="shared" si="168"/>
        <v>1</v>
      </c>
      <c r="N2128" s="1" t="b">
        <f t="shared" si="169"/>
        <v>1</v>
      </c>
      <c r="O2128" s="8" t="str">
        <f>IF(F2128="","",IF($F$2=入力リスト!$H$25,ROUNDDOWN(INT(F2128)+ROUNDDOWN((F2128-INT(F2128))*100,0)/60,2),F2128))</f>
        <v/>
      </c>
      <c r="P2128" s="7"/>
      <c r="Q2128" s="7"/>
    </row>
    <row r="2129" spans="1:17">
      <c r="A2129" s="105"/>
      <c r="B2129" s="2"/>
      <c r="C2129" s="3"/>
      <c r="D2129" s="3"/>
      <c r="E2129" s="3"/>
      <c r="F2129" s="8"/>
      <c r="G2129" s="215" t="str">
        <f>IF(AND($B2129="",OR(B2129&lt;&gt;"",C2129&lt;&gt;"",D2129&lt;&gt;"",E2129&lt;&gt;"",F2129&lt;&gt;"")),入力リスト!$K$34,IF($I2129=TRUE,入力リスト!$K$35,IF(J2129=FALSE,"「毎月の固定給与額」","")&amp;IF(AND(J2129=FALSE,OR(K2129=FALSE,L2129=FALSE,M2129=FALSE)),",","")&amp;IF(K2129=FALSE,"「賞与額等」","")&amp;IF(AND(K2129=FALSE,OR(L2129=FALSE,M2129=FALSE)),",","")&amp;IF(L2129=FALSE,"「残業手当」","")&amp;IF(AND(L2129=FALSE,M2129=FALSE),",","")&amp;IF(M2129=FALSE,"「残業時間」","")&amp;IF(OR(J2129=FALSE,K2129=FALSE,L2129=FALSE,M2129=FALSE),入力リスト!$K$36,"")&amp;IF(N2129,"",入力リスト!$K$37)))</f>
        <v/>
      </c>
      <c r="H2129" s="215"/>
      <c r="I2129" s="1" t="b">
        <f>IF(B2129="",FALSE,COUNTIF('従業員情報(給与以外)'!$A$4:$A$1000000,$B2129)=0)</f>
        <v>0</v>
      </c>
      <c r="J2129" s="8" t="b">
        <f t="shared" si="165"/>
        <v>1</v>
      </c>
      <c r="K2129" s="8" t="b">
        <f t="shared" si="166"/>
        <v>1</v>
      </c>
      <c r="L2129" s="8" t="b">
        <f t="shared" si="167"/>
        <v>1</v>
      </c>
      <c r="M2129" s="8" t="b">
        <f t="shared" si="168"/>
        <v>1</v>
      </c>
      <c r="N2129" s="1" t="b">
        <f t="shared" si="169"/>
        <v>1</v>
      </c>
      <c r="O2129" s="8" t="str">
        <f>IF(F2129="","",IF($F$2=入力リスト!$H$25,ROUNDDOWN(INT(F2129)+ROUNDDOWN((F2129-INT(F2129))*100,0)/60,2),F2129))</f>
        <v/>
      </c>
      <c r="P2129" s="7"/>
      <c r="Q2129" s="7"/>
    </row>
    <row r="2130" spans="1:17">
      <c r="A2130" s="105"/>
      <c r="B2130" s="2"/>
      <c r="C2130" s="3"/>
      <c r="D2130" s="3"/>
      <c r="E2130" s="3"/>
      <c r="F2130" s="8"/>
      <c r="G2130" s="215" t="str">
        <f>IF(AND($B2130="",OR(B2130&lt;&gt;"",C2130&lt;&gt;"",D2130&lt;&gt;"",E2130&lt;&gt;"",F2130&lt;&gt;"")),入力リスト!$K$34,IF($I2130=TRUE,入力リスト!$K$35,IF(J2130=FALSE,"「毎月の固定給与額」","")&amp;IF(AND(J2130=FALSE,OR(K2130=FALSE,L2130=FALSE,M2130=FALSE)),",","")&amp;IF(K2130=FALSE,"「賞与額等」","")&amp;IF(AND(K2130=FALSE,OR(L2130=FALSE,M2130=FALSE)),",","")&amp;IF(L2130=FALSE,"「残業手当」","")&amp;IF(AND(L2130=FALSE,M2130=FALSE),",","")&amp;IF(M2130=FALSE,"「残業時間」","")&amp;IF(OR(J2130=FALSE,K2130=FALSE,L2130=FALSE,M2130=FALSE),入力リスト!$K$36,"")&amp;IF(N2130,"",入力リスト!$K$37)))</f>
        <v/>
      </c>
      <c r="H2130" s="215"/>
      <c r="I2130" s="1" t="b">
        <f>IF(B2130="",FALSE,COUNTIF('従業員情報(給与以外)'!$A$4:$A$1000000,$B2130)=0)</f>
        <v>0</v>
      </c>
      <c r="J2130" s="8" t="b">
        <f t="shared" si="165"/>
        <v>1</v>
      </c>
      <c r="K2130" s="8" t="b">
        <f t="shared" si="166"/>
        <v>1</v>
      </c>
      <c r="L2130" s="8" t="b">
        <f t="shared" si="167"/>
        <v>1</v>
      </c>
      <c r="M2130" s="8" t="b">
        <f t="shared" si="168"/>
        <v>1</v>
      </c>
      <c r="N2130" s="1" t="b">
        <f t="shared" si="169"/>
        <v>1</v>
      </c>
      <c r="O2130" s="8" t="str">
        <f>IF(F2130="","",IF($F$2=入力リスト!$H$25,ROUNDDOWN(INT(F2130)+ROUNDDOWN((F2130-INT(F2130))*100,0)/60,2),F2130))</f>
        <v/>
      </c>
      <c r="P2130" s="7"/>
      <c r="Q2130" s="7"/>
    </row>
    <row r="2131" spans="1:17">
      <c r="A2131" s="105"/>
      <c r="B2131" s="2"/>
      <c r="C2131" s="3"/>
      <c r="D2131" s="3"/>
      <c r="E2131" s="3"/>
      <c r="F2131" s="8"/>
      <c r="G2131" s="215" t="str">
        <f>IF(AND($B2131="",OR(B2131&lt;&gt;"",C2131&lt;&gt;"",D2131&lt;&gt;"",E2131&lt;&gt;"",F2131&lt;&gt;"")),入力リスト!$K$34,IF($I2131=TRUE,入力リスト!$K$35,IF(J2131=FALSE,"「毎月の固定給与額」","")&amp;IF(AND(J2131=FALSE,OR(K2131=FALSE,L2131=FALSE,M2131=FALSE)),",","")&amp;IF(K2131=FALSE,"「賞与額等」","")&amp;IF(AND(K2131=FALSE,OR(L2131=FALSE,M2131=FALSE)),",","")&amp;IF(L2131=FALSE,"「残業手当」","")&amp;IF(AND(L2131=FALSE,M2131=FALSE),",","")&amp;IF(M2131=FALSE,"「残業時間」","")&amp;IF(OR(J2131=FALSE,K2131=FALSE,L2131=FALSE,M2131=FALSE),入力リスト!$K$36,"")&amp;IF(N2131,"",入力リスト!$K$37)))</f>
        <v/>
      </c>
      <c r="H2131" s="215"/>
      <c r="I2131" s="1" t="b">
        <f>IF(B2131="",FALSE,COUNTIF('従業員情報(給与以外)'!$A$4:$A$1000000,$B2131)=0)</f>
        <v>0</v>
      </c>
      <c r="J2131" s="8" t="b">
        <f t="shared" si="165"/>
        <v>1</v>
      </c>
      <c r="K2131" s="8" t="b">
        <f t="shared" si="166"/>
        <v>1</v>
      </c>
      <c r="L2131" s="8" t="b">
        <f t="shared" si="167"/>
        <v>1</v>
      </c>
      <c r="M2131" s="8" t="b">
        <f t="shared" si="168"/>
        <v>1</v>
      </c>
      <c r="N2131" s="1" t="b">
        <f t="shared" si="169"/>
        <v>1</v>
      </c>
      <c r="O2131" s="8" t="str">
        <f>IF(F2131="","",IF($F$2=入力リスト!$H$25,ROUNDDOWN(INT(F2131)+ROUNDDOWN((F2131-INT(F2131))*100,0)/60,2),F2131))</f>
        <v/>
      </c>
      <c r="P2131" s="7"/>
      <c r="Q2131" s="7"/>
    </row>
    <row r="2132" spans="1:17">
      <c r="A2132" s="105"/>
      <c r="B2132" s="2"/>
      <c r="C2132" s="3"/>
      <c r="D2132" s="3"/>
      <c r="E2132" s="3"/>
      <c r="F2132" s="8"/>
      <c r="G2132" s="215" t="str">
        <f>IF(AND($B2132="",OR(B2132&lt;&gt;"",C2132&lt;&gt;"",D2132&lt;&gt;"",E2132&lt;&gt;"",F2132&lt;&gt;"")),入力リスト!$K$34,IF($I2132=TRUE,入力リスト!$K$35,IF(J2132=FALSE,"「毎月の固定給与額」","")&amp;IF(AND(J2132=FALSE,OR(K2132=FALSE,L2132=FALSE,M2132=FALSE)),",","")&amp;IF(K2132=FALSE,"「賞与額等」","")&amp;IF(AND(K2132=FALSE,OR(L2132=FALSE,M2132=FALSE)),",","")&amp;IF(L2132=FALSE,"「残業手当」","")&amp;IF(AND(L2132=FALSE,M2132=FALSE),",","")&amp;IF(M2132=FALSE,"「残業時間」","")&amp;IF(OR(J2132=FALSE,K2132=FALSE,L2132=FALSE,M2132=FALSE),入力リスト!$K$36,"")&amp;IF(N2132,"",入力リスト!$K$37)))</f>
        <v/>
      </c>
      <c r="H2132" s="215"/>
      <c r="I2132" s="1" t="b">
        <f>IF(B2132="",FALSE,COUNTIF('従業員情報(給与以外)'!$A$4:$A$1000000,$B2132)=0)</f>
        <v>0</v>
      </c>
      <c r="J2132" s="8" t="b">
        <f t="shared" si="165"/>
        <v>1</v>
      </c>
      <c r="K2132" s="8" t="b">
        <f t="shared" si="166"/>
        <v>1</v>
      </c>
      <c r="L2132" s="8" t="b">
        <f t="shared" si="167"/>
        <v>1</v>
      </c>
      <c r="M2132" s="8" t="b">
        <f t="shared" si="168"/>
        <v>1</v>
      </c>
      <c r="N2132" s="1" t="b">
        <f t="shared" si="169"/>
        <v>1</v>
      </c>
      <c r="O2132" s="8" t="str">
        <f>IF(F2132="","",IF($F$2=入力リスト!$H$25,ROUNDDOWN(INT(F2132)+ROUNDDOWN((F2132-INT(F2132))*100,0)/60,2),F2132))</f>
        <v/>
      </c>
      <c r="P2132" s="7"/>
      <c r="Q2132" s="7"/>
    </row>
    <row r="2133" spans="1:17">
      <c r="A2133" s="105"/>
      <c r="B2133" s="2"/>
      <c r="C2133" s="3"/>
      <c r="D2133" s="3"/>
      <c r="E2133" s="3"/>
      <c r="F2133" s="8"/>
      <c r="G2133" s="215" t="str">
        <f>IF(AND($B2133="",OR(B2133&lt;&gt;"",C2133&lt;&gt;"",D2133&lt;&gt;"",E2133&lt;&gt;"",F2133&lt;&gt;"")),入力リスト!$K$34,IF($I2133=TRUE,入力リスト!$K$35,IF(J2133=FALSE,"「毎月の固定給与額」","")&amp;IF(AND(J2133=FALSE,OR(K2133=FALSE,L2133=FALSE,M2133=FALSE)),",","")&amp;IF(K2133=FALSE,"「賞与額等」","")&amp;IF(AND(K2133=FALSE,OR(L2133=FALSE,M2133=FALSE)),",","")&amp;IF(L2133=FALSE,"「残業手当」","")&amp;IF(AND(L2133=FALSE,M2133=FALSE),",","")&amp;IF(M2133=FALSE,"「残業時間」","")&amp;IF(OR(J2133=FALSE,K2133=FALSE,L2133=FALSE,M2133=FALSE),入力リスト!$K$36,"")&amp;IF(N2133,"",入力リスト!$K$37)))</f>
        <v/>
      </c>
      <c r="H2133" s="215"/>
      <c r="I2133" s="1" t="b">
        <f>IF(B2133="",FALSE,COUNTIF('従業員情報(給与以外)'!$A$4:$A$1000000,$B2133)=0)</f>
        <v>0</v>
      </c>
      <c r="J2133" s="8" t="b">
        <f t="shared" si="165"/>
        <v>1</v>
      </c>
      <c r="K2133" s="8" t="b">
        <f t="shared" si="166"/>
        <v>1</v>
      </c>
      <c r="L2133" s="8" t="b">
        <f t="shared" si="167"/>
        <v>1</v>
      </c>
      <c r="M2133" s="8" t="b">
        <f t="shared" si="168"/>
        <v>1</v>
      </c>
      <c r="N2133" s="1" t="b">
        <f t="shared" si="169"/>
        <v>1</v>
      </c>
      <c r="O2133" s="8" t="str">
        <f>IF(F2133="","",IF($F$2=入力リスト!$H$25,ROUNDDOWN(INT(F2133)+ROUNDDOWN((F2133-INT(F2133))*100,0)/60,2),F2133))</f>
        <v/>
      </c>
      <c r="P2133" s="7"/>
      <c r="Q2133" s="7"/>
    </row>
    <row r="2134" spans="1:17">
      <c r="A2134" s="105"/>
      <c r="B2134" s="2"/>
      <c r="C2134" s="3"/>
      <c r="D2134" s="3"/>
      <c r="E2134" s="3"/>
      <c r="F2134" s="8"/>
      <c r="G2134" s="215" t="str">
        <f>IF(AND($B2134="",OR(B2134&lt;&gt;"",C2134&lt;&gt;"",D2134&lt;&gt;"",E2134&lt;&gt;"",F2134&lt;&gt;"")),入力リスト!$K$34,IF($I2134=TRUE,入力リスト!$K$35,IF(J2134=FALSE,"「毎月の固定給与額」","")&amp;IF(AND(J2134=FALSE,OR(K2134=FALSE,L2134=FALSE,M2134=FALSE)),",","")&amp;IF(K2134=FALSE,"「賞与額等」","")&amp;IF(AND(K2134=FALSE,OR(L2134=FALSE,M2134=FALSE)),",","")&amp;IF(L2134=FALSE,"「残業手当」","")&amp;IF(AND(L2134=FALSE,M2134=FALSE),",","")&amp;IF(M2134=FALSE,"「残業時間」","")&amp;IF(OR(J2134=FALSE,K2134=FALSE,L2134=FALSE,M2134=FALSE),入力リスト!$K$36,"")&amp;IF(N2134,"",入力リスト!$K$37)))</f>
        <v/>
      </c>
      <c r="H2134" s="215"/>
      <c r="I2134" s="1" t="b">
        <f>IF(B2134="",FALSE,COUNTIF('従業員情報(給与以外)'!$A$4:$A$1000000,$B2134)=0)</f>
        <v>0</v>
      </c>
      <c r="J2134" s="8" t="b">
        <f t="shared" si="165"/>
        <v>1</v>
      </c>
      <c r="K2134" s="8" t="b">
        <f t="shared" si="166"/>
        <v>1</v>
      </c>
      <c r="L2134" s="8" t="b">
        <f t="shared" si="167"/>
        <v>1</v>
      </c>
      <c r="M2134" s="8" t="b">
        <f t="shared" si="168"/>
        <v>1</v>
      </c>
      <c r="N2134" s="1" t="b">
        <f t="shared" si="169"/>
        <v>1</v>
      </c>
      <c r="O2134" s="8" t="str">
        <f>IF(F2134="","",IF($F$2=入力リスト!$H$25,ROUNDDOWN(INT(F2134)+ROUNDDOWN((F2134-INT(F2134))*100,0)/60,2),F2134))</f>
        <v/>
      </c>
      <c r="P2134" s="7"/>
      <c r="Q2134" s="7"/>
    </row>
    <row r="2135" spans="1:17">
      <c r="A2135" s="105"/>
      <c r="B2135" s="2"/>
      <c r="C2135" s="3"/>
      <c r="D2135" s="3"/>
      <c r="E2135" s="3"/>
      <c r="F2135" s="8"/>
      <c r="G2135" s="215" t="str">
        <f>IF(AND($B2135="",OR(B2135&lt;&gt;"",C2135&lt;&gt;"",D2135&lt;&gt;"",E2135&lt;&gt;"",F2135&lt;&gt;"")),入力リスト!$K$34,IF($I2135=TRUE,入力リスト!$K$35,IF(J2135=FALSE,"「毎月の固定給与額」","")&amp;IF(AND(J2135=FALSE,OR(K2135=FALSE,L2135=FALSE,M2135=FALSE)),",","")&amp;IF(K2135=FALSE,"「賞与額等」","")&amp;IF(AND(K2135=FALSE,OR(L2135=FALSE,M2135=FALSE)),",","")&amp;IF(L2135=FALSE,"「残業手当」","")&amp;IF(AND(L2135=FALSE,M2135=FALSE),",","")&amp;IF(M2135=FALSE,"「残業時間」","")&amp;IF(OR(J2135=FALSE,K2135=FALSE,L2135=FALSE,M2135=FALSE),入力リスト!$K$36,"")&amp;IF(N2135,"",入力リスト!$K$37)))</f>
        <v/>
      </c>
      <c r="H2135" s="215"/>
      <c r="I2135" s="1" t="b">
        <f>IF(B2135="",FALSE,COUNTIF('従業員情報(給与以外)'!$A$4:$A$1000000,$B2135)=0)</f>
        <v>0</v>
      </c>
      <c r="J2135" s="8" t="b">
        <f t="shared" si="165"/>
        <v>1</v>
      </c>
      <c r="K2135" s="8" t="b">
        <f t="shared" si="166"/>
        <v>1</v>
      </c>
      <c r="L2135" s="8" t="b">
        <f t="shared" si="167"/>
        <v>1</v>
      </c>
      <c r="M2135" s="8" t="b">
        <f t="shared" si="168"/>
        <v>1</v>
      </c>
      <c r="N2135" s="1" t="b">
        <f t="shared" si="169"/>
        <v>1</v>
      </c>
      <c r="O2135" s="8" t="str">
        <f>IF(F2135="","",IF($F$2=入力リスト!$H$25,ROUNDDOWN(INT(F2135)+ROUNDDOWN((F2135-INT(F2135))*100,0)/60,2),F2135))</f>
        <v/>
      </c>
      <c r="P2135" s="7"/>
      <c r="Q2135" s="7"/>
    </row>
    <row r="2136" spans="1:17">
      <c r="A2136" s="105"/>
      <c r="B2136" s="2"/>
      <c r="C2136" s="3"/>
      <c r="D2136" s="3"/>
      <c r="E2136" s="3"/>
      <c r="F2136" s="8"/>
      <c r="G2136" s="215" t="str">
        <f>IF(AND($B2136="",OR(B2136&lt;&gt;"",C2136&lt;&gt;"",D2136&lt;&gt;"",E2136&lt;&gt;"",F2136&lt;&gt;"")),入力リスト!$K$34,IF($I2136=TRUE,入力リスト!$K$35,IF(J2136=FALSE,"「毎月の固定給与額」","")&amp;IF(AND(J2136=FALSE,OR(K2136=FALSE,L2136=FALSE,M2136=FALSE)),",","")&amp;IF(K2136=FALSE,"「賞与額等」","")&amp;IF(AND(K2136=FALSE,OR(L2136=FALSE,M2136=FALSE)),",","")&amp;IF(L2136=FALSE,"「残業手当」","")&amp;IF(AND(L2136=FALSE,M2136=FALSE),",","")&amp;IF(M2136=FALSE,"「残業時間」","")&amp;IF(OR(J2136=FALSE,K2136=FALSE,L2136=FALSE,M2136=FALSE),入力リスト!$K$36,"")&amp;IF(N2136,"",入力リスト!$K$37)))</f>
        <v/>
      </c>
      <c r="H2136" s="215"/>
      <c r="I2136" s="1" t="b">
        <f>IF(B2136="",FALSE,COUNTIF('従業員情報(給与以外)'!$A$4:$A$1000000,$B2136)=0)</f>
        <v>0</v>
      </c>
      <c r="J2136" s="8" t="b">
        <f t="shared" si="165"/>
        <v>1</v>
      </c>
      <c r="K2136" s="8" t="b">
        <f t="shared" si="166"/>
        <v>1</v>
      </c>
      <c r="L2136" s="8" t="b">
        <f t="shared" si="167"/>
        <v>1</v>
      </c>
      <c r="M2136" s="8" t="b">
        <f t="shared" si="168"/>
        <v>1</v>
      </c>
      <c r="N2136" s="1" t="b">
        <f t="shared" si="169"/>
        <v>1</v>
      </c>
      <c r="O2136" s="8" t="str">
        <f>IF(F2136="","",IF($F$2=入力リスト!$H$25,ROUNDDOWN(INT(F2136)+ROUNDDOWN((F2136-INT(F2136))*100,0)/60,2),F2136))</f>
        <v/>
      </c>
      <c r="P2136" s="7"/>
      <c r="Q2136" s="7"/>
    </row>
    <row r="2137" spans="1:17">
      <c r="A2137" s="105"/>
      <c r="B2137" s="2"/>
      <c r="C2137" s="3"/>
      <c r="D2137" s="3"/>
      <c r="E2137" s="3"/>
      <c r="F2137" s="8"/>
      <c r="G2137" s="215" t="str">
        <f>IF(AND($B2137="",OR(B2137&lt;&gt;"",C2137&lt;&gt;"",D2137&lt;&gt;"",E2137&lt;&gt;"",F2137&lt;&gt;"")),入力リスト!$K$34,IF($I2137=TRUE,入力リスト!$K$35,IF(J2137=FALSE,"「毎月の固定給与額」","")&amp;IF(AND(J2137=FALSE,OR(K2137=FALSE,L2137=FALSE,M2137=FALSE)),",","")&amp;IF(K2137=FALSE,"「賞与額等」","")&amp;IF(AND(K2137=FALSE,OR(L2137=FALSE,M2137=FALSE)),",","")&amp;IF(L2137=FALSE,"「残業手当」","")&amp;IF(AND(L2137=FALSE,M2137=FALSE),",","")&amp;IF(M2137=FALSE,"「残業時間」","")&amp;IF(OR(J2137=FALSE,K2137=FALSE,L2137=FALSE,M2137=FALSE),入力リスト!$K$36,"")&amp;IF(N2137,"",入力リスト!$K$37)))</f>
        <v/>
      </c>
      <c r="H2137" s="215"/>
      <c r="I2137" s="1" t="b">
        <f>IF(B2137="",FALSE,COUNTIF('従業員情報(給与以外)'!$A$4:$A$1000000,$B2137)=0)</f>
        <v>0</v>
      </c>
      <c r="J2137" s="8" t="b">
        <f t="shared" si="165"/>
        <v>1</v>
      </c>
      <c r="K2137" s="8" t="b">
        <f t="shared" si="166"/>
        <v>1</v>
      </c>
      <c r="L2137" s="8" t="b">
        <f t="shared" si="167"/>
        <v>1</v>
      </c>
      <c r="M2137" s="8" t="b">
        <f t="shared" si="168"/>
        <v>1</v>
      </c>
      <c r="N2137" s="1" t="b">
        <f t="shared" si="169"/>
        <v>1</v>
      </c>
      <c r="O2137" s="8" t="str">
        <f>IF(F2137="","",IF($F$2=入力リスト!$H$25,ROUNDDOWN(INT(F2137)+ROUNDDOWN((F2137-INT(F2137))*100,0)/60,2),F2137))</f>
        <v/>
      </c>
      <c r="P2137" s="7"/>
      <c r="Q2137" s="7"/>
    </row>
    <row r="2138" spans="1:17">
      <c r="A2138" s="105"/>
      <c r="B2138" s="2"/>
      <c r="C2138" s="3"/>
      <c r="D2138" s="3"/>
      <c r="E2138" s="3"/>
      <c r="F2138" s="8"/>
      <c r="G2138" s="215" t="str">
        <f>IF(AND($B2138="",OR(B2138&lt;&gt;"",C2138&lt;&gt;"",D2138&lt;&gt;"",E2138&lt;&gt;"",F2138&lt;&gt;"")),入力リスト!$K$34,IF($I2138=TRUE,入力リスト!$K$35,IF(J2138=FALSE,"「毎月の固定給与額」","")&amp;IF(AND(J2138=FALSE,OR(K2138=FALSE,L2138=FALSE,M2138=FALSE)),",","")&amp;IF(K2138=FALSE,"「賞与額等」","")&amp;IF(AND(K2138=FALSE,OR(L2138=FALSE,M2138=FALSE)),",","")&amp;IF(L2138=FALSE,"「残業手当」","")&amp;IF(AND(L2138=FALSE,M2138=FALSE),",","")&amp;IF(M2138=FALSE,"「残業時間」","")&amp;IF(OR(J2138=FALSE,K2138=FALSE,L2138=FALSE,M2138=FALSE),入力リスト!$K$36,"")&amp;IF(N2138,"",入力リスト!$K$37)))</f>
        <v/>
      </c>
      <c r="H2138" s="215"/>
      <c r="I2138" s="1" t="b">
        <f>IF(B2138="",FALSE,COUNTIF('従業員情報(給与以外)'!$A$4:$A$1000000,$B2138)=0)</f>
        <v>0</v>
      </c>
      <c r="J2138" s="8" t="b">
        <f t="shared" si="165"/>
        <v>1</v>
      </c>
      <c r="K2138" s="8" t="b">
        <f t="shared" si="166"/>
        <v>1</v>
      </c>
      <c r="L2138" s="8" t="b">
        <f t="shared" si="167"/>
        <v>1</v>
      </c>
      <c r="M2138" s="8" t="b">
        <f t="shared" si="168"/>
        <v>1</v>
      </c>
      <c r="N2138" s="1" t="b">
        <f t="shared" si="169"/>
        <v>1</v>
      </c>
      <c r="O2138" s="8" t="str">
        <f>IF(F2138="","",IF($F$2=入力リスト!$H$25,ROUNDDOWN(INT(F2138)+ROUNDDOWN((F2138-INT(F2138))*100,0)/60,2),F2138))</f>
        <v/>
      </c>
      <c r="P2138" s="7"/>
      <c r="Q2138" s="7"/>
    </row>
    <row r="2139" spans="1:17">
      <c r="A2139" s="105"/>
      <c r="B2139" s="2"/>
      <c r="C2139" s="3"/>
      <c r="D2139" s="3"/>
      <c r="E2139" s="3"/>
      <c r="F2139" s="8"/>
      <c r="G2139" s="215" t="str">
        <f>IF(AND($B2139="",OR(B2139&lt;&gt;"",C2139&lt;&gt;"",D2139&lt;&gt;"",E2139&lt;&gt;"",F2139&lt;&gt;"")),入力リスト!$K$34,IF($I2139=TRUE,入力リスト!$K$35,IF(J2139=FALSE,"「毎月の固定給与額」","")&amp;IF(AND(J2139=FALSE,OR(K2139=FALSE,L2139=FALSE,M2139=FALSE)),",","")&amp;IF(K2139=FALSE,"「賞与額等」","")&amp;IF(AND(K2139=FALSE,OR(L2139=FALSE,M2139=FALSE)),",","")&amp;IF(L2139=FALSE,"「残業手当」","")&amp;IF(AND(L2139=FALSE,M2139=FALSE),",","")&amp;IF(M2139=FALSE,"「残業時間」","")&amp;IF(OR(J2139=FALSE,K2139=FALSE,L2139=FALSE,M2139=FALSE),入力リスト!$K$36,"")&amp;IF(N2139,"",入力リスト!$K$37)))</f>
        <v/>
      </c>
      <c r="H2139" s="215"/>
      <c r="I2139" s="1" t="b">
        <f>IF(B2139="",FALSE,COUNTIF('従業員情報(給与以外)'!$A$4:$A$1000000,$B2139)=0)</f>
        <v>0</v>
      </c>
      <c r="J2139" s="8" t="b">
        <f t="shared" si="165"/>
        <v>1</v>
      </c>
      <c r="K2139" s="8" t="b">
        <f t="shared" si="166"/>
        <v>1</v>
      </c>
      <c r="L2139" s="8" t="b">
        <f t="shared" si="167"/>
        <v>1</v>
      </c>
      <c r="M2139" s="8" t="b">
        <f t="shared" si="168"/>
        <v>1</v>
      </c>
      <c r="N2139" s="1" t="b">
        <f t="shared" si="169"/>
        <v>1</v>
      </c>
      <c r="O2139" s="8" t="str">
        <f>IF(F2139="","",IF($F$2=入力リスト!$H$25,ROUNDDOWN(INT(F2139)+ROUNDDOWN((F2139-INT(F2139))*100,0)/60,2),F2139))</f>
        <v/>
      </c>
      <c r="P2139" s="7"/>
      <c r="Q2139" s="7"/>
    </row>
    <row r="2140" spans="1:17">
      <c r="A2140" s="105"/>
      <c r="B2140" s="2"/>
      <c r="C2140" s="3"/>
      <c r="D2140" s="3"/>
      <c r="E2140" s="3"/>
      <c r="F2140" s="8"/>
      <c r="G2140" s="215" t="str">
        <f>IF(AND($B2140="",OR(B2140&lt;&gt;"",C2140&lt;&gt;"",D2140&lt;&gt;"",E2140&lt;&gt;"",F2140&lt;&gt;"")),入力リスト!$K$34,IF($I2140=TRUE,入力リスト!$K$35,IF(J2140=FALSE,"「毎月の固定給与額」","")&amp;IF(AND(J2140=FALSE,OR(K2140=FALSE,L2140=FALSE,M2140=FALSE)),",","")&amp;IF(K2140=FALSE,"「賞与額等」","")&amp;IF(AND(K2140=FALSE,OR(L2140=FALSE,M2140=FALSE)),",","")&amp;IF(L2140=FALSE,"「残業手当」","")&amp;IF(AND(L2140=FALSE,M2140=FALSE),",","")&amp;IF(M2140=FALSE,"「残業時間」","")&amp;IF(OR(J2140=FALSE,K2140=FALSE,L2140=FALSE,M2140=FALSE),入力リスト!$K$36,"")&amp;IF(N2140,"",入力リスト!$K$37)))</f>
        <v/>
      </c>
      <c r="H2140" s="215"/>
      <c r="I2140" s="1" t="b">
        <f>IF(B2140="",FALSE,COUNTIF('従業員情報(給与以外)'!$A$4:$A$1000000,$B2140)=0)</f>
        <v>0</v>
      </c>
      <c r="J2140" s="8" t="b">
        <f t="shared" si="165"/>
        <v>1</v>
      </c>
      <c r="K2140" s="8" t="b">
        <f t="shared" si="166"/>
        <v>1</v>
      </c>
      <c r="L2140" s="8" t="b">
        <f t="shared" si="167"/>
        <v>1</v>
      </c>
      <c r="M2140" s="8" t="b">
        <f t="shared" si="168"/>
        <v>1</v>
      </c>
      <c r="N2140" s="1" t="b">
        <f t="shared" si="169"/>
        <v>1</v>
      </c>
      <c r="O2140" s="8" t="str">
        <f>IF(F2140="","",IF($F$2=入力リスト!$H$25,ROUNDDOWN(INT(F2140)+ROUNDDOWN((F2140-INT(F2140))*100,0)/60,2),F2140))</f>
        <v/>
      </c>
      <c r="P2140" s="7"/>
      <c r="Q2140" s="7"/>
    </row>
    <row r="2141" spans="1:17">
      <c r="A2141" s="105"/>
      <c r="B2141" s="2"/>
      <c r="C2141" s="3"/>
      <c r="D2141" s="3"/>
      <c r="E2141" s="3"/>
      <c r="F2141" s="8"/>
      <c r="G2141" s="215" t="str">
        <f>IF(AND($B2141="",OR(B2141&lt;&gt;"",C2141&lt;&gt;"",D2141&lt;&gt;"",E2141&lt;&gt;"",F2141&lt;&gt;"")),入力リスト!$K$34,IF($I2141=TRUE,入力リスト!$K$35,IF(J2141=FALSE,"「毎月の固定給与額」","")&amp;IF(AND(J2141=FALSE,OR(K2141=FALSE,L2141=FALSE,M2141=FALSE)),",","")&amp;IF(K2141=FALSE,"「賞与額等」","")&amp;IF(AND(K2141=FALSE,OR(L2141=FALSE,M2141=FALSE)),",","")&amp;IF(L2141=FALSE,"「残業手当」","")&amp;IF(AND(L2141=FALSE,M2141=FALSE),",","")&amp;IF(M2141=FALSE,"「残業時間」","")&amp;IF(OR(J2141=FALSE,K2141=FALSE,L2141=FALSE,M2141=FALSE),入力リスト!$K$36,"")&amp;IF(N2141,"",入力リスト!$K$37)))</f>
        <v/>
      </c>
      <c r="H2141" s="215"/>
      <c r="I2141" s="1" t="b">
        <f>IF(B2141="",FALSE,COUNTIF('従業員情報(給与以外)'!$A$4:$A$1000000,$B2141)=0)</f>
        <v>0</v>
      </c>
      <c r="J2141" s="8" t="b">
        <f t="shared" si="165"/>
        <v>1</v>
      </c>
      <c r="K2141" s="8" t="b">
        <f t="shared" si="166"/>
        <v>1</v>
      </c>
      <c r="L2141" s="8" t="b">
        <f t="shared" si="167"/>
        <v>1</v>
      </c>
      <c r="M2141" s="8" t="b">
        <f t="shared" si="168"/>
        <v>1</v>
      </c>
      <c r="N2141" s="1" t="b">
        <f t="shared" si="169"/>
        <v>1</v>
      </c>
      <c r="O2141" s="8" t="str">
        <f>IF(F2141="","",IF($F$2=入力リスト!$H$25,ROUNDDOWN(INT(F2141)+ROUNDDOWN((F2141-INT(F2141))*100,0)/60,2),F2141))</f>
        <v/>
      </c>
      <c r="P2141" s="7"/>
      <c r="Q2141" s="7"/>
    </row>
    <row r="2142" spans="1:17">
      <c r="A2142" s="105"/>
      <c r="B2142" s="2"/>
      <c r="C2142" s="3"/>
      <c r="D2142" s="3"/>
      <c r="E2142" s="3"/>
      <c r="F2142" s="8"/>
      <c r="G2142" s="215" t="str">
        <f>IF(AND($B2142="",OR(B2142&lt;&gt;"",C2142&lt;&gt;"",D2142&lt;&gt;"",E2142&lt;&gt;"",F2142&lt;&gt;"")),入力リスト!$K$34,IF($I2142=TRUE,入力リスト!$K$35,IF(J2142=FALSE,"「毎月の固定給与額」","")&amp;IF(AND(J2142=FALSE,OR(K2142=FALSE,L2142=FALSE,M2142=FALSE)),",","")&amp;IF(K2142=FALSE,"「賞与額等」","")&amp;IF(AND(K2142=FALSE,OR(L2142=FALSE,M2142=FALSE)),",","")&amp;IF(L2142=FALSE,"「残業手当」","")&amp;IF(AND(L2142=FALSE,M2142=FALSE),",","")&amp;IF(M2142=FALSE,"「残業時間」","")&amp;IF(OR(J2142=FALSE,K2142=FALSE,L2142=FALSE,M2142=FALSE),入力リスト!$K$36,"")&amp;IF(N2142,"",入力リスト!$K$37)))</f>
        <v/>
      </c>
      <c r="H2142" s="215"/>
      <c r="I2142" s="1" t="b">
        <f>IF(B2142="",FALSE,COUNTIF('従業員情報(給与以外)'!$A$4:$A$1000000,$B2142)=0)</f>
        <v>0</v>
      </c>
      <c r="J2142" s="8" t="b">
        <f t="shared" si="165"/>
        <v>1</v>
      </c>
      <c r="K2142" s="8" t="b">
        <f t="shared" si="166"/>
        <v>1</v>
      </c>
      <c r="L2142" s="8" t="b">
        <f t="shared" si="167"/>
        <v>1</v>
      </c>
      <c r="M2142" s="8" t="b">
        <f t="shared" si="168"/>
        <v>1</v>
      </c>
      <c r="N2142" s="1" t="b">
        <f t="shared" si="169"/>
        <v>1</v>
      </c>
      <c r="O2142" s="8" t="str">
        <f>IF(F2142="","",IF($F$2=入力リスト!$H$25,ROUNDDOWN(INT(F2142)+ROUNDDOWN((F2142-INT(F2142))*100,0)/60,2),F2142))</f>
        <v/>
      </c>
      <c r="P2142" s="7"/>
      <c r="Q2142" s="7"/>
    </row>
    <row r="2143" spans="1:17">
      <c r="A2143" s="105"/>
      <c r="B2143" s="2"/>
      <c r="C2143" s="3"/>
      <c r="D2143" s="3"/>
      <c r="E2143" s="3"/>
      <c r="F2143" s="8"/>
      <c r="G2143" s="215" t="str">
        <f>IF(AND($B2143="",OR(B2143&lt;&gt;"",C2143&lt;&gt;"",D2143&lt;&gt;"",E2143&lt;&gt;"",F2143&lt;&gt;"")),入力リスト!$K$34,IF($I2143=TRUE,入力リスト!$K$35,IF(J2143=FALSE,"「毎月の固定給与額」","")&amp;IF(AND(J2143=FALSE,OR(K2143=FALSE,L2143=FALSE,M2143=FALSE)),",","")&amp;IF(K2143=FALSE,"「賞与額等」","")&amp;IF(AND(K2143=FALSE,OR(L2143=FALSE,M2143=FALSE)),",","")&amp;IF(L2143=FALSE,"「残業手当」","")&amp;IF(AND(L2143=FALSE,M2143=FALSE),",","")&amp;IF(M2143=FALSE,"「残業時間」","")&amp;IF(OR(J2143=FALSE,K2143=FALSE,L2143=FALSE,M2143=FALSE),入力リスト!$K$36,"")&amp;IF(N2143,"",入力リスト!$K$37)))</f>
        <v/>
      </c>
      <c r="H2143" s="215"/>
      <c r="I2143" s="1" t="b">
        <f>IF(B2143="",FALSE,COUNTIF('従業員情報(給与以外)'!$A$4:$A$1000000,$B2143)=0)</f>
        <v>0</v>
      </c>
      <c r="J2143" s="8" t="b">
        <f t="shared" si="165"/>
        <v>1</v>
      </c>
      <c r="K2143" s="8" t="b">
        <f t="shared" si="166"/>
        <v>1</v>
      </c>
      <c r="L2143" s="8" t="b">
        <f t="shared" si="167"/>
        <v>1</v>
      </c>
      <c r="M2143" s="8" t="b">
        <f t="shared" si="168"/>
        <v>1</v>
      </c>
      <c r="N2143" s="1" t="b">
        <f t="shared" si="169"/>
        <v>1</v>
      </c>
      <c r="O2143" s="8" t="str">
        <f>IF(F2143="","",IF($F$2=入力リスト!$H$25,ROUNDDOWN(INT(F2143)+ROUNDDOWN((F2143-INT(F2143))*100,0)/60,2),F2143))</f>
        <v/>
      </c>
      <c r="P2143" s="7"/>
      <c r="Q2143" s="7"/>
    </row>
    <row r="2144" spans="1:17">
      <c r="A2144" s="105"/>
      <c r="B2144" s="2"/>
      <c r="C2144" s="3"/>
      <c r="D2144" s="3"/>
      <c r="E2144" s="3"/>
      <c r="F2144" s="8"/>
      <c r="G2144" s="215" t="str">
        <f>IF(AND($B2144="",OR(B2144&lt;&gt;"",C2144&lt;&gt;"",D2144&lt;&gt;"",E2144&lt;&gt;"",F2144&lt;&gt;"")),入力リスト!$K$34,IF($I2144=TRUE,入力リスト!$K$35,IF(J2144=FALSE,"「毎月の固定給与額」","")&amp;IF(AND(J2144=FALSE,OR(K2144=FALSE,L2144=FALSE,M2144=FALSE)),",","")&amp;IF(K2144=FALSE,"「賞与額等」","")&amp;IF(AND(K2144=FALSE,OR(L2144=FALSE,M2144=FALSE)),",","")&amp;IF(L2144=FALSE,"「残業手当」","")&amp;IF(AND(L2144=FALSE,M2144=FALSE),",","")&amp;IF(M2144=FALSE,"「残業時間」","")&amp;IF(OR(J2144=FALSE,K2144=FALSE,L2144=FALSE,M2144=FALSE),入力リスト!$K$36,"")&amp;IF(N2144,"",入力リスト!$K$37)))</f>
        <v/>
      </c>
      <c r="H2144" s="215"/>
      <c r="I2144" s="1" t="b">
        <f>IF(B2144="",FALSE,COUNTIF('従業員情報(給与以外)'!$A$4:$A$1000000,$B2144)=0)</f>
        <v>0</v>
      </c>
      <c r="J2144" s="8" t="b">
        <f t="shared" si="165"/>
        <v>1</v>
      </c>
      <c r="K2144" s="8" t="b">
        <f t="shared" si="166"/>
        <v>1</v>
      </c>
      <c r="L2144" s="8" t="b">
        <f t="shared" si="167"/>
        <v>1</v>
      </c>
      <c r="M2144" s="8" t="b">
        <f t="shared" si="168"/>
        <v>1</v>
      </c>
      <c r="N2144" s="1" t="b">
        <f t="shared" si="169"/>
        <v>1</v>
      </c>
      <c r="O2144" s="8" t="str">
        <f>IF(F2144="","",IF($F$2=入力リスト!$H$25,ROUNDDOWN(INT(F2144)+ROUNDDOWN((F2144-INT(F2144))*100,0)/60,2),F2144))</f>
        <v/>
      </c>
      <c r="P2144" s="7"/>
      <c r="Q2144" s="7"/>
    </row>
    <row r="2145" spans="1:17">
      <c r="A2145" s="105"/>
      <c r="B2145" s="2"/>
      <c r="C2145" s="3"/>
      <c r="D2145" s="3"/>
      <c r="E2145" s="3"/>
      <c r="F2145" s="8"/>
      <c r="G2145" s="215" t="str">
        <f>IF(AND($B2145="",OR(B2145&lt;&gt;"",C2145&lt;&gt;"",D2145&lt;&gt;"",E2145&lt;&gt;"",F2145&lt;&gt;"")),入力リスト!$K$34,IF($I2145=TRUE,入力リスト!$K$35,IF(J2145=FALSE,"「毎月の固定給与額」","")&amp;IF(AND(J2145=FALSE,OR(K2145=FALSE,L2145=FALSE,M2145=FALSE)),",","")&amp;IF(K2145=FALSE,"「賞与額等」","")&amp;IF(AND(K2145=FALSE,OR(L2145=FALSE,M2145=FALSE)),",","")&amp;IF(L2145=FALSE,"「残業手当」","")&amp;IF(AND(L2145=FALSE,M2145=FALSE),",","")&amp;IF(M2145=FALSE,"「残業時間」","")&amp;IF(OR(J2145=FALSE,K2145=FALSE,L2145=FALSE,M2145=FALSE),入力リスト!$K$36,"")&amp;IF(N2145,"",入力リスト!$K$37)))</f>
        <v/>
      </c>
      <c r="H2145" s="215"/>
      <c r="I2145" s="1" t="b">
        <f>IF(B2145="",FALSE,COUNTIF('従業員情報(給与以外)'!$A$4:$A$1000000,$B2145)=0)</f>
        <v>0</v>
      </c>
      <c r="J2145" s="8" t="b">
        <f t="shared" si="165"/>
        <v>1</v>
      </c>
      <c r="K2145" s="8" t="b">
        <f t="shared" si="166"/>
        <v>1</v>
      </c>
      <c r="L2145" s="8" t="b">
        <f t="shared" si="167"/>
        <v>1</v>
      </c>
      <c r="M2145" s="8" t="b">
        <f t="shared" si="168"/>
        <v>1</v>
      </c>
      <c r="N2145" s="1" t="b">
        <f t="shared" si="169"/>
        <v>1</v>
      </c>
      <c r="O2145" s="8" t="str">
        <f>IF(F2145="","",IF($F$2=入力リスト!$H$25,ROUNDDOWN(INT(F2145)+ROUNDDOWN((F2145-INT(F2145))*100,0)/60,2),F2145))</f>
        <v/>
      </c>
      <c r="P2145" s="7"/>
      <c r="Q2145" s="7"/>
    </row>
    <row r="2146" spans="1:17">
      <c r="A2146" s="105"/>
      <c r="B2146" s="2"/>
      <c r="C2146" s="3"/>
      <c r="D2146" s="3"/>
      <c r="E2146" s="3"/>
      <c r="F2146" s="8"/>
      <c r="G2146" s="215" t="str">
        <f>IF(AND($B2146="",OR(B2146&lt;&gt;"",C2146&lt;&gt;"",D2146&lt;&gt;"",E2146&lt;&gt;"",F2146&lt;&gt;"")),入力リスト!$K$34,IF($I2146=TRUE,入力リスト!$K$35,IF(J2146=FALSE,"「毎月の固定給与額」","")&amp;IF(AND(J2146=FALSE,OR(K2146=FALSE,L2146=FALSE,M2146=FALSE)),",","")&amp;IF(K2146=FALSE,"「賞与額等」","")&amp;IF(AND(K2146=FALSE,OR(L2146=FALSE,M2146=FALSE)),",","")&amp;IF(L2146=FALSE,"「残業手当」","")&amp;IF(AND(L2146=FALSE,M2146=FALSE),",","")&amp;IF(M2146=FALSE,"「残業時間」","")&amp;IF(OR(J2146=FALSE,K2146=FALSE,L2146=FALSE,M2146=FALSE),入力リスト!$K$36,"")&amp;IF(N2146,"",入力リスト!$K$37)))</f>
        <v/>
      </c>
      <c r="H2146" s="215"/>
      <c r="I2146" s="1" t="b">
        <f>IF(B2146="",FALSE,COUNTIF('従業員情報(給与以外)'!$A$4:$A$1000000,$B2146)=0)</f>
        <v>0</v>
      </c>
      <c r="J2146" s="8" t="b">
        <f t="shared" si="165"/>
        <v>1</v>
      </c>
      <c r="K2146" s="8" t="b">
        <f t="shared" si="166"/>
        <v>1</v>
      </c>
      <c r="L2146" s="8" t="b">
        <f t="shared" si="167"/>
        <v>1</v>
      </c>
      <c r="M2146" s="8" t="b">
        <f t="shared" si="168"/>
        <v>1</v>
      </c>
      <c r="N2146" s="1" t="b">
        <f t="shared" si="169"/>
        <v>1</v>
      </c>
      <c r="O2146" s="8" t="str">
        <f>IF(F2146="","",IF($F$2=入力リスト!$H$25,ROUNDDOWN(INT(F2146)+ROUNDDOWN((F2146-INT(F2146))*100,0)/60,2),F2146))</f>
        <v/>
      </c>
      <c r="P2146" s="7"/>
      <c r="Q2146" s="7"/>
    </row>
    <row r="2147" spans="1:17">
      <c r="A2147" s="105"/>
      <c r="B2147" s="2"/>
      <c r="C2147" s="3"/>
      <c r="D2147" s="3"/>
      <c r="E2147" s="3"/>
      <c r="F2147" s="8"/>
      <c r="G2147" s="215" t="str">
        <f>IF(AND($B2147="",OR(B2147&lt;&gt;"",C2147&lt;&gt;"",D2147&lt;&gt;"",E2147&lt;&gt;"",F2147&lt;&gt;"")),入力リスト!$K$34,IF($I2147=TRUE,入力リスト!$K$35,IF(J2147=FALSE,"「毎月の固定給与額」","")&amp;IF(AND(J2147=FALSE,OR(K2147=FALSE,L2147=FALSE,M2147=FALSE)),",","")&amp;IF(K2147=FALSE,"「賞与額等」","")&amp;IF(AND(K2147=FALSE,OR(L2147=FALSE,M2147=FALSE)),",","")&amp;IF(L2147=FALSE,"「残業手当」","")&amp;IF(AND(L2147=FALSE,M2147=FALSE),",","")&amp;IF(M2147=FALSE,"「残業時間」","")&amp;IF(OR(J2147=FALSE,K2147=FALSE,L2147=FALSE,M2147=FALSE),入力リスト!$K$36,"")&amp;IF(N2147,"",入力リスト!$K$37)))</f>
        <v/>
      </c>
      <c r="H2147" s="215"/>
      <c r="I2147" s="1" t="b">
        <f>IF(B2147="",FALSE,COUNTIF('従業員情報(給与以外)'!$A$4:$A$1000000,$B2147)=0)</f>
        <v>0</v>
      </c>
      <c r="J2147" s="8" t="b">
        <f t="shared" si="165"/>
        <v>1</v>
      </c>
      <c r="K2147" s="8" t="b">
        <f t="shared" si="166"/>
        <v>1</v>
      </c>
      <c r="L2147" s="8" t="b">
        <f t="shared" si="167"/>
        <v>1</v>
      </c>
      <c r="M2147" s="8" t="b">
        <f t="shared" si="168"/>
        <v>1</v>
      </c>
      <c r="N2147" s="1" t="b">
        <f t="shared" si="169"/>
        <v>1</v>
      </c>
      <c r="O2147" s="8" t="str">
        <f>IF(F2147="","",IF($F$2=入力リスト!$H$25,ROUNDDOWN(INT(F2147)+ROUNDDOWN((F2147-INT(F2147))*100,0)/60,2),F2147))</f>
        <v/>
      </c>
      <c r="P2147" s="7"/>
      <c r="Q2147" s="7"/>
    </row>
    <row r="2148" spans="1:17">
      <c r="A2148" s="105"/>
      <c r="B2148" s="2"/>
      <c r="C2148" s="3"/>
      <c r="D2148" s="3"/>
      <c r="E2148" s="3"/>
      <c r="F2148" s="8"/>
      <c r="G2148" s="215" t="str">
        <f>IF(AND($B2148="",OR(B2148&lt;&gt;"",C2148&lt;&gt;"",D2148&lt;&gt;"",E2148&lt;&gt;"",F2148&lt;&gt;"")),入力リスト!$K$34,IF($I2148=TRUE,入力リスト!$K$35,IF(J2148=FALSE,"「毎月の固定給与額」","")&amp;IF(AND(J2148=FALSE,OR(K2148=FALSE,L2148=FALSE,M2148=FALSE)),",","")&amp;IF(K2148=FALSE,"「賞与額等」","")&amp;IF(AND(K2148=FALSE,OR(L2148=FALSE,M2148=FALSE)),",","")&amp;IF(L2148=FALSE,"「残業手当」","")&amp;IF(AND(L2148=FALSE,M2148=FALSE),",","")&amp;IF(M2148=FALSE,"「残業時間」","")&amp;IF(OR(J2148=FALSE,K2148=FALSE,L2148=FALSE,M2148=FALSE),入力リスト!$K$36,"")&amp;IF(N2148,"",入力リスト!$K$37)))</f>
        <v/>
      </c>
      <c r="H2148" s="215"/>
      <c r="I2148" s="1" t="b">
        <f>IF(B2148="",FALSE,COUNTIF('従業員情報(給与以外)'!$A$4:$A$1000000,$B2148)=0)</f>
        <v>0</v>
      </c>
      <c r="J2148" s="8" t="b">
        <f t="shared" si="165"/>
        <v>1</v>
      </c>
      <c r="K2148" s="8" t="b">
        <f t="shared" si="166"/>
        <v>1</v>
      </c>
      <c r="L2148" s="8" t="b">
        <f t="shared" si="167"/>
        <v>1</v>
      </c>
      <c r="M2148" s="8" t="b">
        <f t="shared" si="168"/>
        <v>1</v>
      </c>
      <c r="N2148" s="1" t="b">
        <f t="shared" si="169"/>
        <v>1</v>
      </c>
      <c r="O2148" s="8" t="str">
        <f>IF(F2148="","",IF($F$2=入力リスト!$H$25,ROUNDDOWN(INT(F2148)+ROUNDDOWN((F2148-INT(F2148))*100,0)/60,2),F2148))</f>
        <v/>
      </c>
      <c r="P2148" s="7"/>
      <c r="Q2148" s="7"/>
    </row>
    <row r="2149" spans="1:17">
      <c r="A2149" s="105"/>
      <c r="B2149" s="2"/>
      <c r="C2149" s="3"/>
      <c r="D2149" s="3"/>
      <c r="E2149" s="3"/>
      <c r="F2149" s="8"/>
      <c r="G2149" s="215" t="str">
        <f>IF(AND($B2149="",OR(B2149&lt;&gt;"",C2149&lt;&gt;"",D2149&lt;&gt;"",E2149&lt;&gt;"",F2149&lt;&gt;"")),入力リスト!$K$34,IF($I2149=TRUE,入力リスト!$K$35,IF(J2149=FALSE,"「毎月の固定給与額」","")&amp;IF(AND(J2149=FALSE,OR(K2149=FALSE,L2149=FALSE,M2149=FALSE)),",","")&amp;IF(K2149=FALSE,"「賞与額等」","")&amp;IF(AND(K2149=FALSE,OR(L2149=FALSE,M2149=FALSE)),",","")&amp;IF(L2149=FALSE,"「残業手当」","")&amp;IF(AND(L2149=FALSE,M2149=FALSE),",","")&amp;IF(M2149=FALSE,"「残業時間」","")&amp;IF(OR(J2149=FALSE,K2149=FALSE,L2149=FALSE,M2149=FALSE),入力リスト!$K$36,"")&amp;IF(N2149,"",入力リスト!$K$37)))</f>
        <v/>
      </c>
      <c r="H2149" s="215"/>
      <c r="I2149" s="1" t="b">
        <f>IF(B2149="",FALSE,COUNTIF('従業員情報(給与以外)'!$A$4:$A$1000000,$B2149)=0)</f>
        <v>0</v>
      </c>
      <c r="J2149" s="8" t="b">
        <f t="shared" si="165"/>
        <v>1</v>
      </c>
      <c r="K2149" s="8" t="b">
        <f t="shared" si="166"/>
        <v>1</v>
      </c>
      <c r="L2149" s="8" t="b">
        <f t="shared" si="167"/>
        <v>1</v>
      </c>
      <c r="M2149" s="8" t="b">
        <f t="shared" si="168"/>
        <v>1</v>
      </c>
      <c r="N2149" s="1" t="b">
        <f t="shared" si="169"/>
        <v>1</v>
      </c>
      <c r="O2149" s="8" t="str">
        <f>IF(F2149="","",IF($F$2=入力リスト!$H$25,ROUNDDOWN(INT(F2149)+ROUNDDOWN((F2149-INT(F2149))*100,0)/60,2),F2149))</f>
        <v/>
      </c>
      <c r="P2149" s="7"/>
      <c r="Q2149" s="7"/>
    </row>
    <row r="2150" spans="1:17">
      <c r="A2150" s="105"/>
      <c r="B2150" s="2"/>
      <c r="C2150" s="3"/>
      <c r="D2150" s="3"/>
      <c r="E2150" s="3"/>
      <c r="F2150" s="8"/>
      <c r="G2150" s="215" t="str">
        <f>IF(AND($B2150="",OR(B2150&lt;&gt;"",C2150&lt;&gt;"",D2150&lt;&gt;"",E2150&lt;&gt;"",F2150&lt;&gt;"")),入力リスト!$K$34,IF($I2150=TRUE,入力リスト!$K$35,IF(J2150=FALSE,"「毎月の固定給与額」","")&amp;IF(AND(J2150=FALSE,OR(K2150=FALSE,L2150=FALSE,M2150=FALSE)),",","")&amp;IF(K2150=FALSE,"「賞与額等」","")&amp;IF(AND(K2150=FALSE,OR(L2150=FALSE,M2150=FALSE)),",","")&amp;IF(L2150=FALSE,"「残業手当」","")&amp;IF(AND(L2150=FALSE,M2150=FALSE),",","")&amp;IF(M2150=FALSE,"「残業時間」","")&amp;IF(OR(J2150=FALSE,K2150=FALSE,L2150=FALSE,M2150=FALSE),入力リスト!$K$36,"")&amp;IF(N2150,"",入力リスト!$K$37)))</f>
        <v/>
      </c>
      <c r="H2150" s="215"/>
      <c r="I2150" s="1" t="b">
        <f>IF(B2150="",FALSE,COUNTIF('従業員情報(給与以外)'!$A$4:$A$1000000,$B2150)=0)</f>
        <v>0</v>
      </c>
      <c r="J2150" s="8" t="b">
        <f t="shared" si="165"/>
        <v>1</v>
      </c>
      <c r="K2150" s="8" t="b">
        <f t="shared" si="166"/>
        <v>1</v>
      </c>
      <c r="L2150" s="8" t="b">
        <f t="shared" si="167"/>
        <v>1</v>
      </c>
      <c r="M2150" s="8" t="b">
        <f t="shared" si="168"/>
        <v>1</v>
      </c>
      <c r="N2150" s="1" t="b">
        <f t="shared" si="169"/>
        <v>1</v>
      </c>
      <c r="O2150" s="8" t="str">
        <f>IF(F2150="","",IF($F$2=入力リスト!$H$25,ROUNDDOWN(INT(F2150)+ROUNDDOWN((F2150-INT(F2150))*100,0)/60,2),F2150))</f>
        <v/>
      </c>
      <c r="P2150" s="7"/>
      <c r="Q2150" s="7"/>
    </row>
    <row r="2151" spans="1:17">
      <c r="A2151" s="105"/>
      <c r="B2151" s="2"/>
      <c r="C2151" s="3"/>
      <c r="D2151" s="3"/>
      <c r="E2151" s="3"/>
      <c r="F2151" s="8"/>
      <c r="G2151" s="215" t="str">
        <f>IF(AND($B2151="",OR(B2151&lt;&gt;"",C2151&lt;&gt;"",D2151&lt;&gt;"",E2151&lt;&gt;"",F2151&lt;&gt;"")),入力リスト!$K$34,IF($I2151=TRUE,入力リスト!$K$35,IF(J2151=FALSE,"「毎月の固定給与額」","")&amp;IF(AND(J2151=FALSE,OR(K2151=FALSE,L2151=FALSE,M2151=FALSE)),",","")&amp;IF(K2151=FALSE,"「賞与額等」","")&amp;IF(AND(K2151=FALSE,OR(L2151=FALSE,M2151=FALSE)),",","")&amp;IF(L2151=FALSE,"「残業手当」","")&amp;IF(AND(L2151=FALSE,M2151=FALSE),",","")&amp;IF(M2151=FALSE,"「残業時間」","")&amp;IF(OR(J2151=FALSE,K2151=FALSE,L2151=FALSE,M2151=FALSE),入力リスト!$K$36,"")&amp;IF(N2151,"",入力リスト!$K$37)))</f>
        <v/>
      </c>
      <c r="H2151" s="215"/>
      <c r="I2151" s="1" t="b">
        <f>IF(B2151="",FALSE,COUNTIF('従業員情報(給与以外)'!$A$4:$A$1000000,$B2151)=0)</f>
        <v>0</v>
      </c>
      <c r="J2151" s="8" t="b">
        <f t="shared" si="165"/>
        <v>1</v>
      </c>
      <c r="K2151" s="8" t="b">
        <f t="shared" si="166"/>
        <v>1</v>
      </c>
      <c r="L2151" s="8" t="b">
        <f t="shared" si="167"/>
        <v>1</v>
      </c>
      <c r="M2151" s="8" t="b">
        <f t="shared" si="168"/>
        <v>1</v>
      </c>
      <c r="N2151" s="1" t="b">
        <f t="shared" si="169"/>
        <v>1</v>
      </c>
      <c r="O2151" s="8" t="str">
        <f>IF(F2151="","",IF($F$2=入力リスト!$H$25,ROUNDDOWN(INT(F2151)+ROUNDDOWN((F2151-INT(F2151))*100,0)/60,2),F2151))</f>
        <v/>
      </c>
      <c r="P2151" s="7"/>
      <c r="Q2151" s="7"/>
    </row>
    <row r="2152" spans="1:17">
      <c r="A2152" s="105"/>
      <c r="B2152" s="2"/>
      <c r="C2152" s="3"/>
      <c r="D2152" s="3"/>
      <c r="E2152" s="3"/>
      <c r="F2152" s="8"/>
      <c r="G2152" s="215" t="str">
        <f>IF(AND($B2152="",OR(B2152&lt;&gt;"",C2152&lt;&gt;"",D2152&lt;&gt;"",E2152&lt;&gt;"",F2152&lt;&gt;"")),入力リスト!$K$34,IF($I2152=TRUE,入力リスト!$K$35,IF(J2152=FALSE,"「毎月の固定給与額」","")&amp;IF(AND(J2152=FALSE,OR(K2152=FALSE,L2152=FALSE,M2152=FALSE)),",","")&amp;IF(K2152=FALSE,"「賞与額等」","")&amp;IF(AND(K2152=FALSE,OR(L2152=FALSE,M2152=FALSE)),",","")&amp;IF(L2152=FALSE,"「残業手当」","")&amp;IF(AND(L2152=FALSE,M2152=FALSE),",","")&amp;IF(M2152=FALSE,"「残業時間」","")&amp;IF(OR(J2152=FALSE,K2152=FALSE,L2152=FALSE,M2152=FALSE),入力リスト!$K$36,"")&amp;IF(N2152,"",入力リスト!$K$37)))</f>
        <v/>
      </c>
      <c r="H2152" s="215"/>
      <c r="I2152" s="1" t="b">
        <f>IF(B2152="",FALSE,COUNTIF('従業員情報(給与以外)'!$A$4:$A$1000000,$B2152)=0)</f>
        <v>0</v>
      </c>
      <c r="J2152" s="8" t="b">
        <f t="shared" si="165"/>
        <v>1</v>
      </c>
      <c r="K2152" s="8" t="b">
        <f t="shared" si="166"/>
        <v>1</v>
      </c>
      <c r="L2152" s="8" t="b">
        <f t="shared" si="167"/>
        <v>1</v>
      </c>
      <c r="M2152" s="8" t="b">
        <f t="shared" si="168"/>
        <v>1</v>
      </c>
      <c r="N2152" s="1" t="b">
        <f t="shared" si="169"/>
        <v>1</v>
      </c>
      <c r="O2152" s="8" t="str">
        <f>IF(F2152="","",IF($F$2=入力リスト!$H$25,ROUNDDOWN(INT(F2152)+ROUNDDOWN((F2152-INT(F2152))*100,0)/60,2),F2152))</f>
        <v/>
      </c>
      <c r="P2152" s="7"/>
      <c r="Q2152" s="7"/>
    </row>
    <row r="2153" spans="1:17">
      <c r="A2153" s="105"/>
      <c r="B2153" s="2"/>
      <c r="C2153" s="3"/>
      <c r="D2153" s="3"/>
      <c r="E2153" s="3"/>
      <c r="F2153" s="8"/>
      <c r="G2153" s="215" t="str">
        <f>IF(AND($B2153="",OR(B2153&lt;&gt;"",C2153&lt;&gt;"",D2153&lt;&gt;"",E2153&lt;&gt;"",F2153&lt;&gt;"")),入力リスト!$K$34,IF($I2153=TRUE,入力リスト!$K$35,IF(J2153=FALSE,"「毎月の固定給与額」","")&amp;IF(AND(J2153=FALSE,OR(K2153=FALSE,L2153=FALSE,M2153=FALSE)),",","")&amp;IF(K2153=FALSE,"「賞与額等」","")&amp;IF(AND(K2153=FALSE,OR(L2153=FALSE,M2153=FALSE)),",","")&amp;IF(L2153=FALSE,"「残業手当」","")&amp;IF(AND(L2153=FALSE,M2153=FALSE),",","")&amp;IF(M2153=FALSE,"「残業時間」","")&amp;IF(OR(J2153=FALSE,K2153=FALSE,L2153=FALSE,M2153=FALSE),入力リスト!$K$36,"")&amp;IF(N2153,"",入力リスト!$K$37)))</f>
        <v/>
      </c>
      <c r="H2153" s="215"/>
      <c r="I2153" s="1" t="b">
        <f>IF(B2153="",FALSE,COUNTIF('従業員情報(給与以外)'!$A$4:$A$1000000,$B2153)=0)</f>
        <v>0</v>
      </c>
      <c r="J2153" s="8" t="b">
        <f t="shared" si="165"/>
        <v>1</v>
      </c>
      <c r="K2153" s="8" t="b">
        <f t="shared" si="166"/>
        <v>1</v>
      </c>
      <c r="L2153" s="8" t="b">
        <f t="shared" si="167"/>
        <v>1</v>
      </c>
      <c r="M2153" s="8" t="b">
        <f t="shared" si="168"/>
        <v>1</v>
      </c>
      <c r="N2153" s="1" t="b">
        <f t="shared" si="169"/>
        <v>1</v>
      </c>
      <c r="O2153" s="8" t="str">
        <f>IF(F2153="","",IF($F$2=入力リスト!$H$25,ROUNDDOWN(INT(F2153)+ROUNDDOWN((F2153-INT(F2153))*100,0)/60,2),F2153))</f>
        <v/>
      </c>
      <c r="P2153" s="7"/>
      <c r="Q2153" s="7"/>
    </row>
    <row r="2154" spans="1:17">
      <c r="A2154" s="105"/>
      <c r="B2154" s="2"/>
      <c r="C2154" s="3"/>
      <c r="D2154" s="3"/>
      <c r="E2154" s="3"/>
      <c r="F2154" s="8"/>
      <c r="G2154" s="215" t="str">
        <f>IF(AND($B2154="",OR(B2154&lt;&gt;"",C2154&lt;&gt;"",D2154&lt;&gt;"",E2154&lt;&gt;"",F2154&lt;&gt;"")),入力リスト!$K$34,IF($I2154=TRUE,入力リスト!$K$35,IF(J2154=FALSE,"「毎月の固定給与額」","")&amp;IF(AND(J2154=FALSE,OR(K2154=FALSE,L2154=FALSE,M2154=FALSE)),",","")&amp;IF(K2154=FALSE,"「賞与額等」","")&amp;IF(AND(K2154=FALSE,OR(L2154=FALSE,M2154=FALSE)),",","")&amp;IF(L2154=FALSE,"「残業手当」","")&amp;IF(AND(L2154=FALSE,M2154=FALSE),",","")&amp;IF(M2154=FALSE,"「残業時間」","")&amp;IF(OR(J2154=FALSE,K2154=FALSE,L2154=FALSE,M2154=FALSE),入力リスト!$K$36,"")&amp;IF(N2154,"",入力リスト!$K$37)))</f>
        <v/>
      </c>
      <c r="H2154" s="215"/>
      <c r="I2154" s="1" t="b">
        <f>IF(B2154="",FALSE,COUNTIF('従業員情報(給与以外)'!$A$4:$A$1000000,$B2154)=0)</f>
        <v>0</v>
      </c>
      <c r="J2154" s="8" t="b">
        <f t="shared" si="165"/>
        <v>1</v>
      </c>
      <c r="K2154" s="8" t="b">
        <f t="shared" si="166"/>
        <v>1</v>
      </c>
      <c r="L2154" s="8" t="b">
        <f t="shared" si="167"/>
        <v>1</v>
      </c>
      <c r="M2154" s="8" t="b">
        <f t="shared" si="168"/>
        <v>1</v>
      </c>
      <c r="N2154" s="1" t="b">
        <f t="shared" si="169"/>
        <v>1</v>
      </c>
      <c r="O2154" s="8" t="str">
        <f>IF(F2154="","",IF($F$2=入力リスト!$H$25,ROUNDDOWN(INT(F2154)+ROUNDDOWN((F2154-INT(F2154))*100,0)/60,2),F2154))</f>
        <v/>
      </c>
      <c r="P2154" s="7"/>
      <c r="Q2154" s="7"/>
    </row>
    <row r="2155" spans="1:17">
      <c r="A2155" s="105"/>
      <c r="B2155" s="2"/>
      <c r="C2155" s="3"/>
      <c r="D2155" s="3"/>
      <c r="E2155" s="3"/>
      <c r="F2155" s="8"/>
      <c r="G2155" s="215" t="str">
        <f>IF(AND($B2155="",OR(B2155&lt;&gt;"",C2155&lt;&gt;"",D2155&lt;&gt;"",E2155&lt;&gt;"",F2155&lt;&gt;"")),入力リスト!$K$34,IF($I2155=TRUE,入力リスト!$K$35,IF(J2155=FALSE,"「毎月の固定給与額」","")&amp;IF(AND(J2155=FALSE,OR(K2155=FALSE,L2155=FALSE,M2155=FALSE)),",","")&amp;IF(K2155=FALSE,"「賞与額等」","")&amp;IF(AND(K2155=FALSE,OR(L2155=FALSE,M2155=FALSE)),",","")&amp;IF(L2155=FALSE,"「残業手当」","")&amp;IF(AND(L2155=FALSE,M2155=FALSE),",","")&amp;IF(M2155=FALSE,"「残業時間」","")&amp;IF(OR(J2155=FALSE,K2155=FALSE,L2155=FALSE,M2155=FALSE),入力リスト!$K$36,"")&amp;IF(N2155,"",入力リスト!$K$37)))</f>
        <v/>
      </c>
      <c r="H2155" s="215"/>
      <c r="I2155" s="1" t="b">
        <f>IF(B2155="",FALSE,COUNTIF('従業員情報(給与以外)'!$A$4:$A$1000000,$B2155)=0)</f>
        <v>0</v>
      </c>
      <c r="J2155" s="8" t="b">
        <f t="shared" si="165"/>
        <v>1</v>
      </c>
      <c r="K2155" s="8" t="b">
        <f t="shared" si="166"/>
        <v>1</v>
      </c>
      <c r="L2155" s="8" t="b">
        <f t="shared" si="167"/>
        <v>1</v>
      </c>
      <c r="M2155" s="8" t="b">
        <f t="shared" si="168"/>
        <v>1</v>
      </c>
      <c r="N2155" s="1" t="b">
        <f t="shared" si="169"/>
        <v>1</v>
      </c>
      <c r="O2155" s="8" t="str">
        <f>IF(F2155="","",IF($F$2=入力リスト!$H$25,ROUNDDOWN(INT(F2155)+ROUNDDOWN((F2155-INT(F2155))*100,0)/60,2),F2155))</f>
        <v/>
      </c>
      <c r="P2155" s="7"/>
      <c r="Q2155" s="7"/>
    </row>
    <row r="2156" spans="1:17">
      <c r="A2156" s="105"/>
      <c r="B2156" s="2"/>
      <c r="C2156" s="3"/>
      <c r="D2156" s="3"/>
      <c r="E2156" s="3"/>
      <c r="F2156" s="8"/>
      <c r="G2156" s="215" t="str">
        <f>IF(AND($B2156="",OR(B2156&lt;&gt;"",C2156&lt;&gt;"",D2156&lt;&gt;"",E2156&lt;&gt;"",F2156&lt;&gt;"")),入力リスト!$K$34,IF($I2156=TRUE,入力リスト!$K$35,IF(J2156=FALSE,"「毎月の固定給与額」","")&amp;IF(AND(J2156=FALSE,OR(K2156=FALSE,L2156=FALSE,M2156=FALSE)),",","")&amp;IF(K2156=FALSE,"「賞与額等」","")&amp;IF(AND(K2156=FALSE,OR(L2156=FALSE,M2156=FALSE)),",","")&amp;IF(L2156=FALSE,"「残業手当」","")&amp;IF(AND(L2156=FALSE,M2156=FALSE),",","")&amp;IF(M2156=FALSE,"「残業時間」","")&amp;IF(OR(J2156=FALSE,K2156=FALSE,L2156=FALSE,M2156=FALSE),入力リスト!$K$36,"")&amp;IF(N2156,"",入力リスト!$K$37)))</f>
        <v/>
      </c>
      <c r="H2156" s="215"/>
      <c r="I2156" s="1" t="b">
        <f>IF(B2156="",FALSE,COUNTIF('従業員情報(給与以外)'!$A$4:$A$1000000,$B2156)=0)</f>
        <v>0</v>
      </c>
      <c r="J2156" s="8" t="b">
        <f t="shared" si="165"/>
        <v>1</v>
      </c>
      <c r="K2156" s="8" t="b">
        <f t="shared" si="166"/>
        <v>1</v>
      </c>
      <c r="L2156" s="8" t="b">
        <f t="shared" si="167"/>
        <v>1</v>
      </c>
      <c r="M2156" s="8" t="b">
        <f t="shared" si="168"/>
        <v>1</v>
      </c>
      <c r="N2156" s="1" t="b">
        <f t="shared" si="169"/>
        <v>1</v>
      </c>
      <c r="O2156" s="8" t="str">
        <f>IF(F2156="","",IF($F$2=入力リスト!$H$25,ROUNDDOWN(INT(F2156)+ROUNDDOWN((F2156-INT(F2156))*100,0)/60,2),F2156))</f>
        <v/>
      </c>
      <c r="P2156" s="7"/>
      <c r="Q2156" s="7"/>
    </row>
    <row r="2157" spans="1:17">
      <c r="A2157" s="105"/>
      <c r="B2157" s="2"/>
      <c r="C2157" s="3"/>
      <c r="D2157" s="3"/>
      <c r="E2157" s="3"/>
      <c r="F2157" s="8"/>
      <c r="G2157" s="215" t="str">
        <f>IF(AND($B2157="",OR(B2157&lt;&gt;"",C2157&lt;&gt;"",D2157&lt;&gt;"",E2157&lt;&gt;"",F2157&lt;&gt;"")),入力リスト!$K$34,IF($I2157=TRUE,入力リスト!$K$35,IF(J2157=FALSE,"「毎月の固定給与額」","")&amp;IF(AND(J2157=FALSE,OR(K2157=FALSE,L2157=FALSE,M2157=FALSE)),",","")&amp;IF(K2157=FALSE,"「賞与額等」","")&amp;IF(AND(K2157=FALSE,OR(L2157=FALSE,M2157=FALSE)),",","")&amp;IF(L2157=FALSE,"「残業手当」","")&amp;IF(AND(L2157=FALSE,M2157=FALSE),",","")&amp;IF(M2157=FALSE,"「残業時間」","")&amp;IF(OR(J2157=FALSE,K2157=FALSE,L2157=FALSE,M2157=FALSE),入力リスト!$K$36,"")&amp;IF(N2157,"",入力リスト!$K$37)))</f>
        <v/>
      </c>
      <c r="H2157" s="215"/>
      <c r="I2157" s="1" t="b">
        <f>IF(B2157="",FALSE,COUNTIF('従業員情報(給与以外)'!$A$4:$A$1000000,$B2157)=0)</f>
        <v>0</v>
      </c>
      <c r="J2157" s="8" t="b">
        <f t="shared" si="165"/>
        <v>1</v>
      </c>
      <c r="K2157" s="8" t="b">
        <f t="shared" si="166"/>
        <v>1</v>
      </c>
      <c r="L2157" s="8" t="b">
        <f t="shared" si="167"/>
        <v>1</v>
      </c>
      <c r="M2157" s="8" t="b">
        <f t="shared" si="168"/>
        <v>1</v>
      </c>
      <c r="N2157" s="1" t="b">
        <f t="shared" si="169"/>
        <v>1</v>
      </c>
      <c r="O2157" s="8" t="str">
        <f>IF(F2157="","",IF($F$2=入力リスト!$H$25,ROUNDDOWN(INT(F2157)+ROUNDDOWN((F2157-INT(F2157))*100,0)/60,2),F2157))</f>
        <v/>
      </c>
      <c r="P2157" s="7"/>
      <c r="Q2157" s="7"/>
    </row>
    <row r="2158" spans="1:17">
      <c r="A2158" s="105"/>
      <c r="B2158" s="2"/>
      <c r="C2158" s="3"/>
      <c r="D2158" s="3"/>
      <c r="E2158" s="3"/>
      <c r="F2158" s="8"/>
      <c r="G2158" s="215" t="str">
        <f>IF(AND($B2158="",OR(B2158&lt;&gt;"",C2158&lt;&gt;"",D2158&lt;&gt;"",E2158&lt;&gt;"",F2158&lt;&gt;"")),入力リスト!$K$34,IF($I2158=TRUE,入力リスト!$K$35,IF(J2158=FALSE,"「毎月の固定給与額」","")&amp;IF(AND(J2158=FALSE,OR(K2158=FALSE,L2158=FALSE,M2158=FALSE)),",","")&amp;IF(K2158=FALSE,"「賞与額等」","")&amp;IF(AND(K2158=FALSE,OR(L2158=FALSE,M2158=FALSE)),",","")&amp;IF(L2158=FALSE,"「残業手当」","")&amp;IF(AND(L2158=FALSE,M2158=FALSE),",","")&amp;IF(M2158=FALSE,"「残業時間」","")&amp;IF(OR(J2158=FALSE,K2158=FALSE,L2158=FALSE,M2158=FALSE),入力リスト!$K$36,"")&amp;IF(N2158,"",入力リスト!$K$37)))</f>
        <v/>
      </c>
      <c r="H2158" s="215"/>
      <c r="I2158" s="1" t="b">
        <f>IF(B2158="",FALSE,COUNTIF('従業員情報(給与以外)'!$A$4:$A$1000000,$B2158)=0)</f>
        <v>0</v>
      </c>
      <c r="J2158" s="8" t="b">
        <f t="shared" si="165"/>
        <v>1</v>
      </c>
      <c r="K2158" s="8" t="b">
        <f t="shared" si="166"/>
        <v>1</v>
      </c>
      <c r="L2158" s="8" t="b">
        <f t="shared" si="167"/>
        <v>1</v>
      </c>
      <c r="M2158" s="8" t="b">
        <f t="shared" si="168"/>
        <v>1</v>
      </c>
      <c r="N2158" s="1" t="b">
        <f t="shared" si="169"/>
        <v>1</v>
      </c>
      <c r="O2158" s="8" t="str">
        <f>IF(F2158="","",IF($F$2=入力リスト!$H$25,ROUNDDOWN(INT(F2158)+ROUNDDOWN((F2158-INT(F2158))*100,0)/60,2),F2158))</f>
        <v/>
      </c>
      <c r="P2158" s="7"/>
      <c r="Q2158" s="7"/>
    </row>
    <row r="2159" spans="1:17">
      <c r="A2159" s="105"/>
      <c r="B2159" s="2"/>
      <c r="C2159" s="3"/>
      <c r="D2159" s="3"/>
      <c r="E2159" s="3"/>
      <c r="F2159" s="8"/>
      <c r="G2159" s="215" t="str">
        <f>IF(AND($B2159="",OR(B2159&lt;&gt;"",C2159&lt;&gt;"",D2159&lt;&gt;"",E2159&lt;&gt;"",F2159&lt;&gt;"")),入力リスト!$K$34,IF($I2159=TRUE,入力リスト!$K$35,IF(J2159=FALSE,"「毎月の固定給与額」","")&amp;IF(AND(J2159=FALSE,OR(K2159=FALSE,L2159=FALSE,M2159=FALSE)),",","")&amp;IF(K2159=FALSE,"「賞与額等」","")&amp;IF(AND(K2159=FALSE,OR(L2159=FALSE,M2159=FALSE)),",","")&amp;IF(L2159=FALSE,"「残業手当」","")&amp;IF(AND(L2159=FALSE,M2159=FALSE),",","")&amp;IF(M2159=FALSE,"「残業時間」","")&amp;IF(OR(J2159=FALSE,K2159=FALSE,L2159=FALSE,M2159=FALSE),入力リスト!$K$36,"")&amp;IF(N2159,"",入力リスト!$K$37)))</f>
        <v/>
      </c>
      <c r="H2159" s="215"/>
      <c r="I2159" s="1" t="b">
        <f>IF(B2159="",FALSE,COUNTIF('従業員情報(給与以外)'!$A$4:$A$1000000,$B2159)=0)</f>
        <v>0</v>
      </c>
      <c r="J2159" s="8" t="b">
        <f t="shared" si="165"/>
        <v>1</v>
      </c>
      <c r="K2159" s="8" t="b">
        <f t="shared" si="166"/>
        <v>1</v>
      </c>
      <c r="L2159" s="8" t="b">
        <f t="shared" si="167"/>
        <v>1</v>
      </c>
      <c r="M2159" s="8" t="b">
        <f t="shared" si="168"/>
        <v>1</v>
      </c>
      <c r="N2159" s="1" t="b">
        <f t="shared" si="169"/>
        <v>1</v>
      </c>
      <c r="O2159" s="8" t="str">
        <f>IF(F2159="","",IF($F$2=入力リスト!$H$25,ROUNDDOWN(INT(F2159)+ROUNDDOWN((F2159-INT(F2159))*100,0)/60,2),F2159))</f>
        <v/>
      </c>
      <c r="P2159" s="7"/>
      <c r="Q2159" s="7"/>
    </row>
    <row r="2160" spans="1:17">
      <c r="A2160" s="105"/>
      <c r="B2160" s="2"/>
      <c r="C2160" s="3"/>
      <c r="D2160" s="3"/>
      <c r="E2160" s="3"/>
      <c r="F2160" s="8"/>
      <c r="G2160" s="215" t="str">
        <f>IF(AND($B2160="",OR(B2160&lt;&gt;"",C2160&lt;&gt;"",D2160&lt;&gt;"",E2160&lt;&gt;"",F2160&lt;&gt;"")),入力リスト!$K$34,IF($I2160=TRUE,入力リスト!$K$35,IF(J2160=FALSE,"「毎月の固定給与額」","")&amp;IF(AND(J2160=FALSE,OR(K2160=FALSE,L2160=FALSE,M2160=FALSE)),",","")&amp;IF(K2160=FALSE,"「賞与額等」","")&amp;IF(AND(K2160=FALSE,OR(L2160=FALSE,M2160=FALSE)),",","")&amp;IF(L2160=FALSE,"「残業手当」","")&amp;IF(AND(L2160=FALSE,M2160=FALSE),",","")&amp;IF(M2160=FALSE,"「残業時間」","")&amp;IF(OR(J2160=FALSE,K2160=FALSE,L2160=FALSE,M2160=FALSE),入力リスト!$K$36,"")&amp;IF(N2160,"",入力リスト!$K$37)))</f>
        <v/>
      </c>
      <c r="H2160" s="215"/>
      <c r="I2160" s="1" t="b">
        <f>IF(B2160="",FALSE,COUNTIF('従業員情報(給与以外)'!$A$4:$A$1000000,$B2160)=0)</f>
        <v>0</v>
      </c>
      <c r="J2160" s="8" t="b">
        <f t="shared" si="165"/>
        <v>1</v>
      </c>
      <c r="K2160" s="8" t="b">
        <f t="shared" si="166"/>
        <v>1</v>
      </c>
      <c r="L2160" s="8" t="b">
        <f t="shared" si="167"/>
        <v>1</v>
      </c>
      <c r="M2160" s="8" t="b">
        <f t="shared" si="168"/>
        <v>1</v>
      </c>
      <c r="N2160" s="1" t="b">
        <f t="shared" si="169"/>
        <v>1</v>
      </c>
      <c r="O2160" s="8" t="str">
        <f>IF(F2160="","",IF($F$2=入力リスト!$H$25,ROUNDDOWN(INT(F2160)+ROUNDDOWN((F2160-INT(F2160))*100,0)/60,2),F2160))</f>
        <v/>
      </c>
      <c r="P2160" s="7"/>
      <c r="Q2160" s="7"/>
    </row>
    <row r="2161" spans="1:17">
      <c r="A2161" s="105"/>
      <c r="B2161" s="2"/>
      <c r="C2161" s="3"/>
      <c r="D2161" s="3"/>
      <c r="E2161" s="3"/>
      <c r="F2161" s="8"/>
      <c r="G2161" s="215" t="str">
        <f>IF(AND($B2161="",OR(B2161&lt;&gt;"",C2161&lt;&gt;"",D2161&lt;&gt;"",E2161&lt;&gt;"",F2161&lt;&gt;"")),入力リスト!$K$34,IF($I2161=TRUE,入力リスト!$K$35,IF(J2161=FALSE,"「毎月の固定給与額」","")&amp;IF(AND(J2161=FALSE,OR(K2161=FALSE,L2161=FALSE,M2161=FALSE)),",","")&amp;IF(K2161=FALSE,"「賞与額等」","")&amp;IF(AND(K2161=FALSE,OR(L2161=FALSE,M2161=FALSE)),",","")&amp;IF(L2161=FALSE,"「残業手当」","")&amp;IF(AND(L2161=FALSE,M2161=FALSE),",","")&amp;IF(M2161=FALSE,"「残業時間」","")&amp;IF(OR(J2161=FALSE,K2161=FALSE,L2161=FALSE,M2161=FALSE),入力リスト!$K$36,"")&amp;IF(N2161,"",入力リスト!$K$37)))</f>
        <v/>
      </c>
      <c r="H2161" s="215"/>
      <c r="I2161" s="1" t="b">
        <f>IF(B2161="",FALSE,COUNTIF('従業員情報(給与以外)'!$A$4:$A$1000000,$B2161)=0)</f>
        <v>0</v>
      </c>
      <c r="J2161" s="8" t="b">
        <f t="shared" si="165"/>
        <v>1</v>
      </c>
      <c r="K2161" s="8" t="b">
        <f t="shared" si="166"/>
        <v>1</v>
      </c>
      <c r="L2161" s="8" t="b">
        <f t="shared" si="167"/>
        <v>1</v>
      </c>
      <c r="M2161" s="8" t="b">
        <f t="shared" si="168"/>
        <v>1</v>
      </c>
      <c r="N2161" s="1" t="b">
        <f t="shared" si="169"/>
        <v>1</v>
      </c>
      <c r="O2161" s="8" t="str">
        <f>IF(F2161="","",IF($F$2=入力リスト!$H$25,ROUNDDOWN(INT(F2161)+ROUNDDOWN((F2161-INT(F2161))*100,0)/60,2),F2161))</f>
        <v/>
      </c>
      <c r="P2161" s="7"/>
      <c r="Q2161" s="7"/>
    </row>
    <row r="2162" spans="1:17">
      <c r="A2162" s="105"/>
      <c r="B2162" s="2"/>
      <c r="C2162" s="3"/>
      <c r="D2162" s="3"/>
      <c r="E2162" s="3"/>
      <c r="F2162" s="8"/>
      <c r="G2162" s="215" t="str">
        <f>IF(AND($B2162="",OR(B2162&lt;&gt;"",C2162&lt;&gt;"",D2162&lt;&gt;"",E2162&lt;&gt;"",F2162&lt;&gt;"")),入力リスト!$K$34,IF($I2162=TRUE,入力リスト!$K$35,IF(J2162=FALSE,"「毎月の固定給与額」","")&amp;IF(AND(J2162=FALSE,OR(K2162=FALSE,L2162=FALSE,M2162=FALSE)),",","")&amp;IF(K2162=FALSE,"「賞与額等」","")&amp;IF(AND(K2162=FALSE,OR(L2162=FALSE,M2162=FALSE)),",","")&amp;IF(L2162=FALSE,"「残業手当」","")&amp;IF(AND(L2162=FALSE,M2162=FALSE),",","")&amp;IF(M2162=FALSE,"「残業時間」","")&amp;IF(OR(J2162=FALSE,K2162=FALSE,L2162=FALSE,M2162=FALSE),入力リスト!$K$36,"")&amp;IF(N2162,"",入力リスト!$K$37)))</f>
        <v/>
      </c>
      <c r="H2162" s="215"/>
      <c r="I2162" s="1" t="b">
        <f>IF(B2162="",FALSE,COUNTIF('従業員情報(給与以外)'!$A$4:$A$1000000,$B2162)=0)</f>
        <v>0</v>
      </c>
      <c r="J2162" s="8" t="b">
        <f t="shared" si="165"/>
        <v>1</v>
      </c>
      <c r="K2162" s="8" t="b">
        <f t="shared" si="166"/>
        <v>1</v>
      </c>
      <c r="L2162" s="8" t="b">
        <f t="shared" si="167"/>
        <v>1</v>
      </c>
      <c r="M2162" s="8" t="b">
        <f t="shared" si="168"/>
        <v>1</v>
      </c>
      <c r="N2162" s="1" t="b">
        <f t="shared" si="169"/>
        <v>1</v>
      </c>
      <c r="O2162" s="8" t="str">
        <f>IF(F2162="","",IF($F$2=入力リスト!$H$25,ROUNDDOWN(INT(F2162)+ROUNDDOWN((F2162-INT(F2162))*100,0)/60,2),F2162))</f>
        <v/>
      </c>
      <c r="P2162" s="7"/>
      <c r="Q2162" s="7"/>
    </row>
    <row r="2163" spans="1:17">
      <c r="A2163" s="105"/>
      <c r="B2163" s="2"/>
      <c r="C2163" s="3"/>
      <c r="D2163" s="3"/>
      <c r="E2163" s="3"/>
      <c r="F2163" s="8"/>
      <c r="G2163" s="215" t="str">
        <f>IF(AND($B2163="",OR(B2163&lt;&gt;"",C2163&lt;&gt;"",D2163&lt;&gt;"",E2163&lt;&gt;"",F2163&lt;&gt;"")),入力リスト!$K$34,IF($I2163=TRUE,入力リスト!$K$35,IF(J2163=FALSE,"「毎月の固定給与額」","")&amp;IF(AND(J2163=FALSE,OR(K2163=FALSE,L2163=FALSE,M2163=FALSE)),",","")&amp;IF(K2163=FALSE,"「賞与額等」","")&amp;IF(AND(K2163=FALSE,OR(L2163=FALSE,M2163=FALSE)),",","")&amp;IF(L2163=FALSE,"「残業手当」","")&amp;IF(AND(L2163=FALSE,M2163=FALSE),",","")&amp;IF(M2163=FALSE,"「残業時間」","")&amp;IF(OR(J2163=FALSE,K2163=FALSE,L2163=FALSE,M2163=FALSE),入力リスト!$K$36,"")&amp;IF(N2163,"",入力リスト!$K$37)))</f>
        <v/>
      </c>
      <c r="H2163" s="215"/>
      <c r="I2163" s="1" t="b">
        <f>IF(B2163="",FALSE,COUNTIF('従業員情報(給与以外)'!$A$4:$A$1000000,$B2163)=0)</f>
        <v>0</v>
      </c>
      <c r="J2163" s="8" t="b">
        <f t="shared" si="165"/>
        <v>1</v>
      </c>
      <c r="K2163" s="8" t="b">
        <f t="shared" si="166"/>
        <v>1</v>
      </c>
      <c r="L2163" s="8" t="b">
        <f t="shared" si="167"/>
        <v>1</v>
      </c>
      <c r="M2163" s="8" t="b">
        <f t="shared" si="168"/>
        <v>1</v>
      </c>
      <c r="N2163" s="1" t="b">
        <f t="shared" si="169"/>
        <v>1</v>
      </c>
      <c r="O2163" s="8" t="str">
        <f>IF(F2163="","",IF($F$2=入力リスト!$H$25,ROUNDDOWN(INT(F2163)+ROUNDDOWN((F2163-INT(F2163))*100,0)/60,2),F2163))</f>
        <v/>
      </c>
      <c r="P2163" s="7"/>
      <c r="Q2163" s="7"/>
    </row>
    <row r="2164" spans="1:17">
      <c r="A2164" s="105"/>
      <c r="B2164" s="2"/>
      <c r="C2164" s="3"/>
      <c r="D2164" s="3"/>
      <c r="E2164" s="3"/>
      <c r="F2164" s="8"/>
      <c r="G2164" s="215" t="str">
        <f>IF(AND($B2164="",OR(B2164&lt;&gt;"",C2164&lt;&gt;"",D2164&lt;&gt;"",E2164&lt;&gt;"",F2164&lt;&gt;"")),入力リスト!$K$34,IF($I2164=TRUE,入力リスト!$K$35,IF(J2164=FALSE,"「毎月の固定給与額」","")&amp;IF(AND(J2164=FALSE,OR(K2164=FALSE,L2164=FALSE,M2164=FALSE)),",","")&amp;IF(K2164=FALSE,"「賞与額等」","")&amp;IF(AND(K2164=FALSE,OR(L2164=FALSE,M2164=FALSE)),",","")&amp;IF(L2164=FALSE,"「残業手当」","")&amp;IF(AND(L2164=FALSE,M2164=FALSE),",","")&amp;IF(M2164=FALSE,"「残業時間」","")&amp;IF(OR(J2164=FALSE,K2164=FALSE,L2164=FALSE,M2164=FALSE),入力リスト!$K$36,"")&amp;IF(N2164,"",入力リスト!$K$37)))</f>
        <v/>
      </c>
      <c r="H2164" s="215"/>
      <c r="I2164" s="1" t="b">
        <f>IF(B2164="",FALSE,COUNTIF('従業員情報(給与以外)'!$A$4:$A$1000000,$B2164)=0)</f>
        <v>0</v>
      </c>
      <c r="J2164" s="8" t="b">
        <f t="shared" si="165"/>
        <v>1</v>
      </c>
      <c r="K2164" s="8" t="b">
        <f t="shared" si="166"/>
        <v>1</v>
      </c>
      <c r="L2164" s="8" t="b">
        <f t="shared" si="167"/>
        <v>1</v>
      </c>
      <c r="M2164" s="8" t="b">
        <f t="shared" si="168"/>
        <v>1</v>
      </c>
      <c r="N2164" s="1" t="b">
        <f t="shared" si="169"/>
        <v>1</v>
      </c>
      <c r="O2164" s="8" t="str">
        <f>IF(F2164="","",IF($F$2=入力リスト!$H$25,ROUNDDOWN(INT(F2164)+ROUNDDOWN((F2164-INT(F2164))*100,0)/60,2),F2164))</f>
        <v/>
      </c>
      <c r="P2164" s="7"/>
      <c r="Q2164" s="7"/>
    </row>
    <row r="2165" spans="1:17">
      <c r="A2165" s="105"/>
      <c r="B2165" s="2"/>
      <c r="C2165" s="3"/>
      <c r="D2165" s="3"/>
      <c r="E2165" s="3"/>
      <c r="F2165" s="8"/>
      <c r="G2165" s="215" t="str">
        <f>IF(AND($B2165="",OR(B2165&lt;&gt;"",C2165&lt;&gt;"",D2165&lt;&gt;"",E2165&lt;&gt;"",F2165&lt;&gt;"")),入力リスト!$K$34,IF($I2165=TRUE,入力リスト!$K$35,IF(J2165=FALSE,"「毎月の固定給与額」","")&amp;IF(AND(J2165=FALSE,OR(K2165=FALSE,L2165=FALSE,M2165=FALSE)),",","")&amp;IF(K2165=FALSE,"「賞与額等」","")&amp;IF(AND(K2165=FALSE,OR(L2165=FALSE,M2165=FALSE)),",","")&amp;IF(L2165=FALSE,"「残業手当」","")&amp;IF(AND(L2165=FALSE,M2165=FALSE),",","")&amp;IF(M2165=FALSE,"「残業時間」","")&amp;IF(OR(J2165=FALSE,K2165=FALSE,L2165=FALSE,M2165=FALSE),入力リスト!$K$36,"")&amp;IF(N2165,"",入力リスト!$K$37)))</f>
        <v/>
      </c>
      <c r="H2165" s="215"/>
      <c r="I2165" s="1" t="b">
        <f>IF(B2165="",FALSE,COUNTIF('従業員情報(給与以外)'!$A$4:$A$1000000,$B2165)=0)</f>
        <v>0</v>
      </c>
      <c r="J2165" s="8" t="b">
        <f t="shared" si="165"/>
        <v>1</v>
      </c>
      <c r="K2165" s="8" t="b">
        <f t="shared" si="166"/>
        <v>1</v>
      </c>
      <c r="L2165" s="8" t="b">
        <f t="shared" si="167"/>
        <v>1</v>
      </c>
      <c r="M2165" s="8" t="b">
        <f t="shared" si="168"/>
        <v>1</v>
      </c>
      <c r="N2165" s="1" t="b">
        <f t="shared" si="169"/>
        <v>1</v>
      </c>
      <c r="O2165" s="8" t="str">
        <f>IF(F2165="","",IF($F$2=入力リスト!$H$25,ROUNDDOWN(INT(F2165)+ROUNDDOWN((F2165-INT(F2165))*100,0)/60,2),F2165))</f>
        <v/>
      </c>
      <c r="P2165" s="7"/>
      <c r="Q2165" s="7"/>
    </row>
    <row r="2166" spans="1:17">
      <c r="A2166" s="105"/>
      <c r="B2166" s="2"/>
      <c r="C2166" s="3"/>
      <c r="D2166" s="3"/>
      <c r="E2166" s="3"/>
      <c r="F2166" s="8"/>
      <c r="G2166" s="215" t="str">
        <f>IF(AND($B2166="",OR(B2166&lt;&gt;"",C2166&lt;&gt;"",D2166&lt;&gt;"",E2166&lt;&gt;"",F2166&lt;&gt;"")),入力リスト!$K$34,IF($I2166=TRUE,入力リスト!$K$35,IF(J2166=FALSE,"「毎月の固定給与額」","")&amp;IF(AND(J2166=FALSE,OR(K2166=FALSE,L2166=FALSE,M2166=FALSE)),",","")&amp;IF(K2166=FALSE,"「賞与額等」","")&amp;IF(AND(K2166=FALSE,OR(L2166=FALSE,M2166=FALSE)),",","")&amp;IF(L2166=FALSE,"「残業手当」","")&amp;IF(AND(L2166=FALSE,M2166=FALSE),",","")&amp;IF(M2166=FALSE,"「残業時間」","")&amp;IF(OR(J2166=FALSE,K2166=FALSE,L2166=FALSE,M2166=FALSE),入力リスト!$K$36,"")&amp;IF(N2166,"",入力リスト!$K$37)))</f>
        <v/>
      </c>
      <c r="H2166" s="215"/>
      <c r="I2166" s="1" t="b">
        <f>IF(B2166="",FALSE,COUNTIF('従業員情報(給与以外)'!$A$4:$A$1000000,$B2166)=0)</f>
        <v>0</v>
      </c>
      <c r="J2166" s="8" t="b">
        <f t="shared" si="165"/>
        <v>1</v>
      </c>
      <c r="K2166" s="8" t="b">
        <f t="shared" si="166"/>
        <v>1</v>
      </c>
      <c r="L2166" s="8" t="b">
        <f t="shared" si="167"/>
        <v>1</v>
      </c>
      <c r="M2166" s="8" t="b">
        <f t="shared" si="168"/>
        <v>1</v>
      </c>
      <c r="N2166" s="1" t="b">
        <f t="shared" si="169"/>
        <v>1</v>
      </c>
      <c r="O2166" s="8" t="str">
        <f>IF(F2166="","",IF($F$2=入力リスト!$H$25,ROUNDDOWN(INT(F2166)+ROUNDDOWN((F2166-INT(F2166))*100,0)/60,2),F2166))</f>
        <v/>
      </c>
      <c r="P2166" s="7"/>
      <c r="Q2166" s="7"/>
    </row>
    <row r="2167" spans="1:17">
      <c r="A2167" s="105"/>
      <c r="B2167" s="2"/>
      <c r="C2167" s="3"/>
      <c r="D2167" s="3"/>
      <c r="E2167" s="3"/>
      <c r="F2167" s="8"/>
      <c r="G2167" s="215" t="str">
        <f>IF(AND($B2167="",OR(B2167&lt;&gt;"",C2167&lt;&gt;"",D2167&lt;&gt;"",E2167&lt;&gt;"",F2167&lt;&gt;"")),入力リスト!$K$34,IF($I2167=TRUE,入力リスト!$K$35,IF(J2167=FALSE,"「毎月の固定給与額」","")&amp;IF(AND(J2167=FALSE,OR(K2167=FALSE,L2167=FALSE,M2167=FALSE)),",","")&amp;IF(K2167=FALSE,"「賞与額等」","")&amp;IF(AND(K2167=FALSE,OR(L2167=FALSE,M2167=FALSE)),",","")&amp;IF(L2167=FALSE,"「残業手当」","")&amp;IF(AND(L2167=FALSE,M2167=FALSE),",","")&amp;IF(M2167=FALSE,"「残業時間」","")&amp;IF(OR(J2167=FALSE,K2167=FALSE,L2167=FALSE,M2167=FALSE),入力リスト!$K$36,"")&amp;IF(N2167,"",入力リスト!$K$37)))</f>
        <v/>
      </c>
      <c r="H2167" s="215"/>
      <c r="I2167" s="1" t="b">
        <f>IF(B2167="",FALSE,COUNTIF('従業員情報(給与以外)'!$A$4:$A$1000000,$B2167)=0)</f>
        <v>0</v>
      </c>
      <c r="J2167" s="8" t="b">
        <f t="shared" si="165"/>
        <v>1</v>
      </c>
      <c r="K2167" s="8" t="b">
        <f t="shared" si="166"/>
        <v>1</v>
      </c>
      <c r="L2167" s="8" t="b">
        <f t="shared" si="167"/>
        <v>1</v>
      </c>
      <c r="M2167" s="8" t="b">
        <f t="shared" si="168"/>
        <v>1</v>
      </c>
      <c r="N2167" s="1" t="b">
        <f t="shared" si="169"/>
        <v>1</v>
      </c>
      <c r="O2167" s="8" t="str">
        <f>IF(F2167="","",IF($F$2=入力リスト!$H$25,ROUNDDOWN(INT(F2167)+ROUNDDOWN((F2167-INT(F2167))*100,0)/60,2),F2167))</f>
        <v/>
      </c>
      <c r="P2167" s="7"/>
      <c r="Q2167" s="7"/>
    </row>
    <row r="2168" spans="1:17">
      <c r="A2168" s="105"/>
      <c r="B2168" s="2"/>
      <c r="C2168" s="3"/>
      <c r="D2168" s="3"/>
      <c r="E2168" s="3"/>
      <c r="F2168" s="8"/>
      <c r="G2168" s="215" t="str">
        <f>IF(AND($B2168="",OR(B2168&lt;&gt;"",C2168&lt;&gt;"",D2168&lt;&gt;"",E2168&lt;&gt;"",F2168&lt;&gt;"")),入力リスト!$K$34,IF($I2168=TRUE,入力リスト!$K$35,IF(J2168=FALSE,"「毎月の固定給与額」","")&amp;IF(AND(J2168=FALSE,OR(K2168=FALSE,L2168=FALSE,M2168=FALSE)),",","")&amp;IF(K2168=FALSE,"「賞与額等」","")&amp;IF(AND(K2168=FALSE,OR(L2168=FALSE,M2168=FALSE)),",","")&amp;IF(L2168=FALSE,"「残業手当」","")&amp;IF(AND(L2168=FALSE,M2168=FALSE),",","")&amp;IF(M2168=FALSE,"「残業時間」","")&amp;IF(OR(J2168=FALSE,K2168=FALSE,L2168=FALSE,M2168=FALSE),入力リスト!$K$36,"")&amp;IF(N2168,"",入力リスト!$K$37)))</f>
        <v/>
      </c>
      <c r="H2168" s="215"/>
      <c r="I2168" s="1" t="b">
        <f>IF(B2168="",FALSE,COUNTIF('従業員情報(給与以外)'!$A$4:$A$1000000,$B2168)=0)</f>
        <v>0</v>
      </c>
      <c r="J2168" s="8" t="b">
        <f t="shared" si="165"/>
        <v>1</v>
      </c>
      <c r="K2168" s="8" t="b">
        <f t="shared" si="166"/>
        <v>1</v>
      </c>
      <c r="L2168" s="8" t="b">
        <f t="shared" si="167"/>
        <v>1</v>
      </c>
      <c r="M2168" s="8" t="b">
        <f t="shared" si="168"/>
        <v>1</v>
      </c>
      <c r="N2168" s="1" t="b">
        <f t="shared" si="169"/>
        <v>1</v>
      </c>
      <c r="O2168" s="8" t="str">
        <f>IF(F2168="","",IF($F$2=入力リスト!$H$25,ROUNDDOWN(INT(F2168)+ROUNDDOWN((F2168-INT(F2168))*100,0)/60,2),F2168))</f>
        <v/>
      </c>
      <c r="P2168" s="7"/>
      <c r="Q2168" s="7"/>
    </row>
    <row r="2169" spans="1:17">
      <c r="A2169" s="105"/>
      <c r="B2169" s="2"/>
      <c r="C2169" s="3"/>
      <c r="D2169" s="3"/>
      <c r="E2169" s="3"/>
      <c r="F2169" s="8"/>
      <c r="G2169" s="215" t="str">
        <f>IF(AND($B2169="",OR(B2169&lt;&gt;"",C2169&lt;&gt;"",D2169&lt;&gt;"",E2169&lt;&gt;"",F2169&lt;&gt;"")),入力リスト!$K$34,IF($I2169=TRUE,入力リスト!$K$35,IF(J2169=FALSE,"「毎月の固定給与額」","")&amp;IF(AND(J2169=FALSE,OR(K2169=FALSE,L2169=FALSE,M2169=FALSE)),",","")&amp;IF(K2169=FALSE,"「賞与額等」","")&amp;IF(AND(K2169=FALSE,OR(L2169=FALSE,M2169=FALSE)),",","")&amp;IF(L2169=FALSE,"「残業手当」","")&amp;IF(AND(L2169=FALSE,M2169=FALSE),",","")&amp;IF(M2169=FALSE,"「残業時間」","")&amp;IF(OR(J2169=FALSE,K2169=FALSE,L2169=FALSE,M2169=FALSE),入力リスト!$K$36,"")&amp;IF(N2169,"",入力リスト!$K$37)))</f>
        <v/>
      </c>
      <c r="H2169" s="215"/>
      <c r="I2169" s="1" t="b">
        <f>IF(B2169="",FALSE,COUNTIF('従業員情報(給与以外)'!$A$4:$A$1000000,$B2169)=0)</f>
        <v>0</v>
      </c>
      <c r="J2169" s="8" t="b">
        <f t="shared" si="165"/>
        <v>1</v>
      </c>
      <c r="K2169" s="8" t="b">
        <f t="shared" si="166"/>
        <v>1</v>
      </c>
      <c r="L2169" s="8" t="b">
        <f t="shared" si="167"/>
        <v>1</v>
      </c>
      <c r="M2169" s="8" t="b">
        <f t="shared" si="168"/>
        <v>1</v>
      </c>
      <c r="N2169" s="1" t="b">
        <f t="shared" si="169"/>
        <v>1</v>
      </c>
      <c r="O2169" s="8" t="str">
        <f>IF(F2169="","",IF($F$2=入力リスト!$H$25,ROUNDDOWN(INT(F2169)+ROUNDDOWN((F2169-INT(F2169))*100,0)/60,2),F2169))</f>
        <v/>
      </c>
      <c r="P2169" s="7"/>
      <c r="Q2169" s="7"/>
    </row>
    <row r="2170" spans="1:17">
      <c r="A2170" s="105"/>
      <c r="B2170" s="2"/>
      <c r="C2170" s="3"/>
      <c r="D2170" s="3"/>
      <c r="E2170" s="3"/>
      <c r="F2170" s="8"/>
      <c r="G2170" s="215" t="str">
        <f>IF(AND($B2170="",OR(B2170&lt;&gt;"",C2170&lt;&gt;"",D2170&lt;&gt;"",E2170&lt;&gt;"",F2170&lt;&gt;"")),入力リスト!$K$34,IF($I2170=TRUE,入力リスト!$K$35,IF(J2170=FALSE,"「毎月の固定給与額」","")&amp;IF(AND(J2170=FALSE,OR(K2170=FALSE,L2170=FALSE,M2170=FALSE)),",","")&amp;IF(K2170=FALSE,"「賞与額等」","")&amp;IF(AND(K2170=FALSE,OR(L2170=FALSE,M2170=FALSE)),",","")&amp;IF(L2170=FALSE,"「残業手当」","")&amp;IF(AND(L2170=FALSE,M2170=FALSE),",","")&amp;IF(M2170=FALSE,"「残業時間」","")&amp;IF(OR(J2170=FALSE,K2170=FALSE,L2170=FALSE,M2170=FALSE),入力リスト!$K$36,"")&amp;IF(N2170,"",入力リスト!$K$37)))</f>
        <v/>
      </c>
      <c r="H2170" s="215"/>
      <c r="I2170" s="1" t="b">
        <f>IF(B2170="",FALSE,COUNTIF('従業員情報(給与以外)'!$A$4:$A$1000000,$B2170)=0)</f>
        <v>0</v>
      </c>
      <c r="J2170" s="8" t="b">
        <f t="shared" si="165"/>
        <v>1</v>
      </c>
      <c r="K2170" s="8" t="b">
        <f t="shared" si="166"/>
        <v>1</v>
      </c>
      <c r="L2170" s="8" t="b">
        <f t="shared" si="167"/>
        <v>1</v>
      </c>
      <c r="M2170" s="8" t="b">
        <f t="shared" si="168"/>
        <v>1</v>
      </c>
      <c r="N2170" s="1" t="b">
        <f t="shared" si="169"/>
        <v>1</v>
      </c>
      <c r="O2170" s="8" t="str">
        <f>IF(F2170="","",IF($F$2=入力リスト!$H$25,ROUNDDOWN(INT(F2170)+ROUNDDOWN((F2170-INT(F2170))*100,0)/60,2),F2170))</f>
        <v/>
      </c>
      <c r="P2170" s="7"/>
      <c r="Q2170" s="7"/>
    </row>
    <row r="2171" spans="1:17">
      <c r="A2171" s="105"/>
      <c r="B2171" s="2"/>
      <c r="C2171" s="3"/>
      <c r="D2171" s="3"/>
      <c r="E2171" s="3"/>
      <c r="F2171" s="8"/>
      <c r="G2171" s="215" t="str">
        <f>IF(AND($B2171="",OR(B2171&lt;&gt;"",C2171&lt;&gt;"",D2171&lt;&gt;"",E2171&lt;&gt;"",F2171&lt;&gt;"")),入力リスト!$K$34,IF($I2171=TRUE,入力リスト!$K$35,IF(J2171=FALSE,"「毎月の固定給与額」","")&amp;IF(AND(J2171=FALSE,OR(K2171=FALSE,L2171=FALSE,M2171=FALSE)),",","")&amp;IF(K2171=FALSE,"「賞与額等」","")&amp;IF(AND(K2171=FALSE,OR(L2171=FALSE,M2171=FALSE)),",","")&amp;IF(L2171=FALSE,"「残業手当」","")&amp;IF(AND(L2171=FALSE,M2171=FALSE),",","")&amp;IF(M2171=FALSE,"「残業時間」","")&amp;IF(OR(J2171=FALSE,K2171=FALSE,L2171=FALSE,M2171=FALSE),入力リスト!$K$36,"")&amp;IF(N2171,"",入力リスト!$K$37)))</f>
        <v/>
      </c>
      <c r="H2171" s="215"/>
      <c r="I2171" s="1" t="b">
        <f>IF(B2171="",FALSE,COUNTIF('従業員情報(給与以外)'!$A$4:$A$1000000,$B2171)=0)</f>
        <v>0</v>
      </c>
      <c r="J2171" s="8" t="b">
        <f t="shared" si="165"/>
        <v>1</v>
      </c>
      <c r="K2171" s="8" t="b">
        <f t="shared" si="166"/>
        <v>1</v>
      </c>
      <c r="L2171" s="8" t="b">
        <f t="shared" si="167"/>
        <v>1</v>
      </c>
      <c r="M2171" s="8" t="b">
        <f t="shared" si="168"/>
        <v>1</v>
      </c>
      <c r="N2171" s="1" t="b">
        <f t="shared" si="169"/>
        <v>1</v>
      </c>
      <c r="O2171" s="8" t="str">
        <f>IF(F2171="","",IF($F$2=入力リスト!$H$25,ROUNDDOWN(INT(F2171)+ROUNDDOWN((F2171-INT(F2171))*100,0)/60,2),F2171))</f>
        <v/>
      </c>
      <c r="P2171" s="7"/>
      <c r="Q2171" s="7"/>
    </row>
    <row r="2172" spans="1:17">
      <c r="A2172" s="105"/>
      <c r="B2172" s="2"/>
      <c r="C2172" s="3"/>
      <c r="D2172" s="3"/>
      <c r="E2172" s="3"/>
      <c r="F2172" s="8"/>
      <c r="G2172" s="215" t="str">
        <f>IF(AND($B2172="",OR(B2172&lt;&gt;"",C2172&lt;&gt;"",D2172&lt;&gt;"",E2172&lt;&gt;"",F2172&lt;&gt;"")),入力リスト!$K$34,IF($I2172=TRUE,入力リスト!$K$35,IF(J2172=FALSE,"「毎月の固定給与額」","")&amp;IF(AND(J2172=FALSE,OR(K2172=FALSE,L2172=FALSE,M2172=FALSE)),",","")&amp;IF(K2172=FALSE,"「賞与額等」","")&amp;IF(AND(K2172=FALSE,OR(L2172=FALSE,M2172=FALSE)),",","")&amp;IF(L2172=FALSE,"「残業手当」","")&amp;IF(AND(L2172=FALSE,M2172=FALSE),",","")&amp;IF(M2172=FALSE,"「残業時間」","")&amp;IF(OR(J2172=FALSE,K2172=FALSE,L2172=FALSE,M2172=FALSE),入力リスト!$K$36,"")&amp;IF(N2172,"",入力リスト!$K$37)))</f>
        <v/>
      </c>
      <c r="H2172" s="215"/>
      <c r="I2172" s="1" t="b">
        <f>IF(B2172="",FALSE,COUNTIF('従業員情報(給与以外)'!$A$4:$A$1000000,$B2172)=0)</f>
        <v>0</v>
      </c>
      <c r="J2172" s="8" t="b">
        <f t="shared" si="165"/>
        <v>1</v>
      </c>
      <c r="K2172" s="8" t="b">
        <f t="shared" si="166"/>
        <v>1</v>
      </c>
      <c r="L2172" s="8" t="b">
        <f t="shared" si="167"/>
        <v>1</v>
      </c>
      <c r="M2172" s="8" t="b">
        <f t="shared" si="168"/>
        <v>1</v>
      </c>
      <c r="N2172" s="1" t="b">
        <f t="shared" si="169"/>
        <v>1</v>
      </c>
      <c r="O2172" s="8" t="str">
        <f>IF(F2172="","",IF($F$2=入力リスト!$H$25,ROUNDDOWN(INT(F2172)+ROUNDDOWN((F2172-INT(F2172))*100,0)/60,2),F2172))</f>
        <v/>
      </c>
      <c r="P2172" s="7"/>
      <c r="Q2172" s="7"/>
    </row>
    <row r="2173" spans="1:17">
      <c r="A2173" s="105"/>
      <c r="B2173" s="2"/>
      <c r="C2173" s="3"/>
      <c r="D2173" s="3"/>
      <c r="E2173" s="3"/>
      <c r="F2173" s="8"/>
      <c r="G2173" s="215" t="str">
        <f>IF(AND($B2173="",OR(B2173&lt;&gt;"",C2173&lt;&gt;"",D2173&lt;&gt;"",E2173&lt;&gt;"",F2173&lt;&gt;"")),入力リスト!$K$34,IF($I2173=TRUE,入力リスト!$K$35,IF(J2173=FALSE,"「毎月の固定給与額」","")&amp;IF(AND(J2173=FALSE,OR(K2173=FALSE,L2173=FALSE,M2173=FALSE)),",","")&amp;IF(K2173=FALSE,"「賞与額等」","")&amp;IF(AND(K2173=FALSE,OR(L2173=FALSE,M2173=FALSE)),",","")&amp;IF(L2173=FALSE,"「残業手当」","")&amp;IF(AND(L2173=FALSE,M2173=FALSE),",","")&amp;IF(M2173=FALSE,"「残業時間」","")&amp;IF(OR(J2173=FALSE,K2173=FALSE,L2173=FALSE,M2173=FALSE),入力リスト!$K$36,"")&amp;IF(N2173,"",入力リスト!$K$37)))</f>
        <v/>
      </c>
      <c r="H2173" s="215"/>
      <c r="I2173" s="1" t="b">
        <f>IF(B2173="",FALSE,COUNTIF('従業員情報(給与以外)'!$A$4:$A$1000000,$B2173)=0)</f>
        <v>0</v>
      </c>
      <c r="J2173" s="8" t="b">
        <f t="shared" si="165"/>
        <v>1</v>
      </c>
      <c r="K2173" s="8" t="b">
        <f t="shared" si="166"/>
        <v>1</v>
      </c>
      <c r="L2173" s="8" t="b">
        <f t="shared" si="167"/>
        <v>1</v>
      </c>
      <c r="M2173" s="8" t="b">
        <f t="shared" si="168"/>
        <v>1</v>
      </c>
      <c r="N2173" s="1" t="b">
        <f t="shared" si="169"/>
        <v>1</v>
      </c>
      <c r="O2173" s="8" t="str">
        <f>IF(F2173="","",IF($F$2=入力リスト!$H$25,ROUNDDOWN(INT(F2173)+ROUNDDOWN((F2173-INT(F2173))*100,0)/60,2),F2173))</f>
        <v/>
      </c>
      <c r="P2173" s="7"/>
      <c r="Q2173" s="7"/>
    </row>
    <row r="2174" spans="1:17">
      <c r="A2174" s="105"/>
      <c r="B2174" s="2"/>
      <c r="C2174" s="3"/>
      <c r="D2174" s="3"/>
      <c r="E2174" s="3"/>
      <c r="F2174" s="8"/>
      <c r="G2174" s="215" t="str">
        <f>IF(AND($B2174="",OR(B2174&lt;&gt;"",C2174&lt;&gt;"",D2174&lt;&gt;"",E2174&lt;&gt;"",F2174&lt;&gt;"")),入力リスト!$K$34,IF($I2174=TRUE,入力リスト!$K$35,IF(J2174=FALSE,"「毎月の固定給与額」","")&amp;IF(AND(J2174=FALSE,OR(K2174=FALSE,L2174=FALSE,M2174=FALSE)),",","")&amp;IF(K2174=FALSE,"「賞与額等」","")&amp;IF(AND(K2174=FALSE,OR(L2174=FALSE,M2174=FALSE)),",","")&amp;IF(L2174=FALSE,"「残業手当」","")&amp;IF(AND(L2174=FALSE,M2174=FALSE),",","")&amp;IF(M2174=FALSE,"「残業時間」","")&amp;IF(OR(J2174=FALSE,K2174=FALSE,L2174=FALSE,M2174=FALSE),入力リスト!$K$36,"")&amp;IF(N2174,"",入力リスト!$K$37)))</f>
        <v/>
      </c>
      <c r="H2174" s="215"/>
      <c r="I2174" s="1" t="b">
        <f>IF(B2174="",FALSE,COUNTIF('従業員情報(給与以外)'!$A$4:$A$1000000,$B2174)=0)</f>
        <v>0</v>
      </c>
      <c r="J2174" s="8" t="b">
        <f t="shared" si="165"/>
        <v>1</v>
      </c>
      <c r="K2174" s="8" t="b">
        <f t="shared" si="166"/>
        <v>1</v>
      </c>
      <c r="L2174" s="8" t="b">
        <f t="shared" si="167"/>
        <v>1</v>
      </c>
      <c r="M2174" s="8" t="b">
        <f t="shared" si="168"/>
        <v>1</v>
      </c>
      <c r="N2174" s="1" t="b">
        <f t="shared" si="169"/>
        <v>1</v>
      </c>
      <c r="O2174" s="8" t="str">
        <f>IF(F2174="","",IF($F$2=入力リスト!$H$25,ROUNDDOWN(INT(F2174)+ROUNDDOWN((F2174-INT(F2174))*100,0)/60,2),F2174))</f>
        <v/>
      </c>
      <c r="P2174" s="7"/>
      <c r="Q2174" s="7"/>
    </row>
    <row r="2175" spans="1:17">
      <c r="A2175" s="105"/>
      <c r="B2175" s="2"/>
      <c r="C2175" s="3"/>
      <c r="D2175" s="3"/>
      <c r="E2175" s="3"/>
      <c r="F2175" s="8"/>
      <c r="G2175" s="215" t="str">
        <f>IF(AND($B2175="",OR(B2175&lt;&gt;"",C2175&lt;&gt;"",D2175&lt;&gt;"",E2175&lt;&gt;"",F2175&lt;&gt;"")),入力リスト!$K$34,IF($I2175=TRUE,入力リスト!$K$35,IF(J2175=FALSE,"「毎月の固定給与額」","")&amp;IF(AND(J2175=FALSE,OR(K2175=FALSE,L2175=FALSE,M2175=FALSE)),",","")&amp;IF(K2175=FALSE,"「賞与額等」","")&amp;IF(AND(K2175=FALSE,OR(L2175=FALSE,M2175=FALSE)),",","")&amp;IF(L2175=FALSE,"「残業手当」","")&amp;IF(AND(L2175=FALSE,M2175=FALSE),",","")&amp;IF(M2175=FALSE,"「残業時間」","")&amp;IF(OR(J2175=FALSE,K2175=FALSE,L2175=FALSE,M2175=FALSE),入力リスト!$K$36,"")&amp;IF(N2175,"",入力リスト!$K$37)))</f>
        <v/>
      </c>
      <c r="H2175" s="215"/>
      <c r="I2175" s="1" t="b">
        <f>IF(B2175="",FALSE,COUNTIF('従業員情報(給与以外)'!$A$4:$A$1000000,$B2175)=0)</f>
        <v>0</v>
      </c>
      <c r="J2175" s="8" t="b">
        <f t="shared" si="165"/>
        <v>1</v>
      </c>
      <c r="K2175" s="8" t="b">
        <f t="shared" si="166"/>
        <v>1</v>
      </c>
      <c r="L2175" s="8" t="b">
        <f t="shared" si="167"/>
        <v>1</v>
      </c>
      <c r="M2175" s="8" t="b">
        <f t="shared" si="168"/>
        <v>1</v>
      </c>
      <c r="N2175" s="1" t="b">
        <f t="shared" si="169"/>
        <v>1</v>
      </c>
      <c r="O2175" s="8" t="str">
        <f>IF(F2175="","",IF($F$2=入力リスト!$H$25,ROUNDDOWN(INT(F2175)+ROUNDDOWN((F2175-INT(F2175))*100,0)/60,2),F2175))</f>
        <v/>
      </c>
      <c r="P2175" s="7"/>
      <c r="Q2175" s="7"/>
    </row>
    <row r="2176" spans="1:17">
      <c r="A2176" s="105"/>
      <c r="B2176" s="2"/>
      <c r="C2176" s="3"/>
      <c r="D2176" s="3"/>
      <c r="E2176" s="3"/>
      <c r="F2176" s="8"/>
      <c r="G2176" s="215" t="str">
        <f>IF(AND($B2176="",OR(B2176&lt;&gt;"",C2176&lt;&gt;"",D2176&lt;&gt;"",E2176&lt;&gt;"",F2176&lt;&gt;"")),入力リスト!$K$34,IF($I2176=TRUE,入力リスト!$K$35,IF(J2176=FALSE,"「毎月の固定給与額」","")&amp;IF(AND(J2176=FALSE,OR(K2176=FALSE,L2176=FALSE,M2176=FALSE)),",","")&amp;IF(K2176=FALSE,"「賞与額等」","")&amp;IF(AND(K2176=FALSE,OR(L2176=FALSE,M2176=FALSE)),",","")&amp;IF(L2176=FALSE,"「残業手当」","")&amp;IF(AND(L2176=FALSE,M2176=FALSE),",","")&amp;IF(M2176=FALSE,"「残業時間」","")&amp;IF(OR(J2176=FALSE,K2176=FALSE,L2176=FALSE,M2176=FALSE),入力リスト!$K$36,"")&amp;IF(N2176,"",入力リスト!$K$37)))</f>
        <v/>
      </c>
      <c r="H2176" s="215"/>
      <c r="I2176" s="1" t="b">
        <f>IF(B2176="",FALSE,COUNTIF('従業員情報(給与以外)'!$A$4:$A$1000000,$B2176)=0)</f>
        <v>0</v>
      </c>
      <c r="J2176" s="8" t="b">
        <f t="shared" si="165"/>
        <v>1</v>
      </c>
      <c r="K2176" s="8" t="b">
        <f t="shared" si="166"/>
        <v>1</v>
      </c>
      <c r="L2176" s="8" t="b">
        <f t="shared" si="167"/>
        <v>1</v>
      </c>
      <c r="M2176" s="8" t="b">
        <f t="shared" si="168"/>
        <v>1</v>
      </c>
      <c r="N2176" s="1" t="b">
        <f t="shared" si="169"/>
        <v>1</v>
      </c>
      <c r="O2176" s="8" t="str">
        <f>IF(F2176="","",IF($F$2=入力リスト!$H$25,ROUNDDOWN(INT(F2176)+ROUNDDOWN((F2176-INT(F2176))*100,0)/60,2),F2176))</f>
        <v/>
      </c>
      <c r="P2176" s="7"/>
      <c r="Q2176" s="7"/>
    </row>
    <row r="2177" spans="1:17">
      <c r="A2177" s="105"/>
      <c r="B2177" s="2"/>
      <c r="C2177" s="3"/>
      <c r="D2177" s="3"/>
      <c r="E2177" s="3"/>
      <c r="F2177" s="8"/>
      <c r="G2177" s="215" t="str">
        <f>IF(AND($B2177="",OR(B2177&lt;&gt;"",C2177&lt;&gt;"",D2177&lt;&gt;"",E2177&lt;&gt;"",F2177&lt;&gt;"")),入力リスト!$K$34,IF($I2177=TRUE,入力リスト!$K$35,IF(J2177=FALSE,"「毎月の固定給与額」","")&amp;IF(AND(J2177=FALSE,OR(K2177=FALSE,L2177=FALSE,M2177=FALSE)),",","")&amp;IF(K2177=FALSE,"「賞与額等」","")&amp;IF(AND(K2177=FALSE,OR(L2177=FALSE,M2177=FALSE)),",","")&amp;IF(L2177=FALSE,"「残業手当」","")&amp;IF(AND(L2177=FALSE,M2177=FALSE),",","")&amp;IF(M2177=FALSE,"「残業時間」","")&amp;IF(OR(J2177=FALSE,K2177=FALSE,L2177=FALSE,M2177=FALSE),入力リスト!$K$36,"")&amp;IF(N2177,"",入力リスト!$K$37)))</f>
        <v/>
      </c>
      <c r="H2177" s="215"/>
      <c r="I2177" s="1" t="b">
        <f>IF(B2177="",FALSE,COUNTIF('従業員情報(給与以外)'!$A$4:$A$1000000,$B2177)=0)</f>
        <v>0</v>
      </c>
      <c r="J2177" s="8" t="b">
        <f t="shared" si="165"/>
        <v>1</v>
      </c>
      <c r="K2177" s="8" t="b">
        <f t="shared" si="166"/>
        <v>1</v>
      </c>
      <c r="L2177" s="8" t="b">
        <f t="shared" si="167"/>
        <v>1</v>
      </c>
      <c r="M2177" s="8" t="b">
        <f t="shared" si="168"/>
        <v>1</v>
      </c>
      <c r="N2177" s="1" t="b">
        <f t="shared" si="169"/>
        <v>1</v>
      </c>
      <c r="O2177" s="8" t="str">
        <f>IF(F2177="","",IF($F$2=入力リスト!$H$25,ROUNDDOWN(INT(F2177)+ROUNDDOWN((F2177-INT(F2177))*100,0)/60,2),F2177))</f>
        <v/>
      </c>
      <c r="P2177" s="7"/>
      <c r="Q2177" s="7"/>
    </row>
    <row r="2178" spans="1:17">
      <c r="A2178" s="105"/>
      <c r="B2178" s="2"/>
      <c r="C2178" s="3"/>
      <c r="D2178" s="3"/>
      <c r="E2178" s="3"/>
      <c r="F2178" s="8"/>
      <c r="G2178" s="215" t="str">
        <f>IF(AND($B2178="",OR(B2178&lt;&gt;"",C2178&lt;&gt;"",D2178&lt;&gt;"",E2178&lt;&gt;"",F2178&lt;&gt;"")),入力リスト!$K$34,IF($I2178=TRUE,入力リスト!$K$35,IF(J2178=FALSE,"「毎月の固定給与額」","")&amp;IF(AND(J2178=FALSE,OR(K2178=FALSE,L2178=FALSE,M2178=FALSE)),",","")&amp;IF(K2178=FALSE,"「賞与額等」","")&amp;IF(AND(K2178=FALSE,OR(L2178=FALSE,M2178=FALSE)),",","")&amp;IF(L2178=FALSE,"「残業手当」","")&amp;IF(AND(L2178=FALSE,M2178=FALSE),",","")&amp;IF(M2178=FALSE,"「残業時間」","")&amp;IF(OR(J2178=FALSE,K2178=FALSE,L2178=FALSE,M2178=FALSE),入力リスト!$K$36,"")&amp;IF(N2178,"",入力リスト!$K$37)))</f>
        <v/>
      </c>
      <c r="H2178" s="215"/>
      <c r="I2178" s="1" t="b">
        <f>IF(B2178="",FALSE,COUNTIF('従業員情報(給与以外)'!$A$4:$A$1000000,$B2178)=0)</f>
        <v>0</v>
      </c>
      <c r="J2178" s="8" t="b">
        <f t="shared" si="165"/>
        <v>1</v>
      </c>
      <c r="K2178" s="8" t="b">
        <f t="shared" si="166"/>
        <v>1</v>
      </c>
      <c r="L2178" s="8" t="b">
        <f t="shared" si="167"/>
        <v>1</v>
      </c>
      <c r="M2178" s="8" t="b">
        <f t="shared" si="168"/>
        <v>1</v>
      </c>
      <c r="N2178" s="1" t="b">
        <f t="shared" si="169"/>
        <v>1</v>
      </c>
      <c r="O2178" s="8" t="str">
        <f>IF(F2178="","",IF($F$2=入力リスト!$H$25,ROUNDDOWN(INT(F2178)+ROUNDDOWN((F2178-INT(F2178))*100,0)/60,2),F2178))</f>
        <v/>
      </c>
      <c r="P2178" s="7"/>
      <c r="Q2178" s="7"/>
    </row>
    <row r="2179" spans="1:17">
      <c r="A2179" s="105"/>
      <c r="B2179" s="2"/>
      <c r="C2179" s="3"/>
      <c r="D2179" s="3"/>
      <c r="E2179" s="3"/>
      <c r="F2179" s="8"/>
      <c r="G2179" s="215" t="str">
        <f>IF(AND($B2179="",OR(B2179&lt;&gt;"",C2179&lt;&gt;"",D2179&lt;&gt;"",E2179&lt;&gt;"",F2179&lt;&gt;"")),入力リスト!$K$34,IF($I2179=TRUE,入力リスト!$K$35,IF(J2179=FALSE,"「毎月の固定給与額」","")&amp;IF(AND(J2179=FALSE,OR(K2179=FALSE,L2179=FALSE,M2179=FALSE)),",","")&amp;IF(K2179=FALSE,"「賞与額等」","")&amp;IF(AND(K2179=FALSE,OR(L2179=FALSE,M2179=FALSE)),",","")&amp;IF(L2179=FALSE,"「残業手当」","")&amp;IF(AND(L2179=FALSE,M2179=FALSE),",","")&amp;IF(M2179=FALSE,"「残業時間」","")&amp;IF(OR(J2179=FALSE,K2179=FALSE,L2179=FALSE,M2179=FALSE),入力リスト!$K$36,"")&amp;IF(N2179,"",入力リスト!$K$37)))</f>
        <v/>
      </c>
      <c r="H2179" s="215"/>
      <c r="I2179" s="1" t="b">
        <f>IF(B2179="",FALSE,COUNTIF('従業員情報(給与以外)'!$A$4:$A$1000000,$B2179)=0)</f>
        <v>0</v>
      </c>
      <c r="J2179" s="8" t="b">
        <f t="shared" si="165"/>
        <v>1</v>
      </c>
      <c r="K2179" s="8" t="b">
        <f t="shared" si="166"/>
        <v>1</v>
      </c>
      <c r="L2179" s="8" t="b">
        <f t="shared" si="167"/>
        <v>1</v>
      </c>
      <c r="M2179" s="8" t="b">
        <f t="shared" si="168"/>
        <v>1</v>
      </c>
      <c r="N2179" s="1" t="b">
        <f t="shared" si="169"/>
        <v>1</v>
      </c>
      <c r="O2179" s="8" t="str">
        <f>IF(F2179="","",IF($F$2=入力リスト!$H$25,ROUNDDOWN(INT(F2179)+ROUNDDOWN((F2179-INT(F2179))*100,0)/60,2),F2179))</f>
        <v/>
      </c>
      <c r="P2179" s="7"/>
      <c r="Q2179" s="7"/>
    </row>
    <row r="2180" spans="1:17">
      <c r="A2180" s="105"/>
      <c r="B2180" s="2"/>
      <c r="C2180" s="3"/>
      <c r="D2180" s="3"/>
      <c r="E2180" s="3"/>
      <c r="F2180" s="8"/>
      <c r="G2180" s="215" t="str">
        <f>IF(AND($B2180="",OR(B2180&lt;&gt;"",C2180&lt;&gt;"",D2180&lt;&gt;"",E2180&lt;&gt;"",F2180&lt;&gt;"")),入力リスト!$K$34,IF($I2180=TRUE,入力リスト!$K$35,IF(J2180=FALSE,"「毎月の固定給与額」","")&amp;IF(AND(J2180=FALSE,OR(K2180=FALSE,L2180=FALSE,M2180=FALSE)),",","")&amp;IF(K2180=FALSE,"「賞与額等」","")&amp;IF(AND(K2180=FALSE,OR(L2180=FALSE,M2180=FALSE)),",","")&amp;IF(L2180=FALSE,"「残業手当」","")&amp;IF(AND(L2180=FALSE,M2180=FALSE),",","")&amp;IF(M2180=FALSE,"「残業時間」","")&amp;IF(OR(J2180=FALSE,K2180=FALSE,L2180=FALSE,M2180=FALSE),入力リスト!$K$36,"")&amp;IF(N2180,"",入力リスト!$K$37)))</f>
        <v/>
      </c>
      <c r="H2180" s="215"/>
      <c r="I2180" s="1" t="b">
        <f>IF(B2180="",FALSE,COUNTIF('従業員情報(給与以外)'!$A$4:$A$1000000,$B2180)=0)</f>
        <v>0</v>
      </c>
      <c r="J2180" s="8" t="b">
        <f t="shared" si="165"/>
        <v>1</v>
      </c>
      <c r="K2180" s="8" t="b">
        <f t="shared" si="166"/>
        <v>1</v>
      </c>
      <c r="L2180" s="8" t="b">
        <f t="shared" si="167"/>
        <v>1</v>
      </c>
      <c r="M2180" s="8" t="b">
        <f t="shared" si="168"/>
        <v>1</v>
      </c>
      <c r="N2180" s="1" t="b">
        <f t="shared" si="169"/>
        <v>1</v>
      </c>
      <c r="O2180" s="8" t="str">
        <f>IF(F2180="","",IF($F$2=入力リスト!$H$25,ROUNDDOWN(INT(F2180)+ROUNDDOWN((F2180-INT(F2180))*100,0)/60,2),F2180))</f>
        <v/>
      </c>
      <c r="P2180" s="7"/>
      <c r="Q2180" s="7"/>
    </row>
    <row r="2181" spans="1:17">
      <c r="A2181" s="105"/>
      <c r="B2181" s="2"/>
      <c r="C2181" s="3"/>
      <c r="D2181" s="3"/>
      <c r="E2181" s="3"/>
      <c r="F2181" s="8"/>
      <c r="G2181" s="215" t="str">
        <f>IF(AND($B2181="",OR(B2181&lt;&gt;"",C2181&lt;&gt;"",D2181&lt;&gt;"",E2181&lt;&gt;"",F2181&lt;&gt;"")),入力リスト!$K$34,IF($I2181=TRUE,入力リスト!$K$35,IF(J2181=FALSE,"「毎月の固定給与額」","")&amp;IF(AND(J2181=FALSE,OR(K2181=FALSE,L2181=FALSE,M2181=FALSE)),",","")&amp;IF(K2181=FALSE,"「賞与額等」","")&amp;IF(AND(K2181=FALSE,OR(L2181=FALSE,M2181=FALSE)),",","")&amp;IF(L2181=FALSE,"「残業手当」","")&amp;IF(AND(L2181=FALSE,M2181=FALSE),",","")&amp;IF(M2181=FALSE,"「残業時間」","")&amp;IF(OR(J2181=FALSE,K2181=FALSE,L2181=FALSE,M2181=FALSE),入力リスト!$K$36,"")&amp;IF(N2181,"",入力リスト!$K$37)))</f>
        <v/>
      </c>
      <c r="H2181" s="215"/>
      <c r="I2181" s="1" t="b">
        <f>IF(B2181="",FALSE,COUNTIF('従業員情報(給与以外)'!$A$4:$A$1000000,$B2181)=0)</f>
        <v>0</v>
      </c>
      <c r="J2181" s="8" t="b">
        <f t="shared" ref="J2181:J2225" si="170">OR(C2181="",ISNUMBER(C2181))</f>
        <v>1</v>
      </c>
      <c r="K2181" s="8" t="b">
        <f t="shared" ref="K2181:K2225" si="171">OR(D2181="",ISNUMBER(D2181))</f>
        <v>1</v>
      </c>
      <c r="L2181" s="8" t="b">
        <f t="shared" ref="L2181:L2225" si="172">OR(E2181="",ISNUMBER(E2181))</f>
        <v>1</v>
      </c>
      <c r="M2181" s="8" t="b">
        <f t="shared" ref="M2181:M2225" si="173">OR(F2181="",ISNUMBER(F2181))</f>
        <v>1</v>
      </c>
      <c r="N2181" s="1" t="b">
        <f t="shared" ref="N2181:N2244" si="174">IF($N$1,TRUE,IF($N$2,IF(F2181-INT(F2181)&lt;0.6,TRUE,FALSE),TRUE))</f>
        <v>1</v>
      </c>
      <c r="O2181" s="8" t="str">
        <f>IF(F2181="","",IF($F$2=入力リスト!$H$25,ROUNDDOWN(INT(F2181)+ROUNDDOWN((F2181-INT(F2181))*100,0)/60,2),F2181))</f>
        <v/>
      </c>
      <c r="P2181" s="7"/>
      <c r="Q2181" s="7"/>
    </row>
    <row r="2182" spans="1:17">
      <c r="A2182" s="105"/>
      <c r="B2182" s="2"/>
      <c r="C2182" s="3"/>
      <c r="D2182" s="3"/>
      <c r="E2182" s="3"/>
      <c r="F2182" s="8"/>
      <c r="G2182" s="215" t="str">
        <f>IF(AND($B2182="",OR(B2182&lt;&gt;"",C2182&lt;&gt;"",D2182&lt;&gt;"",E2182&lt;&gt;"",F2182&lt;&gt;"")),入力リスト!$K$34,IF($I2182=TRUE,入力リスト!$K$35,IF(J2182=FALSE,"「毎月の固定給与額」","")&amp;IF(AND(J2182=FALSE,OR(K2182=FALSE,L2182=FALSE,M2182=FALSE)),",","")&amp;IF(K2182=FALSE,"「賞与額等」","")&amp;IF(AND(K2182=FALSE,OR(L2182=FALSE,M2182=FALSE)),",","")&amp;IF(L2182=FALSE,"「残業手当」","")&amp;IF(AND(L2182=FALSE,M2182=FALSE),",","")&amp;IF(M2182=FALSE,"「残業時間」","")&amp;IF(OR(J2182=FALSE,K2182=FALSE,L2182=FALSE,M2182=FALSE),入力リスト!$K$36,"")&amp;IF(N2182,"",入力リスト!$K$37)))</f>
        <v/>
      </c>
      <c r="H2182" s="215"/>
      <c r="I2182" s="1" t="b">
        <f>IF(B2182="",FALSE,COUNTIF('従業員情報(給与以外)'!$A$4:$A$1000000,$B2182)=0)</f>
        <v>0</v>
      </c>
      <c r="J2182" s="8" t="b">
        <f t="shared" si="170"/>
        <v>1</v>
      </c>
      <c r="K2182" s="8" t="b">
        <f t="shared" si="171"/>
        <v>1</v>
      </c>
      <c r="L2182" s="8" t="b">
        <f t="shared" si="172"/>
        <v>1</v>
      </c>
      <c r="M2182" s="8" t="b">
        <f t="shared" si="173"/>
        <v>1</v>
      </c>
      <c r="N2182" s="1" t="b">
        <f t="shared" si="174"/>
        <v>1</v>
      </c>
      <c r="O2182" s="8" t="str">
        <f>IF(F2182="","",IF($F$2=入力リスト!$H$25,ROUNDDOWN(INT(F2182)+ROUNDDOWN((F2182-INT(F2182))*100,0)/60,2),F2182))</f>
        <v/>
      </c>
      <c r="P2182" s="7"/>
      <c r="Q2182" s="7"/>
    </row>
    <row r="2183" spans="1:17">
      <c r="A2183" s="105"/>
      <c r="B2183" s="2"/>
      <c r="C2183" s="3"/>
      <c r="D2183" s="3"/>
      <c r="E2183" s="3"/>
      <c r="F2183" s="8"/>
      <c r="G2183" s="215" t="str">
        <f>IF(AND($B2183="",OR(B2183&lt;&gt;"",C2183&lt;&gt;"",D2183&lt;&gt;"",E2183&lt;&gt;"",F2183&lt;&gt;"")),入力リスト!$K$34,IF($I2183=TRUE,入力リスト!$K$35,IF(J2183=FALSE,"「毎月の固定給与額」","")&amp;IF(AND(J2183=FALSE,OR(K2183=FALSE,L2183=FALSE,M2183=FALSE)),",","")&amp;IF(K2183=FALSE,"「賞与額等」","")&amp;IF(AND(K2183=FALSE,OR(L2183=FALSE,M2183=FALSE)),",","")&amp;IF(L2183=FALSE,"「残業手当」","")&amp;IF(AND(L2183=FALSE,M2183=FALSE),",","")&amp;IF(M2183=FALSE,"「残業時間」","")&amp;IF(OR(J2183=FALSE,K2183=FALSE,L2183=FALSE,M2183=FALSE),入力リスト!$K$36,"")&amp;IF(N2183,"",入力リスト!$K$37)))</f>
        <v/>
      </c>
      <c r="H2183" s="215"/>
      <c r="I2183" s="1" t="b">
        <f>IF(B2183="",FALSE,COUNTIF('従業員情報(給与以外)'!$A$4:$A$1000000,$B2183)=0)</f>
        <v>0</v>
      </c>
      <c r="J2183" s="8" t="b">
        <f t="shared" si="170"/>
        <v>1</v>
      </c>
      <c r="K2183" s="8" t="b">
        <f t="shared" si="171"/>
        <v>1</v>
      </c>
      <c r="L2183" s="8" t="b">
        <f t="shared" si="172"/>
        <v>1</v>
      </c>
      <c r="M2183" s="8" t="b">
        <f t="shared" si="173"/>
        <v>1</v>
      </c>
      <c r="N2183" s="1" t="b">
        <f t="shared" si="174"/>
        <v>1</v>
      </c>
      <c r="O2183" s="8" t="str">
        <f>IF(F2183="","",IF($F$2=入力リスト!$H$25,ROUNDDOWN(INT(F2183)+ROUNDDOWN((F2183-INT(F2183))*100,0)/60,2),F2183))</f>
        <v/>
      </c>
      <c r="P2183" s="7"/>
      <c r="Q2183" s="7"/>
    </row>
    <row r="2184" spans="1:17">
      <c r="A2184" s="105"/>
      <c r="B2184" s="2"/>
      <c r="C2184" s="3"/>
      <c r="D2184" s="3"/>
      <c r="E2184" s="3"/>
      <c r="F2184" s="8"/>
      <c r="G2184" s="215" t="str">
        <f>IF(AND($B2184="",OR(B2184&lt;&gt;"",C2184&lt;&gt;"",D2184&lt;&gt;"",E2184&lt;&gt;"",F2184&lt;&gt;"")),入力リスト!$K$34,IF($I2184=TRUE,入力リスト!$K$35,IF(J2184=FALSE,"「毎月の固定給与額」","")&amp;IF(AND(J2184=FALSE,OR(K2184=FALSE,L2184=FALSE,M2184=FALSE)),",","")&amp;IF(K2184=FALSE,"「賞与額等」","")&amp;IF(AND(K2184=FALSE,OR(L2184=FALSE,M2184=FALSE)),",","")&amp;IF(L2184=FALSE,"「残業手当」","")&amp;IF(AND(L2184=FALSE,M2184=FALSE),",","")&amp;IF(M2184=FALSE,"「残業時間」","")&amp;IF(OR(J2184=FALSE,K2184=FALSE,L2184=FALSE,M2184=FALSE),入力リスト!$K$36,"")&amp;IF(N2184,"",入力リスト!$K$37)))</f>
        <v/>
      </c>
      <c r="H2184" s="215"/>
      <c r="I2184" s="1" t="b">
        <f>IF(B2184="",FALSE,COUNTIF('従業員情報(給与以外)'!$A$4:$A$1000000,$B2184)=0)</f>
        <v>0</v>
      </c>
      <c r="J2184" s="8" t="b">
        <f t="shared" si="170"/>
        <v>1</v>
      </c>
      <c r="K2184" s="8" t="b">
        <f t="shared" si="171"/>
        <v>1</v>
      </c>
      <c r="L2184" s="8" t="b">
        <f t="shared" si="172"/>
        <v>1</v>
      </c>
      <c r="M2184" s="8" t="b">
        <f t="shared" si="173"/>
        <v>1</v>
      </c>
      <c r="N2184" s="1" t="b">
        <f t="shared" si="174"/>
        <v>1</v>
      </c>
      <c r="O2184" s="8" t="str">
        <f>IF(F2184="","",IF($F$2=入力リスト!$H$25,ROUNDDOWN(INT(F2184)+ROUNDDOWN((F2184-INT(F2184))*100,0)/60,2),F2184))</f>
        <v/>
      </c>
      <c r="P2184" s="7"/>
      <c r="Q2184" s="7"/>
    </row>
    <row r="2185" spans="1:17">
      <c r="A2185" s="105"/>
      <c r="B2185" s="2"/>
      <c r="C2185" s="3"/>
      <c r="D2185" s="3"/>
      <c r="E2185" s="3"/>
      <c r="F2185" s="8"/>
      <c r="G2185" s="215" t="str">
        <f>IF(AND($B2185="",OR(B2185&lt;&gt;"",C2185&lt;&gt;"",D2185&lt;&gt;"",E2185&lt;&gt;"",F2185&lt;&gt;"")),入力リスト!$K$34,IF($I2185=TRUE,入力リスト!$K$35,IF(J2185=FALSE,"「毎月の固定給与額」","")&amp;IF(AND(J2185=FALSE,OR(K2185=FALSE,L2185=FALSE,M2185=FALSE)),",","")&amp;IF(K2185=FALSE,"「賞与額等」","")&amp;IF(AND(K2185=FALSE,OR(L2185=FALSE,M2185=FALSE)),",","")&amp;IF(L2185=FALSE,"「残業手当」","")&amp;IF(AND(L2185=FALSE,M2185=FALSE),",","")&amp;IF(M2185=FALSE,"「残業時間」","")&amp;IF(OR(J2185=FALSE,K2185=FALSE,L2185=FALSE,M2185=FALSE),入力リスト!$K$36,"")&amp;IF(N2185,"",入力リスト!$K$37)))</f>
        <v/>
      </c>
      <c r="H2185" s="215"/>
      <c r="I2185" s="1" t="b">
        <f>IF(B2185="",FALSE,COUNTIF('従業員情報(給与以外)'!$A$4:$A$1000000,$B2185)=0)</f>
        <v>0</v>
      </c>
      <c r="J2185" s="8" t="b">
        <f t="shared" si="170"/>
        <v>1</v>
      </c>
      <c r="K2185" s="8" t="b">
        <f t="shared" si="171"/>
        <v>1</v>
      </c>
      <c r="L2185" s="8" t="b">
        <f t="shared" si="172"/>
        <v>1</v>
      </c>
      <c r="M2185" s="8" t="b">
        <f t="shared" si="173"/>
        <v>1</v>
      </c>
      <c r="N2185" s="1" t="b">
        <f t="shared" si="174"/>
        <v>1</v>
      </c>
      <c r="O2185" s="8" t="str">
        <f>IF(F2185="","",IF($F$2=入力リスト!$H$25,ROUNDDOWN(INT(F2185)+ROUNDDOWN((F2185-INT(F2185))*100,0)/60,2),F2185))</f>
        <v/>
      </c>
      <c r="P2185" s="7"/>
      <c r="Q2185" s="7"/>
    </row>
    <row r="2186" spans="1:17">
      <c r="A2186" s="105"/>
      <c r="B2186" s="2"/>
      <c r="C2186" s="3"/>
      <c r="D2186" s="3"/>
      <c r="E2186" s="3"/>
      <c r="F2186" s="8"/>
      <c r="G2186" s="215" t="str">
        <f>IF(AND($B2186="",OR(B2186&lt;&gt;"",C2186&lt;&gt;"",D2186&lt;&gt;"",E2186&lt;&gt;"",F2186&lt;&gt;"")),入力リスト!$K$34,IF($I2186=TRUE,入力リスト!$K$35,IF(J2186=FALSE,"「毎月の固定給与額」","")&amp;IF(AND(J2186=FALSE,OR(K2186=FALSE,L2186=FALSE,M2186=FALSE)),",","")&amp;IF(K2186=FALSE,"「賞与額等」","")&amp;IF(AND(K2186=FALSE,OR(L2186=FALSE,M2186=FALSE)),",","")&amp;IF(L2186=FALSE,"「残業手当」","")&amp;IF(AND(L2186=FALSE,M2186=FALSE),",","")&amp;IF(M2186=FALSE,"「残業時間」","")&amp;IF(OR(J2186=FALSE,K2186=FALSE,L2186=FALSE,M2186=FALSE),入力リスト!$K$36,"")&amp;IF(N2186,"",入力リスト!$K$37)))</f>
        <v/>
      </c>
      <c r="H2186" s="215"/>
      <c r="I2186" s="1" t="b">
        <f>IF(B2186="",FALSE,COUNTIF('従業員情報(給与以外)'!$A$4:$A$1000000,$B2186)=0)</f>
        <v>0</v>
      </c>
      <c r="J2186" s="8" t="b">
        <f t="shared" si="170"/>
        <v>1</v>
      </c>
      <c r="K2186" s="8" t="b">
        <f t="shared" si="171"/>
        <v>1</v>
      </c>
      <c r="L2186" s="8" t="b">
        <f t="shared" si="172"/>
        <v>1</v>
      </c>
      <c r="M2186" s="8" t="b">
        <f t="shared" si="173"/>
        <v>1</v>
      </c>
      <c r="N2186" s="1" t="b">
        <f t="shared" si="174"/>
        <v>1</v>
      </c>
      <c r="O2186" s="8" t="str">
        <f>IF(F2186="","",IF($F$2=入力リスト!$H$25,ROUNDDOWN(INT(F2186)+ROUNDDOWN((F2186-INT(F2186))*100,0)/60,2),F2186))</f>
        <v/>
      </c>
      <c r="P2186" s="7"/>
      <c r="Q2186" s="7"/>
    </row>
    <row r="2187" spans="1:17">
      <c r="A2187" s="105"/>
      <c r="B2187" s="2"/>
      <c r="C2187" s="3"/>
      <c r="D2187" s="3"/>
      <c r="E2187" s="3"/>
      <c r="F2187" s="8"/>
      <c r="G2187" s="215" t="str">
        <f>IF(AND($B2187="",OR(B2187&lt;&gt;"",C2187&lt;&gt;"",D2187&lt;&gt;"",E2187&lt;&gt;"",F2187&lt;&gt;"")),入力リスト!$K$34,IF($I2187=TRUE,入力リスト!$K$35,IF(J2187=FALSE,"「毎月の固定給与額」","")&amp;IF(AND(J2187=FALSE,OR(K2187=FALSE,L2187=FALSE,M2187=FALSE)),",","")&amp;IF(K2187=FALSE,"「賞与額等」","")&amp;IF(AND(K2187=FALSE,OR(L2187=FALSE,M2187=FALSE)),",","")&amp;IF(L2187=FALSE,"「残業手当」","")&amp;IF(AND(L2187=FALSE,M2187=FALSE),",","")&amp;IF(M2187=FALSE,"「残業時間」","")&amp;IF(OR(J2187=FALSE,K2187=FALSE,L2187=FALSE,M2187=FALSE),入力リスト!$K$36,"")&amp;IF(N2187,"",入力リスト!$K$37)))</f>
        <v/>
      </c>
      <c r="H2187" s="215"/>
      <c r="I2187" s="1" t="b">
        <f>IF(B2187="",FALSE,COUNTIF('従業員情報(給与以外)'!$A$4:$A$1000000,$B2187)=0)</f>
        <v>0</v>
      </c>
      <c r="J2187" s="8" t="b">
        <f t="shared" si="170"/>
        <v>1</v>
      </c>
      <c r="K2187" s="8" t="b">
        <f t="shared" si="171"/>
        <v>1</v>
      </c>
      <c r="L2187" s="8" t="b">
        <f t="shared" si="172"/>
        <v>1</v>
      </c>
      <c r="M2187" s="8" t="b">
        <f t="shared" si="173"/>
        <v>1</v>
      </c>
      <c r="N2187" s="1" t="b">
        <f t="shared" si="174"/>
        <v>1</v>
      </c>
      <c r="O2187" s="8" t="str">
        <f>IF(F2187="","",IF($F$2=入力リスト!$H$25,ROUNDDOWN(INT(F2187)+ROUNDDOWN((F2187-INT(F2187))*100,0)/60,2),F2187))</f>
        <v/>
      </c>
      <c r="P2187" s="7"/>
      <c r="Q2187" s="7"/>
    </row>
    <row r="2188" spans="1:17">
      <c r="A2188" s="105"/>
      <c r="B2188" s="2"/>
      <c r="C2188" s="3"/>
      <c r="D2188" s="3"/>
      <c r="E2188" s="3"/>
      <c r="F2188" s="8"/>
      <c r="G2188" s="215" t="str">
        <f>IF(AND($B2188="",OR(B2188&lt;&gt;"",C2188&lt;&gt;"",D2188&lt;&gt;"",E2188&lt;&gt;"",F2188&lt;&gt;"")),入力リスト!$K$34,IF($I2188=TRUE,入力リスト!$K$35,IF(J2188=FALSE,"「毎月の固定給与額」","")&amp;IF(AND(J2188=FALSE,OR(K2188=FALSE,L2188=FALSE,M2188=FALSE)),",","")&amp;IF(K2188=FALSE,"「賞与額等」","")&amp;IF(AND(K2188=FALSE,OR(L2188=FALSE,M2188=FALSE)),",","")&amp;IF(L2188=FALSE,"「残業手当」","")&amp;IF(AND(L2188=FALSE,M2188=FALSE),",","")&amp;IF(M2188=FALSE,"「残業時間」","")&amp;IF(OR(J2188=FALSE,K2188=FALSE,L2188=FALSE,M2188=FALSE),入力リスト!$K$36,"")&amp;IF(N2188,"",入力リスト!$K$37)))</f>
        <v/>
      </c>
      <c r="H2188" s="215"/>
      <c r="I2188" s="1" t="b">
        <f>IF(B2188="",FALSE,COUNTIF('従業員情報(給与以外)'!$A$4:$A$1000000,$B2188)=0)</f>
        <v>0</v>
      </c>
      <c r="J2188" s="8" t="b">
        <f t="shared" si="170"/>
        <v>1</v>
      </c>
      <c r="K2188" s="8" t="b">
        <f t="shared" si="171"/>
        <v>1</v>
      </c>
      <c r="L2188" s="8" t="b">
        <f t="shared" si="172"/>
        <v>1</v>
      </c>
      <c r="M2188" s="8" t="b">
        <f t="shared" si="173"/>
        <v>1</v>
      </c>
      <c r="N2188" s="1" t="b">
        <f t="shared" si="174"/>
        <v>1</v>
      </c>
      <c r="O2188" s="8" t="str">
        <f>IF(F2188="","",IF($F$2=入力リスト!$H$25,ROUNDDOWN(INT(F2188)+ROUNDDOWN((F2188-INT(F2188))*100,0)/60,2),F2188))</f>
        <v/>
      </c>
      <c r="P2188" s="7"/>
      <c r="Q2188" s="7"/>
    </row>
    <row r="2189" spans="1:17">
      <c r="A2189" s="105"/>
      <c r="B2189" s="2"/>
      <c r="C2189" s="3"/>
      <c r="D2189" s="3"/>
      <c r="E2189" s="3"/>
      <c r="F2189" s="8"/>
      <c r="G2189" s="215" t="str">
        <f>IF(AND($B2189="",OR(B2189&lt;&gt;"",C2189&lt;&gt;"",D2189&lt;&gt;"",E2189&lt;&gt;"",F2189&lt;&gt;"")),入力リスト!$K$34,IF($I2189=TRUE,入力リスト!$K$35,IF(J2189=FALSE,"「毎月の固定給与額」","")&amp;IF(AND(J2189=FALSE,OR(K2189=FALSE,L2189=FALSE,M2189=FALSE)),",","")&amp;IF(K2189=FALSE,"「賞与額等」","")&amp;IF(AND(K2189=FALSE,OR(L2189=FALSE,M2189=FALSE)),",","")&amp;IF(L2189=FALSE,"「残業手当」","")&amp;IF(AND(L2189=FALSE,M2189=FALSE),",","")&amp;IF(M2189=FALSE,"「残業時間」","")&amp;IF(OR(J2189=FALSE,K2189=FALSE,L2189=FALSE,M2189=FALSE),入力リスト!$K$36,"")&amp;IF(N2189,"",入力リスト!$K$37)))</f>
        <v/>
      </c>
      <c r="H2189" s="215"/>
      <c r="I2189" s="1" t="b">
        <f>IF(B2189="",FALSE,COUNTIF('従業員情報(給与以外)'!$A$4:$A$1000000,$B2189)=0)</f>
        <v>0</v>
      </c>
      <c r="J2189" s="8" t="b">
        <f t="shared" si="170"/>
        <v>1</v>
      </c>
      <c r="K2189" s="8" t="b">
        <f t="shared" si="171"/>
        <v>1</v>
      </c>
      <c r="L2189" s="8" t="b">
        <f t="shared" si="172"/>
        <v>1</v>
      </c>
      <c r="M2189" s="8" t="b">
        <f t="shared" si="173"/>
        <v>1</v>
      </c>
      <c r="N2189" s="1" t="b">
        <f t="shared" si="174"/>
        <v>1</v>
      </c>
      <c r="O2189" s="8" t="str">
        <f>IF(F2189="","",IF($F$2=入力リスト!$H$25,ROUNDDOWN(INT(F2189)+ROUNDDOWN((F2189-INT(F2189))*100,0)/60,2),F2189))</f>
        <v/>
      </c>
      <c r="P2189" s="7"/>
      <c r="Q2189" s="7"/>
    </row>
    <row r="2190" spans="1:17">
      <c r="A2190" s="105"/>
      <c r="B2190" s="2"/>
      <c r="C2190" s="3"/>
      <c r="D2190" s="3"/>
      <c r="E2190" s="3"/>
      <c r="F2190" s="8"/>
      <c r="G2190" s="215" t="str">
        <f>IF(AND($B2190="",OR(B2190&lt;&gt;"",C2190&lt;&gt;"",D2190&lt;&gt;"",E2190&lt;&gt;"",F2190&lt;&gt;"")),入力リスト!$K$34,IF($I2190=TRUE,入力リスト!$K$35,IF(J2190=FALSE,"「毎月の固定給与額」","")&amp;IF(AND(J2190=FALSE,OR(K2190=FALSE,L2190=FALSE,M2190=FALSE)),",","")&amp;IF(K2190=FALSE,"「賞与額等」","")&amp;IF(AND(K2190=FALSE,OR(L2190=FALSE,M2190=FALSE)),",","")&amp;IF(L2190=FALSE,"「残業手当」","")&amp;IF(AND(L2190=FALSE,M2190=FALSE),",","")&amp;IF(M2190=FALSE,"「残業時間」","")&amp;IF(OR(J2190=FALSE,K2190=FALSE,L2190=FALSE,M2190=FALSE),入力リスト!$K$36,"")&amp;IF(N2190,"",入力リスト!$K$37)))</f>
        <v/>
      </c>
      <c r="H2190" s="215"/>
      <c r="I2190" s="1" t="b">
        <f>IF(B2190="",FALSE,COUNTIF('従業員情報(給与以外)'!$A$4:$A$1000000,$B2190)=0)</f>
        <v>0</v>
      </c>
      <c r="J2190" s="8" t="b">
        <f t="shared" si="170"/>
        <v>1</v>
      </c>
      <c r="K2190" s="8" t="b">
        <f t="shared" si="171"/>
        <v>1</v>
      </c>
      <c r="L2190" s="8" t="b">
        <f t="shared" si="172"/>
        <v>1</v>
      </c>
      <c r="M2190" s="8" t="b">
        <f t="shared" si="173"/>
        <v>1</v>
      </c>
      <c r="N2190" s="1" t="b">
        <f t="shared" si="174"/>
        <v>1</v>
      </c>
      <c r="O2190" s="8" t="str">
        <f>IF(F2190="","",IF($F$2=入力リスト!$H$25,ROUNDDOWN(INT(F2190)+ROUNDDOWN((F2190-INT(F2190))*100,0)/60,2),F2190))</f>
        <v/>
      </c>
      <c r="P2190" s="7"/>
      <c r="Q2190" s="7"/>
    </row>
    <row r="2191" spans="1:17">
      <c r="A2191" s="105"/>
      <c r="B2191" s="2"/>
      <c r="C2191" s="3"/>
      <c r="D2191" s="3"/>
      <c r="E2191" s="3"/>
      <c r="F2191" s="8"/>
      <c r="G2191" s="215" t="str">
        <f>IF(AND($B2191="",OR(B2191&lt;&gt;"",C2191&lt;&gt;"",D2191&lt;&gt;"",E2191&lt;&gt;"",F2191&lt;&gt;"")),入力リスト!$K$34,IF($I2191=TRUE,入力リスト!$K$35,IF(J2191=FALSE,"「毎月の固定給与額」","")&amp;IF(AND(J2191=FALSE,OR(K2191=FALSE,L2191=FALSE,M2191=FALSE)),",","")&amp;IF(K2191=FALSE,"「賞与額等」","")&amp;IF(AND(K2191=FALSE,OR(L2191=FALSE,M2191=FALSE)),",","")&amp;IF(L2191=FALSE,"「残業手当」","")&amp;IF(AND(L2191=FALSE,M2191=FALSE),",","")&amp;IF(M2191=FALSE,"「残業時間」","")&amp;IF(OR(J2191=FALSE,K2191=FALSE,L2191=FALSE,M2191=FALSE),入力リスト!$K$36,"")&amp;IF(N2191,"",入力リスト!$K$37)))</f>
        <v/>
      </c>
      <c r="H2191" s="215"/>
      <c r="I2191" s="1" t="b">
        <f>IF(B2191="",FALSE,COUNTIF('従業員情報(給与以外)'!$A$4:$A$1000000,$B2191)=0)</f>
        <v>0</v>
      </c>
      <c r="J2191" s="8" t="b">
        <f t="shared" si="170"/>
        <v>1</v>
      </c>
      <c r="K2191" s="8" t="b">
        <f t="shared" si="171"/>
        <v>1</v>
      </c>
      <c r="L2191" s="8" t="b">
        <f t="shared" si="172"/>
        <v>1</v>
      </c>
      <c r="M2191" s="8" t="b">
        <f t="shared" si="173"/>
        <v>1</v>
      </c>
      <c r="N2191" s="1" t="b">
        <f t="shared" si="174"/>
        <v>1</v>
      </c>
      <c r="O2191" s="8" t="str">
        <f>IF(F2191="","",IF($F$2=入力リスト!$H$25,ROUNDDOWN(INT(F2191)+ROUNDDOWN((F2191-INT(F2191))*100,0)/60,2),F2191))</f>
        <v/>
      </c>
      <c r="P2191" s="7"/>
      <c r="Q2191" s="7"/>
    </row>
    <row r="2192" spans="1:17">
      <c r="A2192" s="105"/>
      <c r="B2192" s="2"/>
      <c r="C2192" s="3"/>
      <c r="D2192" s="3"/>
      <c r="E2192" s="3"/>
      <c r="F2192" s="8"/>
      <c r="G2192" s="215" t="str">
        <f>IF(AND($B2192="",OR(B2192&lt;&gt;"",C2192&lt;&gt;"",D2192&lt;&gt;"",E2192&lt;&gt;"",F2192&lt;&gt;"")),入力リスト!$K$34,IF($I2192=TRUE,入力リスト!$K$35,IF(J2192=FALSE,"「毎月の固定給与額」","")&amp;IF(AND(J2192=FALSE,OR(K2192=FALSE,L2192=FALSE,M2192=FALSE)),",","")&amp;IF(K2192=FALSE,"「賞与額等」","")&amp;IF(AND(K2192=FALSE,OR(L2192=FALSE,M2192=FALSE)),",","")&amp;IF(L2192=FALSE,"「残業手当」","")&amp;IF(AND(L2192=FALSE,M2192=FALSE),",","")&amp;IF(M2192=FALSE,"「残業時間」","")&amp;IF(OR(J2192=FALSE,K2192=FALSE,L2192=FALSE,M2192=FALSE),入力リスト!$K$36,"")&amp;IF(N2192,"",入力リスト!$K$37)))</f>
        <v/>
      </c>
      <c r="H2192" s="215"/>
      <c r="I2192" s="1" t="b">
        <f>IF(B2192="",FALSE,COUNTIF('従業員情報(給与以外)'!$A$4:$A$1000000,$B2192)=0)</f>
        <v>0</v>
      </c>
      <c r="J2192" s="8" t="b">
        <f t="shared" si="170"/>
        <v>1</v>
      </c>
      <c r="K2192" s="8" t="b">
        <f t="shared" si="171"/>
        <v>1</v>
      </c>
      <c r="L2192" s="8" t="b">
        <f t="shared" si="172"/>
        <v>1</v>
      </c>
      <c r="M2192" s="8" t="b">
        <f t="shared" si="173"/>
        <v>1</v>
      </c>
      <c r="N2192" s="1" t="b">
        <f t="shared" si="174"/>
        <v>1</v>
      </c>
      <c r="O2192" s="8" t="str">
        <f>IF(F2192="","",IF($F$2=入力リスト!$H$25,ROUNDDOWN(INT(F2192)+ROUNDDOWN((F2192-INT(F2192))*100,0)/60,2),F2192))</f>
        <v/>
      </c>
      <c r="P2192" s="7"/>
      <c r="Q2192" s="7"/>
    </row>
    <row r="2193" spans="1:17">
      <c r="A2193" s="105"/>
      <c r="B2193" s="2"/>
      <c r="C2193" s="3"/>
      <c r="D2193" s="3"/>
      <c r="E2193" s="3"/>
      <c r="F2193" s="8"/>
      <c r="G2193" s="215" t="str">
        <f>IF(AND($B2193="",OR(B2193&lt;&gt;"",C2193&lt;&gt;"",D2193&lt;&gt;"",E2193&lt;&gt;"",F2193&lt;&gt;"")),入力リスト!$K$34,IF($I2193=TRUE,入力リスト!$K$35,IF(J2193=FALSE,"「毎月の固定給与額」","")&amp;IF(AND(J2193=FALSE,OR(K2193=FALSE,L2193=FALSE,M2193=FALSE)),",","")&amp;IF(K2193=FALSE,"「賞与額等」","")&amp;IF(AND(K2193=FALSE,OR(L2193=FALSE,M2193=FALSE)),",","")&amp;IF(L2193=FALSE,"「残業手当」","")&amp;IF(AND(L2193=FALSE,M2193=FALSE),",","")&amp;IF(M2193=FALSE,"「残業時間」","")&amp;IF(OR(J2193=FALSE,K2193=FALSE,L2193=FALSE,M2193=FALSE),入力リスト!$K$36,"")&amp;IF(N2193,"",入力リスト!$K$37)))</f>
        <v/>
      </c>
      <c r="H2193" s="215"/>
      <c r="I2193" s="1" t="b">
        <f>IF(B2193="",FALSE,COUNTIF('従業員情報(給与以外)'!$A$4:$A$1000000,$B2193)=0)</f>
        <v>0</v>
      </c>
      <c r="J2193" s="8" t="b">
        <f t="shared" si="170"/>
        <v>1</v>
      </c>
      <c r="K2193" s="8" t="b">
        <f t="shared" si="171"/>
        <v>1</v>
      </c>
      <c r="L2193" s="8" t="b">
        <f t="shared" si="172"/>
        <v>1</v>
      </c>
      <c r="M2193" s="8" t="b">
        <f t="shared" si="173"/>
        <v>1</v>
      </c>
      <c r="N2193" s="1" t="b">
        <f t="shared" si="174"/>
        <v>1</v>
      </c>
      <c r="O2193" s="8" t="str">
        <f>IF(F2193="","",IF($F$2=入力リスト!$H$25,ROUNDDOWN(INT(F2193)+ROUNDDOWN((F2193-INT(F2193))*100,0)/60,2),F2193))</f>
        <v/>
      </c>
      <c r="P2193" s="7"/>
      <c r="Q2193" s="7"/>
    </row>
    <row r="2194" spans="1:17">
      <c r="A2194" s="105"/>
      <c r="B2194" s="2"/>
      <c r="C2194" s="3"/>
      <c r="D2194" s="3"/>
      <c r="E2194" s="3"/>
      <c r="F2194" s="8"/>
      <c r="G2194" s="215" t="str">
        <f>IF(AND($B2194="",OR(B2194&lt;&gt;"",C2194&lt;&gt;"",D2194&lt;&gt;"",E2194&lt;&gt;"",F2194&lt;&gt;"")),入力リスト!$K$34,IF($I2194=TRUE,入力リスト!$K$35,IF(J2194=FALSE,"「毎月の固定給与額」","")&amp;IF(AND(J2194=FALSE,OR(K2194=FALSE,L2194=FALSE,M2194=FALSE)),",","")&amp;IF(K2194=FALSE,"「賞与額等」","")&amp;IF(AND(K2194=FALSE,OR(L2194=FALSE,M2194=FALSE)),",","")&amp;IF(L2194=FALSE,"「残業手当」","")&amp;IF(AND(L2194=FALSE,M2194=FALSE),",","")&amp;IF(M2194=FALSE,"「残業時間」","")&amp;IF(OR(J2194=FALSE,K2194=FALSE,L2194=FALSE,M2194=FALSE),入力リスト!$K$36,"")&amp;IF(N2194,"",入力リスト!$K$37)))</f>
        <v/>
      </c>
      <c r="H2194" s="215"/>
      <c r="I2194" s="1" t="b">
        <f>IF(B2194="",FALSE,COUNTIF('従業員情報(給与以外)'!$A$4:$A$1000000,$B2194)=0)</f>
        <v>0</v>
      </c>
      <c r="J2194" s="8" t="b">
        <f t="shared" si="170"/>
        <v>1</v>
      </c>
      <c r="K2194" s="8" t="b">
        <f t="shared" si="171"/>
        <v>1</v>
      </c>
      <c r="L2194" s="8" t="b">
        <f t="shared" si="172"/>
        <v>1</v>
      </c>
      <c r="M2194" s="8" t="b">
        <f t="shared" si="173"/>
        <v>1</v>
      </c>
      <c r="N2194" s="1" t="b">
        <f t="shared" si="174"/>
        <v>1</v>
      </c>
      <c r="O2194" s="8" t="str">
        <f>IF(F2194="","",IF($F$2=入力リスト!$H$25,ROUNDDOWN(INT(F2194)+ROUNDDOWN((F2194-INT(F2194))*100,0)/60,2),F2194))</f>
        <v/>
      </c>
      <c r="P2194" s="7"/>
      <c r="Q2194" s="7"/>
    </row>
    <row r="2195" spans="1:17">
      <c r="A2195" s="105"/>
      <c r="B2195" s="2"/>
      <c r="C2195" s="3"/>
      <c r="D2195" s="3"/>
      <c r="E2195" s="3"/>
      <c r="F2195" s="8"/>
      <c r="G2195" s="215" t="str">
        <f>IF(AND($B2195="",OR(B2195&lt;&gt;"",C2195&lt;&gt;"",D2195&lt;&gt;"",E2195&lt;&gt;"",F2195&lt;&gt;"")),入力リスト!$K$34,IF($I2195=TRUE,入力リスト!$K$35,IF(J2195=FALSE,"「毎月の固定給与額」","")&amp;IF(AND(J2195=FALSE,OR(K2195=FALSE,L2195=FALSE,M2195=FALSE)),",","")&amp;IF(K2195=FALSE,"「賞与額等」","")&amp;IF(AND(K2195=FALSE,OR(L2195=FALSE,M2195=FALSE)),",","")&amp;IF(L2195=FALSE,"「残業手当」","")&amp;IF(AND(L2195=FALSE,M2195=FALSE),",","")&amp;IF(M2195=FALSE,"「残業時間」","")&amp;IF(OR(J2195=FALSE,K2195=FALSE,L2195=FALSE,M2195=FALSE),入力リスト!$K$36,"")&amp;IF(N2195,"",入力リスト!$K$37)))</f>
        <v/>
      </c>
      <c r="H2195" s="215"/>
      <c r="I2195" s="1" t="b">
        <f>IF(B2195="",FALSE,COUNTIF('従業員情報(給与以外)'!$A$4:$A$1000000,$B2195)=0)</f>
        <v>0</v>
      </c>
      <c r="J2195" s="8" t="b">
        <f t="shared" si="170"/>
        <v>1</v>
      </c>
      <c r="K2195" s="8" t="b">
        <f t="shared" si="171"/>
        <v>1</v>
      </c>
      <c r="L2195" s="8" t="b">
        <f t="shared" si="172"/>
        <v>1</v>
      </c>
      <c r="M2195" s="8" t="b">
        <f t="shared" si="173"/>
        <v>1</v>
      </c>
      <c r="N2195" s="1" t="b">
        <f t="shared" si="174"/>
        <v>1</v>
      </c>
      <c r="O2195" s="8" t="str">
        <f>IF(F2195="","",IF($F$2=入力リスト!$H$25,ROUNDDOWN(INT(F2195)+ROUNDDOWN((F2195-INT(F2195))*100,0)/60,2),F2195))</f>
        <v/>
      </c>
      <c r="P2195" s="7"/>
      <c r="Q2195" s="7"/>
    </row>
    <row r="2196" spans="1:17">
      <c r="A2196" s="105"/>
      <c r="B2196" s="2"/>
      <c r="C2196" s="3"/>
      <c r="D2196" s="3"/>
      <c r="E2196" s="3"/>
      <c r="F2196" s="8"/>
      <c r="G2196" s="215" t="str">
        <f>IF(AND($B2196="",OR(B2196&lt;&gt;"",C2196&lt;&gt;"",D2196&lt;&gt;"",E2196&lt;&gt;"",F2196&lt;&gt;"")),入力リスト!$K$34,IF($I2196=TRUE,入力リスト!$K$35,IF(J2196=FALSE,"「毎月の固定給与額」","")&amp;IF(AND(J2196=FALSE,OR(K2196=FALSE,L2196=FALSE,M2196=FALSE)),",","")&amp;IF(K2196=FALSE,"「賞与額等」","")&amp;IF(AND(K2196=FALSE,OR(L2196=FALSE,M2196=FALSE)),",","")&amp;IF(L2196=FALSE,"「残業手当」","")&amp;IF(AND(L2196=FALSE,M2196=FALSE),",","")&amp;IF(M2196=FALSE,"「残業時間」","")&amp;IF(OR(J2196=FALSE,K2196=FALSE,L2196=FALSE,M2196=FALSE),入力リスト!$K$36,"")&amp;IF(N2196,"",入力リスト!$K$37)))</f>
        <v/>
      </c>
      <c r="H2196" s="215"/>
      <c r="I2196" s="1" t="b">
        <f>IF(B2196="",FALSE,COUNTIF('従業員情報(給与以外)'!$A$4:$A$1000000,$B2196)=0)</f>
        <v>0</v>
      </c>
      <c r="J2196" s="8" t="b">
        <f t="shared" si="170"/>
        <v>1</v>
      </c>
      <c r="K2196" s="8" t="b">
        <f t="shared" si="171"/>
        <v>1</v>
      </c>
      <c r="L2196" s="8" t="b">
        <f t="shared" si="172"/>
        <v>1</v>
      </c>
      <c r="M2196" s="8" t="b">
        <f t="shared" si="173"/>
        <v>1</v>
      </c>
      <c r="N2196" s="1" t="b">
        <f t="shared" si="174"/>
        <v>1</v>
      </c>
      <c r="O2196" s="8" t="str">
        <f>IF(F2196="","",IF($F$2=入力リスト!$H$25,ROUNDDOWN(INT(F2196)+ROUNDDOWN((F2196-INT(F2196))*100,0)/60,2),F2196))</f>
        <v/>
      </c>
      <c r="P2196" s="7"/>
      <c r="Q2196" s="7"/>
    </row>
    <row r="2197" spans="1:17">
      <c r="A2197" s="105"/>
      <c r="B2197" s="2"/>
      <c r="C2197" s="3"/>
      <c r="D2197" s="3"/>
      <c r="E2197" s="3"/>
      <c r="F2197" s="8"/>
      <c r="G2197" s="215" t="str">
        <f>IF(AND($B2197="",OR(B2197&lt;&gt;"",C2197&lt;&gt;"",D2197&lt;&gt;"",E2197&lt;&gt;"",F2197&lt;&gt;"")),入力リスト!$K$34,IF($I2197=TRUE,入力リスト!$K$35,IF(J2197=FALSE,"「毎月の固定給与額」","")&amp;IF(AND(J2197=FALSE,OR(K2197=FALSE,L2197=FALSE,M2197=FALSE)),",","")&amp;IF(K2197=FALSE,"「賞与額等」","")&amp;IF(AND(K2197=FALSE,OR(L2197=FALSE,M2197=FALSE)),",","")&amp;IF(L2197=FALSE,"「残業手当」","")&amp;IF(AND(L2197=FALSE,M2197=FALSE),",","")&amp;IF(M2197=FALSE,"「残業時間」","")&amp;IF(OR(J2197=FALSE,K2197=FALSE,L2197=FALSE,M2197=FALSE),入力リスト!$K$36,"")&amp;IF(N2197,"",入力リスト!$K$37)))</f>
        <v/>
      </c>
      <c r="H2197" s="215"/>
      <c r="I2197" s="1" t="b">
        <f>IF(B2197="",FALSE,COUNTIF('従業員情報(給与以外)'!$A$4:$A$1000000,$B2197)=0)</f>
        <v>0</v>
      </c>
      <c r="J2197" s="8" t="b">
        <f t="shared" si="170"/>
        <v>1</v>
      </c>
      <c r="K2197" s="8" t="b">
        <f t="shared" si="171"/>
        <v>1</v>
      </c>
      <c r="L2197" s="8" t="b">
        <f t="shared" si="172"/>
        <v>1</v>
      </c>
      <c r="M2197" s="8" t="b">
        <f t="shared" si="173"/>
        <v>1</v>
      </c>
      <c r="N2197" s="1" t="b">
        <f t="shared" si="174"/>
        <v>1</v>
      </c>
      <c r="O2197" s="8" t="str">
        <f>IF(F2197="","",IF($F$2=入力リスト!$H$25,ROUNDDOWN(INT(F2197)+ROUNDDOWN((F2197-INT(F2197))*100,0)/60,2),F2197))</f>
        <v/>
      </c>
      <c r="P2197" s="7"/>
      <c r="Q2197" s="7"/>
    </row>
    <row r="2198" spans="1:17">
      <c r="A2198" s="105"/>
      <c r="B2198" s="2"/>
      <c r="C2198" s="3"/>
      <c r="D2198" s="3"/>
      <c r="E2198" s="3"/>
      <c r="F2198" s="8"/>
      <c r="G2198" s="215" t="str">
        <f>IF(AND($B2198="",OR(B2198&lt;&gt;"",C2198&lt;&gt;"",D2198&lt;&gt;"",E2198&lt;&gt;"",F2198&lt;&gt;"")),入力リスト!$K$34,IF($I2198=TRUE,入力リスト!$K$35,IF(J2198=FALSE,"「毎月の固定給与額」","")&amp;IF(AND(J2198=FALSE,OR(K2198=FALSE,L2198=FALSE,M2198=FALSE)),",","")&amp;IF(K2198=FALSE,"「賞与額等」","")&amp;IF(AND(K2198=FALSE,OR(L2198=FALSE,M2198=FALSE)),",","")&amp;IF(L2198=FALSE,"「残業手当」","")&amp;IF(AND(L2198=FALSE,M2198=FALSE),",","")&amp;IF(M2198=FALSE,"「残業時間」","")&amp;IF(OR(J2198=FALSE,K2198=FALSE,L2198=FALSE,M2198=FALSE),入力リスト!$K$36,"")&amp;IF(N2198,"",入力リスト!$K$37)))</f>
        <v/>
      </c>
      <c r="H2198" s="215"/>
      <c r="I2198" s="1" t="b">
        <f>IF(B2198="",FALSE,COUNTIF('従業員情報(給与以外)'!$A$4:$A$1000000,$B2198)=0)</f>
        <v>0</v>
      </c>
      <c r="J2198" s="8" t="b">
        <f t="shared" si="170"/>
        <v>1</v>
      </c>
      <c r="K2198" s="8" t="b">
        <f t="shared" si="171"/>
        <v>1</v>
      </c>
      <c r="L2198" s="8" t="b">
        <f t="shared" si="172"/>
        <v>1</v>
      </c>
      <c r="M2198" s="8" t="b">
        <f t="shared" si="173"/>
        <v>1</v>
      </c>
      <c r="N2198" s="1" t="b">
        <f t="shared" si="174"/>
        <v>1</v>
      </c>
      <c r="O2198" s="8" t="str">
        <f>IF(F2198="","",IF($F$2=入力リスト!$H$25,ROUNDDOWN(INT(F2198)+ROUNDDOWN((F2198-INT(F2198))*100,0)/60,2),F2198))</f>
        <v/>
      </c>
      <c r="P2198" s="7"/>
      <c r="Q2198" s="7"/>
    </row>
    <row r="2199" spans="1:17">
      <c r="A2199" s="105"/>
      <c r="B2199" s="2"/>
      <c r="C2199" s="3"/>
      <c r="D2199" s="3"/>
      <c r="E2199" s="3"/>
      <c r="F2199" s="8"/>
      <c r="G2199" s="215" t="str">
        <f>IF(AND($B2199="",OR(B2199&lt;&gt;"",C2199&lt;&gt;"",D2199&lt;&gt;"",E2199&lt;&gt;"",F2199&lt;&gt;"")),入力リスト!$K$34,IF($I2199=TRUE,入力リスト!$K$35,IF(J2199=FALSE,"「毎月の固定給与額」","")&amp;IF(AND(J2199=FALSE,OR(K2199=FALSE,L2199=FALSE,M2199=FALSE)),",","")&amp;IF(K2199=FALSE,"「賞与額等」","")&amp;IF(AND(K2199=FALSE,OR(L2199=FALSE,M2199=FALSE)),",","")&amp;IF(L2199=FALSE,"「残業手当」","")&amp;IF(AND(L2199=FALSE,M2199=FALSE),",","")&amp;IF(M2199=FALSE,"「残業時間」","")&amp;IF(OR(J2199=FALSE,K2199=FALSE,L2199=FALSE,M2199=FALSE),入力リスト!$K$36,"")&amp;IF(N2199,"",入力リスト!$K$37)))</f>
        <v/>
      </c>
      <c r="H2199" s="215"/>
      <c r="I2199" s="1" t="b">
        <f>IF(B2199="",FALSE,COUNTIF('従業員情報(給与以外)'!$A$4:$A$1000000,$B2199)=0)</f>
        <v>0</v>
      </c>
      <c r="J2199" s="8" t="b">
        <f t="shared" si="170"/>
        <v>1</v>
      </c>
      <c r="K2199" s="8" t="b">
        <f t="shared" si="171"/>
        <v>1</v>
      </c>
      <c r="L2199" s="8" t="b">
        <f t="shared" si="172"/>
        <v>1</v>
      </c>
      <c r="M2199" s="8" t="b">
        <f t="shared" si="173"/>
        <v>1</v>
      </c>
      <c r="N2199" s="1" t="b">
        <f t="shared" si="174"/>
        <v>1</v>
      </c>
      <c r="O2199" s="8" t="str">
        <f>IF(F2199="","",IF($F$2=入力リスト!$H$25,ROUNDDOWN(INT(F2199)+ROUNDDOWN((F2199-INT(F2199))*100,0)/60,2),F2199))</f>
        <v/>
      </c>
      <c r="P2199" s="7"/>
      <c r="Q2199" s="7"/>
    </row>
    <row r="2200" spans="1:17">
      <c r="A2200" s="105"/>
      <c r="B2200" s="2"/>
      <c r="C2200" s="3"/>
      <c r="D2200" s="3"/>
      <c r="E2200" s="3"/>
      <c r="F2200" s="8"/>
      <c r="G2200" s="215" t="str">
        <f>IF(AND($B2200="",OR(B2200&lt;&gt;"",C2200&lt;&gt;"",D2200&lt;&gt;"",E2200&lt;&gt;"",F2200&lt;&gt;"")),入力リスト!$K$34,IF($I2200=TRUE,入力リスト!$K$35,IF(J2200=FALSE,"「毎月の固定給与額」","")&amp;IF(AND(J2200=FALSE,OR(K2200=FALSE,L2200=FALSE,M2200=FALSE)),",","")&amp;IF(K2200=FALSE,"「賞与額等」","")&amp;IF(AND(K2200=FALSE,OR(L2200=FALSE,M2200=FALSE)),",","")&amp;IF(L2200=FALSE,"「残業手当」","")&amp;IF(AND(L2200=FALSE,M2200=FALSE),",","")&amp;IF(M2200=FALSE,"「残業時間」","")&amp;IF(OR(J2200=FALSE,K2200=FALSE,L2200=FALSE,M2200=FALSE),入力リスト!$K$36,"")&amp;IF(N2200,"",入力リスト!$K$37)))</f>
        <v/>
      </c>
      <c r="H2200" s="215"/>
      <c r="I2200" s="1" t="b">
        <f>IF(B2200="",FALSE,COUNTIF('従業員情報(給与以外)'!$A$4:$A$1000000,$B2200)=0)</f>
        <v>0</v>
      </c>
      <c r="J2200" s="8" t="b">
        <f t="shared" si="170"/>
        <v>1</v>
      </c>
      <c r="K2200" s="8" t="b">
        <f t="shared" si="171"/>
        <v>1</v>
      </c>
      <c r="L2200" s="8" t="b">
        <f t="shared" si="172"/>
        <v>1</v>
      </c>
      <c r="M2200" s="8" t="b">
        <f t="shared" si="173"/>
        <v>1</v>
      </c>
      <c r="N2200" s="1" t="b">
        <f t="shared" si="174"/>
        <v>1</v>
      </c>
      <c r="O2200" s="8" t="str">
        <f>IF(F2200="","",IF($F$2=入力リスト!$H$25,ROUNDDOWN(INT(F2200)+ROUNDDOWN((F2200-INT(F2200))*100,0)/60,2),F2200))</f>
        <v/>
      </c>
      <c r="P2200" s="7"/>
      <c r="Q2200" s="7"/>
    </row>
    <row r="2201" spans="1:17">
      <c r="A2201" s="105"/>
      <c r="B2201" s="2"/>
      <c r="C2201" s="3"/>
      <c r="D2201" s="3"/>
      <c r="E2201" s="3"/>
      <c r="F2201" s="8"/>
      <c r="G2201" s="215" t="str">
        <f>IF(AND($B2201="",OR(B2201&lt;&gt;"",C2201&lt;&gt;"",D2201&lt;&gt;"",E2201&lt;&gt;"",F2201&lt;&gt;"")),入力リスト!$K$34,IF($I2201=TRUE,入力リスト!$K$35,IF(J2201=FALSE,"「毎月の固定給与額」","")&amp;IF(AND(J2201=FALSE,OR(K2201=FALSE,L2201=FALSE,M2201=FALSE)),",","")&amp;IF(K2201=FALSE,"「賞与額等」","")&amp;IF(AND(K2201=FALSE,OR(L2201=FALSE,M2201=FALSE)),",","")&amp;IF(L2201=FALSE,"「残業手当」","")&amp;IF(AND(L2201=FALSE,M2201=FALSE),",","")&amp;IF(M2201=FALSE,"「残業時間」","")&amp;IF(OR(J2201=FALSE,K2201=FALSE,L2201=FALSE,M2201=FALSE),入力リスト!$K$36,"")&amp;IF(N2201,"",入力リスト!$K$37)))</f>
        <v/>
      </c>
      <c r="H2201" s="215"/>
      <c r="I2201" s="1" t="b">
        <f>IF(B2201="",FALSE,COUNTIF('従業員情報(給与以外)'!$A$4:$A$1000000,$B2201)=0)</f>
        <v>0</v>
      </c>
      <c r="J2201" s="8" t="b">
        <f t="shared" si="170"/>
        <v>1</v>
      </c>
      <c r="K2201" s="8" t="b">
        <f t="shared" si="171"/>
        <v>1</v>
      </c>
      <c r="L2201" s="8" t="b">
        <f t="shared" si="172"/>
        <v>1</v>
      </c>
      <c r="M2201" s="8" t="b">
        <f t="shared" si="173"/>
        <v>1</v>
      </c>
      <c r="N2201" s="1" t="b">
        <f t="shared" si="174"/>
        <v>1</v>
      </c>
      <c r="O2201" s="8" t="str">
        <f>IF(F2201="","",IF($F$2=入力リスト!$H$25,ROUNDDOWN(INT(F2201)+ROUNDDOWN((F2201-INT(F2201))*100,0)/60,2),F2201))</f>
        <v/>
      </c>
      <c r="P2201" s="7"/>
      <c r="Q2201" s="7"/>
    </row>
    <row r="2202" spans="1:17">
      <c r="A2202" s="105"/>
      <c r="B2202" s="2"/>
      <c r="C2202" s="3"/>
      <c r="D2202" s="3"/>
      <c r="E2202" s="3"/>
      <c r="F2202" s="8"/>
      <c r="G2202" s="215" t="str">
        <f>IF(AND($B2202="",OR(B2202&lt;&gt;"",C2202&lt;&gt;"",D2202&lt;&gt;"",E2202&lt;&gt;"",F2202&lt;&gt;"")),入力リスト!$K$34,IF($I2202=TRUE,入力リスト!$K$35,IF(J2202=FALSE,"「毎月の固定給与額」","")&amp;IF(AND(J2202=FALSE,OR(K2202=FALSE,L2202=FALSE,M2202=FALSE)),",","")&amp;IF(K2202=FALSE,"「賞与額等」","")&amp;IF(AND(K2202=FALSE,OR(L2202=FALSE,M2202=FALSE)),",","")&amp;IF(L2202=FALSE,"「残業手当」","")&amp;IF(AND(L2202=FALSE,M2202=FALSE),",","")&amp;IF(M2202=FALSE,"「残業時間」","")&amp;IF(OR(J2202=FALSE,K2202=FALSE,L2202=FALSE,M2202=FALSE),入力リスト!$K$36,"")&amp;IF(N2202,"",入力リスト!$K$37)))</f>
        <v/>
      </c>
      <c r="H2202" s="215"/>
      <c r="I2202" s="1" t="b">
        <f>IF(B2202="",FALSE,COUNTIF('従業員情報(給与以外)'!$A$4:$A$1000000,$B2202)=0)</f>
        <v>0</v>
      </c>
      <c r="J2202" s="8" t="b">
        <f t="shared" si="170"/>
        <v>1</v>
      </c>
      <c r="K2202" s="8" t="b">
        <f t="shared" si="171"/>
        <v>1</v>
      </c>
      <c r="L2202" s="8" t="b">
        <f t="shared" si="172"/>
        <v>1</v>
      </c>
      <c r="M2202" s="8" t="b">
        <f t="shared" si="173"/>
        <v>1</v>
      </c>
      <c r="N2202" s="1" t="b">
        <f t="shared" si="174"/>
        <v>1</v>
      </c>
      <c r="O2202" s="8" t="str">
        <f>IF(F2202="","",IF($F$2=入力リスト!$H$25,ROUNDDOWN(INT(F2202)+ROUNDDOWN((F2202-INT(F2202))*100,0)/60,2),F2202))</f>
        <v/>
      </c>
      <c r="P2202" s="7"/>
      <c r="Q2202" s="7"/>
    </row>
    <row r="2203" spans="1:17">
      <c r="A2203" s="105"/>
      <c r="B2203" s="2"/>
      <c r="C2203" s="3"/>
      <c r="D2203" s="3"/>
      <c r="E2203" s="3"/>
      <c r="F2203" s="8"/>
      <c r="G2203" s="215" t="str">
        <f>IF(AND($B2203="",OR(B2203&lt;&gt;"",C2203&lt;&gt;"",D2203&lt;&gt;"",E2203&lt;&gt;"",F2203&lt;&gt;"")),入力リスト!$K$34,IF($I2203=TRUE,入力リスト!$K$35,IF(J2203=FALSE,"「毎月の固定給与額」","")&amp;IF(AND(J2203=FALSE,OR(K2203=FALSE,L2203=FALSE,M2203=FALSE)),",","")&amp;IF(K2203=FALSE,"「賞与額等」","")&amp;IF(AND(K2203=FALSE,OR(L2203=FALSE,M2203=FALSE)),",","")&amp;IF(L2203=FALSE,"「残業手当」","")&amp;IF(AND(L2203=FALSE,M2203=FALSE),",","")&amp;IF(M2203=FALSE,"「残業時間」","")&amp;IF(OR(J2203=FALSE,K2203=FALSE,L2203=FALSE,M2203=FALSE),入力リスト!$K$36,"")&amp;IF(N2203,"",入力リスト!$K$37)))</f>
        <v/>
      </c>
      <c r="H2203" s="215"/>
      <c r="I2203" s="1" t="b">
        <f>IF(B2203="",FALSE,COUNTIF('従業員情報(給与以外)'!$A$4:$A$1000000,$B2203)=0)</f>
        <v>0</v>
      </c>
      <c r="J2203" s="8" t="b">
        <f t="shared" si="170"/>
        <v>1</v>
      </c>
      <c r="K2203" s="8" t="b">
        <f t="shared" si="171"/>
        <v>1</v>
      </c>
      <c r="L2203" s="8" t="b">
        <f t="shared" si="172"/>
        <v>1</v>
      </c>
      <c r="M2203" s="8" t="b">
        <f t="shared" si="173"/>
        <v>1</v>
      </c>
      <c r="N2203" s="1" t="b">
        <f t="shared" si="174"/>
        <v>1</v>
      </c>
      <c r="O2203" s="8" t="str">
        <f>IF(F2203="","",IF($F$2=入力リスト!$H$25,ROUNDDOWN(INT(F2203)+ROUNDDOWN((F2203-INT(F2203))*100,0)/60,2),F2203))</f>
        <v/>
      </c>
      <c r="P2203" s="7"/>
      <c r="Q2203" s="7"/>
    </row>
    <row r="2204" spans="1:17">
      <c r="A2204" s="105"/>
      <c r="B2204" s="2"/>
      <c r="C2204" s="3"/>
      <c r="D2204" s="3"/>
      <c r="E2204" s="3"/>
      <c r="F2204" s="8"/>
      <c r="G2204" s="215" t="str">
        <f>IF(AND($B2204="",OR(B2204&lt;&gt;"",C2204&lt;&gt;"",D2204&lt;&gt;"",E2204&lt;&gt;"",F2204&lt;&gt;"")),入力リスト!$K$34,IF($I2204=TRUE,入力リスト!$K$35,IF(J2204=FALSE,"「毎月の固定給与額」","")&amp;IF(AND(J2204=FALSE,OR(K2204=FALSE,L2204=FALSE,M2204=FALSE)),",","")&amp;IF(K2204=FALSE,"「賞与額等」","")&amp;IF(AND(K2204=FALSE,OR(L2204=FALSE,M2204=FALSE)),",","")&amp;IF(L2204=FALSE,"「残業手当」","")&amp;IF(AND(L2204=FALSE,M2204=FALSE),",","")&amp;IF(M2204=FALSE,"「残業時間」","")&amp;IF(OR(J2204=FALSE,K2204=FALSE,L2204=FALSE,M2204=FALSE),入力リスト!$K$36,"")&amp;IF(N2204,"",入力リスト!$K$37)))</f>
        <v/>
      </c>
      <c r="H2204" s="215"/>
      <c r="I2204" s="1" t="b">
        <f>IF(B2204="",FALSE,COUNTIF('従業員情報(給与以外)'!$A$4:$A$1000000,$B2204)=0)</f>
        <v>0</v>
      </c>
      <c r="J2204" s="8" t="b">
        <f t="shared" si="170"/>
        <v>1</v>
      </c>
      <c r="K2204" s="8" t="b">
        <f t="shared" si="171"/>
        <v>1</v>
      </c>
      <c r="L2204" s="8" t="b">
        <f t="shared" si="172"/>
        <v>1</v>
      </c>
      <c r="M2204" s="8" t="b">
        <f t="shared" si="173"/>
        <v>1</v>
      </c>
      <c r="N2204" s="1" t="b">
        <f t="shared" si="174"/>
        <v>1</v>
      </c>
      <c r="O2204" s="8" t="str">
        <f>IF(F2204="","",IF($F$2=入力リスト!$H$25,ROUNDDOWN(INT(F2204)+ROUNDDOWN((F2204-INT(F2204))*100,0)/60,2),F2204))</f>
        <v/>
      </c>
      <c r="P2204" s="7"/>
      <c r="Q2204" s="7"/>
    </row>
    <row r="2205" spans="1:17">
      <c r="A2205" s="105"/>
      <c r="B2205" s="2"/>
      <c r="C2205" s="3"/>
      <c r="D2205" s="3"/>
      <c r="E2205" s="3"/>
      <c r="F2205" s="8"/>
      <c r="G2205" s="215" t="str">
        <f>IF(AND($B2205="",OR(B2205&lt;&gt;"",C2205&lt;&gt;"",D2205&lt;&gt;"",E2205&lt;&gt;"",F2205&lt;&gt;"")),入力リスト!$K$34,IF($I2205=TRUE,入力リスト!$K$35,IF(J2205=FALSE,"「毎月の固定給与額」","")&amp;IF(AND(J2205=FALSE,OR(K2205=FALSE,L2205=FALSE,M2205=FALSE)),",","")&amp;IF(K2205=FALSE,"「賞与額等」","")&amp;IF(AND(K2205=FALSE,OR(L2205=FALSE,M2205=FALSE)),",","")&amp;IF(L2205=FALSE,"「残業手当」","")&amp;IF(AND(L2205=FALSE,M2205=FALSE),",","")&amp;IF(M2205=FALSE,"「残業時間」","")&amp;IF(OR(J2205=FALSE,K2205=FALSE,L2205=FALSE,M2205=FALSE),入力リスト!$K$36,"")&amp;IF(N2205,"",入力リスト!$K$37)))</f>
        <v/>
      </c>
      <c r="H2205" s="215"/>
      <c r="I2205" s="1" t="b">
        <f>IF(B2205="",FALSE,COUNTIF('従業員情報(給与以外)'!$A$4:$A$1000000,$B2205)=0)</f>
        <v>0</v>
      </c>
      <c r="J2205" s="8" t="b">
        <f t="shared" si="170"/>
        <v>1</v>
      </c>
      <c r="K2205" s="8" t="b">
        <f t="shared" si="171"/>
        <v>1</v>
      </c>
      <c r="L2205" s="8" t="b">
        <f t="shared" si="172"/>
        <v>1</v>
      </c>
      <c r="M2205" s="8" t="b">
        <f t="shared" si="173"/>
        <v>1</v>
      </c>
      <c r="N2205" s="1" t="b">
        <f t="shared" si="174"/>
        <v>1</v>
      </c>
      <c r="O2205" s="8" t="str">
        <f>IF(F2205="","",IF($F$2=入力リスト!$H$25,ROUNDDOWN(INT(F2205)+ROUNDDOWN((F2205-INT(F2205))*100,0)/60,2),F2205))</f>
        <v/>
      </c>
      <c r="P2205" s="7"/>
      <c r="Q2205" s="7"/>
    </row>
    <row r="2206" spans="1:17">
      <c r="A2206" s="105"/>
      <c r="B2206" s="2"/>
      <c r="C2206" s="3"/>
      <c r="D2206" s="3"/>
      <c r="E2206" s="3"/>
      <c r="F2206" s="8"/>
      <c r="G2206" s="215" t="str">
        <f>IF(AND($B2206="",OR(B2206&lt;&gt;"",C2206&lt;&gt;"",D2206&lt;&gt;"",E2206&lt;&gt;"",F2206&lt;&gt;"")),入力リスト!$K$34,IF($I2206=TRUE,入力リスト!$K$35,IF(J2206=FALSE,"「毎月の固定給与額」","")&amp;IF(AND(J2206=FALSE,OR(K2206=FALSE,L2206=FALSE,M2206=FALSE)),",","")&amp;IF(K2206=FALSE,"「賞与額等」","")&amp;IF(AND(K2206=FALSE,OR(L2206=FALSE,M2206=FALSE)),",","")&amp;IF(L2206=FALSE,"「残業手当」","")&amp;IF(AND(L2206=FALSE,M2206=FALSE),",","")&amp;IF(M2206=FALSE,"「残業時間」","")&amp;IF(OR(J2206=FALSE,K2206=FALSE,L2206=FALSE,M2206=FALSE),入力リスト!$K$36,"")&amp;IF(N2206,"",入力リスト!$K$37)))</f>
        <v/>
      </c>
      <c r="H2206" s="215"/>
      <c r="I2206" s="1" t="b">
        <f>IF(B2206="",FALSE,COUNTIF('従業員情報(給与以外)'!$A$4:$A$1000000,$B2206)=0)</f>
        <v>0</v>
      </c>
      <c r="J2206" s="8" t="b">
        <f t="shared" si="170"/>
        <v>1</v>
      </c>
      <c r="K2206" s="8" t="b">
        <f t="shared" si="171"/>
        <v>1</v>
      </c>
      <c r="L2206" s="8" t="b">
        <f t="shared" si="172"/>
        <v>1</v>
      </c>
      <c r="M2206" s="8" t="b">
        <f t="shared" si="173"/>
        <v>1</v>
      </c>
      <c r="N2206" s="1" t="b">
        <f t="shared" si="174"/>
        <v>1</v>
      </c>
      <c r="O2206" s="8" t="str">
        <f>IF(F2206="","",IF($F$2=入力リスト!$H$25,ROUNDDOWN(INT(F2206)+ROUNDDOWN((F2206-INT(F2206))*100,0)/60,2),F2206))</f>
        <v/>
      </c>
      <c r="P2206" s="7"/>
      <c r="Q2206" s="7"/>
    </row>
    <row r="2207" spans="1:17">
      <c r="A2207" s="105"/>
      <c r="B2207" s="2"/>
      <c r="C2207" s="3"/>
      <c r="D2207" s="3"/>
      <c r="E2207" s="3"/>
      <c r="F2207" s="8"/>
      <c r="G2207" s="215" t="str">
        <f>IF(AND($B2207="",OR(B2207&lt;&gt;"",C2207&lt;&gt;"",D2207&lt;&gt;"",E2207&lt;&gt;"",F2207&lt;&gt;"")),入力リスト!$K$34,IF($I2207=TRUE,入力リスト!$K$35,IF(J2207=FALSE,"「毎月の固定給与額」","")&amp;IF(AND(J2207=FALSE,OR(K2207=FALSE,L2207=FALSE,M2207=FALSE)),",","")&amp;IF(K2207=FALSE,"「賞与額等」","")&amp;IF(AND(K2207=FALSE,OR(L2207=FALSE,M2207=FALSE)),",","")&amp;IF(L2207=FALSE,"「残業手当」","")&amp;IF(AND(L2207=FALSE,M2207=FALSE),",","")&amp;IF(M2207=FALSE,"「残業時間」","")&amp;IF(OR(J2207=FALSE,K2207=FALSE,L2207=FALSE,M2207=FALSE),入力リスト!$K$36,"")&amp;IF(N2207,"",入力リスト!$K$37)))</f>
        <v/>
      </c>
      <c r="H2207" s="215"/>
      <c r="I2207" s="1" t="b">
        <f>IF(B2207="",FALSE,COUNTIF('従業員情報(給与以外)'!$A$4:$A$1000000,$B2207)=0)</f>
        <v>0</v>
      </c>
      <c r="J2207" s="8" t="b">
        <f t="shared" si="170"/>
        <v>1</v>
      </c>
      <c r="K2207" s="8" t="b">
        <f t="shared" si="171"/>
        <v>1</v>
      </c>
      <c r="L2207" s="8" t="b">
        <f t="shared" si="172"/>
        <v>1</v>
      </c>
      <c r="M2207" s="8" t="b">
        <f t="shared" si="173"/>
        <v>1</v>
      </c>
      <c r="N2207" s="1" t="b">
        <f t="shared" si="174"/>
        <v>1</v>
      </c>
      <c r="O2207" s="8" t="str">
        <f>IF(F2207="","",IF($F$2=入力リスト!$H$25,ROUNDDOWN(INT(F2207)+ROUNDDOWN((F2207-INT(F2207))*100,0)/60,2),F2207))</f>
        <v/>
      </c>
      <c r="P2207" s="7"/>
      <c r="Q2207" s="7"/>
    </row>
    <row r="2208" spans="1:17">
      <c r="A2208" s="105"/>
      <c r="B2208" s="2"/>
      <c r="C2208" s="3"/>
      <c r="D2208" s="3"/>
      <c r="E2208" s="3"/>
      <c r="F2208" s="8"/>
      <c r="G2208" s="215" t="str">
        <f>IF(AND($B2208="",OR(B2208&lt;&gt;"",C2208&lt;&gt;"",D2208&lt;&gt;"",E2208&lt;&gt;"",F2208&lt;&gt;"")),入力リスト!$K$34,IF($I2208=TRUE,入力リスト!$K$35,IF(J2208=FALSE,"「毎月の固定給与額」","")&amp;IF(AND(J2208=FALSE,OR(K2208=FALSE,L2208=FALSE,M2208=FALSE)),",","")&amp;IF(K2208=FALSE,"「賞与額等」","")&amp;IF(AND(K2208=FALSE,OR(L2208=FALSE,M2208=FALSE)),",","")&amp;IF(L2208=FALSE,"「残業手当」","")&amp;IF(AND(L2208=FALSE,M2208=FALSE),",","")&amp;IF(M2208=FALSE,"「残業時間」","")&amp;IF(OR(J2208=FALSE,K2208=FALSE,L2208=FALSE,M2208=FALSE),入力リスト!$K$36,"")&amp;IF(N2208,"",入力リスト!$K$37)))</f>
        <v/>
      </c>
      <c r="H2208" s="215"/>
      <c r="I2208" s="1" t="b">
        <f>IF(B2208="",FALSE,COUNTIF('従業員情報(給与以外)'!$A$4:$A$1000000,$B2208)=0)</f>
        <v>0</v>
      </c>
      <c r="J2208" s="8" t="b">
        <f t="shared" si="170"/>
        <v>1</v>
      </c>
      <c r="K2208" s="8" t="b">
        <f t="shared" si="171"/>
        <v>1</v>
      </c>
      <c r="L2208" s="8" t="b">
        <f t="shared" si="172"/>
        <v>1</v>
      </c>
      <c r="M2208" s="8" t="b">
        <f t="shared" si="173"/>
        <v>1</v>
      </c>
      <c r="N2208" s="1" t="b">
        <f t="shared" si="174"/>
        <v>1</v>
      </c>
      <c r="O2208" s="8" t="str">
        <f>IF(F2208="","",IF($F$2=入力リスト!$H$25,ROUNDDOWN(INT(F2208)+ROUNDDOWN((F2208-INT(F2208))*100,0)/60,2),F2208))</f>
        <v/>
      </c>
      <c r="P2208" s="7"/>
      <c r="Q2208" s="7"/>
    </row>
    <row r="2209" spans="1:17">
      <c r="A2209" s="105"/>
      <c r="B2209" s="2"/>
      <c r="C2209" s="3"/>
      <c r="D2209" s="3"/>
      <c r="E2209" s="3"/>
      <c r="F2209" s="8"/>
      <c r="G2209" s="215" t="str">
        <f>IF(AND($B2209="",OR(B2209&lt;&gt;"",C2209&lt;&gt;"",D2209&lt;&gt;"",E2209&lt;&gt;"",F2209&lt;&gt;"")),入力リスト!$K$34,IF($I2209=TRUE,入力リスト!$K$35,IF(J2209=FALSE,"「毎月の固定給与額」","")&amp;IF(AND(J2209=FALSE,OR(K2209=FALSE,L2209=FALSE,M2209=FALSE)),",","")&amp;IF(K2209=FALSE,"「賞与額等」","")&amp;IF(AND(K2209=FALSE,OR(L2209=FALSE,M2209=FALSE)),",","")&amp;IF(L2209=FALSE,"「残業手当」","")&amp;IF(AND(L2209=FALSE,M2209=FALSE),",","")&amp;IF(M2209=FALSE,"「残業時間」","")&amp;IF(OR(J2209=FALSE,K2209=FALSE,L2209=FALSE,M2209=FALSE),入力リスト!$K$36,"")&amp;IF(N2209,"",入力リスト!$K$37)))</f>
        <v/>
      </c>
      <c r="H2209" s="215"/>
      <c r="I2209" s="1" t="b">
        <f>IF(B2209="",FALSE,COUNTIF('従業員情報(給与以外)'!$A$4:$A$1000000,$B2209)=0)</f>
        <v>0</v>
      </c>
      <c r="J2209" s="8" t="b">
        <f t="shared" si="170"/>
        <v>1</v>
      </c>
      <c r="K2209" s="8" t="b">
        <f t="shared" si="171"/>
        <v>1</v>
      </c>
      <c r="L2209" s="8" t="b">
        <f t="shared" si="172"/>
        <v>1</v>
      </c>
      <c r="M2209" s="8" t="b">
        <f t="shared" si="173"/>
        <v>1</v>
      </c>
      <c r="N2209" s="1" t="b">
        <f t="shared" si="174"/>
        <v>1</v>
      </c>
      <c r="O2209" s="8" t="str">
        <f>IF(F2209="","",IF($F$2=入力リスト!$H$25,ROUNDDOWN(INT(F2209)+ROUNDDOWN((F2209-INT(F2209))*100,0)/60,2),F2209))</f>
        <v/>
      </c>
      <c r="P2209" s="7"/>
      <c r="Q2209" s="7"/>
    </row>
    <row r="2210" spans="1:17">
      <c r="A2210" s="105"/>
      <c r="B2210" s="2"/>
      <c r="C2210" s="3"/>
      <c r="D2210" s="3"/>
      <c r="E2210" s="3"/>
      <c r="F2210" s="8"/>
      <c r="G2210" s="215" t="str">
        <f>IF(AND($B2210="",OR(B2210&lt;&gt;"",C2210&lt;&gt;"",D2210&lt;&gt;"",E2210&lt;&gt;"",F2210&lt;&gt;"")),入力リスト!$K$34,IF($I2210=TRUE,入力リスト!$K$35,IF(J2210=FALSE,"「毎月の固定給与額」","")&amp;IF(AND(J2210=FALSE,OR(K2210=FALSE,L2210=FALSE,M2210=FALSE)),",","")&amp;IF(K2210=FALSE,"「賞与額等」","")&amp;IF(AND(K2210=FALSE,OR(L2210=FALSE,M2210=FALSE)),",","")&amp;IF(L2210=FALSE,"「残業手当」","")&amp;IF(AND(L2210=FALSE,M2210=FALSE),",","")&amp;IF(M2210=FALSE,"「残業時間」","")&amp;IF(OR(J2210=FALSE,K2210=FALSE,L2210=FALSE,M2210=FALSE),入力リスト!$K$36,"")&amp;IF(N2210,"",入力リスト!$K$37)))</f>
        <v/>
      </c>
      <c r="H2210" s="215"/>
      <c r="I2210" s="1" t="b">
        <f>IF(B2210="",FALSE,COUNTIF('従業員情報(給与以外)'!$A$4:$A$1000000,$B2210)=0)</f>
        <v>0</v>
      </c>
      <c r="J2210" s="8" t="b">
        <f t="shared" si="170"/>
        <v>1</v>
      </c>
      <c r="K2210" s="8" t="b">
        <f t="shared" si="171"/>
        <v>1</v>
      </c>
      <c r="L2210" s="8" t="b">
        <f t="shared" si="172"/>
        <v>1</v>
      </c>
      <c r="M2210" s="8" t="b">
        <f t="shared" si="173"/>
        <v>1</v>
      </c>
      <c r="N2210" s="1" t="b">
        <f t="shared" si="174"/>
        <v>1</v>
      </c>
      <c r="O2210" s="8" t="str">
        <f>IF(F2210="","",IF($F$2=入力リスト!$H$25,ROUNDDOWN(INT(F2210)+ROUNDDOWN((F2210-INT(F2210))*100,0)/60,2),F2210))</f>
        <v/>
      </c>
      <c r="P2210" s="7"/>
      <c r="Q2210" s="7"/>
    </row>
    <row r="2211" spans="1:17">
      <c r="A2211" s="105"/>
      <c r="B2211" s="2"/>
      <c r="C2211" s="3"/>
      <c r="D2211" s="3"/>
      <c r="E2211" s="3"/>
      <c r="F2211" s="8"/>
      <c r="G2211" s="215" t="str">
        <f>IF(AND($B2211="",OR(B2211&lt;&gt;"",C2211&lt;&gt;"",D2211&lt;&gt;"",E2211&lt;&gt;"",F2211&lt;&gt;"")),入力リスト!$K$34,IF($I2211=TRUE,入力リスト!$K$35,IF(J2211=FALSE,"「毎月の固定給与額」","")&amp;IF(AND(J2211=FALSE,OR(K2211=FALSE,L2211=FALSE,M2211=FALSE)),",","")&amp;IF(K2211=FALSE,"「賞与額等」","")&amp;IF(AND(K2211=FALSE,OR(L2211=FALSE,M2211=FALSE)),",","")&amp;IF(L2211=FALSE,"「残業手当」","")&amp;IF(AND(L2211=FALSE,M2211=FALSE),",","")&amp;IF(M2211=FALSE,"「残業時間」","")&amp;IF(OR(J2211=FALSE,K2211=FALSE,L2211=FALSE,M2211=FALSE),入力リスト!$K$36,"")&amp;IF(N2211,"",入力リスト!$K$37)))</f>
        <v/>
      </c>
      <c r="H2211" s="215"/>
      <c r="I2211" s="1" t="b">
        <f>IF(B2211="",FALSE,COUNTIF('従業員情報(給与以外)'!$A$4:$A$1000000,$B2211)=0)</f>
        <v>0</v>
      </c>
      <c r="J2211" s="8" t="b">
        <f t="shared" si="170"/>
        <v>1</v>
      </c>
      <c r="K2211" s="8" t="b">
        <f t="shared" si="171"/>
        <v>1</v>
      </c>
      <c r="L2211" s="8" t="b">
        <f t="shared" si="172"/>
        <v>1</v>
      </c>
      <c r="M2211" s="8" t="b">
        <f t="shared" si="173"/>
        <v>1</v>
      </c>
      <c r="N2211" s="1" t="b">
        <f t="shared" si="174"/>
        <v>1</v>
      </c>
      <c r="O2211" s="8" t="str">
        <f>IF(F2211="","",IF($F$2=入力リスト!$H$25,ROUNDDOWN(INT(F2211)+ROUNDDOWN((F2211-INT(F2211))*100,0)/60,2),F2211))</f>
        <v/>
      </c>
      <c r="P2211" s="7"/>
      <c r="Q2211" s="7"/>
    </row>
    <row r="2212" spans="1:17">
      <c r="A2212" s="105"/>
      <c r="B2212" s="2"/>
      <c r="C2212" s="3"/>
      <c r="D2212" s="3"/>
      <c r="E2212" s="3"/>
      <c r="F2212" s="8"/>
      <c r="G2212" s="215" t="str">
        <f>IF(AND($B2212="",OR(B2212&lt;&gt;"",C2212&lt;&gt;"",D2212&lt;&gt;"",E2212&lt;&gt;"",F2212&lt;&gt;"")),入力リスト!$K$34,IF($I2212=TRUE,入力リスト!$K$35,IF(J2212=FALSE,"「毎月の固定給与額」","")&amp;IF(AND(J2212=FALSE,OR(K2212=FALSE,L2212=FALSE,M2212=FALSE)),",","")&amp;IF(K2212=FALSE,"「賞与額等」","")&amp;IF(AND(K2212=FALSE,OR(L2212=FALSE,M2212=FALSE)),",","")&amp;IF(L2212=FALSE,"「残業手当」","")&amp;IF(AND(L2212=FALSE,M2212=FALSE),",","")&amp;IF(M2212=FALSE,"「残業時間」","")&amp;IF(OR(J2212=FALSE,K2212=FALSE,L2212=FALSE,M2212=FALSE),入力リスト!$K$36,"")&amp;IF(N2212,"",入力リスト!$K$37)))</f>
        <v/>
      </c>
      <c r="H2212" s="215"/>
      <c r="I2212" s="1" t="b">
        <f>IF(B2212="",FALSE,COUNTIF('従業員情報(給与以外)'!$A$4:$A$1000000,$B2212)=0)</f>
        <v>0</v>
      </c>
      <c r="J2212" s="8" t="b">
        <f t="shared" si="170"/>
        <v>1</v>
      </c>
      <c r="K2212" s="8" t="b">
        <f t="shared" si="171"/>
        <v>1</v>
      </c>
      <c r="L2212" s="8" t="b">
        <f t="shared" si="172"/>
        <v>1</v>
      </c>
      <c r="M2212" s="8" t="b">
        <f t="shared" si="173"/>
        <v>1</v>
      </c>
      <c r="N2212" s="1" t="b">
        <f t="shared" si="174"/>
        <v>1</v>
      </c>
      <c r="O2212" s="8" t="str">
        <f>IF(F2212="","",IF($F$2=入力リスト!$H$25,ROUNDDOWN(INT(F2212)+ROUNDDOWN((F2212-INT(F2212))*100,0)/60,2),F2212))</f>
        <v/>
      </c>
      <c r="P2212" s="7"/>
      <c r="Q2212" s="7"/>
    </row>
    <row r="2213" spans="1:17">
      <c r="A2213" s="105"/>
      <c r="B2213" s="2"/>
      <c r="C2213" s="3"/>
      <c r="D2213" s="3"/>
      <c r="E2213" s="3"/>
      <c r="F2213" s="8"/>
      <c r="G2213" s="215" t="str">
        <f>IF(AND($B2213="",OR(B2213&lt;&gt;"",C2213&lt;&gt;"",D2213&lt;&gt;"",E2213&lt;&gt;"",F2213&lt;&gt;"")),入力リスト!$K$34,IF($I2213=TRUE,入力リスト!$K$35,IF(J2213=FALSE,"「毎月の固定給与額」","")&amp;IF(AND(J2213=FALSE,OR(K2213=FALSE,L2213=FALSE,M2213=FALSE)),",","")&amp;IF(K2213=FALSE,"「賞与額等」","")&amp;IF(AND(K2213=FALSE,OR(L2213=FALSE,M2213=FALSE)),",","")&amp;IF(L2213=FALSE,"「残業手当」","")&amp;IF(AND(L2213=FALSE,M2213=FALSE),",","")&amp;IF(M2213=FALSE,"「残業時間」","")&amp;IF(OR(J2213=FALSE,K2213=FALSE,L2213=FALSE,M2213=FALSE),入力リスト!$K$36,"")&amp;IF(N2213,"",入力リスト!$K$37)))</f>
        <v/>
      </c>
      <c r="H2213" s="215"/>
      <c r="I2213" s="1" t="b">
        <f>IF(B2213="",FALSE,COUNTIF('従業員情報(給与以外)'!$A$4:$A$1000000,$B2213)=0)</f>
        <v>0</v>
      </c>
      <c r="J2213" s="8" t="b">
        <f t="shared" si="170"/>
        <v>1</v>
      </c>
      <c r="K2213" s="8" t="b">
        <f t="shared" si="171"/>
        <v>1</v>
      </c>
      <c r="L2213" s="8" t="b">
        <f t="shared" si="172"/>
        <v>1</v>
      </c>
      <c r="M2213" s="8" t="b">
        <f t="shared" si="173"/>
        <v>1</v>
      </c>
      <c r="N2213" s="1" t="b">
        <f t="shared" si="174"/>
        <v>1</v>
      </c>
      <c r="O2213" s="8" t="str">
        <f>IF(F2213="","",IF($F$2=入力リスト!$H$25,ROUNDDOWN(INT(F2213)+ROUNDDOWN((F2213-INT(F2213))*100,0)/60,2),F2213))</f>
        <v/>
      </c>
      <c r="P2213" s="7"/>
      <c r="Q2213" s="7"/>
    </row>
    <row r="2214" spans="1:17">
      <c r="A2214" s="105"/>
      <c r="B2214" s="2"/>
      <c r="C2214" s="3"/>
      <c r="D2214" s="3"/>
      <c r="E2214" s="3"/>
      <c r="F2214" s="8"/>
      <c r="G2214" s="215" t="str">
        <f>IF(AND($B2214="",OR(B2214&lt;&gt;"",C2214&lt;&gt;"",D2214&lt;&gt;"",E2214&lt;&gt;"",F2214&lt;&gt;"")),入力リスト!$K$34,IF($I2214=TRUE,入力リスト!$K$35,IF(J2214=FALSE,"「毎月の固定給与額」","")&amp;IF(AND(J2214=FALSE,OR(K2214=FALSE,L2214=FALSE,M2214=FALSE)),",","")&amp;IF(K2214=FALSE,"「賞与額等」","")&amp;IF(AND(K2214=FALSE,OR(L2214=FALSE,M2214=FALSE)),",","")&amp;IF(L2214=FALSE,"「残業手当」","")&amp;IF(AND(L2214=FALSE,M2214=FALSE),",","")&amp;IF(M2214=FALSE,"「残業時間」","")&amp;IF(OR(J2214=FALSE,K2214=FALSE,L2214=FALSE,M2214=FALSE),入力リスト!$K$36,"")&amp;IF(N2214,"",入力リスト!$K$37)))</f>
        <v/>
      </c>
      <c r="H2214" s="215"/>
      <c r="I2214" s="1" t="b">
        <f>IF(B2214="",FALSE,COUNTIF('従業員情報(給与以外)'!$A$4:$A$1000000,$B2214)=0)</f>
        <v>0</v>
      </c>
      <c r="J2214" s="8" t="b">
        <f t="shared" si="170"/>
        <v>1</v>
      </c>
      <c r="K2214" s="8" t="b">
        <f t="shared" si="171"/>
        <v>1</v>
      </c>
      <c r="L2214" s="8" t="b">
        <f t="shared" si="172"/>
        <v>1</v>
      </c>
      <c r="M2214" s="8" t="b">
        <f t="shared" si="173"/>
        <v>1</v>
      </c>
      <c r="N2214" s="1" t="b">
        <f t="shared" si="174"/>
        <v>1</v>
      </c>
      <c r="O2214" s="8" t="str">
        <f>IF(F2214="","",IF($F$2=入力リスト!$H$25,ROUNDDOWN(INT(F2214)+ROUNDDOWN((F2214-INT(F2214))*100,0)/60,2),F2214))</f>
        <v/>
      </c>
      <c r="P2214" s="7"/>
      <c r="Q2214" s="7"/>
    </row>
    <row r="2215" spans="1:17">
      <c r="A2215" s="105"/>
      <c r="B2215" s="2"/>
      <c r="C2215" s="3"/>
      <c r="D2215" s="3"/>
      <c r="E2215" s="3"/>
      <c r="F2215" s="8"/>
      <c r="G2215" s="215" t="str">
        <f>IF(AND($B2215="",OR(B2215&lt;&gt;"",C2215&lt;&gt;"",D2215&lt;&gt;"",E2215&lt;&gt;"",F2215&lt;&gt;"")),入力リスト!$K$34,IF($I2215=TRUE,入力リスト!$K$35,IF(J2215=FALSE,"「毎月の固定給与額」","")&amp;IF(AND(J2215=FALSE,OR(K2215=FALSE,L2215=FALSE,M2215=FALSE)),",","")&amp;IF(K2215=FALSE,"「賞与額等」","")&amp;IF(AND(K2215=FALSE,OR(L2215=FALSE,M2215=FALSE)),",","")&amp;IF(L2215=FALSE,"「残業手当」","")&amp;IF(AND(L2215=FALSE,M2215=FALSE),",","")&amp;IF(M2215=FALSE,"「残業時間」","")&amp;IF(OR(J2215=FALSE,K2215=FALSE,L2215=FALSE,M2215=FALSE),入力リスト!$K$36,"")&amp;IF(N2215,"",入力リスト!$K$37)))</f>
        <v/>
      </c>
      <c r="H2215" s="215"/>
      <c r="I2215" s="1" t="b">
        <f>IF(B2215="",FALSE,COUNTIF('従業員情報(給与以外)'!$A$4:$A$1000000,$B2215)=0)</f>
        <v>0</v>
      </c>
      <c r="J2215" s="8" t="b">
        <f t="shared" si="170"/>
        <v>1</v>
      </c>
      <c r="K2215" s="8" t="b">
        <f t="shared" si="171"/>
        <v>1</v>
      </c>
      <c r="L2215" s="8" t="b">
        <f t="shared" si="172"/>
        <v>1</v>
      </c>
      <c r="M2215" s="8" t="b">
        <f t="shared" si="173"/>
        <v>1</v>
      </c>
      <c r="N2215" s="1" t="b">
        <f t="shared" si="174"/>
        <v>1</v>
      </c>
      <c r="O2215" s="8" t="str">
        <f>IF(F2215="","",IF($F$2=入力リスト!$H$25,ROUNDDOWN(INT(F2215)+ROUNDDOWN((F2215-INT(F2215))*100,0)/60,2),F2215))</f>
        <v/>
      </c>
      <c r="P2215" s="7"/>
      <c r="Q2215" s="7"/>
    </row>
    <row r="2216" spans="1:17">
      <c r="A2216" s="105"/>
      <c r="B2216" s="2"/>
      <c r="C2216" s="3"/>
      <c r="D2216" s="3"/>
      <c r="E2216" s="3"/>
      <c r="F2216" s="8"/>
      <c r="G2216" s="215" t="str">
        <f>IF(AND($B2216="",OR(B2216&lt;&gt;"",C2216&lt;&gt;"",D2216&lt;&gt;"",E2216&lt;&gt;"",F2216&lt;&gt;"")),入力リスト!$K$34,IF($I2216=TRUE,入力リスト!$K$35,IF(J2216=FALSE,"「毎月の固定給与額」","")&amp;IF(AND(J2216=FALSE,OR(K2216=FALSE,L2216=FALSE,M2216=FALSE)),",","")&amp;IF(K2216=FALSE,"「賞与額等」","")&amp;IF(AND(K2216=FALSE,OR(L2216=FALSE,M2216=FALSE)),",","")&amp;IF(L2216=FALSE,"「残業手当」","")&amp;IF(AND(L2216=FALSE,M2216=FALSE),",","")&amp;IF(M2216=FALSE,"「残業時間」","")&amp;IF(OR(J2216=FALSE,K2216=FALSE,L2216=FALSE,M2216=FALSE),入力リスト!$K$36,"")&amp;IF(N2216,"",入力リスト!$K$37)))</f>
        <v/>
      </c>
      <c r="H2216" s="215"/>
      <c r="I2216" s="1" t="b">
        <f>IF(B2216="",FALSE,COUNTIF('従業員情報(給与以外)'!$A$4:$A$1000000,$B2216)=0)</f>
        <v>0</v>
      </c>
      <c r="J2216" s="8" t="b">
        <f t="shared" si="170"/>
        <v>1</v>
      </c>
      <c r="K2216" s="8" t="b">
        <f t="shared" si="171"/>
        <v>1</v>
      </c>
      <c r="L2216" s="8" t="b">
        <f t="shared" si="172"/>
        <v>1</v>
      </c>
      <c r="M2216" s="8" t="b">
        <f t="shared" si="173"/>
        <v>1</v>
      </c>
      <c r="N2216" s="1" t="b">
        <f t="shared" si="174"/>
        <v>1</v>
      </c>
      <c r="O2216" s="8" t="str">
        <f>IF(F2216="","",IF($F$2=入力リスト!$H$25,ROUNDDOWN(INT(F2216)+ROUNDDOWN((F2216-INT(F2216))*100,0)/60,2),F2216))</f>
        <v/>
      </c>
      <c r="P2216" s="7"/>
      <c r="Q2216" s="7"/>
    </row>
    <row r="2217" spans="1:17">
      <c r="A2217" s="105"/>
      <c r="B2217" s="2"/>
      <c r="C2217" s="3"/>
      <c r="D2217" s="3"/>
      <c r="E2217" s="3"/>
      <c r="F2217" s="8"/>
      <c r="G2217" s="215" t="str">
        <f>IF(AND($B2217="",OR(B2217&lt;&gt;"",C2217&lt;&gt;"",D2217&lt;&gt;"",E2217&lt;&gt;"",F2217&lt;&gt;"")),入力リスト!$K$34,IF($I2217=TRUE,入力リスト!$K$35,IF(J2217=FALSE,"「毎月の固定給与額」","")&amp;IF(AND(J2217=FALSE,OR(K2217=FALSE,L2217=FALSE,M2217=FALSE)),",","")&amp;IF(K2217=FALSE,"「賞与額等」","")&amp;IF(AND(K2217=FALSE,OR(L2217=FALSE,M2217=FALSE)),",","")&amp;IF(L2217=FALSE,"「残業手当」","")&amp;IF(AND(L2217=FALSE,M2217=FALSE),",","")&amp;IF(M2217=FALSE,"「残業時間」","")&amp;IF(OR(J2217=FALSE,K2217=FALSE,L2217=FALSE,M2217=FALSE),入力リスト!$K$36,"")&amp;IF(N2217,"",入力リスト!$K$37)))</f>
        <v/>
      </c>
      <c r="H2217" s="215"/>
      <c r="I2217" s="1" t="b">
        <f>IF(B2217="",FALSE,COUNTIF('従業員情報(給与以外)'!$A$4:$A$1000000,$B2217)=0)</f>
        <v>0</v>
      </c>
      <c r="J2217" s="8" t="b">
        <f t="shared" si="170"/>
        <v>1</v>
      </c>
      <c r="K2217" s="8" t="b">
        <f t="shared" si="171"/>
        <v>1</v>
      </c>
      <c r="L2217" s="8" t="b">
        <f t="shared" si="172"/>
        <v>1</v>
      </c>
      <c r="M2217" s="8" t="b">
        <f t="shared" si="173"/>
        <v>1</v>
      </c>
      <c r="N2217" s="1" t="b">
        <f t="shared" si="174"/>
        <v>1</v>
      </c>
      <c r="O2217" s="8" t="str">
        <f>IF(F2217="","",IF($F$2=入力リスト!$H$25,ROUNDDOWN(INT(F2217)+ROUNDDOWN((F2217-INT(F2217))*100,0)/60,2),F2217))</f>
        <v/>
      </c>
      <c r="P2217" s="7"/>
      <c r="Q2217" s="7"/>
    </row>
    <row r="2218" spans="1:17">
      <c r="A2218" s="105"/>
      <c r="B2218" s="2"/>
      <c r="C2218" s="3"/>
      <c r="D2218" s="3"/>
      <c r="E2218" s="3"/>
      <c r="F2218" s="8"/>
      <c r="G2218" s="215" t="str">
        <f>IF(AND($B2218="",OR(B2218&lt;&gt;"",C2218&lt;&gt;"",D2218&lt;&gt;"",E2218&lt;&gt;"",F2218&lt;&gt;"")),入力リスト!$K$34,IF($I2218=TRUE,入力リスト!$K$35,IF(J2218=FALSE,"「毎月の固定給与額」","")&amp;IF(AND(J2218=FALSE,OR(K2218=FALSE,L2218=FALSE,M2218=FALSE)),",","")&amp;IF(K2218=FALSE,"「賞与額等」","")&amp;IF(AND(K2218=FALSE,OR(L2218=FALSE,M2218=FALSE)),",","")&amp;IF(L2218=FALSE,"「残業手当」","")&amp;IF(AND(L2218=FALSE,M2218=FALSE),",","")&amp;IF(M2218=FALSE,"「残業時間」","")&amp;IF(OR(J2218=FALSE,K2218=FALSE,L2218=FALSE,M2218=FALSE),入力リスト!$K$36,"")&amp;IF(N2218,"",入力リスト!$K$37)))</f>
        <v/>
      </c>
      <c r="H2218" s="215"/>
      <c r="I2218" s="1" t="b">
        <f>IF(B2218="",FALSE,COUNTIF('従業員情報(給与以外)'!$A$4:$A$1000000,$B2218)=0)</f>
        <v>0</v>
      </c>
      <c r="J2218" s="8" t="b">
        <f t="shared" si="170"/>
        <v>1</v>
      </c>
      <c r="K2218" s="8" t="b">
        <f t="shared" si="171"/>
        <v>1</v>
      </c>
      <c r="L2218" s="8" t="b">
        <f t="shared" si="172"/>
        <v>1</v>
      </c>
      <c r="M2218" s="8" t="b">
        <f t="shared" si="173"/>
        <v>1</v>
      </c>
      <c r="N2218" s="1" t="b">
        <f t="shared" si="174"/>
        <v>1</v>
      </c>
      <c r="O2218" s="8" t="str">
        <f>IF(F2218="","",IF($F$2=入力リスト!$H$25,ROUNDDOWN(INT(F2218)+ROUNDDOWN((F2218-INT(F2218))*100,0)/60,2),F2218))</f>
        <v/>
      </c>
      <c r="P2218" s="7"/>
      <c r="Q2218" s="7"/>
    </row>
    <row r="2219" spans="1:17">
      <c r="A2219" s="105"/>
      <c r="B2219" s="2"/>
      <c r="C2219" s="3"/>
      <c r="D2219" s="3"/>
      <c r="E2219" s="3"/>
      <c r="F2219" s="8"/>
      <c r="G2219" s="215" t="str">
        <f>IF(AND($B2219="",OR(B2219&lt;&gt;"",C2219&lt;&gt;"",D2219&lt;&gt;"",E2219&lt;&gt;"",F2219&lt;&gt;"")),入力リスト!$K$34,IF($I2219=TRUE,入力リスト!$K$35,IF(J2219=FALSE,"「毎月の固定給与額」","")&amp;IF(AND(J2219=FALSE,OR(K2219=FALSE,L2219=FALSE,M2219=FALSE)),",","")&amp;IF(K2219=FALSE,"「賞与額等」","")&amp;IF(AND(K2219=FALSE,OR(L2219=FALSE,M2219=FALSE)),",","")&amp;IF(L2219=FALSE,"「残業手当」","")&amp;IF(AND(L2219=FALSE,M2219=FALSE),",","")&amp;IF(M2219=FALSE,"「残業時間」","")&amp;IF(OR(J2219=FALSE,K2219=FALSE,L2219=FALSE,M2219=FALSE),入力リスト!$K$36,"")&amp;IF(N2219,"",入力リスト!$K$37)))</f>
        <v/>
      </c>
      <c r="H2219" s="215"/>
      <c r="I2219" s="1" t="b">
        <f>IF(B2219="",FALSE,COUNTIF('従業員情報(給与以外)'!$A$4:$A$1000000,$B2219)=0)</f>
        <v>0</v>
      </c>
      <c r="J2219" s="8" t="b">
        <f t="shared" si="170"/>
        <v>1</v>
      </c>
      <c r="K2219" s="8" t="b">
        <f t="shared" si="171"/>
        <v>1</v>
      </c>
      <c r="L2219" s="8" t="b">
        <f t="shared" si="172"/>
        <v>1</v>
      </c>
      <c r="M2219" s="8" t="b">
        <f t="shared" si="173"/>
        <v>1</v>
      </c>
      <c r="N2219" s="1" t="b">
        <f t="shared" si="174"/>
        <v>1</v>
      </c>
      <c r="O2219" s="8" t="str">
        <f>IF(F2219="","",IF($F$2=入力リスト!$H$25,ROUNDDOWN(INT(F2219)+ROUNDDOWN((F2219-INT(F2219))*100,0)/60,2),F2219))</f>
        <v/>
      </c>
      <c r="P2219" s="7"/>
      <c r="Q2219" s="7"/>
    </row>
    <row r="2220" spans="1:17">
      <c r="A2220" s="105"/>
      <c r="B2220" s="2"/>
      <c r="C2220" s="3"/>
      <c r="D2220" s="3"/>
      <c r="E2220" s="3"/>
      <c r="F2220" s="8"/>
      <c r="G2220" s="215" t="str">
        <f>IF(AND($B2220="",OR(B2220&lt;&gt;"",C2220&lt;&gt;"",D2220&lt;&gt;"",E2220&lt;&gt;"",F2220&lt;&gt;"")),入力リスト!$K$34,IF($I2220=TRUE,入力リスト!$K$35,IF(J2220=FALSE,"「毎月の固定給与額」","")&amp;IF(AND(J2220=FALSE,OR(K2220=FALSE,L2220=FALSE,M2220=FALSE)),",","")&amp;IF(K2220=FALSE,"「賞与額等」","")&amp;IF(AND(K2220=FALSE,OR(L2220=FALSE,M2220=FALSE)),",","")&amp;IF(L2220=FALSE,"「残業手当」","")&amp;IF(AND(L2220=FALSE,M2220=FALSE),",","")&amp;IF(M2220=FALSE,"「残業時間」","")&amp;IF(OR(J2220=FALSE,K2220=FALSE,L2220=FALSE,M2220=FALSE),入力リスト!$K$36,"")&amp;IF(N2220,"",入力リスト!$K$37)))</f>
        <v/>
      </c>
      <c r="H2220" s="215"/>
      <c r="I2220" s="1" t="b">
        <f>IF(B2220="",FALSE,COUNTIF('従業員情報(給与以外)'!$A$4:$A$1000000,$B2220)=0)</f>
        <v>0</v>
      </c>
      <c r="J2220" s="8" t="b">
        <f t="shared" si="170"/>
        <v>1</v>
      </c>
      <c r="K2220" s="8" t="b">
        <f t="shared" si="171"/>
        <v>1</v>
      </c>
      <c r="L2220" s="8" t="b">
        <f t="shared" si="172"/>
        <v>1</v>
      </c>
      <c r="M2220" s="8" t="b">
        <f t="shared" si="173"/>
        <v>1</v>
      </c>
      <c r="N2220" s="1" t="b">
        <f t="shared" si="174"/>
        <v>1</v>
      </c>
      <c r="O2220" s="8" t="str">
        <f>IF(F2220="","",IF($F$2=入力リスト!$H$25,ROUNDDOWN(INT(F2220)+ROUNDDOWN((F2220-INT(F2220))*100,0)/60,2),F2220))</f>
        <v/>
      </c>
      <c r="P2220" s="7"/>
      <c r="Q2220" s="7"/>
    </row>
    <row r="2221" spans="1:17">
      <c r="A2221" s="105"/>
      <c r="B2221" s="2"/>
      <c r="C2221" s="3"/>
      <c r="D2221" s="3"/>
      <c r="E2221" s="3"/>
      <c r="F2221" s="8"/>
      <c r="G2221" s="215" t="str">
        <f>IF(AND($B2221="",OR(B2221&lt;&gt;"",C2221&lt;&gt;"",D2221&lt;&gt;"",E2221&lt;&gt;"",F2221&lt;&gt;"")),入力リスト!$K$34,IF($I2221=TRUE,入力リスト!$K$35,IF(J2221=FALSE,"「毎月の固定給与額」","")&amp;IF(AND(J2221=FALSE,OR(K2221=FALSE,L2221=FALSE,M2221=FALSE)),",","")&amp;IF(K2221=FALSE,"「賞与額等」","")&amp;IF(AND(K2221=FALSE,OR(L2221=FALSE,M2221=FALSE)),",","")&amp;IF(L2221=FALSE,"「残業手当」","")&amp;IF(AND(L2221=FALSE,M2221=FALSE),",","")&amp;IF(M2221=FALSE,"「残業時間」","")&amp;IF(OR(J2221=FALSE,K2221=FALSE,L2221=FALSE,M2221=FALSE),入力リスト!$K$36,"")&amp;IF(N2221,"",入力リスト!$K$37)))</f>
        <v/>
      </c>
      <c r="H2221" s="215"/>
      <c r="I2221" s="1" t="b">
        <f>IF(B2221="",FALSE,COUNTIF('従業員情報(給与以外)'!$A$4:$A$1000000,$B2221)=0)</f>
        <v>0</v>
      </c>
      <c r="J2221" s="8" t="b">
        <f t="shared" si="170"/>
        <v>1</v>
      </c>
      <c r="K2221" s="8" t="b">
        <f t="shared" si="171"/>
        <v>1</v>
      </c>
      <c r="L2221" s="8" t="b">
        <f t="shared" si="172"/>
        <v>1</v>
      </c>
      <c r="M2221" s="8" t="b">
        <f t="shared" si="173"/>
        <v>1</v>
      </c>
      <c r="N2221" s="1" t="b">
        <f t="shared" si="174"/>
        <v>1</v>
      </c>
      <c r="O2221" s="8" t="str">
        <f>IF(F2221="","",IF($F$2=入力リスト!$H$25,ROUNDDOWN(INT(F2221)+ROUNDDOWN((F2221-INT(F2221))*100,0)/60,2),F2221))</f>
        <v/>
      </c>
      <c r="P2221" s="7"/>
      <c r="Q2221" s="7"/>
    </row>
    <row r="2222" spans="1:17">
      <c r="A2222" s="105"/>
      <c r="B2222" s="2"/>
      <c r="C2222" s="3"/>
      <c r="D2222" s="3"/>
      <c r="E2222" s="3"/>
      <c r="F2222" s="8"/>
      <c r="G2222" s="215" t="str">
        <f>IF(AND($B2222="",OR(B2222&lt;&gt;"",C2222&lt;&gt;"",D2222&lt;&gt;"",E2222&lt;&gt;"",F2222&lt;&gt;"")),入力リスト!$K$34,IF($I2222=TRUE,入力リスト!$K$35,IF(J2222=FALSE,"「毎月の固定給与額」","")&amp;IF(AND(J2222=FALSE,OR(K2222=FALSE,L2222=FALSE,M2222=FALSE)),",","")&amp;IF(K2222=FALSE,"「賞与額等」","")&amp;IF(AND(K2222=FALSE,OR(L2222=FALSE,M2222=FALSE)),",","")&amp;IF(L2222=FALSE,"「残業手当」","")&amp;IF(AND(L2222=FALSE,M2222=FALSE),",","")&amp;IF(M2222=FALSE,"「残業時間」","")&amp;IF(OR(J2222=FALSE,K2222=FALSE,L2222=FALSE,M2222=FALSE),入力リスト!$K$36,"")&amp;IF(N2222,"",入力リスト!$K$37)))</f>
        <v/>
      </c>
      <c r="H2222" s="215"/>
      <c r="I2222" s="1" t="b">
        <f>IF(B2222="",FALSE,COUNTIF('従業員情報(給与以外)'!$A$4:$A$1000000,$B2222)=0)</f>
        <v>0</v>
      </c>
      <c r="J2222" s="8" t="b">
        <f t="shared" si="170"/>
        <v>1</v>
      </c>
      <c r="K2222" s="8" t="b">
        <f t="shared" si="171"/>
        <v>1</v>
      </c>
      <c r="L2222" s="8" t="b">
        <f t="shared" si="172"/>
        <v>1</v>
      </c>
      <c r="M2222" s="8" t="b">
        <f t="shared" si="173"/>
        <v>1</v>
      </c>
      <c r="N2222" s="1" t="b">
        <f t="shared" si="174"/>
        <v>1</v>
      </c>
      <c r="O2222" s="8" t="str">
        <f>IF(F2222="","",IF($F$2=入力リスト!$H$25,ROUNDDOWN(INT(F2222)+ROUNDDOWN((F2222-INT(F2222))*100,0)/60,2),F2222))</f>
        <v/>
      </c>
      <c r="P2222" s="7"/>
      <c r="Q2222" s="7"/>
    </row>
    <row r="2223" spans="1:17">
      <c r="A2223" s="105"/>
      <c r="B2223" s="2"/>
      <c r="C2223" s="3"/>
      <c r="D2223" s="3"/>
      <c r="E2223" s="3"/>
      <c r="F2223" s="8"/>
      <c r="G2223" s="215" t="str">
        <f>IF(AND($B2223="",OR(B2223&lt;&gt;"",C2223&lt;&gt;"",D2223&lt;&gt;"",E2223&lt;&gt;"",F2223&lt;&gt;"")),入力リスト!$K$34,IF($I2223=TRUE,入力リスト!$K$35,IF(J2223=FALSE,"「毎月の固定給与額」","")&amp;IF(AND(J2223=FALSE,OR(K2223=FALSE,L2223=FALSE,M2223=FALSE)),",","")&amp;IF(K2223=FALSE,"「賞与額等」","")&amp;IF(AND(K2223=FALSE,OR(L2223=FALSE,M2223=FALSE)),",","")&amp;IF(L2223=FALSE,"「残業手当」","")&amp;IF(AND(L2223=FALSE,M2223=FALSE),",","")&amp;IF(M2223=FALSE,"「残業時間」","")&amp;IF(OR(J2223=FALSE,K2223=FALSE,L2223=FALSE,M2223=FALSE),入力リスト!$K$36,"")&amp;IF(N2223,"",入力リスト!$K$37)))</f>
        <v/>
      </c>
      <c r="H2223" s="215"/>
      <c r="I2223" s="1" t="b">
        <f>IF(B2223="",FALSE,COUNTIF('従業員情報(給与以外)'!$A$4:$A$1000000,$B2223)=0)</f>
        <v>0</v>
      </c>
      <c r="J2223" s="8" t="b">
        <f t="shared" si="170"/>
        <v>1</v>
      </c>
      <c r="K2223" s="8" t="b">
        <f t="shared" si="171"/>
        <v>1</v>
      </c>
      <c r="L2223" s="8" t="b">
        <f t="shared" si="172"/>
        <v>1</v>
      </c>
      <c r="M2223" s="8" t="b">
        <f t="shared" si="173"/>
        <v>1</v>
      </c>
      <c r="N2223" s="1" t="b">
        <f t="shared" si="174"/>
        <v>1</v>
      </c>
      <c r="O2223" s="8" t="str">
        <f>IF(F2223="","",IF($F$2=入力リスト!$H$25,ROUNDDOWN(INT(F2223)+ROUNDDOWN((F2223-INT(F2223))*100,0)/60,2),F2223))</f>
        <v/>
      </c>
      <c r="P2223" s="7"/>
      <c r="Q2223" s="7"/>
    </row>
    <row r="2224" spans="1:17">
      <c r="A2224" s="105"/>
      <c r="B2224" s="2"/>
      <c r="C2224" s="3"/>
      <c r="D2224" s="3"/>
      <c r="E2224" s="3"/>
      <c r="F2224" s="8"/>
      <c r="G2224" s="215" t="str">
        <f>IF(AND($B2224="",OR(B2224&lt;&gt;"",C2224&lt;&gt;"",D2224&lt;&gt;"",E2224&lt;&gt;"",F2224&lt;&gt;"")),入力リスト!$K$34,IF($I2224=TRUE,入力リスト!$K$35,IF(J2224=FALSE,"「毎月の固定給与額」","")&amp;IF(AND(J2224=FALSE,OR(K2224=FALSE,L2224=FALSE,M2224=FALSE)),",","")&amp;IF(K2224=FALSE,"「賞与額等」","")&amp;IF(AND(K2224=FALSE,OR(L2224=FALSE,M2224=FALSE)),",","")&amp;IF(L2224=FALSE,"「残業手当」","")&amp;IF(AND(L2224=FALSE,M2224=FALSE),",","")&amp;IF(M2224=FALSE,"「残業時間」","")&amp;IF(OR(J2224=FALSE,K2224=FALSE,L2224=FALSE,M2224=FALSE),入力リスト!$K$36,"")&amp;IF(N2224,"",入力リスト!$K$37)))</f>
        <v/>
      </c>
      <c r="H2224" s="215"/>
      <c r="I2224" s="1" t="b">
        <f>IF(B2224="",FALSE,COUNTIF('従業員情報(給与以外)'!$A$4:$A$1000000,$B2224)=0)</f>
        <v>0</v>
      </c>
      <c r="J2224" s="8" t="b">
        <f t="shared" si="170"/>
        <v>1</v>
      </c>
      <c r="K2224" s="8" t="b">
        <f t="shared" si="171"/>
        <v>1</v>
      </c>
      <c r="L2224" s="8" t="b">
        <f t="shared" si="172"/>
        <v>1</v>
      </c>
      <c r="M2224" s="8" t="b">
        <f t="shared" si="173"/>
        <v>1</v>
      </c>
      <c r="N2224" s="1" t="b">
        <f t="shared" si="174"/>
        <v>1</v>
      </c>
      <c r="O2224" s="8" t="str">
        <f>IF(F2224="","",IF($F$2=入力リスト!$H$25,ROUNDDOWN(INT(F2224)+ROUNDDOWN((F2224-INT(F2224))*100,0)/60,2),F2224))</f>
        <v/>
      </c>
      <c r="P2224" s="7"/>
      <c r="Q2224" s="7"/>
    </row>
    <row r="2225" spans="1:17">
      <c r="A2225" s="105"/>
      <c r="B2225" s="2"/>
      <c r="C2225" s="3"/>
      <c r="D2225" s="3"/>
      <c r="E2225" s="3"/>
      <c r="F2225" s="8"/>
      <c r="G2225" s="215" t="str">
        <f>IF(AND($B2225="",OR(B2225&lt;&gt;"",C2225&lt;&gt;"",D2225&lt;&gt;"",E2225&lt;&gt;"",F2225&lt;&gt;"")),入力リスト!$K$34,IF($I2225=TRUE,入力リスト!$K$35,IF(J2225=FALSE,"「毎月の固定給与額」","")&amp;IF(AND(J2225=FALSE,OR(K2225=FALSE,L2225=FALSE,M2225=FALSE)),",","")&amp;IF(K2225=FALSE,"「賞与額等」","")&amp;IF(AND(K2225=FALSE,OR(L2225=FALSE,M2225=FALSE)),",","")&amp;IF(L2225=FALSE,"「残業手当」","")&amp;IF(AND(L2225=FALSE,M2225=FALSE),",","")&amp;IF(M2225=FALSE,"「残業時間」","")&amp;IF(OR(J2225=FALSE,K2225=FALSE,L2225=FALSE,M2225=FALSE),入力リスト!$K$36,"")&amp;IF(N2225,"",入力リスト!$K$37)))</f>
        <v/>
      </c>
      <c r="H2225" s="215"/>
      <c r="I2225" s="1" t="b">
        <f>IF(B2225="",FALSE,COUNTIF('従業員情報(給与以外)'!$A$4:$A$1000000,$B2225)=0)</f>
        <v>0</v>
      </c>
      <c r="J2225" s="8" t="b">
        <f t="shared" si="170"/>
        <v>1</v>
      </c>
      <c r="K2225" s="8" t="b">
        <f t="shared" si="171"/>
        <v>1</v>
      </c>
      <c r="L2225" s="8" t="b">
        <f t="shared" si="172"/>
        <v>1</v>
      </c>
      <c r="M2225" s="8" t="b">
        <f t="shared" si="173"/>
        <v>1</v>
      </c>
      <c r="N2225" s="1" t="b">
        <f t="shared" si="174"/>
        <v>1</v>
      </c>
      <c r="O2225" s="8" t="str">
        <f>IF(F2225="","",IF($F$2=入力リスト!$H$25,ROUNDDOWN(INT(F2225)+ROUNDDOWN((F2225-INT(F2225))*100,0)/60,2),F2225))</f>
        <v/>
      </c>
      <c r="P2225" s="7"/>
      <c r="Q2225" s="7"/>
    </row>
    <row r="2226" spans="1:17">
      <c r="A2226" s="234"/>
      <c r="B2226" s="235"/>
      <c r="C2226" s="235"/>
      <c r="D2226" s="3"/>
      <c r="E2226" s="235"/>
      <c r="F2226" s="236"/>
      <c r="G2226" s="215" t="str">
        <f>IF(AND($B2226="",OR(B2226&lt;&gt;"",C2226&lt;&gt;"",D2226&lt;&gt;"",E2226&lt;&gt;"",F2226&lt;&gt;"")),入力リスト!$K$34,IF($I2226=TRUE,入力リスト!$K$35,IF(J2226=FALSE,"「毎月の固定給与額」","")&amp;IF(AND(J2226=FALSE,OR(K2226=FALSE,L2226=FALSE,M2226=FALSE)),",","")&amp;IF(K2226=FALSE,"「賞与額等」","")&amp;IF(AND(K2226=FALSE,OR(L2226=FALSE,M2226=FALSE)),",","")&amp;IF(L2226=FALSE,"「残業手当」","")&amp;IF(AND(L2226=FALSE,M2226=FALSE),",","")&amp;IF(M2226=FALSE,"「残業時間」","")&amp;IF(OR(J2226=FALSE,K2226=FALSE,L2226=FALSE,M2226=FALSE),入力リスト!$K$36,"")&amp;IF(N2226,"",入力リスト!$K$37)))</f>
        <v/>
      </c>
      <c r="H2226" s="215"/>
      <c r="I2226" s="1" t="b">
        <f>IF(B2226="",FALSE,COUNTIF('従業員情報(給与以外)'!$A$4:$A$1000000,$B2226)=0)</f>
        <v>0</v>
      </c>
      <c r="J2226" s="8" t="b">
        <f t="shared" ref="J2226:J2289" si="175">OR(C2226="",ISNUMBER(C2226))</f>
        <v>1</v>
      </c>
      <c r="K2226" s="8" t="b">
        <f t="shared" ref="K2226:K2289" si="176">OR(D2226="",ISNUMBER(D2226))</f>
        <v>1</v>
      </c>
      <c r="L2226" s="8" t="b">
        <f t="shared" ref="L2226:L2289" si="177">OR(E2226="",ISNUMBER(E2226))</f>
        <v>1</v>
      </c>
      <c r="M2226" s="8" t="b">
        <f t="shared" ref="M2226:M2289" si="178">OR(F2226="",ISNUMBER(F2226))</f>
        <v>1</v>
      </c>
      <c r="N2226" s="1" t="b">
        <f t="shared" si="174"/>
        <v>1</v>
      </c>
      <c r="O2226" s="8" t="str">
        <f>IF(F2226="","",IF($F$2=入力リスト!$H$25,ROUNDDOWN(INT(F2226)+ROUNDDOWN((F2226-INT(F2226))*100,0)/60,2),F2226))</f>
        <v/>
      </c>
      <c r="P2226" s="7"/>
      <c r="Q2226" s="7"/>
    </row>
    <row r="2227" spans="1:17">
      <c r="A2227" s="234"/>
      <c r="B2227" s="235"/>
      <c r="C2227" s="235"/>
      <c r="D2227" s="3"/>
      <c r="E2227" s="235"/>
      <c r="F2227" s="236"/>
      <c r="G2227" s="215" t="str">
        <f>IF(AND($B2227="",OR(B2227&lt;&gt;"",C2227&lt;&gt;"",D2227&lt;&gt;"",E2227&lt;&gt;"",F2227&lt;&gt;"")),入力リスト!$K$34,IF($I2227=TRUE,入力リスト!$K$35,IF(J2227=FALSE,"「毎月の固定給与額」","")&amp;IF(AND(J2227=FALSE,OR(K2227=FALSE,L2227=FALSE,M2227=FALSE)),",","")&amp;IF(K2227=FALSE,"「賞与額等」","")&amp;IF(AND(K2227=FALSE,OR(L2227=FALSE,M2227=FALSE)),",","")&amp;IF(L2227=FALSE,"「残業手当」","")&amp;IF(AND(L2227=FALSE,M2227=FALSE),",","")&amp;IF(M2227=FALSE,"「残業時間」","")&amp;IF(OR(J2227=FALSE,K2227=FALSE,L2227=FALSE,M2227=FALSE),入力リスト!$K$36,"")&amp;IF(N2227,"",入力リスト!$K$37)))</f>
        <v/>
      </c>
      <c r="H2227" s="215"/>
      <c r="I2227" s="1" t="b">
        <f>IF(B2227="",FALSE,COUNTIF('従業員情報(給与以外)'!$A$4:$A$1000000,$B2227)=0)</f>
        <v>0</v>
      </c>
      <c r="J2227" s="8" t="b">
        <f t="shared" si="175"/>
        <v>1</v>
      </c>
      <c r="K2227" s="8" t="b">
        <f t="shared" si="176"/>
        <v>1</v>
      </c>
      <c r="L2227" s="8" t="b">
        <f t="shared" si="177"/>
        <v>1</v>
      </c>
      <c r="M2227" s="8" t="b">
        <f t="shared" si="178"/>
        <v>1</v>
      </c>
      <c r="N2227" s="1" t="b">
        <f t="shared" si="174"/>
        <v>1</v>
      </c>
      <c r="O2227" s="8" t="str">
        <f>IF(F2227="","",IF($F$2=入力リスト!$H$25,ROUNDDOWN(INT(F2227)+ROUNDDOWN((F2227-INT(F2227))*100,0)/60,2),F2227))</f>
        <v/>
      </c>
      <c r="P2227" s="7"/>
      <c r="Q2227" s="7"/>
    </row>
    <row r="2228" spans="1:17">
      <c r="A2228" s="234"/>
      <c r="B2228" s="235"/>
      <c r="C2228" s="235"/>
      <c r="D2228" s="3"/>
      <c r="E2228" s="235"/>
      <c r="F2228" s="236"/>
      <c r="G2228" s="215" t="str">
        <f>IF(AND($B2228="",OR(B2228&lt;&gt;"",C2228&lt;&gt;"",D2228&lt;&gt;"",E2228&lt;&gt;"",F2228&lt;&gt;"")),入力リスト!$K$34,IF($I2228=TRUE,入力リスト!$K$35,IF(J2228=FALSE,"「毎月の固定給与額」","")&amp;IF(AND(J2228=FALSE,OR(K2228=FALSE,L2228=FALSE,M2228=FALSE)),",","")&amp;IF(K2228=FALSE,"「賞与額等」","")&amp;IF(AND(K2228=FALSE,OR(L2228=FALSE,M2228=FALSE)),",","")&amp;IF(L2228=FALSE,"「残業手当」","")&amp;IF(AND(L2228=FALSE,M2228=FALSE),",","")&amp;IF(M2228=FALSE,"「残業時間」","")&amp;IF(OR(J2228=FALSE,K2228=FALSE,L2228=FALSE,M2228=FALSE),入力リスト!$K$36,"")&amp;IF(N2228,"",入力リスト!$K$37)))</f>
        <v/>
      </c>
      <c r="H2228" s="215"/>
      <c r="I2228" s="1" t="b">
        <f>IF(B2228="",FALSE,COUNTIF('従業員情報(給与以外)'!$A$4:$A$1000000,$B2228)=0)</f>
        <v>0</v>
      </c>
      <c r="J2228" s="8" t="b">
        <f t="shared" si="175"/>
        <v>1</v>
      </c>
      <c r="K2228" s="8" t="b">
        <f t="shared" si="176"/>
        <v>1</v>
      </c>
      <c r="L2228" s="8" t="b">
        <f t="shared" si="177"/>
        <v>1</v>
      </c>
      <c r="M2228" s="8" t="b">
        <f t="shared" si="178"/>
        <v>1</v>
      </c>
      <c r="N2228" s="1" t="b">
        <f t="shared" si="174"/>
        <v>1</v>
      </c>
      <c r="O2228" s="8" t="str">
        <f>IF(F2228="","",IF($F$2=入力リスト!$H$25,ROUNDDOWN(INT(F2228)+ROUNDDOWN((F2228-INT(F2228))*100,0)/60,2),F2228))</f>
        <v/>
      </c>
      <c r="P2228" s="7"/>
      <c r="Q2228" s="7"/>
    </row>
    <row r="2229" spans="1:17">
      <c r="A2229" s="234"/>
      <c r="B2229" s="235"/>
      <c r="C2229" s="235"/>
      <c r="D2229" s="3"/>
      <c r="E2229" s="235"/>
      <c r="F2229" s="236"/>
      <c r="G2229" s="215" t="str">
        <f>IF(AND($B2229="",OR(B2229&lt;&gt;"",C2229&lt;&gt;"",D2229&lt;&gt;"",E2229&lt;&gt;"",F2229&lt;&gt;"")),入力リスト!$K$34,IF($I2229=TRUE,入力リスト!$K$35,IF(J2229=FALSE,"「毎月の固定給与額」","")&amp;IF(AND(J2229=FALSE,OR(K2229=FALSE,L2229=FALSE,M2229=FALSE)),",","")&amp;IF(K2229=FALSE,"「賞与額等」","")&amp;IF(AND(K2229=FALSE,OR(L2229=FALSE,M2229=FALSE)),",","")&amp;IF(L2229=FALSE,"「残業手当」","")&amp;IF(AND(L2229=FALSE,M2229=FALSE),",","")&amp;IF(M2229=FALSE,"「残業時間」","")&amp;IF(OR(J2229=FALSE,K2229=FALSE,L2229=FALSE,M2229=FALSE),入力リスト!$K$36,"")&amp;IF(N2229,"",入力リスト!$K$37)))</f>
        <v/>
      </c>
      <c r="H2229" s="215"/>
      <c r="I2229" s="1" t="b">
        <f>IF(B2229="",FALSE,COUNTIF('従業員情報(給与以外)'!$A$4:$A$1000000,$B2229)=0)</f>
        <v>0</v>
      </c>
      <c r="J2229" s="8" t="b">
        <f t="shared" si="175"/>
        <v>1</v>
      </c>
      <c r="K2229" s="8" t="b">
        <f t="shared" si="176"/>
        <v>1</v>
      </c>
      <c r="L2229" s="8" t="b">
        <f t="shared" si="177"/>
        <v>1</v>
      </c>
      <c r="M2229" s="8" t="b">
        <f t="shared" si="178"/>
        <v>1</v>
      </c>
      <c r="N2229" s="1" t="b">
        <f t="shared" si="174"/>
        <v>1</v>
      </c>
      <c r="O2229" s="8" t="str">
        <f>IF(F2229="","",IF($F$2=入力リスト!$H$25,ROUNDDOWN(INT(F2229)+ROUNDDOWN((F2229-INT(F2229))*100,0)/60,2),F2229))</f>
        <v/>
      </c>
      <c r="P2229" s="7"/>
      <c r="Q2229" s="7"/>
    </row>
    <row r="2230" spans="1:17">
      <c r="A2230" s="234"/>
      <c r="B2230" s="235"/>
      <c r="C2230" s="235"/>
      <c r="D2230" s="3"/>
      <c r="E2230" s="235"/>
      <c r="F2230" s="236"/>
      <c r="G2230" s="215" t="str">
        <f>IF(AND($B2230="",OR(B2230&lt;&gt;"",C2230&lt;&gt;"",D2230&lt;&gt;"",E2230&lt;&gt;"",F2230&lt;&gt;"")),入力リスト!$K$34,IF($I2230=TRUE,入力リスト!$K$35,IF(J2230=FALSE,"「毎月の固定給与額」","")&amp;IF(AND(J2230=FALSE,OR(K2230=FALSE,L2230=FALSE,M2230=FALSE)),",","")&amp;IF(K2230=FALSE,"「賞与額等」","")&amp;IF(AND(K2230=FALSE,OR(L2230=FALSE,M2230=FALSE)),",","")&amp;IF(L2230=FALSE,"「残業手当」","")&amp;IF(AND(L2230=FALSE,M2230=FALSE),",","")&amp;IF(M2230=FALSE,"「残業時間」","")&amp;IF(OR(J2230=FALSE,K2230=FALSE,L2230=FALSE,M2230=FALSE),入力リスト!$K$36,"")&amp;IF(N2230,"",入力リスト!$K$37)))</f>
        <v/>
      </c>
      <c r="H2230" s="215"/>
      <c r="I2230" s="1" t="b">
        <f>IF(B2230="",FALSE,COUNTIF('従業員情報(給与以外)'!$A$4:$A$1000000,$B2230)=0)</f>
        <v>0</v>
      </c>
      <c r="J2230" s="8" t="b">
        <f t="shared" si="175"/>
        <v>1</v>
      </c>
      <c r="K2230" s="8" t="b">
        <f t="shared" si="176"/>
        <v>1</v>
      </c>
      <c r="L2230" s="8" t="b">
        <f t="shared" si="177"/>
        <v>1</v>
      </c>
      <c r="M2230" s="8" t="b">
        <f t="shared" si="178"/>
        <v>1</v>
      </c>
      <c r="N2230" s="1" t="b">
        <f t="shared" si="174"/>
        <v>1</v>
      </c>
      <c r="O2230" s="8" t="str">
        <f>IF(F2230="","",IF($F$2=入力リスト!$H$25,ROUNDDOWN(INT(F2230)+ROUNDDOWN((F2230-INT(F2230))*100,0)/60,2),F2230))</f>
        <v/>
      </c>
      <c r="P2230" s="7"/>
      <c r="Q2230" s="7"/>
    </row>
    <row r="2231" spans="1:17">
      <c r="A2231" s="234"/>
      <c r="B2231" s="235"/>
      <c r="C2231" s="235"/>
      <c r="D2231" s="3"/>
      <c r="E2231" s="235"/>
      <c r="F2231" s="236"/>
      <c r="G2231" s="215" t="str">
        <f>IF(AND($B2231="",OR(B2231&lt;&gt;"",C2231&lt;&gt;"",D2231&lt;&gt;"",E2231&lt;&gt;"",F2231&lt;&gt;"")),入力リスト!$K$34,IF($I2231=TRUE,入力リスト!$K$35,IF(J2231=FALSE,"「毎月の固定給与額」","")&amp;IF(AND(J2231=FALSE,OR(K2231=FALSE,L2231=FALSE,M2231=FALSE)),",","")&amp;IF(K2231=FALSE,"「賞与額等」","")&amp;IF(AND(K2231=FALSE,OR(L2231=FALSE,M2231=FALSE)),",","")&amp;IF(L2231=FALSE,"「残業手当」","")&amp;IF(AND(L2231=FALSE,M2231=FALSE),",","")&amp;IF(M2231=FALSE,"「残業時間」","")&amp;IF(OR(J2231=FALSE,K2231=FALSE,L2231=FALSE,M2231=FALSE),入力リスト!$K$36,"")&amp;IF(N2231,"",入力リスト!$K$37)))</f>
        <v/>
      </c>
      <c r="H2231" s="215"/>
      <c r="I2231" s="1" t="b">
        <f>IF(B2231="",FALSE,COUNTIF('従業員情報(給与以外)'!$A$4:$A$1000000,$B2231)=0)</f>
        <v>0</v>
      </c>
      <c r="J2231" s="8" t="b">
        <f t="shared" si="175"/>
        <v>1</v>
      </c>
      <c r="K2231" s="8" t="b">
        <f t="shared" si="176"/>
        <v>1</v>
      </c>
      <c r="L2231" s="8" t="b">
        <f t="shared" si="177"/>
        <v>1</v>
      </c>
      <c r="M2231" s="8" t="b">
        <f t="shared" si="178"/>
        <v>1</v>
      </c>
      <c r="N2231" s="1" t="b">
        <f t="shared" si="174"/>
        <v>1</v>
      </c>
      <c r="O2231" s="8" t="str">
        <f>IF(F2231="","",IF($F$2=入力リスト!$H$25,ROUNDDOWN(INT(F2231)+ROUNDDOWN((F2231-INT(F2231))*100,0)/60,2),F2231))</f>
        <v/>
      </c>
      <c r="P2231" s="7"/>
      <c r="Q2231" s="7"/>
    </row>
    <row r="2232" spans="1:17">
      <c r="A2232" s="234"/>
      <c r="B2232" s="235"/>
      <c r="C2232" s="235"/>
      <c r="D2232" s="3"/>
      <c r="E2232" s="235"/>
      <c r="F2232" s="236"/>
      <c r="G2232" s="215" t="str">
        <f>IF(AND($B2232="",OR(B2232&lt;&gt;"",C2232&lt;&gt;"",D2232&lt;&gt;"",E2232&lt;&gt;"",F2232&lt;&gt;"")),入力リスト!$K$34,IF($I2232=TRUE,入力リスト!$K$35,IF(J2232=FALSE,"「毎月の固定給与額」","")&amp;IF(AND(J2232=FALSE,OR(K2232=FALSE,L2232=FALSE,M2232=FALSE)),",","")&amp;IF(K2232=FALSE,"「賞与額等」","")&amp;IF(AND(K2232=FALSE,OR(L2232=FALSE,M2232=FALSE)),",","")&amp;IF(L2232=FALSE,"「残業手当」","")&amp;IF(AND(L2232=FALSE,M2232=FALSE),",","")&amp;IF(M2232=FALSE,"「残業時間」","")&amp;IF(OR(J2232=FALSE,K2232=FALSE,L2232=FALSE,M2232=FALSE),入力リスト!$K$36,"")&amp;IF(N2232,"",入力リスト!$K$37)))</f>
        <v/>
      </c>
      <c r="H2232" s="215"/>
      <c r="I2232" s="1" t="b">
        <f>IF(B2232="",FALSE,COUNTIF('従業員情報(給与以外)'!$A$4:$A$1000000,$B2232)=0)</f>
        <v>0</v>
      </c>
      <c r="J2232" s="8" t="b">
        <f t="shared" si="175"/>
        <v>1</v>
      </c>
      <c r="K2232" s="8" t="b">
        <f t="shared" si="176"/>
        <v>1</v>
      </c>
      <c r="L2232" s="8" t="b">
        <f t="shared" si="177"/>
        <v>1</v>
      </c>
      <c r="M2232" s="8" t="b">
        <f t="shared" si="178"/>
        <v>1</v>
      </c>
      <c r="N2232" s="1" t="b">
        <f t="shared" si="174"/>
        <v>1</v>
      </c>
      <c r="O2232" s="8" t="str">
        <f>IF(F2232="","",IF($F$2=入力リスト!$H$25,ROUNDDOWN(INT(F2232)+ROUNDDOWN((F2232-INT(F2232))*100,0)/60,2),F2232))</f>
        <v/>
      </c>
      <c r="P2232" s="7"/>
      <c r="Q2232" s="7"/>
    </row>
    <row r="2233" spans="1:17">
      <c r="A2233" s="234"/>
      <c r="B2233" s="235"/>
      <c r="C2233" s="235"/>
      <c r="D2233" s="3"/>
      <c r="E2233" s="235"/>
      <c r="F2233" s="236"/>
      <c r="G2233" s="215" t="str">
        <f>IF(AND($B2233="",OR(B2233&lt;&gt;"",C2233&lt;&gt;"",D2233&lt;&gt;"",E2233&lt;&gt;"",F2233&lt;&gt;"")),入力リスト!$K$34,IF($I2233=TRUE,入力リスト!$K$35,IF(J2233=FALSE,"「毎月の固定給与額」","")&amp;IF(AND(J2233=FALSE,OR(K2233=FALSE,L2233=FALSE,M2233=FALSE)),",","")&amp;IF(K2233=FALSE,"「賞与額等」","")&amp;IF(AND(K2233=FALSE,OR(L2233=FALSE,M2233=FALSE)),",","")&amp;IF(L2233=FALSE,"「残業手当」","")&amp;IF(AND(L2233=FALSE,M2233=FALSE),",","")&amp;IF(M2233=FALSE,"「残業時間」","")&amp;IF(OR(J2233=FALSE,K2233=FALSE,L2233=FALSE,M2233=FALSE),入力リスト!$K$36,"")&amp;IF(N2233,"",入力リスト!$K$37)))</f>
        <v/>
      </c>
      <c r="H2233" s="215"/>
      <c r="I2233" s="1" t="b">
        <f>IF(B2233="",FALSE,COUNTIF('従業員情報(給与以外)'!$A$4:$A$1000000,$B2233)=0)</f>
        <v>0</v>
      </c>
      <c r="J2233" s="8" t="b">
        <f t="shared" si="175"/>
        <v>1</v>
      </c>
      <c r="K2233" s="8" t="b">
        <f t="shared" si="176"/>
        <v>1</v>
      </c>
      <c r="L2233" s="8" t="b">
        <f t="shared" si="177"/>
        <v>1</v>
      </c>
      <c r="M2233" s="8" t="b">
        <f t="shared" si="178"/>
        <v>1</v>
      </c>
      <c r="N2233" s="1" t="b">
        <f t="shared" si="174"/>
        <v>1</v>
      </c>
      <c r="O2233" s="8" t="str">
        <f>IF(F2233="","",IF($F$2=入力リスト!$H$25,ROUNDDOWN(INT(F2233)+ROUNDDOWN((F2233-INT(F2233))*100,0)/60,2),F2233))</f>
        <v/>
      </c>
      <c r="P2233" s="7"/>
      <c r="Q2233" s="7"/>
    </row>
    <row r="2234" spans="1:17">
      <c r="A2234" s="234"/>
      <c r="B2234" s="235"/>
      <c r="C2234" s="235"/>
      <c r="D2234" s="3"/>
      <c r="E2234" s="235"/>
      <c r="F2234" s="236"/>
      <c r="G2234" s="215" t="str">
        <f>IF(AND($B2234="",OR(B2234&lt;&gt;"",C2234&lt;&gt;"",D2234&lt;&gt;"",E2234&lt;&gt;"",F2234&lt;&gt;"")),入力リスト!$K$34,IF($I2234=TRUE,入力リスト!$K$35,IF(J2234=FALSE,"「毎月の固定給与額」","")&amp;IF(AND(J2234=FALSE,OR(K2234=FALSE,L2234=FALSE,M2234=FALSE)),",","")&amp;IF(K2234=FALSE,"「賞与額等」","")&amp;IF(AND(K2234=FALSE,OR(L2234=FALSE,M2234=FALSE)),",","")&amp;IF(L2234=FALSE,"「残業手当」","")&amp;IF(AND(L2234=FALSE,M2234=FALSE),",","")&amp;IF(M2234=FALSE,"「残業時間」","")&amp;IF(OR(J2234=FALSE,K2234=FALSE,L2234=FALSE,M2234=FALSE),入力リスト!$K$36,"")&amp;IF(N2234,"",入力リスト!$K$37)))</f>
        <v/>
      </c>
      <c r="H2234" s="215"/>
      <c r="I2234" s="1" t="b">
        <f>IF(B2234="",FALSE,COUNTIF('従業員情報(給与以外)'!$A$4:$A$1000000,$B2234)=0)</f>
        <v>0</v>
      </c>
      <c r="J2234" s="8" t="b">
        <f t="shared" si="175"/>
        <v>1</v>
      </c>
      <c r="K2234" s="8" t="b">
        <f t="shared" si="176"/>
        <v>1</v>
      </c>
      <c r="L2234" s="8" t="b">
        <f t="shared" si="177"/>
        <v>1</v>
      </c>
      <c r="M2234" s="8" t="b">
        <f t="shared" si="178"/>
        <v>1</v>
      </c>
      <c r="N2234" s="1" t="b">
        <f t="shared" si="174"/>
        <v>1</v>
      </c>
      <c r="O2234" s="8" t="str">
        <f>IF(F2234="","",IF($F$2=入力リスト!$H$25,ROUNDDOWN(INT(F2234)+ROUNDDOWN((F2234-INT(F2234))*100,0)/60,2),F2234))</f>
        <v/>
      </c>
      <c r="P2234" s="7"/>
      <c r="Q2234" s="7"/>
    </row>
    <row r="2235" spans="1:17">
      <c r="A2235" s="234"/>
      <c r="B2235" s="235"/>
      <c r="C2235" s="235"/>
      <c r="D2235" s="3"/>
      <c r="E2235" s="235"/>
      <c r="F2235" s="236"/>
      <c r="G2235" s="215" t="str">
        <f>IF(AND($B2235="",OR(B2235&lt;&gt;"",C2235&lt;&gt;"",D2235&lt;&gt;"",E2235&lt;&gt;"",F2235&lt;&gt;"")),入力リスト!$K$34,IF($I2235=TRUE,入力リスト!$K$35,IF(J2235=FALSE,"「毎月の固定給与額」","")&amp;IF(AND(J2235=FALSE,OR(K2235=FALSE,L2235=FALSE,M2235=FALSE)),",","")&amp;IF(K2235=FALSE,"「賞与額等」","")&amp;IF(AND(K2235=FALSE,OR(L2235=FALSE,M2235=FALSE)),",","")&amp;IF(L2235=FALSE,"「残業手当」","")&amp;IF(AND(L2235=FALSE,M2235=FALSE),",","")&amp;IF(M2235=FALSE,"「残業時間」","")&amp;IF(OR(J2235=FALSE,K2235=FALSE,L2235=FALSE,M2235=FALSE),入力リスト!$K$36,"")&amp;IF(N2235,"",入力リスト!$K$37)))</f>
        <v/>
      </c>
      <c r="H2235" s="215"/>
      <c r="I2235" s="1" t="b">
        <f>IF(B2235="",FALSE,COUNTIF('従業員情報(給与以外)'!$A$4:$A$1000000,$B2235)=0)</f>
        <v>0</v>
      </c>
      <c r="J2235" s="8" t="b">
        <f t="shared" si="175"/>
        <v>1</v>
      </c>
      <c r="K2235" s="8" t="b">
        <f t="shared" si="176"/>
        <v>1</v>
      </c>
      <c r="L2235" s="8" t="b">
        <f t="shared" si="177"/>
        <v>1</v>
      </c>
      <c r="M2235" s="8" t="b">
        <f t="shared" si="178"/>
        <v>1</v>
      </c>
      <c r="N2235" s="1" t="b">
        <f t="shared" si="174"/>
        <v>1</v>
      </c>
      <c r="O2235" s="8" t="str">
        <f>IF(F2235="","",IF($F$2=入力リスト!$H$25,ROUNDDOWN(INT(F2235)+ROUNDDOWN((F2235-INT(F2235))*100,0)/60,2),F2235))</f>
        <v/>
      </c>
      <c r="P2235" s="7"/>
      <c r="Q2235" s="7"/>
    </row>
    <row r="2236" spans="1:17">
      <c r="A2236" s="234"/>
      <c r="B2236" s="235"/>
      <c r="C2236" s="235"/>
      <c r="D2236" s="3"/>
      <c r="E2236" s="235"/>
      <c r="F2236" s="236"/>
      <c r="G2236" s="215" t="str">
        <f>IF(AND($B2236="",OR(B2236&lt;&gt;"",C2236&lt;&gt;"",D2236&lt;&gt;"",E2236&lt;&gt;"",F2236&lt;&gt;"")),入力リスト!$K$34,IF($I2236=TRUE,入力リスト!$K$35,IF(J2236=FALSE,"「毎月の固定給与額」","")&amp;IF(AND(J2236=FALSE,OR(K2236=FALSE,L2236=FALSE,M2236=FALSE)),",","")&amp;IF(K2236=FALSE,"「賞与額等」","")&amp;IF(AND(K2236=FALSE,OR(L2236=FALSE,M2236=FALSE)),",","")&amp;IF(L2236=FALSE,"「残業手当」","")&amp;IF(AND(L2236=FALSE,M2236=FALSE),",","")&amp;IF(M2236=FALSE,"「残業時間」","")&amp;IF(OR(J2236=FALSE,K2236=FALSE,L2236=FALSE,M2236=FALSE),入力リスト!$K$36,"")&amp;IF(N2236,"",入力リスト!$K$37)))</f>
        <v/>
      </c>
      <c r="H2236" s="215"/>
      <c r="I2236" s="1" t="b">
        <f>IF(B2236="",FALSE,COUNTIF('従業員情報(給与以外)'!$A$4:$A$1000000,$B2236)=0)</f>
        <v>0</v>
      </c>
      <c r="J2236" s="8" t="b">
        <f t="shared" si="175"/>
        <v>1</v>
      </c>
      <c r="K2236" s="8" t="b">
        <f t="shared" si="176"/>
        <v>1</v>
      </c>
      <c r="L2236" s="8" t="b">
        <f t="shared" si="177"/>
        <v>1</v>
      </c>
      <c r="M2236" s="8" t="b">
        <f t="shared" si="178"/>
        <v>1</v>
      </c>
      <c r="N2236" s="1" t="b">
        <f t="shared" si="174"/>
        <v>1</v>
      </c>
      <c r="O2236" s="8" t="str">
        <f>IF(F2236="","",IF($F$2=入力リスト!$H$25,ROUNDDOWN(INT(F2236)+ROUNDDOWN((F2236-INT(F2236))*100,0)/60,2),F2236))</f>
        <v/>
      </c>
      <c r="P2236" s="7"/>
      <c r="Q2236" s="7"/>
    </row>
    <row r="2237" spans="1:17">
      <c r="A2237" s="234"/>
      <c r="B2237" s="235"/>
      <c r="C2237" s="235"/>
      <c r="D2237" s="3"/>
      <c r="E2237" s="235"/>
      <c r="F2237" s="236"/>
      <c r="G2237" s="215" t="str">
        <f>IF(AND($B2237="",OR(B2237&lt;&gt;"",C2237&lt;&gt;"",D2237&lt;&gt;"",E2237&lt;&gt;"",F2237&lt;&gt;"")),入力リスト!$K$34,IF($I2237=TRUE,入力リスト!$K$35,IF(J2237=FALSE,"「毎月の固定給与額」","")&amp;IF(AND(J2237=FALSE,OR(K2237=FALSE,L2237=FALSE,M2237=FALSE)),",","")&amp;IF(K2237=FALSE,"「賞与額等」","")&amp;IF(AND(K2237=FALSE,OR(L2237=FALSE,M2237=FALSE)),",","")&amp;IF(L2237=FALSE,"「残業手当」","")&amp;IF(AND(L2237=FALSE,M2237=FALSE),",","")&amp;IF(M2237=FALSE,"「残業時間」","")&amp;IF(OR(J2237=FALSE,K2237=FALSE,L2237=FALSE,M2237=FALSE),入力リスト!$K$36,"")&amp;IF(N2237,"",入力リスト!$K$37)))</f>
        <v/>
      </c>
      <c r="H2237" s="215"/>
      <c r="I2237" s="1" t="b">
        <f>IF(B2237="",FALSE,COUNTIF('従業員情報(給与以外)'!$A$4:$A$1000000,$B2237)=0)</f>
        <v>0</v>
      </c>
      <c r="J2237" s="8" t="b">
        <f t="shared" si="175"/>
        <v>1</v>
      </c>
      <c r="K2237" s="8" t="b">
        <f t="shared" si="176"/>
        <v>1</v>
      </c>
      <c r="L2237" s="8" t="b">
        <f t="shared" si="177"/>
        <v>1</v>
      </c>
      <c r="M2237" s="8" t="b">
        <f t="shared" si="178"/>
        <v>1</v>
      </c>
      <c r="N2237" s="1" t="b">
        <f t="shared" si="174"/>
        <v>1</v>
      </c>
      <c r="O2237" s="8" t="str">
        <f>IF(F2237="","",IF($F$2=入力リスト!$H$25,ROUNDDOWN(INT(F2237)+ROUNDDOWN((F2237-INT(F2237))*100,0)/60,2),F2237))</f>
        <v/>
      </c>
      <c r="P2237" s="7"/>
      <c r="Q2237" s="7"/>
    </row>
    <row r="2238" spans="1:17">
      <c r="A2238" s="234"/>
      <c r="B2238" s="235"/>
      <c r="C2238" s="235"/>
      <c r="D2238" s="3"/>
      <c r="E2238" s="235"/>
      <c r="F2238" s="236"/>
      <c r="G2238" s="215" t="str">
        <f>IF(AND($B2238="",OR(B2238&lt;&gt;"",C2238&lt;&gt;"",D2238&lt;&gt;"",E2238&lt;&gt;"",F2238&lt;&gt;"")),入力リスト!$K$34,IF($I2238=TRUE,入力リスト!$K$35,IF(J2238=FALSE,"「毎月の固定給与額」","")&amp;IF(AND(J2238=FALSE,OR(K2238=FALSE,L2238=FALSE,M2238=FALSE)),",","")&amp;IF(K2238=FALSE,"「賞与額等」","")&amp;IF(AND(K2238=FALSE,OR(L2238=FALSE,M2238=FALSE)),",","")&amp;IF(L2238=FALSE,"「残業手当」","")&amp;IF(AND(L2238=FALSE,M2238=FALSE),",","")&amp;IF(M2238=FALSE,"「残業時間」","")&amp;IF(OR(J2238=FALSE,K2238=FALSE,L2238=FALSE,M2238=FALSE),入力リスト!$K$36,"")&amp;IF(N2238,"",入力リスト!$K$37)))</f>
        <v/>
      </c>
      <c r="H2238" s="215"/>
      <c r="I2238" s="1" t="b">
        <f>IF(B2238="",FALSE,COUNTIF('従業員情報(給与以外)'!$A$4:$A$1000000,$B2238)=0)</f>
        <v>0</v>
      </c>
      <c r="J2238" s="8" t="b">
        <f t="shared" si="175"/>
        <v>1</v>
      </c>
      <c r="K2238" s="8" t="b">
        <f t="shared" si="176"/>
        <v>1</v>
      </c>
      <c r="L2238" s="8" t="b">
        <f t="shared" si="177"/>
        <v>1</v>
      </c>
      <c r="M2238" s="8" t="b">
        <f t="shared" si="178"/>
        <v>1</v>
      </c>
      <c r="N2238" s="1" t="b">
        <f t="shared" si="174"/>
        <v>1</v>
      </c>
      <c r="O2238" s="8" t="str">
        <f>IF(F2238="","",IF($F$2=入力リスト!$H$25,ROUNDDOWN(INT(F2238)+ROUNDDOWN((F2238-INT(F2238))*100,0)/60,2),F2238))</f>
        <v/>
      </c>
      <c r="P2238" s="7"/>
      <c r="Q2238" s="7"/>
    </row>
    <row r="2239" spans="1:17">
      <c r="A2239" s="234"/>
      <c r="B2239" s="235"/>
      <c r="C2239" s="235"/>
      <c r="D2239" s="3"/>
      <c r="E2239" s="235"/>
      <c r="F2239" s="236"/>
      <c r="G2239" s="215" t="str">
        <f>IF(AND($B2239="",OR(B2239&lt;&gt;"",C2239&lt;&gt;"",D2239&lt;&gt;"",E2239&lt;&gt;"",F2239&lt;&gt;"")),入力リスト!$K$34,IF($I2239=TRUE,入力リスト!$K$35,IF(J2239=FALSE,"「毎月の固定給与額」","")&amp;IF(AND(J2239=FALSE,OR(K2239=FALSE,L2239=FALSE,M2239=FALSE)),",","")&amp;IF(K2239=FALSE,"「賞与額等」","")&amp;IF(AND(K2239=FALSE,OR(L2239=FALSE,M2239=FALSE)),",","")&amp;IF(L2239=FALSE,"「残業手当」","")&amp;IF(AND(L2239=FALSE,M2239=FALSE),",","")&amp;IF(M2239=FALSE,"「残業時間」","")&amp;IF(OR(J2239=FALSE,K2239=FALSE,L2239=FALSE,M2239=FALSE),入力リスト!$K$36,"")&amp;IF(N2239,"",入力リスト!$K$37)))</f>
        <v/>
      </c>
      <c r="H2239" s="215"/>
      <c r="I2239" s="1" t="b">
        <f>IF(B2239="",FALSE,COUNTIF('従業員情報(給与以外)'!$A$4:$A$1000000,$B2239)=0)</f>
        <v>0</v>
      </c>
      <c r="J2239" s="8" t="b">
        <f t="shared" si="175"/>
        <v>1</v>
      </c>
      <c r="K2239" s="8" t="b">
        <f t="shared" si="176"/>
        <v>1</v>
      </c>
      <c r="L2239" s="8" t="b">
        <f t="shared" si="177"/>
        <v>1</v>
      </c>
      <c r="M2239" s="8" t="b">
        <f t="shared" si="178"/>
        <v>1</v>
      </c>
      <c r="N2239" s="1" t="b">
        <f t="shared" si="174"/>
        <v>1</v>
      </c>
      <c r="O2239" s="8" t="str">
        <f>IF(F2239="","",IF($F$2=入力リスト!$H$25,ROUNDDOWN(INT(F2239)+ROUNDDOWN((F2239-INT(F2239))*100,0)/60,2),F2239))</f>
        <v/>
      </c>
      <c r="P2239" s="7"/>
      <c r="Q2239" s="7"/>
    </row>
    <row r="2240" spans="1:17">
      <c r="A2240" s="234"/>
      <c r="B2240" s="235"/>
      <c r="C2240" s="235"/>
      <c r="D2240" s="3"/>
      <c r="E2240" s="235"/>
      <c r="F2240" s="236"/>
      <c r="G2240" s="215" t="str">
        <f>IF(AND($B2240="",OR(B2240&lt;&gt;"",C2240&lt;&gt;"",D2240&lt;&gt;"",E2240&lt;&gt;"",F2240&lt;&gt;"")),入力リスト!$K$34,IF($I2240=TRUE,入力リスト!$K$35,IF(J2240=FALSE,"「毎月の固定給与額」","")&amp;IF(AND(J2240=FALSE,OR(K2240=FALSE,L2240=FALSE,M2240=FALSE)),",","")&amp;IF(K2240=FALSE,"「賞与額等」","")&amp;IF(AND(K2240=FALSE,OR(L2240=FALSE,M2240=FALSE)),",","")&amp;IF(L2240=FALSE,"「残業手当」","")&amp;IF(AND(L2240=FALSE,M2240=FALSE),",","")&amp;IF(M2240=FALSE,"「残業時間」","")&amp;IF(OR(J2240=FALSE,K2240=FALSE,L2240=FALSE,M2240=FALSE),入力リスト!$K$36,"")&amp;IF(N2240,"",入力リスト!$K$37)))</f>
        <v/>
      </c>
      <c r="H2240" s="215"/>
      <c r="I2240" s="1" t="b">
        <f>IF(B2240="",FALSE,COUNTIF('従業員情報(給与以外)'!$A$4:$A$1000000,$B2240)=0)</f>
        <v>0</v>
      </c>
      <c r="J2240" s="8" t="b">
        <f t="shared" si="175"/>
        <v>1</v>
      </c>
      <c r="K2240" s="8" t="b">
        <f t="shared" si="176"/>
        <v>1</v>
      </c>
      <c r="L2240" s="8" t="b">
        <f t="shared" si="177"/>
        <v>1</v>
      </c>
      <c r="M2240" s="8" t="b">
        <f t="shared" si="178"/>
        <v>1</v>
      </c>
      <c r="N2240" s="1" t="b">
        <f t="shared" si="174"/>
        <v>1</v>
      </c>
      <c r="O2240" s="8" t="str">
        <f>IF(F2240="","",IF($F$2=入力リスト!$H$25,ROUNDDOWN(INT(F2240)+ROUNDDOWN((F2240-INT(F2240))*100,0)/60,2),F2240))</f>
        <v/>
      </c>
      <c r="P2240" s="7"/>
      <c r="Q2240" s="7"/>
    </row>
    <row r="2241" spans="1:17">
      <c r="A2241" s="234"/>
      <c r="B2241" s="235"/>
      <c r="C2241" s="235"/>
      <c r="D2241" s="3"/>
      <c r="E2241" s="235"/>
      <c r="F2241" s="236"/>
      <c r="G2241" s="215" t="str">
        <f>IF(AND($B2241="",OR(B2241&lt;&gt;"",C2241&lt;&gt;"",D2241&lt;&gt;"",E2241&lt;&gt;"",F2241&lt;&gt;"")),入力リスト!$K$34,IF($I2241=TRUE,入力リスト!$K$35,IF(J2241=FALSE,"「毎月の固定給与額」","")&amp;IF(AND(J2241=FALSE,OR(K2241=FALSE,L2241=FALSE,M2241=FALSE)),",","")&amp;IF(K2241=FALSE,"「賞与額等」","")&amp;IF(AND(K2241=FALSE,OR(L2241=FALSE,M2241=FALSE)),",","")&amp;IF(L2241=FALSE,"「残業手当」","")&amp;IF(AND(L2241=FALSE,M2241=FALSE),",","")&amp;IF(M2241=FALSE,"「残業時間」","")&amp;IF(OR(J2241=FALSE,K2241=FALSE,L2241=FALSE,M2241=FALSE),入力リスト!$K$36,"")&amp;IF(N2241,"",入力リスト!$K$37)))</f>
        <v/>
      </c>
      <c r="H2241" s="215"/>
      <c r="I2241" s="1" t="b">
        <f>IF(B2241="",FALSE,COUNTIF('従業員情報(給与以外)'!$A$4:$A$1000000,$B2241)=0)</f>
        <v>0</v>
      </c>
      <c r="J2241" s="8" t="b">
        <f t="shared" si="175"/>
        <v>1</v>
      </c>
      <c r="K2241" s="8" t="b">
        <f t="shared" si="176"/>
        <v>1</v>
      </c>
      <c r="L2241" s="8" t="b">
        <f t="shared" si="177"/>
        <v>1</v>
      </c>
      <c r="M2241" s="8" t="b">
        <f t="shared" si="178"/>
        <v>1</v>
      </c>
      <c r="N2241" s="1" t="b">
        <f t="shared" si="174"/>
        <v>1</v>
      </c>
      <c r="O2241" s="8" t="str">
        <f>IF(F2241="","",IF($F$2=入力リスト!$H$25,ROUNDDOWN(INT(F2241)+ROUNDDOWN((F2241-INT(F2241))*100,0)/60,2),F2241))</f>
        <v/>
      </c>
      <c r="P2241" s="7"/>
      <c r="Q2241" s="7"/>
    </row>
    <row r="2242" spans="1:17">
      <c r="A2242" s="234"/>
      <c r="B2242" s="235"/>
      <c r="C2242" s="235"/>
      <c r="D2242" s="3"/>
      <c r="E2242" s="235"/>
      <c r="F2242" s="236"/>
      <c r="G2242" s="215" t="str">
        <f>IF(AND($B2242="",OR(B2242&lt;&gt;"",C2242&lt;&gt;"",D2242&lt;&gt;"",E2242&lt;&gt;"",F2242&lt;&gt;"")),入力リスト!$K$34,IF($I2242=TRUE,入力リスト!$K$35,IF(J2242=FALSE,"「毎月の固定給与額」","")&amp;IF(AND(J2242=FALSE,OR(K2242=FALSE,L2242=FALSE,M2242=FALSE)),",","")&amp;IF(K2242=FALSE,"「賞与額等」","")&amp;IF(AND(K2242=FALSE,OR(L2242=FALSE,M2242=FALSE)),",","")&amp;IF(L2242=FALSE,"「残業手当」","")&amp;IF(AND(L2242=FALSE,M2242=FALSE),",","")&amp;IF(M2242=FALSE,"「残業時間」","")&amp;IF(OR(J2242=FALSE,K2242=FALSE,L2242=FALSE,M2242=FALSE),入力リスト!$K$36,"")&amp;IF(N2242,"",入力リスト!$K$37)))</f>
        <v/>
      </c>
      <c r="H2242" s="215"/>
      <c r="I2242" s="1" t="b">
        <f>IF(B2242="",FALSE,COUNTIF('従業員情報(給与以外)'!$A$4:$A$1000000,$B2242)=0)</f>
        <v>0</v>
      </c>
      <c r="J2242" s="8" t="b">
        <f t="shared" si="175"/>
        <v>1</v>
      </c>
      <c r="K2242" s="8" t="b">
        <f t="shared" si="176"/>
        <v>1</v>
      </c>
      <c r="L2242" s="8" t="b">
        <f t="shared" si="177"/>
        <v>1</v>
      </c>
      <c r="M2242" s="8" t="b">
        <f t="shared" si="178"/>
        <v>1</v>
      </c>
      <c r="N2242" s="1" t="b">
        <f t="shared" si="174"/>
        <v>1</v>
      </c>
      <c r="O2242" s="8" t="str">
        <f>IF(F2242="","",IF($F$2=入力リスト!$H$25,ROUNDDOWN(INT(F2242)+ROUNDDOWN((F2242-INT(F2242))*100,0)/60,2),F2242))</f>
        <v/>
      </c>
      <c r="P2242" s="7"/>
      <c r="Q2242" s="7"/>
    </row>
    <row r="2243" spans="1:17">
      <c r="A2243" s="234"/>
      <c r="B2243" s="235"/>
      <c r="C2243" s="235"/>
      <c r="D2243" s="3"/>
      <c r="E2243" s="235"/>
      <c r="F2243" s="236"/>
      <c r="G2243" s="215" t="str">
        <f>IF(AND($B2243="",OR(B2243&lt;&gt;"",C2243&lt;&gt;"",D2243&lt;&gt;"",E2243&lt;&gt;"",F2243&lt;&gt;"")),入力リスト!$K$34,IF($I2243=TRUE,入力リスト!$K$35,IF(J2243=FALSE,"「毎月の固定給与額」","")&amp;IF(AND(J2243=FALSE,OR(K2243=FALSE,L2243=FALSE,M2243=FALSE)),",","")&amp;IF(K2243=FALSE,"「賞与額等」","")&amp;IF(AND(K2243=FALSE,OR(L2243=FALSE,M2243=FALSE)),",","")&amp;IF(L2243=FALSE,"「残業手当」","")&amp;IF(AND(L2243=FALSE,M2243=FALSE),",","")&amp;IF(M2243=FALSE,"「残業時間」","")&amp;IF(OR(J2243=FALSE,K2243=FALSE,L2243=FALSE,M2243=FALSE),入力リスト!$K$36,"")&amp;IF(N2243,"",入力リスト!$K$37)))</f>
        <v/>
      </c>
      <c r="H2243" s="215"/>
      <c r="I2243" s="1" t="b">
        <f>IF(B2243="",FALSE,COUNTIF('従業員情報(給与以外)'!$A$4:$A$1000000,$B2243)=0)</f>
        <v>0</v>
      </c>
      <c r="J2243" s="8" t="b">
        <f t="shared" si="175"/>
        <v>1</v>
      </c>
      <c r="K2243" s="8" t="b">
        <f t="shared" si="176"/>
        <v>1</v>
      </c>
      <c r="L2243" s="8" t="b">
        <f t="shared" si="177"/>
        <v>1</v>
      </c>
      <c r="M2243" s="8" t="b">
        <f t="shared" si="178"/>
        <v>1</v>
      </c>
      <c r="N2243" s="1" t="b">
        <f t="shared" si="174"/>
        <v>1</v>
      </c>
      <c r="O2243" s="8" t="str">
        <f>IF(F2243="","",IF($F$2=入力リスト!$H$25,ROUNDDOWN(INT(F2243)+ROUNDDOWN((F2243-INT(F2243))*100,0)/60,2),F2243))</f>
        <v/>
      </c>
      <c r="P2243" s="7"/>
      <c r="Q2243" s="7"/>
    </row>
    <row r="2244" spans="1:17">
      <c r="A2244" s="234"/>
      <c r="B2244" s="235"/>
      <c r="C2244" s="235"/>
      <c r="D2244" s="3"/>
      <c r="E2244" s="235"/>
      <c r="F2244" s="236"/>
      <c r="G2244" s="215" t="str">
        <f>IF(AND($B2244="",OR(B2244&lt;&gt;"",C2244&lt;&gt;"",D2244&lt;&gt;"",E2244&lt;&gt;"",F2244&lt;&gt;"")),入力リスト!$K$34,IF($I2244=TRUE,入力リスト!$K$35,IF(J2244=FALSE,"「毎月の固定給与額」","")&amp;IF(AND(J2244=FALSE,OR(K2244=FALSE,L2244=FALSE,M2244=FALSE)),",","")&amp;IF(K2244=FALSE,"「賞与額等」","")&amp;IF(AND(K2244=FALSE,OR(L2244=FALSE,M2244=FALSE)),",","")&amp;IF(L2244=FALSE,"「残業手当」","")&amp;IF(AND(L2244=FALSE,M2244=FALSE),",","")&amp;IF(M2244=FALSE,"「残業時間」","")&amp;IF(OR(J2244=FALSE,K2244=FALSE,L2244=FALSE,M2244=FALSE),入力リスト!$K$36,"")&amp;IF(N2244,"",入力リスト!$K$37)))</f>
        <v/>
      </c>
      <c r="H2244" s="215"/>
      <c r="I2244" s="1" t="b">
        <f>IF(B2244="",FALSE,COUNTIF('従業員情報(給与以外)'!$A$4:$A$1000000,$B2244)=0)</f>
        <v>0</v>
      </c>
      <c r="J2244" s="8" t="b">
        <f t="shared" si="175"/>
        <v>1</v>
      </c>
      <c r="K2244" s="8" t="b">
        <f t="shared" si="176"/>
        <v>1</v>
      </c>
      <c r="L2244" s="8" t="b">
        <f t="shared" si="177"/>
        <v>1</v>
      </c>
      <c r="M2244" s="8" t="b">
        <f t="shared" si="178"/>
        <v>1</v>
      </c>
      <c r="N2244" s="1" t="b">
        <f t="shared" si="174"/>
        <v>1</v>
      </c>
      <c r="O2244" s="8" t="str">
        <f>IF(F2244="","",IF($F$2=入力リスト!$H$25,ROUNDDOWN(INT(F2244)+ROUNDDOWN((F2244-INT(F2244))*100,0)/60,2),F2244))</f>
        <v/>
      </c>
      <c r="P2244" s="7"/>
      <c r="Q2244" s="7"/>
    </row>
    <row r="2245" spans="1:17">
      <c r="A2245" s="234"/>
      <c r="B2245" s="235"/>
      <c r="C2245" s="235"/>
      <c r="D2245" s="3"/>
      <c r="E2245" s="235"/>
      <c r="F2245" s="236"/>
      <c r="G2245" s="215" t="str">
        <f>IF(AND($B2245="",OR(B2245&lt;&gt;"",C2245&lt;&gt;"",D2245&lt;&gt;"",E2245&lt;&gt;"",F2245&lt;&gt;"")),入力リスト!$K$34,IF($I2245=TRUE,入力リスト!$K$35,IF(J2245=FALSE,"「毎月の固定給与額」","")&amp;IF(AND(J2245=FALSE,OR(K2245=FALSE,L2245=FALSE,M2245=FALSE)),",","")&amp;IF(K2245=FALSE,"「賞与額等」","")&amp;IF(AND(K2245=FALSE,OR(L2245=FALSE,M2245=FALSE)),",","")&amp;IF(L2245=FALSE,"「残業手当」","")&amp;IF(AND(L2245=FALSE,M2245=FALSE),",","")&amp;IF(M2245=FALSE,"「残業時間」","")&amp;IF(OR(J2245=FALSE,K2245=FALSE,L2245=FALSE,M2245=FALSE),入力リスト!$K$36,"")&amp;IF(N2245,"",入力リスト!$K$37)))</f>
        <v/>
      </c>
      <c r="H2245" s="215"/>
      <c r="I2245" s="1" t="b">
        <f>IF(B2245="",FALSE,COUNTIF('従業員情報(給与以外)'!$A$4:$A$1000000,$B2245)=0)</f>
        <v>0</v>
      </c>
      <c r="J2245" s="8" t="b">
        <f t="shared" si="175"/>
        <v>1</v>
      </c>
      <c r="K2245" s="8" t="b">
        <f t="shared" si="176"/>
        <v>1</v>
      </c>
      <c r="L2245" s="8" t="b">
        <f t="shared" si="177"/>
        <v>1</v>
      </c>
      <c r="M2245" s="8" t="b">
        <f t="shared" si="178"/>
        <v>1</v>
      </c>
      <c r="N2245" s="1" t="b">
        <f t="shared" ref="N2245:N2308" si="179">IF($N$1,TRUE,IF($N$2,IF(F2245-INT(F2245)&lt;0.6,TRUE,FALSE),TRUE))</f>
        <v>1</v>
      </c>
      <c r="O2245" s="8" t="str">
        <f>IF(F2245="","",IF($F$2=入力リスト!$H$25,ROUNDDOWN(INT(F2245)+ROUNDDOWN((F2245-INT(F2245))*100,0)/60,2),F2245))</f>
        <v/>
      </c>
      <c r="P2245" s="7"/>
      <c r="Q2245" s="7"/>
    </row>
    <row r="2246" spans="1:17">
      <c r="A2246" s="234"/>
      <c r="B2246" s="235"/>
      <c r="C2246" s="235"/>
      <c r="D2246" s="3"/>
      <c r="E2246" s="235"/>
      <c r="F2246" s="236"/>
      <c r="G2246" s="215" t="str">
        <f>IF(AND($B2246="",OR(B2246&lt;&gt;"",C2246&lt;&gt;"",D2246&lt;&gt;"",E2246&lt;&gt;"",F2246&lt;&gt;"")),入力リスト!$K$34,IF($I2246=TRUE,入力リスト!$K$35,IF(J2246=FALSE,"「毎月の固定給与額」","")&amp;IF(AND(J2246=FALSE,OR(K2246=FALSE,L2246=FALSE,M2246=FALSE)),",","")&amp;IF(K2246=FALSE,"「賞与額等」","")&amp;IF(AND(K2246=FALSE,OR(L2246=FALSE,M2246=FALSE)),",","")&amp;IF(L2246=FALSE,"「残業手当」","")&amp;IF(AND(L2246=FALSE,M2246=FALSE),",","")&amp;IF(M2246=FALSE,"「残業時間」","")&amp;IF(OR(J2246=FALSE,K2246=FALSE,L2246=FALSE,M2246=FALSE),入力リスト!$K$36,"")&amp;IF(N2246,"",入力リスト!$K$37)))</f>
        <v/>
      </c>
      <c r="H2246" s="215"/>
      <c r="I2246" s="1" t="b">
        <f>IF(B2246="",FALSE,COUNTIF('従業員情報(給与以外)'!$A$4:$A$1000000,$B2246)=0)</f>
        <v>0</v>
      </c>
      <c r="J2246" s="8" t="b">
        <f t="shared" si="175"/>
        <v>1</v>
      </c>
      <c r="K2246" s="8" t="b">
        <f t="shared" si="176"/>
        <v>1</v>
      </c>
      <c r="L2246" s="8" t="b">
        <f t="shared" si="177"/>
        <v>1</v>
      </c>
      <c r="M2246" s="8" t="b">
        <f t="shared" si="178"/>
        <v>1</v>
      </c>
      <c r="N2246" s="1" t="b">
        <f t="shared" si="179"/>
        <v>1</v>
      </c>
      <c r="O2246" s="8" t="str">
        <f>IF(F2246="","",IF($F$2=入力リスト!$H$25,ROUNDDOWN(INT(F2246)+ROUNDDOWN((F2246-INT(F2246))*100,0)/60,2),F2246))</f>
        <v/>
      </c>
      <c r="P2246" s="7"/>
      <c r="Q2246" s="7"/>
    </row>
    <row r="2247" spans="1:17">
      <c r="A2247" s="234"/>
      <c r="B2247" s="235"/>
      <c r="C2247" s="235"/>
      <c r="D2247" s="3"/>
      <c r="E2247" s="235"/>
      <c r="F2247" s="236"/>
      <c r="G2247" s="215" t="str">
        <f>IF(AND($B2247="",OR(B2247&lt;&gt;"",C2247&lt;&gt;"",D2247&lt;&gt;"",E2247&lt;&gt;"",F2247&lt;&gt;"")),入力リスト!$K$34,IF($I2247=TRUE,入力リスト!$K$35,IF(J2247=FALSE,"「毎月の固定給与額」","")&amp;IF(AND(J2247=FALSE,OR(K2247=FALSE,L2247=FALSE,M2247=FALSE)),",","")&amp;IF(K2247=FALSE,"「賞与額等」","")&amp;IF(AND(K2247=FALSE,OR(L2247=FALSE,M2247=FALSE)),",","")&amp;IF(L2247=FALSE,"「残業手当」","")&amp;IF(AND(L2247=FALSE,M2247=FALSE),",","")&amp;IF(M2247=FALSE,"「残業時間」","")&amp;IF(OR(J2247=FALSE,K2247=FALSE,L2247=FALSE,M2247=FALSE),入力リスト!$K$36,"")&amp;IF(N2247,"",入力リスト!$K$37)))</f>
        <v/>
      </c>
      <c r="H2247" s="215"/>
      <c r="I2247" s="1" t="b">
        <f>IF(B2247="",FALSE,COUNTIF('従業員情報(給与以外)'!$A$4:$A$1000000,$B2247)=0)</f>
        <v>0</v>
      </c>
      <c r="J2247" s="8" t="b">
        <f t="shared" si="175"/>
        <v>1</v>
      </c>
      <c r="K2247" s="8" t="b">
        <f t="shared" si="176"/>
        <v>1</v>
      </c>
      <c r="L2247" s="8" t="b">
        <f t="shared" si="177"/>
        <v>1</v>
      </c>
      <c r="M2247" s="8" t="b">
        <f t="shared" si="178"/>
        <v>1</v>
      </c>
      <c r="N2247" s="1" t="b">
        <f t="shared" si="179"/>
        <v>1</v>
      </c>
      <c r="O2247" s="8" t="str">
        <f>IF(F2247="","",IF($F$2=入力リスト!$H$25,ROUNDDOWN(INT(F2247)+ROUNDDOWN((F2247-INT(F2247))*100,0)/60,2),F2247))</f>
        <v/>
      </c>
      <c r="P2247" s="7"/>
      <c r="Q2247" s="7"/>
    </row>
    <row r="2248" spans="1:17">
      <c r="A2248" s="234"/>
      <c r="B2248" s="235"/>
      <c r="C2248" s="235"/>
      <c r="D2248" s="3"/>
      <c r="E2248" s="235"/>
      <c r="F2248" s="236"/>
      <c r="G2248" s="215" t="str">
        <f>IF(AND($B2248="",OR(B2248&lt;&gt;"",C2248&lt;&gt;"",D2248&lt;&gt;"",E2248&lt;&gt;"",F2248&lt;&gt;"")),入力リスト!$K$34,IF($I2248=TRUE,入力リスト!$K$35,IF(J2248=FALSE,"「毎月の固定給与額」","")&amp;IF(AND(J2248=FALSE,OR(K2248=FALSE,L2248=FALSE,M2248=FALSE)),",","")&amp;IF(K2248=FALSE,"「賞与額等」","")&amp;IF(AND(K2248=FALSE,OR(L2248=FALSE,M2248=FALSE)),",","")&amp;IF(L2248=FALSE,"「残業手当」","")&amp;IF(AND(L2248=FALSE,M2248=FALSE),",","")&amp;IF(M2248=FALSE,"「残業時間」","")&amp;IF(OR(J2248=FALSE,K2248=FALSE,L2248=FALSE,M2248=FALSE),入力リスト!$K$36,"")&amp;IF(N2248,"",入力リスト!$K$37)))</f>
        <v/>
      </c>
      <c r="H2248" s="215"/>
      <c r="I2248" s="1" t="b">
        <f>IF(B2248="",FALSE,COUNTIF('従業員情報(給与以外)'!$A$4:$A$1000000,$B2248)=0)</f>
        <v>0</v>
      </c>
      <c r="J2248" s="8" t="b">
        <f t="shared" si="175"/>
        <v>1</v>
      </c>
      <c r="K2248" s="8" t="b">
        <f t="shared" si="176"/>
        <v>1</v>
      </c>
      <c r="L2248" s="8" t="b">
        <f t="shared" si="177"/>
        <v>1</v>
      </c>
      <c r="M2248" s="8" t="b">
        <f t="shared" si="178"/>
        <v>1</v>
      </c>
      <c r="N2248" s="1" t="b">
        <f t="shared" si="179"/>
        <v>1</v>
      </c>
      <c r="O2248" s="8" t="str">
        <f>IF(F2248="","",IF($F$2=入力リスト!$H$25,ROUNDDOWN(INT(F2248)+ROUNDDOWN((F2248-INT(F2248))*100,0)/60,2),F2248))</f>
        <v/>
      </c>
      <c r="P2248" s="7"/>
      <c r="Q2248" s="7"/>
    </row>
    <row r="2249" spans="1:17">
      <c r="A2249" s="234"/>
      <c r="B2249" s="235"/>
      <c r="C2249" s="235"/>
      <c r="D2249" s="3"/>
      <c r="E2249" s="235"/>
      <c r="F2249" s="236"/>
      <c r="G2249" s="215" t="str">
        <f>IF(AND($B2249="",OR(B2249&lt;&gt;"",C2249&lt;&gt;"",D2249&lt;&gt;"",E2249&lt;&gt;"",F2249&lt;&gt;"")),入力リスト!$K$34,IF($I2249=TRUE,入力リスト!$K$35,IF(J2249=FALSE,"「毎月の固定給与額」","")&amp;IF(AND(J2249=FALSE,OR(K2249=FALSE,L2249=FALSE,M2249=FALSE)),",","")&amp;IF(K2249=FALSE,"「賞与額等」","")&amp;IF(AND(K2249=FALSE,OR(L2249=FALSE,M2249=FALSE)),",","")&amp;IF(L2249=FALSE,"「残業手当」","")&amp;IF(AND(L2249=FALSE,M2249=FALSE),",","")&amp;IF(M2249=FALSE,"「残業時間」","")&amp;IF(OR(J2249=FALSE,K2249=FALSE,L2249=FALSE,M2249=FALSE),入力リスト!$K$36,"")&amp;IF(N2249,"",入力リスト!$K$37)))</f>
        <v/>
      </c>
      <c r="H2249" s="215"/>
      <c r="I2249" s="1" t="b">
        <f>IF(B2249="",FALSE,COUNTIF('従業員情報(給与以外)'!$A$4:$A$1000000,$B2249)=0)</f>
        <v>0</v>
      </c>
      <c r="J2249" s="8" t="b">
        <f t="shared" si="175"/>
        <v>1</v>
      </c>
      <c r="K2249" s="8" t="b">
        <f t="shared" si="176"/>
        <v>1</v>
      </c>
      <c r="L2249" s="8" t="b">
        <f t="shared" si="177"/>
        <v>1</v>
      </c>
      <c r="M2249" s="8" t="b">
        <f t="shared" si="178"/>
        <v>1</v>
      </c>
      <c r="N2249" s="1" t="b">
        <f t="shared" si="179"/>
        <v>1</v>
      </c>
      <c r="O2249" s="8" t="str">
        <f>IF(F2249="","",IF($F$2=入力リスト!$H$25,ROUNDDOWN(INT(F2249)+ROUNDDOWN((F2249-INT(F2249))*100,0)/60,2),F2249))</f>
        <v/>
      </c>
      <c r="P2249" s="7"/>
      <c r="Q2249" s="7"/>
    </row>
    <row r="2250" spans="1:17">
      <c r="A2250" s="234"/>
      <c r="B2250" s="235"/>
      <c r="C2250" s="235"/>
      <c r="D2250" s="3"/>
      <c r="E2250" s="235"/>
      <c r="F2250" s="236"/>
      <c r="G2250" s="215" t="str">
        <f>IF(AND($B2250="",OR(B2250&lt;&gt;"",C2250&lt;&gt;"",D2250&lt;&gt;"",E2250&lt;&gt;"",F2250&lt;&gt;"")),入力リスト!$K$34,IF($I2250=TRUE,入力リスト!$K$35,IF(J2250=FALSE,"「毎月の固定給与額」","")&amp;IF(AND(J2250=FALSE,OR(K2250=FALSE,L2250=FALSE,M2250=FALSE)),",","")&amp;IF(K2250=FALSE,"「賞与額等」","")&amp;IF(AND(K2250=FALSE,OR(L2250=FALSE,M2250=FALSE)),",","")&amp;IF(L2250=FALSE,"「残業手当」","")&amp;IF(AND(L2250=FALSE,M2250=FALSE),",","")&amp;IF(M2250=FALSE,"「残業時間」","")&amp;IF(OR(J2250=FALSE,K2250=FALSE,L2250=FALSE,M2250=FALSE),入力リスト!$K$36,"")&amp;IF(N2250,"",入力リスト!$K$37)))</f>
        <v/>
      </c>
      <c r="H2250" s="215"/>
      <c r="I2250" s="1" t="b">
        <f>IF(B2250="",FALSE,COUNTIF('従業員情報(給与以外)'!$A$4:$A$1000000,$B2250)=0)</f>
        <v>0</v>
      </c>
      <c r="J2250" s="8" t="b">
        <f t="shared" si="175"/>
        <v>1</v>
      </c>
      <c r="K2250" s="8" t="b">
        <f t="shared" si="176"/>
        <v>1</v>
      </c>
      <c r="L2250" s="8" t="b">
        <f t="shared" si="177"/>
        <v>1</v>
      </c>
      <c r="M2250" s="8" t="b">
        <f t="shared" si="178"/>
        <v>1</v>
      </c>
      <c r="N2250" s="1" t="b">
        <f t="shared" si="179"/>
        <v>1</v>
      </c>
      <c r="O2250" s="8" t="str">
        <f>IF(F2250="","",IF($F$2=入力リスト!$H$25,ROUNDDOWN(INT(F2250)+ROUNDDOWN((F2250-INT(F2250))*100,0)/60,2),F2250))</f>
        <v/>
      </c>
      <c r="P2250" s="7"/>
      <c r="Q2250" s="7"/>
    </row>
    <row r="2251" spans="1:17">
      <c r="A2251" s="234"/>
      <c r="B2251" s="235"/>
      <c r="C2251" s="235"/>
      <c r="D2251" s="3"/>
      <c r="E2251" s="235"/>
      <c r="F2251" s="236"/>
      <c r="G2251" s="215" t="str">
        <f>IF(AND($B2251="",OR(B2251&lt;&gt;"",C2251&lt;&gt;"",D2251&lt;&gt;"",E2251&lt;&gt;"",F2251&lt;&gt;"")),入力リスト!$K$34,IF($I2251=TRUE,入力リスト!$K$35,IF(J2251=FALSE,"「毎月の固定給与額」","")&amp;IF(AND(J2251=FALSE,OR(K2251=FALSE,L2251=FALSE,M2251=FALSE)),",","")&amp;IF(K2251=FALSE,"「賞与額等」","")&amp;IF(AND(K2251=FALSE,OR(L2251=FALSE,M2251=FALSE)),",","")&amp;IF(L2251=FALSE,"「残業手当」","")&amp;IF(AND(L2251=FALSE,M2251=FALSE),",","")&amp;IF(M2251=FALSE,"「残業時間」","")&amp;IF(OR(J2251=FALSE,K2251=FALSE,L2251=FALSE,M2251=FALSE),入力リスト!$K$36,"")&amp;IF(N2251,"",入力リスト!$K$37)))</f>
        <v/>
      </c>
      <c r="H2251" s="215"/>
      <c r="I2251" s="1" t="b">
        <f>IF(B2251="",FALSE,COUNTIF('従業員情報(給与以外)'!$A$4:$A$1000000,$B2251)=0)</f>
        <v>0</v>
      </c>
      <c r="J2251" s="8" t="b">
        <f t="shared" si="175"/>
        <v>1</v>
      </c>
      <c r="K2251" s="8" t="b">
        <f t="shared" si="176"/>
        <v>1</v>
      </c>
      <c r="L2251" s="8" t="b">
        <f t="shared" si="177"/>
        <v>1</v>
      </c>
      <c r="M2251" s="8" t="b">
        <f t="shared" si="178"/>
        <v>1</v>
      </c>
      <c r="N2251" s="1" t="b">
        <f t="shared" si="179"/>
        <v>1</v>
      </c>
      <c r="O2251" s="8" t="str">
        <f>IF(F2251="","",IF($F$2=入力リスト!$H$25,ROUNDDOWN(INT(F2251)+ROUNDDOWN((F2251-INT(F2251))*100,0)/60,2),F2251))</f>
        <v/>
      </c>
      <c r="P2251" s="7"/>
      <c r="Q2251" s="7"/>
    </row>
    <row r="2252" spans="1:17">
      <c r="A2252" s="234"/>
      <c r="B2252" s="235"/>
      <c r="C2252" s="235"/>
      <c r="D2252" s="3"/>
      <c r="E2252" s="235"/>
      <c r="F2252" s="236"/>
      <c r="G2252" s="215" t="str">
        <f>IF(AND($B2252="",OR(B2252&lt;&gt;"",C2252&lt;&gt;"",D2252&lt;&gt;"",E2252&lt;&gt;"",F2252&lt;&gt;"")),入力リスト!$K$34,IF($I2252=TRUE,入力リスト!$K$35,IF(J2252=FALSE,"「毎月の固定給与額」","")&amp;IF(AND(J2252=FALSE,OR(K2252=FALSE,L2252=FALSE,M2252=FALSE)),",","")&amp;IF(K2252=FALSE,"「賞与額等」","")&amp;IF(AND(K2252=FALSE,OR(L2252=FALSE,M2252=FALSE)),",","")&amp;IF(L2252=FALSE,"「残業手当」","")&amp;IF(AND(L2252=FALSE,M2252=FALSE),",","")&amp;IF(M2252=FALSE,"「残業時間」","")&amp;IF(OR(J2252=FALSE,K2252=FALSE,L2252=FALSE,M2252=FALSE),入力リスト!$K$36,"")&amp;IF(N2252,"",入力リスト!$K$37)))</f>
        <v/>
      </c>
      <c r="H2252" s="215"/>
      <c r="I2252" s="1" t="b">
        <f>IF(B2252="",FALSE,COUNTIF('従業員情報(給与以外)'!$A$4:$A$1000000,$B2252)=0)</f>
        <v>0</v>
      </c>
      <c r="J2252" s="8" t="b">
        <f t="shared" si="175"/>
        <v>1</v>
      </c>
      <c r="K2252" s="8" t="b">
        <f t="shared" si="176"/>
        <v>1</v>
      </c>
      <c r="L2252" s="8" t="b">
        <f t="shared" si="177"/>
        <v>1</v>
      </c>
      <c r="M2252" s="8" t="b">
        <f t="shared" si="178"/>
        <v>1</v>
      </c>
      <c r="N2252" s="1" t="b">
        <f t="shared" si="179"/>
        <v>1</v>
      </c>
      <c r="O2252" s="8" t="str">
        <f>IF(F2252="","",IF($F$2=入力リスト!$H$25,ROUNDDOWN(INT(F2252)+ROUNDDOWN((F2252-INT(F2252))*100,0)/60,2),F2252))</f>
        <v/>
      </c>
      <c r="P2252" s="7"/>
      <c r="Q2252" s="7"/>
    </row>
    <row r="2253" spans="1:17">
      <c r="A2253" s="234"/>
      <c r="B2253" s="235"/>
      <c r="C2253" s="235"/>
      <c r="D2253" s="3"/>
      <c r="E2253" s="235"/>
      <c r="F2253" s="236"/>
      <c r="G2253" s="215" t="str">
        <f>IF(AND($B2253="",OR(B2253&lt;&gt;"",C2253&lt;&gt;"",D2253&lt;&gt;"",E2253&lt;&gt;"",F2253&lt;&gt;"")),入力リスト!$K$34,IF($I2253=TRUE,入力リスト!$K$35,IF(J2253=FALSE,"「毎月の固定給与額」","")&amp;IF(AND(J2253=FALSE,OR(K2253=FALSE,L2253=FALSE,M2253=FALSE)),",","")&amp;IF(K2253=FALSE,"「賞与額等」","")&amp;IF(AND(K2253=FALSE,OR(L2253=FALSE,M2253=FALSE)),",","")&amp;IF(L2253=FALSE,"「残業手当」","")&amp;IF(AND(L2253=FALSE,M2253=FALSE),",","")&amp;IF(M2253=FALSE,"「残業時間」","")&amp;IF(OR(J2253=FALSE,K2253=FALSE,L2253=FALSE,M2253=FALSE),入力リスト!$K$36,"")&amp;IF(N2253,"",入力リスト!$K$37)))</f>
        <v/>
      </c>
      <c r="H2253" s="215"/>
      <c r="I2253" s="1" t="b">
        <f>IF(B2253="",FALSE,COUNTIF('従業員情報(給与以外)'!$A$4:$A$1000000,$B2253)=0)</f>
        <v>0</v>
      </c>
      <c r="J2253" s="8" t="b">
        <f t="shared" si="175"/>
        <v>1</v>
      </c>
      <c r="K2253" s="8" t="b">
        <f t="shared" si="176"/>
        <v>1</v>
      </c>
      <c r="L2253" s="8" t="b">
        <f t="shared" si="177"/>
        <v>1</v>
      </c>
      <c r="M2253" s="8" t="b">
        <f t="shared" si="178"/>
        <v>1</v>
      </c>
      <c r="N2253" s="1" t="b">
        <f t="shared" si="179"/>
        <v>1</v>
      </c>
      <c r="O2253" s="8" t="str">
        <f>IF(F2253="","",IF($F$2=入力リスト!$H$25,ROUNDDOWN(INT(F2253)+ROUNDDOWN((F2253-INT(F2253))*100,0)/60,2),F2253))</f>
        <v/>
      </c>
      <c r="P2253" s="7"/>
      <c r="Q2253" s="7"/>
    </row>
    <row r="2254" spans="1:17">
      <c r="A2254" s="234"/>
      <c r="B2254" s="235"/>
      <c r="C2254" s="235"/>
      <c r="D2254" s="3"/>
      <c r="E2254" s="235"/>
      <c r="F2254" s="236"/>
      <c r="G2254" s="215" t="str">
        <f>IF(AND($B2254="",OR(B2254&lt;&gt;"",C2254&lt;&gt;"",D2254&lt;&gt;"",E2254&lt;&gt;"",F2254&lt;&gt;"")),入力リスト!$K$34,IF($I2254=TRUE,入力リスト!$K$35,IF(J2254=FALSE,"「毎月の固定給与額」","")&amp;IF(AND(J2254=FALSE,OR(K2254=FALSE,L2254=FALSE,M2254=FALSE)),",","")&amp;IF(K2254=FALSE,"「賞与額等」","")&amp;IF(AND(K2254=FALSE,OR(L2254=FALSE,M2254=FALSE)),",","")&amp;IF(L2254=FALSE,"「残業手当」","")&amp;IF(AND(L2254=FALSE,M2254=FALSE),",","")&amp;IF(M2254=FALSE,"「残業時間」","")&amp;IF(OR(J2254=FALSE,K2254=FALSE,L2254=FALSE,M2254=FALSE),入力リスト!$K$36,"")&amp;IF(N2254,"",入力リスト!$K$37)))</f>
        <v/>
      </c>
      <c r="H2254" s="215"/>
      <c r="I2254" s="1" t="b">
        <f>IF(B2254="",FALSE,COUNTIF('従業員情報(給与以外)'!$A$4:$A$1000000,$B2254)=0)</f>
        <v>0</v>
      </c>
      <c r="J2254" s="8" t="b">
        <f t="shared" si="175"/>
        <v>1</v>
      </c>
      <c r="K2254" s="8" t="b">
        <f t="shared" si="176"/>
        <v>1</v>
      </c>
      <c r="L2254" s="8" t="b">
        <f t="shared" si="177"/>
        <v>1</v>
      </c>
      <c r="M2254" s="8" t="b">
        <f t="shared" si="178"/>
        <v>1</v>
      </c>
      <c r="N2254" s="1" t="b">
        <f t="shared" si="179"/>
        <v>1</v>
      </c>
      <c r="O2254" s="8" t="str">
        <f>IF(F2254="","",IF($F$2=入力リスト!$H$25,ROUNDDOWN(INT(F2254)+ROUNDDOWN((F2254-INT(F2254))*100,0)/60,2),F2254))</f>
        <v/>
      </c>
      <c r="P2254" s="7"/>
      <c r="Q2254" s="7"/>
    </row>
    <row r="2255" spans="1:17">
      <c r="A2255" s="234"/>
      <c r="B2255" s="235"/>
      <c r="C2255" s="235"/>
      <c r="D2255" s="3"/>
      <c r="E2255" s="235"/>
      <c r="F2255" s="236"/>
      <c r="G2255" s="215" t="str">
        <f>IF(AND($B2255="",OR(B2255&lt;&gt;"",C2255&lt;&gt;"",D2255&lt;&gt;"",E2255&lt;&gt;"",F2255&lt;&gt;"")),入力リスト!$K$34,IF($I2255=TRUE,入力リスト!$K$35,IF(J2255=FALSE,"「毎月の固定給与額」","")&amp;IF(AND(J2255=FALSE,OR(K2255=FALSE,L2255=FALSE,M2255=FALSE)),",","")&amp;IF(K2255=FALSE,"「賞与額等」","")&amp;IF(AND(K2255=FALSE,OR(L2255=FALSE,M2255=FALSE)),",","")&amp;IF(L2255=FALSE,"「残業手当」","")&amp;IF(AND(L2255=FALSE,M2255=FALSE),",","")&amp;IF(M2255=FALSE,"「残業時間」","")&amp;IF(OR(J2255=FALSE,K2255=FALSE,L2255=FALSE,M2255=FALSE),入力リスト!$K$36,"")&amp;IF(N2255,"",入力リスト!$K$37)))</f>
        <v/>
      </c>
      <c r="H2255" s="215"/>
      <c r="I2255" s="1" t="b">
        <f>IF(B2255="",FALSE,COUNTIF('従業員情報(給与以外)'!$A$4:$A$1000000,$B2255)=0)</f>
        <v>0</v>
      </c>
      <c r="J2255" s="8" t="b">
        <f t="shared" si="175"/>
        <v>1</v>
      </c>
      <c r="K2255" s="8" t="b">
        <f t="shared" si="176"/>
        <v>1</v>
      </c>
      <c r="L2255" s="8" t="b">
        <f t="shared" si="177"/>
        <v>1</v>
      </c>
      <c r="M2255" s="8" t="b">
        <f t="shared" si="178"/>
        <v>1</v>
      </c>
      <c r="N2255" s="1" t="b">
        <f t="shared" si="179"/>
        <v>1</v>
      </c>
      <c r="O2255" s="8" t="str">
        <f>IF(F2255="","",IF($F$2=入力リスト!$H$25,ROUNDDOWN(INT(F2255)+ROUNDDOWN((F2255-INT(F2255))*100,0)/60,2),F2255))</f>
        <v/>
      </c>
      <c r="P2255" s="7"/>
      <c r="Q2255" s="7"/>
    </row>
    <row r="2256" spans="1:17">
      <c r="A2256" s="234"/>
      <c r="B2256" s="235"/>
      <c r="C2256" s="235"/>
      <c r="D2256" s="3"/>
      <c r="E2256" s="235"/>
      <c r="F2256" s="236"/>
      <c r="G2256" s="215" t="str">
        <f>IF(AND($B2256="",OR(B2256&lt;&gt;"",C2256&lt;&gt;"",D2256&lt;&gt;"",E2256&lt;&gt;"",F2256&lt;&gt;"")),入力リスト!$K$34,IF($I2256=TRUE,入力リスト!$K$35,IF(J2256=FALSE,"「毎月の固定給与額」","")&amp;IF(AND(J2256=FALSE,OR(K2256=FALSE,L2256=FALSE,M2256=FALSE)),",","")&amp;IF(K2256=FALSE,"「賞与額等」","")&amp;IF(AND(K2256=FALSE,OR(L2256=FALSE,M2256=FALSE)),",","")&amp;IF(L2256=FALSE,"「残業手当」","")&amp;IF(AND(L2256=FALSE,M2256=FALSE),",","")&amp;IF(M2256=FALSE,"「残業時間」","")&amp;IF(OR(J2256=FALSE,K2256=FALSE,L2256=FALSE,M2256=FALSE),入力リスト!$K$36,"")&amp;IF(N2256,"",入力リスト!$K$37)))</f>
        <v/>
      </c>
      <c r="H2256" s="215"/>
      <c r="I2256" s="1" t="b">
        <f>IF(B2256="",FALSE,COUNTIF('従業員情報(給与以外)'!$A$4:$A$1000000,$B2256)=0)</f>
        <v>0</v>
      </c>
      <c r="J2256" s="8" t="b">
        <f t="shared" si="175"/>
        <v>1</v>
      </c>
      <c r="K2256" s="8" t="b">
        <f t="shared" si="176"/>
        <v>1</v>
      </c>
      <c r="L2256" s="8" t="b">
        <f t="shared" si="177"/>
        <v>1</v>
      </c>
      <c r="M2256" s="8" t="b">
        <f t="shared" si="178"/>
        <v>1</v>
      </c>
      <c r="N2256" s="1" t="b">
        <f t="shared" si="179"/>
        <v>1</v>
      </c>
      <c r="O2256" s="8" t="str">
        <f>IF(F2256="","",IF($F$2=入力リスト!$H$25,ROUNDDOWN(INT(F2256)+ROUNDDOWN((F2256-INT(F2256))*100,0)/60,2),F2256))</f>
        <v/>
      </c>
      <c r="P2256" s="7"/>
      <c r="Q2256" s="7"/>
    </row>
    <row r="2257" spans="1:17">
      <c r="A2257" s="234"/>
      <c r="B2257" s="235"/>
      <c r="C2257" s="235"/>
      <c r="D2257" s="3"/>
      <c r="E2257" s="235"/>
      <c r="F2257" s="236"/>
      <c r="G2257" s="215" t="str">
        <f>IF(AND($B2257="",OR(B2257&lt;&gt;"",C2257&lt;&gt;"",D2257&lt;&gt;"",E2257&lt;&gt;"",F2257&lt;&gt;"")),入力リスト!$K$34,IF($I2257=TRUE,入力リスト!$K$35,IF(J2257=FALSE,"「毎月の固定給与額」","")&amp;IF(AND(J2257=FALSE,OR(K2257=FALSE,L2257=FALSE,M2257=FALSE)),",","")&amp;IF(K2257=FALSE,"「賞与額等」","")&amp;IF(AND(K2257=FALSE,OR(L2257=FALSE,M2257=FALSE)),",","")&amp;IF(L2257=FALSE,"「残業手当」","")&amp;IF(AND(L2257=FALSE,M2257=FALSE),",","")&amp;IF(M2257=FALSE,"「残業時間」","")&amp;IF(OR(J2257=FALSE,K2257=FALSE,L2257=FALSE,M2257=FALSE),入力リスト!$K$36,"")&amp;IF(N2257,"",入力リスト!$K$37)))</f>
        <v/>
      </c>
      <c r="H2257" s="215"/>
      <c r="I2257" s="1" t="b">
        <f>IF(B2257="",FALSE,COUNTIF('従業員情報(給与以外)'!$A$4:$A$1000000,$B2257)=0)</f>
        <v>0</v>
      </c>
      <c r="J2257" s="8" t="b">
        <f t="shared" si="175"/>
        <v>1</v>
      </c>
      <c r="K2257" s="8" t="b">
        <f t="shared" si="176"/>
        <v>1</v>
      </c>
      <c r="L2257" s="8" t="b">
        <f t="shared" si="177"/>
        <v>1</v>
      </c>
      <c r="M2257" s="8" t="b">
        <f t="shared" si="178"/>
        <v>1</v>
      </c>
      <c r="N2257" s="1" t="b">
        <f t="shared" si="179"/>
        <v>1</v>
      </c>
      <c r="O2257" s="8" t="str">
        <f>IF(F2257="","",IF($F$2=入力リスト!$H$25,ROUNDDOWN(INT(F2257)+ROUNDDOWN((F2257-INT(F2257))*100,0)/60,2),F2257))</f>
        <v/>
      </c>
      <c r="P2257" s="7"/>
      <c r="Q2257" s="7"/>
    </row>
    <row r="2258" spans="1:17">
      <c r="A2258" s="234"/>
      <c r="B2258" s="235"/>
      <c r="C2258" s="235"/>
      <c r="D2258" s="3"/>
      <c r="E2258" s="235"/>
      <c r="F2258" s="236"/>
      <c r="G2258" s="215" t="str">
        <f>IF(AND($B2258="",OR(B2258&lt;&gt;"",C2258&lt;&gt;"",D2258&lt;&gt;"",E2258&lt;&gt;"",F2258&lt;&gt;"")),入力リスト!$K$34,IF($I2258=TRUE,入力リスト!$K$35,IF(J2258=FALSE,"「毎月の固定給与額」","")&amp;IF(AND(J2258=FALSE,OR(K2258=FALSE,L2258=FALSE,M2258=FALSE)),",","")&amp;IF(K2258=FALSE,"「賞与額等」","")&amp;IF(AND(K2258=FALSE,OR(L2258=FALSE,M2258=FALSE)),",","")&amp;IF(L2258=FALSE,"「残業手当」","")&amp;IF(AND(L2258=FALSE,M2258=FALSE),",","")&amp;IF(M2258=FALSE,"「残業時間」","")&amp;IF(OR(J2258=FALSE,K2258=FALSE,L2258=FALSE,M2258=FALSE),入力リスト!$K$36,"")&amp;IF(N2258,"",入力リスト!$K$37)))</f>
        <v/>
      </c>
      <c r="H2258" s="215"/>
      <c r="I2258" s="1" t="b">
        <f>IF(B2258="",FALSE,COUNTIF('従業員情報(給与以外)'!$A$4:$A$1000000,$B2258)=0)</f>
        <v>0</v>
      </c>
      <c r="J2258" s="8" t="b">
        <f t="shared" si="175"/>
        <v>1</v>
      </c>
      <c r="K2258" s="8" t="b">
        <f t="shared" si="176"/>
        <v>1</v>
      </c>
      <c r="L2258" s="8" t="b">
        <f t="shared" si="177"/>
        <v>1</v>
      </c>
      <c r="M2258" s="8" t="b">
        <f t="shared" si="178"/>
        <v>1</v>
      </c>
      <c r="N2258" s="1" t="b">
        <f t="shared" si="179"/>
        <v>1</v>
      </c>
      <c r="O2258" s="8" t="str">
        <f>IF(F2258="","",IF($F$2=入力リスト!$H$25,ROUNDDOWN(INT(F2258)+ROUNDDOWN((F2258-INT(F2258))*100,0)/60,2),F2258))</f>
        <v/>
      </c>
      <c r="P2258" s="7"/>
      <c r="Q2258" s="7"/>
    </row>
    <row r="2259" spans="1:17">
      <c r="A2259" s="234"/>
      <c r="B2259" s="235"/>
      <c r="C2259" s="235"/>
      <c r="D2259" s="3"/>
      <c r="E2259" s="235"/>
      <c r="F2259" s="236"/>
      <c r="G2259" s="215" t="str">
        <f>IF(AND($B2259="",OR(B2259&lt;&gt;"",C2259&lt;&gt;"",D2259&lt;&gt;"",E2259&lt;&gt;"",F2259&lt;&gt;"")),入力リスト!$K$34,IF($I2259=TRUE,入力リスト!$K$35,IF(J2259=FALSE,"「毎月の固定給与額」","")&amp;IF(AND(J2259=FALSE,OR(K2259=FALSE,L2259=FALSE,M2259=FALSE)),",","")&amp;IF(K2259=FALSE,"「賞与額等」","")&amp;IF(AND(K2259=FALSE,OR(L2259=FALSE,M2259=FALSE)),",","")&amp;IF(L2259=FALSE,"「残業手当」","")&amp;IF(AND(L2259=FALSE,M2259=FALSE),",","")&amp;IF(M2259=FALSE,"「残業時間」","")&amp;IF(OR(J2259=FALSE,K2259=FALSE,L2259=FALSE,M2259=FALSE),入力リスト!$K$36,"")&amp;IF(N2259,"",入力リスト!$K$37)))</f>
        <v/>
      </c>
      <c r="H2259" s="215"/>
      <c r="I2259" s="1" t="b">
        <f>IF(B2259="",FALSE,COUNTIF('従業員情報(給与以外)'!$A$4:$A$1000000,$B2259)=0)</f>
        <v>0</v>
      </c>
      <c r="J2259" s="8" t="b">
        <f t="shared" si="175"/>
        <v>1</v>
      </c>
      <c r="K2259" s="8" t="b">
        <f t="shared" si="176"/>
        <v>1</v>
      </c>
      <c r="L2259" s="8" t="b">
        <f t="shared" si="177"/>
        <v>1</v>
      </c>
      <c r="M2259" s="8" t="b">
        <f t="shared" si="178"/>
        <v>1</v>
      </c>
      <c r="N2259" s="1" t="b">
        <f t="shared" si="179"/>
        <v>1</v>
      </c>
      <c r="O2259" s="8" t="str">
        <f>IF(F2259="","",IF($F$2=入力リスト!$H$25,ROUNDDOWN(INT(F2259)+ROUNDDOWN((F2259-INT(F2259))*100,0)/60,2),F2259))</f>
        <v/>
      </c>
      <c r="P2259" s="7"/>
      <c r="Q2259" s="7"/>
    </row>
    <row r="2260" spans="1:17">
      <c r="A2260" s="234"/>
      <c r="B2260" s="235"/>
      <c r="C2260" s="235"/>
      <c r="D2260" s="3"/>
      <c r="E2260" s="235"/>
      <c r="F2260" s="236"/>
      <c r="G2260" s="215" t="str">
        <f>IF(AND($B2260="",OR(B2260&lt;&gt;"",C2260&lt;&gt;"",D2260&lt;&gt;"",E2260&lt;&gt;"",F2260&lt;&gt;"")),入力リスト!$K$34,IF($I2260=TRUE,入力リスト!$K$35,IF(J2260=FALSE,"「毎月の固定給与額」","")&amp;IF(AND(J2260=FALSE,OR(K2260=FALSE,L2260=FALSE,M2260=FALSE)),",","")&amp;IF(K2260=FALSE,"「賞与額等」","")&amp;IF(AND(K2260=FALSE,OR(L2260=FALSE,M2260=FALSE)),",","")&amp;IF(L2260=FALSE,"「残業手当」","")&amp;IF(AND(L2260=FALSE,M2260=FALSE),",","")&amp;IF(M2260=FALSE,"「残業時間」","")&amp;IF(OR(J2260=FALSE,K2260=FALSE,L2260=FALSE,M2260=FALSE),入力リスト!$K$36,"")&amp;IF(N2260,"",入力リスト!$K$37)))</f>
        <v/>
      </c>
      <c r="H2260" s="215"/>
      <c r="I2260" s="1" t="b">
        <f>IF(B2260="",FALSE,COUNTIF('従業員情報(給与以外)'!$A$4:$A$1000000,$B2260)=0)</f>
        <v>0</v>
      </c>
      <c r="J2260" s="8" t="b">
        <f t="shared" si="175"/>
        <v>1</v>
      </c>
      <c r="K2260" s="8" t="b">
        <f t="shared" si="176"/>
        <v>1</v>
      </c>
      <c r="L2260" s="8" t="b">
        <f t="shared" si="177"/>
        <v>1</v>
      </c>
      <c r="M2260" s="8" t="b">
        <f t="shared" si="178"/>
        <v>1</v>
      </c>
      <c r="N2260" s="1" t="b">
        <f t="shared" si="179"/>
        <v>1</v>
      </c>
      <c r="O2260" s="8" t="str">
        <f>IF(F2260="","",IF($F$2=入力リスト!$H$25,ROUNDDOWN(INT(F2260)+ROUNDDOWN((F2260-INT(F2260))*100,0)/60,2),F2260))</f>
        <v/>
      </c>
      <c r="P2260" s="7"/>
      <c r="Q2260" s="7"/>
    </row>
    <row r="2261" spans="1:17">
      <c r="A2261" s="234"/>
      <c r="B2261" s="235"/>
      <c r="C2261" s="235"/>
      <c r="D2261" s="3"/>
      <c r="E2261" s="235"/>
      <c r="F2261" s="236"/>
      <c r="G2261" s="215" t="str">
        <f>IF(AND($B2261="",OR(B2261&lt;&gt;"",C2261&lt;&gt;"",D2261&lt;&gt;"",E2261&lt;&gt;"",F2261&lt;&gt;"")),入力リスト!$K$34,IF($I2261=TRUE,入力リスト!$K$35,IF(J2261=FALSE,"「毎月の固定給与額」","")&amp;IF(AND(J2261=FALSE,OR(K2261=FALSE,L2261=FALSE,M2261=FALSE)),",","")&amp;IF(K2261=FALSE,"「賞与額等」","")&amp;IF(AND(K2261=FALSE,OR(L2261=FALSE,M2261=FALSE)),",","")&amp;IF(L2261=FALSE,"「残業手当」","")&amp;IF(AND(L2261=FALSE,M2261=FALSE),",","")&amp;IF(M2261=FALSE,"「残業時間」","")&amp;IF(OR(J2261=FALSE,K2261=FALSE,L2261=FALSE,M2261=FALSE),入力リスト!$K$36,"")&amp;IF(N2261,"",入力リスト!$K$37)))</f>
        <v/>
      </c>
      <c r="H2261" s="215"/>
      <c r="I2261" s="1" t="b">
        <f>IF(B2261="",FALSE,COUNTIF('従業員情報(給与以外)'!$A$4:$A$1000000,$B2261)=0)</f>
        <v>0</v>
      </c>
      <c r="J2261" s="8" t="b">
        <f t="shared" si="175"/>
        <v>1</v>
      </c>
      <c r="K2261" s="8" t="b">
        <f t="shared" si="176"/>
        <v>1</v>
      </c>
      <c r="L2261" s="8" t="b">
        <f t="shared" si="177"/>
        <v>1</v>
      </c>
      <c r="M2261" s="8" t="b">
        <f t="shared" si="178"/>
        <v>1</v>
      </c>
      <c r="N2261" s="1" t="b">
        <f t="shared" si="179"/>
        <v>1</v>
      </c>
      <c r="O2261" s="8" t="str">
        <f>IF(F2261="","",IF($F$2=入力リスト!$H$25,ROUNDDOWN(INT(F2261)+ROUNDDOWN((F2261-INT(F2261))*100,0)/60,2),F2261))</f>
        <v/>
      </c>
      <c r="P2261" s="7"/>
      <c r="Q2261" s="7"/>
    </row>
    <row r="2262" spans="1:17">
      <c r="A2262" s="234"/>
      <c r="B2262" s="235"/>
      <c r="C2262" s="235"/>
      <c r="D2262" s="3"/>
      <c r="E2262" s="235"/>
      <c r="F2262" s="236"/>
      <c r="G2262" s="215" t="str">
        <f>IF(AND($B2262="",OR(B2262&lt;&gt;"",C2262&lt;&gt;"",D2262&lt;&gt;"",E2262&lt;&gt;"",F2262&lt;&gt;"")),入力リスト!$K$34,IF($I2262=TRUE,入力リスト!$K$35,IF(J2262=FALSE,"「毎月の固定給与額」","")&amp;IF(AND(J2262=FALSE,OR(K2262=FALSE,L2262=FALSE,M2262=FALSE)),",","")&amp;IF(K2262=FALSE,"「賞与額等」","")&amp;IF(AND(K2262=FALSE,OR(L2262=FALSE,M2262=FALSE)),",","")&amp;IF(L2262=FALSE,"「残業手当」","")&amp;IF(AND(L2262=FALSE,M2262=FALSE),",","")&amp;IF(M2262=FALSE,"「残業時間」","")&amp;IF(OR(J2262=FALSE,K2262=FALSE,L2262=FALSE,M2262=FALSE),入力リスト!$K$36,"")&amp;IF(N2262,"",入力リスト!$K$37)))</f>
        <v/>
      </c>
      <c r="H2262" s="215"/>
      <c r="I2262" s="1" t="b">
        <f>IF(B2262="",FALSE,COUNTIF('従業員情報(給与以外)'!$A$4:$A$1000000,$B2262)=0)</f>
        <v>0</v>
      </c>
      <c r="J2262" s="8" t="b">
        <f t="shared" si="175"/>
        <v>1</v>
      </c>
      <c r="K2262" s="8" t="b">
        <f t="shared" si="176"/>
        <v>1</v>
      </c>
      <c r="L2262" s="8" t="b">
        <f t="shared" si="177"/>
        <v>1</v>
      </c>
      <c r="M2262" s="8" t="b">
        <f t="shared" si="178"/>
        <v>1</v>
      </c>
      <c r="N2262" s="1" t="b">
        <f t="shared" si="179"/>
        <v>1</v>
      </c>
      <c r="O2262" s="8" t="str">
        <f>IF(F2262="","",IF($F$2=入力リスト!$H$25,ROUNDDOWN(INT(F2262)+ROUNDDOWN((F2262-INT(F2262))*100,0)/60,2),F2262))</f>
        <v/>
      </c>
      <c r="P2262" s="7"/>
      <c r="Q2262" s="7"/>
    </row>
    <row r="2263" spans="1:17">
      <c r="A2263" s="234"/>
      <c r="B2263" s="235"/>
      <c r="C2263" s="235"/>
      <c r="D2263" s="3"/>
      <c r="E2263" s="235"/>
      <c r="F2263" s="236"/>
      <c r="G2263" s="215" t="str">
        <f>IF(AND($B2263="",OR(B2263&lt;&gt;"",C2263&lt;&gt;"",D2263&lt;&gt;"",E2263&lt;&gt;"",F2263&lt;&gt;"")),入力リスト!$K$34,IF($I2263=TRUE,入力リスト!$K$35,IF(J2263=FALSE,"「毎月の固定給与額」","")&amp;IF(AND(J2263=FALSE,OR(K2263=FALSE,L2263=FALSE,M2263=FALSE)),",","")&amp;IF(K2263=FALSE,"「賞与額等」","")&amp;IF(AND(K2263=FALSE,OR(L2263=FALSE,M2263=FALSE)),",","")&amp;IF(L2263=FALSE,"「残業手当」","")&amp;IF(AND(L2263=FALSE,M2263=FALSE),",","")&amp;IF(M2263=FALSE,"「残業時間」","")&amp;IF(OR(J2263=FALSE,K2263=FALSE,L2263=FALSE,M2263=FALSE),入力リスト!$K$36,"")&amp;IF(N2263,"",入力リスト!$K$37)))</f>
        <v/>
      </c>
      <c r="H2263" s="215"/>
      <c r="I2263" s="1" t="b">
        <f>IF(B2263="",FALSE,COUNTIF('従業員情報(給与以外)'!$A$4:$A$1000000,$B2263)=0)</f>
        <v>0</v>
      </c>
      <c r="J2263" s="8" t="b">
        <f t="shared" si="175"/>
        <v>1</v>
      </c>
      <c r="K2263" s="8" t="b">
        <f t="shared" si="176"/>
        <v>1</v>
      </c>
      <c r="L2263" s="8" t="b">
        <f t="shared" si="177"/>
        <v>1</v>
      </c>
      <c r="M2263" s="8" t="b">
        <f t="shared" si="178"/>
        <v>1</v>
      </c>
      <c r="N2263" s="1" t="b">
        <f t="shared" si="179"/>
        <v>1</v>
      </c>
      <c r="O2263" s="8" t="str">
        <f>IF(F2263="","",IF($F$2=入力リスト!$H$25,ROUNDDOWN(INT(F2263)+ROUNDDOWN((F2263-INT(F2263))*100,0)/60,2),F2263))</f>
        <v/>
      </c>
      <c r="P2263" s="7"/>
      <c r="Q2263" s="7"/>
    </row>
    <row r="2264" spans="1:17">
      <c r="A2264" s="234"/>
      <c r="B2264" s="235"/>
      <c r="C2264" s="235"/>
      <c r="D2264" s="3"/>
      <c r="E2264" s="235"/>
      <c r="F2264" s="236"/>
      <c r="G2264" s="215" t="str">
        <f>IF(AND($B2264="",OR(B2264&lt;&gt;"",C2264&lt;&gt;"",D2264&lt;&gt;"",E2264&lt;&gt;"",F2264&lt;&gt;"")),入力リスト!$K$34,IF($I2264=TRUE,入力リスト!$K$35,IF(J2264=FALSE,"「毎月の固定給与額」","")&amp;IF(AND(J2264=FALSE,OR(K2264=FALSE,L2264=FALSE,M2264=FALSE)),",","")&amp;IF(K2264=FALSE,"「賞与額等」","")&amp;IF(AND(K2264=FALSE,OR(L2264=FALSE,M2264=FALSE)),",","")&amp;IF(L2264=FALSE,"「残業手当」","")&amp;IF(AND(L2264=FALSE,M2264=FALSE),",","")&amp;IF(M2264=FALSE,"「残業時間」","")&amp;IF(OR(J2264=FALSE,K2264=FALSE,L2264=FALSE,M2264=FALSE),入力リスト!$K$36,"")&amp;IF(N2264,"",入力リスト!$K$37)))</f>
        <v/>
      </c>
      <c r="H2264" s="215"/>
      <c r="I2264" s="1" t="b">
        <f>IF(B2264="",FALSE,COUNTIF('従業員情報(給与以外)'!$A$4:$A$1000000,$B2264)=0)</f>
        <v>0</v>
      </c>
      <c r="J2264" s="8" t="b">
        <f t="shared" si="175"/>
        <v>1</v>
      </c>
      <c r="K2264" s="8" t="b">
        <f t="shared" si="176"/>
        <v>1</v>
      </c>
      <c r="L2264" s="8" t="b">
        <f t="shared" si="177"/>
        <v>1</v>
      </c>
      <c r="M2264" s="8" t="b">
        <f t="shared" si="178"/>
        <v>1</v>
      </c>
      <c r="N2264" s="1" t="b">
        <f t="shared" si="179"/>
        <v>1</v>
      </c>
      <c r="O2264" s="8" t="str">
        <f>IF(F2264="","",IF($F$2=入力リスト!$H$25,ROUNDDOWN(INT(F2264)+ROUNDDOWN((F2264-INT(F2264))*100,0)/60,2),F2264))</f>
        <v/>
      </c>
      <c r="P2264" s="7"/>
      <c r="Q2264" s="7"/>
    </row>
    <row r="2265" spans="1:17">
      <c r="A2265" s="234"/>
      <c r="B2265" s="235"/>
      <c r="C2265" s="235"/>
      <c r="D2265" s="3"/>
      <c r="E2265" s="235"/>
      <c r="F2265" s="236"/>
      <c r="G2265" s="215" t="str">
        <f>IF(AND($B2265="",OR(B2265&lt;&gt;"",C2265&lt;&gt;"",D2265&lt;&gt;"",E2265&lt;&gt;"",F2265&lt;&gt;"")),入力リスト!$K$34,IF($I2265=TRUE,入力リスト!$K$35,IF(J2265=FALSE,"「毎月の固定給与額」","")&amp;IF(AND(J2265=FALSE,OR(K2265=FALSE,L2265=FALSE,M2265=FALSE)),",","")&amp;IF(K2265=FALSE,"「賞与額等」","")&amp;IF(AND(K2265=FALSE,OR(L2265=FALSE,M2265=FALSE)),",","")&amp;IF(L2265=FALSE,"「残業手当」","")&amp;IF(AND(L2265=FALSE,M2265=FALSE),",","")&amp;IF(M2265=FALSE,"「残業時間」","")&amp;IF(OR(J2265=FALSE,K2265=FALSE,L2265=FALSE,M2265=FALSE),入力リスト!$K$36,"")&amp;IF(N2265,"",入力リスト!$K$37)))</f>
        <v/>
      </c>
      <c r="H2265" s="215"/>
      <c r="I2265" s="1" t="b">
        <f>IF(B2265="",FALSE,COUNTIF('従業員情報(給与以外)'!$A$4:$A$1000000,$B2265)=0)</f>
        <v>0</v>
      </c>
      <c r="J2265" s="8" t="b">
        <f t="shared" si="175"/>
        <v>1</v>
      </c>
      <c r="K2265" s="8" t="b">
        <f t="shared" si="176"/>
        <v>1</v>
      </c>
      <c r="L2265" s="8" t="b">
        <f t="shared" si="177"/>
        <v>1</v>
      </c>
      <c r="M2265" s="8" t="b">
        <f t="shared" si="178"/>
        <v>1</v>
      </c>
      <c r="N2265" s="1" t="b">
        <f t="shared" si="179"/>
        <v>1</v>
      </c>
      <c r="O2265" s="8" t="str">
        <f>IF(F2265="","",IF($F$2=入力リスト!$H$25,ROUNDDOWN(INT(F2265)+ROUNDDOWN((F2265-INT(F2265))*100,0)/60,2),F2265))</f>
        <v/>
      </c>
      <c r="P2265" s="7"/>
      <c r="Q2265" s="7"/>
    </row>
    <row r="2266" spans="1:17">
      <c r="A2266" s="234"/>
      <c r="B2266" s="235"/>
      <c r="C2266" s="235"/>
      <c r="D2266" s="3"/>
      <c r="E2266" s="235"/>
      <c r="F2266" s="236"/>
      <c r="G2266" s="215" t="str">
        <f>IF(AND($B2266="",OR(B2266&lt;&gt;"",C2266&lt;&gt;"",D2266&lt;&gt;"",E2266&lt;&gt;"",F2266&lt;&gt;"")),入力リスト!$K$34,IF($I2266=TRUE,入力リスト!$K$35,IF(J2266=FALSE,"「毎月の固定給与額」","")&amp;IF(AND(J2266=FALSE,OR(K2266=FALSE,L2266=FALSE,M2266=FALSE)),",","")&amp;IF(K2266=FALSE,"「賞与額等」","")&amp;IF(AND(K2266=FALSE,OR(L2266=FALSE,M2266=FALSE)),",","")&amp;IF(L2266=FALSE,"「残業手当」","")&amp;IF(AND(L2266=FALSE,M2266=FALSE),",","")&amp;IF(M2266=FALSE,"「残業時間」","")&amp;IF(OR(J2266=FALSE,K2266=FALSE,L2266=FALSE,M2266=FALSE),入力リスト!$K$36,"")&amp;IF(N2266,"",入力リスト!$K$37)))</f>
        <v/>
      </c>
      <c r="H2266" s="215"/>
      <c r="I2266" s="1" t="b">
        <f>IF(B2266="",FALSE,COUNTIF('従業員情報(給与以外)'!$A$4:$A$1000000,$B2266)=0)</f>
        <v>0</v>
      </c>
      <c r="J2266" s="8" t="b">
        <f t="shared" si="175"/>
        <v>1</v>
      </c>
      <c r="K2266" s="8" t="b">
        <f t="shared" si="176"/>
        <v>1</v>
      </c>
      <c r="L2266" s="8" t="b">
        <f t="shared" si="177"/>
        <v>1</v>
      </c>
      <c r="M2266" s="8" t="b">
        <f t="shared" si="178"/>
        <v>1</v>
      </c>
      <c r="N2266" s="1" t="b">
        <f t="shared" si="179"/>
        <v>1</v>
      </c>
      <c r="O2266" s="8" t="str">
        <f>IF(F2266="","",IF($F$2=入力リスト!$H$25,ROUNDDOWN(INT(F2266)+ROUNDDOWN((F2266-INT(F2266))*100,0)/60,2),F2266))</f>
        <v/>
      </c>
      <c r="P2266" s="7"/>
      <c r="Q2266" s="7"/>
    </row>
    <row r="2267" spans="1:17">
      <c r="A2267" s="234"/>
      <c r="B2267" s="235"/>
      <c r="C2267" s="235"/>
      <c r="D2267" s="3"/>
      <c r="E2267" s="235"/>
      <c r="F2267" s="236"/>
      <c r="G2267" s="215" t="str">
        <f>IF(AND($B2267="",OR(B2267&lt;&gt;"",C2267&lt;&gt;"",D2267&lt;&gt;"",E2267&lt;&gt;"",F2267&lt;&gt;"")),入力リスト!$K$34,IF($I2267=TRUE,入力リスト!$K$35,IF(J2267=FALSE,"「毎月の固定給与額」","")&amp;IF(AND(J2267=FALSE,OR(K2267=FALSE,L2267=FALSE,M2267=FALSE)),",","")&amp;IF(K2267=FALSE,"「賞与額等」","")&amp;IF(AND(K2267=FALSE,OR(L2267=FALSE,M2267=FALSE)),",","")&amp;IF(L2267=FALSE,"「残業手当」","")&amp;IF(AND(L2267=FALSE,M2267=FALSE),",","")&amp;IF(M2267=FALSE,"「残業時間」","")&amp;IF(OR(J2267=FALSE,K2267=FALSE,L2267=FALSE,M2267=FALSE),入力リスト!$K$36,"")&amp;IF(N2267,"",入力リスト!$K$37)))</f>
        <v/>
      </c>
      <c r="H2267" s="215"/>
      <c r="I2267" s="1" t="b">
        <f>IF(B2267="",FALSE,COUNTIF('従業員情報(給与以外)'!$A$4:$A$1000000,$B2267)=0)</f>
        <v>0</v>
      </c>
      <c r="J2267" s="8" t="b">
        <f t="shared" si="175"/>
        <v>1</v>
      </c>
      <c r="K2267" s="8" t="b">
        <f t="shared" si="176"/>
        <v>1</v>
      </c>
      <c r="L2267" s="8" t="b">
        <f t="shared" si="177"/>
        <v>1</v>
      </c>
      <c r="M2267" s="8" t="b">
        <f t="shared" si="178"/>
        <v>1</v>
      </c>
      <c r="N2267" s="1" t="b">
        <f t="shared" si="179"/>
        <v>1</v>
      </c>
      <c r="O2267" s="8" t="str">
        <f>IF(F2267="","",IF($F$2=入力リスト!$H$25,ROUNDDOWN(INT(F2267)+ROUNDDOWN((F2267-INT(F2267))*100,0)/60,2),F2267))</f>
        <v/>
      </c>
      <c r="P2267" s="7"/>
      <c r="Q2267" s="7"/>
    </row>
    <row r="2268" spans="1:17">
      <c r="A2268" s="234"/>
      <c r="B2268" s="235"/>
      <c r="C2268" s="235"/>
      <c r="D2268" s="3"/>
      <c r="E2268" s="235"/>
      <c r="F2268" s="236"/>
      <c r="G2268" s="215" t="str">
        <f>IF(AND($B2268="",OR(B2268&lt;&gt;"",C2268&lt;&gt;"",D2268&lt;&gt;"",E2268&lt;&gt;"",F2268&lt;&gt;"")),入力リスト!$K$34,IF($I2268=TRUE,入力リスト!$K$35,IF(J2268=FALSE,"「毎月の固定給与額」","")&amp;IF(AND(J2268=FALSE,OR(K2268=FALSE,L2268=FALSE,M2268=FALSE)),",","")&amp;IF(K2268=FALSE,"「賞与額等」","")&amp;IF(AND(K2268=FALSE,OR(L2268=FALSE,M2268=FALSE)),",","")&amp;IF(L2268=FALSE,"「残業手当」","")&amp;IF(AND(L2268=FALSE,M2268=FALSE),",","")&amp;IF(M2268=FALSE,"「残業時間」","")&amp;IF(OR(J2268=FALSE,K2268=FALSE,L2268=FALSE,M2268=FALSE),入力リスト!$K$36,"")&amp;IF(N2268,"",入力リスト!$K$37)))</f>
        <v/>
      </c>
      <c r="H2268" s="215"/>
      <c r="I2268" s="1" t="b">
        <f>IF(B2268="",FALSE,COUNTIF('従業員情報(給与以外)'!$A$4:$A$1000000,$B2268)=0)</f>
        <v>0</v>
      </c>
      <c r="J2268" s="8" t="b">
        <f t="shared" si="175"/>
        <v>1</v>
      </c>
      <c r="K2268" s="8" t="b">
        <f t="shared" si="176"/>
        <v>1</v>
      </c>
      <c r="L2268" s="8" t="b">
        <f t="shared" si="177"/>
        <v>1</v>
      </c>
      <c r="M2268" s="8" t="b">
        <f t="shared" si="178"/>
        <v>1</v>
      </c>
      <c r="N2268" s="1" t="b">
        <f t="shared" si="179"/>
        <v>1</v>
      </c>
      <c r="O2268" s="8" t="str">
        <f>IF(F2268="","",IF($F$2=入力リスト!$H$25,ROUNDDOWN(INT(F2268)+ROUNDDOWN((F2268-INT(F2268))*100,0)/60,2),F2268))</f>
        <v/>
      </c>
      <c r="P2268" s="7"/>
      <c r="Q2268" s="7"/>
    </row>
    <row r="2269" spans="1:17">
      <c r="A2269" s="234"/>
      <c r="B2269" s="235"/>
      <c r="C2269" s="235"/>
      <c r="D2269" s="3"/>
      <c r="E2269" s="235"/>
      <c r="F2269" s="236"/>
      <c r="G2269" s="215" t="str">
        <f>IF(AND($B2269="",OR(B2269&lt;&gt;"",C2269&lt;&gt;"",D2269&lt;&gt;"",E2269&lt;&gt;"",F2269&lt;&gt;"")),入力リスト!$K$34,IF($I2269=TRUE,入力リスト!$K$35,IF(J2269=FALSE,"「毎月の固定給与額」","")&amp;IF(AND(J2269=FALSE,OR(K2269=FALSE,L2269=FALSE,M2269=FALSE)),",","")&amp;IF(K2269=FALSE,"「賞与額等」","")&amp;IF(AND(K2269=FALSE,OR(L2269=FALSE,M2269=FALSE)),",","")&amp;IF(L2269=FALSE,"「残業手当」","")&amp;IF(AND(L2269=FALSE,M2269=FALSE),",","")&amp;IF(M2269=FALSE,"「残業時間」","")&amp;IF(OR(J2269=FALSE,K2269=FALSE,L2269=FALSE,M2269=FALSE),入力リスト!$K$36,"")&amp;IF(N2269,"",入力リスト!$K$37)))</f>
        <v/>
      </c>
      <c r="H2269" s="215"/>
      <c r="I2269" s="1" t="b">
        <f>IF(B2269="",FALSE,COUNTIF('従業員情報(給与以外)'!$A$4:$A$1000000,$B2269)=0)</f>
        <v>0</v>
      </c>
      <c r="J2269" s="8" t="b">
        <f t="shared" si="175"/>
        <v>1</v>
      </c>
      <c r="K2269" s="8" t="b">
        <f t="shared" si="176"/>
        <v>1</v>
      </c>
      <c r="L2269" s="8" t="b">
        <f t="shared" si="177"/>
        <v>1</v>
      </c>
      <c r="M2269" s="8" t="b">
        <f t="shared" si="178"/>
        <v>1</v>
      </c>
      <c r="N2269" s="1" t="b">
        <f t="shared" si="179"/>
        <v>1</v>
      </c>
      <c r="O2269" s="8" t="str">
        <f>IF(F2269="","",IF($F$2=入力リスト!$H$25,ROUNDDOWN(INT(F2269)+ROUNDDOWN((F2269-INT(F2269))*100,0)/60,2),F2269))</f>
        <v/>
      </c>
      <c r="P2269" s="7"/>
      <c r="Q2269" s="7"/>
    </row>
    <row r="2270" spans="1:17">
      <c r="A2270" s="234"/>
      <c r="B2270" s="235"/>
      <c r="C2270" s="235"/>
      <c r="D2270" s="3"/>
      <c r="E2270" s="235"/>
      <c r="F2270" s="236"/>
      <c r="G2270" s="215" t="str">
        <f>IF(AND($B2270="",OR(B2270&lt;&gt;"",C2270&lt;&gt;"",D2270&lt;&gt;"",E2270&lt;&gt;"",F2270&lt;&gt;"")),入力リスト!$K$34,IF($I2270=TRUE,入力リスト!$K$35,IF(J2270=FALSE,"「毎月の固定給与額」","")&amp;IF(AND(J2270=FALSE,OR(K2270=FALSE,L2270=FALSE,M2270=FALSE)),",","")&amp;IF(K2270=FALSE,"「賞与額等」","")&amp;IF(AND(K2270=FALSE,OR(L2270=FALSE,M2270=FALSE)),",","")&amp;IF(L2270=FALSE,"「残業手当」","")&amp;IF(AND(L2270=FALSE,M2270=FALSE),",","")&amp;IF(M2270=FALSE,"「残業時間」","")&amp;IF(OR(J2270=FALSE,K2270=FALSE,L2270=FALSE,M2270=FALSE),入力リスト!$K$36,"")&amp;IF(N2270,"",入力リスト!$K$37)))</f>
        <v/>
      </c>
      <c r="H2270" s="215"/>
      <c r="I2270" s="1" t="b">
        <f>IF(B2270="",FALSE,COUNTIF('従業員情報(給与以外)'!$A$4:$A$1000000,$B2270)=0)</f>
        <v>0</v>
      </c>
      <c r="J2270" s="8" t="b">
        <f t="shared" si="175"/>
        <v>1</v>
      </c>
      <c r="K2270" s="8" t="b">
        <f t="shared" si="176"/>
        <v>1</v>
      </c>
      <c r="L2270" s="8" t="b">
        <f t="shared" si="177"/>
        <v>1</v>
      </c>
      <c r="M2270" s="8" t="b">
        <f t="shared" si="178"/>
        <v>1</v>
      </c>
      <c r="N2270" s="1" t="b">
        <f t="shared" si="179"/>
        <v>1</v>
      </c>
      <c r="O2270" s="8" t="str">
        <f>IF(F2270="","",IF($F$2=入力リスト!$H$25,ROUNDDOWN(INT(F2270)+ROUNDDOWN((F2270-INT(F2270))*100,0)/60,2),F2270))</f>
        <v/>
      </c>
      <c r="P2270" s="7"/>
      <c r="Q2270" s="7"/>
    </row>
    <row r="2271" spans="1:17">
      <c r="A2271" s="234"/>
      <c r="B2271" s="235"/>
      <c r="C2271" s="235"/>
      <c r="D2271" s="3"/>
      <c r="E2271" s="235"/>
      <c r="F2271" s="236"/>
      <c r="G2271" s="215" t="str">
        <f>IF(AND($B2271="",OR(B2271&lt;&gt;"",C2271&lt;&gt;"",D2271&lt;&gt;"",E2271&lt;&gt;"",F2271&lt;&gt;"")),入力リスト!$K$34,IF($I2271=TRUE,入力リスト!$K$35,IF(J2271=FALSE,"「毎月の固定給与額」","")&amp;IF(AND(J2271=FALSE,OR(K2271=FALSE,L2271=FALSE,M2271=FALSE)),",","")&amp;IF(K2271=FALSE,"「賞与額等」","")&amp;IF(AND(K2271=FALSE,OR(L2271=FALSE,M2271=FALSE)),",","")&amp;IF(L2271=FALSE,"「残業手当」","")&amp;IF(AND(L2271=FALSE,M2271=FALSE),",","")&amp;IF(M2271=FALSE,"「残業時間」","")&amp;IF(OR(J2271=FALSE,K2271=FALSE,L2271=FALSE,M2271=FALSE),入力リスト!$K$36,"")&amp;IF(N2271,"",入力リスト!$K$37)))</f>
        <v/>
      </c>
      <c r="H2271" s="215"/>
      <c r="I2271" s="1" t="b">
        <f>IF(B2271="",FALSE,COUNTIF('従業員情報(給与以外)'!$A$4:$A$1000000,$B2271)=0)</f>
        <v>0</v>
      </c>
      <c r="J2271" s="8" t="b">
        <f t="shared" si="175"/>
        <v>1</v>
      </c>
      <c r="K2271" s="8" t="b">
        <f t="shared" si="176"/>
        <v>1</v>
      </c>
      <c r="L2271" s="8" t="b">
        <f t="shared" si="177"/>
        <v>1</v>
      </c>
      <c r="M2271" s="8" t="b">
        <f t="shared" si="178"/>
        <v>1</v>
      </c>
      <c r="N2271" s="1" t="b">
        <f t="shared" si="179"/>
        <v>1</v>
      </c>
      <c r="O2271" s="8" t="str">
        <f>IF(F2271="","",IF($F$2=入力リスト!$H$25,ROUNDDOWN(INT(F2271)+ROUNDDOWN((F2271-INT(F2271))*100,0)/60,2),F2271))</f>
        <v/>
      </c>
      <c r="P2271" s="7"/>
      <c r="Q2271" s="7"/>
    </row>
    <row r="2272" spans="1:17">
      <c r="A2272" s="234"/>
      <c r="B2272" s="235"/>
      <c r="C2272" s="235"/>
      <c r="D2272" s="3"/>
      <c r="E2272" s="235"/>
      <c r="F2272" s="236"/>
      <c r="G2272" s="215" t="str">
        <f>IF(AND($B2272="",OR(B2272&lt;&gt;"",C2272&lt;&gt;"",D2272&lt;&gt;"",E2272&lt;&gt;"",F2272&lt;&gt;"")),入力リスト!$K$34,IF($I2272=TRUE,入力リスト!$K$35,IF(J2272=FALSE,"「毎月の固定給与額」","")&amp;IF(AND(J2272=FALSE,OR(K2272=FALSE,L2272=FALSE,M2272=FALSE)),",","")&amp;IF(K2272=FALSE,"「賞与額等」","")&amp;IF(AND(K2272=FALSE,OR(L2272=FALSE,M2272=FALSE)),",","")&amp;IF(L2272=FALSE,"「残業手当」","")&amp;IF(AND(L2272=FALSE,M2272=FALSE),",","")&amp;IF(M2272=FALSE,"「残業時間」","")&amp;IF(OR(J2272=FALSE,K2272=FALSE,L2272=FALSE,M2272=FALSE),入力リスト!$K$36,"")&amp;IF(N2272,"",入力リスト!$K$37)))</f>
        <v/>
      </c>
      <c r="H2272" s="215"/>
      <c r="I2272" s="1" t="b">
        <f>IF(B2272="",FALSE,COUNTIF('従業員情報(給与以外)'!$A$4:$A$1000000,$B2272)=0)</f>
        <v>0</v>
      </c>
      <c r="J2272" s="8" t="b">
        <f t="shared" si="175"/>
        <v>1</v>
      </c>
      <c r="K2272" s="8" t="b">
        <f t="shared" si="176"/>
        <v>1</v>
      </c>
      <c r="L2272" s="8" t="b">
        <f t="shared" si="177"/>
        <v>1</v>
      </c>
      <c r="M2272" s="8" t="b">
        <f t="shared" si="178"/>
        <v>1</v>
      </c>
      <c r="N2272" s="1" t="b">
        <f t="shared" si="179"/>
        <v>1</v>
      </c>
      <c r="O2272" s="8" t="str">
        <f>IF(F2272="","",IF($F$2=入力リスト!$H$25,ROUNDDOWN(INT(F2272)+ROUNDDOWN((F2272-INT(F2272))*100,0)/60,2),F2272))</f>
        <v/>
      </c>
      <c r="P2272" s="7"/>
      <c r="Q2272" s="7"/>
    </row>
    <row r="2273" spans="1:17">
      <c r="A2273" s="234"/>
      <c r="B2273" s="235"/>
      <c r="C2273" s="235"/>
      <c r="D2273" s="3"/>
      <c r="E2273" s="235"/>
      <c r="F2273" s="236"/>
      <c r="G2273" s="215" t="str">
        <f>IF(AND($B2273="",OR(B2273&lt;&gt;"",C2273&lt;&gt;"",D2273&lt;&gt;"",E2273&lt;&gt;"",F2273&lt;&gt;"")),入力リスト!$K$34,IF($I2273=TRUE,入力リスト!$K$35,IF(J2273=FALSE,"「毎月の固定給与額」","")&amp;IF(AND(J2273=FALSE,OR(K2273=FALSE,L2273=FALSE,M2273=FALSE)),",","")&amp;IF(K2273=FALSE,"「賞与額等」","")&amp;IF(AND(K2273=FALSE,OR(L2273=FALSE,M2273=FALSE)),",","")&amp;IF(L2273=FALSE,"「残業手当」","")&amp;IF(AND(L2273=FALSE,M2273=FALSE),",","")&amp;IF(M2273=FALSE,"「残業時間」","")&amp;IF(OR(J2273=FALSE,K2273=FALSE,L2273=FALSE,M2273=FALSE),入力リスト!$K$36,"")&amp;IF(N2273,"",入力リスト!$K$37)))</f>
        <v/>
      </c>
      <c r="H2273" s="215"/>
      <c r="I2273" s="1" t="b">
        <f>IF(B2273="",FALSE,COUNTIF('従業員情報(給与以外)'!$A$4:$A$1000000,$B2273)=0)</f>
        <v>0</v>
      </c>
      <c r="J2273" s="8" t="b">
        <f t="shared" si="175"/>
        <v>1</v>
      </c>
      <c r="K2273" s="8" t="b">
        <f t="shared" si="176"/>
        <v>1</v>
      </c>
      <c r="L2273" s="8" t="b">
        <f t="shared" si="177"/>
        <v>1</v>
      </c>
      <c r="M2273" s="8" t="b">
        <f t="shared" si="178"/>
        <v>1</v>
      </c>
      <c r="N2273" s="1" t="b">
        <f t="shared" si="179"/>
        <v>1</v>
      </c>
      <c r="O2273" s="8" t="str">
        <f>IF(F2273="","",IF($F$2=入力リスト!$H$25,ROUNDDOWN(INT(F2273)+ROUNDDOWN((F2273-INT(F2273))*100,0)/60,2),F2273))</f>
        <v/>
      </c>
      <c r="P2273" s="7"/>
      <c r="Q2273" s="7"/>
    </row>
    <row r="2274" spans="1:17">
      <c r="A2274" s="234"/>
      <c r="B2274" s="235"/>
      <c r="C2274" s="235"/>
      <c r="D2274" s="3"/>
      <c r="E2274" s="235"/>
      <c r="F2274" s="236"/>
      <c r="G2274" s="215" t="str">
        <f>IF(AND($B2274="",OR(B2274&lt;&gt;"",C2274&lt;&gt;"",D2274&lt;&gt;"",E2274&lt;&gt;"",F2274&lt;&gt;"")),入力リスト!$K$34,IF($I2274=TRUE,入力リスト!$K$35,IF(J2274=FALSE,"「毎月の固定給与額」","")&amp;IF(AND(J2274=FALSE,OR(K2274=FALSE,L2274=FALSE,M2274=FALSE)),",","")&amp;IF(K2274=FALSE,"「賞与額等」","")&amp;IF(AND(K2274=FALSE,OR(L2274=FALSE,M2274=FALSE)),",","")&amp;IF(L2274=FALSE,"「残業手当」","")&amp;IF(AND(L2274=FALSE,M2274=FALSE),",","")&amp;IF(M2274=FALSE,"「残業時間」","")&amp;IF(OR(J2274=FALSE,K2274=FALSE,L2274=FALSE,M2274=FALSE),入力リスト!$K$36,"")&amp;IF(N2274,"",入力リスト!$K$37)))</f>
        <v/>
      </c>
      <c r="H2274" s="215"/>
      <c r="I2274" s="1" t="b">
        <f>IF(B2274="",FALSE,COUNTIF('従業員情報(給与以外)'!$A$4:$A$1000000,$B2274)=0)</f>
        <v>0</v>
      </c>
      <c r="J2274" s="8" t="b">
        <f t="shared" si="175"/>
        <v>1</v>
      </c>
      <c r="K2274" s="8" t="b">
        <f t="shared" si="176"/>
        <v>1</v>
      </c>
      <c r="L2274" s="8" t="b">
        <f t="shared" si="177"/>
        <v>1</v>
      </c>
      <c r="M2274" s="8" t="b">
        <f t="shared" si="178"/>
        <v>1</v>
      </c>
      <c r="N2274" s="1" t="b">
        <f t="shared" si="179"/>
        <v>1</v>
      </c>
      <c r="O2274" s="8" t="str">
        <f>IF(F2274="","",IF($F$2=入力リスト!$H$25,ROUNDDOWN(INT(F2274)+ROUNDDOWN((F2274-INT(F2274))*100,0)/60,2),F2274))</f>
        <v/>
      </c>
      <c r="P2274" s="7"/>
      <c r="Q2274" s="7"/>
    </row>
    <row r="2275" spans="1:17">
      <c r="A2275" s="234"/>
      <c r="B2275" s="235"/>
      <c r="C2275" s="235"/>
      <c r="D2275" s="3"/>
      <c r="E2275" s="235"/>
      <c r="F2275" s="236"/>
      <c r="G2275" s="215" t="str">
        <f>IF(AND($B2275="",OR(B2275&lt;&gt;"",C2275&lt;&gt;"",D2275&lt;&gt;"",E2275&lt;&gt;"",F2275&lt;&gt;"")),入力リスト!$K$34,IF($I2275=TRUE,入力リスト!$K$35,IF(J2275=FALSE,"「毎月の固定給与額」","")&amp;IF(AND(J2275=FALSE,OR(K2275=FALSE,L2275=FALSE,M2275=FALSE)),",","")&amp;IF(K2275=FALSE,"「賞与額等」","")&amp;IF(AND(K2275=FALSE,OR(L2275=FALSE,M2275=FALSE)),",","")&amp;IF(L2275=FALSE,"「残業手当」","")&amp;IF(AND(L2275=FALSE,M2275=FALSE),",","")&amp;IF(M2275=FALSE,"「残業時間」","")&amp;IF(OR(J2275=FALSE,K2275=FALSE,L2275=FALSE,M2275=FALSE),入力リスト!$K$36,"")&amp;IF(N2275,"",入力リスト!$K$37)))</f>
        <v/>
      </c>
      <c r="H2275" s="215"/>
      <c r="I2275" s="1" t="b">
        <f>IF(B2275="",FALSE,COUNTIF('従業員情報(給与以外)'!$A$4:$A$1000000,$B2275)=0)</f>
        <v>0</v>
      </c>
      <c r="J2275" s="8" t="b">
        <f t="shared" si="175"/>
        <v>1</v>
      </c>
      <c r="K2275" s="8" t="b">
        <f t="shared" si="176"/>
        <v>1</v>
      </c>
      <c r="L2275" s="8" t="b">
        <f t="shared" si="177"/>
        <v>1</v>
      </c>
      <c r="M2275" s="8" t="b">
        <f t="shared" si="178"/>
        <v>1</v>
      </c>
      <c r="N2275" s="1" t="b">
        <f t="shared" si="179"/>
        <v>1</v>
      </c>
      <c r="O2275" s="8" t="str">
        <f>IF(F2275="","",IF($F$2=入力リスト!$H$25,ROUNDDOWN(INT(F2275)+ROUNDDOWN((F2275-INT(F2275))*100,0)/60,2),F2275))</f>
        <v/>
      </c>
      <c r="P2275" s="7"/>
      <c r="Q2275" s="7"/>
    </row>
    <row r="2276" spans="1:17">
      <c r="A2276" s="234"/>
      <c r="B2276" s="235"/>
      <c r="C2276" s="235"/>
      <c r="D2276" s="3"/>
      <c r="E2276" s="235"/>
      <c r="F2276" s="236"/>
      <c r="G2276" s="215" t="str">
        <f>IF(AND($B2276="",OR(B2276&lt;&gt;"",C2276&lt;&gt;"",D2276&lt;&gt;"",E2276&lt;&gt;"",F2276&lt;&gt;"")),入力リスト!$K$34,IF($I2276=TRUE,入力リスト!$K$35,IF(J2276=FALSE,"「毎月の固定給与額」","")&amp;IF(AND(J2276=FALSE,OR(K2276=FALSE,L2276=FALSE,M2276=FALSE)),",","")&amp;IF(K2276=FALSE,"「賞与額等」","")&amp;IF(AND(K2276=FALSE,OR(L2276=FALSE,M2276=FALSE)),",","")&amp;IF(L2276=FALSE,"「残業手当」","")&amp;IF(AND(L2276=FALSE,M2276=FALSE),",","")&amp;IF(M2276=FALSE,"「残業時間」","")&amp;IF(OR(J2276=FALSE,K2276=FALSE,L2276=FALSE,M2276=FALSE),入力リスト!$K$36,"")&amp;IF(N2276,"",入力リスト!$K$37)))</f>
        <v/>
      </c>
      <c r="H2276" s="215"/>
      <c r="I2276" s="1" t="b">
        <f>IF(B2276="",FALSE,COUNTIF('従業員情報(給与以外)'!$A$4:$A$1000000,$B2276)=0)</f>
        <v>0</v>
      </c>
      <c r="J2276" s="8" t="b">
        <f t="shared" si="175"/>
        <v>1</v>
      </c>
      <c r="K2276" s="8" t="b">
        <f t="shared" si="176"/>
        <v>1</v>
      </c>
      <c r="L2276" s="8" t="b">
        <f t="shared" si="177"/>
        <v>1</v>
      </c>
      <c r="M2276" s="8" t="b">
        <f t="shared" si="178"/>
        <v>1</v>
      </c>
      <c r="N2276" s="1" t="b">
        <f t="shared" si="179"/>
        <v>1</v>
      </c>
      <c r="O2276" s="8" t="str">
        <f>IF(F2276="","",IF($F$2=入力リスト!$H$25,ROUNDDOWN(INT(F2276)+ROUNDDOWN((F2276-INT(F2276))*100,0)/60,2),F2276))</f>
        <v/>
      </c>
      <c r="P2276" s="7"/>
      <c r="Q2276" s="7"/>
    </row>
    <row r="2277" spans="1:17">
      <c r="A2277" s="234"/>
      <c r="B2277" s="235"/>
      <c r="C2277" s="235"/>
      <c r="D2277" s="3"/>
      <c r="E2277" s="235"/>
      <c r="F2277" s="236"/>
      <c r="G2277" s="215" t="str">
        <f>IF(AND($B2277="",OR(B2277&lt;&gt;"",C2277&lt;&gt;"",D2277&lt;&gt;"",E2277&lt;&gt;"",F2277&lt;&gt;"")),入力リスト!$K$34,IF($I2277=TRUE,入力リスト!$K$35,IF(J2277=FALSE,"「毎月の固定給与額」","")&amp;IF(AND(J2277=FALSE,OR(K2277=FALSE,L2277=FALSE,M2277=FALSE)),",","")&amp;IF(K2277=FALSE,"「賞与額等」","")&amp;IF(AND(K2277=FALSE,OR(L2277=FALSE,M2277=FALSE)),",","")&amp;IF(L2277=FALSE,"「残業手当」","")&amp;IF(AND(L2277=FALSE,M2277=FALSE),",","")&amp;IF(M2277=FALSE,"「残業時間」","")&amp;IF(OR(J2277=FALSE,K2277=FALSE,L2277=FALSE,M2277=FALSE),入力リスト!$K$36,"")&amp;IF(N2277,"",入力リスト!$K$37)))</f>
        <v/>
      </c>
      <c r="H2277" s="215"/>
      <c r="I2277" s="1" t="b">
        <f>IF(B2277="",FALSE,COUNTIF('従業員情報(給与以外)'!$A$4:$A$1000000,$B2277)=0)</f>
        <v>0</v>
      </c>
      <c r="J2277" s="8" t="b">
        <f t="shared" si="175"/>
        <v>1</v>
      </c>
      <c r="K2277" s="8" t="b">
        <f t="shared" si="176"/>
        <v>1</v>
      </c>
      <c r="L2277" s="8" t="b">
        <f t="shared" si="177"/>
        <v>1</v>
      </c>
      <c r="M2277" s="8" t="b">
        <f t="shared" si="178"/>
        <v>1</v>
      </c>
      <c r="N2277" s="1" t="b">
        <f t="shared" si="179"/>
        <v>1</v>
      </c>
      <c r="O2277" s="8" t="str">
        <f>IF(F2277="","",IF($F$2=入力リスト!$H$25,ROUNDDOWN(INT(F2277)+ROUNDDOWN((F2277-INT(F2277))*100,0)/60,2),F2277))</f>
        <v/>
      </c>
      <c r="P2277" s="7"/>
      <c r="Q2277" s="7"/>
    </row>
    <row r="2278" spans="1:17">
      <c r="A2278" s="234"/>
      <c r="B2278" s="235"/>
      <c r="C2278" s="235"/>
      <c r="D2278" s="3"/>
      <c r="E2278" s="235"/>
      <c r="F2278" s="236"/>
      <c r="G2278" s="215" t="str">
        <f>IF(AND($B2278="",OR(B2278&lt;&gt;"",C2278&lt;&gt;"",D2278&lt;&gt;"",E2278&lt;&gt;"",F2278&lt;&gt;"")),入力リスト!$K$34,IF($I2278=TRUE,入力リスト!$K$35,IF(J2278=FALSE,"「毎月の固定給与額」","")&amp;IF(AND(J2278=FALSE,OR(K2278=FALSE,L2278=FALSE,M2278=FALSE)),",","")&amp;IF(K2278=FALSE,"「賞与額等」","")&amp;IF(AND(K2278=FALSE,OR(L2278=FALSE,M2278=FALSE)),",","")&amp;IF(L2278=FALSE,"「残業手当」","")&amp;IF(AND(L2278=FALSE,M2278=FALSE),",","")&amp;IF(M2278=FALSE,"「残業時間」","")&amp;IF(OR(J2278=FALSE,K2278=FALSE,L2278=FALSE,M2278=FALSE),入力リスト!$K$36,"")&amp;IF(N2278,"",入力リスト!$K$37)))</f>
        <v/>
      </c>
      <c r="H2278" s="215"/>
      <c r="I2278" s="1" t="b">
        <f>IF(B2278="",FALSE,COUNTIF('従業員情報(給与以外)'!$A$4:$A$1000000,$B2278)=0)</f>
        <v>0</v>
      </c>
      <c r="J2278" s="8" t="b">
        <f t="shared" si="175"/>
        <v>1</v>
      </c>
      <c r="K2278" s="8" t="b">
        <f t="shared" si="176"/>
        <v>1</v>
      </c>
      <c r="L2278" s="8" t="b">
        <f t="shared" si="177"/>
        <v>1</v>
      </c>
      <c r="M2278" s="8" t="b">
        <f t="shared" si="178"/>
        <v>1</v>
      </c>
      <c r="N2278" s="1" t="b">
        <f t="shared" si="179"/>
        <v>1</v>
      </c>
      <c r="O2278" s="8" t="str">
        <f>IF(F2278="","",IF($F$2=入力リスト!$H$25,ROUNDDOWN(INT(F2278)+ROUNDDOWN((F2278-INT(F2278))*100,0)/60,2),F2278))</f>
        <v/>
      </c>
      <c r="P2278" s="7"/>
      <c r="Q2278" s="7"/>
    </row>
    <row r="2279" spans="1:17">
      <c r="A2279" s="234"/>
      <c r="B2279" s="235"/>
      <c r="C2279" s="235"/>
      <c r="D2279" s="3"/>
      <c r="E2279" s="235"/>
      <c r="F2279" s="236"/>
      <c r="G2279" s="215" t="str">
        <f>IF(AND($B2279="",OR(B2279&lt;&gt;"",C2279&lt;&gt;"",D2279&lt;&gt;"",E2279&lt;&gt;"",F2279&lt;&gt;"")),入力リスト!$K$34,IF($I2279=TRUE,入力リスト!$K$35,IF(J2279=FALSE,"「毎月の固定給与額」","")&amp;IF(AND(J2279=FALSE,OR(K2279=FALSE,L2279=FALSE,M2279=FALSE)),",","")&amp;IF(K2279=FALSE,"「賞与額等」","")&amp;IF(AND(K2279=FALSE,OR(L2279=FALSE,M2279=FALSE)),",","")&amp;IF(L2279=FALSE,"「残業手当」","")&amp;IF(AND(L2279=FALSE,M2279=FALSE),",","")&amp;IF(M2279=FALSE,"「残業時間」","")&amp;IF(OR(J2279=FALSE,K2279=FALSE,L2279=FALSE,M2279=FALSE),入力リスト!$K$36,"")&amp;IF(N2279,"",入力リスト!$K$37)))</f>
        <v/>
      </c>
      <c r="H2279" s="215"/>
      <c r="I2279" s="1" t="b">
        <f>IF(B2279="",FALSE,COUNTIF('従業員情報(給与以外)'!$A$4:$A$1000000,$B2279)=0)</f>
        <v>0</v>
      </c>
      <c r="J2279" s="8" t="b">
        <f t="shared" si="175"/>
        <v>1</v>
      </c>
      <c r="K2279" s="8" t="b">
        <f t="shared" si="176"/>
        <v>1</v>
      </c>
      <c r="L2279" s="8" t="b">
        <f t="shared" si="177"/>
        <v>1</v>
      </c>
      <c r="M2279" s="8" t="b">
        <f t="shared" si="178"/>
        <v>1</v>
      </c>
      <c r="N2279" s="1" t="b">
        <f t="shared" si="179"/>
        <v>1</v>
      </c>
      <c r="O2279" s="8" t="str">
        <f>IF(F2279="","",IF($F$2=入力リスト!$H$25,ROUNDDOWN(INT(F2279)+ROUNDDOWN((F2279-INT(F2279))*100,0)/60,2),F2279))</f>
        <v/>
      </c>
      <c r="P2279" s="7"/>
      <c r="Q2279" s="7"/>
    </row>
    <row r="2280" spans="1:17">
      <c r="A2280" s="234"/>
      <c r="B2280" s="235"/>
      <c r="C2280" s="235"/>
      <c r="D2280" s="3"/>
      <c r="E2280" s="235"/>
      <c r="F2280" s="236"/>
      <c r="G2280" s="215" t="str">
        <f>IF(AND($B2280="",OR(B2280&lt;&gt;"",C2280&lt;&gt;"",D2280&lt;&gt;"",E2280&lt;&gt;"",F2280&lt;&gt;"")),入力リスト!$K$34,IF($I2280=TRUE,入力リスト!$K$35,IF(J2280=FALSE,"「毎月の固定給与額」","")&amp;IF(AND(J2280=FALSE,OR(K2280=FALSE,L2280=FALSE,M2280=FALSE)),",","")&amp;IF(K2280=FALSE,"「賞与額等」","")&amp;IF(AND(K2280=FALSE,OR(L2280=FALSE,M2280=FALSE)),",","")&amp;IF(L2280=FALSE,"「残業手当」","")&amp;IF(AND(L2280=FALSE,M2280=FALSE),",","")&amp;IF(M2280=FALSE,"「残業時間」","")&amp;IF(OR(J2280=FALSE,K2280=FALSE,L2280=FALSE,M2280=FALSE),入力リスト!$K$36,"")&amp;IF(N2280,"",入力リスト!$K$37)))</f>
        <v/>
      </c>
      <c r="H2280" s="215"/>
      <c r="I2280" s="1" t="b">
        <f>IF(B2280="",FALSE,COUNTIF('従業員情報(給与以外)'!$A$4:$A$1000000,$B2280)=0)</f>
        <v>0</v>
      </c>
      <c r="J2280" s="8" t="b">
        <f t="shared" si="175"/>
        <v>1</v>
      </c>
      <c r="K2280" s="8" t="b">
        <f t="shared" si="176"/>
        <v>1</v>
      </c>
      <c r="L2280" s="8" t="b">
        <f t="shared" si="177"/>
        <v>1</v>
      </c>
      <c r="M2280" s="8" t="b">
        <f t="shared" si="178"/>
        <v>1</v>
      </c>
      <c r="N2280" s="1" t="b">
        <f t="shared" si="179"/>
        <v>1</v>
      </c>
      <c r="O2280" s="8" t="str">
        <f>IF(F2280="","",IF($F$2=入力リスト!$H$25,ROUNDDOWN(INT(F2280)+ROUNDDOWN((F2280-INT(F2280))*100,0)/60,2),F2280))</f>
        <v/>
      </c>
      <c r="P2280" s="7"/>
      <c r="Q2280" s="7"/>
    </row>
    <row r="2281" spans="1:17">
      <c r="A2281" s="234"/>
      <c r="B2281" s="235"/>
      <c r="C2281" s="235"/>
      <c r="D2281" s="3"/>
      <c r="E2281" s="235"/>
      <c r="F2281" s="236"/>
      <c r="G2281" s="215" t="str">
        <f>IF(AND($B2281="",OR(B2281&lt;&gt;"",C2281&lt;&gt;"",D2281&lt;&gt;"",E2281&lt;&gt;"",F2281&lt;&gt;"")),入力リスト!$K$34,IF($I2281=TRUE,入力リスト!$K$35,IF(J2281=FALSE,"「毎月の固定給与額」","")&amp;IF(AND(J2281=FALSE,OR(K2281=FALSE,L2281=FALSE,M2281=FALSE)),",","")&amp;IF(K2281=FALSE,"「賞与額等」","")&amp;IF(AND(K2281=FALSE,OR(L2281=FALSE,M2281=FALSE)),",","")&amp;IF(L2281=FALSE,"「残業手当」","")&amp;IF(AND(L2281=FALSE,M2281=FALSE),",","")&amp;IF(M2281=FALSE,"「残業時間」","")&amp;IF(OR(J2281=FALSE,K2281=FALSE,L2281=FALSE,M2281=FALSE),入力リスト!$K$36,"")&amp;IF(N2281,"",入力リスト!$K$37)))</f>
        <v/>
      </c>
      <c r="H2281" s="215"/>
      <c r="I2281" s="1" t="b">
        <f>IF(B2281="",FALSE,COUNTIF('従業員情報(給与以外)'!$A$4:$A$1000000,$B2281)=0)</f>
        <v>0</v>
      </c>
      <c r="J2281" s="8" t="b">
        <f t="shared" si="175"/>
        <v>1</v>
      </c>
      <c r="K2281" s="8" t="b">
        <f t="shared" si="176"/>
        <v>1</v>
      </c>
      <c r="L2281" s="8" t="b">
        <f t="shared" si="177"/>
        <v>1</v>
      </c>
      <c r="M2281" s="8" t="b">
        <f t="shared" si="178"/>
        <v>1</v>
      </c>
      <c r="N2281" s="1" t="b">
        <f t="shared" si="179"/>
        <v>1</v>
      </c>
      <c r="O2281" s="8" t="str">
        <f>IF(F2281="","",IF($F$2=入力リスト!$H$25,ROUNDDOWN(INT(F2281)+ROUNDDOWN((F2281-INT(F2281))*100,0)/60,2),F2281))</f>
        <v/>
      </c>
      <c r="P2281" s="7"/>
      <c r="Q2281" s="7"/>
    </row>
    <row r="2282" spans="1:17">
      <c r="A2282" s="234"/>
      <c r="B2282" s="235"/>
      <c r="C2282" s="235"/>
      <c r="D2282" s="3"/>
      <c r="E2282" s="235"/>
      <c r="F2282" s="236"/>
      <c r="G2282" s="215" t="str">
        <f>IF(AND($B2282="",OR(B2282&lt;&gt;"",C2282&lt;&gt;"",D2282&lt;&gt;"",E2282&lt;&gt;"",F2282&lt;&gt;"")),入力リスト!$K$34,IF($I2282=TRUE,入力リスト!$K$35,IF(J2282=FALSE,"「毎月の固定給与額」","")&amp;IF(AND(J2282=FALSE,OR(K2282=FALSE,L2282=FALSE,M2282=FALSE)),",","")&amp;IF(K2282=FALSE,"「賞与額等」","")&amp;IF(AND(K2282=FALSE,OR(L2282=FALSE,M2282=FALSE)),",","")&amp;IF(L2282=FALSE,"「残業手当」","")&amp;IF(AND(L2282=FALSE,M2282=FALSE),",","")&amp;IF(M2282=FALSE,"「残業時間」","")&amp;IF(OR(J2282=FALSE,K2282=FALSE,L2282=FALSE,M2282=FALSE),入力リスト!$K$36,"")&amp;IF(N2282,"",入力リスト!$K$37)))</f>
        <v/>
      </c>
      <c r="H2282" s="215"/>
      <c r="I2282" s="1" t="b">
        <f>IF(B2282="",FALSE,COUNTIF('従業員情報(給与以外)'!$A$4:$A$1000000,$B2282)=0)</f>
        <v>0</v>
      </c>
      <c r="J2282" s="8" t="b">
        <f t="shared" si="175"/>
        <v>1</v>
      </c>
      <c r="K2282" s="8" t="b">
        <f t="shared" si="176"/>
        <v>1</v>
      </c>
      <c r="L2282" s="8" t="b">
        <f t="shared" si="177"/>
        <v>1</v>
      </c>
      <c r="M2282" s="8" t="b">
        <f t="shared" si="178"/>
        <v>1</v>
      </c>
      <c r="N2282" s="1" t="b">
        <f t="shared" si="179"/>
        <v>1</v>
      </c>
      <c r="O2282" s="8" t="str">
        <f>IF(F2282="","",IF($F$2=入力リスト!$H$25,ROUNDDOWN(INT(F2282)+ROUNDDOWN((F2282-INT(F2282))*100,0)/60,2),F2282))</f>
        <v/>
      </c>
      <c r="P2282" s="7"/>
      <c r="Q2282" s="7"/>
    </row>
    <row r="2283" spans="1:17">
      <c r="A2283" s="234"/>
      <c r="B2283" s="235"/>
      <c r="C2283" s="235"/>
      <c r="D2283" s="3"/>
      <c r="E2283" s="235"/>
      <c r="F2283" s="236"/>
      <c r="G2283" s="215" t="str">
        <f>IF(AND($B2283="",OR(B2283&lt;&gt;"",C2283&lt;&gt;"",D2283&lt;&gt;"",E2283&lt;&gt;"",F2283&lt;&gt;"")),入力リスト!$K$34,IF($I2283=TRUE,入力リスト!$K$35,IF(J2283=FALSE,"「毎月の固定給与額」","")&amp;IF(AND(J2283=FALSE,OR(K2283=FALSE,L2283=FALSE,M2283=FALSE)),",","")&amp;IF(K2283=FALSE,"「賞与額等」","")&amp;IF(AND(K2283=FALSE,OR(L2283=FALSE,M2283=FALSE)),",","")&amp;IF(L2283=FALSE,"「残業手当」","")&amp;IF(AND(L2283=FALSE,M2283=FALSE),",","")&amp;IF(M2283=FALSE,"「残業時間」","")&amp;IF(OR(J2283=FALSE,K2283=FALSE,L2283=FALSE,M2283=FALSE),入力リスト!$K$36,"")&amp;IF(N2283,"",入力リスト!$K$37)))</f>
        <v/>
      </c>
      <c r="H2283" s="215"/>
      <c r="I2283" s="1" t="b">
        <f>IF(B2283="",FALSE,COUNTIF('従業員情報(給与以外)'!$A$4:$A$1000000,$B2283)=0)</f>
        <v>0</v>
      </c>
      <c r="J2283" s="8" t="b">
        <f t="shared" si="175"/>
        <v>1</v>
      </c>
      <c r="K2283" s="8" t="b">
        <f t="shared" si="176"/>
        <v>1</v>
      </c>
      <c r="L2283" s="8" t="b">
        <f t="shared" si="177"/>
        <v>1</v>
      </c>
      <c r="M2283" s="8" t="b">
        <f t="shared" si="178"/>
        <v>1</v>
      </c>
      <c r="N2283" s="1" t="b">
        <f t="shared" si="179"/>
        <v>1</v>
      </c>
      <c r="O2283" s="8" t="str">
        <f>IF(F2283="","",IF($F$2=入力リスト!$H$25,ROUNDDOWN(INT(F2283)+ROUNDDOWN((F2283-INT(F2283))*100,0)/60,2),F2283))</f>
        <v/>
      </c>
      <c r="P2283" s="7"/>
      <c r="Q2283" s="7"/>
    </row>
    <row r="2284" spans="1:17">
      <c r="A2284" s="234"/>
      <c r="B2284" s="235"/>
      <c r="C2284" s="235"/>
      <c r="D2284" s="3"/>
      <c r="E2284" s="235"/>
      <c r="F2284" s="236"/>
      <c r="G2284" s="215" t="str">
        <f>IF(AND($B2284="",OR(B2284&lt;&gt;"",C2284&lt;&gt;"",D2284&lt;&gt;"",E2284&lt;&gt;"",F2284&lt;&gt;"")),入力リスト!$K$34,IF($I2284=TRUE,入力リスト!$K$35,IF(J2284=FALSE,"「毎月の固定給与額」","")&amp;IF(AND(J2284=FALSE,OR(K2284=FALSE,L2284=FALSE,M2284=FALSE)),",","")&amp;IF(K2284=FALSE,"「賞与額等」","")&amp;IF(AND(K2284=FALSE,OR(L2284=FALSE,M2284=FALSE)),",","")&amp;IF(L2284=FALSE,"「残業手当」","")&amp;IF(AND(L2284=FALSE,M2284=FALSE),",","")&amp;IF(M2284=FALSE,"「残業時間」","")&amp;IF(OR(J2284=FALSE,K2284=FALSE,L2284=FALSE,M2284=FALSE),入力リスト!$K$36,"")&amp;IF(N2284,"",入力リスト!$K$37)))</f>
        <v/>
      </c>
      <c r="H2284" s="215"/>
      <c r="I2284" s="1" t="b">
        <f>IF(B2284="",FALSE,COUNTIF('従業員情報(給与以外)'!$A$4:$A$1000000,$B2284)=0)</f>
        <v>0</v>
      </c>
      <c r="J2284" s="8" t="b">
        <f t="shared" si="175"/>
        <v>1</v>
      </c>
      <c r="K2284" s="8" t="b">
        <f t="shared" si="176"/>
        <v>1</v>
      </c>
      <c r="L2284" s="8" t="b">
        <f t="shared" si="177"/>
        <v>1</v>
      </c>
      <c r="M2284" s="8" t="b">
        <f t="shared" si="178"/>
        <v>1</v>
      </c>
      <c r="N2284" s="1" t="b">
        <f t="shared" si="179"/>
        <v>1</v>
      </c>
      <c r="O2284" s="8" t="str">
        <f>IF(F2284="","",IF($F$2=入力リスト!$H$25,ROUNDDOWN(INT(F2284)+ROUNDDOWN((F2284-INT(F2284))*100,0)/60,2),F2284))</f>
        <v/>
      </c>
      <c r="P2284" s="7"/>
      <c r="Q2284" s="7"/>
    </row>
    <row r="2285" spans="1:17">
      <c r="A2285" s="234"/>
      <c r="B2285" s="235"/>
      <c r="C2285" s="235"/>
      <c r="D2285" s="3"/>
      <c r="E2285" s="235"/>
      <c r="F2285" s="236"/>
      <c r="G2285" s="215" t="str">
        <f>IF(AND($B2285="",OR(B2285&lt;&gt;"",C2285&lt;&gt;"",D2285&lt;&gt;"",E2285&lt;&gt;"",F2285&lt;&gt;"")),入力リスト!$K$34,IF($I2285=TRUE,入力リスト!$K$35,IF(J2285=FALSE,"「毎月の固定給与額」","")&amp;IF(AND(J2285=FALSE,OR(K2285=FALSE,L2285=FALSE,M2285=FALSE)),",","")&amp;IF(K2285=FALSE,"「賞与額等」","")&amp;IF(AND(K2285=FALSE,OR(L2285=FALSE,M2285=FALSE)),",","")&amp;IF(L2285=FALSE,"「残業手当」","")&amp;IF(AND(L2285=FALSE,M2285=FALSE),",","")&amp;IF(M2285=FALSE,"「残業時間」","")&amp;IF(OR(J2285=FALSE,K2285=FALSE,L2285=FALSE,M2285=FALSE),入力リスト!$K$36,"")&amp;IF(N2285,"",入力リスト!$K$37)))</f>
        <v/>
      </c>
      <c r="H2285" s="215"/>
      <c r="I2285" s="1" t="b">
        <f>IF(B2285="",FALSE,COUNTIF('従業員情報(給与以外)'!$A$4:$A$1000000,$B2285)=0)</f>
        <v>0</v>
      </c>
      <c r="J2285" s="8" t="b">
        <f t="shared" si="175"/>
        <v>1</v>
      </c>
      <c r="K2285" s="8" t="b">
        <f t="shared" si="176"/>
        <v>1</v>
      </c>
      <c r="L2285" s="8" t="b">
        <f t="shared" si="177"/>
        <v>1</v>
      </c>
      <c r="M2285" s="8" t="b">
        <f t="shared" si="178"/>
        <v>1</v>
      </c>
      <c r="N2285" s="1" t="b">
        <f t="shared" si="179"/>
        <v>1</v>
      </c>
      <c r="O2285" s="8" t="str">
        <f>IF(F2285="","",IF($F$2=入力リスト!$H$25,ROUNDDOWN(INT(F2285)+ROUNDDOWN((F2285-INT(F2285))*100,0)/60,2),F2285))</f>
        <v/>
      </c>
      <c r="P2285" s="7"/>
      <c r="Q2285" s="7"/>
    </row>
    <row r="2286" spans="1:17">
      <c r="A2286" s="234"/>
      <c r="B2286" s="235"/>
      <c r="C2286" s="235"/>
      <c r="D2286" s="3"/>
      <c r="E2286" s="235"/>
      <c r="F2286" s="236"/>
      <c r="G2286" s="215" t="str">
        <f>IF(AND($B2286="",OR(B2286&lt;&gt;"",C2286&lt;&gt;"",D2286&lt;&gt;"",E2286&lt;&gt;"",F2286&lt;&gt;"")),入力リスト!$K$34,IF($I2286=TRUE,入力リスト!$K$35,IF(J2286=FALSE,"「毎月の固定給与額」","")&amp;IF(AND(J2286=FALSE,OR(K2286=FALSE,L2286=FALSE,M2286=FALSE)),",","")&amp;IF(K2286=FALSE,"「賞与額等」","")&amp;IF(AND(K2286=FALSE,OR(L2286=FALSE,M2286=FALSE)),",","")&amp;IF(L2286=FALSE,"「残業手当」","")&amp;IF(AND(L2286=FALSE,M2286=FALSE),",","")&amp;IF(M2286=FALSE,"「残業時間」","")&amp;IF(OR(J2286=FALSE,K2286=FALSE,L2286=FALSE,M2286=FALSE),入力リスト!$K$36,"")&amp;IF(N2286,"",入力リスト!$K$37)))</f>
        <v/>
      </c>
      <c r="H2286" s="215"/>
      <c r="I2286" s="1" t="b">
        <f>IF(B2286="",FALSE,COUNTIF('従業員情報(給与以外)'!$A$4:$A$1000000,$B2286)=0)</f>
        <v>0</v>
      </c>
      <c r="J2286" s="8" t="b">
        <f t="shared" si="175"/>
        <v>1</v>
      </c>
      <c r="K2286" s="8" t="b">
        <f t="shared" si="176"/>
        <v>1</v>
      </c>
      <c r="L2286" s="8" t="b">
        <f t="shared" si="177"/>
        <v>1</v>
      </c>
      <c r="M2286" s="8" t="b">
        <f t="shared" si="178"/>
        <v>1</v>
      </c>
      <c r="N2286" s="1" t="b">
        <f t="shared" si="179"/>
        <v>1</v>
      </c>
      <c r="O2286" s="8" t="str">
        <f>IF(F2286="","",IF($F$2=入力リスト!$H$25,ROUNDDOWN(INT(F2286)+ROUNDDOWN((F2286-INT(F2286))*100,0)/60,2),F2286))</f>
        <v/>
      </c>
      <c r="P2286" s="7"/>
      <c r="Q2286" s="7"/>
    </row>
    <row r="2287" spans="1:17">
      <c r="A2287" s="234"/>
      <c r="B2287" s="235"/>
      <c r="C2287" s="235"/>
      <c r="D2287" s="3"/>
      <c r="E2287" s="235"/>
      <c r="F2287" s="236"/>
      <c r="G2287" s="215" t="str">
        <f>IF(AND($B2287="",OR(B2287&lt;&gt;"",C2287&lt;&gt;"",D2287&lt;&gt;"",E2287&lt;&gt;"",F2287&lt;&gt;"")),入力リスト!$K$34,IF($I2287=TRUE,入力リスト!$K$35,IF(J2287=FALSE,"「毎月の固定給与額」","")&amp;IF(AND(J2287=FALSE,OR(K2287=FALSE,L2287=FALSE,M2287=FALSE)),",","")&amp;IF(K2287=FALSE,"「賞与額等」","")&amp;IF(AND(K2287=FALSE,OR(L2287=FALSE,M2287=FALSE)),",","")&amp;IF(L2287=FALSE,"「残業手当」","")&amp;IF(AND(L2287=FALSE,M2287=FALSE),",","")&amp;IF(M2287=FALSE,"「残業時間」","")&amp;IF(OR(J2287=FALSE,K2287=FALSE,L2287=FALSE,M2287=FALSE),入力リスト!$K$36,"")&amp;IF(N2287,"",入力リスト!$K$37)))</f>
        <v/>
      </c>
      <c r="H2287" s="215"/>
      <c r="I2287" s="1" t="b">
        <f>IF(B2287="",FALSE,COUNTIF('従業員情報(給与以外)'!$A$4:$A$1000000,$B2287)=0)</f>
        <v>0</v>
      </c>
      <c r="J2287" s="8" t="b">
        <f t="shared" si="175"/>
        <v>1</v>
      </c>
      <c r="K2287" s="8" t="b">
        <f t="shared" si="176"/>
        <v>1</v>
      </c>
      <c r="L2287" s="8" t="b">
        <f t="shared" si="177"/>
        <v>1</v>
      </c>
      <c r="M2287" s="8" t="b">
        <f t="shared" si="178"/>
        <v>1</v>
      </c>
      <c r="N2287" s="1" t="b">
        <f t="shared" si="179"/>
        <v>1</v>
      </c>
      <c r="O2287" s="8" t="str">
        <f>IF(F2287="","",IF($F$2=入力リスト!$H$25,ROUNDDOWN(INT(F2287)+ROUNDDOWN((F2287-INT(F2287))*100,0)/60,2),F2287))</f>
        <v/>
      </c>
      <c r="P2287" s="7"/>
      <c r="Q2287" s="7"/>
    </row>
    <row r="2288" spans="1:17">
      <c r="A2288" s="234"/>
      <c r="B2288" s="235"/>
      <c r="C2288" s="235"/>
      <c r="D2288" s="3"/>
      <c r="E2288" s="235"/>
      <c r="F2288" s="236"/>
      <c r="G2288" s="215" t="str">
        <f>IF(AND($B2288="",OR(B2288&lt;&gt;"",C2288&lt;&gt;"",D2288&lt;&gt;"",E2288&lt;&gt;"",F2288&lt;&gt;"")),入力リスト!$K$34,IF($I2288=TRUE,入力リスト!$K$35,IF(J2288=FALSE,"「毎月の固定給与額」","")&amp;IF(AND(J2288=FALSE,OR(K2288=FALSE,L2288=FALSE,M2288=FALSE)),",","")&amp;IF(K2288=FALSE,"「賞与額等」","")&amp;IF(AND(K2288=FALSE,OR(L2288=FALSE,M2288=FALSE)),",","")&amp;IF(L2288=FALSE,"「残業手当」","")&amp;IF(AND(L2288=FALSE,M2288=FALSE),",","")&amp;IF(M2288=FALSE,"「残業時間」","")&amp;IF(OR(J2288=FALSE,K2288=FALSE,L2288=FALSE,M2288=FALSE),入力リスト!$K$36,"")&amp;IF(N2288,"",入力リスト!$K$37)))</f>
        <v/>
      </c>
      <c r="H2288" s="215"/>
      <c r="I2288" s="1" t="b">
        <f>IF(B2288="",FALSE,COUNTIF('従業員情報(給与以外)'!$A$4:$A$1000000,$B2288)=0)</f>
        <v>0</v>
      </c>
      <c r="J2288" s="8" t="b">
        <f t="shared" si="175"/>
        <v>1</v>
      </c>
      <c r="K2288" s="8" t="b">
        <f t="shared" si="176"/>
        <v>1</v>
      </c>
      <c r="L2288" s="8" t="b">
        <f t="shared" si="177"/>
        <v>1</v>
      </c>
      <c r="M2288" s="8" t="b">
        <f t="shared" si="178"/>
        <v>1</v>
      </c>
      <c r="N2288" s="1" t="b">
        <f t="shared" si="179"/>
        <v>1</v>
      </c>
      <c r="O2288" s="8" t="str">
        <f>IF(F2288="","",IF($F$2=入力リスト!$H$25,ROUNDDOWN(INT(F2288)+ROUNDDOWN((F2288-INT(F2288))*100,0)/60,2),F2288))</f>
        <v/>
      </c>
      <c r="P2288" s="7"/>
      <c r="Q2288" s="7"/>
    </row>
    <row r="2289" spans="1:17">
      <c r="A2289" s="234"/>
      <c r="B2289" s="235"/>
      <c r="C2289" s="235"/>
      <c r="D2289" s="3"/>
      <c r="E2289" s="235"/>
      <c r="F2289" s="236"/>
      <c r="G2289" s="215" t="str">
        <f>IF(AND($B2289="",OR(B2289&lt;&gt;"",C2289&lt;&gt;"",D2289&lt;&gt;"",E2289&lt;&gt;"",F2289&lt;&gt;"")),入力リスト!$K$34,IF($I2289=TRUE,入力リスト!$K$35,IF(J2289=FALSE,"「毎月の固定給与額」","")&amp;IF(AND(J2289=FALSE,OR(K2289=FALSE,L2289=FALSE,M2289=FALSE)),",","")&amp;IF(K2289=FALSE,"「賞与額等」","")&amp;IF(AND(K2289=FALSE,OR(L2289=FALSE,M2289=FALSE)),",","")&amp;IF(L2289=FALSE,"「残業手当」","")&amp;IF(AND(L2289=FALSE,M2289=FALSE),",","")&amp;IF(M2289=FALSE,"「残業時間」","")&amp;IF(OR(J2289=FALSE,K2289=FALSE,L2289=FALSE,M2289=FALSE),入力リスト!$K$36,"")&amp;IF(N2289,"",入力リスト!$K$37)))</f>
        <v/>
      </c>
      <c r="H2289" s="215"/>
      <c r="I2289" s="1" t="b">
        <f>IF(B2289="",FALSE,COUNTIF('従業員情報(給与以外)'!$A$4:$A$1000000,$B2289)=0)</f>
        <v>0</v>
      </c>
      <c r="J2289" s="8" t="b">
        <f t="shared" si="175"/>
        <v>1</v>
      </c>
      <c r="K2289" s="8" t="b">
        <f t="shared" si="176"/>
        <v>1</v>
      </c>
      <c r="L2289" s="8" t="b">
        <f t="shared" si="177"/>
        <v>1</v>
      </c>
      <c r="M2289" s="8" t="b">
        <f t="shared" si="178"/>
        <v>1</v>
      </c>
      <c r="N2289" s="1" t="b">
        <f t="shared" si="179"/>
        <v>1</v>
      </c>
      <c r="O2289" s="8" t="str">
        <f>IF(F2289="","",IF($F$2=入力リスト!$H$25,ROUNDDOWN(INT(F2289)+ROUNDDOWN((F2289-INT(F2289))*100,0)/60,2),F2289))</f>
        <v/>
      </c>
      <c r="P2289" s="7"/>
      <c r="Q2289" s="7"/>
    </row>
    <row r="2290" spans="1:17">
      <c r="A2290" s="234"/>
      <c r="B2290" s="235"/>
      <c r="C2290" s="235"/>
      <c r="D2290" s="3"/>
      <c r="E2290" s="235"/>
      <c r="F2290" s="236"/>
      <c r="G2290" s="215" t="str">
        <f>IF(AND($B2290="",OR(B2290&lt;&gt;"",C2290&lt;&gt;"",D2290&lt;&gt;"",E2290&lt;&gt;"",F2290&lt;&gt;"")),入力リスト!$K$34,IF($I2290=TRUE,入力リスト!$K$35,IF(J2290=FALSE,"「毎月の固定給与額」","")&amp;IF(AND(J2290=FALSE,OR(K2290=FALSE,L2290=FALSE,M2290=FALSE)),",","")&amp;IF(K2290=FALSE,"「賞与額等」","")&amp;IF(AND(K2290=FALSE,OR(L2290=FALSE,M2290=FALSE)),",","")&amp;IF(L2290=FALSE,"「残業手当」","")&amp;IF(AND(L2290=FALSE,M2290=FALSE),",","")&amp;IF(M2290=FALSE,"「残業時間」","")&amp;IF(OR(J2290=FALSE,K2290=FALSE,L2290=FALSE,M2290=FALSE),入力リスト!$K$36,"")&amp;IF(N2290,"",入力リスト!$K$37)))</f>
        <v/>
      </c>
      <c r="H2290" s="215"/>
      <c r="I2290" s="1" t="b">
        <f>IF(B2290="",FALSE,COUNTIF('従業員情報(給与以外)'!$A$4:$A$1000000,$B2290)=0)</f>
        <v>0</v>
      </c>
      <c r="J2290" s="8" t="b">
        <f t="shared" ref="J2290:J2353" si="180">OR(C2290="",ISNUMBER(C2290))</f>
        <v>1</v>
      </c>
      <c r="K2290" s="8" t="b">
        <f t="shared" ref="K2290:K2353" si="181">OR(D2290="",ISNUMBER(D2290))</f>
        <v>1</v>
      </c>
      <c r="L2290" s="8" t="b">
        <f t="shared" ref="L2290:L2353" si="182">OR(E2290="",ISNUMBER(E2290))</f>
        <v>1</v>
      </c>
      <c r="M2290" s="8" t="b">
        <f t="shared" ref="M2290:M2353" si="183">OR(F2290="",ISNUMBER(F2290))</f>
        <v>1</v>
      </c>
      <c r="N2290" s="1" t="b">
        <f t="shared" si="179"/>
        <v>1</v>
      </c>
      <c r="O2290" s="8" t="str">
        <f>IF(F2290="","",IF($F$2=入力リスト!$H$25,ROUNDDOWN(INT(F2290)+ROUNDDOWN((F2290-INT(F2290))*100,0)/60,2),F2290))</f>
        <v/>
      </c>
      <c r="P2290" s="7"/>
      <c r="Q2290" s="7"/>
    </row>
    <row r="2291" spans="1:17">
      <c r="A2291" s="234"/>
      <c r="B2291" s="235"/>
      <c r="C2291" s="235"/>
      <c r="D2291" s="3"/>
      <c r="E2291" s="235"/>
      <c r="F2291" s="236"/>
      <c r="G2291" s="215" t="str">
        <f>IF(AND($B2291="",OR(B2291&lt;&gt;"",C2291&lt;&gt;"",D2291&lt;&gt;"",E2291&lt;&gt;"",F2291&lt;&gt;"")),入力リスト!$K$34,IF($I2291=TRUE,入力リスト!$K$35,IF(J2291=FALSE,"「毎月の固定給与額」","")&amp;IF(AND(J2291=FALSE,OR(K2291=FALSE,L2291=FALSE,M2291=FALSE)),",","")&amp;IF(K2291=FALSE,"「賞与額等」","")&amp;IF(AND(K2291=FALSE,OR(L2291=FALSE,M2291=FALSE)),",","")&amp;IF(L2291=FALSE,"「残業手当」","")&amp;IF(AND(L2291=FALSE,M2291=FALSE),",","")&amp;IF(M2291=FALSE,"「残業時間」","")&amp;IF(OR(J2291=FALSE,K2291=FALSE,L2291=FALSE,M2291=FALSE),入力リスト!$K$36,"")&amp;IF(N2291,"",入力リスト!$K$37)))</f>
        <v/>
      </c>
      <c r="H2291" s="215"/>
      <c r="I2291" s="1" t="b">
        <f>IF(B2291="",FALSE,COUNTIF('従業員情報(給与以外)'!$A$4:$A$1000000,$B2291)=0)</f>
        <v>0</v>
      </c>
      <c r="J2291" s="8" t="b">
        <f t="shared" si="180"/>
        <v>1</v>
      </c>
      <c r="K2291" s="8" t="b">
        <f t="shared" si="181"/>
        <v>1</v>
      </c>
      <c r="L2291" s="8" t="b">
        <f t="shared" si="182"/>
        <v>1</v>
      </c>
      <c r="M2291" s="8" t="b">
        <f t="shared" si="183"/>
        <v>1</v>
      </c>
      <c r="N2291" s="1" t="b">
        <f t="shared" si="179"/>
        <v>1</v>
      </c>
      <c r="O2291" s="8" t="str">
        <f>IF(F2291="","",IF($F$2=入力リスト!$H$25,ROUNDDOWN(INT(F2291)+ROUNDDOWN((F2291-INT(F2291))*100,0)/60,2),F2291))</f>
        <v/>
      </c>
      <c r="P2291" s="7"/>
      <c r="Q2291" s="7"/>
    </row>
    <row r="2292" spans="1:17">
      <c r="A2292" s="234"/>
      <c r="B2292" s="235"/>
      <c r="C2292" s="235"/>
      <c r="D2292" s="3"/>
      <c r="E2292" s="235"/>
      <c r="F2292" s="236"/>
      <c r="G2292" s="215" t="str">
        <f>IF(AND($B2292="",OR(B2292&lt;&gt;"",C2292&lt;&gt;"",D2292&lt;&gt;"",E2292&lt;&gt;"",F2292&lt;&gt;"")),入力リスト!$K$34,IF($I2292=TRUE,入力リスト!$K$35,IF(J2292=FALSE,"「毎月の固定給与額」","")&amp;IF(AND(J2292=FALSE,OR(K2292=FALSE,L2292=FALSE,M2292=FALSE)),",","")&amp;IF(K2292=FALSE,"「賞与額等」","")&amp;IF(AND(K2292=FALSE,OR(L2292=FALSE,M2292=FALSE)),",","")&amp;IF(L2292=FALSE,"「残業手当」","")&amp;IF(AND(L2292=FALSE,M2292=FALSE),",","")&amp;IF(M2292=FALSE,"「残業時間」","")&amp;IF(OR(J2292=FALSE,K2292=FALSE,L2292=FALSE,M2292=FALSE),入力リスト!$K$36,"")&amp;IF(N2292,"",入力リスト!$K$37)))</f>
        <v/>
      </c>
      <c r="H2292" s="215"/>
      <c r="I2292" s="1" t="b">
        <f>IF(B2292="",FALSE,COUNTIF('従業員情報(給与以外)'!$A$4:$A$1000000,$B2292)=0)</f>
        <v>0</v>
      </c>
      <c r="J2292" s="8" t="b">
        <f t="shared" si="180"/>
        <v>1</v>
      </c>
      <c r="K2292" s="8" t="b">
        <f t="shared" si="181"/>
        <v>1</v>
      </c>
      <c r="L2292" s="8" t="b">
        <f t="shared" si="182"/>
        <v>1</v>
      </c>
      <c r="M2292" s="8" t="b">
        <f t="shared" si="183"/>
        <v>1</v>
      </c>
      <c r="N2292" s="1" t="b">
        <f t="shared" si="179"/>
        <v>1</v>
      </c>
      <c r="O2292" s="8" t="str">
        <f>IF(F2292="","",IF($F$2=入力リスト!$H$25,ROUNDDOWN(INT(F2292)+ROUNDDOWN((F2292-INT(F2292))*100,0)/60,2),F2292))</f>
        <v/>
      </c>
      <c r="P2292" s="7"/>
      <c r="Q2292" s="7"/>
    </row>
    <row r="2293" spans="1:17">
      <c r="A2293" s="234"/>
      <c r="B2293" s="235"/>
      <c r="C2293" s="235"/>
      <c r="D2293" s="3"/>
      <c r="E2293" s="235"/>
      <c r="F2293" s="236"/>
      <c r="G2293" s="215" t="str">
        <f>IF(AND($B2293="",OR(B2293&lt;&gt;"",C2293&lt;&gt;"",D2293&lt;&gt;"",E2293&lt;&gt;"",F2293&lt;&gt;"")),入力リスト!$K$34,IF($I2293=TRUE,入力リスト!$K$35,IF(J2293=FALSE,"「毎月の固定給与額」","")&amp;IF(AND(J2293=FALSE,OR(K2293=FALSE,L2293=FALSE,M2293=FALSE)),",","")&amp;IF(K2293=FALSE,"「賞与額等」","")&amp;IF(AND(K2293=FALSE,OR(L2293=FALSE,M2293=FALSE)),",","")&amp;IF(L2293=FALSE,"「残業手当」","")&amp;IF(AND(L2293=FALSE,M2293=FALSE),",","")&amp;IF(M2293=FALSE,"「残業時間」","")&amp;IF(OR(J2293=FALSE,K2293=FALSE,L2293=FALSE,M2293=FALSE),入力リスト!$K$36,"")&amp;IF(N2293,"",入力リスト!$K$37)))</f>
        <v/>
      </c>
      <c r="H2293" s="215"/>
      <c r="I2293" s="1" t="b">
        <f>IF(B2293="",FALSE,COUNTIF('従業員情報(給与以外)'!$A$4:$A$1000000,$B2293)=0)</f>
        <v>0</v>
      </c>
      <c r="J2293" s="8" t="b">
        <f t="shared" si="180"/>
        <v>1</v>
      </c>
      <c r="K2293" s="8" t="b">
        <f t="shared" si="181"/>
        <v>1</v>
      </c>
      <c r="L2293" s="8" t="b">
        <f t="shared" si="182"/>
        <v>1</v>
      </c>
      <c r="M2293" s="8" t="b">
        <f t="shared" si="183"/>
        <v>1</v>
      </c>
      <c r="N2293" s="1" t="b">
        <f t="shared" si="179"/>
        <v>1</v>
      </c>
      <c r="O2293" s="8" t="str">
        <f>IF(F2293="","",IF($F$2=入力リスト!$H$25,ROUNDDOWN(INT(F2293)+ROUNDDOWN((F2293-INT(F2293))*100,0)/60,2),F2293))</f>
        <v/>
      </c>
      <c r="P2293" s="7"/>
      <c r="Q2293" s="7"/>
    </row>
    <row r="2294" spans="1:17">
      <c r="A2294" s="234"/>
      <c r="B2294" s="235"/>
      <c r="C2294" s="235"/>
      <c r="D2294" s="3"/>
      <c r="E2294" s="235"/>
      <c r="F2294" s="236"/>
      <c r="G2294" s="215" t="str">
        <f>IF(AND($B2294="",OR(B2294&lt;&gt;"",C2294&lt;&gt;"",D2294&lt;&gt;"",E2294&lt;&gt;"",F2294&lt;&gt;"")),入力リスト!$K$34,IF($I2294=TRUE,入力リスト!$K$35,IF(J2294=FALSE,"「毎月の固定給与額」","")&amp;IF(AND(J2294=FALSE,OR(K2294=FALSE,L2294=FALSE,M2294=FALSE)),",","")&amp;IF(K2294=FALSE,"「賞与額等」","")&amp;IF(AND(K2294=FALSE,OR(L2294=FALSE,M2294=FALSE)),",","")&amp;IF(L2294=FALSE,"「残業手当」","")&amp;IF(AND(L2294=FALSE,M2294=FALSE),",","")&amp;IF(M2294=FALSE,"「残業時間」","")&amp;IF(OR(J2294=FALSE,K2294=FALSE,L2294=FALSE,M2294=FALSE),入力リスト!$K$36,"")&amp;IF(N2294,"",入力リスト!$K$37)))</f>
        <v/>
      </c>
      <c r="H2294" s="215"/>
      <c r="I2294" s="1" t="b">
        <f>IF(B2294="",FALSE,COUNTIF('従業員情報(給与以外)'!$A$4:$A$1000000,$B2294)=0)</f>
        <v>0</v>
      </c>
      <c r="J2294" s="8" t="b">
        <f t="shared" si="180"/>
        <v>1</v>
      </c>
      <c r="K2294" s="8" t="b">
        <f t="shared" si="181"/>
        <v>1</v>
      </c>
      <c r="L2294" s="8" t="b">
        <f t="shared" si="182"/>
        <v>1</v>
      </c>
      <c r="M2294" s="8" t="b">
        <f t="shared" si="183"/>
        <v>1</v>
      </c>
      <c r="N2294" s="1" t="b">
        <f t="shared" si="179"/>
        <v>1</v>
      </c>
      <c r="O2294" s="8" t="str">
        <f>IF(F2294="","",IF($F$2=入力リスト!$H$25,ROUNDDOWN(INT(F2294)+ROUNDDOWN((F2294-INT(F2294))*100,0)/60,2),F2294))</f>
        <v/>
      </c>
      <c r="P2294" s="7"/>
      <c r="Q2294" s="7"/>
    </row>
    <row r="2295" spans="1:17">
      <c r="A2295" s="234"/>
      <c r="B2295" s="235"/>
      <c r="C2295" s="235"/>
      <c r="D2295" s="3"/>
      <c r="E2295" s="235"/>
      <c r="F2295" s="236"/>
      <c r="G2295" s="215" t="str">
        <f>IF(AND($B2295="",OR(B2295&lt;&gt;"",C2295&lt;&gt;"",D2295&lt;&gt;"",E2295&lt;&gt;"",F2295&lt;&gt;"")),入力リスト!$K$34,IF($I2295=TRUE,入力リスト!$K$35,IF(J2295=FALSE,"「毎月の固定給与額」","")&amp;IF(AND(J2295=FALSE,OR(K2295=FALSE,L2295=FALSE,M2295=FALSE)),",","")&amp;IF(K2295=FALSE,"「賞与額等」","")&amp;IF(AND(K2295=FALSE,OR(L2295=FALSE,M2295=FALSE)),",","")&amp;IF(L2295=FALSE,"「残業手当」","")&amp;IF(AND(L2295=FALSE,M2295=FALSE),",","")&amp;IF(M2295=FALSE,"「残業時間」","")&amp;IF(OR(J2295=FALSE,K2295=FALSE,L2295=FALSE,M2295=FALSE),入力リスト!$K$36,"")&amp;IF(N2295,"",入力リスト!$K$37)))</f>
        <v/>
      </c>
      <c r="H2295" s="215"/>
      <c r="I2295" s="1" t="b">
        <f>IF(B2295="",FALSE,COUNTIF('従業員情報(給与以外)'!$A$4:$A$1000000,$B2295)=0)</f>
        <v>0</v>
      </c>
      <c r="J2295" s="8" t="b">
        <f t="shared" si="180"/>
        <v>1</v>
      </c>
      <c r="K2295" s="8" t="b">
        <f t="shared" si="181"/>
        <v>1</v>
      </c>
      <c r="L2295" s="8" t="b">
        <f t="shared" si="182"/>
        <v>1</v>
      </c>
      <c r="M2295" s="8" t="b">
        <f t="shared" si="183"/>
        <v>1</v>
      </c>
      <c r="N2295" s="1" t="b">
        <f t="shared" si="179"/>
        <v>1</v>
      </c>
      <c r="O2295" s="8" t="str">
        <f>IF(F2295="","",IF($F$2=入力リスト!$H$25,ROUNDDOWN(INT(F2295)+ROUNDDOWN((F2295-INT(F2295))*100,0)/60,2),F2295))</f>
        <v/>
      </c>
      <c r="P2295" s="7"/>
      <c r="Q2295" s="7"/>
    </row>
    <row r="2296" spans="1:17">
      <c r="A2296" s="234"/>
      <c r="B2296" s="235"/>
      <c r="C2296" s="235"/>
      <c r="D2296" s="3"/>
      <c r="E2296" s="235"/>
      <c r="F2296" s="236"/>
      <c r="G2296" s="215" t="str">
        <f>IF(AND($B2296="",OR(B2296&lt;&gt;"",C2296&lt;&gt;"",D2296&lt;&gt;"",E2296&lt;&gt;"",F2296&lt;&gt;"")),入力リスト!$K$34,IF($I2296=TRUE,入力リスト!$K$35,IF(J2296=FALSE,"「毎月の固定給与額」","")&amp;IF(AND(J2296=FALSE,OR(K2296=FALSE,L2296=FALSE,M2296=FALSE)),",","")&amp;IF(K2296=FALSE,"「賞与額等」","")&amp;IF(AND(K2296=FALSE,OR(L2296=FALSE,M2296=FALSE)),",","")&amp;IF(L2296=FALSE,"「残業手当」","")&amp;IF(AND(L2296=FALSE,M2296=FALSE),",","")&amp;IF(M2296=FALSE,"「残業時間」","")&amp;IF(OR(J2296=FALSE,K2296=FALSE,L2296=FALSE,M2296=FALSE),入力リスト!$K$36,"")&amp;IF(N2296,"",入力リスト!$K$37)))</f>
        <v/>
      </c>
      <c r="H2296" s="215"/>
      <c r="I2296" s="1" t="b">
        <f>IF(B2296="",FALSE,COUNTIF('従業員情報(給与以外)'!$A$4:$A$1000000,$B2296)=0)</f>
        <v>0</v>
      </c>
      <c r="J2296" s="8" t="b">
        <f t="shared" si="180"/>
        <v>1</v>
      </c>
      <c r="K2296" s="8" t="b">
        <f t="shared" si="181"/>
        <v>1</v>
      </c>
      <c r="L2296" s="8" t="b">
        <f t="shared" si="182"/>
        <v>1</v>
      </c>
      <c r="M2296" s="8" t="b">
        <f t="shared" si="183"/>
        <v>1</v>
      </c>
      <c r="N2296" s="1" t="b">
        <f t="shared" si="179"/>
        <v>1</v>
      </c>
      <c r="O2296" s="8" t="str">
        <f>IF(F2296="","",IF($F$2=入力リスト!$H$25,ROUNDDOWN(INT(F2296)+ROUNDDOWN((F2296-INT(F2296))*100,0)/60,2),F2296))</f>
        <v/>
      </c>
      <c r="P2296" s="7"/>
      <c r="Q2296" s="7"/>
    </row>
    <row r="2297" spans="1:17">
      <c r="A2297" s="234"/>
      <c r="B2297" s="235"/>
      <c r="C2297" s="235"/>
      <c r="D2297" s="3"/>
      <c r="E2297" s="235"/>
      <c r="F2297" s="236"/>
      <c r="G2297" s="215" t="str">
        <f>IF(AND($B2297="",OR(B2297&lt;&gt;"",C2297&lt;&gt;"",D2297&lt;&gt;"",E2297&lt;&gt;"",F2297&lt;&gt;"")),入力リスト!$K$34,IF($I2297=TRUE,入力リスト!$K$35,IF(J2297=FALSE,"「毎月の固定給与額」","")&amp;IF(AND(J2297=FALSE,OR(K2297=FALSE,L2297=FALSE,M2297=FALSE)),",","")&amp;IF(K2297=FALSE,"「賞与額等」","")&amp;IF(AND(K2297=FALSE,OR(L2297=FALSE,M2297=FALSE)),",","")&amp;IF(L2297=FALSE,"「残業手当」","")&amp;IF(AND(L2297=FALSE,M2297=FALSE),",","")&amp;IF(M2297=FALSE,"「残業時間」","")&amp;IF(OR(J2297=FALSE,K2297=FALSE,L2297=FALSE,M2297=FALSE),入力リスト!$K$36,"")&amp;IF(N2297,"",入力リスト!$K$37)))</f>
        <v/>
      </c>
      <c r="H2297" s="215"/>
      <c r="I2297" s="1" t="b">
        <f>IF(B2297="",FALSE,COUNTIF('従業員情報(給与以外)'!$A$4:$A$1000000,$B2297)=0)</f>
        <v>0</v>
      </c>
      <c r="J2297" s="8" t="b">
        <f t="shared" si="180"/>
        <v>1</v>
      </c>
      <c r="K2297" s="8" t="b">
        <f t="shared" si="181"/>
        <v>1</v>
      </c>
      <c r="L2297" s="8" t="b">
        <f t="shared" si="182"/>
        <v>1</v>
      </c>
      <c r="M2297" s="8" t="b">
        <f t="shared" si="183"/>
        <v>1</v>
      </c>
      <c r="N2297" s="1" t="b">
        <f t="shared" si="179"/>
        <v>1</v>
      </c>
      <c r="O2297" s="8" t="str">
        <f>IF(F2297="","",IF($F$2=入力リスト!$H$25,ROUNDDOWN(INT(F2297)+ROUNDDOWN((F2297-INT(F2297))*100,0)/60,2),F2297))</f>
        <v/>
      </c>
      <c r="P2297" s="7"/>
      <c r="Q2297" s="7"/>
    </row>
    <row r="2298" spans="1:17">
      <c r="A2298" s="234"/>
      <c r="B2298" s="235"/>
      <c r="C2298" s="235"/>
      <c r="D2298" s="3"/>
      <c r="E2298" s="235"/>
      <c r="F2298" s="236"/>
      <c r="G2298" s="215" t="str">
        <f>IF(AND($B2298="",OR(B2298&lt;&gt;"",C2298&lt;&gt;"",D2298&lt;&gt;"",E2298&lt;&gt;"",F2298&lt;&gt;"")),入力リスト!$K$34,IF($I2298=TRUE,入力リスト!$K$35,IF(J2298=FALSE,"「毎月の固定給与額」","")&amp;IF(AND(J2298=FALSE,OR(K2298=FALSE,L2298=FALSE,M2298=FALSE)),",","")&amp;IF(K2298=FALSE,"「賞与額等」","")&amp;IF(AND(K2298=FALSE,OR(L2298=FALSE,M2298=FALSE)),",","")&amp;IF(L2298=FALSE,"「残業手当」","")&amp;IF(AND(L2298=FALSE,M2298=FALSE),",","")&amp;IF(M2298=FALSE,"「残業時間」","")&amp;IF(OR(J2298=FALSE,K2298=FALSE,L2298=FALSE,M2298=FALSE),入力リスト!$K$36,"")&amp;IF(N2298,"",入力リスト!$K$37)))</f>
        <v/>
      </c>
      <c r="H2298" s="215"/>
      <c r="I2298" s="1" t="b">
        <f>IF(B2298="",FALSE,COUNTIF('従業員情報(給与以外)'!$A$4:$A$1000000,$B2298)=0)</f>
        <v>0</v>
      </c>
      <c r="J2298" s="8" t="b">
        <f t="shared" si="180"/>
        <v>1</v>
      </c>
      <c r="K2298" s="8" t="b">
        <f t="shared" si="181"/>
        <v>1</v>
      </c>
      <c r="L2298" s="8" t="b">
        <f t="shared" si="182"/>
        <v>1</v>
      </c>
      <c r="M2298" s="8" t="b">
        <f t="shared" si="183"/>
        <v>1</v>
      </c>
      <c r="N2298" s="1" t="b">
        <f t="shared" si="179"/>
        <v>1</v>
      </c>
      <c r="O2298" s="8" t="str">
        <f>IF(F2298="","",IF($F$2=入力リスト!$H$25,ROUNDDOWN(INT(F2298)+ROUNDDOWN((F2298-INT(F2298))*100,0)/60,2),F2298))</f>
        <v/>
      </c>
      <c r="P2298" s="7"/>
      <c r="Q2298" s="7"/>
    </row>
    <row r="2299" spans="1:17">
      <c r="A2299" s="234"/>
      <c r="B2299" s="235"/>
      <c r="C2299" s="235"/>
      <c r="D2299" s="3"/>
      <c r="E2299" s="235"/>
      <c r="F2299" s="236"/>
      <c r="G2299" s="215" t="str">
        <f>IF(AND($B2299="",OR(B2299&lt;&gt;"",C2299&lt;&gt;"",D2299&lt;&gt;"",E2299&lt;&gt;"",F2299&lt;&gt;"")),入力リスト!$K$34,IF($I2299=TRUE,入力リスト!$K$35,IF(J2299=FALSE,"「毎月の固定給与額」","")&amp;IF(AND(J2299=FALSE,OR(K2299=FALSE,L2299=FALSE,M2299=FALSE)),",","")&amp;IF(K2299=FALSE,"「賞与額等」","")&amp;IF(AND(K2299=FALSE,OR(L2299=FALSE,M2299=FALSE)),",","")&amp;IF(L2299=FALSE,"「残業手当」","")&amp;IF(AND(L2299=FALSE,M2299=FALSE),",","")&amp;IF(M2299=FALSE,"「残業時間」","")&amp;IF(OR(J2299=FALSE,K2299=FALSE,L2299=FALSE,M2299=FALSE),入力リスト!$K$36,"")&amp;IF(N2299,"",入力リスト!$K$37)))</f>
        <v/>
      </c>
      <c r="H2299" s="215"/>
      <c r="I2299" s="1" t="b">
        <f>IF(B2299="",FALSE,COUNTIF('従業員情報(給与以外)'!$A$4:$A$1000000,$B2299)=0)</f>
        <v>0</v>
      </c>
      <c r="J2299" s="8" t="b">
        <f t="shared" si="180"/>
        <v>1</v>
      </c>
      <c r="K2299" s="8" t="b">
        <f t="shared" si="181"/>
        <v>1</v>
      </c>
      <c r="L2299" s="8" t="b">
        <f t="shared" si="182"/>
        <v>1</v>
      </c>
      <c r="M2299" s="8" t="b">
        <f t="shared" si="183"/>
        <v>1</v>
      </c>
      <c r="N2299" s="1" t="b">
        <f t="shared" si="179"/>
        <v>1</v>
      </c>
      <c r="O2299" s="8" t="str">
        <f>IF(F2299="","",IF($F$2=入力リスト!$H$25,ROUNDDOWN(INT(F2299)+ROUNDDOWN((F2299-INT(F2299))*100,0)/60,2),F2299))</f>
        <v/>
      </c>
      <c r="P2299" s="7"/>
      <c r="Q2299" s="7"/>
    </row>
    <row r="2300" spans="1:17">
      <c r="A2300" s="234"/>
      <c r="B2300" s="235"/>
      <c r="C2300" s="235"/>
      <c r="D2300" s="3"/>
      <c r="E2300" s="235"/>
      <c r="F2300" s="236"/>
      <c r="G2300" s="215" t="str">
        <f>IF(AND($B2300="",OR(B2300&lt;&gt;"",C2300&lt;&gt;"",D2300&lt;&gt;"",E2300&lt;&gt;"",F2300&lt;&gt;"")),入力リスト!$K$34,IF($I2300=TRUE,入力リスト!$K$35,IF(J2300=FALSE,"「毎月の固定給与額」","")&amp;IF(AND(J2300=FALSE,OR(K2300=FALSE,L2300=FALSE,M2300=FALSE)),",","")&amp;IF(K2300=FALSE,"「賞与額等」","")&amp;IF(AND(K2300=FALSE,OR(L2300=FALSE,M2300=FALSE)),",","")&amp;IF(L2300=FALSE,"「残業手当」","")&amp;IF(AND(L2300=FALSE,M2300=FALSE),",","")&amp;IF(M2300=FALSE,"「残業時間」","")&amp;IF(OR(J2300=FALSE,K2300=FALSE,L2300=FALSE,M2300=FALSE),入力リスト!$K$36,"")&amp;IF(N2300,"",入力リスト!$K$37)))</f>
        <v/>
      </c>
      <c r="H2300" s="215"/>
      <c r="I2300" s="1" t="b">
        <f>IF(B2300="",FALSE,COUNTIF('従業員情報(給与以外)'!$A$4:$A$1000000,$B2300)=0)</f>
        <v>0</v>
      </c>
      <c r="J2300" s="8" t="b">
        <f t="shared" si="180"/>
        <v>1</v>
      </c>
      <c r="K2300" s="8" t="b">
        <f t="shared" si="181"/>
        <v>1</v>
      </c>
      <c r="L2300" s="8" t="b">
        <f t="shared" si="182"/>
        <v>1</v>
      </c>
      <c r="M2300" s="8" t="b">
        <f t="shared" si="183"/>
        <v>1</v>
      </c>
      <c r="N2300" s="1" t="b">
        <f t="shared" si="179"/>
        <v>1</v>
      </c>
      <c r="O2300" s="8" t="str">
        <f>IF(F2300="","",IF($F$2=入力リスト!$H$25,ROUNDDOWN(INT(F2300)+ROUNDDOWN((F2300-INT(F2300))*100,0)/60,2),F2300))</f>
        <v/>
      </c>
      <c r="P2300" s="7"/>
      <c r="Q2300" s="7"/>
    </row>
    <row r="2301" spans="1:17">
      <c r="A2301" s="234"/>
      <c r="B2301" s="235"/>
      <c r="C2301" s="235"/>
      <c r="D2301" s="3"/>
      <c r="E2301" s="235"/>
      <c r="F2301" s="236"/>
      <c r="G2301" s="215" t="str">
        <f>IF(AND($B2301="",OR(B2301&lt;&gt;"",C2301&lt;&gt;"",D2301&lt;&gt;"",E2301&lt;&gt;"",F2301&lt;&gt;"")),入力リスト!$K$34,IF($I2301=TRUE,入力リスト!$K$35,IF(J2301=FALSE,"「毎月の固定給与額」","")&amp;IF(AND(J2301=FALSE,OR(K2301=FALSE,L2301=FALSE,M2301=FALSE)),",","")&amp;IF(K2301=FALSE,"「賞与額等」","")&amp;IF(AND(K2301=FALSE,OR(L2301=FALSE,M2301=FALSE)),",","")&amp;IF(L2301=FALSE,"「残業手当」","")&amp;IF(AND(L2301=FALSE,M2301=FALSE),",","")&amp;IF(M2301=FALSE,"「残業時間」","")&amp;IF(OR(J2301=FALSE,K2301=FALSE,L2301=FALSE,M2301=FALSE),入力リスト!$K$36,"")&amp;IF(N2301,"",入力リスト!$K$37)))</f>
        <v/>
      </c>
      <c r="H2301" s="215"/>
      <c r="I2301" s="1" t="b">
        <f>IF(B2301="",FALSE,COUNTIF('従業員情報(給与以外)'!$A$4:$A$1000000,$B2301)=0)</f>
        <v>0</v>
      </c>
      <c r="J2301" s="8" t="b">
        <f t="shared" si="180"/>
        <v>1</v>
      </c>
      <c r="K2301" s="8" t="b">
        <f t="shared" si="181"/>
        <v>1</v>
      </c>
      <c r="L2301" s="8" t="b">
        <f t="shared" si="182"/>
        <v>1</v>
      </c>
      <c r="M2301" s="8" t="b">
        <f t="shared" si="183"/>
        <v>1</v>
      </c>
      <c r="N2301" s="1" t="b">
        <f t="shared" si="179"/>
        <v>1</v>
      </c>
      <c r="O2301" s="8" t="str">
        <f>IF(F2301="","",IF($F$2=入力リスト!$H$25,ROUNDDOWN(INT(F2301)+ROUNDDOWN((F2301-INT(F2301))*100,0)/60,2),F2301))</f>
        <v/>
      </c>
      <c r="P2301" s="7"/>
      <c r="Q2301" s="7"/>
    </row>
    <row r="2302" spans="1:17">
      <c r="A2302" s="234"/>
      <c r="B2302" s="235"/>
      <c r="C2302" s="235"/>
      <c r="D2302" s="3"/>
      <c r="E2302" s="235"/>
      <c r="F2302" s="236"/>
      <c r="G2302" s="215" t="str">
        <f>IF(AND($B2302="",OR(B2302&lt;&gt;"",C2302&lt;&gt;"",D2302&lt;&gt;"",E2302&lt;&gt;"",F2302&lt;&gt;"")),入力リスト!$K$34,IF($I2302=TRUE,入力リスト!$K$35,IF(J2302=FALSE,"「毎月の固定給与額」","")&amp;IF(AND(J2302=FALSE,OR(K2302=FALSE,L2302=FALSE,M2302=FALSE)),",","")&amp;IF(K2302=FALSE,"「賞与額等」","")&amp;IF(AND(K2302=FALSE,OR(L2302=FALSE,M2302=FALSE)),",","")&amp;IF(L2302=FALSE,"「残業手当」","")&amp;IF(AND(L2302=FALSE,M2302=FALSE),",","")&amp;IF(M2302=FALSE,"「残業時間」","")&amp;IF(OR(J2302=FALSE,K2302=FALSE,L2302=FALSE,M2302=FALSE),入力リスト!$K$36,"")&amp;IF(N2302,"",入力リスト!$K$37)))</f>
        <v/>
      </c>
      <c r="H2302" s="215"/>
      <c r="I2302" s="1" t="b">
        <f>IF(B2302="",FALSE,COUNTIF('従業員情報(給与以外)'!$A$4:$A$1000000,$B2302)=0)</f>
        <v>0</v>
      </c>
      <c r="J2302" s="8" t="b">
        <f t="shared" si="180"/>
        <v>1</v>
      </c>
      <c r="K2302" s="8" t="b">
        <f t="shared" si="181"/>
        <v>1</v>
      </c>
      <c r="L2302" s="8" t="b">
        <f t="shared" si="182"/>
        <v>1</v>
      </c>
      <c r="M2302" s="8" t="b">
        <f t="shared" si="183"/>
        <v>1</v>
      </c>
      <c r="N2302" s="1" t="b">
        <f t="shared" si="179"/>
        <v>1</v>
      </c>
      <c r="O2302" s="8" t="str">
        <f>IF(F2302="","",IF($F$2=入力リスト!$H$25,ROUNDDOWN(INT(F2302)+ROUNDDOWN((F2302-INT(F2302))*100,0)/60,2),F2302))</f>
        <v/>
      </c>
      <c r="P2302" s="7"/>
      <c r="Q2302" s="7"/>
    </row>
    <row r="2303" spans="1:17">
      <c r="A2303" s="234"/>
      <c r="B2303" s="235"/>
      <c r="C2303" s="235"/>
      <c r="D2303" s="3"/>
      <c r="E2303" s="235"/>
      <c r="F2303" s="236"/>
      <c r="G2303" s="215" t="str">
        <f>IF(AND($B2303="",OR(B2303&lt;&gt;"",C2303&lt;&gt;"",D2303&lt;&gt;"",E2303&lt;&gt;"",F2303&lt;&gt;"")),入力リスト!$K$34,IF($I2303=TRUE,入力リスト!$K$35,IF(J2303=FALSE,"「毎月の固定給与額」","")&amp;IF(AND(J2303=FALSE,OR(K2303=FALSE,L2303=FALSE,M2303=FALSE)),",","")&amp;IF(K2303=FALSE,"「賞与額等」","")&amp;IF(AND(K2303=FALSE,OR(L2303=FALSE,M2303=FALSE)),",","")&amp;IF(L2303=FALSE,"「残業手当」","")&amp;IF(AND(L2303=FALSE,M2303=FALSE),",","")&amp;IF(M2303=FALSE,"「残業時間」","")&amp;IF(OR(J2303=FALSE,K2303=FALSE,L2303=FALSE,M2303=FALSE),入力リスト!$K$36,"")&amp;IF(N2303,"",入力リスト!$K$37)))</f>
        <v/>
      </c>
      <c r="H2303" s="215"/>
      <c r="I2303" s="1" t="b">
        <f>IF(B2303="",FALSE,COUNTIF('従業員情報(給与以外)'!$A$4:$A$1000000,$B2303)=0)</f>
        <v>0</v>
      </c>
      <c r="J2303" s="8" t="b">
        <f t="shared" si="180"/>
        <v>1</v>
      </c>
      <c r="K2303" s="8" t="b">
        <f t="shared" si="181"/>
        <v>1</v>
      </c>
      <c r="L2303" s="8" t="b">
        <f t="shared" si="182"/>
        <v>1</v>
      </c>
      <c r="M2303" s="8" t="b">
        <f t="shared" si="183"/>
        <v>1</v>
      </c>
      <c r="N2303" s="1" t="b">
        <f t="shared" si="179"/>
        <v>1</v>
      </c>
      <c r="O2303" s="8" t="str">
        <f>IF(F2303="","",IF($F$2=入力リスト!$H$25,ROUNDDOWN(INT(F2303)+ROUNDDOWN((F2303-INT(F2303))*100,0)/60,2),F2303))</f>
        <v/>
      </c>
      <c r="P2303" s="7"/>
      <c r="Q2303" s="7"/>
    </row>
    <row r="2304" spans="1:17">
      <c r="A2304" s="234"/>
      <c r="B2304" s="235"/>
      <c r="C2304" s="235"/>
      <c r="D2304" s="3"/>
      <c r="E2304" s="235"/>
      <c r="F2304" s="236"/>
      <c r="G2304" s="215" t="str">
        <f>IF(AND($B2304="",OR(B2304&lt;&gt;"",C2304&lt;&gt;"",D2304&lt;&gt;"",E2304&lt;&gt;"",F2304&lt;&gt;"")),入力リスト!$K$34,IF($I2304=TRUE,入力リスト!$K$35,IF(J2304=FALSE,"「毎月の固定給与額」","")&amp;IF(AND(J2304=FALSE,OR(K2304=FALSE,L2304=FALSE,M2304=FALSE)),",","")&amp;IF(K2304=FALSE,"「賞与額等」","")&amp;IF(AND(K2304=FALSE,OR(L2304=FALSE,M2304=FALSE)),",","")&amp;IF(L2304=FALSE,"「残業手当」","")&amp;IF(AND(L2304=FALSE,M2304=FALSE),",","")&amp;IF(M2304=FALSE,"「残業時間」","")&amp;IF(OR(J2304=FALSE,K2304=FALSE,L2304=FALSE,M2304=FALSE),入力リスト!$K$36,"")&amp;IF(N2304,"",入力リスト!$K$37)))</f>
        <v/>
      </c>
      <c r="H2304" s="215"/>
      <c r="I2304" s="1" t="b">
        <f>IF(B2304="",FALSE,COUNTIF('従業員情報(給与以外)'!$A$4:$A$1000000,$B2304)=0)</f>
        <v>0</v>
      </c>
      <c r="J2304" s="8" t="b">
        <f t="shared" si="180"/>
        <v>1</v>
      </c>
      <c r="K2304" s="8" t="b">
        <f t="shared" si="181"/>
        <v>1</v>
      </c>
      <c r="L2304" s="8" t="b">
        <f t="shared" si="182"/>
        <v>1</v>
      </c>
      <c r="M2304" s="8" t="b">
        <f t="shared" si="183"/>
        <v>1</v>
      </c>
      <c r="N2304" s="1" t="b">
        <f t="shared" si="179"/>
        <v>1</v>
      </c>
      <c r="O2304" s="8" t="str">
        <f>IF(F2304="","",IF($F$2=入力リスト!$H$25,ROUNDDOWN(INT(F2304)+ROUNDDOWN((F2304-INT(F2304))*100,0)/60,2),F2304))</f>
        <v/>
      </c>
      <c r="P2304" s="7"/>
      <c r="Q2304" s="7"/>
    </row>
    <row r="2305" spans="1:17">
      <c r="A2305" s="234"/>
      <c r="B2305" s="235"/>
      <c r="C2305" s="235"/>
      <c r="D2305" s="3"/>
      <c r="E2305" s="235"/>
      <c r="F2305" s="236"/>
      <c r="G2305" s="215" t="str">
        <f>IF(AND($B2305="",OR(B2305&lt;&gt;"",C2305&lt;&gt;"",D2305&lt;&gt;"",E2305&lt;&gt;"",F2305&lt;&gt;"")),入力リスト!$K$34,IF($I2305=TRUE,入力リスト!$K$35,IF(J2305=FALSE,"「毎月の固定給与額」","")&amp;IF(AND(J2305=FALSE,OR(K2305=FALSE,L2305=FALSE,M2305=FALSE)),",","")&amp;IF(K2305=FALSE,"「賞与額等」","")&amp;IF(AND(K2305=FALSE,OR(L2305=FALSE,M2305=FALSE)),",","")&amp;IF(L2305=FALSE,"「残業手当」","")&amp;IF(AND(L2305=FALSE,M2305=FALSE),",","")&amp;IF(M2305=FALSE,"「残業時間」","")&amp;IF(OR(J2305=FALSE,K2305=FALSE,L2305=FALSE,M2305=FALSE),入力リスト!$K$36,"")&amp;IF(N2305,"",入力リスト!$K$37)))</f>
        <v/>
      </c>
      <c r="H2305" s="215"/>
      <c r="I2305" s="1" t="b">
        <f>IF(B2305="",FALSE,COUNTIF('従業員情報(給与以外)'!$A$4:$A$1000000,$B2305)=0)</f>
        <v>0</v>
      </c>
      <c r="J2305" s="8" t="b">
        <f t="shared" si="180"/>
        <v>1</v>
      </c>
      <c r="K2305" s="8" t="b">
        <f t="shared" si="181"/>
        <v>1</v>
      </c>
      <c r="L2305" s="8" t="b">
        <f t="shared" si="182"/>
        <v>1</v>
      </c>
      <c r="M2305" s="8" t="b">
        <f t="shared" si="183"/>
        <v>1</v>
      </c>
      <c r="N2305" s="1" t="b">
        <f t="shared" si="179"/>
        <v>1</v>
      </c>
      <c r="O2305" s="8" t="str">
        <f>IF(F2305="","",IF($F$2=入力リスト!$H$25,ROUNDDOWN(INT(F2305)+ROUNDDOWN((F2305-INT(F2305))*100,0)/60,2),F2305))</f>
        <v/>
      </c>
      <c r="P2305" s="7"/>
      <c r="Q2305" s="7"/>
    </row>
    <row r="2306" spans="1:17">
      <c r="A2306" s="234"/>
      <c r="B2306" s="235"/>
      <c r="C2306" s="235"/>
      <c r="D2306" s="3"/>
      <c r="E2306" s="235"/>
      <c r="F2306" s="236"/>
      <c r="G2306" s="215" t="str">
        <f>IF(AND($B2306="",OR(B2306&lt;&gt;"",C2306&lt;&gt;"",D2306&lt;&gt;"",E2306&lt;&gt;"",F2306&lt;&gt;"")),入力リスト!$K$34,IF($I2306=TRUE,入力リスト!$K$35,IF(J2306=FALSE,"「毎月の固定給与額」","")&amp;IF(AND(J2306=FALSE,OR(K2306=FALSE,L2306=FALSE,M2306=FALSE)),",","")&amp;IF(K2306=FALSE,"「賞与額等」","")&amp;IF(AND(K2306=FALSE,OR(L2306=FALSE,M2306=FALSE)),",","")&amp;IF(L2306=FALSE,"「残業手当」","")&amp;IF(AND(L2306=FALSE,M2306=FALSE),",","")&amp;IF(M2306=FALSE,"「残業時間」","")&amp;IF(OR(J2306=FALSE,K2306=FALSE,L2306=FALSE,M2306=FALSE),入力リスト!$K$36,"")&amp;IF(N2306,"",入力リスト!$K$37)))</f>
        <v/>
      </c>
      <c r="H2306" s="215"/>
      <c r="I2306" s="1" t="b">
        <f>IF(B2306="",FALSE,COUNTIF('従業員情報(給与以外)'!$A$4:$A$1000000,$B2306)=0)</f>
        <v>0</v>
      </c>
      <c r="J2306" s="8" t="b">
        <f t="shared" si="180"/>
        <v>1</v>
      </c>
      <c r="K2306" s="8" t="b">
        <f t="shared" si="181"/>
        <v>1</v>
      </c>
      <c r="L2306" s="8" t="b">
        <f t="shared" si="182"/>
        <v>1</v>
      </c>
      <c r="M2306" s="8" t="b">
        <f t="shared" si="183"/>
        <v>1</v>
      </c>
      <c r="N2306" s="1" t="b">
        <f t="shared" si="179"/>
        <v>1</v>
      </c>
      <c r="O2306" s="8" t="str">
        <f>IF(F2306="","",IF($F$2=入力リスト!$H$25,ROUNDDOWN(INT(F2306)+ROUNDDOWN((F2306-INT(F2306))*100,0)/60,2),F2306))</f>
        <v/>
      </c>
      <c r="P2306" s="7"/>
      <c r="Q2306" s="7"/>
    </row>
    <row r="2307" spans="1:17">
      <c r="A2307" s="234"/>
      <c r="B2307" s="235"/>
      <c r="C2307" s="235"/>
      <c r="D2307" s="3"/>
      <c r="E2307" s="235"/>
      <c r="F2307" s="236"/>
      <c r="G2307" s="215" t="str">
        <f>IF(AND($B2307="",OR(B2307&lt;&gt;"",C2307&lt;&gt;"",D2307&lt;&gt;"",E2307&lt;&gt;"",F2307&lt;&gt;"")),入力リスト!$K$34,IF($I2307=TRUE,入力リスト!$K$35,IF(J2307=FALSE,"「毎月の固定給与額」","")&amp;IF(AND(J2307=FALSE,OR(K2307=FALSE,L2307=FALSE,M2307=FALSE)),",","")&amp;IF(K2307=FALSE,"「賞与額等」","")&amp;IF(AND(K2307=FALSE,OR(L2307=FALSE,M2307=FALSE)),",","")&amp;IF(L2307=FALSE,"「残業手当」","")&amp;IF(AND(L2307=FALSE,M2307=FALSE),",","")&amp;IF(M2307=FALSE,"「残業時間」","")&amp;IF(OR(J2307=FALSE,K2307=FALSE,L2307=FALSE,M2307=FALSE),入力リスト!$K$36,"")&amp;IF(N2307,"",入力リスト!$K$37)))</f>
        <v/>
      </c>
      <c r="H2307" s="215"/>
      <c r="I2307" s="1" t="b">
        <f>IF(B2307="",FALSE,COUNTIF('従業員情報(給与以外)'!$A$4:$A$1000000,$B2307)=0)</f>
        <v>0</v>
      </c>
      <c r="J2307" s="8" t="b">
        <f t="shared" si="180"/>
        <v>1</v>
      </c>
      <c r="K2307" s="8" t="b">
        <f t="shared" si="181"/>
        <v>1</v>
      </c>
      <c r="L2307" s="8" t="b">
        <f t="shared" si="182"/>
        <v>1</v>
      </c>
      <c r="M2307" s="8" t="b">
        <f t="shared" si="183"/>
        <v>1</v>
      </c>
      <c r="N2307" s="1" t="b">
        <f t="shared" si="179"/>
        <v>1</v>
      </c>
      <c r="O2307" s="8" t="str">
        <f>IF(F2307="","",IF($F$2=入力リスト!$H$25,ROUNDDOWN(INT(F2307)+ROUNDDOWN((F2307-INT(F2307))*100,0)/60,2),F2307))</f>
        <v/>
      </c>
      <c r="P2307" s="7"/>
      <c r="Q2307" s="7"/>
    </row>
    <row r="2308" spans="1:17">
      <c r="A2308" s="234"/>
      <c r="B2308" s="235"/>
      <c r="C2308" s="235"/>
      <c r="D2308" s="3"/>
      <c r="E2308" s="235"/>
      <c r="F2308" s="236"/>
      <c r="G2308" s="215" t="str">
        <f>IF(AND($B2308="",OR(B2308&lt;&gt;"",C2308&lt;&gt;"",D2308&lt;&gt;"",E2308&lt;&gt;"",F2308&lt;&gt;"")),入力リスト!$K$34,IF($I2308=TRUE,入力リスト!$K$35,IF(J2308=FALSE,"「毎月の固定給与額」","")&amp;IF(AND(J2308=FALSE,OR(K2308=FALSE,L2308=FALSE,M2308=FALSE)),",","")&amp;IF(K2308=FALSE,"「賞与額等」","")&amp;IF(AND(K2308=FALSE,OR(L2308=FALSE,M2308=FALSE)),",","")&amp;IF(L2308=FALSE,"「残業手当」","")&amp;IF(AND(L2308=FALSE,M2308=FALSE),",","")&amp;IF(M2308=FALSE,"「残業時間」","")&amp;IF(OR(J2308=FALSE,K2308=FALSE,L2308=FALSE,M2308=FALSE),入力リスト!$K$36,"")&amp;IF(N2308,"",入力リスト!$K$37)))</f>
        <v/>
      </c>
      <c r="H2308" s="215"/>
      <c r="I2308" s="1" t="b">
        <f>IF(B2308="",FALSE,COUNTIF('従業員情報(給与以外)'!$A$4:$A$1000000,$B2308)=0)</f>
        <v>0</v>
      </c>
      <c r="J2308" s="8" t="b">
        <f t="shared" si="180"/>
        <v>1</v>
      </c>
      <c r="K2308" s="8" t="b">
        <f t="shared" si="181"/>
        <v>1</v>
      </c>
      <c r="L2308" s="8" t="b">
        <f t="shared" si="182"/>
        <v>1</v>
      </c>
      <c r="M2308" s="8" t="b">
        <f t="shared" si="183"/>
        <v>1</v>
      </c>
      <c r="N2308" s="1" t="b">
        <f t="shared" si="179"/>
        <v>1</v>
      </c>
      <c r="O2308" s="8" t="str">
        <f>IF(F2308="","",IF($F$2=入力リスト!$H$25,ROUNDDOWN(INT(F2308)+ROUNDDOWN((F2308-INT(F2308))*100,0)/60,2),F2308))</f>
        <v/>
      </c>
      <c r="P2308" s="7"/>
      <c r="Q2308" s="7"/>
    </row>
    <row r="2309" spans="1:17">
      <c r="A2309" s="234"/>
      <c r="B2309" s="235"/>
      <c r="C2309" s="235"/>
      <c r="D2309" s="3"/>
      <c r="E2309" s="235"/>
      <c r="F2309" s="236"/>
      <c r="G2309" s="215" t="str">
        <f>IF(AND($B2309="",OR(B2309&lt;&gt;"",C2309&lt;&gt;"",D2309&lt;&gt;"",E2309&lt;&gt;"",F2309&lt;&gt;"")),入力リスト!$K$34,IF($I2309=TRUE,入力リスト!$K$35,IF(J2309=FALSE,"「毎月の固定給与額」","")&amp;IF(AND(J2309=FALSE,OR(K2309=FALSE,L2309=FALSE,M2309=FALSE)),",","")&amp;IF(K2309=FALSE,"「賞与額等」","")&amp;IF(AND(K2309=FALSE,OR(L2309=FALSE,M2309=FALSE)),",","")&amp;IF(L2309=FALSE,"「残業手当」","")&amp;IF(AND(L2309=FALSE,M2309=FALSE),",","")&amp;IF(M2309=FALSE,"「残業時間」","")&amp;IF(OR(J2309=FALSE,K2309=FALSE,L2309=FALSE,M2309=FALSE),入力リスト!$K$36,"")&amp;IF(N2309,"",入力リスト!$K$37)))</f>
        <v/>
      </c>
      <c r="H2309" s="215"/>
      <c r="I2309" s="1" t="b">
        <f>IF(B2309="",FALSE,COUNTIF('従業員情報(給与以外)'!$A$4:$A$1000000,$B2309)=0)</f>
        <v>0</v>
      </c>
      <c r="J2309" s="8" t="b">
        <f t="shared" si="180"/>
        <v>1</v>
      </c>
      <c r="K2309" s="8" t="b">
        <f t="shared" si="181"/>
        <v>1</v>
      </c>
      <c r="L2309" s="8" t="b">
        <f t="shared" si="182"/>
        <v>1</v>
      </c>
      <c r="M2309" s="8" t="b">
        <f t="shared" si="183"/>
        <v>1</v>
      </c>
      <c r="N2309" s="1" t="b">
        <f t="shared" ref="N2309:N2372" si="184">IF($N$1,TRUE,IF($N$2,IF(F2309-INT(F2309)&lt;0.6,TRUE,FALSE),TRUE))</f>
        <v>1</v>
      </c>
      <c r="O2309" s="8" t="str">
        <f>IF(F2309="","",IF($F$2=入力リスト!$H$25,ROUNDDOWN(INT(F2309)+ROUNDDOWN((F2309-INT(F2309))*100,0)/60,2),F2309))</f>
        <v/>
      </c>
      <c r="P2309" s="7"/>
      <c r="Q2309" s="7"/>
    </row>
    <row r="2310" spans="1:17">
      <c r="A2310" s="234"/>
      <c r="B2310" s="235"/>
      <c r="C2310" s="235"/>
      <c r="D2310" s="3"/>
      <c r="E2310" s="235"/>
      <c r="F2310" s="236"/>
      <c r="G2310" s="215" t="str">
        <f>IF(AND($B2310="",OR(B2310&lt;&gt;"",C2310&lt;&gt;"",D2310&lt;&gt;"",E2310&lt;&gt;"",F2310&lt;&gt;"")),入力リスト!$K$34,IF($I2310=TRUE,入力リスト!$K$35,IF(J2310=FALSE,"「毎月の固定給与額」","")&amp;IF(AND(J2310=FALSE,OR(K2310=FALSE,L2310=FALSE,M2310=FALSE)),",","")&amp;IF(K2310=FALSE,"「賞与額等」","")&amp;IF(AND(K2310=FALSE,OR(L2310=FALSE,M2310=FALSE)),",","")&amp;IF(L2310=FALSE,"「残業手当」","")&amp;IF(AND(L2310=FALSE,M2310=FALSE),",","")&amp;IF(M2310=FALSE,"「残業時間」","")&amp;IF(OR(J2310=FALSE,K2310=FALSE,L2310=FALSE,M2310=FALSE),入力リスト!$K$36,"")&amp;IF(N2310,"",入力リスト!$K$37)))</f>
        <v/>
      </c>
      <c r="H2310" s="215"/>
      <c r="I2310" s="1" t="b">
        <f>IF(B2310="",FALSE,COUNTIF('従業員情報(給与以外)'!$A$4:$A$1000000,$B2310)=0)</f>
        <v>0</v>
      </c>
      <c r="J2310" s="8" t="b">
        <f t="shared" si="180"/>
        <v>1</v>
      </c>
      <c r="K2310" s="8" t="b">
        <f t="shared" si="181"/>
        <v>1</v>
      </c>
      <c r="L2310" s="8" t="b">
        <f t="shared" si="182"/>
        <v>1</v>
      </c>
      <c r="M2310" s="8" t="b">
        <f t="shared" si="183"/>
        <v>1</v>
      </c>
      <c r="N2310" s="1" t="b">
        <f t="shared" si="184"/>
        <v>1</v>
      </c>
      <c r="O2310" s="8" t="str">
        <f>IF(F2310="","",IF($F$2=入力リスト!$H$25,ROUNDDOWN(INT(F2310)+ROUNDDOWN((F2310-INT(F2310))*100,0)/60,2),F2310))</f>
        <v/>
      </c>
      <c r="P2310" s="7"/>
      <c r="Q2310" s="7"/>
    </row>
    <row r="2311" spans="1:17">
      <c r="A2311" s="234"/>
      <c r="B2311" s="235"/>
      <c r="C2311" s="235"/>
      <c r="D2311" s="3"/>
      <c r="E2311" s="235"/>
      <c r="F2311" s="236"/>
      <c r="G2311" s="215" t="str">
        <f>IF(AND($B2311="",OR(B2311&lt;&gt;"",C2311&lt;&gt;"",D2311&lt;&gt;"",E2311&lt;&gt;"",F2311&lt;&gt;"")),入力リスト!$K$34,IF($I2311=TRUE,入力リスト!$K$35,IF(J2311=FALSE,"「毎月の固定給与額」","")&amp;IF(AND(J2311=FALSE,OR(K2311=FALSE,L2311=FALSE,M2311=FALSE)),",","")&amp;IF(K2311=FALSE,"「賞与額等」","")&amp;IF(AND(K2311=FALSE,OR(L2311=FALSE,M2311=FALSE)),",","")&amp;IF(L2311=FALSE,"「残業手当」","")&amp;IF(AND(L2311=FALSE,M2311=FALSE),",","")&amp;IF(M2311=FALSE,"「残業時間」","")&amp;IF(OR(J2311=FALSE,K2311=FALSE,L2311=FALSE,M2311=FALSE),入力リスト!$K$36,"")&amp;IF(N2311,"",入力リスト!$K$37)))</f>
        <v/>
      </c>
      <c r="H2311" s="215"/>
      <c r="I2311" s="1" t="b">
        <f>IF(B2311="",FALSE,COUNTIF('従業員情報(給与以外)'!$A$4:$A$1000000,$B2311)=0)</f>
        <v>0</v>
      </c>
      <c r="J2311" s="8" t="b">
        <f t="shared" si="180"/>
        <v>1</v>
      </c>
      <c r="K2311" s="8" t="b">
        <f t="shared" si="181"/>
        <v>1</v>
      </c>
      <c r="L2311" s="8" t="b">
        <f t="shared" si="182"/>
        <v>1</v>
      </c>
      <c r="M2311" s="8" t="b">
        <f t="shared" si="183"/>
        <v>1</v>
      </c>
      <c r="N2311" s="1" t="b">
        <f t="shared" si="184"/>
        <v>1</v>
      </c>
      <c r="O2311" s="8" t="str">
        <f>IF(F2311="","",IF($F$2=入力リスト!$H$25,ROUNDDOWN(INT(F2311)+ROUNDDOWN((F2311-INT(F2311))*100,0)/60,2),F2311))</f>
        <v/>
      </c>
      <c r="P2311" s="7"/>
      <c r="Q2311" s="7"/>
    </row>
    <row r="2312" spans="1:17">
      <c r="A2312" s="234"/>
      <c r="B2312" s="235"/>
      <c r="C2312" s="235"/>
      <c r="D2312" s="3"/>
      <c r="E2312" s="235"/>
      <c r="F2312" s="236"/>
      <c r="G2312" s="215" t="str">
        <f>IF(AND($B2312="",OR(B2312&lt;&gt;"",C2312&lt;&gt;"",D2312&lt;&gt;"",E2312&lt;&gt;"",F2312&lt;&gt;"")),入力リスト!$K$34,IF($I2312=TRUE,入力リスト!$K$35,IF(J2312=FALSE,"「毎月の固定給与額」","")&amp;IF(AND(J2312=FALSE,OR(K2312=FALSE,L2312=FALSE,M2312=FALSE)),",","")&amp;IF(K2312=FALSE,"「賞与額等」","")&amp;IF(AND(K2312=FALSE,OR(L2312=FALSE,M2312=FALSE)),",","")&amp;IF(L2312=FALSE,"「残業手当」","")&amp;IF(AND(L2312=FALSE,M2312=FALSE),",","")&amp;IF(M2312=FALSE,"「残業時間」","")&amp;IF(OR(J2312=FALSE,K2312=FALSE,L2312=FALSE,M2312=FALSE),入力リスト!$K$36,"")&amp;IF(N2312,"",入力リスト!$K$37)))</f>
        <v/>
      </c>
      <c r="H2312" s="215"/>
      <c r="I2312" s="1" t="b">
        <f>IF(B2312="",FALSE,COUNTIF('従業員情報(給与以外)'!$A$4:$A$1000000,$B2312)=0)</f>
        <v>0</v>
      </c>
      <c r="J2312" s="8" t="b">
        <f t="shared" si="180"/>
        <v>1</v>
      </c>
      <c r="K2312" s="8" t="b">
        <f t="shared" si="181"/>
        <v>1</v>
      </c>
      <c r="L2312" s="8" t="b">
        <f t="shared" si="182"/>
        <v>1</v>
      </c>
      <c r="M2312" s="8" t="b">
        <f t="shared" si="183"/>
        <v>1</v>
      </c>
      <c r="N2312" s="1" t="b">
        <f t="shared" si="184"/>
        <v>1</v>
      </c>
      <c r="O2312" s="8" t="str">
        <f>IF(F2312="","",IF($F$2=入力リスト!$H$25,ROUNDDOWN(INT(F2312)+ROUNDDOWN((F2312-INT(F2312))*100,0)/60,2),F2312))</f>
        <v/>
      </c>
      <c r="P2312" s="7"/>
      <c r="Q2312" s="7"/>
    </row>
    <row r="2313" spans="1:17">
      <c r="A2313" s="234"/>
      <c r="B2313" s="235"/>
      <c r="C2313" s="235"/>
      <c r="D2313" s="3"/>
      <c r="E2313" s="235"/>
      <c r="F2313" s="236"/>
      <c r="G2313" s="215" t="str">
        <f>IF(AND($B2313="",OR(B2313&lt;&gt;"",C2313&lt;&gt;"",D2313&lt;&gt;"",E2313&lt;&gt;"",F2313&lt;&gt;"")),入力リスト!$K$34,IF($I2313=TRUE,入力リスト!$K$35,IF(J2313=FALSE,"「毎月の固定給与額」","")&amp;IF(AND(J2313=FALSE,OR(K2313=FALSE,L2313=FALSE,M2313=FALSE)),",","")&amp;IF(K2313=FALSE,"「賞与額等」","")&amp;IF(AND(K2313=FALSE,OR(L2313=FALSE,M2313=FALSE)),",","")&amp;IF(L2313=FALSE,"「残業手当」","")&amp;IF(AND(L2313=FALSE,M2313=FALSE),",","")&amp;IF(M2313=FALSE,"「残業時間」","")&amp;IF(OR(J2313=FALSE,K2313=FALSE,L2313=FALSE,M2313=FALSE),入力リスト!$K$36,"")&amp;IF(N2313,"",入力リスト!$K$37)))</f>
        <v/>
      </c>
      <c r="H2313" s="215"/>
      <c r="I2313" s="1" t="b">
        <f>IF(B2313="",FALSE,COUNTIF('従業員情報(給与以外)'!$A$4:$A$1000000,$B2313)=0)</f>
        <v>0</v>
      </c>
      <c r="J2313" s="8" t="b">
        <f t="shared" si="180"/>
        <v>1</v>
      </c>
      <c r="K2313" s="8" t="b">
        <f t="shared" si="181"/>
        <v>1</v>
      </c>
      <c r="L2313" s="8" t="b">
        <f t="shared" si="182"/>
        <v>1</v>
      </c>
      <c r="M2313" s="8" t="b">
        <f t="shared" si="183"/>
        <v>1</v>
      </c>
      <c r="N2313" s="1" t="b">
        <f t="shared" si="184"/>
        <v>1</v>
      </c>
      <c r="O2313" s="8" t="str">
        <f>IF(F2313="","",IF($F$2=入力リスト!$H$25,ROUNDDOWN(INT(F2313)+ROUNDDOWN((F2313-INT(F2313))*100,0)/60,2),F2313))</f>
        <v/>
      </c>
      <c r="P2313" s="7"/>
      <c r="Q2313" s="7"/>
    </row>
    <row r="2314" spans="1:17">
      <c r="A2314" s="234"/>
      <c r="B2314" s="235"/>
      <c r="C2314" s="235"/>
      <c r="D2314" s="3"/>
      <c r="E2314" s="235"/>
      <c r="F2314" s="236"/>
      <c r="G2314" s="215" t="str">
        <f>IF(AND($B2314="",OR(B2314&lt;&gt;"",C2314&lt;&gt;"",D2314&lt;&gt;"",E2314&lt;&gt;"",F2314&lt;&gt;"")),入力リスト!$K$34,IF($I2314=TRUE,入力リスト!$K$35,IF(J2314=FALSE,"「毎月の固定給与額」","")&amp;IF(AND(J2314=FALSE,OR(K2314=FALSE,L2314=FALSE,M2314=FALSE)),",","")&amp;IF(K2314=FALSE,"「賞与額等」","")&amp;IF(AND(K2314=FALSE,OR(L2314=FALSE,M2314=FALSE)),",","")&amp;IF(L2314=FALSE,"「残業手当」","")&amp;IF(AND(L2314=FALSE,M2314=FALSE),",","")&amp;IF(M2314=FALSE,"「残業時間」","")&amp;IF(OR(J2314=FALSE,K2314=FALSE,L2314=FALSE,M2314=FALSE),入力リスト!$K$36,"")&amp;IF(N2314,"",入力リスト!$K$37)))</f>
        <v/>
      </c>
      <c r="H2314" s="215"/>
      <c r="I2314" s="1" t="b">
        <f>IF(B2314="",FALSE,COUNTIF('従業員情報(給与以外)'!$A$4:$A$1000000,$B2314)=0)</f>
        <v>0</v>
      </c>
      <c r="J2314" s="8" t="b">
        <f t="shared" si="180"/>
        <v>1</v>
      </c>
      <c r="K2314" s="8" t="b">
        <f t="shared" si="181"/>
        <v>1</v>
      </c>
      <c r="L2314" s="8" t="b">
        <f t="shared" si="182"/>
        <v>1</v>
      </c>
      <c r="M2314" s="8" t="b">
        <f t="shared" si="183"/>
        <v>1</v>
      </c>
      <c r="N2314" s="1" t="b">
        <f t="shared" si="184"/>
        <v>1</v>
      </c>
      <c r="O2314" s="8" t="str">
        <f>IF(F2314="","",IF($F$2=入力リスト!$H$25,ROUNDDOWN(INT(F2314)+ROUNDDOWN((F2314-INT(F2314))*100,0)/60,2),F2314))</f>
        <v/>
      </c>
      <c r="P2314" s="7"/>
      <c r="Q2314" s="7"/>
    </row>
    <row r="2315" spans="1:17">
      <c r="A2315" s="234"/>
      <c r="B2315" s="235"/>
      <c r="C2315" s="235"/>
      <c r="D2315" s="3"/>
      <c r="E2315" s="235"/>
      <c r="F2315" s="236"/>
      <c r="G2315" s="215" t="str">
        <f>IF(AND($B2315="",OR(B2315&lt;&gt;"",C2315&lt;&gt;"",D2315&lt;&gt;"",E2315&lt;&gt;"",F2315&lt;&gt;"")),入力リスト!$K$34,IF($I2315=TRUE,入力リスト!$K$35,IF(J2315=FALSE,"「毎月の固定給与額」","")&amp;IF(AND(J2315=FALSE,OR(K2315=FALSE,L2315=FALSE,M2315=FALSE)),",","")&amp;IF(K2315=FALSE,"「賞与額等」","")&amp;IF(AND(K2315=FALSE,OR(L2315=FALSE,M2315=FALSE)),",","")&amp;IF(L2315=FALSE,"「残業手当」","")&amp;IF(AND(L2315=FALSE,M2315=FALSE),",","")&amp;IF(M2315=FALSE,"「残業時間」","")&amp;IF(OR(J2315=FALSE,K2315=FALSE,L2315=FALSE,M2315=FALSE),入力リスト!$K$36,"")&amp;IF(N2315,"",入力リスト!$K$37)))</f>
        <v/>
      </c>
      <c r="H2315" s="215"/>
      <c r="I2315" s="1" t="b">
        <f>IF(B2315="",FALSE,COUNTIF('従業員情報(給与以外)'!$A$4:$A$1000000,$B2315)=0)</f>
        <v>0</v>
      </c>
      <c r="J2315" s="8" t="b">
        <f t="shared" si="180"/>
        <v>1</v>
      </c>
      <c r="K2315" s="8" t="b">
        <f t="shared" si="181"/>
        <v>1</v>
      </c>
      <c r="L2315" s="8" t="b">
        <f t="shared" si="182"/>
        <v>1</v>
      </c>
      <c r="M2315" s="8" t="b">
        <f t="shared" si="183"/>
        <v>1</v>
      </c>
      <c r="N2315" s="1" t="b">
        <f t="shared" si="184"/>
        <v>1</v>
      </c>
      <c r="O2315" s="8" t="str">
        <f>IF(F2315="","",IF($F$2=入力リスト!$H$25,ROUNDDOWN(INT(F2315)+ROUNDDOWN((F2315-INT(F2315))*100,0)/60,2),F2315))</f>
        <v/>
      </c>
      <c r="P2315" s="7"/>
      <c r="Q2315" s="7"/>
    </row>
    <row r="2316" spans="1:17">
      <c r="A2316" s="234"/>
      <c r="B2316" s="235"/>
      <c r="C2316" s="235"/>
      <c r="D2316" s="3"/>
      <c r="E2316" s="235"/>
      <c r="F2316" s="236"/>
      <c r="G2316" s="215" t="str">
        <f>IF(AND($B2316="",OR(B2316&lt;&gt;"",C2316&lt;&gt;"",D2316&lt;&gt;"",E2316&lt;&gt;"",F2316&lt;&gt;"")),入力リスト!$K$34,IF($I2316=TRUE,入力リスト!$K$35,IF(J2316=FALSE,"「毎月の固定給与額」","")&amp;IF(AND(J2316=FALSE,OR(K2316=FALSE,L2316=FALSE,M2316=FALSE)),",","")&amp;IF(K2316=FALSE,"「賞与額等」","")&amp;IF(AND(K2316=FALSE,OR(L2316=FALSE,M2316=FALSE)),",","")&amp;IF(L2316=FALSE,"「残業手当」","")&amp;IF(AND(L2316=FALSE,M2316=FALSE),",","")&amp;IF(M2316=FALSE,"「残業時間」","")&amp;IF(OR(J2316=FALSE,K2316=FALSE,L2316=FALSE,M2316=FALSE),入力リスト!$K$36,"")&amp;IF(N2316,"",入力リスト!$K$37)))</f>
        <v/>
      </c>
      <c r="H2316" s="215"/>
      <c r="I2316" s="1" t="b">
        <f>IF(B2316="",FALSE,COUNTIF('従業員情報(給与以外)'!$A$4:$A$1000000,$B2316)=0)</f>
        <v>0</v>
      </c>
      <c r="J2316" s="8" t="b">
        <f t="shared" si="180"/>
        <v>1</v>
      </c>
      <c r="K2316" s="8" t="b">
        <f t="shared" si="181"/>
        <v>1</v>
      </c>
      <c r="L2316" s="8" t="b">
        <f t="shared" si="182"/>
        <v>1</v>
      </c>
      <c r="M2316" s="8" t="b">
        <f t="shared" si="183"/>
        <v>1</v>
      </c>
      <c r="N2316" s="1" t="b">
        <f t="shared" si="184"/>
        <v>1</v>
      </c>
      <c r="O2316" s="8" t="str">
        <f>IF(F2316="","",IF($F$2=入力リスト!$H$25,ROUNDDOWN(INT(F2316)+ROUNDDOWN((F2316-INT(F2316))*100,0)/60,2),F2316))</f>
        <v/>
      </c>
      <c r="P2316" s="7"/>
      <c r="Q2316" s="7"/>
    </row>
    <row r="2317" spans="1:17">
      <c r="A2317" s="234"/>
      <c r="B2317" s="235"/>
      <c r="C2317" s="235"/>
      <c r="D2317" s="3"/>
      <c r="E2317" s="235"/>
      <c r="F2317" s="236"/>
      <c r="G2317" s="215" t="str">
        <f>IF(AND($B2317="",OR(B2317&lt;&gt;"",C2317&lt;&gt;"",D2317&lt;&gt;"",E2317&lt;&gt;"",F2317&lt;&gt;"")),入力リスト!$K$34,IF($I2317=TRUE,入力リスト!$K$35,IF(J2317=FALSE,"「毎月の固定給与額」","")&amp;IF(AND(J2317=FALSE,OR(K2317=FALSE,L2317=FALSE,M2317=FALSE)),",","")&amp;IF(K2317=FALSE,"「賞与額等」","")&amp;IF(AND(K2317=FALSE,OR(L2317=FALSE,M2317=FALSE)),",","")&amp;IF(L2317=FALSE,"「残業手当」","")&amp;IF(AND(L2317=FALSE,M2317=FALSE),",","")&amp;IF(M2317=FALSE,"「残業時間」","")&amp;IF(OR(J2317=FALSE,K2317=FALSE,L2317=FALSE,M2317=FALSE),入力リスト!$K$36,"")&amp;IF(N2317,"",入力リスト!$K$37)))</f>
        <v/>
      </c>
      <c r="H2317" s="215"/>
      <c r="I2317" s="1" t="b">
        <f>IF(B2317="",FALSE,COUNTIF('従業員情報(給与以外)'!$A$4:$A$1000000,$B2317)=0)</f>
        <v>0</v>
      </c>
      <c r="J2317" s="8" t="b">
        <f t="shared" si="180"/>
        <v>1</v>
      </c>
      <c r="K2317" s="8" t="b">
        <f t="shared" si="181"/>
        <v>1</v>
      </c>
      <c r="L2317" s="8" t="b">
        <f t="shared" si="182"/>
        <v>1</v>
      </c>
      <c r="M2317" s="8" t="b">
        <f t="shared" si="183"/>
        <v>1</v>
      </c>
      <c r="N2317" s="1" t="b">
        <f t="shared" si="184"/>
        <v>1</v>
      </c>
      <c r="O2317" s="8" t="str">
        <f>IF(F2317="","",IF($F$2=入力リスト!$H$25,ROUNDDOWN(INT(F2317)+ROUNDDOWN((F2317-INT(F2317))*100,0)/60,2),F2317))</f>
        <v/>
      </c>
      <c r="P2317" s="7"/>
      <c r="Q2317" s="7"/>
    </row>
    <row r="2318" spans="1:17">
      <c r="A2318" s="234"/>
      <c r="B2318" s="235"/>
      <c r="C2318" s="235"/>
      <c r="D2318" s="3"/>
      <c r="E2318" s="235"/>
      <c r="F2318" s="236"/>
      <c r="G2318" s="215" t="str">
        <f>IF(AND($B2318="",OR(B2318&lt;&gt;"",C2318&lt;&gt;"",D2318&lt;&gt;"",E2318&lt;&gt;"",F2318&lt;&gt;"")),入力リスト!$K$34,IF($I2318=TRUE,入力リスト!$K$35,IF(J2318=FALSE,"「毎月の固定給与額」","")&amp;IF(AND(J2318=FALSE,OR(K2318=FALSE,L2318=FALSE,M2318=FALSE)),",","")&amp;IF(K2318=FALSE,"「賞与額等」","")&amp;IF(AND(K2318=FALSE,OR(L2318=FALSE,M2318=FALSE)),",","")&amp;IF(L2318=FALSE,"「残業手当」","")&amp;IF(AND(L2318=FALSE,M2318=FALSE),",","")&amp;IF(M2318=FALSE,"「残業時間」","")&amp;IF(OR(J2318=FALSE,K2318=FALSE,L2318=FALSE,M2318=FALSE),入力リスト!$K$36,"")&amp;IF(N2318,"",入力リスト!$K$37)))</f>
        <v/>
      </c>
      <c r="H2318" s="215"/>
      <c r="I2318" s="1" t="b">
        <f>IF(B2318="",FALSE,COUNTIF('従業員情報(給与以外)'!$A$4:$A$1000000,$B2318)=0)</f>
        <v>0</v>
      </c>
      <c r="J2318" s="8" t="b">
        <f t="shared" si="180"/>
        <v>1</v>
      </c>
      <c r="K2318" s="8" t="b">
        <f t="shared" si="181"/>
        <v>1</v>
      </c>
      <c r="L2318" s="8" t="b">
        <f t="shared" si="182"/>
        <v>1</v>
      </c>
      <c r="M2318" s="8" t="b">
        <f t="shared" si="183"/>
        <v>1</v>
      </c>
      <c r="N2318" s="1" t="b">
        <f t="shared" si="184"/>
        <v>1</v>
      </c>
      <c r="O2318" s="8" t="str">
        <f>IF(F2318="","",IF($F$2=入力リスト!$H$25,ROUNDDOWN(INT(F2318)+ROUNDDOWN((F2318-INT(F2318))*100,0)/60,2),F2318))</f>
        <v/>
      </c>
      <c r="P2318" s="7"/>
      <c r="Q2318" s="7"/>
    </row>
    <row r="2319" spans="1:17">
      <c r="A2319" s="234"/>
      <c r="B2319" s="235"/>
      <c r="C2319" s="235"/>
      <c r="D2319" s="3"/>
      <c r="E2319" s="235"/>
      <c r="F2319" s="236"/>
      <c r="G2319" s="215" t="str">
        <f>IF(AND($B2319="",OR(B2319&lt;&gt;"",C2319&lt;&gt;"",D2319&lt;&gt;"",E2319&lt;&gt;"",F2319&lt;&gt;"")),入力リスト!$K$34,IF($I2319=TRUE,入力リスト!$K$35,IF(J2319=FALSE,"「毎月の固定給与額」","")&amp;IF(AND(J2319=FALSE,OR(K2319=FALSE,L2319=FALSE,M2319=FALSE)),",","")&amp;IF(K2319=FALSE,"「賞与額等」","")&amp;IF(AND(K2319=FALSE,OR(L2319=FALSE,M2319=FALSE)),",","")&amp;IF(L2319=FALSE,"「残業手当」","")&amp;IF(AND(L2319=FALSE,M2319=FALSE),",","")&amp;IF(M2319=FALSE,"「残業時間」","")&amp;IF(OR(J2319=FALSE,K2319=FALSE,L2319=FALSE,M2319=FALSE),入力リスト!$K$36,"")&amp;IF(N2319,"",入力リスト!$K$37)))</f>
        <v/>
      </c>
      <c r="H2319" s="215"/>
      <c r="I2319" s="1" t="b">
        <f>IF(B2319="",FALSE,COUNTIF('従業員情報(給与以外)'!$A$4:$A$1000000,$B2319)=0)</f>
        <v>0</v>
      </c>
      <c r="J2319" s="8" t="b">
        <f t="shared" si="180"/>
        <v>1</v>
      </c>
      <c r="K2319" s="8" t="b">
        <f t="shared" si="181"/>
        <v>1</v>
      </c>
      <c r="L2319" s="8" t="b">
        <f t="shared" si="182"/>
        <v>1</v>
      </c>
      <c r="M2319" s="8" t="b">
        <f t="shared" si="183"/>
        <v>1</v>
      </c>
      <c r="N2319" s="1" t="b">
        <f t="shared" si="184"/>
        <v>1</v>
      </c>
      <c r="O2319" s="8" t="str">
        <f>IF(F2319="","",IF($F$2=入力リスト!$H$25,ROUNDDOWN(INT(F2319)+ROUNDDOWN((F2319-INT(F2319))*100,0)/60,2),F2319))</f>
        <v/>
      </c>
      <c r="P2319" s="7"/>
      <c r="Q2319" s="7"/>
    </row>
    <row r="2320" spans="1:17">
      <c r="A2320" s="234"/>
      <c r="B2320" s="235"/>
      <c r="C2320" s="235"/>
      <c r="D2320" s="3"/>
      <c r="E2320" s="235"/>
      <c r="F2320" s="236"/>
      <c r="G2320" s="215" t="str">
        <f>IF(AND($B2320="",OR(B2320&lt;&gt;"",C2320&lt;&gt;"",D2320&lt;&gt;"",E2320&lt;&gt;"",F2320&lt;&gt;"")),入力リスト!$K$34,IF($I2320=TRUE,入力リスト!$K$35,IF(J2320=FALSE,"「毎月の固定給与額」","")&amp;IF(AND(J2320=FALSE,OR(K2320=FALSE,L2320=FALSE,M2320=FALSE)),",","")&amp;IF(K2320=FALSE,"「賞与額等」","")&amp;IF(AND(K2320=FALSE,OR(L2320=FALSE,M2320=FALSE)),",","")&amp;IF(L2320=FALSE,"「残業手当」","")&amp;IF(AND(L2320=FALSE,M2320=FALSE),",","")&amp;IF(M2320=FALSE,"「残業時間」","")&amp;IF(OR(J2320=FALSE,K2320=FALSE,L2320=FALSE,M2320=FALSE),入力リスト!$K$36,"")&amp;IF(N2320,"",入力リスト!$K$37)))</f>
        <v/>
      </c>
      <c r="H2320" s="215"/>
      <c r="I2320" s="1" t="b">
        <f>IF(B2320="",FALSE,COUNTIF('従業員情報(給与以外)'!$A$4:$A$1000000,$B2320)=0)</f>
        <v>0</v>
      </c>
      <c r="J2320" s="8" t="b">
        <f t="shared" si="180"/>
        <v>1</v>
      </c>
      <c r="K2320" s="8" t="b">
        <f t="shared" si="181"/>
        <v>1</v>
      </c>
      <c r="L2320" s="8" t="b">
        <f t="shared" si="182"/>
        <v>1</v>
      </c>
      <c r="M2320" s="8" t="b">
        <f t="shared" si="183"/>
        <v>1</v>
      </c>
      <c r="N2320" s="1" t="b">
        <f t="shared" si="184"/>
        <v>1</v>
      </c>
      <c r="O2320" s="8" t="str">
        <f>IF(F2320="","",IF($F$2=入力リスト!$H$25,ROUNDDOWN(INT(F2320)+ROUNDDOWN((F2320-INT(F2320))*100,0)/60,2),F2320))</f>
        <v/>
      </c>
      <c r="P2320" s="7"/>
      <c r="Q2320" s="7"/>
    </row>
    <row r="2321" spans="1:17">
      <c r="A2321" s="234"/>
      <c r="B2321" s="235"/>
      <c r="C2321" s="235"/>
      <c r="D2321" s="3"/>
      <c r="E2321" s="235"/>
      <c r="F2321" s="236"/>
      <c r="G2321" s="215" t="str">
        <f>IF(AND($B2321="",OR(B2321&lt;&gt;"",C2321&lt;&gt;"",D2321&lt;&gt;"",E2321&lt;&gt;"",F2321&lt;&gt;"")),入力リスト!$K$34,IF($I2321=TRUE,入力リスト!$K$35,IF(J2321=FALSE,"「毎月の固定給与額」","")&amp;IF(AND(J2321=FALSE,OR(K2321=FALSE,L2321=FALSE,M2321=FALSE)),",","")&amp;IF(K2321=FALSE,"「賞与額等」","")&amp;IF(AND(K2321=FALSE,OR(L2321=FALSE,M2321=FALSE)),",","")&amp;IF(L2321=FALSE,"「残業手当」","")&amp;IF(AND(L2321=FALSE,M2321=FALSE),",","")&amp;IF(M2321=FALSE,"「残業時間」","")&amp;IF(OR(J2321=FALSE,K2321=FALSE,L2321=FALSE,M2321=FALSE),入力リスト!$K$36,"")&amp;IF(N2321,"",入力リスト!$K$37)))</f>
        <v/>
      </c>
      <c r="H2321" s="215"/>
      <c r="I2321" s="1" t="b">
        <f>IF(B2321="",FALSE,COUNTIF('従業員情報(給与以外)'!$A$4:$A$1000000,$B2321)=0)</f>
        <v>0</v>
      </c>
      <c r="J2321" s="8" t="b">
        <f t="shared" si="180"/>
        <v>1</v>
      </c>
      <c r="K2321" s="8" t="b">
        <f t="shared" si="181"/>
        <v>1</v>
      </c>
      <c r="L2321" s="8" t="b">
        <f t="shared" si="182"/>
        <v>1</v>
      </c>
      <c r="M2321" s="8" t="b">
        <f t="shared" si="183"/>
        <v>1</v>
      </c>
      <c r="N2321" s="1" t="b">
        <f t="shared" si="184"/>
        <v>1</v>
      </c>
      <c r="O2321" s="8" t="str">
        <f>IF(F2321="","",IF($F$2=入力リスト!$H$25,ROUNDDOWN(INT(F2321)+ROUNDDOWN((F2321-INT(F2321))*100,0)/60,2),F2321))</f>
        <v/>
      </c>
      <c r="P2321" s="7"/>
      <c r="Q2321" s="7"/>
    </row>
    <row r="2322" spans="1:17">
      <c r="A2322" s="234"/>
      <c r="B2322" s="235"/>
      <c r="C2322" s="235"/>
      <c r="D2322" s="3"/>
      <c r="E2322" s="235"/>
      <c r="F2322" s="236"/>
      <c r="G2322" s="215" t="str">
        <f>IF(AND($B2322="",OR(B2322&lt;&gt;"",C2322&lt;&gt;"",D2322&lt;&gt;"",E2322&lt;&gt;"",F2322&lt;&gt;"")),入力リスト!$K$34,IF($I2322=TRUE,入力リスト!$K$35,IF(J2322=FALSE,"「毎月の固定給与額」","")&amp;IF(AND(J2322=FALSE,OR(K2322=FALSE,L2322=FALSE,M2322=FALSE)),",","")&amp;IF(K2322=FALSE,"「賞与額等」","")&amp;IF(AND(K2322=FALSE,OR(L2322=FALSE,M2322=FALSE)),",","")&amp;IF(L2322=FALSE,"「残業手当」","")&amp;IF(AND(L2322=FALSE,M2322=FALSE),",","")&amp;IF(M2322=FALSE,"「残業時間」","")&amp;IF(OR(J2322=FALSE,K2322=FALSE,L2322=FALSE,M2322=FALSE),入力リスト!$K$36,"")&amp;IF(N2322,"",入力リスト!$K$37)))</f>
        <v/>
      </c>
      <c r="H2322" s="215"/>
      <c r="I2322" s="1" t="b">
        <f>IF(B2322="",FALSE,COUNTIF('従業員情報(給与以外)'!$A$4:$A$1000000,$B2322)=0)</f>
        <v>0</v>
      </c>
      <c r="J2322" s="8" t="b">
        <f t="shared" si="180"/>
        <v>1</v>
      </c>
      <c r="K2322" s="8" t="b">
        <f t="shared" si="181"/>
        <v>1</v>
      </c>
      <c r="L2322" s="8" t="b">
        <f t="shared" si="182"/>
        <v>1</v>
      </c>
      <c r="M2322" s="8" t="b">
        <f t="shared" si="183"/>
        <v>1</v>
      </c>
      <c r="N2322" s="1" t="b">
        <f t="shared" si="184"/>
        <v>1</v>
      </c>
      <c r="O2322" s="8" t="str">
        <f>IF(F2322="","",IF($F$2=入力リスト!$H$25,ROUNDDOWN(INT(F2322)+ROUNDDOWN((F2322-INT(F2322))*100,0)/60,2),F2322))</f>
        <v/>
      </c>
      <c r="P2322" s="7"/>
      <c r="Q2322" s="7"/>
    </row>
    <row r="2323" spans="1:17">
      <c r="A2323" s="234"/>
      <c r="B2323" s="235"/>
      <c r="C2323" s="235"/>
      <c r="D2323" s="3"/>
      <c r="E2323" s="235"/>
      <c r="F2323" s="236"/>
      <c r="G2323" s="215" t="str">
        <f>IF(AND($B2323="",OR(B2323&lt;&gt;"",C2323&lt;&gt;"",D2323&lt;&gt;"",E2323&lt;&gt;"",F2323&lt;&gt;"")),入力リスト!$K$34,IF($I2323=TRUE,入力リスト!$K$35,IF(J2323=FALSE,"「毎月の固定給与額」","")&amp;IF(AND(J2323=FALSE,OR(K2323=FALSE,L2323=FALSE,M2323=FALSE)),",","")&amp;IF(K2323=FALSE,"「賞与額等」","")&amp;IF(AND(K2323=FALSE,OR(L2323=FALSE,M2323=FALSE)),",","")&amp;IF(L2323=FALSE,"「残業手当」","")&amp;IF(AND(L2323=FALSE,M2323=FALSE),",","")&amp;IF(M2323=FALSE,"「残業時間」","")&amp;IF(OR(J2323=FALSE,K2323=FALSE,L2323=FALSE,M2323=FALSE),入力リスト!$K$36,"")&amp;IF(N2323,"",入力リスト!$K$37)))</f>
        <v/>
      </c>
      <c r="H2323" s="215"/>
      <c r="I2323" s="1" t="b">
        <f>IF(B2323="",FALSE,COUNTIF('従業員情報(給与以外)'!$A$4:$A$1000000,$B2323)=0)</f>
        <v>0</v>
      </c>
      <c r="J2323" s="8" t="b">
        <f t="shared" si="180"/>
        <v>1</v>
      </c>
      <c r="K2323" s="8" t="b">
        <f t="shared" si="181"/>
        <v>1</v>
      </c>
      <c r="L2323" s="8" t="b">
        <f t="shared" si="182"/>
        <v>1</v>
      </c>
      <c r="M2323" s="8" t="b">
        <f t="shared" si="183"/>
        <v>1</v>
      </c>
      <c r="N2323" s="1" t="b">
        <f t="shared" si="184"/>
        <v>1</v>
      </c>
      <c r="O2323" s="8" t="str">
        <f>IF(F2323="","",IF($F$2=入力リスト!$H$25,ROUNDDOWN(INT(F2323)+ROUNDDOWN((F2323-INT(F2323))*100,0)/60,2),F2323))</f>
        <v/>
      </c>
      <c r="P2323" s="7"/>
      <c r="Q2323" s="7"/>
    </row>
    <row r="2324" spans="1:17">
      <c r="A2324" s="234"/>
      <c r="B2324" s="235"/>
      <c r="C2324" s="235"/>
      <c r="D2324" s="3"/>
      <c r="E2324" s="235"/>
      <c r="F2324" s="236"/>
      <c r="G2324" s="215" t="str">
        <f>IF(AND($B2324="",OR(B2324&lt;&gt;"",C2324&lt;&gt;"",D2324&lt;&gt;"",E2324&lt;&gt;"",F2324&lt;&gt;"")),入力リスト!$K$34,IF($I2324=TRUE,入力リスト!$K$35,IF(J2324=FALSE,"「毎月の固定給与額」","")&amp;IF(AND(J2324=FALSE,OR(K2324=FALSE,L2324=FALSE,M2324=FALSE)),",","")&amp;IF(K2324=FALSE,"「賞与額等」","")&amp;IF(AND(K2324=FALSE,OR(L2324=FALSE,M2324=FALSE)),",","")&amp;IF(L2324=FALSE,"「残業手当」","")&amp;IF(AND(L2324=FALSE,M2324=FALSE),",","")&amp;IF(M2324=FALSE,"「残業時間」","")&amp;IF(OR(J2324=FALSE,K2324=FALSE,L2324=FALSE,M2324=FALSE),入力リスト!$K$36,"")&amp;IF(N2324,"",入力リスト!$K$37)))</f>
        <v/>
      </c>
      <c r="H2324" s="215"/>
      <c r="I2324" s="1" t="b">
        <f>IF(B2324="",FALSE,COUNTIF('従業員情報(給与以外)'!$A$4:$A$1000000,$B2324)=0)</f>
        <v>0</v>
      </c>
      <c r="J2324" s="8" t="b">
        <f t="shared" si="180"/>
        <v>1</v>
      </c>
      <c r="K2324" s="8" t="b">
        <f t="shared" si="181"/>
        <v>1</v>
      </c>
      <c r="L2324" s="8" t="b">
        <f t="shared" si="182"/>
        <v>1</v>
      </c>
      <c r="M2324" s="8" t="b">
        <f t="shared" si="183"/>
        <v>1</v>
      </c>
      <c r="N2324" s="1" t="b">
        <f t="shared" si="184"/>
        <v>1</v>
      </c>
      <c r="O2324" s="8" t="str">
        <f>IF(F2324="","",IF($F$2=入力リスト!$H$25,ROUNDDOWN(INT(F2324)+ROUNDDOWN((F2324-INT(F2324))*100,0)/60,2),F2324))</f>
        <v/>
      </c>
      <c r="P2324" s="7"/>
      <c r="Q2324" s="7"/>
    </row>
    <row r="2325" spans="1:17">
      <c r="A2325" s="234"/>
      <c r="B2325" s="235"/>
      <c r="C2325" s="235"/>
      <c r="D2325" s="3"/>
      <c r="E2325" s="235"/>
      <c r="F2325" s="236"/>
      <c r="G2325" s="215" t="str">
        <f>IF(AND($B2325="",OR(B2325&lt;&gt;"",C2325&lt;&gt;"",D2325&lt;&gt;"",E2325&lt;&gt;"",F2325&lt;&gt;"")),入力リスト!$K$34,IF($I2325=TRUE,入力リスト!$K$35,IF(J2325=FALSE,"「毎月の固定給与額」","")&amp;IF(AND(J2325=FALSE,OR(K2325=FALSE,L2325=FALSE,M2325=FALSE)),",","")&amp;IF(K2325=FALSE,"「賞与額等」","")&amp;IF(AND(K2325=FALSE,OR(L2325=FALSE,M2325=FALSE)),",","")&amp;IF(L2325=FALSE,"「残業手当」","")&amp;IF(AND(L2325=FALSE,M2325=FALSE),",","")&amp;IF(M2325=FALSE,"「残業時間」","")&amp;IF(OR(J2325=FALSE,K2325=FALSE,L2325=FALSE,M2325=FALSE),入力リスト!$K$36,"")&amp;IF(N2325,"",入力リスト!$K$37)))</f>
        <v/>
      </c>
      <c r="H2325" s="215"/>
      <c r="I2325" s="1" t="b">
        <f>IF(B2325="",FALSE,COUNTIF('従業員情報(給与以外)'!$A$4:$A$1000000,$B2325)=0)</f>
        <v>0</v>
      </c>
      <c r="J2325" s="8" t="b">
        <f t="shared" si="180"/>
        <v>1</v>
      </c>
      <c r="K2325" s="8" t="b">
        <f t="shared" si="181"/>
        <v>1</v>
      </c>
      <c r="L2325" s="8" t="b">
        <f t="shared" si="182"/>
        <v>1</v>
      </c>
      <c r="M2325" s="8" t="b">
        <f t="shared" si="183"/>
        <v>1</v>
      </c>
      <c r="N2325" s="1" t="b">
        <f t="shared" si="184"/>
        <v>1</v>
      </c>
      <c r="O2325" s="8" t="str">
        <f>IF(F2325="","",IF($F$2=入力リスト!$H$25,ROUNDDOWN(INT(F2325)+ROUNDDOWN((F2325-INT(F2325))*100,0)/60,2),F2325))</f>
        <v/>
      </c>
      <c r="P2325" s="7"/>
      <c r="Q2325" s="7"/>
    </row>
    <row r="2326" spans="1:17">
      <c r="A2326" s="234"/>
      <c r="B2326" s="235"/>
      <c r="C2326" s="235"/>
      <c r="D2326" s="3"/>
      <c r="E2326" s="235"/>
      <c r="F2326" s="236"/>
      <c r="G2326" s="215" t="str">
        <f>IF(AND($B2326="",OR(B2326&lt;&gt;"",C2326&lt;&gt;"",D2326&lt;&gt;"",E2326&lt;&gt;"",F2326&lt;&gt;"")),入力リスト!$K$34,IF($I2326=TRUE,入力リスト!$K$35,IF(J2326=FALSE,"「毎月の固定給与額」","")&amp;IF(AND(J2326=FALSE,OR(K2326=FALSE,L2326=FALSE,M2326=FALSE)),",","")&amp;IF(K2326=FALSE,"「賞与額等」","")&amp;IF(AND(K2326=FALSE,OR(L2326=FALSE,M2326=FALSE)),",","")&amp;IF(L2326=FALSE,"「残業手当」","")&amp;IF(AND(L2326=FALSE,M2326=FALSE),",","")&amp;IF(M2326=FALSE,"「残業時間」","")&amp;IF(OR(J2326=FALSE,K2326=FALSE,L2326=FALSE,M2326=FALSE),入力リスト!$K$36,"")&amp;IF(N2326,"",入力リスト!$K$37)))</f>
        <v/>
      </c>
      <c r="H2326" s="215"/>
      <c r="I2326" s="1" t="b">
        <f>IF(B2326="",FALSE,COUNTIF('従業員情報(給与以外)'!$A$4:$A$1000000,$B2326)=0)</f>
        <v>0</v>
      </c>
      <c r="J2326" s="8" t="b">
        <f t="shared" si="180"/>
        <v>1</v>
      </c>
      <c r="K2326" s="8" t="b">
        <f t="shared" si="181"/>
        <v>1</v>
      </c>
      <c r="L2326" s="8" t="b">
        <f t="shared" si="182"/>
        <v>1</v>
      </c>
      <c r="M2326" s="8" t="b">
        <f t="shared" si="183"/>
        <v>1</v>
      </c>
      <c r="N2326" s="1" t="b">
        <f t="shared" si="184"/>
        <v>1</v>
      </c>
      <c r="O2326" s="8" t="str">
        <f>IF(F2326="","",IF($F$2=入力リスト!$H$25,ROUNDDOWN(INT(F2326)+ROUNDDOWN((F2326-INT(F2326))*100,0)/60,2),F2326))</f>
        <v/>
      </c>
      <c r="P2326" s="7"/>
      <c r="Q2326" s="7"/>
    </row>
    <row r="2327" spans="1:17">
      <c r="A2327" s="234"/>
      <c r="B2327" s="235"/>
      <c r="C2327" s="235"/>
      <c r="D2327" s="3"/>
      <c r="E2327" s="235"/>
      <c r="F2327" s="236"/>
      <c r="G2327" s="215" t="str">
        <f>IF(AND($B2327="",OR(B2327&lt;&gt;"",C2327&lt;&gt;"",D2327&lt;&gt;"",E2327&lt;&gt;"",F2327&lt;&gt;"")),入力リスト!$K$34,IF($I2327=TRUE,入力リスト!$K$35,IF(J2327=FALSE,"「毎月の固定給与額」","")&amp;IF(AND(J2327=FALSE,OR(K2327=FALSE,L2327=FALSE,M2327=FALSE)),",","")&amp;IF(K2327=FALSE,"「賞与額等」","")&amp;IF(AND(K2327=FALSE,OR(L2327=FALSE,M2327=FALSE)),",","")&amp;IF(L2327=FALSE,"「残業手当」","")&amp;IF(AND(L2327=FALSE,M2327=FALSE),",","")&amp;IF(M2327=FALSE,"「残業時間」","")&amp;IF(OR(J2327=FALSE,K2327=FALSE,L2327=FALSE,M2327=FALSE),入力リスト!$K$36,"")&amp;IF(N2327,"",入力リスト!$K$37)))</f>
        <v/>
      </c>
      <c r="H2327" s="215"/>
      <c r="I2327" s="1" t="b">
        <f>IF(B2327="",FALSE,COUNTIF('従業員情報(給与以外)'!$A$4:$A$1000000,$B2327)=0)</f>
        <v>0</v>
      </c>
      <c r="J2327" s="8" t="b">
        <f t="shared" si="180"/>
        <v>1</v>
      </c>
      <c r="K2327" s="8" t="b">
        <f t="shared" si="181"/>
        <v>1</v>
      </c>
      <c r="L2327" s="8" t="b">
        <f t="shared" si="182"/>
        <v>1</v>
      </c>
      <c r="M2327" s="8" t="b">
        <f t="shared" si="183"/>
        <v>1</v>
      </c>
      <c r="N2327" s="1" t="b">
        <f t="shared" si="184"/>
        <v>1</v>
      </c>
      <c r="O2327" s="8" t="str">
        <f>IF(F2327="","",IF($F$2=入力リスト!$H$25,ROUNDDOWN(INT(F2327)+ROUNDDOWN((F2327-INT(F2327))*100,0)/60,2),F2327))</f>
        <v/>
      </c>
      <c r="P2327" s="7"/>
      <c r="Q2327" s="7"/>
    </row>
    <row r="2328" spans="1:17">
      <c r="A2328" s="234"/>
      <c r="B2328" s="235"/>
      <c r="C2328" s="235"/>
      <c r="D2328" s="3"/>
      <c r="E2328" s="235"/>
      <c r="F2328" s="236"/>
      <c r="G2328" s="215" t="str">
        <f>IF(AND($B2328="",OR(B2328&lt;&gt;"",C2328&lt;&gt;"",D2328&lt;&gt;"",E2328&lt;&gt;"",F2328&lt;&gt;"")),入力リスト!$K$34,IF($I2328=TRUE,入力リスト!$K$35,IF(J2328=FALSE,"「毎月の固定給与額」","")&amp;IF(AND(J2328=FALSE,OR(K2328=FALSE,L2328=FALSE,M2328=FALSE)),",","")&amp;IF(K2328=FALSE,"「賞与額等」","")&amp;IF(AND(K2328=FALSE,OR(L2328=FALSE,M2328=FALSE)),",","")&amp;IF(L2328=FALSE,"「残業手当」","")&amp;IF(AND(L2328=FALSE,M2328=FALSE),",","")&amp;IF(M2328=FALSE,"「残業時間」","")&amp;IF(OR(J2328=FALSE,K2328=FALSE,L2328=FALSE,M2328=FALSE),入力リスト!$K$36,"")&amp;IF(N2328,"",入力リスト!$K$37)))</f>
        <v/>
      </c>
      <c r="H2328" s="215"/>
      <c r="I2328" s="1" t="b">
        <f>IF(B2328="",FALSE,COUNTIF('従業員情報(給与以外)'!$A$4:$A$1000000,$B2328)=0)</f>
        <v>0</v>
      </c>
      <c r="J2328" s="8" t="b">
        <f t="shared" si="180"/>
        <v>1</v>
      </c>
      <c r="K2328" s="8" t="b">
        <f t="shared" si="181"/>
        <v>1</v>
      </c>
      <c r="L2328" s="8" t="b">
        <f t="shared" si="182"/>
        <v>1</v>
      </c>
      <c r="M2328" s="8" t="b">
        <f t="shared" si="183"/>
        <v>1</v>
      </c>
      <c r="N2328" s="1" t="b">
        <f t="shared" si="184"/>
        <v>1</v>
      </c>
      <c r="O2328" s="8" t="str">
        <f>IF(F2328="","",IF($F$2=入力リスト!$H$25,ROUNDDOWN(INT(F2328)+ROUNDDOWN((F2328-INT(F2328))*100,0)/60,2),F2328))</f>
        <v/>
      </c>
      <c r="P2328" s="7"/>
      <c r="Q2328" s="7"/>
    </row>
    <row r="2329" spans="1:17">
      <c r="A2329" s="234"/>
      <c r="B2329" s="235"/>
      <c r="C2329" s="235"/>
      <c r="D2329" s="3"/>
      <c r="E2329" s="235"/>
      <c r="F2329" s="236"/>
      <c r="G2329" s="215" t="str">
        <f>IF(AND($B2329="",OR(B2329&lt;&gt;"",C2329&lt;&gt;"",D2329&lt;&gt;"",E2329&lt;&gt;"",F2329&lt;&gt;"")),入力リスト!$K$34,IF($I2329=TRUE,入力リスト!$K$35,IF(J2329=FALSE,"「毎月の固定給与額」","")&amp;IF(AND(J2329=FALSE,OR(K2329=FALSE,L2329=FALSE,M2329=FALSE)),",","")&amp;IF(K2329=FALSE,"「賞与額等」","")&amp;IF(AND(K2329=FALSE,OR(L2329=FALSE,M2329=FALSE)),",","")&amp;IF(L2329=FALSE,"「残業手当」","")&amp;IF(AND(L2329=FALSE,M2329=FALSE),",","")&amp;IF(M2329=FALSE,"「残業時間」","")&amp;IF(OR(J2329=FALSE,K2329=FALSE,L2329=FALSE,M2329=FALSE),入力リスト!$K$36,"")&amp;IF(N2329,"",入力リスト!$K$37)))</f>
        <v/>
      </c>
      <c r="H2329" s="215"/>
      <c r="I2329" s="1" t="b">
        <f>IF(B2329="",FALSE,COUNTIF('従業員情報(給与以外)'!$A$4:$A$1000000,$B2329)=0)</f>
        <v>0</v>
      </c>
      <c r="J2329" s="8" t="b">
        <f t="shared" si="180"/>
        <v>1</v>
      </c>
      <c r="K2329" s="8" t="b">
        <f t="shared" si="181"/>
        <v>1</v>
      </c>
      <c r="L2329" s="8" t="b">
        <f t="shared" si="182"/>
        <v>1</v>
      </c>
      <c r="M2329" s="8" t="b">
        <f t="shared" si="183"/>
        <v>1</v>
      </c>
      <c r="N2329" s="1" t="b">
        <f t="shared" si="184"/>
        <v>1</v>
      </c>
      <c r="O2329" s="8" t="str">
        <f>IF(F2329="","",IF($F$2=入力リスト!$H$25,ROUNDDOWN(INT(F2329)+ROUNDDOWN((F2329-INT(F2329))*100,0)/60,2),F2329))</f>
        <v/>
      </c>
      <c r="P2329" s="7"/>
      <c r="Q2329" s="7"/>
    </row>
    <row r="2330" spans="1:17">
      <c r="A2330" s="234"/>
      <c r="B2330" s="235"/>
      <c r="C2330" s="235"/>
      <c r="D2330" s="3"/>
      <c r="E2330" s="235"/>
      <c r="F2330" s="236"/>
      <c r="G2330" s="215" t="str">
        <f>IF(AND($B2330="",OR(B2330&lt;&gt;"",C2330&lt;&gt;"",D2330&lt;&gt;"",E2330&lt;&gt;"",F2330&lt;&gt;"")),入力リスト!$K$34,IF($I2330=TRUE,入力リスト!$K$35,IF(J2330=FALSE,"「毎月の固定給与額」","")&amp;IF(AND(J2330=FALSE,OR(K2330=FALSE,L2330=FALSE,M2330=FALSE)),",","")&amp;IF(K2330=FALSE,"「賞与額等」","")&amp;IF(AND(K2330=FALSE,OR(L2330=FALSE,M2330=FALSE)),",","")&amp;IF(L2330=FALSE,"「残業手当」","")&amp;IF(AND(L2330=FALSE,M2330=FALSE),",","")&amp;IF(M2330=FALSE,"「残業時間」","")&amp;IF(OR(J2330=FALSE,K2330=FALSE,L2330=FALSE,M2330=FALSE),入力リスト!$K$36,"")&amp;IF(N2330,"",入力リスト!$K$37)))</f>
        <v/>
      </c>
      <c r="H2330" s="215"/>
      <c r="I2330" s="1" t="b">
        <f>IF(B2330="",FALSE,COUNTIF('従業員情報(給与以外)'!$A$4:$A$1000000,$B2330)=0)</f>
        <v>0</v>
      </c>
      <c r="J2330" s="8" t="b">
        <f t="shared" si="180"/>
        <v>1</v>
      </c>
      <c r="K2330" s="8" t="b">
        <f t="shared" si="181"/>
        <v>1</v>
      </c>
      <c r="L2330" s="8" t="b">
        <f t="shared" si="182"/>
        <v>1</v>
      </c>
      <c r="M2330" s="8" t="b">
        <f t="shared" si="183"/>
        <v>1</v>
      </c>
      <c r="N2330" s="1" t="b">
        <f t="shared" si="184"/>
        <v>1</v>
      </c>
      <c r="O2330" s="8" t="str">
        <f>IF(F2330="","",IF($F$2=入力リスト!$H$25,ROUNDDOWN(INT(F2330)+ROUNDDOWN((F2330-INT(F2330))*100,0)/60,2),F2330))</f>
        <v/>
      </c>
      <c r="P2330" s="7"/>
      <c r="Q2330" s="7"/>
    </row>
    <row r="2331" spans="1:17">
      <c r="A2331" s="234"/>
      <c r="B2331" s="235"/>
      <c r="C2331" s="235"/>
      <c r="D2331" s="3"/>
      <c r="E2331" s="235"/>
      <c r="F2331" s="236"/>
      <c r="G2331" s="215" t="str">
        <f>IF(AND($B2331="",OR(B2331&lt;&gt;"",C2331&lt;&gt;"",D2331&lt;&gt;"",E2331&lt;&gt;"",F2331&lt;&gt;"")),入力リスト!$K$34,IF($I2331=TRUE,入力リスト!$K$35,IF(J2331=FALSE,"「毎月の固定給与額」","")&amp;IF(AND(J2331=FALSE,OR(K2331=FALSE,L2331=FALSE,M2331=FALSE)),",","")&amp;IF(K2331=FALSE,"「賞与額等」","")&amp;IF(AND(K2331=FALSE,OR(L2331=FALSE,M2331=FALSE)),",","")&amp;IF(L2331=FALSE,"「残業手当」","")&amp;IF(AND(L2331=FALSE,M2331=FALSE),",","")&amp;IF(M2331=FALSE,"「残業時間」","")&amp;IF(OR(J2331=FALSE,K2331=FALSE,L2331=FALSE,M2331=FALSE),入力リスト!$K$36,"")&amp;IF(N2331,"",入力リスト!$K$37)))</f>
        <v/>
      </c>
      <c r="H2331" s="215"/>
      <c r="I2331" s="1" t="b">
        <f>IF(B2331="",FALSE,COUNTIF('従業員情報(給与以外)'!$A$4:$A$1000000,$B2331)=0)</f>
        <v>0</v>
      </c>
      <c r="J2331" s="8" t="b">
        <f t="shared" si="180"/>
        <v>1</v>
      </c>
      <c r="K2331" s="8" t="b">
        <f t="shared" si="181"/>
        <v>1</v>
      </c>
      <c r="L2331" s="8" t="b">
        <f t="shared" si="182"/>
        <v>1</v>
      </c>
      <c r="M2331" s="8" t="b">
        <f t="shared" si="183"/>
        <v>1</v>
      </c>
      <c r="N2331" s="1" t="b">
        <f t="shared" si="184"/>
        <v>1</v>
      </c>
      <c r="O2331" s="8" t="str">
        <f>IF(F2331="","",IF($F$2=入力リスト!$H$25,ROUNDDOWN(INT(F2331)+ROUNDDOWN((F2331-INT(F2331))*100,0)/60,2),F2331))</f>
        <v/>
      </c>
      <c r="P2331" s="7"/>
      <c r="Q2331" s="7"/>
    </row>
    <row r="2332" spans="1:17">
      <c r="A2332" s="234"/>
      <c r="B2332" s="235"/>
      <c r="C2332" s="235"/>
      <c r="D2332" s="3"/>
      <c r="E2332" s="235"/>
      <c r="F2332" s="236"/>
      <c r="G2332" s="215" t="str">
        <f>IF(AND($B2332="",OR(B2332&lt;&gt;"",C2332&lt;&gt;"",D2332&lt;&gt;"",E2332&lt;&gt;"",F2332&lt;&gt;"")),入力リスト!$K$34,IF($I2332=TRUE,入力リスト!$K$35,IF(J2332=FALSE,"「毎月の固定給与額」","")&amp;IF(AND(J2332=FALSE,OR(K2332=FALSE,L2332=FALSE,M2332=FALSE)),",","")&amp;IF(K2332=FALSE,"「賞与額等」","")&amp;IF(AND(K2332=FALSE,OR(L2332=FALSE,M2332=FALSE)),",","")&amp;IF(L2332=FALSE,"「残業手当」","")&amp;IF(AND(L2332=FALSE,M2332=FALSE),",","")&amp;IF(M2332=FALSE,"「残業時間」","")&amp;IF(OR(J2332=FALSE,K2332=FALSE,L2332=FALSE,M2332=FALSE),入力リスト!$K$36,"")&amp;IF(N2332,"",入力リスト!$K$37)))</f>
        <v/>
      </c>
      <c r="H2332" s="215"/>
      <c r="I2332" s="1" t="b">
        <f>IF(B2332="",FALSE,COUNTIF('従業員情報(給与以外)'!$A$4:$A$1000000,$B2332)=0)</f>
        <v>0</v>
      </c>
      <c r="J2332" s="8" t="b">
        <f t="shared" si="180"/>
        <v>1</v>
      </c>
      <c r="K2332" s="8" t="b">
        <f t="shared" si="181"/>
        <v>1</v>
      </c>
      <c r="L2332" s="8" t="b">
        <f t="shared" si="182"/>
        <v>1</v>
      </c>
      <c r="M2332" s="8" t="b">
        <f t="shared" si="183"/>
        <v>1</v>
      </c>
      <c r="N2332" s="1" t="b">
        <f t="shared" si="184"/>
        <v>1</v>
      </c>
      <c r="O2332" s="8" t="str">
        <f>IF(F2332="","",IF($F$2=入力リスト!$H$25,ROUNDDOWN(INT(F2332)+ROUNDDOWN((F2332-INT(F2332))*100,0)/60,2),F2332))</f>
        <v/>
      </c>
      <c r="P2332" s="7"/>
      <c r="Q2332" s="7"/>
    </row>
    <row r="2333" spans="1:17">
      <c r="A2333" s="234"/>
      <c r="B2333" s="235"/>
      <c r="C2333" s="235"/>
      <c r="D2333" s="3"/>
      <c r="E2333" s="235"/>
      <c r="F2333" s="236"/>
      <c r="G2333" s="215" t="str">
        <f>IF(AND($B2333="",OR(B2333&lt;&gt;"",C2333&lt;&gt;"",D2333&lt;&gt;"",E2333&lt;&gt;"",F2333&lt;&gt;"")),入力リスト!$K$34,IF($I2333=TRUE,入力リスト!$K$35,IF(J2333=FALSE,"「毎月の固定給与額」","")&amp;IF(AND(J2333=FALSE,OR(K2333=FALSE,L2333=FALSE,M2333=FALSE)),",","")&amp;IF(K2333=FALSE,"「賞与額等」","")&amp;IF(AND(K2333=FALSE,OR(L2333=FALSE,M2333=FALSE)),",","")&amp;IF(L2333=FALSE,"「残業手当」","")&amp;IF(AND(L2333=FALSE,M2333=FALSE),",","")&amp;IF(M2333=FALSE,"「残業時間」","")&amp;IF(OR(J2333=FALSE,K2333=FALSE,L2333=FALSE,M2333=FALSE),入力リスト!$K$36,"")&amp;IF(N2333,"",入力リスト!$K$37)))</f>
        <v/>
      </c>
      <c r="H2333" s="215"/>
      <c r="I2333" s="1" t="b">
        <f>IF(B2333="",FALSE,COUNTIF('従業員情報(給与以外)'!$A$4:$A$1000000,$B2333)=0)</f>
        <v>0</v>
      </c>
      <c r="J2333" s="8" t="b">
        <f t="shared" si="180"/>
        <v>1</v>
      </c>
      <c r="K2333" s="8" t="b">
        <f t="shared" si="181"/>
        <v>1</v>
      </c>
      <c r="L2333" s="8" t="b">
        <f t="shared" si="182"/>
        <v>1</v>
      </c>
      <c r="M2333" s="8" t="b">
        <f t="shared" si="183"/>
        <v>1</v>
      </c>
      <c r="N2333" s="1" t="b">
        <f t="shared" si="184"/>
        <v>1</v>
      </c>
      <c r="O2333" s="8" t="str">
        <f>IF(F2333="","",IF($F$2=入力リスト!$H$25,ROUNDDOWN(INT(F2333)+ROUNDDOWN((F2333-INT(F2333))*100,0)/60,2),F2333))</f>
        <v/>
      </c>
      <c r="P2333" s="7"/>
      <c r="Q2333" s="7"/>
    </row>
    <row r="2334" spans="1:17">
      <c r="A2334" s="234"/>
      <c r="B2334" s="235"/>
      <c r="C2334" s="235"/>
      <c r="D2334" s="3"/>
      <c r="E2334" s="235"/>
      <c r="F2334" s="236"/>
      <c r="G2334" s="215" t="str">
        <f>IF(AND($B2334="",OR(B2334&lt;&gt;"",C2334&lt;&gt;"",D2334&lt;&gt;"",E2334&lt;&gt;"",F2334&lt;&gt;"")),入力リスト!$K$34,IF($I2334=TRUE,入力リスト!$K$35,IF(J2334=FALSE,"「毎月の固定給与額」","")&amp;IF(AND(J2334=FALSE,OR(K2334=FALSE,L2334=FALSE,M2334=FALSE)),",","")&amp;IF(K2334=FALSE,"「賞与額等」","")&amp;IF(AND(K2334=FALSE,OR(L2334=FALSE,M2334=FALSE)),",","")&amp;IF(L2334=FALSE,"「残業手当」","")&amp;IF(AND(L2334=FALSE,M2334=FALSE),",","")&amp;IF(M2334=FALSE,"「残業時間」","")&amp;IF(OR(J2334=FALSE,K2334=FALSE,L2334=FALSE,M2334=FALSE),入力リスト!$K$36,"")&amp;IF(N2334,"",入力リスト!$K$37)))</f>
        <v/>
      </c>
      <c r="H2334" s="215"/>
      <c r="I2334" s="1" t="b">
        <f>IF(B2334="",FALSE,COUNTIF('従業員情報(給与以外)'!$A$4:$A$1000000,$B2334)=0)</f>
        <v>0</v>
      </c>
      <c r="J2334" s="8" t="b">
        <f t="shared" si="180"/>
        <v>1</v>
      </c>
      <c r="K2334" s="8" t="b">
        <f t="shared" si="181"/>
        <v>1</v>
      </c>
      <c r="L2334" s="8" t="b">
        <f t="shared" si="182"/>
        <v>1</v>
      </c>
      <c r="M2334" s="8" t="b">
        <f t="shared" si="183"/>
        <v>1</v>
      </c>
      <c r="N2334" s="1" t="b">
        <f t="shared" si="184"/>
        <v>1</v>
      </c>
      <c r="O2334" s="8" t="str">
        <f>IF(F2334="","",IF($F$2=入力リスト!$H$25,ROUNDDOWN(INT(F2334)+ROUNDDOWN((F2334-INT(F2334))*100,0)/60,2),F2334))</f>
        <v/>
      </c>
      <c r="P2334" s="7"/>
      <c r="Q2334" s="7"/>
    </row>
    <row r="2335" spans="1:17">
      <c r="A2335" s="234"/>
      <c r="B2335" s="235"/>
      <c r="C2335" s="235"/>
      <c r="D2335" s="3"/>
      <c r="E2335" s="235"/>
      <c r="F2335" s="236"/>
      <c r="G2335" s="215" t="str">
        <f>IF(AND($B2335="",OR(B2335&lt;&gt;"",C2335&lt;&gt;"",D2335&lt;&gt;"",E2335&lt;&gt;"",F2335&lt;&gt;"")),入力リスト!$K$34,IF($I2335=TRUE,入力リスト!$K$35,IF(J2335=FALSE,"「毎月の固定給与額」","")&amp;IF(AND(J2335=FALSE,OR(K2335=FALSE,L2335=FALSE,M2335=FALSE)),",","")&amp;IF(K2335=FALSE,"「賞与額等」","")&amp;IF(AND(K2335=FALSE,OR(L2335=FALSE,M2335=FALSE)),",","")&amp;IF(L2335=FALSE,"「残業手当」","")&amp;IF(AND(L2335=FALSE,M2335=FALSE),",","")&amp;IF(M2335=FALSE,"「残業時間」","")&amp;IF(OR(J2335=FALSE,K2335=FALSE,L2335=FALSE,M2335=FALSE),入力リスト!$K$36,"")&amp;IF(N2335,"",入力リスト!$K$37)))</f>
        <v/>
      </c>
      <c r="H2335" s="215"/>
      <c r="I2335" s="1" t="b">
        <f>IF(B2335="",FALSE,COUNTIF('従業員情報(給与以外)'!$A$4:$A$1000000,$B2335)=0)</f>
        <v>0</v>
      </c>
      <c r="J2335" s="8" t="b">
        <f t="shared" si="180"/>
        <v>1</v>
      </c>
      <c r="K2335" s="8" t="b">
        <f t="shared" si="181"/>
        <v>1</v>
      </c>
      <c r="L2335" s="8" t="b">
        <f t="shared" si="182"/>
        <v>1</v>
      </c>
      <c r="M2335" s="8" t="b">
        <f t="shared" si="183"/>
        <v>1</v>
      </c>
      <c r="N2335" s="1" t="b">
        <f t="shared" si="184"/>
        <v>1</v>
      </c>
      <c r="O2335" s="8" t="str">
        <f>IF(F2335="","",IF($F$2=入力リスト!$H$25,ROUNDDOWN(INT(F2335)+ROUNDDOWN((F2335-INT(F2335))*100,0)/60,2),F2335))</f>
        <v/>
      </c>
      <c r="P2335" s="7"/>
      <c r="Q2335" s="7"/>
    </row>
    <row r="2336" spans="1:17">
      <c r="A2336" s="234"/>
      <c r="B2336" s="235"/>
      <c r="C2336" s="235"/>
      <c r="D2336" s="3"/>
      <c r="E2336" s="235"/>
      <c r="F2336" s="236"/>
      <c r="G2336" s="215" t="str">
        <f>IF(AND($B2336="",OR(B2336&lt;&gt;"",C2336&lt;&gt;"",D2336&lt;&gt;"",E2336&lt;&gt;"",F2336&lt;&gt;"")),入力リスト!$K$34,IF($I2336=TRUE,入力リスト!$K$35,IF(J2336=FALSE,"「毎月の固定給与額」","")&amp;IF(AND(J2336=FALSE,OR(K2336=FALSE,L2336=FALSE,M2336=FALSE)),",","")&amp;IF(K2336=FALSE,"「賞与額等」","")&amp;IF(AND(K2336=FALSE,OR(L2336=FALSE,M2336=FALSE)),",","")&amp;IF(L2336=FALSE,"「残業手当」","")&amp;IF(AND(L2336=FALSE,M2336=FALSE),",","")&amp;IF(M2336=FALSE,"「残業時間」","")&amp;IF(OR(J2336=FALSE,K2336=FALSE,L2336=FALSE,M2336=FALSE),入力リスト!$K$36,"")&amp;IF(N2336,"",入力リスト!$K$37)))</f>
        <v/>
      </c>
      <c r="H2336" s="215"/>
      <c r="I2336" s="1" t="b">
        <f>IF(B2336="",FALSE,COUNTIF('従業員情報(給与以外)'!$A$4:$A$1000000,$B2336)=0)</f>
        <v>0</v>
      </c>
      <c r="J2336" s="8" t="b">
        <f t="shared" si="180"/>
        <v>1</v>
      </c>
      <c r="K2336" s="8" t="b">
        <f t="shared" si="181"/>
        <v>1</v>
      </c>
      <c r="L2336" s="8" t="b">
        <f t="shared" si="182"/>
        <v>1</v>
      </c>
      <c r="M2336" s="8" t="b">
        <f t="shared" si="183"/>
        <v>1</v>
      </c>
      <c r="N2336" s="1" t="b">
        <f t="shared" si="184"/>
        <v>1</v>
      </c>
      <c r="O2336" s="8" t="str">
        <f>IF(F2336="","",IF($F$2=入力リスト!$H$25,ROUNDDOWN(INT(F2336)+ROUNDDOWN((F2336-INT(F2336))*100,0)/60,2),F2336))</f>
        <v/>
      </c>
      <c r="P2336" s="7"/>
      <c r="Q2336" s="7"/>
    </row>
    <row r="2337" spans="1:17">
      <c r="A2337" s="234"/>
      <c r="B2337" s="235"/>
      <c r="C2337" s="235"/>
      <c r="D2337" s="3"/>
      <c r="E2337" s="235"/>
      <c r="F2337" s="236"/>
      <c r="G2337" s="215" t="str">
        <f>IF(AND($B2337="",OR(B2337&lt;&gt;"",C2337&lt;&gt;"",D2337&lt;&gt;"",E2337&lt;&gt;"",F2337&lt;&gt;"")),入力リスト!$K$34,IF($I2337=TRUE,入力リスト!$K$35,IF(J2337=FALSE,"「毎月の固定給与額」","")&amp;IF(AND(J2337=FALSE,OR(K2337=FALSE,L2337=FALSE,M2337=FALSE)),",","")&amp;IF(K2337=FALSE,"「賞与額等」","")&amp;IF(AND(K2337=FALSE,OR(L2337=FALSE,M2337=FALSE)),",","")&amp;IF(L2337=FALSE,"「残業手当」","")&amp;IF(AND(L2337=FALSE,M2337=FALSE),",","")&amp;IF(M2337=FALSE,"「残業時間」","")&amp;IF(OR(J2337=FALSE,K2337=FALSE,L2337=FALSE,M2337=FALSE),入力リスト!$K$36,"")&amp;IF(N2337,"",入力リスト!$K$37)))</f>
        <v/>
      </c>
      <c r="H2337" s="215"/>
      <c r="I2337" s="1" t="b">
        <f>IF(B2337="",FALSE,COUNTIF('従業員情報(給与以外)'!$A$4:$A$1000000,$B2337)=0)</f>
        <v>0</v>
      </c>
      <c r="J2337" s="8" t="b">
        <f t="shared" si="180"/>
        <v>1</v>
      </c>
      <c r="K2337" s="8" t="b">
        <f t="shared" si="181"/>
        <v>1</v>
      </c>
      <c r="L2337" s="8" t="b">
        <f t="shared" si="182"/>
        <v>1</v>
      </c>
      <c r="M2337" s="8" t="b">
        <f t="shared" si="183"/>
        <v>1</v>
      </c>
      <c r="N2337" s="1" t="b">
        <f t="shared" si="184"/>
        <v>1</v>
      </c>
      <c r="O2337" s="8" t="str">
        <f>IF(F2337="","",IF($F$2=入力リスト!$H$25,ROUNDDOWN(INT(F2337)+ROUNDDOWN((F2337-INT(F2337))*100,0)/60,2),F2337))</f>
        <v/>
      </c>
      <c r="P2337" s="7"/>
      <c r="Q2337" s="7"/>
    </row>
    <row r="2338" spans="1:17">
      <c r="A2338" s="234"/>
      <c r="B2338" s="235"/>
      <c r="C2338" s="235"/>
      <c r="D2338" s="3"/>
      <c r="E2338" s="235"/>
      <c r="F2338" s="236"/>
      <c r="G2338" s="215" t="str">
        <f>IF(AND($B2338="",OR(B2338&lt;&gt;"",C2338&lt;&gt;"",D2338&lt;&gt;"",E2338&lt;&gt;"",F2338&lt;&gt;"")),入力リスト!$K$34,IF($I2338=TRUE,入力リスト!$K$35,IF(J2338=FALSE,"「毎月の固定給与額」","")&amp;IF(AND(J2338=FALSE,OR(K2338=FALSE,L2338=FALSE,M2338=FALSE)),",","")&amp;IF(K2338=FALSE,"「賞与額等」","")&amp;IF(AND(K2338=FALSE,OR(L2338=FALSE,M2338=FALSE)),",","")&amp;IF(L2338=FALSE,"「残業手当」","")&amp;IF(AND(L2338=FALSE,M2338=FALSE),",","")&amp;IF(M2338=FALSE,"「残業時間」","")&amp;IF(OR(J2338=FALSE,K2338=FALSE,L2338=FALSE,M2338=FALSE),入力リスト!$K$36,"")&amp;IF(N2338,"",入力リスト!$K$37)))</f>
        <v/>
      </c>
      <c r="H2338" s="215"/>
      <c r="I2338" s="1" t="b">
        <f>IF(B2338="",FALSE,COUNTIF('従業員情報(給与以外)'!$A$4:$A$1000000,$B2338)=0)</f>
        <v>0</v>
      </c>
      <c r="J2338" s="8" t="b">
        <f t="shared" si="180"/>
        <v>1</v>
      </c>
      <c r="K2338" s="8" t="b">
        <f t="shared" si="181"/>
        <v>1</v>
      </c>
      <c r="L2338" s="8" t="b">
        <f t="shared" si="182"/>
        <v>1</v>
      </c>
      <c r="M2338" s="8" t="b">
        <f t="shared" si="183"/>
        <v>1</v>
      </c>
      <c r="N2338" s="1" t="b">
        <f t="shared" si="184"/>
        <v>1</v>
      </c>
      <c r="O2338" s="8" t="str">
        <f>IF(F2338="","",IF($F$2=入力リスト!$H$25,ROUNDDOWN(INT(F2338)+ROUNDDOWN((F2338-INT(F2338))*100,0)/60,2),F2338))</f>
        <v/>
      </c>
      <c r="P2338" s="7"/>
      <c r="Q2338" s="7"/>
    </row>
    <row r="2339" spans="1:17">
      <c r="A2339" s="234"/>
      <c r="B2339" s="235"/>
      <c r="C2339" s="235"/>
      <c r="D2339" s="3"/>
      <c r="E2339" s="235"/>
      <c r="F2339" s="236"/>
      <c r="G2339" s="215" t="str">
        <f>IF(AND($B2339="",OR(B2339&lt;&gt;"",C2339&lt;&gt;"",D2339&lt;&gt;"",E2339&lt;&gt;"",F2339&lt;&gt;"")),入力リスト!$K$34,IF($I2339=TRUE,入力リスト!$K$35,IF(J2339=FALSE,"「毎月の固定給与額」","")&amp;IF(AND(J2339=FALSE,OR(K2339=FALSE,L2339=FALSE,M2339=FALSE)),",","")&amp;IF(K2339=FALSE,"「賞与額等」","")&amp;IF(AND(K2339=FALSE,OR(L2339=FALSE,M2339=FALSE)),",","")&amp;IF(L2339=FALSE,"「残業手当」","")&amp;IF(AND(L2339=FALSE,M2339=FALSE),",","")&amp;IF(M2339=FALSE,"「残業時間」","")&amp;IF(OR(J2339=FALSE,K2339=FALSE,L2339=FALSE,M2339=FALSE),入力リスト!$K$36,"")&amp;IF(N2339,"",入力リスト!$K$37)))</f>
        <v/>
      </c>
      <c r="H2339" s="215"/>
      <c r="I2339" s="1" t="b">
        <f>IF(B2339="",FALSE,COUNTIF('従業員情報(給与以外)'!$A$4:$A$1000000,$B2339)=0)</f>
        <v>0</v>
      </c>
      <c r="J2339" s="8" t="b">
        <f t="shared" si="180"/>
        <v>1</v>
      </c>
      <c r="K2339" s="8" t="b">
        <f t="shared" si="181"/>
        <v>1</v>
      </c>
      <c r="L2339" s="8" t="b">
        <f t="shared" si="182"/>
        <v>1</v>
      </c>
      <c r="M2339" s="8" t="b">
        <f t="shared" si="183"/>
        <v>1</v>
      </c>
      <c r="N2339" s="1" t="b">
        <f t="shared" si="184"/>
        <v>1</v>
      </c>
      <c r="O2339" s="8" t="str">
        <f>IF(F2339="","",IF($F$2=入力リスト!$H$25,ROUNDDOWN(INT(F2339)+ROUNDDOWN((F2339-INT(F2339))*100,0)/60,2),F2339))</f>
        <v/>
      </c>
      <c r="P2339" s="7"/>
      <c r="Q2339" s="7"/>
    </row>
    <row r="2340" spans="1:17">
      <c r="A2340" s="234"/>
      <c r="B2340" s="235"/>
      <c r="C2340" s="235"/>
      <c r="D2340" s="3"/>
      <c r="E2340" s="235"/>
      <c r="F2340" s="236"/>
      <c r="G2340" s="215" t="str">
        <f>IF(AND($B2340="",OR(B2340&lt;&gt;"",C2340&lt;&gt;"",D2340&lt;&gt;"",E2340&lt;&gt;"",F2340&lt;&gt;"")),入力リスト!$K$34,IF($I2340=TRUE,入力リスト!$K$35,IF(J2340=FALSE,"「毎月の固定給与額」","")&amp;IF(AND(J2340=FALSE,OR(K2340=FALSE,L2340=FALSE,M2340=FALSE)),",","")&amp;IF(K2340=FALSE,"「賞与額等」","")&amp;IF(AND(K2340=FALSE,OR(L2340=FALSE,M2340=FALSE)),",","")&amp;IF(L2340=FALSE,"「残業手当」","")&amp;IF(AND(L2340=FALSE,M2340=FALSE),",","")&amp;IF(M2340=FALSE,"「残業時間」","")&amp;IF(OR(J2340=FALSE,K2340=FALSE,L2340=FALSE,M2340=FALSE),入力リスト!$K$36,"")&amp;IF(N2340,"",入力リスト!$K$37)))</f>
        <v/>
      </c>
      <c r="H2340" s="215"/>
      <c r="I2340" s="1" t="b">
        <f>IF(B2340="",FALSE,COUNTIF('従業員情報(給与以外)'!$A$4:$A$1000000,$B2340)=0)</f>
        <v>0</v>
      </c>
      <c r="J2340" s="8" t="b">
        <f t="shared" si="180"/>
        <v>1</v>
      </c>
      <c r="K2340" s="8" t="b">
        <f t="shared" si="181"/>
        <v>1</v>
      </c>
      <c r="L2340" s="8" t="b">
        <f t="shared" si="182"/>
        <v>1</v>
      </c>
      <c r="M2340" s="8" t="b">
        <f t="shared" si="183"/>
        <v>1</v>
      </c>
      <c r="N2340" s="1" t="b">
        <f t="shared" si="184"/>
        <v>1</v>
      </c>
      <c r="O2340" s="8" t="str">
        <f>IF(F2340="","",IF($F$2=入力リスト!$H$25,ROUNDDOWN(INT(F2340)+ROUNDDOWN((F2340-INT(F2340))*100,0)/60,2),F2340))</f>
        <v/>
      </c>
      <c r="P2340" s="7"/>
      <c r="Q2340" s="7"/>
    </row>
    <row r="2341" spans="1:17">
      <c r="A2341" s="234"/>
      <c r="B2341" s="235"/>
      <c r="C2341" s="235"/>
      <c r="D2341" s="3"/>
      <c r="E2341" s="235"/>
      <c r="F2341" s="236"/>
      <c r="G2341" s="215" t="str">
        <f>IF(AND($B2341="",OR(B2341&lt;&gt;"",C2341&lt;&gt;"",D2341&lt;&gt;"",E2341&lt;&gt;"",F2341&lt;&gt;"")),入力リスト!$K$34,IF($I2341=TRUE,入力リスト!$K$35,IF(J2341=FALSE,"「毎月の固定給与額」","")&amp;IF(AND(J2341=FALSE,OR(K2341=FALSE,L2341=FALSE,M2341=FALSE)),",","")&amp;IF(K2341=FALSE,"「賞与額等」","")&amp;IF(AND(K2341=FALSE,OR(L2341=FALSE,M2341=FALSE)),",","")&amp;IF(L2341=FALSE,"「残業手当」","")&amp;IF(AND(L2341=FALSE,M2341=FALSE),",","")&amp;IF(M2341=FALSE,"「残業時間」","")&amp;IF(OR(J2341=FALSE,K2341=FALSE,L2341=FALSE,M2341=FALSE),入力リスト!$K$36,"")&amp;IF(N2341,"",入力リスト!$K$37)))</f>
        <v/>
      </c>
      <c r="H2341" s="215"/>
      <c r="I2341" s="1" t="b">
        <f>IF(B2341="",FALSE,COUNTIF('従業員情報(給与以外)'!$A$4:$A$1000000,$B2341)=0)</f>
        <v>0</v>
      </c>
      <c r="J2341" s="8" t="b">
        <f t="shared" si="180"/>
        <v>1</v>
      </c>
      <c r="K2341" s="8" t="b">
        <f t="shared" si="181"/>
        <v>1</v>
      </c>
      <c r="L2341" s="8" t="b">
        <f t="shared" si="182"/>
        <v>1</v>
      </c>
      <c r="M2341" s="8" t="b">
        <f t="shared" si="183"/>
        <v>1</v>
      </c>
      <c r="N2341" s="1" t="b">
        <f t="shared" si="184"/>
        <v>1</v>
      </c>
      <c r="O2341" s="8" t="str">
        <f>IF(F2341="","",IF($F$2=入力リスト!$H$25,ROUNDDOWN(INT(F2341)+ROUNDDOWN((F2341-INT(F2341))*100,0)/60,2),F2341))</f>
        <v/>
      </c>
      <c r="P2341" s="7"/>
      <c r="Q2341" s="7"/>
    </row>
    <row r="2342" spans="1:17">
      <c r="A2342" s="234"/>
      <c r="B2342" s="235"/>
      <c r="C2342" s="235"/>
      <c r="D2342" s="3"/>
      <c r="E2342" s="235"/>
      <c r="F2342" s="236"/>
      <c r="G2342" s="215" t="str">
        <f>IF(AND($B2342="",OR(B2342&lt;&gt;"",C2342&lt;&gt;"",D2342&lt;&gt;"",E2342&lt;&gt;"",F2342&lt;&gt;"")),入力リスト!$K$34,IF($I2342=TRUE,入力リスト!$K$35,IF(J2342=FALSE,"「毎月の固定給与額」","")&amp;IF(AND(J2342=FALSE,OR(K2342=FALSE,L2342=FALSE,M2342=FALSE)),",","")&amp;IF(K2342=FALSE,"「賞与額等」","")&amp;IF(AND(K2342=FALSE,OR(L2342=FALSE,M2342=FALSE)),",","")&amp;IF(L2342=FALSE,"「残業手当」","")&amp;IF(AND(L2342=FALSE,M2342=FALSE),",","")&amp;IF(M2342=FALSE,"「残業時間」","")&amp;IF(OR(J2342=FALSE,K2342=FALSE,L2342=FALSE,M2342=FALSE),入力リスト!$K$36,"")&amp;IF(N2342,"",入力リスト!$K$37)))</f>
        <v/>
      </c>
      <c r="H2342" s="215"/>
      <c r="I2342" s="1" t="b">
        <f>IF(B2342="",FALSE,COUNTIF('従業員情報(給与以外)'!$A$4:$A$1000000,$B2342)=0)</f>
        <v>0</v>
      </c>
      <c r="J2342" s="8" t="b">
        <f t="shared" si="180"/>
        <v>1</v>
      </c>
      <c r="K2342" s="8" t="b">
        <f t="shared" si="181"/>
        <v>1</v>
      </c>
      <c r="L2342" s="8" t="b">
        <f t="shared" si="182"/>
        <v>1</v>
      </c>
      <c r="M2342" s="8" t="b">
        <f t="shared" si="183"/>
        <v>1</v>
      </c>
      <c r="N2342" s="1" t="b">
        <f t="shared" si="184"/>
        <v>1</v>
      </c>
      <c r="O2342" s="8" t="str">
        <f>IF(F2342="","",IF($F$2=入力リスト!$H$25,ROUNDDOWN(INT(F2342)+ROUNDDOWN((F2342-INT(F2342))*100,0)/60,2),F2342))</f>
        <v/>
      </c>
      <c r="P2342" s="7"/>
      <c r="Q2342" s="7"/>
    </row>
    <row r="2343" spans="1:17">
      <c r="A2343" s="234"/>
      <c r="B2343" s="235"/>
      <c r="C2343" s="235"/>
      <c r="D2343" s="3"/>
      <c r="E2343" s="235"/>
      <c r="F2343" s="236"/>
      <c r="G2343" s="215" t="str">
        <f>IF(AND($B2343="",OR(B2343&lt;&gt;"",C2343&lt;&gt;"",D2343&lt;&gt;"",E2343&lt;&gt;"",F2343&lt;&gt;"")),入力リスト!$K$34,IF($I2343=TRUE,入力リスト!$K$35,IF(J2343=FALSE,"「毎月の固定給与額」","")&amp;IF(AND(J2343=FALSE,OR(K2343=FALSE,L2343=FALSE,M2343=FALSE)),",","")&amp;IF(K2343=FALSE,"「賞与額等」","")&amp;IF(AND(K2343=FALSE,OR(L2343=FALSE,M2343=FALSE)),",","")&amp;IF(L2343=FALSE,"「残業手当」","")&amp;IF(AND(L2343=FALSE,M2343=FALSE),",","")&amp;IF(M2343=FALSE,"「残業時間」","")&amp;IF(OR(J2343=FALSE,K2343=FALSE,L2343=FALSE,M2343=FALSE),入力リスト!$K$36,"")&amp;IF(N2343,"",入力リスト!$K$37)))</f>
        <v/>
      </c>
      <c r="H2343" s="215"/>
      <c r="I2343" s="1" t="b">
        <f>IF(B2343="",FALSE,COUNTIF('従業員情報(給与以外)'!$A$4:$A$1000000,$B2343)=0)</f>
        <v>0</v>
      </c>
      <c r="J2343" s="8" t="b">
        <f t="shared" si="180"/>
        <v>1</v>
      </c>
      <c r="K2343" s="8" t="b">
        <f t="shared" si="181"/>
        <v>1</v>
      </c>
      <c r="L2343" s="8" t="b">
        <f t="shared" si="182"/>
        <v>1</v>
      </c>
      <c r="M2343" s="8" t="b">
        <f t="shared" si="183"/>
        <v>1</v>
      </c>
      <c r="N2343" s="1" t="b">
        <f t="shared" si="184"/>
        <v>1</v>
      </c>
      <c r="O2343" s="8" t="str">
        <f>IF(F2343="","",IF($F$2=入力リスト!$H$25,ROUNDDOWN(INT(F2343)+ROUNDDOWN((F2343-INT(F2343))*100,0)/60,2),F2343))</f>
        <v/>
      </c>
      <c r="P2343" s="7"/>
      <c r="Q2343" s="7"/>
    </row>
    <row r="2344" spans="1:17">
      <c r="A2344" s="234"/>
      <c r="B2344" s="235"/>
      <c r="C2344" s="235"/>
      <c r="D2344" s="3"/>
      <c r="E2344" s="235"/>
      <c r="F2344" s="236"/>
      <c r="G2344" s="215" t="str">
        <f>IF(AND($B2344="",OR(B2344&lt;&gt;"",C2344&lt;&gt;"",D2344&lt;&gt;"",E2344&lt;&gt;"",F2344&lt;&gt;"")),入力リスト!$K$34,IF($I2344=TRUE,入力リスト!$K$35,IF(J2344=FALSE,"「毎月の固定給与額」","")&amp;IF(AND(J2344=FALSE,OR(K2344=FALSE,L2344=FALSE,M2344=FALSE)),",","")&amp;IF(K2344=FALSE,"「賞与額等」","")&amp;IF(AND(K2344=FALSE,OR(L2344=FALSE,M2344=FALSE)),",","")&amp;IF(L2344=FALSE,"「残業手当」","")&amp;IF(AND(L2344=FALSE,M2344=FALSE),",","")&amp;IF(M2344=FALSE,"「残業時間」","")&amp;IF(OR(J2344=FALSE,K2344=FALSE,L2344=FALSE,M2344=FALSE),入力リスト!$K$36,"")&amp;IF(N2344,"",入力リスト!$K$37)))</f>
        <v/>
      </c>
      <c r="H2344" s="215"/>
      <c r="I2344" s="1" t="b">
        <f>IF(B2344="",FALSE,COUNTIF('従業員情報(給与以外)'!$A$4:$A$1000000,$B2344)=0)</f>
        <v>0</v>
      </c>
      <c r="J2344" s="8" t="b">
        <f t="shared" si="180"/>
        <v>1</v>
      </c>
      <c r="K2344" s="8" t="b">
        <f t="shared" si="181"/>
        <v>1</v>
      </c>
      <c r="L2344" s="8" t="b">
        <f t="shared" si="182"/>
        <v>1</v>
      </c>
      <c r="M2344" s="8" t="b">
        <f t="shared" si="183"/>
        <v>1</v>
      </c>
      <c r="N2344" s="1" t="b">
        <f t="shared" si="184"/>
        <v>1</v>
      </c>
      <c r="O2344" s="8" t="str">
        <f>IF(F2344="","",IF($F$2=入力リスト!$H$25,ROUNDDOWN(INT(F2344)+ROUNDDOWN((F2344-INT(F2344))*100,0)/60,2),F2344))</f>
        <v/>
      </c>
      <c r="P2344" s="7"/>
      <c r="Q2344" s="7"/>
    </row>
    <row r="2345" spans="1:17">
      <c r="A2345" s="234"/>
      <c r="B2345" s="235"/>
      <c r="C2345" s="235"/>
      <c r="D2345" s="3"/>
      <c r="E2345" s="235"/>
      <c r="F2345" s="236"/>
      <c r="G2345" s="215" t="str">
        <f>IF(AND($B2345="",OR(B2345&lt;&gt;"",C2345&lt;&gt;"",D2345&lt;&gt;"",E2345&lt;&gt;"",F2345&lt;&gt;"")),入力リスト!$K$34,IF($I2345=TRUE,入力リスト!$K$35,IF(J2345=FALSE,"「毎月の固定給与額」","")&amp;IF(AND(J2345=FALSE,OR(K2345=FALSE,L2345=FALSE,M2345=FALSE)),",","")&amp;IF(K2345=FALSE,"「賞与額等」","")&amp;IF(AND(K2345=FALSE,OR(L2345=FALSE,M2345=FALSE)),",","")&amp;IF(L2345=FALSE,"「残業手当」","")&amp;IF(AND(L2345=FALSE,M2345=FALSE),",","")&amp;IF(M2345=FALSE,"「残業時間」","")&amp;IF(OR(J2345=FALSE,K2345=FALSE,L2345=FALSE,M2345=FALSE),入力リスト!$K$36,"")&amp;IF(N2345,"",入力リスト!$K$37)))</f>
        <v/>
      </c>
      <c r="H2345" s="215"/>
      <c r="I2345" s="1" t="b">
        <f>IF(B2345="",FALSE,COUNTIF('従業員情報(給与以外)'!$A$4:$A$1000000,$B2345)=0)</f>
        <v>0</v>
      </c>
      <c r="J2345" s="8" t="b">
        <f t="shared" si="180"/>
        <v>1</v>
      </c>
      <c r="K2345" s="8" t="b">
        <f t="shared" si="181"/>
        <v>1</v>
      </c>
      <c r="L2345" s="8" t="b">
        <f t="shared" si="182"/>
        <v>1</v>
      </c>
      <c r="M2345" s="8" t="b">
        <f t="shared" si="183"/>
        <v>1</v>
      </c>
      <c r="N2345" s="1" t="b">
        <f t="shared" si="184"/>
        <v>1</v>
      </c>
      <c r="O2345" s="8" t="str">
        <f>IF(F2345="","",IF($F$2=入力リスト!$H$25,ROUNDDOWN(INT(F2345)+ROUNDDOWN((F2345-INT(F2345))*100,0)/60,2),F2345))</f>
        <v/>
      </c>
      <c r="P2345" s="7"/>
      <c r="Q2345" s="7"/>
    </row>
    <row r="2346" spans="1:17">
      <c r="A2346" s="234"/>
      <c r="B2346" s="235"/>
      <c r="C2346" s="235"/>
      <c r="D2346" s="3"/>
      <c r="E2346" s="235"/>
      <c r="F2346" s="236"/>
      <c r="G2346" s="215" t="str">
        <f>IF(AND($B2346="",OR(B2346&lt;&gt;"",C2346&lt;&gt;"",D2346&lt;&gt;"",E2346&lt;&gt;"",F2346&lt;&gt;"")),入力リスト!$K$34,IF($I2346=TRUE,入力リスト!$K$35,IF(J2346=FALSE,"「毎月の固定給与額」","")&amp;IF(AND(J2346=FALSE,OR(K2346=FALSE,L2346=FALSE,M2346=FALSE)),",","")&amp;IF(K2346=FALSE,"「賞与額等」","")&amp;IF(AND(K2346=FALSE,OR(L2346=FALSE,M2346=FALSE)),",","")&amp;IF(L2346=FALSE,"「残業手当」","")&amp;IF(AND(L2346=FALSE,M2346=FALSE),",","")&amp;IF(M2346=FALSE,"「残業時間」","")&amp;IF(OR(J2346=FALSE,K2346=FALSE,L2346=FALSE,M2346=FALSE),入力リスト!$K$36,"")&amp;IF(N2346,"",入力リスト!$K$37)))</f>
        <v/>
      </c>
      <c r="H2346" s="215"/>
      <c r="I2346" s="1" t="b">
        <f>IF(B2346="",FALSE,COUNTIF('従業員情報(給与以外)'!$A$4:$A$1000000,$B2346)=0)</f>
        <v>0</v>
      </c>
      <c r="J2346" s="8" t="b">
        <f t="shared" si="180"/>
        <v>1</v>
      </c>
      <c r="K2346" s="8" t="b">
        <f t="shared" si="181"/>
        <v>1</v>
      </c>
      <c r="L2346" s="8" t="b">
        <f t="shared" si="182"/>
        <v>1</v>
      </c>
      <c r="M2346" s="8" t="b">
        <f t="shared" si="183"/>
        <v>1</v>
      </c>
      <c r="N2346" s="1" t="b">
        <f t="shared" si="184"/>
        <v>1</v>
      </c>
      <c r="O2346" s="8" t="str">
        <f>IF(F2346="","",IF($F$2=入力リスト!$H$25,ROUNDDOWN(INT(F2346)+ROUNDDOWN((F2346-INT(F2346))*100,0)/60,2),F2346))</f>
        <v/>
      </c>
      <c r="P2346" s="7"/>
      <c r="Q2346" s="7"/>
    </row>
    <row r="2347" spans="1:17">
      <c r="A2347" s="234"/>
      <c r="B2347" s="235"/>
      <c r="C2347" s="235"/>
      <c r="D2347" s="3"/>
      <c r="E2347" s="235"/>
      <c r="F2347" s="236"/>
      <c r="G2347" s="215" t="str">
        <f>IF(AND($B2347="",OR(B2347&lt;&gt;"",C2347&lt;&gt;"",D2347&lt;&gt;"",E2347&lt;&gt;"",F2347&lt;&gt;"")),入力リスト!$K$34,IF($I2347=TRUE,入力リスト!$K$35,IF(J2347=FALSE,"「毎月の固定給与額」","")&amp;IF(AND(J2347=FALSE,OR(K2347=FALSE,L2347=FALSE,M2347=FALSE)),",","")&amp;IF(K2347=FALSE,"「賞与額等」","")&amp;IF(AND(K2347=FALSE,OR(L2347=FALSE,M2347=FALSE)),",","")&amp;IF(L2347=FALSE,"「残業手当」","")&amp;IF(AND(L2347=FALSE,M2347=FALSE),",","")&amp;IF(M2347=FALSE,"「残業時間」","")&amp;IF(OR(J2347=FALSE,K2347=FALSE,L2347=FALSE,M2347=FALSE),入力リスト!$K$36,"")&amp;IF(N2347,"",入力リスト!$K$37)))</f>
        <v/>
      </c>
      <c r="H2347" s="215"/>
      <c r="I2347" s="1" t="b">
        <f>IF(B2347="",FALSE,COUNTIF('従業員情報(給与以外)'!$A$4:$A$1000000,$B2347)=0)</f>
        <v>0</v>
      </c>
      <c r="J2347" s="8" t="b">
        <f t="shared" si="180"/>
        <v>1</v>
      </c>
      <c r="K2347" s="8" t="b">
        <f t="shared" si="181"/>
        <v>1</v>
      </c>
      <c r="L2347" s="8" t="b">
        <f t="shared" si="182"/>
        <v>1</v>
      </c>
      <c r="M2347" s="8" t="b">
        <f t="shared" si="183"/>
        <v>1</v>
      </c>
      <c r="N2347" s="1" t="b">
        <f t="shared" si="184"/>
        <v>1</v>
      </c>
      <c r="O2347" s="8" t="str">
        <f>IF(F2347="","",IF($F$2=入力リスト!$H$25,ROUNDDOWN(INT(F2347)+ROUNDDOWN((F2347-INT(F2347))*100,0)/60,2),F2347))</f>
        <v/>
      </c>
      <c r="P2347" s="7"/>
      <c r="Q2347" s="7"/>
    </row>
    <row r="2348" spans="1:17">
      <c r="A2348" s="234"/>
      <c r="B2348" s="235"/>
      <c r="C2348" s="235"/>
      <c r="D2348" s="3"/>
      <c r="E2348" s="235"/>
      <c r="F2348" s="236"/>
      <c r="G2348" s="215" t="str">
        <f>IF(AND($B2348="",OR(B2348&lt;&gt;"",C2348&lt;&gt;"",D2348&lt;&gt;"",E2348&lt;&gt;"",F2348&lt;&gt;"")),入力リスト!$K$34,IF($I2348=TRUE,入力リスト!$K$35,IF(J2348=FALSE,"「毎月の固定給与額」","")&amp;IF(AND(J2348=FALSE,OR(K2348=FALSE,L2348=FALSE,M2348=FALSE)),",","")&amp;IF(K2348=FALSE,"「賞与額等」","")&amp;IF(AND(K2348=FALSE,OR(L2348=FALSE,M2348=FALSE)),",","")&amp;IF(L2348=FALSE,"「残業手当」","")&amp;IF(AND(L2348=FALSE,M2348=FALSE),",","")&amp;IF(M2348=FALSE,"「残業時間」","")&amp;IF(OR(J2348=FALSE,K2348=FALSE,L2348=FALSE,M2348=FALSE),入力リスト!$K$36,"")&amp;IF(N2348,"",入力リスト!$K$37)))</f>
        <v/>
      </c>
      <c r="H2348" s="215"/>
      <c r="I2348" s="1" t="b">
        <f>IF(B2348="",FALSE,COUNTIF('従業員情報(給与以外)'!$A$4:$A$1000000,$B2348)=0)</f>
        <v>0</v>
      </c>
      <c r="J2348" s="8" t="b">
        <f t="shared" si="180"/>
        <v>1</v>
      </c>
      <c r="K2348" s="8" t="b">
        <f t="shared" si="181"/>
        <v>1</v>
      </c>
      <c r="L2348" s="8" t="b">
        <f t="shared" si="182"/>
        <v>1</v>
      </c>
      <c r="M2348" s="8" t="b">
        <f t="shared" si="183"/>
        <v>1</v>
      </c>
      <c r="N2348" s="1" t="b">
        <f t="shared" si="184"/>
        <v>1</v>
      </c>
      <c r="O2348" s="8" t="str">
        <f>IF(F2348="","",IF($F$2=入力リスト!$H$25,ROUNDDOWN(INT(F2348)+ROUNDDOWN((F2348-INT(F2348))*100,0)/60,2),F2348))</f>
        <v/>
      </c>
      <c r="P2348" s="7"/>
      <c r="Q2348" s="7"/>
    </row>
    <row r="2349" spans="1:17">
      <c r="A2349" s="234"/>
      <c r="B2349" s="235"/>
      <c r="C2349" s="235"/>
      <c r="D2349" s="3"/>
      <c r="E2349" s="235"/>
      <c r="F2349" s="236"/>
      <c r="G2349" s="215" t="str">
        <f>IF(AND($B2349="",OR(B2349&lt;&gt;"",C2349&lt;&gt;"",D2349&lt;&gt;"",E2349&lt;&gt;"",F2349&lt;&gt;"")),入力リスト!$K$34,IF($I2349=TRUE,入力リスト!$K$35,IF(J2349=FALSE,"「毎月の固定給与額」","")&amp;IF(AND(J2349=FALSE,OR(K2349=FALSE,L2349=FALSE,M2349=FALSE)),",","")&amp;IF(K2349=FALSE,"「賞与額等」","")&amp;IF(AND(K2349=FALSE,OR(L2349=FALSE,M2349=FALSE)),",","")&amp;IF(L2349=FALSE,"「残業手当」","")&amp;IF(AND(L2349=FALSE,M2349=FALSE),",","")&amp;IF(M2349=FALSE,"「残業時間」","")&amp;IF(OR(J2349=FALSE,K2349=FALSE,L2349=FALSE,M2349=FALSE),入力リスト!$K$36,"")&amp;IF(N2349,"",入力リスト!$K$37)))</f>
        <v/>
      </c>
      <c r="H2349" s="215"/>
      <c r="I2349" s="1" t="b">
        <f>IF(B2349="",FALSE,COUNTIF('従業員情報(給与以外)'!$A$4:$A$1000000,$B2349)=0)</f>
        <v>0</v>
      </c>
      <c r="J2349" s="8" t="b">
        <f t="shared" si="180"/>
        <v>1</v>
      </c>
      <c r="K2349" s="8" t="b">
        <f t="shared" si="181"/>
        <v>1</v>
      </c>
      <c r="L2349" s="8" t="b">
        <f t="shared" si="182"/>
        <v>1</v>
      </c>
      <c r="M2349" s="8" t="b">
        <f t="shared" si="183"/>
        <v>1</v>
      </c>
      <c r="N2349" s="1" t="b">
        <f t="shared" si="184"/>
        <v>1</v>
      </c>
      <c r="O2349" s="8" t="str">
        <f>IF(F2349="","",IF($F$2=入力リスト!$H$25,ROUNDDOWN(INT(F2349)+ROUNDDOWN((F2349-INT(F2349))*100,0)/60,2),F2349))</f>
        <v/>
      </c>
      <c r="P2349" s="7"/>
      <c r="Q2349" s="7"/>
    </row>
    <row r="2350" spans="1:17">
      <c r="A2350" s="234"/>
      <c r="B2350" s="235"/>
      <c r="C2350" s="235"/>
      <c r="D2350" s="3"/>
      <c r="E2350" s="235"/>
      <c r="F2350" s="236"/>
      <c r="G2350" s="215" t="str">
        <f>IF(AND($B2350="",OR(B2350&lt;&gt;"",C2350&lt;&gt;"",D2350&lt;&gt;"",E2350&lt;&gt;"",F2350&lt;&gt;"")),入力リスト!$K$34,IF($I2350=TRUE,入力リスト!$K$35,IF(J2350=FALSE,"「毎月の固定給与額」","")&amp;IF(AND(J2350=FALSE,OR(K2350=FALSE,L2350=FALSE,M2350=FALSE)),",","")&amp;IF(K2350=FALSE,"「賞与額等」","")&amp;IF(AND(K2350=FALSE,OR(L2350=FALSE,M2350=FALSE)),",","")&amp;IF(L2350=FALSE,"「残業手当」","")&amp;IF(AND(L2350=FALSE,M2350=FALSE),",","")&amp;IF(M2350=FALSE,"「残業時間」","")&amp;IF(OR(J2350=FALSE,K2350=FALSE,L2350=FALSE,M2350=FALSE),入力リスト!$K$36,"")&amp;IF(N2350,"",入力リスト!$K$37)))</f>
        <v/>
      </c>
      <c r="H2350" s="215"/>
      <c r="I2350" s="1" t="b">
        <f>IF(B2350="",FALSE,COUNTIF('従業員情報(給与以外)'!$A$4:$A$1000000,$B2350)=0)</f>
        <v>0</v>
      </c>
      <c r="J2350" s="8" t="b">
        <f t="shared" si="180"/>
        <v>1</v>
      </c>
      <c r="K2350" s="8" t="b">
        <f t="shared" si="181"/>
        <v>1</v>
      </c>
      <c r="L2350" s="8" t="b">
        <f t="shared" si="182"/>
        <v>1</v>
      </c>
      <c r="M2350" s="8" t="b">
        <f t="shared" si="183"/>
        <v>1</v>
      </c>
      <c r="N2350" s="1" t="b">
        <f t="shared" si="184"/>
        <v>1</v>
      </c>
      <c r="O2350" s="8" t="str">
        <f>IF(F2350="","",IF($F$2=入力リスト!$H$25,ROUNDDOWN(INT(F2350)+ROUNDDOWN((F2350-INT(F2350))*100,0)/60,2),F2350))</f>
        <v/>
      </c>
      <c r="P2350" s="7"/>
      <c r="Q2350" s="7"/>
    </row>
    <row r="2351" spans="1:17">
      <c r="A2351" s="234"/>
      <c r="B2351" s="235"/>
      <c r="C2351" s="235"/>
      <c r="D2351" s="3"/>
      <c r="E2351" s="235"/>
      <c r="F2351" s="236"/>
      <c r="G2351" s="215" t="str">
        <f>IF(AND($B2351="",OR(B2351&lt;&gt;"",C2351&lt;&gt;"",D2351&lt;&gt;"",E2351&lt;&gt;"",F2351&lt;&gt;"")),入力リスト!$K$34,IF($I2351=TRUE,入力リスト!$K$35,IF(J2351=FALSE,"「毎月の固定給与額」","")&amp;IF(AND(J2351=FALSE,OR(K2351=FALSE,L2351=FALSE,M2351=FALSE)),",","")&amp;IF(K2351=FALSE,"「賞与額等」","")&amp;IF(AND(K2351=FALSE,OR(L2351=FALSE,M2351=FALSE)),",","")&amp;IF(L2351=FALSE,"「残業手当」","")&amp;IF(AND(L2351=FALSE,M2351=FALSE),",","")&amp;IF(M2351=FALSE,"「残業時間」","")&amp;IF(OR(J2351=FALSE,K2351=FALSE,L2351=FALSE,M2351=FALSE),入力リスト!$K$36,"")&amp;IF(N2351,"",入力リスト!$K$37)))</f>
        <v/>
      </c>
      <c r="H2351" s="215"/>
      <c r="I2351" s="1" t="b">
        <f>IF(B2351="",FALSE,COUNTIF('従業員情報(給与以外)'!$A$4:$A$1000000,$B2351)=0)</f>
        <v>0</v>
      </c>
      <c r="J2351" s="8" t="b">
        <f t="shared" si="180"/>
        <v>1</v>
      </c>
      <c r="K2351" s="8" t="b">
        <f t="shared" si="181"/>
        <v>1</v>
      </c>
      <c r="L2351" s="8" t="b">
        <f t="shared" si="182"/>
        <v>1</v>
      </c>
      <c r="M2351" s="8" t="b">
        <f t="shared" si="183"/>
        <v>1</v>
      </c>
      <c r="N2351" s="1" t="b">
        <f t="shared" si="184"/>
        <v>1</v>
      </c>
      <c r="O2351" s="8" t="str">
        <f>IF(F2351="","",IF($F$2=入力リスト!$H$25,ROUNDDOWN(INT(F2351)+ROUNDDOWN((F2351-INT(F2351))*100,0)/60,2),F2351))</f>
        <v/>
      </c>
      <c r="P2351" s="7"/>
      <c r="Q2351" s="7"/>
    </row>
    <row r="2352" spans="1:17">
      <c r="A2352" s="234"/>
      <c r="B2352" s="235"/>
      <c r="C2352" s="235"/>
      <c r="D2352" s="3"/>
      <c r="E2352" s="235"/>
      <c r="F2352" s="236"/>
      <c r="G2352" s="215" t="str">
        <f>IF(AND($B2352="",OR(B2352&lt;&gt;"",C2352&lt;&gt;"",D2352&lt;&gt;"",E2352&lt;&gt;"",F2352&lt;&gt;"")),入力リスト!$K$34,IF($I2352=TRUE,入力リスト!$K$35,IF(J2352=FALSE,"「毎月の固定給与額」","")&amp;IF(AND(J2352=FALSE,OR(K2352=FALSE,L2352=FALSE,M2352=FALSE)),",","")&amp;IF(K2352=FALSE,"「賞与額等」","")&amp;IF(AND(K2352=FALSE,OR(L2352=FALSE,M2352=FALSE)),",","")&amp;IF(L2352=FALSE,"「残業手当」","")&amp;IF(AND(L2352=FALSE,M2352=FALSE),",","")&amp;IF(M2352=FALSE,"「残業時間」","")&amp;IF(OR(J2352=FALSE,K2352=FALSE,L2352=FALSE,M2352=FALSE),入力リスト!$K$36,"")&amp;IF(N2352,"",入力リスト!$K$37)))</f>
        <v/>
      </c>
      <c r="H2352" s="215"/>
      <c r="I2352" s="1" t="b">
        <f>IF(B2352="",FALSE,COUNTIF('従業員情報(給与以外)'!$A$4:$A$1000000,$B2352)=0)</f>
        <v>0</v>
      </c>
      <c r="J2352" s="8" t="b">
        <f t="shared" si="180"/>
        <v>1</v>
      </c>
      <c r="K2352" s="8" t="b">
        <f t="shared" si="181"/>
        <v>1</v>
      </c>
      <c r="L2352" s="8" t="b">
        <f t="shared" si="182"/>
        <v>1</v>
      </c>
      <c r="M2352" s="8" t="b">
        <f t="shared" si="183"/>
        <v>1</v>
      </c>
      <c r="N2352" s="1" t="b">
        <f t="shared" si="184"/>
        <v>1</v>
      </c>
      <c r="O2352" s="8" t="str">
        <f>IF(F2352="","",IF($F$2=入力リスト!$H$25,ROUNDDOWN(INT(F2352)+ROUNDDOWN((F2352-INT(F2352))*100,0)/60,2),F2352))</f>
        <v/>
      </c>
      <c r="P2352" s="7"/>
      <c r="Q2352" s="7"/>
    </row>
    <row r="2353" spans="1:17">
      <c r="A2353" s="234"/>
      <c r="B2353" s="235"/>
      <c r="C2353" s="235"/>
      <c r="D2353" s="3"/>
      <c r="E2353" s="235"/>
      <c r="F2353" s="236"/>
      <c r="G2353" s="215" t="str">
        <f>IF(AND($B2353="",OR(B2353&lt;&gt;"",C2353&lt;&gt;"",D2353&lt;&gt;"",E2353&lt;&gt;"",F2353&lt;&gt;"")),入力リスト!$K$34,IF($I2353=TRUE,入力リスト!$K$35,IF(J2353=FALSE,"「毎月の固定給与額」","")&amp;IF(AND(J2353=FALSE,OR(K2353=FALSE,L2353=FALSE,M2353=FALSE)),",","")&amp;IF(K2353=FALSE,"「賞与額等」","")&amp;IF(AND(K2353=FALSE,OR(L2353=FALSE,M2353=FALSE)),",","")&amp;IF(L2353=FALSE,"「残業手当」","")&amp;IF(AND(L2353=FALSE,M2353=FALSE),",","")&amp;IF(M2353=FALSE,"「残業時間」","")&amp;IF(OR(J2353=FALSE,K2353=FALSE,L2353=FALSE,M2353=FALSE),入力リスト!$K$36,"")&amp;IF(N2353,"",入力リスト!$K$37)))</f>
        <v/>
      </c>
      <c r="H2353" s="215"/>
      <c r="I2353" s="1" t="b">
        <f>IF(B2353="",FALSE,COUNTIF('従業員情報(給与以外)'!$A$4:$A$1000000,$B2353)=0)</f>
        <v>0</v>
      </c>
      <c r="J2353" s="8" t="b">
        <f t="shared" si="180"/>
        <v>1</v>
      </c>
      <c r="K2353" s="8" t="b">
        <f t="shared" si="181"/>
        <v>1</v>
      </c>
      <c r="L2353" s="8" t="b">
        <f t="shared" si="182"/>
        <v>1</v>
      </c>
      <c r="M2353" s="8" t="b">
        <f t="shared" si="183"/>
        <v>1</v>
      </c>
      <c r="N2353" s="1" t="b">
        <f t="shared" si="184"/>
        <v>1</v>
      </c>
      <c r="O2353" s="8" t="str">
        <f>IF(F2353="","",IF($F$2=入力リスト!$H$25,ROUNDDOWN(INT(F2353)+ROUNDDOWN((F2353-INT(F2353))*100,0)/60,2),F2353))</f>
        <v/>
      </c>
      <c r="P2353" s="7"/>
      <c r="Q2353" s="7"/>
    </row>
    <row r="2354" spans="1:17">
      <c r="A2354" s="234"/>
      <c r="B2354" s="235"/>
      <c r="C2354" s="235"/>
      <c r="D2354" s="3"/>
      <c r="E2354" s="235"/>
      <c r="F2354" s="236"/>
      <c r="G2354" s="215" t="str">
        <f>IF(AND($B2354="",OR(B2354&lt;&gt;"",C2354&lt;&gt;"",D2354&lt;&gt;"",E2354&lt;&gt;"",F2354&lt;&gt;"")),入力リスト!$K$34,IF($I2354=TRUE,入力リスト!$K$35,IF(J2354=FALSE,"「毎月の固定給与額」","")&amp;IF(AND(J2354=FALSE,OR(K2354=FALSE,L2354=FALSE,M2354=FALSE)),",","")&amp;IF(K2354=FALSE,"「賞与額等」","")&amp;IF(AND(K2354=FALSE,OR(L2354=FALSE,M2354=FALSE)),",","")&amp;IF(L2354=FALSE,"「残業手当」","")&amp;IF(AND(L2354=FALSE,M2354=FALSE),",","")&amp;IF(M2354=FALSE,"「残業時間」","")&amp;IF(OR(J2354=FALSE,K2354=FALSE,L2354=FALSE,M2354=FALSE),入力リスト!$K$36,"")&amp;IF(N2354,"",入力リスト!$K$37)))</f>
        <v/>
      </c>
      <c r="H2354" s="215"/>
      <c r="I2354" s="1" t="b">
        <f>IF(B2354="",FALSE,COUNTIF('従業員情報(給与以外)'!$A$4:$A$1000000,$B2354)=0)</f>
        <v>0</v>
      </c>
      <c r="J2354" s="8" t="b">
        <f t="shared" ref="J2354:J2417" si="185">OR(C2354="",ISNUMBER(C2354))</f>
        <v>1</v>
      </c>
      <c r="K2354" s="8" t="b">
        <f t="shared" ref="K2354:K2417" si="186">OR(D2354="",ISNUMBER(D2354))</f>
        <v>1</v>
      </c>
      <c r="L2354" s="8" t="b">
        <f t="shared" ref="L2354:L2417" si="187">OR(E2354="",ISNUMBER(E2354))</f>
        <v>1</v>
      </c>
      <c r="M2354" s="8" t="b">
        <f t="shared" ref="M2354:M2417" si="188">OR(F2354="",ISNUMBER(F2354))</f>
        <v>1</v>
      </c>
      <c r="N2354" s="1" t="b">
        <f t="shared" si="184"/>
        <v>1</v>
      </c>
      <c r="O2354" s="8" t="str">
        <f>IF(F2354="","",IF($F$2=入力リスト!$H$25,ROUNDDOWN(INT(F2354)+ROUNDDOWN((F2354-INT(F2354))*100,0)/60,2),F2354))</f>
        <v/>
      </c>
      <c r="P2354" s="7"/>
      <c r="Q2354" s="7"/>
    </row>
    <row r="2355" spans="1:17">
      <c r="A2355" s="234"/>
      <c r="B2355" s="235"/>
      <c r="C2355" s="235"/>
      <c r="D2355" s="3"/>
      <c r="E2355" s="235"/>
      <c r="F2355" s="236"/>
      <c r="G2355" s="215" t="str">
        <f>IF(AND($B2355="",OR(B2355&lt;&gt;"",C2355&lt;&gt;"",D2355&lt;&gt;"",E2355&lt;&gt;"",F2355&lt;&gt;"")),入力リスト!$K$34,IF($I2355=TRUE,入力リスト!$K$35,IF(J2355=FALSE,"「毎月の固定給与額」","")&amp;IF(AND(J2355=FALSE,OR(K2355=FALSE,L2355=FALSE,M2355=FALSE)),",","")&amp;IF(K2355=FALSE,"「賞与額等」","")&amp;IF(AND(K2355=FALSE,OR(L2355=FALSE,M2355=FALSE)),",","")&amp;IF(L2355=FALSE,"「残業手当」","")&amp;IF(AND(L2355=FALSE,M2355=FALSE),",","")&amp;IF(M2355=FALSE,"「残業時間」","")&amp;IF(OR(J2355=FALSE,K2355=FALSE,L2355=FALSE,M2355=FALSE),入力リスト!$K$36,"")&amp;IF(N2355,"",入力リスト!$K$37)))</f>
        <v/>
      </c>
      <c r="H2355" s="215"/>
      <c r="I2355" s="1" t="b">
        <f>IF(B2355="",FALSE,COUNTIF('従業員情報(給与以外)'!$A$4:$A$1000000,$B2355)=0)</f>
        <v>0</v>
      </c>
      <c r="J2355" s="8" t="b">
        <f t="shared" si="185"/>
        <v>1</v>
      </c>
      <c r="K2355" s="8" t="b">
        <f t="shared" si="186"/>
        <v>1</v>
      </c>
      <c r="L2355" s="8" t="b">
        <f t="shared" si="187"/>
        <v>1</v>
      </c>
      <c r="M2355" s="8" t="b">
        <f t="shared" si="188"/>
        <v>1</v>
      </c>
      <c r="N2355" s="1" t="b">
        <f t="shared" si="184"/>
        <v>1</v>
      </c>
      <c r="O2355" s="8" t="str">
        <f>IF(F2355="","",IF($F$2=入力リスト!$H$25,ROUNDDOWN(INT(F2355)+ROUNDDOWN((F2355-INT(F2355))*100,0)/60,2),F2355))</f>
        <v/>
      </c>
      <c r="P2355" s="7"/>
      <c r="Q2355" s="7"/>
    </row>
    <row r="2356" spans="1:17">
      <c r="A2356" s="234"/>
      <c r="B2356" s="235"/>
      <c r="C2356" s="235"/>
      <c r="D2356" s="3"/>
      <c r="E2356" s="235"/>
      <c r="F2356" s="236"/>
      <c r="G2356" s="215" t="str">
        <f>IF(AND($B2356="",OR(B2356&lt;&gt;"",C2356&lt;&gt;"",D2356&lt;&gt;"",E2356&lt;&gt;"",F2356&lt;&gt;"")),入力リスト!$K$34,IF($I2356=TRUE,入力リスト!$K$35,IF(J2356=FALSE,"「毎月の固定給与額」","")&amp;IF(AND(J2356=FALSE,OR(K2356=FALSE,L2356=FALSE,M2356=FALSE)),",","")&amp;IF(K2356=FALSE,"「賞与額等」","")&amp;IF(AND(K2356=FALSE,OR(L2356=FALSE,M2356=FALSE)),",","")&amp;IF(L2356=FALSE,"「残業手当」","")&amp;IF(AND(L2356=FALSE,M2356=FALSE),",","")&amp;IF(M2356=FALSE,"「残業時間」","")&amp;IF(OR(J2356=FALSE,K2356=FALSE,L2356=FALSE,M2356=FALSE),入力リスト!$K$36,"")&amp;IF(N2356,"",入力リスト!$K$37)))</f>
        <v/>
      </c>
      <c r="H2356" s="215"/>
      <c r="I2356" s="1" t="b">
        <f>IF(B2356="",FALSE,COUNTIF('従業員情報(給与以外)'!$A$4:$A$1000000,$B2356)=0)</f>
        <v>0</v>
      </c>
      <c r="J2356" s="8" t="b">
        <f t="shared" si="185"/>
        <v>1</v>
      </c>
      <c r="K2356" s="8" t="b">
        <f t="shared" si="186"/>
        <v>1</v>
      </c>
      <c r="L2356" s="8" t="b">
        <f t="shared" si="187"/>
        <v>1</v>
      </c>
      <c r="M2356" s="8" t="b">
        <f t="shared" si="188"/>
        <v>1</v>
      </c>
      <c r="N2356" s="1" t="b">
        <f t="shared" si="184"/>
        <v>1</v>
      </c>
      <c r="O2356" s="8" t="str">
        <f>IF(F2356="","",IF($F$2=入力リスト!$H$25,ROUNDDOWN(INT(F2356)+ROUNDDOWN((F2356-INT(F2356))*100,0)/60,2),F2356))</f>
        <v/>
      </c>
      <c r="P2356" s="7"/>
      <c r="Q2356" s="7"/>
    </row>
    <row r="2357" spans="1:17">
      <c r="A2357" s="234"/>
      <c r="B2357" s="235"/>
      <c r="C2357" s="235"/>
      <c r="D2357" s="3"/>
      <c r="E2357" s="235"/>
      <c r="F2357" s="236"/>
      <c r="G2357" s="215" t="str">
        <f>IF(AND($B2357="",OR(B2357&lt;&gt;"",C2357&lt;&gt;"",D2357&lt;&gt;"",E2357&lt;&gt;"",F2357&lt;&gt;"")),入力リスト!$K$34,IF($I2357=TRUE,入力リスト!$K$35,IF(J2357=FALSE,"「毎月の固定給与額」","")&amp;IF(AND(J2357=FALSE,OR(K2357=FALSE,L2357=FALSE,M2357=FALSE)),",","")&amp;IF(K2357=FALSE,"「賞与額等」","")&amp;IF(AND(K2357=FALSE,OR(L2357=FALSE,M2357=FALSE)),",","")&amp;IF(L2357=FALSE,"「残業手当」","")&amp;IF(AND(L2357=FALSE,M2357=FALSE),",","")&amp;IF(M2357=FALSE,"「残業時間」","")&amp;IF(OR(J2357=FALSE,K2357=FALSE,L2357=FALSE,M2357=FALSE),入力リスト!$K$36,"")&amp;IF(N2357,"",入力リスト!$K$37)))</f>
        <v/>
      </c>
      <c r="H2357" s="215"/>
      <c r="I2357" s="1" t="b">
        <f>IF(B2357="",FALSE,COUNTIF('従業員情報(給与以外)'!$A$4:$A$1000000,$B2357)=0)</f>
        <v>0</v>
      </c>
      <c r="J2357" s="8" t="b">
        <f t="shared" si="185"/>
        <v>1</v>
      </c>
      <c r="K2357" s="8" t="b">
        <f t="shared" si="186"/>
        <v>1</v>
      </c>
      <c r="L2357" s="8" t="b">
        <f t="shared" si="187"/>
        <v>1</v>
      </c>
      <c r="M2357" s="8" t="b">
        <f t="shared" si="188"/>
        <v>1</v>
      </c>
      <c r="N2357" s="1" t="b">
        <f t="shared" si="184"/>
        <v>1</v>
      </c>
      <c r="O2357" s="8" t="str">
        <f>IF(F2357="","",IF($F$2=入力リスト!$H$25,ROUNDDOWN(INT(F2357)+ROUNDDOWN((F2357-INT(F2357))*100,0)/60,2),F2357))</f>
        <v/>
      </c>
      <c r="P2357" s="7"/>
      <c r="Q2357" s="7"/>
    </row>
    <row r="2358" spans="1:17">
      <c r="A2358" s="234"/>
      <c r="B2358" s="235"/>
      <c r="C2358" s="235"/>
      <c r="D2358" s="3"/>
      <c r="E2358" s="235"/>
      <c r="F2358" s="236"/>
      <c r="G2358" s="215" t="str">
        <f>IF(AND($B2358="",OR(B2358&lt;&gt;"",C2358&lt;&gt;"",D2358&lt;&gt;"",E2358&lt;&gt;"",F2358&lt;&gt;"")),入力リスト!$K$34,IF($I2358=TRUE,入力リスト!$K$35,IF(J2358=FALSE,"「毎月の固定給与額」","")&amp;IF(AND(J2358=FALSE,OR(K2358=FALSE,L2358=FALSE,M2358=FALSE)),",","")&amp;IF(K2358=FALSE,"「賞与額等」","")&amp;IF(AND(K2358=FALSE,OR(L2358=FALSE,M2358=FALSE)),",","")&amp;IF(L2358=FALSE,"「残業手当」","")&amp;IF(AND(L2358=FALSE,M2358=FALSE),",","")&amp;IF(M2358=FALSE,"「残業時間」","")&amp;IF(OR(J2358=FALSE,K2358=FALSE,L2358=FALSE,M2358=FALSE),入力リスト!$K$36,"")&amp;IF(N2358,"",入力リスト!$K$37)))</f>
        <v/>
      </c>
      <c r="H2358" s="215"/>
      <c r="I2358" s="1" t="b">
        <f>IF(B2358="",FALSE,COUNTIF('従業員情報(給与以外)'!$A$4:$A$1000000,$B2358)=0)</f>
        <v>0</v>
      </c>
      <c r="J2358" s="8" t="b">
        <f t="shared" si="185"/>
        <v>1</v>
      </c>
      <c r="K2358" s="8" t="b">
        <f t="shared" si="186"/>
        <v>1</v>
      </c>
      <c r="L2358" s="8" t="b">
        <f t="shared" si="187"/>
        <v>1</v>
      </c>
      <c r="M2358" s="8" t="b">
        <f t="shared" si="188"/>
        <v>1</v>
      </c>
      <c r="N2358" s="1" t="b">
        <f t="shared" si="184"/>
        <v>1</v>
      </c>
      <c r="O2358" s="8" t="str">
        <f>IF(F2358="","",IF($F$2=入力リスト!$H$25,ROUNDDOWN(INT(F2358)+ROUNDDOWN((F2358-INT(F2358))*100,0)/60,2),F2358))</f>
        <v/>
      </c>
      <c r="P2358" s="7"/>
      <c r="Q2358" s="7"/>
    </row>
    <row r="2359" spans="1:17">
      <c r="A2359" s="234"/>
      <c r="B2359" s="235"/>
      <c r="C2359" s="235"/>
      <c r="D2359" s="3"/>
      <c r="E2359" s="235"/>
      <c r="F2359" s="236"/>
      <c r="G2359" s="215" t="str">
        <f>IF(AND($B2359="",OR(B2359&lt;&gt;"",C2359&lt;&gt;"",D2359&lt;&gt;"",E2359&lt;&gt;"",F2359&lt;&gt;"")),入力リスト!$K$34,IF($I2359=TRUE,入力リスト!$K$35,IF(J2359=FALSE,"「毎月の固定給与額」","")&amp;IF(AND(J2359=FALSE,OR(K2359=FALSE,L2359=FALSE,M2359=FALSE)),",","")&amp;IF(K2359=FALSE,"「賞与額等」","")&amp;IF(AND(K2359=FALSE,OR(L2359=FALSE,M2359=FALSE)),",","")&amp;IF(L2359=FALSE,"「残業手当」","")&amp;IF(AND(L2359=FALSE,M2359=FALSE),",","")&amp;IF(M2359=FALSE,"「残業時間」","")&amp;IF(OR(J2359=FALSE,K2359=FALSE,L2359=FALSE,M2359=FALSE),入力リスト!$K$36,"")&amp;IF(N2359,"",入力リスト!$K$37)))</f>
        <v/>
      </c>
      <c r="H2359" s="215"/>
      <c r="I2359" s="1" t="b">
        <f>IF(B2359="",FALSE,COUNTIF('従業員情報(給与以外)'!$A$4:$A$1000000,$B2359)=0)</f>
        <v>0</v>
      </c>
      <c r="J2359" s="8" t="b">
        <f t="shared" si="185"/>
        <v>1</v>
      </c>
      <c r="K2359" s="8" t="b">
        <f t="shared" si="186"/>
        <v>1</v>
      </c>
      <c r="L2359" s="8" t="b">
        <f t="shared" si="187"/>
        <v>1</v>
      </c>
      <c r="M2359" s="8" t="b">
        <f t="shared" si="188"/>
        <v>1</v>
      </c>
      <c r="N2359" s="1" t="b">
        <f t="shared" si="184"/>
        <v>1</v>
      </c>
      <c r="O2359" s="8" t="str">
        <f>IF(F2359="","",IF($F$2=入力リスト!$H$25,ROUNDDOWN(INT(F2359)+ROUNDDOWN((F2359-INT(F2359))*100,0)/60,2),F2359))</f>
        <v/>
      </c>
      <c r="P2359" s="7"/>
      <c r="Q2359" s="7"/>
    </row>
    <row r="2360" spans="1:17">
      <c r="A2360" s="234"/>
      <c r="B2360" s="235"/>
      <c r="C2360" s="235"/>
      <c r="D2360" s="3"/>
      <c r="E2360" s="235"/>
      <c r="F2360" s="236"/>
      <c r="G2360" s="215" t="str">
        <f>IF(AND($B2360="",OR(B2360&lt;&gt;"",C2360&lt;&gt;"",D2360&lt;&gt;"",E2360&lt;&gt;"",F2360&lt;&gt;"")),入力リスト!$K$34,IF($I2360=TRUE,入力リスト!$K$35,IF(J2360=FALSE,"「毎月の固定給与額」","")&amp;IF(AND(J2360=FALSE,OR(K2360=FALSE,L2360=FALSE,M2360=FALSE)),",","")&amp;IF(K2360=FALSE,"「賞与額等」","")&amp;IF(AND(K2360=FALSE,OR(L2360=FALSE,M2360=FALSE)),",","")&amp;IF(L2360=FALSE,"「残業手当」","")&amp;IF(AND(L2360=FALSE,M2360=FALSE),",","")&amp;IF(M2360=FALSE,"「残業時間」","")&amp;IF(OR(J2360=FALSE,K2360=FALSE,L2360=FALSE,M2360=FALSE),入力リスト!$K$36,"")&amp;IF(N2360,"",入力リスト!$K$37)))</f>
        <v/>
      </c>
      <c r="H2360" s="215"/>
      <c r="I2360" s="1" t="b">
        <f>IF(B2360="",FALSE,COUNTIF('従業員情報(給与以外)'!$A$4:$A$1000000,$B2360)=0)</f>
        <v>0</v>
      </c>
      <c r="J2360" s="8" t="b">
        <f t="shared" si="185"/>
        <v>1</v>
      </c>
      <c r="K2360" s="8" t="b">
        <f t="shared" si="186"/>
        <v>1</v>
      </c>
      <c r="L2360" s="8" t="b">
        <f t="shared" si="187"/>
        <v>1</v>
      </c>
      <c r="M2360" s="8" t="b">
        <f t="shared" si="188"/>
        <v>1</v>
      </c>
      <c r="N2360" s="1" t="b">
        <f t="shared" si="184"/>
        <v>1</v>
      </c>
      <c r="O2360" s="8" t="str">
        <f>IF(F2360="","",IF($F$2=入力リスト!$H$25,ROUNDDOWN(INT(F2360)+ROUNDDOWN((F2360-INT(F2360))*100,0)/60,2),F2360))</f>
        <v/>
      </c>
      <c r="P2360" s="7"/>
      <c r="Q2360" s="7"/>
    </row>
    <row r="2361" spans="1:17">
      <c r="A2361" s="234"/>
      <c r="B2361" s="235"/>
      <c r="C2361" s="235"/>
      <c r="D2361" s="3"/>
      <c r="E2361" s="235"/>
      <c r="F2361" s="236"/>
      <c r="G2361" s="215" t="str">
        <f>IF(AND($B2361="",OR(B2361&lt;&gt;"",C2361&lt;&gt;"",D2361&lt;&gt;"",E2361&lt;&gt;"",F2361&lt;&gt;"")),入力リスト!$K$34,IF($I2361=TRUE,入力リスト!$K$35,IF(J2361=FALSE,"「毎月の固定給与額」","")&amp;IF(AND(J2361=FALSE,OR(K2361=FALSE,L2361=FALSE,M2361=FALSE)),",","")&amp;IF(K2361=FALSE,"「賞与額等」","")&amp;IF(AND(K2361=FALSE,OR(L2361=FALSE,M2361=FALSE)),",","")&amp;IF(L2361=FALSE,"「残業手当」","")&amp;IF(AND(L2361=FALSE,M2361=FALSE),",","")&amp;IF(M2361=FALSE,"「残業時間」","")&amp;IF(OR(J2361=FALSE,K2361=FALSE,L2361=FALSE,M2361=FALSE),入力リスト!$K$36,"")&amp;IF(N2361,"",入力リスト!$K$37)))</f>
        <v/>
      </c>
      <c r="H2361" s="215"/>
      <c r="I2361" s="1" t="b">
        <f>IF(B2361="",FALSE,COUNTIF('従業員情報(給与以外)'!$A$4:$A$1000000,$B2361)=0)</f>
        <v>0</v>
      </c>
      <c r="J2361" s="8" t="b">
        <f t="shared" si="185"/>
        <v>1</v>
      </c>
      <c r="K2361" s="8" t="b">
        <f t="shared" si="186"/>
        <v>1</v>
      </c>
      <c r="L2361" s="8" t="b">
        <f t="shared" si="187"/>
        <v>1</v>
      </c>
      <c r="M2361" s="8" t="b">
        <f t="shared" si="188"/>
        <v>1</v>
      </c>
      <c r="N2361" s="1" t="b">
        <f t="shared" si="184"/>
        <v>1</v>
      </c>
      <c r="O2361" s="8" t="str">
        <f>IF(F2361="","",IF($F$2=入力リスト!$H$25,ROUNDDOWN(INT(F2361)+ROUNDDOWN((F2361-INT(F2361))*100,0)/60,2),F2361))</f>
        <v/>
      </c>
      <c r="P2361" s="7"/>
      <c r="Q2361" s="7"/>
    </row>
    <row r="2362" spans="1:17">
      <c r="A2362" s="234"/>
      <c r="B2362" s="235"/>
      <c r="C2362" s="235"/>
      <c r="D2362" s="3"/>
      <c r="E2362" s="235"/>
      <c r="F2362" s="236"/>
      <c r="G2362" s="215" t="str">
        <f>IF(AND($B2362="",OR(B2362&lt;&gt;"",C2362&lt;&gt;"",D2362&lt;&gt;"",E2362&lt;&gt;"",F2362&lt;&gt;"")),入力リスト!$K$34,IF($I2362=TRUE,入力リスト!$K$35,IF(J2362=FALSE,"「毎月の固定給与額」","")&amp;IF(AND(J2362=FALSE,OR(K2362=FALSE,L2362=FALSE,M2362=FALSE)),",","")&amp;IF(K2362=FALSE,"「賞与額等」","")&amp;IF(AND(K2362=FALSE,OR(L2362=FALSE,M2362=FALSE)),",","")&amp;IF(L2362=FALSE,"「残業手当」","")&amp;IF(AND(L2362=FALSE,M2362=FALSE),",","")&amp;IF(M2362=FALSE,"「残業時間」","")&amp;IF(OR(J2362=FALSE,K2362=FALSE,L2362=FALSE,M2362=FALSE),入力リスト!$K$36,"")&amp;IF(N2362,"",入力リスト!$K$37)))</f>
        <v/>
      </c>
      <c r="H2362" s="215"/>
      <c r="I2362" s="1" t="b">
        <f>IF(B2362="",FALSE,COUNTIF('従業員情報(給与以外)'!$A$4:$A$1000000,$B2362)=0)</f>
        <v>0</v>
      </c>
      <c r="J2362" s="8" t="b">
        <f t="shared" si="185"/>
        <v>1</v>
      </c>
      <c r="K2362" s="8" t="b">
        <f t="shared" si="186"/>
        <v>1</v>
      </c>
      <c r="L2362" s="8" t="b">
        <f t="shared" si="187"/>
        <v>1</v>
      </c>
      <c r="M2362" s="8" t="b">
        <f t="shared" si="188"/>
        <v>1</v>
      </c>
      <c r="N2362" s="1" t="b">
        <f t="shared" si="184"/>
        <v>1</v>
      </c>
      <c r="O2362" s="8" t="str">
        <f>IF(F2362="","",IF($F$2=入力リスト!$H$25,ROUNDDOWN(INT(F2362)+ROUNDDOWN((F2362-INT(F2362))*100,0)/60,2),F2362))</f>
        <v/>
      </c>
      <c r="P2362" s="7"/>
      <c r="Q2362" s="7"/>
    </row>
    <row r="2363" spans="1:17">
      <c r="A2363" s="234"/>
      <c r="B2363" s="235"/>
      <c r="C2363" s="235"/>
      <c r="D2363" s="3"/>
      <c r="E2363" s="235"/>
      <c r="F2363" s="236"/>
      <c r="G2363" s="215" t="str">
        <f>IF(AND($B2363="",OR(B2363&lt;&gt;"",C2363&lt;&gt;"",D2363&lt;&gt;"",E2363&lt;&gt;"",F2363&lt;&gt;"")),入力リスト!$K$34,IF($I2363=TRUE,入力リスト!$K$35,IF(J2363=FALSE,"「毎月の固定給与額」","")&amp;IF(AND(J2363=FALSE,OR(K2363=FALSE,L2363=FALSE,M2363=FALSE)),",","")&amp;IF(K2363=FALSE,"「賞与額等」","")&amp;IF(AND(K2363=FALSE,OR(L2363=FALSE,M2363=FALSE)),",","")&amp;IF(L2363=FALSE,"「残業手当」","")&amp;IF(AND(L2363=FALSE,M2363=FALSE),",","")&amp;IF(M2363=FALSE,"「残業時間」","")&amp;IF(OR(J2363=FALSE,K2363=FALSE,L2363=FALSE,M2363=FALSE),入力リスト!$K$36,"")&amp;IF(N2363,"",入力リスト!$K$37)))</f>
        <v/>
      </c>
      <c r="H2363" s="215"/>
      <c r="I2363" s="1" t="b">
        <f>IF(B2363="",FALSE,COUNTIF('従業員情報(給与以外)'!$A$4:$A$1000000,$B2363)=0)</f>
        <v>0</v>
      </c>
      <c r="J2363" s="8" t="b">
        <f t="shared" si="185"/>
        <v>1</v>
      </c>
      <c r="K2363" s="8" t="b">
        <f t="shared" si="186"/>
        <v>1</v>
      </c>
      <c r="L2363" s="8" t="b">
        <f t="shared" si="187"/>
        <v>1</v>
      </c>
      <c r="M2363" s="8" t="b">
        <f t="shared" si="188"/>
        <v>1</v>
      </c>
      <c r="N2363" s="1" t="b">
        <f t="shared" si="184"/>
        <v>1</v>
      </c>
      <c r="O2363" s="8" t="str">
        <f>IF(F2363="","",IF($F$2=入力リスト!$H$25,ROUNDDOWN(INT(F2363)+ROUNDDOWN((F2363-INT(F2363))*100,0)/60,2),F2363))</f>
        <v/>
      </c>
      <c r="P2363" s="7"/>
      <c r="Q2363" s="7"/>
    </row>
    <row r="2364" spans="1:17">
      <c r="A2364" s="234"/>
      <c r="B2364" s="235"/>
      <c r="C2364" s="235"/>
      <c r="D2364" s="3"/>
      <c r="E2364" s="235"/>
      <c r="F2364" s="236"/>
      <c r="G2364" s="215" t="str">
        <f>IF(AND($B2364="",OR(B2364&lt;&gt;"",C2364&lt;&gt;"",D2364&lt;&gt;"",E2364&lt;&gt;"",F2364&lt;&gt;"")),入力リスト!$K$34,IF($I2364=TRUE,入力リスト!$K$35,IF(J2364=FALSE,"「毎月の固定給与額」","")&amp;IF(AND(J2364=FALSE,OR(K2364=FALSE,L2364=FALSE,M2364=FALSE)),",","")&amp;IF(K2364=FALSE,"「賞与額等」","")&amp;IF(AND(K2364=FALSE,OR(L2364=FALSE,M2364=FALSE)),",","")&amp;IF(L2364=FALSE,"「残業手当」","")&amp;IF(AND(L2364=FALSE,M2364=FALSE),",","")&amp;IF(M2364=FALSE,"「残業時間」","")&amp;IF(OR(J2364=FALSE,K2364=FALSE,L2364=FALSE,M2364=FALSE),入力リスト!$K$36,"")&amp;IF(N2364,"",入力リスト!$K$37)))</f>
        <v/>
      </c>
      <c r="H2364" s="215"/>
      <c r="I2364" s="1" t="b">
        <f>IF(B2364="",FALSE,COUNTIF('従業員情報(給与以外)'!$A$4:$A$1000000,$B2364)=0)</f>
        <v>0</v>
      </c>
      <c r="J2364" s="8" t="b">
        <f t="shared" si="185"/>
        <v>1</v>
      </c>
      <c r="K2364" s="8" t="b">
        <f t="shared" si="186"/>
        <v>1</v>
      </c>
      <c r="L2364" s="8" t="b">
        <f t="shared" si="187"/>
        <v>1</v>
      </c>
      <c r="M2364" s="8" t="b">
        <f t="shared" si="188"/>
        <v>1</v>
      </c>
      <c r="N2364" s="1" t="b">
        <f t="shared" si="184"/>
        <v>1</v>
      </c>
      <c r="O2364" s="8" t="str">
        <f>IF(F2364="","",IF($F$2=入力リスト!$H$25,ROUNDDOWN(INT(F2364)+ROUNDDOWN((F2364-INT(F2364))*100,0)/60,2),F2364))</f>
        <v/>
      </c>
      <c r="P2364" s="7"/>
      <c r="Q2364" s="7"/>
    </row>
    <row r="2365" spans="1:17">
      <c r="A2365" s="234"/>
      <c r="B2365" s="235"/>
      <c r="C2365" s="235"/>
      <c r="D2365" s="3"/>
      <c r="E2365" s="235"/>
      <c r="F2365" s="236"/>
      <c r="G2365" s="215" t="str">
        <f>IF(AND($B2365="",OR(B2365&lt;&gt;"",C2365&lt;&gt;"",D2365&lt;&gt;"",E2365&lt;&gt;"",F2365&lt;&gt;"")),入力リスト!$K$34,IF($I2365=TRUE,入力リスト!$K$35,IF(J2365=FALSE,"「毎月の固定給与額」","")&amp;IF(AND(J2365=FALSE,OR(K2365=FALSE,L2365=FALSE,M2365=FALSE)),",","")&amp;IF(K2365=FALSE,"「賞与額等」","")&amp;IF(AND(K2365=FALSE,OR(L2365=FALSE,M2365=FALSE)),",","")&amp;IF(L2365=FALSE,"「残業手当」","")&amp;IF(AND(L2365=FALSE,M2365=FALSE),",","")&amp;IF(M2365=FALSE,"「残業時間」","")&amp;IF(OR(J2365=FALSE,K2365=FALSE,L2365=FALSE,M2365=FALSE),入力リスト!$K$36,"")&amp;IF(N2365,"",入力リスト!$K$37)))</f>
        <v/>
      </c>
      <c r="H2365" s="215"/>
      <c r="I2365" s="1" t="b">
        <f>IF(B2365="",FALSE,COUNTIF('従業員情報(給与以外)'!$A$4:$A$1000000,$B2365)=0)</f>
        <v>0</v>
      </c>
      <c r="J2365" s="8" t="b">
        <f t="shared" si="185"/>
        <v>1</v>
      </c>
      <c r="K2365" s="8" t="b">
        <f t="shared" si="186"/>
        <v>1</v>
      </c>
      <c r="L2365" s="8" t="b">
        <f t="shared" si="187"/>
        <v>1</v>
      </c>
      <c r="M2365" s="8" t="b">
        <f t="shared" si="188"/>
        <v>1</v>
      </c>
      <c r="N2365" s="1" t="b">
        <f t="shared" si="184"/>
        <v>1</v>
      </c>
      <c r="O2365" s="8" t="str">
        <f>IF(F2365="","",IF($F$2=入力リスト!$H$25,ROUNDDOWN(INT(F2365)+ROUNDDOWN((F2365-INT(F2365))*100,0)/60,2),F2365))</f>
        <v/>
      </c>
      <c r="P2365" s="7"/>
      <c r="Q2365" s="7"/>
    </row>
    <row r="2366" spans="1:17">
      <c r="A2366" s="234"/>
      <c r="B2366" s="235"/>
      <c r="C2366" s="235"/>
      <c r="D2366" s="3"/>
      <c r="E2366" s="235"/>
      <c r="F2366" s="236"/>
      <c r="G2366" s="215" t="str">
        <f>IF(AND($B2366="",OR(B2366&lt;&gt;"",C2366&lt;&gt;"",D2366&lt;&gt;"",E2366&lt;&gt;"",F2366&lt;&gt;"")),入力リスト!$K$34,IF($I2366=TRUE,入力リスト!$K$35,IF(J2366=FALSE,"「毎月の固定給与額」","")&amp;IF(AND(J2366=FALSE,OR(K2366=FALSE,L2366=FALSE,M2366=FALSE)),",","")&amp;IF(K2366=FALSE,"「賞与額等」","")&amp;IF(AND(K2366=FALSE,OR(L2366=FALSE,M2366=FALSE)),",","")&amp;IF(L2366=FALSE,"「残業手当」","")&amp;IF(AND(L2366=FALSE,M2366=FALSE),",","")&amp;IF(M2366=FALSE,"「残業時間」","")&amp;IF(OR(J2366=FALSE,K2366=FALSE,L2366=FALSE,M2366=FALSE),入力リスト!$K$36,"")&amp;IF(N2366,"",入力リスト!$K$37)))</f>
        <v/>
      </c>
      <c r="H2366" s="215"/>
      <c r="I2366" s="1" t="b">
        <f>IF(B2366="",FALSE,COUNTIF('従業員情報(給与以外)'!$A$4:$A$1000000,$B2366)=0)</f>
        <v>0</v>
      </c>
      <c r="J2366" s="8" t="b">
        <f t="shared" si="185"/>
        <v>1</v>
      </c>
      <c r="K2366" s="8" t="b">
        <f t="shared" si="186"/>
        <v>1</v>
      </c>
      <c r="L2366" s="8" t="b">
        <f t="shared" si="187"/>
        <v>1</v>
      </c>
      <c r="M2366" s="8" t="b">
        <f t="shared" si="188"/>
        <v>1</v>
      </c>
      <c r="N2366" s="1" t="b">
        <f t="shared" si="184"/>
        <v>1</v>
      </c>
      <c r="O2366" s="8" t="str">
        <f>IF(F2366="","",IF($F$2=入力リスト!$H$25,ROUNDDOWN(INT(F2366)+ROUNDDOWN((F2366-INT(F2366))*100,0)/60,2),F2366))</f>
        <v/>
      </c>
      <c r="P2366" s="7"/>
      <c r="Q2366" s="7"/>
    </row>
    <row r="2367" spans="1:17">
      <c r="A2367" s="234"/>
      <c r="B2367" s="235"/>
      <c r="C2367" s="235"/>
      <c r="D2367" s="3"/>
      <c r="E2367" s="235"/>
      <c r="F2367" s="236"/>
      <c r="G2367" s="215" t="str">
        <f>IF(AND($B2367="",OR(B2367&lt;&gt;"",C2367&lt;&gt;"",D2367&lt;&gt;"",E2367&lt;&gt;"",F2367&lt;&gt;"")),入力リスト!$K$34,IF($I2367=TRUE,入力リスト!$K$35,IF(J2367=FALSE,"「毎月の固定給与額」","")&amp;IF(AND(J2367=FALSE,OR(K2367=FALSE,L2367=FALSE,M2367=FALSE)),",","")&amp;IF(K2367=FALSE,"「賞与額等」","")&amp;IF(AND(K2367=FALSE,OR(L2367=FALSE,M2367=FALSE)),",","")&amp;IF(L2367=FALSE,"「残業手当」","")&amp;IF(AND(L2367=FALSE,M2367=FALSE),",","")&amp;IF(M2367=FALSE,"「残業時間」","")&amp;IF(OR(J2367=FALSE,K2367=FALSE,L2367=FALSE,M2367=FALSE),入力リスト!$K$36,"")&amp;IF(N2367,"",入力リスト!$K$37)))</f>
        <v/>
      </c>
      <c r="H2367" s="215"/>
      <c r="I2367" s="1" t="b">
        <f>IF(B2367="",FALSE,COUNTIF('従業員情報(給与以外)'!$A$4:$A$1000000,$B2367)=0)</f>
        <v>0</v>
      </c>
      <c r="J2367" s="8" t="b">
        <f t="shared" si="185"/>
        <v>1</v>
      </c>
      <c r="K2367" s="8" t="b">
        <f t="shared" si="186"/>
        <v>1</v>
      </c>
      <c r="L2367" s="8" t="b">
        <f t="shared" si="187"/>
        <v>1</v>
      </c>
      <c r="M2367" s="8" t="b">
        <f t="shared" si="188"/>
        <v>1</v>
      </c>
      <c r="N2367" s="1" t="b">
        <f t="shared" si="184"/>
        <v>1</v>
      </c>
      <c r="O2367" s="8" t="str">
        <f>IF(F2367="","",IF($F$2=入力リスト!$H$25,ROUNDDOWN(INT(F2367)+ROUNDDOWN((F2367-INT(F2367))*100,0)/60,2),F2367))</f>
        <v/>
      </c>
      <c r="P2367" s="7"/>
      <c r="Q2367" s="7"/>
    </row>
    <row r="2368" spans="1:17">
      <c r="A2368" s="234"/>
      <c r="B2368" s="235"/>
      <c r="C2368" s="235"/>
      <c r="D2368" s="3"/>
      <c r="E2368" s="235"/>
      <c r="F2368" s="236"/>
      <c r="G2368" s="215" t="str">
        <f>IF(AND($B2368="",OR(B2368&lt;&gt;"",C2368&lt;&gt;"",D2368&lt;&gt;"",E2368&lt;&gt;"",F2368&lt;&gt;"")),入力リスト!$K$34,IF($I2368=TRUE,入力リスト!$K$35,IF(J2368=FALSE,"「毎月の固定給与額」","")&amp;IF(AND(J2368=FALSE,OR(K2368=FALSE,L2368=FALSE,M2368=FALSE)),",","")&amp;IF(K2368=FALSE,"「賞与額等」","")&amp;IF(AND(K2368=FALSE,OR(L2368=FALSE,M2368=FALSE)),",","")&amp;IF(L2368=FALSE,"「残業手当」","")&amp;IF(AND(L2368=FALSE,M2368=FALSE),",","")&amp;IF(M2368=FALSE,"「残業時間」","")&amp;IF(OR(J2368=FALSE,K2368=FALSE,L2368=FALSE,M2368=FALSE),入力リスト!$K$36,"")&amp;IF(N2368,"",入力リスト!$K$37)))</f>
        <v/>
      </c>
      <c r="H2368" s="215"/>
      <c r="I2368" s="1" t="b">
        <f>IF(B2368="",FALSE,COUNTIF('従業員情報(給与以外)'!$A$4:$A$1000000,$B2368)=0)</f>
        <v>0</v>
      </c>
      <c r="J2368" s="8" t="b">
        <f t="shared" si="185"/>
        <v>1</v>
      </c>
      <c r="K2368" s="8" t="b">
        <f t="shared" si="186"/>
        <v>1</v>
      </c>
      <c r="L2368" s="8" t="b">
        <f t="shared" si="187"/>
        <v>1</v>
      </c>
      <c r="M2368" s="8" t="b">
        <f t="shared" si="188"/>
        <v>1</v>
      </c>
      <c r="N2368" s="1" t="b">
        <f t="shared" si="184"/>
        <v>1</v>
      </c>
      <c r="O2368" s="8" t="str">
        <f>IF(F2368="","",IF($F$2=入力リスト!$H$25,ROUNDDOWN(INT(F2368)+ROUNDDOWN((F2368-INT(F2368))*100,0)/60,2),F2368))</f>
        <v/>
      </c>
      <c r="P2368" s="7"/>
      <c r="Q2368" s="7"/>
    </row>
    <row r="2369" spans="1:17">
      <c r="A2369" s="234"/>
      <c r="B2369" s="235"/>
      <c r="C2369" s="235"/>
      <c r="D2369" s="3"/>
      <c r="E2369" s="235"/>
      <c r="F2369" s="236"/>
      <c r="G2369" s="215" t="str">
        <f>IF(AND($B2369="",OR(B2369&lt;&gt;"",C2369&lt;&gt;"",D2369&lt;&gt;"",E2369&lt;&gt;"",F2369&lt;&gt;"")),入力リスト!$K$34,IF($I2369=TRUE,入力リスト!$K$35,IF(J2369=FALSE,"「毎月の固定給与額」","")&amp;IF(AND(J2369=FALSE,OR(K2369=FALSE,L2369=FALSE,M2369=FALSE)),",","")&amp;IF(K2369=FALSE,"「賞与額等」","")&amp;IF(AND(K2369=FALSE,OR(L2369=FALSE,M2369=FALSE)),",","")&amp;IF(L2369=FALSE,"「残業手当」","")&amp;IF(AND(L2369=FALSE,M2369=FALSE),",","")&amp;IF(M2369=FALSE,"「残業時間」","")&amp;IF(OR(J2369=FALSE,K2369=FALSE,L2369=FALSE,M2369=FALSE),入力リスト!$K$36,"")&amp;IF(N2369,"",入力リスト!$K$37)))</f>
        <v/>
      </c>
      <c r="H2369" s="215"/>
      <c r="I2369" s="1" t="b">
        <f>IF(B2369="",FALSE,COUNTIF('従業員情報(給与以外)'!$A$4:$A$1000000,$B2369)=0)</f>
        <v>0</v>
      </c>
      <c r="J2369" s="8" t="b">
        <f t="shared" si="185"/>
        <v>1</v>
      </c>
      <c r="K2369" s="8" t="b">
        <f t="shared" si="186"/>
        <v>1</v>
      </c>
      <c r="L2369" s="8" t="b">
        <f t="shared" si="187"/>
        <v>1</v>
      </c>
      <c r="M2369" s="8" t="b">
        <f t="shared" si="188"/>
        <v>1</v>
      </c>
      <c r="N2369" s="1" t="b">
        <f t="shared" si="184"/>
        <v>1</v>
      </c>
      <c r="O2369" s="8" t="str">
        <f>IF(F2369="","",IF($F$2=入力リスト!$H$25,ROUNDDOWN(INT(F2369)+ROUNDDOWN((F2369-INT(F2369))*100,0)/60,2),F2369))</f>
        <v/>
      </c>
      <c r="P2369" s="7"/>
      <c r="Q2369" s="7"/>
    </row>
    <row r="2370" spans="1:17">
      <c r="A2370" s="234"/>
      <c r="B2370" s="235"/>
      <c r="C2370" s="235"/>
      <c r="D2370" s="3"/>
      <c r="E2370" s="235"/>
      <c r="F2370" s="236"/>
      <c r="G2370" s="215" t="str">
        <f>IF(AND($B2370="",OR(B2370&lt;&gt;"",C2370&lt;&gt;"",D2370&lt;&gt;"",E2370&lt;&gt;"",F2370&lt;&gt;"")),入力リスト!$K$34,IF($I2370=TRUE,入力リスト!$K$35,IF(J2370=FALSE,"「毎月の固定給与額」","")&amp;IF(AND(J2370=FALSE,OR(K2370=FALSE,L2370=FALSE,M2370=FALSE)),",","")&amp;IF(K2370=FALSE,"「賞与額等」","")&amp;IF(AND(K2370=FALSE,OR(L2370=FALSE,M2370=FALSE)),",","")&amp;IF(L2370=FALSE,"「残業手当」","")&amp;IF(AND(L2370=FALSE,M2370=FALSE),",","")&amp;IF(M2370=FALSE,"「残業時間」","")&amp;IF(OR(J2370=FALSE,K2370=FALSE,L2370=FALSE,M2370=FALSE),入力リスト!$K$36,"")&amp;IF(N2370,"",入力リスト!$K$37)))</f>
        <v/>
      </c>
      <c r="H2370" s="215"/>
      <c r="I2370" s="1" t="b">
        <f>IF(B2370="",FALSE,COUNTIF('従業員情報(給与以外)'!$A$4:$A$1000000,$B2370)=0)</f>
        <v>0</v>
      </c>
      <c r="J2370" s="8" t="b">
        <f t="shared" si="185"/>
        <v>1</v>
      </c>
      <c r="K2370" s="8" t="b">
        <f t="shared" si="186"/>
        <v>1</v>
      </c>
      <c r="L2370" s="8" t="b">
        <f t="shared" si="187"/>
        <v>1</v>
      </c>
      <c r="M2370" s="8" t="b">
        <f t="shared" si="188"/>
        <v>1</v>
      </c>
      <c r="N2370" s="1" t="b">
        <f t="shared" si="184"/>
        <v>1</v>
      </c>
      <c r="O2370" s="8" t="str">
        <f>IF(F2370="","",IF($F$2=入力リスト!$H$25,ROUNDDOWN(INT(F2370)+ROUNDDOWN((F2370-INT(F2370))*100,0)/60,2),F2370))</f>
        <v/>
      </c>
      <c r="P2370" s="7"/>
      <c r="Q2370" s="7"/>
    </row>
    <row r="2371" spans="1:17">
      <c r="A2371" s="234"/>
      <c r="B2371" s="235"/>
      <c r="C2371" s="235"/>
      <c r="D2371" s="3"/>
      <c r="E2371" s="235"/>
      <c r="F2371" s="236"/>
      <c r="G2371" s="215" t="str">
        <f>IF(AND($B2371="",OR(B2371&lt;&gt;"",C2371&lt;&gt;"",D2371&lt;&gt;"",E2371&lt;&gt;"",F2371&lt;&gt;"")),入力リスト!$K$34,IF($I2371=TRUE,入力リスト!$K$35,IF(J2371=FALSE,"「毎月の固定給与額」","")&amp;IF(AND(J2371=FALSE,OR(K2371=FALSE,L2371=FALSE,M2371=FALSE)),",","")&amp;IF(K2371=FALSE,"「賞与額等」","")&amp;IF(AND(K2371=FALSE,OR(L2371=FALSE,M2371=FALSE)),",","")&amp;IF(L2371=FALSE,"「残業手当」","")&amp;IF(AND(L2371=FALSE,M2371=FALSE),",","")&amp;IF(M2371=FALSE,"「残業時間」","")&amp;IF(OR(J2371=FALSE,K2371=FALSE,L2371=FALSE,M2371=FALSE),入力リスト!$K$36,"")&amp;IF(N2371,"",入力リスト!$K$37)))</f>
        <v/>
      </c>
      <c r="H2371" s="215"/>
      <c r="I2371" s="1" t="b">
        <f>IF(B2371="",FALSE,COUNTIF('従業員情報(給与以外)'!$A$4:$A$1000000,$B2371)=0)</f>
        <v>0</v>
      </c>
      <c r="J2371" s="8" t="b">
        <f t="shared" si="185"/>
        <v>1</v>
      </c>
      <c r="K2371" s="8" t="b">
        <f t="shared" si="186"/>
        <v>1</v>
      </c>
      <c r="L2371" s="8" t="b">
        <f t="shared" si="187"/>
        <v>1</v>
      </c>
      <c r="M2371" s="8" t="b">
        <f t="shared" si="188"/>
        <v>1</v>
      </c>
      <c r="N2371" s="1" t="b">
        <f t="shared" si="184"/>
        <v>1</v>
      </c>
      <c r="O2371" s="8" t="str">
        <f>IF(F2371="","",IF($F$2=入力リスト!$H$25,ROUNDDOWN(INT(F2371)+ROUNDDOWN((F2371-INT(F2371))*100,0)/60,2),F2371))</f>
        <v/>
      </c>
      <c r="P2371" s="7"/>
      <c r="Q2371" s="7"/>
    </row>
    <row r="2372" spans="1:17">
      <c r="A2372" s="234"/>
      <c r="B2372" s="235"/>
      <c r="C2372" s="235"/>
      <c r="D2372" s="3"/>
      <c r="E2372" s="235"/>
      <c r="F2372" s="236"/>
      <c r="G2372" s="215" t="str">
        <f>IF(AND($B2372="",OR(B2372&lt;&gt;"",C2372&lt;&gt;"",D2372&lt;&gt;"",E2372&lt;&gt;"",F2372&lt;&gt;"")),入力リスト!$K$34,IF($I2372=TRUE,入力リスト!$K$35,IF(J2372=FALSE,"「毎月の固定給与額」","")&amp;IF(AND(J2372=FALSE,OR(K2372=FALSE,L2372=FALSE,M2372=FALSE)),",","")&amp;IF(K2372=FALSE,"「賞与額等」","")&amp;IF(AND(K2372=FALSE,OR(L2372=FALSE,M2372=FALSE)),",","")&amp;IF(L2372=FALSE,"「残業手当」","")&amp;IF(AND(L2372=FALSE,M2372=FALSE),",","")&amp;IF(M2372=FALSE,"「残業時間」","")&amp;IF(OR(J2372=FALSE,K2372=FALSE,L2372=FALSE,M2372=FALSE),入力リスト!$K$36,"")&amp;IF(N2372,"",入力リスト!$K$37)))</f>
        <v/>
      </c>
      <c r="H2372" s="215"/>
      <c r="I2372" s="1" t="b">
        <f>IF(B2372="",FALSE,COUNTIF('従業員情報(給与以外)'!$A$4:$A$1000000,$B2372)=0)</f>
        <v>0</v>
      </c>
      <c r="J2372" s="8" t="b">
        <f t="shared" si="185"/>
        <v>1</v>
      </c>
      <c r="K2372" s="8" t="b">
        <f t="shared" si="186"/>
        <v>1</v>
      </c>
      <c r="L2372" s="8" t="b">
        <f t="shared" si="187"/>
        <v>1</v>
      </c>
      <c r="M2372" s="8" t="b">
        <f t="shared" si="188"/>
        <v>1</v>
      </c>
      <c r="N2372" s="1" t="b">
        <f t="shared" si="184"/>
        <v>1</v>
      </c>
      <c r="O2372" s="8" t="str">
        <f>IF(F2372="","",IF($F$2=入力リスト!$H$25,ROUNDDOWN(INT(F2372)+ROUNDDOWN((F2372-INT(F2372))*100,0)/60,2),F2372))</f>
        <v/>
      </c>
      <c r="P2372" s="7"/>
      <c r="Q2372" s="7"/>
    </row>
    <row r="2373" spans="1:17">
      <c r="A2373" s="234"/>
      <c r="B2373" s="235"/>
      <c r="C2373" s="235"/>
      <c r="D2373" s="3"/>
      <c r="E2373" s="235"/>
      <c r="F2373" s="236"/>
      <c r="G2373" s="215" t="str">
        <f>IF(AND($B2373="",OR(B2373&lt;&gt;"",C2373&lt;&gt;"",D2373&lt;&gt;"",E2373&lt;&gt;"",F2373&lt;&gt;"")),入力リスト!$K$34,IF($I2373=TRUE,入力リスト!$K$35,IF(J2373=FALSE,"「毎月の固定給与額」","")&amp;IF(AND(J2373=FALSE,OR(K2373=FALSE,L2373=FALSE,M2373=FALSE)),",","")&amp;IF(K2373=FALSE,"「賞与額等」","")&amp;IF(AND(K2373=FALSE,OR(L2373=FALSE,M2373=FALSE)),",","")&amp;IF(L2373=FALSE,"「残業手当」","")&amp;IF(AND(L2373=FALSE,M2373=FALSE),",","")&amp;IF(M2373=FALSE,"「残業時間」","")&amp;IF(OR(J2373=FALSE,K2373=FALSE,L2373=FALSE,M2373=FALSE),入力リスト!$K$36,"")&amp;IF(N2373,"",入力リスト!$K$37)))</f>
        <v/>
      </c>
      <c r="H2373" s="215"/>
      <c r="I2373" s="1" t="b">
        <f>IF(B2373="",FALSE,COUNTIF('従業員情報(給与以外)'!$A$4:$A$1000000,$B2373)=0)</f>
        <v>0</v>
      </c>
      <c r="J2373" s="8" t="b">
        <f t="shared" si="185"/>
        <v>1</v>
      </c>
      <c r="K2373" s="8" t="b">
        <f t="shared" si="186"/>
        <v>1</v>
      </c>
      <c r="L2373" s="8" t="b">
        <f t="shared" si="187"/>
        <v>1</v>
      </c>
      <c r="M2373" s="8" t="b">
        <f t="shared" si="188"/>
        <v>1</v>
      </c>
      <c r="N2373" s="1" t="b">
        <f t="shared" ref="N2373:N2436" si="189">IF($N$1,TRUE,IF($N$2,IF(F2373-INT(F2373)&lt;0.6,TRUE,FALSE),TRUE))</f>
        <v>1</v>
      </c>
      <c r="O2373" s="8" t="str">
        <f>IF(F2373="","",IF($F$2=入力リスト!$H$25,ROUNDDOWN(INT(F2373)+ROUNDDOWN((F2373-INT(F2373))*100,0)/60,2),F2373))</f>
        <v/>
      </c>
      <c r="P2373" s="7"/>
      <c r="Q2373" s="7"/>
    </row>
    <row r="2374" spans="1:17">
      <c r="A2374" s="234"/>
      <c r="B2374" s="235"/>
      <c r="C2374" s="235"/>
      <c r="D2374" s="3"/>
      <c r="E2374" s="235"/>
      <c r="F2374" s="236"/>
      <c r="G2374" s="215" t="str">
        <f>IF(AND($B2374="",OR(B2374&lt;&gt;"",C2374&lt;&gt;"",D2374&lt;&gt;"",E2374&lt;&gt;"",F2374&lt;&gt;"")),入力リスト!$K$34,IF($I2374=TRUE,入力リスト!$K$35,IF(J2374=FALSE,"「毎月の固定給与額」","")&amp;IF(AND(J2374=FALSE,OR(K2374=FALSE,L2374=FALSE,M2374=FALSE)),",","")&amp;IF(K2374=FALSE,"「賞与額等」","")&amp;IF(AND(K2374=FALSE,OR(L2374=FALSE,M2374=FALSE)),",","")&amp;IF(L2374=FALSE,"「残業手当」","")&amp;IF(AND(L2374=FALSE,M2374=FALSE),",","")&amp;IF(M2374=FALSE,"「残業時間」","")&amp;IF(OR(J2374=FALSE,K2374=FALSE,L2374=FALSE,M2374=FALSE),入力リスト!$K$36,"")&amp;IF(N2374,"",入力リスト!$K$37)))</f>
        <v/>
      </c>
      <c r="H2374" s="215"/>
      <c r="I2374" s="1" t="b">
        <f>IF(B2374="",FALSE,COUNTIF('従業員情報(給与以外)'!$A$4:$A$1000000,$B2374)=0)</f>
        <v>0</v>
      </c>
      <c r="J2374" s="8" t="b">
        <f t="shared" si="185"/>
        <v>1</v>
      </c>
      <c r="K2374" s="8" t="b">
        <f t="shared" si="186"/>
        <v>1</v>
      </c>
      <c r="L2374" s="8" t="b">
        <f t="shared" si="187"/>
        <v>1</v>
      </c>
      <c r="M2374" s="8" t="b">
        <f t="shared" si="188"/>
        <v>1</v>
      </c>
      <c r="N2374" s="1" t="b">
        <f t="shared" si="189"/>
        <v>1</v>
      </c>
      <c r="O2374" s="8" t="str">
        <f>IF(F2374="","",IF($F$2=入力リスト!$H$25,ROUNDDOWN(INT(F2374)+ROUNDDOWN((F2374-INT(F2374))*100,0)/60,2),F2374))</f>
        <v/>
      </c>
      <c r="P2374" s="7"/>
      <c r="Q2374" s="7"/>
    </row>
    <row r="2375" spans="1:17">
      <c r="A2375" s="234"/>
      <c r="B2375" s="235"/>
      <c r="C2375" s="235"/>
      <c r="D2375" s="3"/>
      <c r="E2375" s="235"/>
      <c r="F2375" s="236"/>
      <c r="G2375" s="215" t="str">
        <f>IF(AND($B2375="",OR(B2375&lt;&gt;"",C2375&lt;&gt;"",D2375&lt;&gt;"",E2375&lt;&gt;"",F2375&lt;&gt;"")),入力リスト!$K$34,IF($I2375=TRUE,入力リスト!$K$35,IF(J2375=FALSE,"「毎月の固定給与額」","")&amp;IF(AND(J2375=FALSE,OR(K2375=FALSE,L2375=FALSE,M2375=FALSE)),",","")&amp;IF(K2375=FALSE,"「賞与額等」","")&amp;IF(AND(K2375=FALSE,OR(L2375=FALSE,M2375=FALSE)),",","")&amp;IF(L2375=FALSE,"「残業手当」","")&amp;IF(AND(L2375=FALSE,M2375=FALSE),",","")&amp;IF(M2375=FALSE,"「残業時間」","")&amp;IF(OR(J2375=FALSE,K2375=FALSE,L2375=FALSE,M2375=FALSE),入力リスト!$K$36,"")&amp;IF(N2375,"",入力リスト!$K$37)))</f>
        <v/>
      </c>
      <c r="H2375" s="215"/>
      <c r="I2375" s="1" t="b">
        <f>IF(B2375="",FALSE,COUNTIF('従業員情報(給与以外)'!$A$4:$A$1000000,$B2375)=0)</f>
        <v>0</v>
      </c>
      <c r="J2375" s="8" t="b">
        <f t="shared" si="185"/>
        <v>1</v>
      </c>
      <c r="K2375" s="8" t="b">
        <f t="shared" si="186"/>
        <v>1</v>
      </c>
      <c r="L2375" s="8" t="b">
        <f t="shared" si="187"/>
        <v>1</v>
      </c>
      <c r="M2375" s="8" t="b">
        <f t="shared" si="188"/>
        <v>1</v>
      </c>
      <c r="N2375" s="1" t="b">
        <f t="shared" si="189"/>
        <v>1</v>
      </c>
      <c r="O2375" s="8" t="str">
        <f>IF(F2375="","",IF($F$2=入力リスト!$H$25,ROUNDDOWN(INT(F2375)+ROUNDDOWN((F2375-INT(F2375))*100,0)/60,2),F2375))</f>
        <v/>
      </c>
      <c r="P2375" s="7"/>
      <c r="Q2375" s="7"/>
    </row>
    <row r="2376" spans="1:17">
      <c r="A2376" s="234"/>
      <c r="B2376" s="235"/>
      <c r="C2376" s="235"/>
      <c r="D2376" s="3"/>
      <c r="E2376" s="235"/>
      <c r="F2376" s="236"/>
      <c r="G2376" s="215" t="str">
        <f>IF(AND($B2376="",OR(B2376&lt;&gt;"",C2376&lt;&gt;"",D2376&lt;&gt;"",E2376&lt;&gt;"",F2376&lt;&gt;"")),入力リスト!$K$34,IF($I2376=TRUE,入力リスト!$K$35,IF(J2376=FALSE,"「毎月の固定給与額」","")&amp;IF(AND(J2376=FALSE,OR(K2376=FALSE,L2376=FALSE,M2376=FALSE)),",","")&amp;IF(K2376=FALSE,"「賞与額等」","")&amp;IF(AND(K2376=FALSE,OR(L2376=FALSE,M2376=FALSE)),",","")&amp;IF(L2376=FALSE,"「残業手当」","")&amp;IF(AND(L2376=FALSE,M2376=FALSE),",","")&amp;IF(M2376=FALSE,"「残業時間」","")&amp;IF(OR(J2376=FALSE,K2376=FALSE,L2376=FALSE,M2376=FALSE),入力リスト!$K$36,"")&amp;IF(N2376,"",入力リスト!$K$37)))</f>
        <v/>
      </c>
      <c r="H2376" s="215"/>
      <c r="I2376" s="1" t="b">
        <f>IF(B2376="",FALSE,COUNTIF('従業員情報(給与以外)'!$A$4:$A$1000000,$B2376)=0)</f>
        <v>0</v>
      </c>
      <c r="J2376" s="8" t="b">
        <f t="shared" si="185"/>
        <v>1</v>
      </c>
      <c r="K2376" s="8" t="b">
        <f t="shared" si="186"/>
        <v>1</v>
      </c>
      <c r="L2376" s="8" t="b">
        <f t="shared" si="187"/>
        <v>1</v>
      </c>
      <c r="M2376" s="8" t="b">
        <f t="shared" si="188"/>
        <v>1</v>
      </c>
      <c r="N2376" s="1" t="b">
        <f t="shared" si="189"/>
        <v>1</v>
      </c>
      <c r="O2376" s="8" t="str">
        <f>IF(F2376="","",IF($F$2=入力リスト!$H$25,ROUNDDOWN(INT(F2376)+ROUNDDOWN((F2376-INT(F2376))*100,0)/60,2),F2376))</f>
        <v/>
      </c>
      <c r="P2376" s="7"/>
      <c r="Q2376" s="7"/>
    </row>
    <row r="2377" spans="1:17">
      <c r="A2377" s="234"/>
      <c r="B2377" s="235"/>
      <c r="C2377" s="235"/>
      <c r="D2377" s="3"/>
      <c r="E2377" s="235"/>
      <c r="F2377" s="236"/>
      <c r="G2377" s="215" t="str">
        <f>IF(AND($B2377="",OR(B2377&lt;&gt;"",C2377&lt;&gt;"",D2377&lt;&gt;"",E2377&lt;&gt;"",F2377&lt;&gt;"")),入力リスト!$K$34,IF($I2377=TRUE,入力リスト!$K$35,IF(J2377=FALSE,"「毎月の固定給与額」","")&amp;IF(AND(J2377=FALSE,OR(K2377=FALSE,L2377=FALSE,M2377=FALSE)),",","")&amp;IF(K2377=FALSE,"「賞与額等」","")&amp;IF(AND(K2377=FALSE,OR(L2377=FALSE,M2377=FALSE)),",","")&amp;IF(L2377=FALSE,"「残業手当」","")&amp;IF(AND(L2377=FALSE,M2377=FALSE),",","")&amp;IF(M2377=FALSE,"「残業時間」","")&amp;IF(OR(J2377=FALSE,K2377=FALSE,L2377=FALSE,M2377=FALSE),入力リスト!$K$36,"")&amp;IF(N2377,"",入力リスト!$K$37)))</f>
        <v/>
      </c>
      <c r="H2377" s="215"/>
      <c r="I2377" s="1" t="b">
        <f>IF(B2377="",FALSE,COUNTIF('従業員情報(給与以外)'!$A$4:$A$1000000,$B2377)=0)</f>
        <v>0</v>
      </c>
      <c r="J2377" s="8" t="b">
        <f t="shared" si="185"/>
        <v>1</v>
      </c>
      <c r="K2377" s="8" t="b">
        <f t="shared" si="186"/>
        <v>1</v>
      </c>
      <c r="L2377" s="8" t="b">
        <f t="shared" si="187"/>
        <v>1</v>
      </c>
      <c r="M2377" s="8" t="b">
        <f t="shared" si="188"/>
        <v>1</v>
      </c>
      <c r="N2377" s="1" t="b">
        <f t="shared" si="189"/>
        <v>1</v>
      </c>
      <c r="O2377" s="8" t="str">
        <f>IF(F2377="","",IF($F$2=入力リスト!$H$25,ROUNDDOWN(INT(F2377)+ROUNDDOWN((F2377-INT(F2377))*100,0)/60,2),F2377))</f>
        <v/>
      </c>
      <c r="P2377" s="7"/>
      <c r="Q2377" s="7"/>
    </row>
    <row r="2378" spans="1:17">
      <c r="A2378" s="234"/>
      <c r="B2378" s="235"/>
      <c r="C2378" s="235"/>
      <c r="D2378" s="3"/>
      <c r="E2378" s="235"/>
      <c r="F2378" s="236"/>
      <c r="G2378" s="215" t="str">
        <f>IF(AND($B2378="",OR(B2378&lt;&gt;"",C2378&lt;&gt;"",D2378&lt;&gt;"",E2378&lt;&gt;"",F2378&lt;&gt;"")),入力リスト!$K$34,IF($I2378=TRUE,入力リスト!$K$35,IF(J2378=FALSE,"「毎月の固定給与額」","")&amp;IF(AND(J2378=FALSE,OR(K2378=FALSE,L2378=FALSE,M2378=FALSE)),",","")&amp;IF(K2378=FALSE,"「賞与額等」","")&amp;IF(AND(K2378=FALSE,OR(L2378=FALSE,M2378=FALSE)),",","")&amp;IF(L2378=FALSE,"「残業手当」","")&amp;IF(AND(L2378=FALSE,M2378=FALSE),",","")&amp;IF(M2378=FALSE,"「残業時間」","")&amp;IF(OR(J2378=FALSE,K2378=FALSE,L2378=FALSE,M2378=FALSE),入力リスト!$K$36,"")&amp;IF(N2378,"",入力リスト!$K$37)))</f>
        <v/>
      </c>
      <c r="H2378" s="215"/>
      <c r="I2378" s="1" t="b">
        <f>IF(B2378="",FALSE,COUNTIF('従業員情報(給与以外)'!$A$4:$A$1000000,$B2378)=0)</f>
        <v>0</v>
      </c>
      <c r="J2378" s="8" t="b">
        <f t="shared" si="185"/>
        <v>1</v>
      </c>
      <c r="K2378" s="8" t="b">
        <f t="shared" si="186"/>
        <v>1</v>
      </c>
      <c r="L2378" s="8" t="b">
        <f t="shared" si="187"/>
        <v>1</v>
      </c>
      <c r="M2378" s="8" t="b">
        <f t="shared" si="188"/>
        <v>1</v>
      </c>
      <c r="N2378" s="1" t="b">
        <f t="shared" si="189"/>
        <v>1</v>
      </c>
      <c r="O2378" s="8" t="str">
        <f>IF(F2378="","",IF($F$2=入力リスト!$H$25,ROUNDDOWN(INT(F2378)+ROUNDDOWN((F2378-INT(F2378))*100,0)/60,2),F2378))</f>
        <v/>
      </c>
      <c r="P2378" s="7"/>
      <c r="Q2378" s="7"/>
    </row>
    <row r="2379" spans="1:17">
      <c r="A2379" s="234"/>
      <c r="B2379" s="235"/>
      <c r="C2379" s="235"/>
      <c r="D2379" s="3"/>
      <c r="E2379" s="235"/>
      <c r="F2379" s="236"/>
      <c r="G2379" s="215" t="str">
        <f>IF(AND($B2379="",OR(B2379&lt;&gt;"",C2379&lt;&gt;"",D2379&lt;&gt;"",E2379&lt;&gt;"",F2379&lt;&gt;"")),入力リスト!$K$34,IF($I2379=TRUE,入力リスト!$K$35,IF(J2379=FALSE,"「毎月の固定給与額」","")&amp;IF(AND(J2379=FALSE,OR(K2379=FALSE,L2379=FALSE,M2379=FALSE)),",","")&amp;IF(K2379=FALSE,"「賞与額等」","")&amp;IF(AND(K2379=FALSE,OR(L2379=FALSE,M2379=FALSE)),",","")&amp;IF(L2379=FALSE,"「残業手当」","")&amp;IF(AND(L2379=FALSE,M2379=FALSE),",","")&amp;IF(M2379=FALSE,"「残業時間」","")&amp;IF(OR(J2379=FALSE,K2379=FALSE,L2379=FALSE,M2379=FALSE),入力リスト!$K$36,"")&amp;IF(N2379,"",入力リスト!$K$37)))</f>
        <v/>
      </c>
      <c r="H2379" s="215"/>
      <c r="I2379" s="1" t="b">
        <f>IF(B2379="",FALSE,COUNTIF('従業員情報(給与以外)'!$A$4:$A$1000000,$B2379)=0)</f>
        <v>0</v>
      </c>
      <c r="J2379" s="8" t="b">
        <f t="shared" si="185"/>
        <v>1</v>
      </c>
      <c r="K2379" s="8" t="b">
        <f t="shared" si="186"/>
        <v>1</v>
      </c>
      <c r="L2379" s="8" t="b">
        <f t="shared" si="187"/>
        <v>1</v>
      </c>
      <c r="M2379" s="8" t="b">
        <f t="shared" si="188"/>
        <v>1</v>
      </c>
      <c r="N2379" s="1" t="b">
        <f t="shared" si="189"/>
        <v>1</v>
      </c>
      <c r="O2379" s="8" t="str">
        <f>IF(F2379="","",IF($F$2=入力リスト!$H$25,ROUNDDOWN(INT(F2379)+ROUNDDOWN((F2379-INT(F2379))*100,0)/60,2),F2379))</f>
        <v/>
      </c>
      <c r="P2379" s="7"/>
      <c r="Q2379" s="7"/>
    </row>
    <row r="2380" spans="1:17">
      <c r="A2380" s="234"/>
      <c r="B2380" s="235"/>
      <c r="C2380" s="235"/>
      <c r="D2380" s="3"/>
      <c r="E2380" s="235"/>
      <c r="F2380" s="236"/>
      <c r="G2380" s="215" t="str">
        <f>IF(AND($B2380="",OR(B2380&lt;&gt;"",C2380&lt;&gt;"",D2380&lt;&gt;"",E2380&lt;&gt;"",F2380&lt;&gt;"")),入力リスト!$K$34,IF($I2380=TRUE,入力リスト!$K$35,IF(J2380=FALSE,"「毎月の固定給与額」","")&amp;IF(AND(J2380=FALSE,OR(K2380=FALSE,L2380=FALSE,M2380=FALSE)),",","")&amp;IF(K2380=FALSE,"「賞与額等」","")&amp;IF(AND(K2380=FALSE,OR(L2380=FALSE,M2380=FALSE)),",","")&amp;IF(L2380=FALSE,"「残業手当」","")&amp;IF(AND(L2380=FALSE,M2380=FALSE),",","")&amp;IF(M2380=FALSE,"「残業時間」","")&amp;IF(OR(J2380=FALSE,K2380=FALSE,L2380=FALSE,M2380=FALSE),入力リスト!$K$36,"")&amp;IF(N2380,"",入力リスト!$K$37)))</f>
        <v/>
      </c>
      <c r="H2380" s="215"/>
      <c r="I2380" s="1" t="b">
        <f>IF(B2380="",FALSE,COUNTIF('従業員情報(給与以外)'!$A$4:$A$1000000,$B2380)=0)</f>
        <v>0</v>
      </c>
      <c r="J2380" s="8" t="b">
        <f t="shared" si="185"/>
        <v>1</v>
      </c>
      <c r="K2380" s="8" t="b">
        <f t="shared" si="186"/>
        <v>1</v>
      </c>
      <c r="L2380" s="8" t="b">
        <f t="shared" si="187"/>
        <v>1</v>
      </c>
      <c r="M2380" s="8" t="b">
        <f t="shared" si="188"/>
        <v>1</v>
      </c>
      <c r="N2380" s="1" t="b">
        <f t="shared" si="189"/>
        <v>1</v>
      </c>
      <c r="O2380" s="8" t="str">
        <f>IF(F2380="","",IF($F$2=入力リスト!$H$25,ROUNDDOWN(INT(F2380)+ROUNDDOWN((F2380-INT(F2380))*100,0)/60,2),F2380))</f>
        <v/>
      </c>
      <c r="P2380" s="7"/>
      <c r="Q2380" s="7"/>
    </row>
    <row r="2381" spans="1:17">
      <c r="A2381" s="234"/>
      <c r="B2381" s="235"/>
      <c r="C2381" s="235"/>
      <c r="D2381" s="3"/>
      <c r="E2381" s="235"/>
      <c r="F2381" s="236"/>
      <c r="G2381" s="215" t="str">
        <f>IF(AND($B2381="",OR(B2381&lt;&gt;"",C2381&lt;&gt;"",D2381&lt;&gt;"",E2381&lt;&gt;"",F2381&lt;&gt;"")),入力リスト!$K$34,IF($I2381=TRUE,入力リスト!$K$35,IF(J2381=FALSE,"「毎月の固定給与額」","")&amp;IF(AND(J2381=FALSE,OR(K2381=FALSE,L2381=FALSE,M2381=FALSE)),",","")&amp;IF(K2381=FALSE,"「賞与額等」","")&amp;IF(AND(K2381=FALSE,OR(L2381=FALSE,M2381=FALSE)),",","")&amp;IF(L2381=FALSE,"「残業手当」","")&amp;IF(AND(L2381=FALSE,M2381=FALSE),",","")&amp;IF(M2381=FALSE,"「残業時間」","")&amp;IF(OR(J2381=FALSE,K2381=FALSE,L2381=FALSE,M2381=FALSE),入力リスト!$K$36,"")&amp;IF(N2381,"",入力リスト!$K$37)))</f>
        <v/>
      </c>
      <c r="H2381" s="215"/>
      <c r="I2381" s="1" t="b">
        <f>IF(B2381="",FALSE,COUNTIF('従業員情報(給与以外)'!$A$4:$A$1000000,$B2381)=0)</f>
        <v>0</v>
      </c>
      <c r="J2381" s="8" t="b">
        <f t="shared" si="185"/>
        <v>1</v>
      </c>
      <c r="K2381" s="8" t="b">
        <f t="shared" si="186"/>
        <v>1</v>
      </c>
      <c r="L2381" s="8" t="b">
        <f t="shared" si="187"/>
        <v>1</v>
      </c>
      <c r="M2381" s="8" t="b">
        <f t="shared" si="188"/>
        <v>1</v>
      </c>
      <c r="N2381" s="1" t="b">
        <f t="shared" si="189"/>
        <v>1</v>
      </c>
      <c r="O2381" s="8" t="str">
        <f>IF(F2381="","",IF($F$2=入力リスト!$H$25,ROUNDDOWN(INT(F2381)+ROUNDDOWN((F2381-INT(F2381))*100,0)/60,2),F2381))</f>
        <v/>
      </c>
      <c r="P2381" s="7"/>
      <c r="Q2381" s="7"/>
    </row>
    <row r="2382" spans="1:17">
      <c r="A2382" s="234"/>
      <c r="B2382" s="235"/>
      <c r="C2382" s="235"/>
      <c r="D2382" s="3"/>
      <c r="E2382" s="235"/>
      <c r="F2382" s="236"/>
      <c r="G2382" s="215" t="str">
        <f>IF(AND($B2382="",OR(B2382&lt;&gt;"",C2382&lt;&gt;"",D2382&lt;&gt;"",E2382&lt;&gt;"",F2382&lt;&gt;"")),入力リスト!$K$34,IF($I2382=TRUE,入力リスト!$K$35,IF(J2382=FALSE,"「毎月の固定給与額」","")&amp;IF(AND(J2382=FALSE,OR(K2382=FALSE,L2382=FALSE,M2382=FALSE)),",","")&amp;IF(K2382=FALSE,"「賞与額等」","")&amp;IF(AND(K2382=FALSE,OR(L2382=FALSE,M2382=FALSE)),",","")&amp;IF(L2382=FALSE,"「残業手当」","")&amp;IF(AND(L2382=FALSE,M2382=FALSE),",","")&amp;IF(M2382=FALSE,"「残業時間」","")&amp;IF(OR(J2382=FALSE,K2382=FALSE,L2382=FALSE,M2382=FALSE),入力リスト!$K$36,"")&amp;IF(N2382,"",入力リスト!$K$37)))</f>
        <v/>
      </c>
      <c r="H2382" s="215"/>
      <c r="I2382" s="1" t="b">
        <f>IF(B2382="",FALSE,COUNTIF('従業員情報(給与以外)'!$A$4:$A$1000000,$B2382)=0)</f>
        <v>0</v>
      </c>
      <c r="J2382" s="8" t="b">
        <f t="shared" si="185"/>
        <v>1</v>
      </c>
      <c r="K2382" s="8" t="b">
        <f t="shared" si="186"/>
        <v>1</v>
      </c>
      <c r="L2382" s="8" t="b">
        <f t="shared" si="187"/>
        <v>1</v>
      </c>
      <c r="M2382" s="8" t="b">
        <f t="shared" si="188"/>
        <v>1</v>
      </c>
      <c r="N2382" s="1" t="b">
        <f t="shared" si="189"/>
        <v>1</v>
      </c>
      <c r="O2382" s="8" t="str">
        <f>IF(F2382="","",IF($F$2=入力リスト!$H$25,ROUNDDOWN(INT(F2382)+ROUNDDOWN((F2382-INT(F2382))*100,0)/60,2),F2382))</f>
        <v/>
      </c>
      <c r="P2382" s="7"/>
      <c r="Q2382" s="7"/>
    </row>
    <row r="2383" spans="1:17">
      <c r="A2383" s="234"/>
      <c r="B2383" s="235"/>
      <c r="C2383" s="235"/>
      <c r="D2383" s="3"/>
      <c r="E2383" s="235"/>
      <c r="F2383" s="236"/>
      <c r="G2383" s="215" t="str">
        <f>IF(AND($B2383="",OR(B2383&lt;&gt;"",C2383&lt;&gt;"",D2383&lt;&gt;"",E2383&lt;&gt;"",F2383&lt;&gt;"")),入力リスト!$K$34,IF($I2383=TRUE,入力リスト!$K$35,IF(J2383=FALSE,"「毎月の固定給与額」","")&amp;IF(AND(J2383=FALSE,OR(K2383=FALSE,L2383=FALSE,M2383=FALSE)),",","")&amp;IF(K2383=FALSE,"「賞与額等」","")&amp;IF(AND(K2383=FALSE,OR(L2383=FALSE,M2383=FALSE)),",","")&amp;IF(L2383=FALSE,"「残業手当」","")&amp;IF(AND(L2383=FALSE,M2383=FALSE),",","")&amp;IF(M2383=FALSE,"「残業時間」","")&amp;IF(OR(J2383=FALSE,K2383=FALSE,L2383=FALSE,M2383=FALSE),入力リスト!$K$36,"")&amp;IF(N2383,"",入力リスト!$K$37)))</f>
        <v/>
      </c>
      <c r="H2383" s="215"/>
      <c r="I2383" s="1" t="b">
        <f>IF(B2383="",FALSE,COUNTIF('従業員情報(給与以外)'!$A$4:$A$1000000,$B2383)=0)</f>
        <v>0</v>
      </c>
      <c r="J2383" s="8" t="b">
        <f t="shared" si="185"/>
        <v>1</v>
      </c>
      <c r="K2383" s="8" t="b">
        <f t="shared" si="186"/>
        <v>1</v>
      </c>
      <c r="L2383" s="8" t="b">
        <f t="shared" si="187"/>
        <v>1</v>
      </c>
      <c r="M2383" s="8" t="b">
        <f t="shared" si="188"/>
        <v>1</v>
      </c>
      <c r="N2383" s="1" t="b">
        <f t="shared" si="189"/>
        <v>1</v>
      </c>
      <c r="O2383" s="8" t="str">
        <f>IF(F2383="","",IF($F$2=入力リスト!$H$25,ROUNDDOWN(INT(F2383)+ROUNDDOWN((F2383-INT(F2383))*100,0)/60,2),F2383))</f>
        <v/>
      </c>
      <c r="P2383" s="7"/>
      <c r="Q2383" s="7"/>
    </row>
    <row r="2384" spans="1:17">
      <c r="A2384" s="234"/>
      <c r="B2384" s="235"/>
      <c r="C2384" s="235"/>
      <c r="D2384" s="3"/>
      <c r="E2384" s="235"/>
      <c r="F2384" s="236"/>
      <c r="G2384" s="215" t="str">
        <f>IF(AND($B2384="",OR(B2384&lt;&gt;"",C2384&lt;&gt;"",D2384&lt;&gt;"",E2384&lt;&gt;"",F2384&lt;&gt;"")),入力リスト!$K$34,IF($I2384=TRUE,入力リスト!$K$35,IF(J2384=FALSE,"「毎月の固定給与額」","")&amp;IF(AND(J2384=FALSE,OR(K2384=FALSE,L2384=FALSE,M2384=FALSE)),",","")&amp;IF(K2384=FALSE,"「賞与額等」","")&amp;IF(AND(K2384=FALSE,OR(L2384=FALSE,M2384=FALSE)),",","")&amp;IF(L2384=FALSE,"「残業手当」","")&amp;IF(AND(L2384=FALSE,M2384=FALSE),",","")&amp;IF(M2384=FALSE,"「残業時間」","")&amp;IF(OR(J2384=FALSE,K2384=FALSE,L2384=FALSE,M2384=FALSE),入力リスト!$K$36,"")&amp;IF(N2384,"",入力リスト!$K$37)))</f>
        <v/>
      </c>
      <c r="H2384" s="215"/>
      <c r="I2384" s="1" t="b">
        <f>IF(B2384="",FALSE,COUNTIF('従業員情報(給与以外)'!$A$4:$A$1000000,$B2384)=0)</f>
        <v>0</v>
      </c>
      <c r="J2384" s="8" t="b">
        <f t="shared" si="185"/>
        <v>1</v>
      </c>
      <c r="K2384" s="8" t="b">
        <f t="shared" si="186"/>
        <v>1</v>
      </c>
      <c r="L2384" s="8" t="b">
        <f t="shared" si="187"/>
        <v>1</v>
      </c>
      <c r="M2384" s="8" t="b">
        <f t="shared" si="188"/>
        <v>1</v>
      </c>
      <c r="N2384" s="1" t="b">
        <f t="shared" si="189"/>
        <v>1</v>
      </c>
      <c r="O2384" s="8" t="str">
        <f>IF(F2384="","",IF($F$2=入力リスト!$H$25,ROUNDDOWN(INT(F2384)+ROUNDDOWN((F2384-INT(F2384))*100,0)/60,2),F2384))</f>
        <v/>
      </c>
      <c r="P2384" s="7"/>
      <c r="Q2384" s="7"/>
    </row>
    <row r="2385" spans="1:17">
      <c r="A2385" s="234"/>
      <c r="B2385" s="235"/>
      <c r="C2385" s="235"/>
      <c r="D2385" s="3"/>
      <c r="E2385" s="235"/>
      <c r="F2385" s="236"/>
      <c r="G2385" s="215" t="str">
        <f>IF(AND($B2385="",OR(B2385&lt;&gt;"",C2385&lt;&gt;"",D2385&lt;&gt;"",E2385&lt;&gt;"",F2385&lt;&gt;"")),入力リスト!$K$34,IF($I2385=TRUE,入力リスト!$K$35,IF(J2385=FALSE,"「毎月の固定給与額」","")&amp;IF(AND(J2385=FALSE,OR(K2385=FALSE,L2385=FALSE,M2385=FALSE)),",","")&amp;IF(K2385=FALSE,"「賞与額等」","")&amp;IF(AND(K2385=FALSE,OR(L2385=FALSE,M2385=FALSE)),",","")&amp;IF(L2385=FALSE,"「残業手当」","")&amp;IF(AND(L2385=FALSE,M2385=FALSE),",","")&amp;IF(M2385=FALSE,"「残業時間」","")&amp;IF(OR(J2385=FALSE,K2385=FALSE,L2385=FALSE,M2385=FALSE),入力リスト!$K$36,"")&amp;IF(N2385,"",入力リスト!$K$37)))</f>
        <v/>
      </c>
      <c r="H2385" s="215"/>
      <c r="I2385" s="1" t="b">
        <f>IF(B2385="",FALSE,COUNTIF('従業員情報(給与以外)'!$A$4:$A$1000000,$B2385)=0)</f>
        <v>0</v>
      </c>
      <c r="J2385" s="8" t="b">
        <f t="shared" si="185"/>
        <v>1</v>
      </c>
      <c r="K2385" s="8" t="b">
        <f t="shared" si="186"/>
        <v>1</v>
      </c>
      <c r="L2385" s="8" t="b">
        <f t="shared" si="187"/>
        <v>1</v>
      </c>
      <c r="M2385" s="8" t="b">
        <f t="shared" si="188"/>
        <v>1</v>
      </c>
      <c r="N2385" s="1" t="b">
        <f t="shared" si="189"/>
        <v>1</v>
      </c>
      <c r="O2385" s="8" t="str">
        <f>IF(F2385="","",IF($F$2=入力リスト!$H$25,ROUNDDOWN(INT(F2385)+ROUNDDOWN((F2385-INT(F2385))*100,0)/60,2),F2385))</f>
        <v/>
      </c>
      <c r="P2385" s="7"/>
      <c r="Q2385" s="7"/>
    </row>
    <row r="2386" spans="1:17">
      <c r="A2386" s="234"/>
      <c r="B2386" s="235"/>
      <c r="C2386" s="235"/>
      <c r="D2386" s="3"/>
      <c r="E2386" s="235"/>
      <c r="F2386" s="236"/>
      <c r="G2386" s="215" t="str">
        <f>IF(AND($B2386="",OR(B2386&lt;&gt;"",C2386&lt;&gt;"",D2386&lt;&gt;"",E2386&lt;&gt;"",F2386&lt;&gt;"")),入力リスト!$K$34,IF($I2386=TRUE,入力リスト!$K$35,IF(J2386=FALSE,"「毎月の固定給与額」","")&amp;IF(AND(J2386=FALSE,OR(K2386=FALSE,L2386=FALSE,M2386=FALSE)),",","")&amp;IF(K2386=FALSE,"「賞与額等」","")&amp;IF(AND(K2386=FALSE,OR(L2386=FALSE,M2386=FALSE)),",","")&amp;IF(L2386=FALSE,"「残業手当」","")&amp;IF(AND(L2386=FALSE,M2386=FALSE),",","")&amp;IF(M2386=FALSE,"「残業時間」","")&amp;IF(OR(J2386=FALSE,K2386=FALSE,L2386=FALSE,M2386=FALSE),入力リスト!$K$36,"")&amp;IF(N2386,"",入力リスト!$K$37)))</f>
        <v/>
      </c>
      <c r="H2386" s="215"/>
      <c r="I2386" s="1" t="b">
        <f>IF(B2386="",FALSE,COUNTIF('従業員情報(給与以外)'!$A$4:$A$1000000,$B2386)=0)</f>
        <v>0</v>
      </c>
      <c r="J2386" s="8" t="b">
        <f t="shared" si="185"/>
        <v>1</v>
      </c>
      <c r="K2386" s="8" t="b">
        <f t="shared" si="186"/>
        <v>1</v>
      </c>
      <c r="L2386" s="8" t="b">
        <f t="shared" si="187"/>
        <v>1</v>
      </c>
      <c r="M2386" s="8" t="b">
        <f t="shared" si="188"/>
        <v>1</v>
      </c>
      <c r="N2386" s="1" t="b">
        <f t="shared" si="189"/>
        <v>1</v>
      </c>
      <c r="O2386" s="8" t="str">
        <f>IF(F2386="","",IF($F$2=入力リスト!$H$25,ROUNDDOWN(INT(F2386)+ROUNDDOWN((F2386-INT(F2386))*100,0)/60,2),F2386))</f>
        <v/>
      </c>
      <c r="P2386" s="7"/>
      <c r="Q2386" s="7"/>
    </row>
    <row r="2387" spans="1:17">
      <c r="A2387" s="234"/>
      <c r="B2387" s="235"/>
      <c r="C2387" s="235"/>
      <c r="D2387" s="3"/>
      <c r="E2387" s="235"/>
      <c r="F2387" s="236"/>
      <c r="G2387" s="215" t="str">
        <f>IF(AND($B2387="",OR(B2387&lt;&gt;"",C2387&lt;&gt;"",D2387&lt;&gt;"",E2387&lt;&gt;"",F2387&lt;&gt;"")),入力リスト!$K$34,IF($I2387=TRUE,入力リスト!$K$35,IF(J2387=FALSE,"「毎月の固定給与額」","")&amp;IF(AND(J2387=FALSE,OR(K2387=FALSE,L2387=FALSE,M2387=FALSE)),",","")&amp;IF(K2387=FALSE,"「賞与額等」","")&amp;IF(AND(K2387=FALSE,OR(L2387=FALSE,M2387=FALSE)),",","")&amp;IF(L2387=FALSE,"「残業手当」","")&amp;IF(AND(L2387=FALSE,M2387=FALSE),",","")&amp;IF(M2387=FALSE,"「残業時間」","")&amp;IF(OR(J2387=FALSE,K2387=FALSE,L2387=FALSE,M2387=FALSE),入力リスト!$K$36,"")&amp;IF(N2387,"",入力リスト!$K$37)))</f>
        <v/>
      </c>
      <c r="H2387" s="215"/>
      <c r="I2387" s="1" t="b">
        <f>IF(B2387="",FALSE,COUNTIF('従業員情報(給与以外)'!$A$4:$A$1000000,$B2387)=0)</f>
        <v>0</v>
      </c>
      <c r="J2387" s="8" t="b">
        <f t="shared" si="185"/>
        <v>1</v>
      </c>
      <c r="K2387" s="8" t="b">
        <f t="shared" si="186"/>
        <v>1</v>
      </c>
      <c r="L2387" s="8" t="b">
        <f t="shared" si="187"/>
        <v>1</v>
      </c>
      <c r="M2387" s="8" t="b">
        <f t="shared" si="188"/>
        <v>1</v>
      </c>
      <c r="N2387" s="1" t="b">
        <f t="shared" si="189"/>
        <v>1</v>
      </c>
      <c r="O2387" s="8" t="str">
        <f>IF(F2387="","",IF($F$2=入力リスト!$H$25,ROUNDDOWN(INT(F2387)+ROUNDDOWN((F2387-INT(F2387))*100,0)/60,2),F2387))</f>
        <v/>
      </c>
      <c r="P2387" s="7"/>
      <c r="Q2387" s="7"/>
    </row>
    <row r="2388" spans="1:17">
      <c r="A2388" s="234"/>
      <c r="B2388" s="235"/>
      <c r="C2388" s="235"/>
      <c r="D2388" s="3"/>
      <c r="E2388" s="235"/>
      <c r="F2388" s="236"/>
      <c r="G2388" s="215" t="str">
        <f>IF(AND($B2388="",OR(B2388&lt;&gt;"",C2388&lt;&gt;"",D2388&lt;&gt;"",E2388&lt;&gt;"",F2388&lt;&gt;"")),入力リスト!$K$34,IF($I2388=TRUE,入力リスト!$K$35,IF(J2388=FALSE,"「毎月の固定給与額」","")&amp;IF(AND(J2388=FALSE,OR(K2388=FALSE,L2388=FALSE,M2388=FALSE)),",","")&amp;IF(K2388=FALSE,"「賞与額等」","")&amp;IF(AND(K2388=FALSE,OR(L2388=FALSE,M2388=FALSE)),",","")&amp;IF(L2388=FALSE,"「残業手当」","")&amp;IF(AND(L2388=FALSE,M2388=FALSE),",","")&amp;IF(M2388=FALSE,"「残業時間」","")&amp;IF(OR(J2388=FALSE,K2388=FALSE,L2388=FALSE,M2388=FALSE),入力リスト!$K$36,"")&amp;IF(N2388,"",入力リスト!$K$37)))</f>
        <v/>
      </c>
      <c r="H2388" s="215"/>
      <c r="I2388" s="1" t="b">
        <f>IF(B2388="",FALSE,COUNTIF('従業員情報(給与以外)'!$A$4:$A$1000000,$B2388)=0)</f>
        <v>0</v>
      </c>
      <c r="J2388" s="8" t="b">
        <f t="shared" si="185"/>
        <v>1</v>
      </c>
      <c r="K2388" s="8" t="b">
        <f t="shared" si="186"/>
        <v>1</v>
      </c>
      <c r="L2388" s="8" t="b">
        <f t="shared" si="187"/>
        <v>1</v>
      </c>
      <c r="M2388" s="8" t="b">
        <f t="shared" si="188"/>
        <v>1</v>
      </c>
      <c r="N2388" s="1" t="b">
        <f t="shared" si="189"/>
        <v>1</v>
      </c>
      <c r="O2388" s="8" t="str">
        <f>IF(F2388="","",IF($F$2=入力リスト!$H$25,ROUNDDOWN(INT(F2388)+ROUNDDOWN((F2388-INT(F2388))*100,0)/60,2),F2388))</f>
        <v/>
      </c>
      <c r="P2388" s="7"/>
      <c r="Q2388" s="7"/>
    </row>
    <row r="2389" spans="1:17">
      <c r="A2389" s="234"/>
      <c r="B2389" s="235"/>
      <c r="C2389" s="235"/>
      <c r="D2389" s="3"/>
      <c r="E2389" s="235"/>
      <c r="F2389" s="236"/>
      <c r="G2389" s="215" t="str">
        <f>IF(AND($B2389="",OR(B2389&lt;&gt;"",C2389&lt;&gt;"",D2389&lt;&gt;"",E2389&lt;&gt;"",F2389&lt;&gt;"")),入力リスト!$K$34,IF($I2389=TRUE,入力リスト!$K$35,IF(J2389=FALSE,"「毎月の固定給与額」","")&amp;IF(AND(J2389=FALSE,OR(K2389=FALSE,L2389=FALSE,M2389=FALSE)),",","")&amp;IF(K2389=FALSE,"「賞与額等」","")&amp;IF(AND(K2389=FALSE,OR(L2389=FALSE,M2389=FALSE)),",","")&amp;IF(L2389=FALSE,"「残業手当」","")&amp;IF(AND(L2389=FALSE,M2389=FALSE),",","")&amp;IF(M2389=FALSE,"「残業時間」","")&amp;IF(OR(J2389=FALSE,K2389=FALSE,L2389=FALSE,M2389=FALSE),入力リスト!$K$36,"")&amp;IF(N2389,"",入力リスト!$K$37)))</f>
        <v/>
      </c>
      <c r="H2389" s="215"/>
      <c r="I2389" s="1" t="b">
        <f>IF(B2389="",FALSE,COUNTIF('従業員情報(給与以外)'!$A$4:$A$1000000,$B2389)=0)</f>
        <v>0</v>
      </c>
      <c r="J2389" s="8" t="b">
        <f t="shared" si="185"/>
        <v>1</v>
      </c>
      <c r="K2389" s="8" t="b">
        <f t="shared" si="186"/>
        <v>1</v>
      </c>
      <c r="L2389" s="8" t="b">
        <f t="shared" si="187"/>
        <v>1</v>
      </c>
      <c r="M2389" s="8" t="b">
        <f t="shared" si="188"/>
        <v>1</v>
      </c>
      <c r="N2389" s="1" t="b">
        <f t="shared" si="189"/>
        <v>1</v>
      </c>
      <c r="O2389" s="8" t="str">
        <f>IF(F2389="","",IF($F$2=入力リスト!$H$25,ROUNDDOWN(INT(F2389)+ROUNDDOWN((F2389-INT(F2389))*100,0)/60,2),F2389))</f>
        <v/>
      </c>
      <c r="P2389" s="7"/>
      <c r="Q2389" s="7"/>
    </row>
    <row r="2390" spans="1:17">
      <c r="A2390" s="234"/>
      <c r="B2390" s="235"/>
      <c r="C2390" s="235"/>
      <c r="D2390" s="3"/>
      <c r="E2390" s="235"/>
      <c r="F2390" s="236"/>
      <c r="G2390" s="215" t="str">
        <f>IF(AND($B2390="",OR(B2390&lt;&gt;"",C2390&lt;&gt;"",D2390&lt;&gt;"",E2390&lt;&gt;"",F2390&lt;&gt;"")),入力リスト!$K$34,IF($I2390=TRUE,入力リスト!$K$35,IF(J2390=FALSE,"「毎月の固定給与額」","")&amp;IF(AND(J2390=FALSE,OR(K2390=FALSE,L2390=FALSE,M2390=FALSE)),",","")&amp;IF(K2390=FALSE,"「賞与額等」","")&amp;IF(AND(K2390=FALSE,OR(L2390=FALSE,M2390=FALSE)),",","")&amp;IF(L2390=FALSE,"「残業手当」","")&amp;IF(AND(L2390=FALSE,M2390=FALSE),",","")&amp;IF(M2390=FALSE,"「残業時間」","")&amp;IF(OR(J2390=FALSE,K2390=FALSE,L2390=FALSE,M2390=FALSE),入力リスト!$K$36,"")&amp;IF(N2390,"",入力リスト!$K$37)))</f>
        <v/>
      </c>
      <c r="H2390" s="215"/>
      <c r="I2390" s="1" t="b">
        <f>IF(B2390="",FALSE,COUNTIF('従業員情報(給与以外)'!$A$4:$A$1000000,$B2390)=0)</f>
        <v>0</v>
      </c>
      <c r="J2390" s="8" t="b">
        <f t="shared" si="185"/>
        <v>1</v>
      </c>
      <c r="K2390" s="8" t="b">
        <f t="shared" si="186"/>
        <v>1</v>
      </c>
      <c r="L2390" s="8" t="b">
        <f t="shared" si="187"/>
        <v>1</v>
      </c>
      <c r="M2390" s="8" t="b">
        <f t="shared" si="188"/>
        <v>1</v>
      </c>
      <c r="N2390" s="1" t="b">
        <f t="shared" si="189"/>
        <v>1</v>
      </c>
      <c r="O2390" s="8" t="str">
        <f>IF(F2390="","",IF($F$2=入力リスト!$H$25,ROUNDDOWN(INT(F2390)+ROUNDDOWN((F2390-INT(F2390))*100,0)/60,2),F2390))</f>
        <v/>
      </c>
      <c r="P2390" s="7"/>
      <c r="Q2390" s="7"/>
    </row>
    <row r="2391" spans="1:17">
      <c r="A2391" s="234"/>
      <c r="B2391" s="235"/>
      <c r="C2391" s="235"/>
      <c r="D2391" s="3"/>
      <c r="E2391" s="235"/>
      <c r="F2391" s="236"/>
      <c r="G2391" s="215" t="str">
        <f>IF(AND($B2391="",OR(B2391&lt;&gt;"",C2391&lt;&gt;"",D2391&lt;&gt;"",E2391&lt;&gt;"",F2391&lt;&gt;"")),入力リスト!$K$34,IF($I2391=TRUE,入力リスト!$K$35,IF(J2391=FALSE,"「毎月の固定給与額」","")&amp;IF(AND(J2391=FALSE,OR(K2391=FALSE,L2391=FALSE,M2391=FALSE)),",","")&amp;IF(K2391=FALSE,"「賞与額等」","")&amp;IF(AND(K2391=FALSE,OR(L2391=FALSE,M2391=FALSE)),",","")&amp;IF(L2391=FALSE,"「残業手当」","")&amp;IF(AND(L2391=FALSE,M2391=FALSE),",","")&amp;IF(M2391=FALSE,"「残業時間」","")&amp;IF(OR(J2391=FALSE,K2391=FALSE,L2391=FALSE,M2391=FALSE),入力リスト!$K$36,"")&amp;IF(N2391,"",入力リスト!$K$37)))</f>
        <v/>
      </c>
      <c r="H2391" s="215"/>
      <c r="I2391" s="1" t="b">
        <f>IF(B2391="",FALSE,COUNTIF('従業員情報(給与以外)'!$A$4:$A$1000000,$B2391)=0)</f>
        <v>0</v>
      </c>
      <c r="J2391" s="8" t="b">
        <f t="shared" si="185"/>
        <v>1</v>
      </c>
      <c r="K2391" s="8" t="b">
        <f t="shared" si="186"/>
        <v>1</v>
      </c>
      <c r="L2391" s="8" t="b">
        <f t="shared" si="187"/>
        <v>1</v>
      </c>
      <c r="M2391" s="8" t="b">
        <f t="shared" si="188"/>
        <v>1</v>
      </c>
      <c r="N2391" s="1" t="b">
        <f t="shared" si="189"/>
        <v>1</v>
      </c>
      <c r="O2391" s="8" t="str">
        <f>IF(F2391="","",IF($F$2=入力リスト!$H$25,ROUNDDOWN(INT(F2391)+ROUNDDOWN((F2391-INT(F2391))*100,0)/60,2),F2391))</f>
        <v/>
      </c>
      <c r="P2391" s="7"/>
      <c r="Q2391" s="7"/>
    </row>
    <row r="2392" spans="1:17">
      <c r="A2392" s="234"/>
      <c r="B2392" s="235"/>
      <c r="C2392" s="235"/>
      <c r="D2392" s="3"/>
      <c r="E2392" s="235"/>
      <c r="F2392" s="236"/>
      <c r="G2392" s="215" t="str">
        <f>IF(AND($B2392="",OR(B2392&lt;&gt;"",C2392&lt;&gt;"",D2392&lt;&gt;"",E2392&lt;&gt;"",F2392&lt;&gt;"")),入力リスト!$K$34,IF($I2392=TRUE,入力リスト!$K$35,IF(J2392=FALSE,"「毎月の固定給与額」","")&amp;IF(AND(J2392=FALSE,OR(K2392=FALSE,L2392=FALSE,M2392=FALSE)),",","")&amp;IF(K2392=FALSE,"「賞与額等」","")&amp;IF(AND(K2392=FALSE,OR(L2392=FALSE,M2392=FALSE)),",","")&amp;IF(L2392=FALSE,"「残業手当」","")&amp;IF(AND(L2392=FALSE,M2392=FALSE),",","")&amp;IF(M2392=FALSE,"「残業時間」","")&amp;IF(OR(J2392=FALSE,K2392=FALSE,L2392=FALSE,M2392=FALSE),入力リスト!$K$36,"")&amp;IF(N2392,"",入力リスト!$K$37)))</f>
        <v/>
      </c>
      <c r="H2392" s="215"/>
      <c r="I2392" s="1" t="b">
        <f>IF(B2392="",FALSE,COUNTIF('従業員情報(給与以外)'!$A$4:$A$1000000,$B2392)=0)</f>
        <v>0</v>
      </c>
      <c r="J2392" s="8" t="b">
        <f t="shared" si="185"/>
        <v>1</v>
      </c>
      <c r="K2392" s="8" t="b">
        <f t="shared" si="186"/>
        <v>1</v>
      </c>
      <c r="L2392" s="8" t="b">
        <f t="shared" si="187"/>
        <v>1</v>
      </c>
      <c r="M2392" s="8" t="b">
        <f t="shared" si="188"/>
        <v>1</v>
      </c>
      <c r="N2392" s="1" t="b">
        <f t="shared" si="189"/>
        <v>1</v>
      </c>
      <c r="O2392" s="8" t="str">
        <f>IF(F2392="","",IF($F$2=入力リスト!$H$25,ROUNDDOWN(INT(F2392)+ROUNDDOWN((F2392-INT(F2392))*100,0)/60,2),F2392))</f>
        <v/>
      </c>
      <c r="P2392" s="7"/>
      <c r="Q2392" s="7"/>
    </row>
    <row r="2393" spans="1:17">
      <c r="A2393" s="234"/>
      <c r="B2393" s="235"/>
      <c r="C2393" s="235"/>
      <c r="D2393" s="3"/>
      <c r="E2393" s="235"/>
      <c r="F2393" s="236"/>
      <c r="G2393" s="215" t="str">
        <f>IF(AND($B2393="",OR(B2393&lt;&gt;"",C2393&lt;&gt;"",D2393&lt;&gt;"",E2393&lt;&gt;"",F2393&lt;&gt;"")),入力リスト!$K$34,IF($I2393=TRUE,入力リスト!$K$35,IF(J2393=FALSE,"「毎月の固定給与額」","")&amp;IF(AND(J2393=FALSE,OR(K2393=FALSE,L2393=FALSE,M2393=FALSE)),",","")&amp;IF(K2393=FALSE,"「賞与額等」","")&amp;IF(AND(K2393=FALSE,OR(L2393=FALSE,M2393=FALSE)),",","")&amp;IF(L2393=FALSE,"「残業手当」","")&amp;IF(AND(L2393=FALSE,M2393=FALSE),",","")&amp;IF(M2393=FALSE,"「残業時間」","")&amp;IF(OR(J2393=FALSE,K2393=FALSE,L2393=FALSE,M2393=FALSE),入力リスト!$K$36,"")&amp;IF(N2393,"",入力リスト!$K$37)))</f>
        <v/>
      </c>
      <c r="H2393" s="215"/>
      <c r="I2393" s="1" t="b">
        <f>IF(B2393="",FALSE,COUNTIF('従業員情報(給与以外)'!$A$4:$A$1000000,$B2393)=0)</f>
        <v>0</v>
      </c>
      <c r="J2393" s="8" t="b">
        <f t="shared" si="185"/>
        <v>1</v>
      </c>
      <c r="K2393" s="8" t="b">
        <f t="shared" si="186"/>
        <v>1</v>
      </c>
      <c r="L2393" s="8" t="b">
        <f t="shared" si="187"/>
        <v>1</v>
      </c>
      <c r="M2393" s="8" t="b">
        <f t="shared" si="188"/>
        <v>1</v>
      </c>
      <c r="N2393" s="1" t="b">
        <f t="shared" si="189"/>
        <v>1</v>
      </c>
      <c r="O2393" s="8" t="str">
        <f>IF(F2393="","",IF($F$2=入力リスト!$H$25,ROUNDDOWN(INT(F2393)+ROUNDDOWN((F2393-INT(F2393))*100,0)/60,2),F2393))</f>
        <v/>
      </c>
      <c r="P2393" s="7"/>
      <c r="Q2393" s="7"/>
    </row>
    <row r="2394" spans="1:17">
      <c r="A2394" s="234"/>
      <c r="B2394" s="235"/>
      <c r="C2394" s="235"/>
      <c r="D2394" s="3"/>
      <c r="E2394" s="235"/>
      <c r="F2394" s="236"/>
      <c r="G2394" s="215" t="str">
        <f>IF(AND($B2394="",OR(B2394&lt;&gt;"",C2394&lt;&gt;"",D2394&lt;&gt;"",E2394&lt;&gt;"",F2394&lt;&gt;"")),入力リスト!$K$34,IF($I2394=TRUE,入力リスト!$K$35,IF(J2394=FALSE,"「毎月の固定給与額」","")&amp;IF(AND(J2394=FALSE,OR(K2394=FALSE,L2394=FALSE,M2394=FALSE)),",","")&amp;IF(K2394=FALSE,"「賞与額等」","")&amp;IF(AND(K2394=FALSE,OR(L2394=FALSE,M2394=FALSE)),",","")&amp;IF(L2394=FALSE,"「残業手当」","")&amp;IF(AND(L2394=FALSE,M2394=FALSE),",","")&amp;IF(M2394=FALSE,"「残業時間」","")&amp;IF(OR(J2394=FALSE,K2394=FALSE,L2394=FALSE,M2394=FALSE),入力リスト!$K$36,"")&amp;IF(N2394,"",入力リスト!$K$37)))</f>
        <v/>
      </c>
      <c r="H2394" s="215"/>
      <c r="I2394" s="1" t="b">
        <f>IF(B2394="",FALSE,COUNTIF('従業員情報(給与以外)'!$A$4:$A$1000000,$B2394)=0)</f>
        <v>0</v>
      </c>
      <c r="J2394" s="8" t="b">
        <f t="shared" si="185"/>
        <v>1</v>
      </c>
      <c r="K2394" s="8" t="b">
        <f t="shared" si="186"/>
        <v>1</v>
      </c>
      <c r="L2394" s="8" t="b">
        <f t="shared" si="187"/>
        <v>1</v>
      </c>
      <c r="M2394" s="8" t="b">
        <f t="shared" si="188"/>
        <v>1</v>
      </c>
      <c r="N2394" s="1" t="b">
        <f t="shared" si="189"/>
        <v>1</v>
      </c>
      <c r="O2394" s="8" t="str">
        <f>IF(F2394="","",IF($F$2=入力リスト!$H$25,ROUNDDOWN(INT(F2394)+ROUNDDOWN((F2394-INT(F2394))*100,0)/60,2),F2394))</f>
        <v/>
      </c>
      <c r="P2394" s="7"/>
      <c r="Q2394" s="7"/>
    </row>
    <row r="2395" spans="1:17">
      <c r="A2395" s="234"/>
      <c r="B2395" s="235"/>
      <c r="C2395" s="235"/>
      <c r="D2395" s="3"/>
      <c r="E2395" s="235"/>
      <c r="F2395" s="236"/>
      <c r="G2395" s="215" t="str">
        <f>IF(AND($B2395="",OR(B2395&lt;&gt;"",C2395&lt;&gt;"",D2395&lt;&gt;"",E2395&lt;&gt;"",F2395&lt;&gt;"")),入力リスト!$K$34,IF($I2395=TRUE,入力リスト!$K$35,IF(J2395=FALSE,"「毎月の固定給与額」","")&amp;IF(AND(J2395=FALSE,OR(K2395=FALSE,L2395=FALSE,M2395=FALSE)),",","")&amp;IF(K2395=FALSE,"「賞与額等」","")&amp;IF(AND(K2395=FALSE,OR(L2395=FALSE,M2395=FALSE)),",","")&amp;IF(L2395=FALSE,"「残業手当」","")&amp;IF(AND(L2395=FALSE,M2395=FALSE),",","")&amp;IF(M2395=FALSE,"「残業時間」","")&amp;IF(OR(J2395=FALSE,K2395=FALSE,L2395=FALSE,M2395=FALSE),入力リスト!$K$36,"")&amp;IF(N2395,"",入力リスト!$K$37)))</f>
        <v/>
      </c>
      <c r="H2395" s="215"/>
      <c r="I2395" s="1" t="b">
        <f>IF(B2395="",FALSE,COUNTIF('従業員情報(給与以外)'!$A$4:$A$1000000,$B2395)=0)</f>
        <v>0</v>
      </c>
      <c r="J2395" s="8" t="b">
        <f t="shared" si="185"/>
        <v>1</v>
      </c>
      <c r="K2395" s="8" t="b">
        <f t="shared" si="186"/>
        <v>1</v>
      </c>
      <c r="L2395" s="8" t="b">
        <f t="shared" si="187"/>
        <v>1</v>
      </c>
      <c r="M2395" s="8" t="b">
        <f t="shared" si="188"/>
        <v>1</v>
      </c>
      <c r="N2395" s="1" t="b">
        <f t="shared" si="189"/>
        <v>1</v>
      </c>
      <c r="O2395" s="8" t="str">
        <f>IF(F2395="","",IF($F$2=入力リスト!$H$25,ROUNDDOWN(INT(F2395)+ROUNDDOWN((F2395-INT(F2395))*100,0)/60,2),F2395))</f>
        <v/>
      </c>
      <c r="P2395" s="7"/>
      <c r="Q2395" s="7"/>
    </row>
    <row r="2396" spans="1:17">
      <c r="A2396" s="234"/>
      <c r="B2396" s="235"/>
      <c r="C2396" s="235"/>
      <c r="D2396" s="3"/>
      <c r="E2396" s="235"/>
      <c r="F2396" s="236"/>
      <c r="G2396" s="215" t="str">
        <f>IF(AND($B2396="",OR(B2396&lt;&gt;"",C2396&lt;&gt;"",D2396&lt;&gt;"",E2396&lt;&gt;"",F2396&lt;&gt;"")),入力リスト!$K$34,IF($I2396=TRUE,入力リスト!$K$35,IF(J2396=FALSE,"「毎月の固定給与額」","")&amp;IF(AND(J2396=FALSE,OR(K2396=FALSE,L2396=FALSE,M2396=FALSE)),",","")&amp;IF(K2396=FALSE,"「賞与額等」","")&amp;IF(AND(K2396=FALSE,OR(L2396=FALSE,M2396=FALSE)),",","")&amp;IF(L2396=FALSE,"「残業手当」","")&amp;IF(AND(L2396=FALSE,M2396=FALSE),",","")&amp;IF(M2396=FALSE,"「残業時間」","")&amp;IF(OR(J2396=FALSE,K2396=FALSE,L2396=FALSE,M2396=FALSE),入力リスト!$K$36,"")&amp;IF(N2396,"",入力リスト!$K$37)))</f>
        <v/>
      </c>
      <c r="H2396" s="215"/>
      <c r="I2396" s="1" t="b">
        <f>IF(B2396="",FALSE,COUNTIF('従業員情報(給与以外)'!$A$4:$A$1000000,$B2396)=0)</f>
        <v>0</v>
      </c>
      <c r="J2396" s="8" t="b">
        <f t="shared" si="185"/>
        <v>1</v>
      </c>
      <c r="K2396" s="8" t="b">
        <f t="shared" si="186"/>
        <v>1</v>
      </c>
      <c r="L2396" s="8" t="b">
        <f t="shared" si="187"/>
        <v>1</v>
      </c>
      <c r="M2396" s="8" t="b">
        <f t="shared" si="188"/>
        <v>1</v>
      </c>
      <c r="N2396" s="1" t="b">
        <f t="shared" si="189"/>
        <v>1</v>
      </c>
      <c r="O2396" s="8" t="str">
        <f>IF(F2396="","",IF($F$2=入力リスト!$H$25,ROUNDDOWN(INT(F2396)+ROUNDDOWN((F2396-INT(F2396))*100,0)/60,2),F2396))</f>
        <v/>
      </c>
      <c r="P2396" s="7"/>
      <c r="Q2396" s="7"/>
    </row>
    <row r="2397" spans="1:17">
      <c r="A2397" s="234"/>
      <c r="B2397" s="235"/>
      <c r="C2397" s="235"/>
      <c r="D2397" s="3"/>
      <c r="E2397" s="235"/>
      <c r="F2397" s="236"/>
      <c r="G2397" s="215" t="str">
        <f>IF(AND($B2397="",OR(B2397&lt;&gt;"",C2397&lt;&gt;"",D2397&lt;&gt;"",E2397&lt;&gt;"",F2397&lt;&gt;"")),入力リスト!$K$34,IF($I2397=TRUE,入力リスト!$K$35,IF(J2397=FALSE,"「毎月の固定給与額」","")&amp;IF(AND(J2397=FALSE,OR(K2397=FALSE,L2397=FALSE,M2397=FALSE)),",","")&amp;IF(K2397=FALSE,"「賞与額等」","")&amp;IF(AND(K2397=FALSE,OR(L2397=FALSE,M2397=FALSE)),",","")&amp;IF(L2397=FALSE,"「残業手当」","")&amp;IF(AND(L2397=FALSE,M2397=FALSE),",","")&amp;IF(M2397=FALSE,"「残業時間」","")&amp;IF(OR(J2397=FALSE,K2397=FALSE,L2397=FALSE,M2397=FALSE),入力リスト!$K$36,"")&amp;IF(N2397,"",入力リスト!$K$37)))</f>
        <v/>
      </c>
      <c r="H2397" s="215"/>
      <c r="I2397" s="1" t="b">
        <f>IF(B2397="",FALSE,COUNTIF('従業員情報(給与以外)'!$A$4:$A$1000000,$B2397)=0)</f>
        <v>0</v>
      </c>
      <c r="J2397" s="8" t="b">
        <f t="shared" si="185"/>
        <v>1</v>
      </c>
      <c r="K2397" s="8" t="b">
        <f t="shared" si="186"/>
        <v>1</v>
      </c>
      <c r="L2397" s="8" t="b">
        <f t="shared" si="187"/>
        <v>1</v>
      </c>
      <c r="M2397" s="8" t="b">
        <f t="shared" si="188"/>
        <v>1</v>
      </c>
      <c r="N2397" s="1" t="b">
        <f t="shared" si="189"/>
        <v>1</v>
      </c>
      <c r="O2397" s="8" t="str">
        <f>IF(F2397="","",IF($F$2=入力リスト!$H$25,ROUNDDOWN(INT(F2397)+ROUNDDOWN((F2397-INT(F2397))*100,0)/60,2),F2397))</f>
        <v/>
      </c>
      <c r="P2397" s="7"/>
      <c r="Q2397" s="7"/>
    </row>
    <row r="2398" spans="1:17">
      <c r="A2398" s="234"/>
      <c r="B2398" s="235"/>
      <c r="C2398" s="235"/>
      <c r="D2398" s="3"/>
      <c r="E2398" s="235"/>
      <c r="F2398" s="236"/>
      <c r="G2398" s="215" t="str">
        <f>IF(AND($B2398="",OR(B2398&lt;&gt;"",C2398&lt;&gt;"",D2398&lt;&gt;"",E2398&lt;&gt;"",F2398&lt;&gt;"")),入力リスト!$K$34,IF($I2398=TRUE,入力リスト!$K$35,IF(J2398=FALSE,"「毎月の固定給与額」","")&amp;IF(AND(J2398=FALSE,OR(K2398=FALSE,L2398=FALSE,M2398=FALSE)),",","")&amp;IF(K2398=FALSE,"「賞与額等」","")&amp;IF(AND(K2398=FALSE,OR(L2398=FALSE,M2398=FALSE)),",","")&amp;IF(L2398=FALSE,"「残業手当」","")&amp;IF(AND(L2398=FALSE,M2398=FALSE),",","")&amp;IF(M2398=FALSE,"「残業時間」","")&amp;IF(OR(J2398=FALSE,K2398=FALSE,L2398=FALSE,M2398=FALSE),入力リスト!$K$36,"")&amp;IF(N2398,"",入力リスト!$K$37)))</f>
        <v/>
      </c>
      <c r="H2398" s="215"/>
      <c r="I2398" s="1" t="b">
        <f>IF(B2398="",FALSE,COUNTIF('従業員情報(給与以外)'!$A$4:$A$1000000,$B2398)=0)</f>
        <v>0</v>
      </c>
      <c r="J2398" s="8" t="b">
        <f t="shared" si="185"/>
        <v>1</v>
      </c>
      <c r="K2398" s="8" t="b">
        <f t="shared" si="186"/>
        <v>1</v>
      </c>
      <c r="L2398" s="8" t="b">
        <f t="shared" si="187"/>
        <v>1</v>
      </c>
      <c r="M2398" s="8" t="b">
        <f t="shared" si="188"/>
        <v>1</v>
      </c>
      <c r="N2398" s="1" t="b">
        <f t="shared" si="189"/>
        <v>1</v>
      </c>
      <c r="O2398" s="8" t="str">
        <f>IF(F2398="","",IF($F$2=入力リスト!$H$25,ROUNDDOWN(INT(F2398)+ROUNDDOWN((F2398-INT(F2398))*100,0)/60,2),F2398))</f>
        <v/>
      </c>
      <c r="P2398" s="7"/>
      <c r="Q2398" s="7"/>
    </row>
    <row r="2399" spans="1:17">
      <c r="A2399" s="234"/>
      <c r="B2399" s="235"/>
      <c r="C2399" s="235"/>
      <c r="D2399" s="3"/>
      <c r="E2399" s="235"/>
      <c r="F2399" s="236"/>
      <c r="G2399" s="215" t="str">
        <f>IF(AND($B2399="",OR(B2399&lt;&gt;"",C2399&lt;&gt;"",D2399&lt;&gt;"",E2399&lt;&gt;"",F2399&lt;&gt;"")),入力リスト!$K$34,IF($I2399=TRUE,入力リスト!$K$35,IF(J2399=FALSE,"「毎月の固定給与額」","")&amp;IF(AND(J2399=FALSE,OR(K2399=FALSE,L2399=FALSE,M2399=FALSE)),",","")&amp;IF(K2399=FALSE,"「賞与額等」","")&amp;IF(AND(K2399=FALSE,OR(L2399=FALSE,M2399=FALSE)),",","")&amp;IF(L2399=FALSE,"「残業手当」","")&amp;IF(AND(L2399=FALSE,M2399=FALSE),",","")&amp;IF(M2399=FALSE,"「残業時間」","")&amp;IF(OR(J2399=FALSE,K2399=FALSE,L2399=FALSE,M2399=FALSE),入力リスト!$K$36,"")&amp;IF(N2399,"",入力リスト!$K$37)))</f>
        <v/>
      </c>
      <c r="H2399" s="215"/>
      <c r="I2399" s="1" t="b">
        <f>IF(B2399="",FALSE,COUNTIF('従業員情報(給与以外)'!$A$4:$A$1000000,$B2399)=0)</f>
        <v>0</v>
      </c>
      <c r="J2399" s="8" t="b">
        <f t="shared" si="185"/>
        <v>1</v>
      </c>
      <c r="K2399" s="8" t="b">
        <f t="shared" si="186"/>
        <v>1</v>
      </c>
      <c r="L2399" s="8" t="b">
        <f t="shared" si="187"/>
        <v>1</v>
      </c>
      <c r="M2399" s="8" t="b">
        <f t="shared" si="188"/>
        <v>1</v>
      </c>
      <c r="N2399" s="1" t="b">
        <f t="shared" si="189"/>
        <v>1</v>
      </c>
      <c r="O2399" s="8" t="str">
        <f>IF(F2399="","",IF($F$2=入力リスト!$H$25,ROUNDDOWN(INT(F2399)+ROUNDDOWN((F2399-INT(F2399))*100,0)/60,2),F2399))</f>
        <v/>
      </c>
      <c r="P2399" s="7"/>
      <c r="Q2399" s="7"/>
    </row>
    <row r="2400" spans="1:17">
      <c r="A2400" s="234"/>
      <c r="B2400" s="235"/>
      <c r="C2400" s="235"/>
      <c r="D2400" s="3"/>
      <c r="E2400" s="235"/>
      <c r="F2400" s="236"/>
      <c r="G2400" s="215" t="str">
        <f>IF(AND($B2400="",OR(B2400&lt;&gt;"",C2400&lt;&gt;"",D2400&lt;&gt;"",E2400&lt;&gt;"",F2400&lt;&gt;"")),入力リスト!$K$34,IF($I2400=TRUE,入力リスト!$K$35,IF(J2400=FALSE,"「毎月の固定給与額」","")&amp;IF(AND(J2400=FALSE,OR(K2400=FALSE,L2400=FALSE,M2400=FALSE)),",","")&amp;IF(K2400=FALSE,"「賞与額等」","")&amp;IF(AND(K2400=FALSE,OR(L2400=FALSE,M2400=FALSE)),",","")&amp;IF(L2400=FALSE,"「残業手当」","")&amp;IF(AND(L2400=FALSE,M2400=FALSE),",","")&amp;IF(M2400=FALSE,"「残業時間」","")&amp;IF(OR(J2400=FALSE,K2400=FALSE,L2400=FALSE,M2400=FALSE),入力リスト!$K$36,"")&amp;IF(N2400,"",入力リスト!$K$37)))</f>
        <v/>
      </c>
      <c r="H2400" s="215"/>
      <c r="I2400" s="1" t="b">
        <f>IF(B2400="",FALSE,COUNTIF('従業員情報(給与以外)'!$A$4:$A$1000000,$B2400)=0)</f>
        <v>0</v>
      </c>
      <c r="J2400" s="8" t="b">
        <f t="shared" si="185"/>
        <v>1</v>
      </c>
      <c r="K2400" s="8" t="b">
        <f t="shared" si="186"/>
        <v>1</v>
      </c>
      <c r="L2400" s="8" t="b">
        <f t="shared" si="187"/>
        <v>1</v>
      </c>
      <c r="M2400" s="8" t="b">
        <f t="shared" si="188"/>
        <v>1</v>
      </c>
      <c r="N2400" s="1" t="b">
        <f t="shared" si="189"/>
        <v>1</v>
      </c>
      <c r="O2400" s="8" t="str">
        <f>IF(F2400="","",IF($F$2=入力リスト!$H$25,ROUNDDOWN(INT(F2400)+ROUNDDOWN((F2400-INT(F2400))*100,0)/60,2),F2400))</f>
        <v/>
      </c>
      <c r="P2400" s="7"/>
      <c r="Q2400" s="7"/>
    </row>
    <row r="2401" spans="1:17">
      <c r="A2401" s="234"/>
      <c r="B2401" s="235"/>
      <c r="C2401" s="235"/>
      <c r="D2401" s="3"/>
      <c r="E2401" s="235"/>
      <c r="F2401" s="236"/>
      <c r="G2401" s="215" t="str">
        <f>IF(AND($B2401="",OR(B2401&lt;&gt;"",C2401&lt;&gt;"",D2401&lt;&gt;"",E2401&lt;&gt;"",F2401&lt;&gt;"")),入力リスト!$K$34,IF($I2401=TRUE,入力リスト!$K$35,IF(J2401=FALSE,"「毎月の固定給与額」","")&amp;IF(AND(J2401=FALSE,OR(K2401=FALSE,L2401=FALSE,M2401=FALSE)),",","")&amp;IF(K2401=FALSE,"「賞与額等」","")&amp;IF(AND(K2401=FALSE,OR(L2401=FALSE,M2401=FALSE)),",","")&amp;IF(L2401=FALSE,"「残業手当」","")&amp;IF(AND(L2401=FALSE,M2401=FALSE),",","")&amp;IF(M2401=FALSE,"「残業時間」","")&amp;IF(OR(J2401=FALSE,K2401=FALSE,L2401=FALSE,M2401=FALSE),入力リスト!$K$36,"")&amp;IF(N2401,"",入力リスト!$K$37)))</f>
        <v/>
      </c>
      <c r="H2401" s="215"/>
      <c r="I2401" s="1" t="b">
        <f>IF(B2401="",FALSE,COUNTIF('従業員情報(給与以外)'!$A$4:$A$1000000,$B2401)=0)</f>
        <v>0</v>
      </c>
      <c r="J2401" s="8" t="b">
        <f t="shared" si="185"/>
        <v>1</v>
      </c>
      <c r="K2401" s="8" t="b">
        <f t="shared" si="186"/>
        <v>1</v>
      </c>
      <c r="L2401" s="8" t="b">
        <f t="shared" si="187"/>
        <v>1</v>
      </c>
      <c r="M2401" s="8" t="b">
        <f t="shared" si="188"/>
        <v>1</v>
      </c>
      <c r="N2401" s="1" t="b">
        <f t="shared" si="189"/>
        <v>1</v>
      </c>
      <c r="O2401" s="8" t="str">
        <f>IF(F2401="","",IF($F$2=入力リスト!$H$25,ROUNDDOWN(INT(F2401)+ROUNDDOWN((F2401-INT(F2401))*100,0)/60,2),F2401))</f>
        <v/>
      </c>
      <c r="P2401" s="7"/>
      <c r="Q2401" s="7"/>
    </row>
    <row r="2402" spans="1:17">
      <c r="A2402" s="234"/>
      <c r="B2402" s="235"/>
      <c r="C2402" s="235"/>
      <c r="D2402" s="3"/>
      <c r="E2402" s="235"/>
      <c r="F2402" s="236"/>
      <c r="G2402" s="215" t="str">
        <f>IF(AND($B2402="",OR(B2402&lt;&gt;"",C2402&lt;&gt;"",D2402&lt;&gt;"",E2402&lt;&gt;"",F2402&lt;&gt;"")),入力リスト!$K$34,IF($I2402=TRUE,入力リスト!$K$35,IF(J2402=FALSE,"「毎月の固定給与額」","")&amp;IF(AND(J2402=FALSE,OR(K2402=FALSE,L2402=FALSE,M2402=FALSE)),",","")&amp;IF(K2402=FALSE,"「賞与額等」","")&amp;IF(AND(K2402=FALSE,OR(L2402=FALSE,M2402=FALSE)),",","")&amp;IF(L2402=FALSE,"「残業手当」","")&amp;IF(AND(L2402=FALSE,M2402=FALSE),",","")&amp;IF(M2402=FALSE,"「残業時間」","")&amp;IF(OR(J2402=FALSE,K2402=FALSE,L2402=FALSE,M2402=FALSE),入力リスト!$K$36,"")&amp;IF(N2402,"",入力リスト!$K$37)))</f>
        <v/>
      </c>
      <c r="H2402" s="215"/>
      <c r="I2402" s="1" t="b">
        <f>IF(B2402="",FALSE,COUNTIF('従業員情報(給与以外)'!$A$4:$A$1000000,$B2402)=0)</f>
        <v>0</v>
      </c>
      <c r="J2402" s="8" t="b">
        <f t="shared" si="185"/>
        <v>1</v>
      </c>
      <c r="K2402" s="8" t="b">
        <f t="shared" si="186"/>
        <v>1</v>
      </c>
      <c r="L2402" s="8" t="b">
        <f t="shared" si="187"/>
        <v>1</v>
      </c>
      <c r="M2402" s="8" t="b">
        <f t="shared" si="188"/>
        <v>1</v>
      </c>
      <c r="N2402" s="1" t="b">
        <f t="shared" si="189"/>
        <v>1</v>
      </c>
      <c r="O2402" s="8" t="str">
        <f>IF(F2402="","",IF($F$2=入力リスト!$H$25,ROUNDDOWN(INT(F2402)+ROUNDDOWN((F2402-INT(F2402))*100,0)/60,2),F2402))</f>
        <v/>
      </c>
      <c r="P2402" s="7"/>
      <c r="Q2402" s="7"/>
    </row>
    <row r="2403" spans="1:17">
      <c r="A2403" s="234"/>
      <c r="B2403" s="235"/>
      <c r="C2403" s="235"/>
      <c r="D2403" s="3"/>
      <c r="E2403" s="235"/>
      <c r="F2403" s="236"/>
      <c r="G2403" s="215" t="str">
        <f>IF(AND($B2403="",OR(B2403&lt;&gt;"",C2403&lt;&gt;"",D2403&lt;&gt;"",E2403&lt;&gt;"",F2403&lt;&gt;"")),入力リスト!$K$34,IF($I2403=TRUE,入力リスト!$K$35,IF(J2403=FALSE,"「毎月の固定給与額」","")&amp;IF(AND(J2403=FALSE,OR(K2403=FALSE,L2403=FALSE,M2403=FALSE)),",","")&amp;IF(K2403=FALSE,"「賞与額等」","")&amp;IF(AND(K2403=FALSE,OR(L2403=FALSE,M2403=FALSE)),",","")&amp;IF(L2403=FALSE,"「残業手当」","")&amp;IF(AND(L2403=FALSE,M2403=FALSE),",","")&amp;IF(M2403=FALSE,"「残業時間」","")&amp;IF(OR(J2403=FALSE,K2403=FALSE,L2403=FALSE,M2403=FALSE),入力リスト!$K$36,"")&amp;IF(N2403,"",入力リスト!$K$37)))</f>
        <v/>
      </c>
      <c r="H2403" s="215"/>
      <c r="I2403" s="1" t="b">
        <f>IF(B2403="",FALSE,COUNTIF('従業員情報(給与以外)'!$A$4:$A$1000000,$B2403)=0)</f>
        <v>0</v>
      </c>
      <c r="J2403" s="8" t="b">
        <f t="shared" si="185"/>
        <v>1</v>
      </c>
      <c r="K2403" s="8" t="b">
        <f t="shared" si="186"/>
        <v>1</v>
      </c>
      <c r="L2403" s="8" t="b">
        <f t="shared" si="187"/>
        <v>1</v>
      </c>
      <c r="M2403" s="8" t="b">
        <f t="shared" si="188"/>
        <v>1</v>
      </c>
      <c r="N2403" s="1" t="b">
        <f t="shared" si="189"/>
        <v>1</v>
      </c>
      <c r="O2403" s="8" t="str">
        <f>IF(F2403="","",IF($F$2=入力リスト!$H$25,ROUNDDOWN(INT(F2403)+ROUNDDOWN((F2403-INT(F2403))*100,0)/60,2),F2403))</f>
        <v/>
      </c>
      <c r="P2403" s="7"/>
      <c r="Q2403" s="7"/>
    </row>
    <row r="2404" spans="1:17">
      <c r="A2404" s="234"/>
      <c r="B2404" s="235"/>
      <c r="C2404" s="235"/>
      <c r="D2404" s="3"/>
      <c r="E2404" s="235"/>
      <c r="F2404" s="236"/>
      <c r="G2404" s="215" t="str">
        <f>IF(AND($B2404="",OR(B2404&lt;&gt;"",C2404&lt;&gt;"",D2404&lt;&gt;"",E2404&lt;&gt;"",F2404&lt;&gt;"")),入力リスト!$K$34,IF($I2404=TRUE,入力リスト!$K$35,IF(J2404=FALSE,"「毎月の固定給与額」","")&amp;IF(AND(J2404=FALSE,OR(K2404=FALSE,L2404=FALSE,M2404=FALSE)),",","")&amp;IF(K2404=FALSE,"「賞与額等」","")&amp;IF(AND(K2404=FALSE,OR(L2404=FALSE,M2404=FALSE)),",","")&amp;IF(L2404=FALSE,"「残業手当」","")&amp;IF(AND(L2404=FALSE,M2404=FALSE),",","")&amp;IF(M2404=FALSE,"「残業時間」","")&amp;IF(OR(J2404=FALSE,K2404=FALSE,L2404=FALSE,M2404=FALSE),入力リスト!$K$36,"")&amp;IF(N2404,"",入力リスト!$K$37)))</f>
        <v/>
      </c>
      <c r="H2404" s="215"/>
      <c r="I2404" s="1" t="b">
        <f>IF(B2404="",FALSE,COUNTIF('従業員情報(給与以外)'!$A$4:$A$1000000,$B2404)=0)</f>
        <v>0</v>
      </c>
      <c r="J2404" s="8" t="b">
        <f t="shared" si="185"/>
        <v>1</v>
      </c>
      <c r="K2404" s="8" t="b">
        <f t="shared" si="186"/>
        <v>1</v>
      </c>
      <c r="L2404" s="8" t="b">
        <f t="shared" si="187"/>
        <v>1</v>
      </c>
      <c r="M2404" s="8" t="b">
        <f t="shared" si="188"/>
        <v>1</v>
      </c>
      <c r="N2404" s="1" t="b">
        <f t="shared" si="189"/>
        <v>1</v>
      </c>
      <c r="O2404" s="8" t="str">
        <f>IF(F2404="","",IF($F$2=入力リスト!$H$25,ROUNDDOWN(INT(F2404)+ROUNDDOWN((F2404-INT(F2404))*100,0)/60,2),F2404))</f>
        <v/>
      </c>
      <c r="P2404" s="7"/>
      <c r="Q2404" s="7"/>
    </row>
    <row r="2405" spans="1:17">
      <c r="A2405" s="234"/>
      <c r="B2405" s="235"/>
      <c r="C2405" s="235"/>
      <c r="D2405" s="3"/>
      <c r="E2405" s="235"/>
      <c r="F2405" s="236"/>
      <c r="G2405" s="215" t="str">
        <f>IF(AND($B2405="",OR(B2405&lt;&gt;"",C2405&lt;&gt;"",D2405&lt;&gt;"",E2405&lt;&gt;"",F2405&lt;&gt;"")),入力リスト!$K$34,IF($I2405=TRUE,入力リスト!$K$35,IF(J2405=FALSE,"「毎月の固定給与額」","")&amp;IF(AND(J2405=FALSE,OR(K2405=FALSE,L2405=FALSE,M2405=FALSE)),",","")&amp;IF(K2405=FALSE,"「賞与額等」","")&amp;IF(AND(K2405=FALSE,OR(L2405=FALSE,M2405=FALSE)),",","")&amp;IF(L2405=FALSE,"「残業手当」","")&amp;IF(AND(L2405=FALSE,M2405=FALSE),",","")&amp;IF(M2405=FALSE,"「残業時間」","")&amp;IF(OR(J2405=FALSE,K2405=FALSE,L2405=FALSE,M2405=FALSE),入力リスト!$K$36,"")&amp;IF(N2405,"",入力リスト!$K$37)))</f>
        <v/>
      </c>
      <c r="H2405" s="215"/>
      <c r="I2405" s="1" t="b">
        <f>IF(B2405="",FALSE,COUNTIF('従業員情報(給与以外)'!$A$4:$A$1000000,$B2405)=0)</f>
        <v>0</v>
      </c>
      <c r="J2405" s="8" t="b">
        <f t="shared" si="185"/>
        <v>1</v>
      </c>
      <c r="K2405" s="8" t="b">
        <f t="shared" si="186"/>
        <v>1</v>
      </c>
      <c r="L2405" s="8" t="b">
        <f t="shared" si="187"/>
        <v>1</v>
      </c>
      <c r="M2405" s="8" t="b">
        <f t="shared" si="188"/>
        <v>1</v>
      </c>
      <c r="N2405" s="1" t="b">
        <f t="shared" si="189"/>
        <v>1</v>
      </c>
      <c r="O2405" s="8" t="str">
        <f>IF(F2405="","",IF($F$2=入力リスト!$H$25,ROUNDDOWN(INT(F2405)+ROUNDDOWN((F2405-INT(F2405))*100,0)/60,2),F2405))</f>
        <v/>
      </c>
      <c r="P2405" s="7"/>
      <c r="Q2405" s="7"/>
    </row>
    <row r="2406" spans="1:17">
      <c r="A2406" s="234"/>
      <c r="B2406" s="235"/>
      <c r="C2406" s="235"/>
      <c r="D2406" s="3"/>
      <c r="E2406" s="235"/>
      <c r="F2406" s="236"/>
      <c r="G2406" s="215" t="str">
        <f>IF(AND($B2406="",OR(B2406&lt;&gt;"",C2406&lt;&gt;"",D2406&lt;&gt;"",E2406&lt;&gt;"",F2406&lt;&gt;"")),入力リスト!$K$34,IF($I2406=TRUE,入力リスト!$K$35,IF(J2406=FALSE,"「毎月の固定給与額」","")&amp;IF(AND(J2406=FALSE,OR(K2406=FALSE,L2406=FALSE,M2406=FALSE)),",","")&amp;IF(K2406=FALSE,"「賞与額等」","")&amp;IF(AND(K2406=FALSE,OR(L2406=FALSE,M2406=FALSE)),",","")&amp;IF(L2406=FALSE,"「残業手当」","")&amp;IF(AND(L2406=FALSE,M2406=FALSE),",","")&amp;IF(M2406=FALSE,"「残業時間」","")&amp;IF(OR(J2406=FALSE,K2406=FALSE,L2406=FALSE,M2406=FALSE),入力リスト!$K$36,"")&amp;IF(N2406,"",入力リスト!$K$37)))</f>
        <v/>
      </c>
      <c r="H2406" s="215"/>
      <c r="I2406" s="1" t="b">
        <f>IF(B2406="",FALSE,COUNTIF('従業員情報(給与以外)'!$A$4:$A$1000000,$B2406)=0)</f>
        <v>0</v>
      </c>
      <c r="J2406" s="8" t="b">
        <f t="shared" si="185"/>
        <v>1</v>
      </c>
      <c r="K2406" s="8" t="b">
        <f t="shared" si="186"/>
        <v>1</v>
      </c>
      <c r="L2406" s="8" t="b">
        <f t="shared" si="187"/>
        <v>1</v>
      </c>
      <c r="M2406" s="8" t="b">
        <f t="shared" si="188"/>
        <v>1</v>
      </c>
      <c r="N2406" s="1" t="b">
        <f t="shared" si="189"/>
        <v>1</v>
      </c>
      <c r="O2406" s="8" t="str">
        <f>IF(F2406="","",IF($F$2=入力リスト!$H$25,ROUNDDOWN(INT(F2406)+ROUNDDOWN((F2406-INT(F2406))*100,0)/60,2),F2406))</f>
        <v/>
      </c>
      <c r="P2406" s="7"/>
      <c r="Q2406" s="7"/>
    </row>
    <row r="2407" spans="1:17">
      <c r="A2407" s="234"/>
      <c r="B2407" s="235"/>
      <c r="C2407" s="235"/>
      <c r="D2407" s="3"/>
      <c r="E2407" s="235"/>
      <c r="F2407" s="236"/>
      <c r="G2407" s="215" t="str">
        <f>IF(AND($B2407="",OR(B2407&lt;&gt;"",C2407&lt;&gt;"",D2407&lt;&gt;"",E2407&lt;&gt;"",F2407&lt;&gt;"")),入力リスト!$K$34,IF($I2407=TRUE,入力リスト!$K$35,IF(J2407=FALSE,"「毎月の固定給与額」","")&amp;IF(AND(J2407=FALSE,OR(K2407=FALSE,L2407=FALSE,M2407=FALSE)),",","")&amp;IF(K2407=FALSE,"「賞与額等」","")&amp;IF(AND(K2407=FALSE,OR(L2407=FALSE,M2407=FALSE)),",","")&amp;IF(L2407=FALSE,"「残業手当」","")&amp;IF(AND(L2407=FALSE,M2407=FALSE),",","")&amp;IF(M2407=FALSE,"「残業時間」","")&amp;IF(OR(J2407=FALSE,K2407=FALSE,L2407=FALSE,M2407=FALSE),入力リスト!$K$36,"")&amp;IF(N2407,"",入力リスト!$K$37)))</f>
        <v/>
      </c>
      <c r="H2407" s="215"/>
      <c r="I2407" s="1" t="b">
        <f>IF(B2407="",FALSE,COUNTIF('従業員情報(給与以外)'!$A$4:$A$1000000,$B2407)=0)</f>
        <v>0</v>
      </c>
      <c r="J2407" s="8" t="b">
        <f t="shared" si="185"/>
        <v>1</v>
      </c>
      <c r="K2407" s="8" t="b">
        <f t="shared" si="186"/>
        <v>1</v>
      </c>
      <c r="L2407" s="8" t="b">
        <f t="shared" si="187"/>
        <v>1</v>
      </c>
      <c r="M2407" s="8" t="b">
        <f t="shared" si="188"/>
        <v>1</v>
      </c>
      <c r="N2407" s="1" t="b">
        <f t="shared" si="189"/>
        <v>1</v>
      </c>
      <c r="O2407" s="8" t="str">
        <f>IF(F2407="","",IF($F$2=入力リスト!$H$25,ROUNDDOWN(INT(F2407)+ROUNDDOWN((F2407-INT(F2407))*100,0)/60,2),F2407))</f>
        <v/>
      </c>
      <c r="P2407" s="7"/>
      <c r="Q2407" s="7"/>
    </row>
    <row r="2408" spans="1:17">
      <c r="A2408" s="234"/>
      <c r="B2408" s="235"/>
      <c r="C2408" s="235"/>
      <c r="D2408" s="3"/>
      <c r="E2408" s="235"/>
      <c r="F2408" s="236"/>
      <c r="G2408" s="215" t="str">
        <f>IF(AND($B2408="",OR(B2408&lt;&gt;"",C2408&lt;&gt;"",D2408&lt;&gt;"",E2408&lt;&gt;"",F2408&lt;&gt;"")),入力リスト!$K$34,IF($I2408=TRUE,入力リスト!$K$35,IF(J2408=FALSE,"「毎月の固定給与額」","")&amp;IF(AND(J2408=FALSE,OR(K2408=FALSE,L2408=FALSE,M2408=FALSE)),",","")&amp;IF(K2408=FALSE,"「賞与額等」","")&amp;IF(AND(K2408=FALSE,OR(L2408=FALSE,M2408=FALSE)),",","")&amp;IF(L2408=FALSE,"「残業手当」","")&amp;IF(AND(L2408=FALSE,M2408=FALSE),",","")&amp;IF(M2408=FALSE,"「残業時間」","")&amp;IF(OR(J2408=FALSE,K2408=FALSE,L2408=FALSE,M2408=FALSE),入力リスト!$K$36,"")&amp;IF(N2408,"",入力リスト!$K$37)))</f>
        <v/>
      </c>
      <c r="H2408" s="215"/>
      <c r="I2408" s="1" t="b">
        <f>IF(B2408="",FALSE,COUNTIF('従業員情報(給与以外)'!$A$4:$A$1000000,$B2408)=0)</f>
        <v>0</v>
      </c>
      <c r="J2408" s="8" t="b">
        <f t="shared" si="185"/>
        <v>1</v>
      </c>
      <c r="K2408" s="8" t="b">
        <f t="shared" si="186"/>
        <v>1</v>
      </c>
      <c r="L2408" s="8" t="b">
        <f t="shared" si="187"/>
        <v>1</v>
      </c>
      <c r="M2408" s="8" t="b">
        <f t="shared" si="188"/>
        <v>1</v>
      </c>
      <c r="N2408" s="1" t="b">
        <f t="shared" si="189"/>
        <v>1</v>
      </c>
      <c r="O2408" s="8" t="str">
        <f>IF(F2408="","",IF($F$2=入力リスト!$H$25,ROUNDDOWN(INT(F2408)+ROUNDDOWN((F2408-INT(F2408))*100,0)/60,2),F2408))</f>
        <v/>
      </c>
      <c r="P2408" s="7"/>
      <c r="Q2408" s="7"/>
    </row>
    <row r="2409" spans="1:17">
      <c r="A2409" s="234"/>
      <c r="B2409" s="235"/>
      <c r="C2409" s="235"/>
      <c r="D2409" s="3"/>
      <c r="E2409" s="235"/>
      <c r="F2409" s="236"/>
      <c r="G2409" s="215" t="str">
        <f>IF(AND($B2409="",OR(B2409&lt;&gt;"",C2409&lt;&gt;"",D2409&lt;&gt;"",E2409&lt;&gt;"",F2409&lt;&gt;"")),入力リスト!$K$34,IF($I2409=TRUE,入力リスト!$K$35,IF(J2409=FALSE,"「毎月の固定給与額」","")&amp;IF(AND(J2409=FALSE,OR(K2409=FALSE,L2409=FALSE,M2409=FALSE)),",","")&amp;IF(K2409=FALSE,"「賞与額等」","")&amp;IF(AND(K2409=FALSE,OR(L2409=FALSE,M2409=FALSE)),",","")&amp;IF(L2409=FALSE,"「残業手当」","")&amp;IF(AND(L2409=FALSE,M2409=FALSE),",","")&amp;IF(M2409=FALSE,"「残業時間」","")&amp;IF(OR(J2409=FALSE,K2409=FALSE,L2409=FALSE,M2409=FALSE),入力リスト!$K$36,"")&amp;IF(N2409,"",入力リスト!$K$37)))</f>
        <v/>
      </c>
      <c r="H2409" s="215"/>
      <c r="I2409" s="1" t="b">
        <f>IF(B2409="",FALSE,COUNTIF('従業員情報(給与以外)'!$A$4:$A$1000000,$B2409)=0)</f>
        <v>0</v>
      </c>
      <c r="J2409" s="8" t="b">
        <f t="shared" si="185"/>
        <v>1</v>
      </c>
      <c r="K2409" s="8" t="b">
        <f t="shared" si="186"/>
        <v>1</v>
      </c>
      <c r="L2409" s="8" t="b">
        <f t="shared" si="187"/>
        <v>1</v>
      </c>
      <c r="M2409" s="8" t="b">
        <f t="shared" si="188"/>
        <v>1</v>
      </c>
      <c r="N2409" s="1" t="b">
        <f t="shared" si="189"/>
        <v>1</v>
      </c>
      <c r="O2409" s="8" t="str">
        <f>IF(F2409="","",IF($F$2=入力リスト!$H$25,ROUNDDOWN(INT(F2409)+ROUNDDOWN((F2409-INT(F2409))*100,0)/60,2),F2409))</f>
        <v/>
      </c>
      <c r="P2409" s="7"/>
      <c r="Q2409" s="7"/>
    </row>
    <row r="2410" spans="1:17">
      <c r="A2410" s="234"/>
      <c r="B2410" s="235"/>
      <c r="C2410" s="235"/>
      <c r="D2410" s="3"/>
      <c r="E2410" s="235"/>
      <c r="F2410" s="236"/>
      <c r="G2410" s="215" t="str">
        <f>IF(AND($B2410="",OR(B2410&lt;&gt;"",C2410&lt;&gt;"",D2410&lt;&gt;"",E2410&lt;&gt;"",F2410&lt;&gt;"")),入力リスト!$K$34,IF($I2410=TRUE,入力リスト!$K$35,IF(J2410=FALSE,"「毎月の固定給与額」","")&amp;IF(AND(J2410=FALSE,OR(K2410=FALSE,L2410=FALSE,M2410=FALSE)),",","")&amp;IF(K2410=FALSE,"「賞与額等」","")&amp;IF(AND(K2410=FALSE,OR(L2410=FALSE,M2410=FALSE)),",","")&amp;IF(L2410=FALSE,"「残業手当」","")&amp;IF(AND(L2410=FALSE,M2410=FALSE),",","")&amp;IF(M2410=FALSE,"「残業時間」","")&amp;IF(OR(J2410=FALSE,K2410=FALSE,L2410=FALSE,M2410=FALSE),入力リスト!$K$36,"")&amp;IF(N2410,"",入力リスト!$K$37)))</f>
        <v/>
      </c>
      <c r="H2410" s="215"/>
      <c r="I2410" s="1" t="b">
        <f>IF(B2410="",FALSE,COUNTIF('従業員情報(給与以外)'!$A$4:$A$1000000,$B2410)=0)</f>
        <v>0</v>
      </c>
      <c r="J2410" s="8" t="b">
        <f t="shared" si="185"/>
        <v>1</v>
      </c>
      <c r="K2410" s="8" t="b">
        <f t="shared" si="186"/>
        <v>1</v>
      </c>
      <c r="L2410" s="8" t="b">
        <f t="shared" si="187"/>
        <v>1</v>
      </c>
      <c r="M2410" s="8" t="b">
        <f t="shared" si="188"/>
        <v>1</v>
      </c>
      <c r="N2410" s="1" t="b">
        <f t="shared" si="189"/>
        <v>1</v>
      </c>
      <c r="O2410" s="8" t="str">
        <f>IF(F2410="","",IF($F$2=入力リスト!$H$25,ROUNDDOWN(INT(F2410)+ROUNDDOWN((F2410-INT(F2410))*100,0)/60,2),F2410))</f>
        <v/>
      </c>
      <c r="P2410" s="7"/>
      <c r="Q2410" s="7"/>
    </row>
    <row r="2411" spans="1:17">
      <c r="A2411" s="234"/>
      <c r="B2411" s="235"/>
      <c r="C2411" s="235"/>
      <c r="D2411" s="3"/>
      <c r="E2411" s="235"/>
      <c r="F2411" s="236"/>
      <c r="G2411" s="215" t="str">
        <f>IF(AND($B2411="",OR(B2411&lt;&gt;"",C2411&lt;&gt;"",D2411&lt;&gt;"",E2411&lt;&gt;"",F2411&lt;&gt;"")),入力リスト!$K$34,IF($I2411=TRUE,入力リスト!$K$35,IF(J2411=FALSE,"「毎月の固定給与額」","")&amp;IF(AND(J2411=FALSE,OR(K2411=FALSE,L2411=FALSE,M2411=FALSE)),",","")&amp;IF(K2411=FALSE,"「賞与額等」","")&amp;IF(AND(K2411=FALSE,OR(L2411=FALSE,M2411=FALSE)),",","")&amp;IF(L2411=FALSE,"「残業手当」","")&amp;IF(AND(L2411=FALSE,M2411=FALSE),",","")&amp;IF(M2411=FALSE,"「残業時間」","")&amp;IF(OR(J2411=FALSE,K2411=FALSE,L2411=FALSE,M2411=FALSE),入力リスト!$K$36,"")&amp;IF(N2411,"",入力リスト!$K$37)))</f>
        <v/>
      </c>
      <c r="H2411" s="215"/>
      <c r="I2411" s="1" t="b">
        <f>IF(B2411="",FALSE,COUNTIF('従業員情報(給与以外)'!$A$4:$A$1000000,$B2411)=0)</f>
        <v>0</v>
      </c>
      <c r="J2411" s="8" t="b">
        <f t="shared" si="185"/>
        <v>1</v>
      </c>
      <c r="K2411" s="8" t="b">
        <f t="shared" si="186"/>
        <v>1</v>
      </c>
      <c r="L2411" s="8" t="b">
        <f t="shared" si="187"/>
        <v>1</v>
      </c>
      <c r="M2411" s="8" t="b">
        <f t="shared" si="188"/>
        <v>1</v>
      </c>
      <c r="N2411" s="1" t="b">
        <f t="shared" si="189"/>
        <v>1</v>
      </c>
      <c r="O2411" s="8" t="str">
        <f>IF(F2411="","",IF($F$2=入力リスト!$H$25,ROUNDDOWN(INT(F2411)+ROUNDDOWN((F2411-INT(F2411))*100,0)/60,2),F2411))</f>
        <v/>
      </c>
      <c r="P2411" s="7"/>
      <c r="Q2411" s="7"/>
    </row>
    <row r="2412" spans="1:17">
      <c r="A2412" s="234"/>
      <c r="B2412" s="235"/>
      <c r="C2412" s="235"/>
      <c r="D2412" s="3"/>
      <c r="E2412" s="235"/>
      <c r="F2412" s="236"/>
      <c r="G2412" s="215" t="str">
        <f>IF(AND($B2412="",OR(B2412&lt;&gt;"",C2412&lt;&gt;"",D2412&lt;&gt;"",E2412&lt;&gt;"",F2412&lt;&gt;"")),入力リスト!$K$34,IF($I2412=TRUE,入力リスト!$K$35,IF(J2412=FALSE,"「毎月の固定給与額」","")&amp;IF(AND(J2412=FALSE,OR(K2412=FALSE,L2412=FALSE,M2412=FALSE)),",","")&amp;IF(K2412=FALSE,"「賞与額等」","")&amp;IF(AND(K2412=FALSE,OR(L2412=FALSE,M2412=FALSE)),",","")&amp;IF(L2412=FALSE,"「残業手当」","")&amp;IF(AND(L2412=FALSE,M2412=FALSE),",","")&amp;IF(M2412=FALSE,"「残業時間」","")&amp;IF(OR(J2412=FALSE,K2412=FALSE,L2412=FALSE,M2412=FALSE),入力リスト!$K$36,"")&amp;IF(N2412,"",入力リスト!$K$37)))</f>
        <v/>
      </c>
      <c r="H2412" s="215"/>
      <c r="I2412" s="1" t="b">
        <f>IF(B2412="",FALSE,COUNTIF('従業員情報(給与以外)'!$A$4:$A$1000000,$B2412)=0)</f>
        <v>0</v>
      </c>
      <c r="J2412" s="8" t="b">
        <f t="shared" si="185"/>
        <v>1</v>
      </c>
      <c r="K2412" s="8" t="b">
        <f t="shared" si="186"/>
        <v>1</v>
      </c>
      <c r="L2412" s="8" t="b">
        <f t="shared" si="187"/>
        <v>1</v>
      </c>
      <c r="M2412" s="8" t="b">
        <f t="shared" si="188"/>
        <v>1</v>
      </c>
      <c r="N2412" s="1" t="b">
        <f t="shared" si="189"/>
        <v>1</v>
      </c>
      <c r="O2412" s="8" t="str">
        <f>IF(F2412="","",IF($F$2=入力リスト!$H$25,ROUNDDOWN(INT(F2412)+ROUNDDOWN((F2412-INT(F2412))*100,0)/60,2),F2412))</f>
        <v/>
      </c>
      <c r="P2412" s="7"/>
      <c r="Q2412" s="7"/>
    </row>
    <row r="2413" spans="1:17">
      <c r="A2413" s="234"/>
      <c r="B2413" s="235"/>
      <c r="C2413" s="235"/>
      <c r="D2413" s="3"/>
      <c r="E2413" s="235"/>
      <c r="F2413" s="236"/>
      <c r="G2413" s="215" t="str">
        <f>IF(AND($B2413="",OR(B2413&lt;&gt;"",C2413&lt;&gt;"",D2413&lt;&gt;"",E2413&lt;&gt;"",F2413&lt;&gt;"")),入力リスト!$K$34,IF($I2413=TRUE,入力リスト!$K$35,IF(J2413=FALSE,"「毎月の固定給与額」","")&amp;IF(AND(J2413=FALSE,OR(K2413=FALSE,L2413=FALSE,M2413=FALSE)),",","")&amp;IF(K2413=FALSE,"「賞与額等」","")&amp;IF(AND(K2413=FALSE,OR(L2413=FALSE,M2413=FALSE)),",","")&amp;IF(L2413=FALSE,"「残業手当」","")&amp;IF(AND(L2413=FALSE,M2413=FALSE),",","")&amp;IF(M2413=FALSE,"「残業時間」","")&amp;IF(OR(J2413=FALSE,K2413=FALSE,L2413=FALSE,M2413=FALSE),入力リスト!$K$36,"")&amp;IF(N2413,"",入力リスト!$K$37)))</f>
        <v/>
      </c>
      <c r="H2413" s="215"/>
      <c r="I2413" s="1" t="b">
        <f>IF(B2413="",FALSE,COUNTIF('従業員情報(給与以外)'!$A$4:$A$1000000,$B2413)=0)</f>
        <v>0</v>
      </c>
      <c r="J2413" s="8" t="b">
        <f t="shared" si="185"/>
        <v>1</v>
      </c>
      <c r="K2413" s="8" t="b">
        <f t="shared" si="186"/>
        <v>1</v>
      </c>
      <c r="L2413" s="8" t="b">
        <f t="shared" si="187"/>
        <v>1</v>
      </c>
      <c r="M2413" s="8" t="b">
        <f t="shared" si="188"/>
        <v>1</v>
      </c>
      <c r="N2413" s="1" t="b">
        <f t="shared" si="189"/>
        <v>1</v>
      </c>
      <c r="O2413" s="8" t="str">
        <f>IF(F2413="","",IF($F$2=入力リスト!$H$25,ROUNDDOWN(INT(F2413)+ROUNDDOWN((F2413-INT(F2413))*100,0)/60,2),F2413))</f>
        <v/>
      </c>
      <c r="P2413" s="7"/>
      <c r="Q2413" s="7"/>
    </row>
    <row r="2414" spans="1:17">
      <c r="A2414" s="234"/>
      <c r="B2414" s="235"/>
      <c r="C2414" s="235"/>
      <c r="D2414" s="3"/>
      <c r="E2414" s="235"/>
      <c r="F2414" s="236"/>
      <c r="G2414" s="215" t="str">
        <f>IF(AND($B2414="",OR(B2414&lt;&gt;"",C2414&lt;&gt;"",D2414&lt;&gt;"",E2414&lt;&gt;"",F2414&lt;&gt;"")),入力リスト!$K$34,IF($I2414=TRUE,入力リスト!$K$35,IF(J2414=FALSE,"「毎月の固定給与額」","")&amp;IF(AND(J2414=FALSE,OR(K2414=FALSE,L2414=FALSE,M2414=FALSE)),",","")&amp;IF(K2414=FALSE,"「賞与額等」","")&amp;IF(AND(K2414=FALSE,OR(L2414=FALSE,M2414=FALSE)),",","")&amp;IF(L2414=FALSE,"「残業手当」","")&amp;IF(AND(L2414=FALSE,M2414=FALSE),",","")&amp;IF(M2414=FALSE,"「残業時間」","")&amp;IF(OR(J2414=FALSE,K2414=FALSE,L2414=FALSE,M2414=FALSE),入力リスト!$K$36,"")&amp;IF(N2414,"",入力リスト!$K$37)))</f>
        <v/>
      </c>
      <c r="H2414" s="215"/>
      <c r="I2414" s="1" t="b">
        <f>IF(B2414="",FALSE,COUNTIF('従業員情報(給与以外)'!$A$4:$A$1000000,$B2414)=0)</f>
        <v>0</v>
      </c>
      <c r="J2414" s="8" t="b">
        <f t="shared" si="185"/>
        <v>1</v>
      </c>
      <c r="K2414" s="8" t="b">
        <f t="shared" si="186"/>
        <v>1</v>
      </c>
      <c r="L2414" s="8" t="b">
        <f t="shared" si="187"/>
        <v>1</v>
      </c>
      <c r="M2414" s="8" t="b">
        <f t="shared" si="188"/>
        <v>1</v>
      </c>
      <c r="N2414" s="1" t="b">
        <f t="shared" si="189"/>
        <v>1</v>
      </c>
      <c r="O2414" s="8" t="str">
        <f>IF(F2414="","",IF($F$2=入力リスト!$H$25,ROUNDDOWN(INT(F2414)+ROUNDDOWN((F2414-INT(F2414))*100,0)/60,2),F2414))</f>
        <v/>
      </c>
      <c r="P2414" s="7"/>
      <c r="Q2414" s="7"/>
    </row>
    <row r="2415" spans="1:17">
      <c r="A2415" s="234"/>
      <c r="B2415" s="235"/>
      <c r="C2415" s="235"/>
      <c r="D2415" s="3"/>
      <c r="E2415" s="235"/>
      <c r="F2415" s="236"/>
      <c r="G2415" s="215" t="str">
        <f>IF(AND($B2415="",OR(B2415&lt;&gt;"",C2415&lt;&gt;"",D2415&lt;&gt;"",E2415&lt;&gt;"",F2415&lt;&gt;"")),入力リスト!$K$34,IF($I2415=TRUE,入力リスト!$K$35,IF(J2415=FALSE,"「毎月の固定給与額」","")&amp;IF(AND(J2415=FALSE,OR(K2415=FALSE,L2415=FALSE,M2415=FALSE)),",","")&amp;IF(K2415=FALSE,"「賞与額等」","")&amp;IF(AND(K2415=FALSE,OR(L2415=FALSE,M2415=FALSE)),",","")&amp;IF(L2415=FALSE,"「残業手当」","")&amp;IF(AND(L2415=FALSE,M2415=FALSE),",","")&amp;IF(M2415=FALSE,"「残業時間」","")&amp;IF(OR(J2415=FALSE,K2415=FALSE,L2415=FALSE,M2415=FALSE),入力リスト!$K$36,"")&amp;IF(N2415,"",入力リスト!$K$37)))</f>
        <v/>
      </c>
      <c r="H2415" s="215"/>
      <c r="I2415" s="1" t="b">
        <f>IF(B2415="",FALSE,COUNTIF('従業員情報(給与以外)'!$A$4:$A$1000000,$B2415)=0)</f>
        <v>0</v>
      </c>
      <c r="J2415" s="8" t="b">
        <f t="shared" si="185"/>
        <v>1</v>
      </c>
      <c r="K2415" s="8" t="b">
        <f t="shared" si="186"/>
        <v>1</v>
      </c>
      <c r="L2415" s="8" t="b">
        <f t="shared" si="187"/>
        <v>1</v>
      </c>
      <c r="M2415" s="8" t="b">
        <f t="shared" si="188"/>
        <v>1</v>
      </c>
      <c r="N2415" s="1" t="b">
        <f t="shared" si="189"/>
        <v>1</v>
      </c>
      <c r="O2415" s="8" t="str">
        <f>IF(F2415="","",IF($F$2=入力リスト!$H$25,ROUNDDOWN(INT(F2415)+ROUNDDOWN((F2415-INT(F2415))*100,0)/60,2),F2415))</f>
        <v/>
      </c>
      <c r="P2415" s="7"/>
      <c r="Q2415" s="7"/>
    </row>
    <row r="2416" spans="1:17">
      <c r="A2416" s="234"/>
      <c r="B2416" s="235"/>
      <c r="C2416" s="235"/>
      <c r="D2416" s="3"/>
      <c r="E2416" s="235"/>
      <c r="F2416" s="236"/>
      <c r="G2416" s="215" t="str">
        <f>IF(AND($B2416="",OR(B2416&lt;&gt;"",C2416&lt;&gt;"",D2416&lt;&gt;"",E2416&lt;&gt;"",F2416&lt;&gt;"")),入力リスト!$K$34,IF($I2416=TRUE,入力リスト!$K$35,IF(J2416=FALSE,"「毎月の固定給与額」","")&amp;IF(AND(J2416=FALSE,OR(K2416=FALSE,L2416=FALSE,M2416=FALSE)),",","")&amp;IF(K2416=FALSE,"「賞与額等」","")&amp;IF(AND(K2416=FALSE,OR(L2416=FALSE,M2416=FALSE)),",","")&amp;IF(L2416=FALSE,"「残業手当」","")&amp;IF(AND(L2416=FALSE,M2416=FALSE),",","")&amp;IF(M2416=FALSE,"「残業時間」","")&amp;IF(OR(J2416=FALSE,K2416=FALSE,L2416=FALSE,M2416=FALSE),入力リスト!$K$36,"")&amp;IF(N2416,"",入力リスト!$K$37)))</f>
        <v/>
      </c>
      <c r="H2416" s="215"/>
      <c r="I2416" s="1" t="b">
        <f>IF(B2416="",FALSE,COUNTIF('従業員情報(給与以外)'!$A$4:$A$1000000,$B2416)=0)</f>
        <v>0</v>
      </c>
      <c r="J2416" s="8" t="b">
        <f t="shared" si="185"/>
        <v>1</v>
      </c>
      <c r="K2416" s="8" t="b">
        <f t="shared" si="186"/>
        <v>1</v>
      </c>
      <c r="L2416" s="8" t="b">
        <f t="shared" si="187"/>
        <v>1</v>
      </c>
      <c r="M2416" s="8" t="b">
        <f t="shared" si="188"/>
        <v>1</v>
      </c>
      <c r="N2416" s="1" t="b">
        <f t="shared" si="189"/>
        <v>1</v>
      </c>
      <c r="O2416" s="8" t="str">
        <f>IF(F2416="","",IF($F$2=入力リスト!$H$25,ROUNDDOWN(INT(F2416)+ROUNDDOWN((F2416-INT(F2416))*100,0)/60,2),F2416))</f>
        <v/>
      </c>
      <c r="P2416" s="7"/>
      <c r="Q2416" s="7"/>
    </row>
    <row r="2417" spans="1:17">
      <c r="A2417" s="234"/>
      <c r="B2417" s="235"/>
      <c r="C2417" s="235"/>
      <c r="D2417" s="3"/>
      <c r="E2417" s="235"/>
      <c r="F2417" s="236"/>
      <c r="G2417" s="215" t="str">
        <f>IF(AND($B2417="",OR(B2417&lt;&gt;"",C2417&lt;&gt;"",D2417&lt;&gt;"",E2417&lt;&gt;"",F2417&lt;&gt;"")),入力リスト!$K$34,IF($I2417=TRUE,入力リスト!$K$35,IF(J2417=FALSE,"「毎月の固定給与額」","")&amp;IF(AND(J2417=FALSE,OR(K2417=FALSE,L2417=FALSE,M2417=FALSE)),",","")&amp;IF(K2417=FALSE,"「賞与額等」","")&amp;IF(AND(K2417=FALSE,OR(L2417=FALSE,M2417=FALSE)),",","")&amp;IF(L2417=FALSE,"「残業手当」","")&amp;IF(AND(L2417=FALSE,M2417=FALSE),",","")&amp;IF(M2417=FALSE,"「残業時間」","")&amp;IF(OR(J2417=FALSE,K2417=FALSE,L2417=FALSE,M2417=FALSE),入力リスト!$K$36,"")&amp;IF(N2417,"",入力リスト!$K$37)))</f>
        <v/>
      </c>
      <c r="H2417" s="215"/>
      <c r="I2417" s="1" t="b">
        <f>IF(B2417="",FALSE,COUNTIF('従業員情報(給与以外)'!$A$4:$A$1000000,$B2417)=0)</f>
        <v>0</v>
      </c>
      <c r="J2417" s="8" t="b">
        <f t="shared" si="185"/>
        <v>1</v>
      </c>
      <c r="K2417" s="8" t="b">
        <f t="shared" si="186"/>
        <v>1</v>
      </c>
      <c r="L2417" s="8" t="b">
        <f t="shared" si="187"/>
        <v>1</v>
      </c>
      <c r="M2417" s="8" t="b">
        <f t="shared" si="188"/>
        <v>1</v>
      </c>
      <c r="N2417" s="1" t="b">
        <f t="shared" si="189"/>
        <v>1</v>
      </c>
      <c r="O2417" s="8" t="str">
        <f>IF(F2417="","",IF($F$2=入力リスト!$H$25,ROUNDDOWN(INT(F2417)+ROUNDDOWN((F2417-INT(F2417))*100,0)/60,2),F2417))</f>
        <v/>
      </c>
      <c r="P2417" s="7"/>
      <c r="Q2417" s="7"/>
    </row>
    <row r="2418" spans="1:17">
      <c r="A2418" s="234"/>
      <c r="B2418" s="235"/>
      <c r="C2418" s="235"/>
      <c r="D2418" s="3"/>
      <c r="E2418" s="235"/>
      <c r="F2418" s="236"/>
      <c r="G2418" s="215" t="str">
        <f>IF(AND($B2418="",OR(B2418&lt;&gt;"",C2418&lt;&gt;"",D2418&lt;&gt;"",E2418&lt;&gt;"",F2418&lt;&gt;"")),入力リスト!$K$34,IF($I2418=TRUE,入力リスト!$K$35,IF(J2418=FALSE,"「毎月の固定給与額」","")&amp;IF(AND(J2418=FALSE,OR(K2418=FALSE,L2418=FALSE,M2418=FALSE)),",","")&amp;IF(K2418=FALSE,"「賞与額等」","")&amp;IF(AND(K2418=FALSE,OR(L2418=FALSE,M2418=FALSE)),",","")&amp;IF(L2418=FALSE,"「残業手当」","")&amp;IF(AND(L2418=FALSE,M2418=FALSE),",","")&amp;IF(M2418=FALSE,"「残業時間」","")&amp;IF(OR(J2418=FALSE,K2418=FALSE,L2418=FALSE,M2418=FALSE),入力リスト!$K$36,"")&amp;IF(N2418,"",入力リスト!$K$37)))</f>
        <v/>
      </c>
      <c r="H2418" s="215"/>
      <c r="I2418" s="1" t="b">
        <f>IF(B2418="",FALSE,COUNTIF('従業員情報(給与以外)'!$A$4:$A$1000000,$B2418)=0)</f>
        <v>0</v>
      </c>
      <c r="J2418" s="8" t="b">
        <f t="shared" ref="J2418:J2481" si="190">OR(C2418="",ISNUMBER(C2418))</f>
        <v>1</v>
      </c>
      <c r="K2418" s="8" t="b">
        <f t="shared" ref="K2418:K2481" si="191">OR(D2418="",ISNUMBER(D2418))</f>
        <v>1</v>
      </c>
      <c r="L2418" s="8" t="b">
        <f t="shared" ref="L2418:L2481" si="192">OR(E2418="",ISNUMBER(E2418))</f>
        <v>1</v>
      </c>
      <c r="M2418" s="8" t="b">
        <f t="shared" ref="M2418:M2481" si="193">OR(F2418="",ISNUMBER(F2418))</f>
        <v>1</v>
      </c>
      <c r="N2418" s="1" t="b">
        <f t="shared" si="189"/>
        <v>1</v>
      </c>
      <c r="O2418" s="8" t="str">
        <f>IF(F2418="","",IF($F$2=入力リスト!$H$25,ROUNDDOWN(INT(F2418)+ROUNDDOWN((F2418-INT(F2418))*100,0)/60,2),F2418))</f>
        <v/>
      </c>
      <c r="P2418" s="7"/>
      <c r="Q2418" s="7"/>
    </row>
    <row r="2419" spans="1:17">
      <c r="A2419" s="234"/>
      <c r="B2419" s="235"/>
      <c r="C2419" s="235"/>
      <c r="D2419" s="3"/>
      <c r="E2419" s="235"/>
      <c r="F2419" s="236"/>
      <c r="G2419" s="215" t="str">
        <f>IF(AND($B2419="",OR(B2419&lt;&gt;"",C2419&lt;&gt;"",D2419&lt;&gt;"",E2419&lt;&gt;"",F2419&lt;&gt;"")),入力リスト!$K$34,IF($I2419=TRUE,入力リスト!$K$35,IF(J2419=FALSE,"「毎月の固定給与額」","")&amp;IF(AND(J2419=FALSE,OR(K2419=FALSE,L2419=FALSE,M2419=FALSE)),",","")&amp;IF(K2419=FALSE,"「賞与額等」","")&amp;IF(AND(K2419=FALSE,OR(L2419=FALSE,M2419=FALSE)),",","")&amp;IF(L2419=FALSE,"「残業手当」","")&amp;IF(AND(L2419=FALSE,M2419=FALSE),",","")&amp;IF(M2419=FALSE,"「残業時間」","")&amp;IF(OR(J2419=FALSE,K2419=FALSE,L2419=FALSE,M2419=FALSE),入力リスト!$K$36,"")&amp;IF(N2419,"",入力リスト!$K$37)))</f>
        <v/>
      </c>
      <c r="H2419" s="215"/>
      <c r="I2419" s="1" t="b">
        <f>IF(B2419="",FALSE,COUNTIF('従業員情報(給与以外)'!$A$4:$A$1000000,$B2419)=0)</f>
        <v>0</v>
      </c>
      <c r="J2419" s="8" t="b">
        <f t="shared" si="190"/>
        <v>1</v>
      </c>
      <c r="K2419" s="8" t="b">
        <f t="shared" si="191"/>
        <v>1</v>
      </c>
      <c r="L2419" s="8" t="b">
        <f t="shared" si="192"/>
        <v>1</v>
      </c>
      <c r="M2419" s="8" t="b">
        <f t="shared" si="193"/>
        <v>1</v>
      </c>
      <c r="N2419" s="1" t="b">
        <f t="shared" si="189"/>
        <v>1</v>
      </c>
      <c r="O2419" s="8" t="str">
        <f>IF(F2419="","",IF($F$2=入力リスト!$H$25,ROUNDDOWN(INT(F2419)+ROUNDDOWN((F2419-INT(F2419))*100,0)/60,2),F2419))</f>
        <v/>
      </c>
      <c r="P2419" s="7"/>
      <c r="Q2419" s="7"/>
    </row>
    <row r="2420" spans="1:17">
      <c r="A2420" s="234"/>
      <c r="B2420" s="235"/>
      <c r="C2420" s="235"/>
      <c r="D2420" s="3"/>
      <c r="E2420" s="235"/>
      <c r="F2420" s="236"/>
      <c r="G2420" s="215" t="str">
        <f>IF(AND($B2420="",OR(B2420&lt;&gt;"",C2420&lt;&gt;"",D2420&lt;&gt;"",E2420&lt;&gt;"",F2420&lt;&gt;"")),入力リスト!$K$34,IF($I2420=TRUE,入力リスト!$K$35,IF(J2420=FALSE,"「毎月の固定給与額」","")&amp;IF(AND(J2420=FALSE,OR(K2420=FALSE,L2420=FALSE,M2420=FALSE)),",","")&amp;IF(K2420=FALSE,"「賞与額等」","")&amp;IF(AND(K2420=FALSE,OR(L2420=FALSE,M2420=FALSE)),",","")&amp;IF(L2420=FALSE,"「残業手当」","")&amp;IF(AND(L2420=FALSE,M2420=FALSE),",","")&amp;IF(M2420=FALSE,"「残業時間」","")&amp;IF(OR(J2420=FALSE,K2420=FALSE,L2420=FALSE,M2420=FALSE),入力リスト!$K$36,"")&amp;IF(N2420,"",入力リスト!$K$37)))</f>
        <v/>
      </c>
      <c r="H2420" s="215"/>
      <c r="I2420" s="1" t="b">
        <f>IF(B2420="",FALSE,COUNTIF('従業員情報(給与以外)'!$A$4:$A$1000000,$B2420)=0)</f>
        <v>0</v>
      </c>
      <c r="J2420" s="8" t="b">
        <f t="shared" si="190"/>
        <v>1</v>
      </c>
      <c r="K2420" s="8" t="b">
        <f t="shared" si="191"/>
        <v>1</v>
      </c>
      <c r="L2420" s="8" t="b">
        <f t="shared" si="192"/>
        <v>1</v>
      </c>
      <c r="M2420" s="8" t="b">
        <f t="shared" si="193"/>
        <v>1</v>
      </c>
      <c r="N2420" s="1" t="b">
        <f t="shared" si="189"/>
        <v>1</v>
      </c>
      <c r="O2420" s="8" t="str">
        <f>IF(F2420="","",IF($F$2=入力リスト!$H$25,ROUNDDOWN(INT(F2420)+ROUNDDOWN((F2420-INT(F2420))*100,0)/60,2),F2420))</f>
        <v/>
      </c>
      <c r="P2420" s="7"/>
      <c r="Q2420" s="7"/>
    </row>
    <row r="2421" spans="1:17">
      <c r="A2421" s="234"/>
      <c r="B2421" s="235"/>
      <c r="C2421" s="235"/>
      <c r="D2421" s="3"/>
      <c r="E2421" s="235"/>
      <c r="F2421" s="236"/>
      <c r="G2421" s="215" t="str">
        <f>IF(AND($B2421="",OR(B2421&lt;&gt;"",C2421&lt;&gt;"",D2421&lt;&gt;"",E2421&lt;&gt;"",F2421&lt;&gt;"")),入力リスト!$K$34,IF($I2421=TRUE,入力リスト!$K$35,IF(J2421=FALSE,"「毎月の固定給与額」","")&amp;IF(AND(J2421=FALSE,OR(K2421=FALSE,L2421=FALSE,M2421=FALSE)),",","")&amp;IF(K2421=FALSE,"「賞与額等」","")&amp;IF(AND(K2421=FALSE,OR(L2421=FALSE,M2421=FALSE)),",","")&amp;IF(L2421=FALSE,"「残業手当」","")&amp;IF(AND(L2421=FALSE,M2421=FALSE),",","")&amp;IF(M2421=FALSE,"「残業時間」","")&amp;IF(OR(J2421=FALSE,K2421=FALSE,L2421=FALSE,M2421=FALSE),入力リスト!$K$36,"")&amp;IF(N2421,"",入力リスト!$K$37)))</f>
        <v/>
      </c>
      <c r="H2421" s="215"/>
      <c r="I2421" s="1" t="b">
        <f>IF(B2421="",FALSE,COUNTIF('従業員情報(給与以外)'!$A$4:$A$1000000,$B2421)=0)</f>
        <v>0</v>
      </c>
      <c r="J2421" s="8" t="b">
        <f t="shared" si="190"/>
        <v>1</v>
      </c>
      <c r="K2421" s="8" t="b">
        <f t="shared" si="191"/>
        <v>1</v>
      </c>
      <c r="L2421" s="8" t="b">
        <f t="shared" si="192"/>
        <v>1</v>
      </c>
      <c r="M2421" s="8" t="b">
        <f t="shared" si="193"/>
        <v>1</v>
      </c>
      <c r="N2421" s="1" t="b">
        <f t="shared" si="189"/>
        <v>1</v>
      </c>
      <c r="O2421" s="8" t="str">
        <f>IF(F2421="","",IF($F$2=入力リスト!$H$25,ROUNDDOWN(INT(F2421)+ROUNDDOWN((F2421-INT(F2421))*100,0)/60,2),F2421))</f>
        <v/>
      </c>
      <c r="P2421" s="7"/>
      <c r="Q2421" s="7"/>
    </row>
    <row r="2422" spans="1:17">
      <c r="A2422" s="234"/>
      <c r="B2422" s="235"/>
      <c r="C2422" s="235"/>
      <c r="D2422" s="3"/>
      <c r="E2422" s="235"/>
      <c r="F2422" s="236"/>
      <c r="G2422" s="215" t="str">
        <f>IF(AND($B2422="",OR(B2422&lt;&gt;"",C2422&lt;&gt;"",D2422&lt;&gt;"",E2422&lt;&gt;"",F2422&lt;&gt;"")),入力リスト!$K$34,IF($I2422=TRUE,入力リスト!$K$35,IF(J2422=FALSE,"「毎月の固定給与額」","")&amp;IF(AND(J2422=FALSE,OR(K2422=FALSE,L2422=FALSE,M2422=FALSE)),",","")&amp;IF(K2422=FALSE,"「賞与額等」","")&amp;IF(AND(K2422=FALSE,OR(L2422=FALSE,M2422=FALSE)),",","")&amp;IF(L2422=FALSE,"「残業手当」","")&amp;IF(AND(L2422=FALSE,M2422=FALSE),",","")&amp;IF(M2422=FALSE,"「残業時間」","")&amp;IF(OR(J2422=FALSE,K2422=FALSE,L2422=FALSE,M2422=FALSE),入力リスト!$K$36,"")&amp;IF(N2422,"",入力リスト!$K$37)))</f>
        <v/>
      </c>
      <c r="H2422" s="215"/>
      <c r="I2422" s="1" t="b">
        <f>IF(B2422="",FALSE,COUNTIF('従業員情報(給与以外)'!$A$4:$A$1000000,$B2422)=0)</f>
        <v>0</v>
      </c>
      <c r="J2422" s="8" t="b">
        <f t="shared" si="190"/>
        <v>1</v>
      </c>
      <c r="K2422" s="8" t="b">
        <f t="shared" si="191"/>
        <v>1</v>
      </c>
      <c r="L2422" s="8" t="b">
        <f t="shared" si="192"/>
        <v>1</v>
      </c>
      <c r="M2422" s="8" t="b">
        <f t="shared" si="193"/>
        <v>1</v>
      </c>
      <c r="N2422" s="1" t="b">
        <f t="shared" si="189"/>
        <v>1</v>
      </c>
      <c r="O2422" s="8" t="str">
        <f>IF(F2422="","",IF($F$2=入力リスト!$H$25,ROUNDDOWN(INT(F2422)+ROUNDDOWN((F2422-INT(F2422))*100,0)/60,2),F2422))</f>
        <v/>
      </c>
      <c r="P2422" s="7"/>
      <c r="Q2422" s="7"/>
    </row>
    <row r="2423" spans="1:17">
      <c r="A2423" s="234"/>
      <c r="B2423" s="235"/>
      <c r="C2423" s="235"/>
      <c r="D2423" s="3"/>
      <c r="E2423" s="235"/>
      <c r="F2423" s="236"/>
      <c r="G2423" s="215" t="str">
        <f>IF(AND($B2423="",OR(B2423&lt;&gt;"",C2423&lt;&gt;"",D2423&lt;&gt;"",E2423&lt;&gt;"",F2423&lt;&gt;"")),入力リスト!$K$34,IF($I2423=TRUE,入力リスト!$K$35,IF(J2423=FALSE,"「毎月の固定給与額」","")&amp;IF(AND(J2423=FALSE,OR(K2423=FALSE,L2423=FALSE,M2423=FALSE)),",","")&amp;IF(K2423=FALSE,"「賞与額等」","")&amp;IF(AND(K2423=FALSE,OR(L2423=FALSE,M2423=FALSE)),",","")&amp;IF(L2423=FALSE,"「残業手当」","")&amp;IF(AND(L2423=FALSE,M2423=FALSE),",","")&amp;IF(M2423=FALSE,"「残業時間」","")&amp;IF(OR(J2423=FALSE,K2423=FALSE,L2423=FALSE,M2423=FALSE),入力リスト!$K$36,"")&amp;IF(N2423,"",入力リスト!$K$37)))</f>
        <v/>
      </c>
      <c r="H2423" s="215"/>
      <c r="I2423" s="1" t="b">
        <f>IF(B2423="",FALSE,COUNTIF('従業員情報(給与以外)'!$A$4:$A$1000000,$B2423)=0)</f>
        <v>0</v>
      </c>
      <c r="J2423" s="8" t="b">
        <f t="shared" si="190"/>
        <v>1</v>
      </c>
      <c r="K2423" s="8" t="b">
        <f t="shared" si="191"/>
        <v>1</v>
      </c>
      <c r="L2423" s="8" t="b">
        <f t="shared" si="192"/>
        <v>1</v>
      </c>
      <c r="M2423" s="8" t="b">
        <f t="shared" si="193"/>
        <v>1</v>
      </c>
      <c r="N2423" s="1" t="b">
        <f t="shared" si="189"/>
        <v>1</v>
      </c>
      <c r="O2423" s="8" t="str">
        <f>IF(F2423="","",IF($F$2=入力リスト!$H$25,ROUNDDOWN(INT(F2423)+ROUNDDOWN((F2423-INT(F2423))*100,0)/60,2),F2423))</f>
        <v/>
      </c>
      <c r="P2423" s="7"/>
      <c r="Q2423" s="7"/>
    </row>
    <row r="2424" spans="1:17">
      <c r="A2424" s="234"/>
      <c r="B2424" s="235"/>
      <c r="C2424" s="235"/>
      <c r="D2424" s="3"/>
      <c r="E2424" s="235"/>
      <c r="F2424" s="236"/>
      <c r="G2424" s="215" t="str">
        <f>IF(AND($B2424="",OR(B2424&lt;&gt;"",C2424&lt;&gt;"",D2424&lt;&gt;"",E2424&lt;&gt;"",F2424&lt;&gt;"")),入力リスト!$K$34,IF($I2424=TRUE,入力リスト!$K$35,IF(J2424=FALSE,"「毎月の固定給与額」","")&amp;IF(AND(J2424=FALSE,OR(K2424=FALSE,L2424=FALSE,M2424=FALSE)),",","")&amp;IF(K2424=FALSE,"「賞与額等」","")&amp;IF(AND(K2424=FALSE,OR(L2424=FALSE,M2424=FALSE)),",","")&amp;IF(L2424=FALSE,"「残業手当」","")&amp;IF(AND(L2424=FALSE,M2424=FALSE),",","")&amp;IF(M2424=FALSE,"「残業時間」","")&amp;IF(OR(J2424=FALSE,K2424=FALSE,L2424=FALSE,M2424=FALSE),入力リスト!$K$36,"")&amp;IF(N2424,"",入力リスト!$K$37)))</f>
        <v/>
      </c>
      <c r="H2424" s="215"/>
      <c r="I2424" s="1" t="b">
        <f>IF(B2424="",FALSE,COUNTIF('従業員情報(給与以外)'!$A$4:$A$1000000,$B2424)=0)</f>
        <v>0</v>
      </c>
      <c r="J2424" s="8" t="b">
        <f t="shared" si="190"/>
        <v>1</v>
      </c>
      <c r="K2424" s="8" t="b">
        <f t="shared" si="191"/>
        <v>1</v>
      </c>
      <c r="L2424" s="8" t="b">
        <f t="shared" si="192"/>
        <v>1</v>
      </c>
      <c r="M2424" s="8" t="b">
        <f t="shared" si="193"/>
        <v>1</v>
      </c>
      <c r="N2424" s="1" t="b">
        <f t="shared" si="189"/>
        <v>1</v>
      </c>
      <c r="O2424" s="8" t="str">
        <f>IF(F2424="","",IF($F$2=入力リスト!$H$25,ROUNDDOWN(INT(F2424)+ROUNDDOWN((F2424-INT(F2424))*100,0)/60,2),F2424))</f>
        <v/>
      </c>
      <c r="P2424" s="7"/>
      <c r="Q2424" s="7"/>
    </row>
    <row r="2425" spans="1:17">
      <c r="A2425" s="234"/>
      <c r="B2425" s="235"/>
      <c r="C2425" s="235"/>
      <c r="D2425" s="3"/>
      <c r="E2425" s="235"/>
      <c r="F2425" s="236"/>
      <c r="G2425" s="215" t="str">
        <f>IF(AND($B2425="",OR(B2425&lt;&gt;"",C2425&lt;&gt;"",D2425&lt;&gt;"",E2425&lt;&gt;"",F2425&lt;&gt;"")),入力リスト!$K$34,IF($I2425=TRUE,入力リスト!$K$35,IF(J2425=FALSE,"「毎月の固定給与額」","")&amp;IF(AND(J2425=FALSE,OR(K2425=FALSE,L2425=FALSE,M2425=FALSE)),",","")&amp;IF(K2425=FALSE,"「賞与額等」","")&amp;IF(AND(K2425=FALSE,OR(L2425=FALSE,M2425=FALSE)),",","")&amp;IF(L2425=FALSE,"「残業手当」","")&amp;IF(AND(L2425=FALSE,M2425=FALSE),",","")&amp;IF(M2425=FALSE,"「残業時間」","")&amp;IF(OR(J2425=FALSE,K2425=FALSE,L2425=FALSE,M2425=FALSE),入力リスト!$K$36,"")&amp;IF(N2425,"",入力リスト!$K$37)))</f>
        <v/>
      </c>
      <c r="H2425" s="215"/>
      <c r="I2425" s="1" t="b">
        <f>IF(B2425="",FALSE,COUNTIF('従業員情報(給与以外)'!$A$4:$A$1000000,$B2425)=0)</f>
        <v>0</v>
      </c>
      <c r="J2425" s="8" t="b">
        <f t="shared" si="190"/>
        <v>1</v>
      </c>
      <c r="K2425" s="8" t="b">
        <f t="shared" si="191"/>
        <v>1</v>
      </c>
      <c r="L2425" s="8" t="b">
        <f t="shared" si="192"/>
        <v>1</v>
      </c>
      <c r="M2425" s="8" t="b">
        <f t="shared" si="193"/>
        <v>1</v>
      </c>
      <c r="N2425" s="1" t="b">
        <f t="shared" si="189"/>
        <v>1</v>
      </c>
      <c r="O2425" s="8" t="str">
        <f>IF(F2425="","",IF($F$2=入力リスト!$H$25,ROUNDDOWN(INT(F2425)+ROUNDDOWN((F2425-INT(F2425))*100,0)/60,2),F2425))</f>
        <v/>
      </c>
      <c r="P2425" s="7"/>
      <c r="Q2425" s="7"/>
    </row>
    <row r="2426" spans="1:17">
      <c r="A2426" s="234"/>
      <c r="B2426" s="235"/>
      <c r="C2426" s="235"/>
      <c r="D2426" s="3"/>
      <c r="E2426" s="235"/>
      <c r="F2426" s="236"/>
      <c r="G2426" s="215" t="str">
        <f>IF(AND($B2426="",OR(B2426&lt;&gt;"",C2426&lt;&gt;"",D2426&lt;&gt;"",E2426&lt;&gt;"",F2426&lt;&gt;"")),入力リスト!$K$34,IF($I2426=TRUE,入力リスト!$K$35,IF(J2426=FALSE,"「毎月の固定給与額」","")&amp;IF(AND(J2426=FALSE,OR(K2426=FALSE,L2426=FALSE,M2426=FALSE)),",","")&amp;IF(K2426=FALSE,"「賞与額等」","")&amp;IF(AND(K2426=FALSE,OR(L2426=FALSE,M2426=FALSE)),",","")&amp;IF(L2426=FALSE,"「残業手当」","")&amp;IF(AND(L2426=FALSE,M2426=FALSE),",","")&amp;IF(M2426=FALSE,"「残業時間」","")&amp;IF(OR(J2426=FALSE,K2426=FALSE,L2426=FALSE,M2426=FALSE),入力リスト!$K$36,"")&amp;IF(N2426,"",入力リスト!$K$37)))</f>
        <v/>
      </c>
      <c r="H2426" s="215"/>
      <c r="I2426" s="1" t="b">
        <f>IF(B2426="",FALSE,COUNTIF('従業員情報(給与以外)'!$A$4:$A$1000000,$B2426)=0)</f>
        <v>0</v>
      </c>
      <c r="J2426" s="8" t="b">
        <f t="shared" si="190"/>
        <v>1</v>
      </c>
      <c r="K2426" s="8" t="b">
        <f t="shared" si="191"/>
        <v>1</v>
      </c>
      <c r="L2426" s="8" t="b">
        <f t="shared" si="192"/>
        <v>1</v>
      </c>
      <c r="M2426" s="8" t="b">
        <f t="shared" si="193"/>
        <v>1</v>
      </c>
      <c r="N2426" s="1" t="b">
        <f t="shared" si="189"/>
        <v>1</v>
      </c>
      <c r="O2426" s="8" t="str">
        <f>IF(F2426="","",IF($F$2=入力リスト!$H$25,ROUNDDOWN(INT(F2426)+ROUNDDOWN((F2426-INT(F2426))*100,0)/60,2),F2426))</f>
        <v/>
      </c>
      <c r="P2426" s="7"/>
      <c r="Q2426" s="7"/>
    </row>
    <row r="2427" spans="1:17">
      <c r="A2427" s="234"/>
      <c r="B2427" s="235"/>
      <c r="C2427" s="235"/>
      <c r="D2427" s="3"/>
      <c r="E2427" s="235"/>
      <c r="F2427" s="236"/>
      <c r="G2427" s="215" t="str">
        <f>IF(AND($B2427="",OR(B2427&lt;&gt;"",C2427&lt;&gt;"",D2427&lt;&gt;"",E2427&lt;&gt;"",F2427&lt;&gt;"")),入力リスト!$K$34,IF($I2427=TRUE,入力リスト!$K$35,IF(J2427=FALSE,"「毎月の固定給与額」","")&amp;IF(AND(J2427=FALSE,OR(K2427=FALSE,L2427=FALSE,M2427=FALSE)),",","")&amp;IF(K2427=FALSE,"「賞与額等」","")&amp;IF(AND(K2427=FALSE,OR(L2427=FALSE,M2427=FALSE)),",","")&amp;IF(L2427=FALSE,"「残業手当」","")&amp;IF(AND(L2427=FALSE,M2427=FALSE),",","")&amp;IF(M2427=FALSE,"「残業時間」","")&amp;IF(OR(J2427=FALSE,K2427=FALSE,L2427=FALSE,M2427=FALSE),入力リスト!$K$36,"")&amp;IF(N2427,"",入力リスト!$K$37)))</f>
        <v/>
      </c>
      <c r="H2427" s="215"/>
      <c r="I2427" s="1" t="b">
        <f>IF(B2427="",FALSE,COUNTIF('従業員情報(給与以外)'!$A$4:$A$1000000,$B2427)=0)</f>
        <v>0</v>
      </c>
      <c r="J2427" s="8" t="b">
        <f t="shared" si="190"/>
        <v>1</v>
      </c>
      <c r="K2427" s="8" t="b">
        <f t="shared" si="191"/>
        <v>1</v>
      </c>
      <c r="L2427" s="8" t="b">
        <f t="shared" si="192"/>
        <v>1</v>
      </c>
      <c r="M2427" s="8" t="b">
        <f t="shared" si="193"/>
        <v>1</v>
      </c>
      <c r="N2427" s="1" t="b">
        <f t="shared" si="189"/>
        <v>1</v>
      </c>
      <c r="O2427" s="8" t="str">
        <f>IF(F2427="","",IF($F$2=入力リスト!$H$25,ROUNDDOWN(INT(F2427)+ROUNDDOWN((F2427-INT(F2427))*100,0)/60,2),F2427))</f>
        <v/>
      </c>
      <c r="P2427" s="7"/>
      <c r="Q2427" s="7"/>
    </row>
    <row r="2428" spans="1:17">
      <c r="A2428" s="234"/>
      <c r="B2428" s="235"/>
      <c r="C2428" s="235"/>
      <c r="D2428" s="3"/>
      <c r="E2428" s="235"/>
      <c r="F2428" s="236"/>
      <c r="G2428" s="215" t="str">
        <f>IF(AND($B2428="",OR(B2428&lt;&gt;"",C2428&lt;&gt;"",D2428&lt;&gt;"",E2428&lt;&gt;"",F2428&lt;&gt;"")),入力リスト!$K$34,IF($I2428=TRUE,入力リスト!$K$35,IF(J2428=FALSE,"「毎月の固定給与額」","")&amp;IF(AND(J2428=FALSE,OR(K2428=FALSE,L2428=FALSE,M2428=FALSE)),",","")&amp;IF(K2428=FALSE,"「賞与額等」","")&amp;IF(AND(K2428=FALSE,OR(L2428=FALSE,M2428=FALSE)),",","")&amp;IF(L2428=FALSE,"「残業手当」","")&amp;IF(AND(L2428=FALSE,M2428=FALSE),",","")&amp;IF(M2428=FALSE,"「残業時間」","")&amp;IF(OR(J2428=FALSE,K2428=FALSE,L2428=FALSE,M2428=FALSE),入力リスト!$K$36,"")&amp;IF(N2428,"",入力リスト!$K$37)))</f>
        <v/>
      </c>
      <c r="H2428" s="215"/>
      <c r="I2428" s="1" t="b">
        <f>IF(B2428="",FALSE,COUNTIF('従業員情報(給与以外)'!$A$4:$A$1000000,$B2428)=0)</f>
        <v>0</v>
      </c>
      <c r="J2428" s="8" t="b">
        <f t="shared" si="190"/>
        <v>1</v>
      </c>
      <c r="K2428" s="8" t="b">
        <f t="shared" si="191"/>
        <v>1</v>
      </c>
      <c r="L2428" s="8" t="b">
        <f t="shared" si="192"/>
        <v>1</v>
      </c>
      <c r="M2428" s="8" t="b">
        <f t="shared" si="193"/>
        <v>1</v>
      </c>
      <c r="N2428" s="1" t="b">
        <f t="shared" si="189"/>
        <v>1</v>
      </c>
      <c r="O2428" s="8" t="str">
        <f>IF(F2428="","",IF($F$2=入力リスト!$H$25,ROUNDDOWN(INT(F2428)+ROUNDDOWN((F2428-INT(F2428))*100,0)/60,2),F2428))</f>
        <v/>
      </c>
      <c r="P2428" s="7"/>
      <c r="Q2428" s="7"/>
    </row>
    <row r="2429" spans="1:17">
      <c r="A2429" s="234"/>
      <c r="B2429" s="235"/>
      <c r="C2429" s="235"/>
      <c r="D2429" s="3"/>
      <c r="E2429" s="235"/>
      <c r="F2429" s="236"/>
      <c r="G2429" s="215" t="str">
        <f>IF(AND($B2429="",OR(B2429&lt;&gt;"",C2429&lt;&gt;"",D2429&lt;&gt;"",E2429&lt;&gt;"",F2429&lt;&gt;"")),入力リスト!$K$34,IF($I2429=TRUE,入力リスト!$K$35,IF(J2429=FALSE,"「毎月の固定給与額」","")&amp;IF(AND(J2429=FALSE,OR(K2429=FALSE,L2429=FALSE,M2429=FALSE)),",","")&amp;IF(K2429=FALSE,"「賞与額等」","")&amp;IF(AND(K2429=FALSE,OR(L2429=FALSE,M2429=FALSE)),",","")&amp;IF(L2429=FALSE,"「残業手当」","")&amp;IF(AND(L2429=FALSE,M2429=FALSE),",","")&amp;IF(M2429=FALSE,"「残業時間」","")&amp;IF(OR(J2429=FALSE,K2429=FALSE,L2429=FALSE,M2429=FALSE),入力リスト!$K$36,"")&amp;IF(N2429,"",入力リスト!$K$37)))</f>
        <v/>
      </c>
      <c r="H2429" s="215"/>
      <c r="I2429" s="1" t="b">
        <f>IF(B2429="",FALSE,COUNTIF('従業員情報(給与以外)'!$A$4:$A$1000000,$B2429)=0)</f>
        <v>0</v>
      </c>
      <c r="J2429" s="8" t="b">
        <f t="shared" si="190"/>
        <v>1</v>
      </c>
      <c r="K2429" s="8" t="b">
        <f t="shared" si="191"/>
        <v>1</v>
      </c>
      <c r="L2429" s="8" t="b">
        <f t="shared" si="192"/>
        <v>1</v>
      </c>
      <c r="M2429" s="8" t="b">
        <f t="shared" si="193"/>
        <v>1</v>
      </c>
      <c r="N2429" s="1" t="b">
        <f t="shared" si="189"/>
        <v>1</v>
      </c>
      <c r="O2429" s="8" t="str">
        <f>IF(F2429="","",IF($F$2=入力リスト!$H$25,ROUNDDOWN(INT(F2429)+ROUNDDOWN((F2429-INT(F2429))*100,0)/60,2),F2429))</f>
        <v/>
      </c>
      <c r="P2429" s="7"/>
      <c r="Q2429" s="7"/>
    </row>
    <row r="2430" spans="1:17">
      <c r="A2430" s="234"/>
      <c r="B2430" s="235"/>
      <c r="C2430" s="235"/>
      <c r="D2430" s="3"/>
      <c r="E2430" s="235"/>
      <c r="F2430" s="236"/>
      <c r="G2430" s="215" t="str">
        <f>IF(AND($B2430="",OR(B2430&lt;&gt;"",C2430&lt;&gt;"",D2430&lt;&gt;"",E2430&lt;&gt;"",F2430&lt;&gt;"")),入力リスト!$K$34,IF($I2430=TRUE,入力リスト!$K$35,IF(J2430=FALSE,"「毎月の固定給与額」","")&amp;IF(AND(J2430=FALSE,OR(K2430=FALSE,L2430=FALSE,M2430=FALSE)),",","")&amp;IF(K2430=FALSE,"「賞与額等」","")&amp;IF(AND(K2430=FALSE,OR(L2430=FALSE,M2430=FALSE)),",","")&amp;IF(L2430=FALSE,"「残業手当」","")&amp;IF(AND(L2430=FALSE,M2430=FALSE),",","")&amp;IF(M2430=FALSE,"「残業時間」","")&amp;IF(OR(J2430=FALSE,K2430=FALSE,L2430=FALSE,M2430=FALSE),入力リスト!$K$36,"")&amp;IF(N2430,"",入力リスト!$K$37)))</f>
        <v/>
      </c>
      <c r="H2430" s="215"/>
      <c r="I2430" s="1" t="b">
        <f>IF(B2430="",FALSE,COUNTIF('従業員情報(給与以外)'!$A$4:$A$1000000,$B2430)=0)</f>
        <v>0</v>
      </c>
      <c r="J2430" s="8" t="b">
        <f t="shared" si="190"/>
        <v>1</v>
      </c>
      <c r="K2430" s="8" t="b">
        <f t="shared" si="191"/>
        <v>1</v>
      </c>
      <c r="L2430" s="8" t="b">
        <f t="shared" si="192"/>
        <v>1</v>
      </c>
      <c r="M2430" s="8" t="b">
        <f t="shared" si="193"/>
        <v>1</v>
      </c>
      <c r="N2430" s="1" t="b">
        <f t="shared" si="189"/>
        <v>1</v>
      </c>
      <c r="O2430" s="8" t="str">
        <f>IF(F2430="","",IF($F$2=入力リスト!$H$25,ROUNDDOWN(INT(F2430)+ROUNDDOWN((F2430-INT(F2430))*100,0)/60,2),F2430))</f>
        <v/>
      </c>
      <c r="P2430" s="7"/>
      <c r="Q2430" s="7"/>
    </row>
    <row r="2431" spans="1:17">
      <c r="A2431" s="234"/>
      <c r="B2431" s="235"/>
      <c r="C2431" s="235"/>
      <c r="D2431" s="3"/>
      <c r="E2431" s="235"/>
      <c r="F2431" s="236"/>
      <c r="G2431" s="215" t="str">
        <f>IF(AND($B2431="",OR(B2431&lt;&gt;"",C2431&lt;&gt;"",D2431&lt;&gt;"",E2431&lt;&gt;"",F2431&lt;&gt;"")),入力リスト!$K$34,IF($I2431=TRUE,入力リスト!$K$35,IF(J2431=FALSE,"「毎月の固定給与額」","")&amp;IF(AND(J2431=FALSE,OR(K2431=FALSE,L2431=FALSE,M2431=FALSE)),",","")&amp;IF(K2431=FALSE,"「賞与額等」","")&amp;IF(AND(K2431=FALSE,OR(L2431=FALSE,M2431=FALSE)),",","")&amp;IF(L2431=FALSE,"「残業手当」","")&amp;IF(AND(L2431=FALSE,M2431=FALSE),",","")&amp;IF(M2431=FALSE,"「残業時間」","")&amp;IF(OR(J2431=FALSE,K2431=FALSE,L2431=FALSE,M2431=FALSE),入力リスト!$K$36,"")&amp;IF(N2431,"",入力リスト!$K$37)))</f>
        <v/>
      </c>
      <c r="H2431" s="215"/>
      <c r="I2431" s="1" t="b">
        <f>IF(B2431="",FALSE,COUNTIF('従業員情報(給与以外)'!$A$4:$A$1000000,$B2431)=0)</f>
        <v>0</v>
      </c>
      <c r="J2431" s="8" t="b">
        <f t="shared" si="190"/>
        <v>1</v>
      </c>
      <c r="K2431" s="8" t="b">
        <f t="shared" si="191"/>
        <v>1</v>
      </c>
      <c r="L2431" s="8" t="b">
        <f t="shared" si="192"/>
        <v>1</v>
      </c>
      <c r="M2431" s="8" t="b">
        <f t="shared" si="193"/>
        <v>1</v>
      </c>
      <c r="N2431" s="1" t="b">
        <f t="shared" si="189"/>
        <v>1</v>
      </c>
      <c r="O2431" s="8" t="str">
        <f>IF(F2431="","",IF($F$2=入力リスト!$H$25,ROUNDDOWN(INT(F2431)+ROUNDDOWN((F2431-INT(F2431))*100,0)/60,2),F2431))</f>
        <v/>
      </c>
      <c r="P2431" s="7"/>
      <c r="Q2431" s="7"/>
    </row>
    <row r="2432" spans="1:17">
      <c r="A2432" s="234"/>
      <c r="B2432" s="235"/>
      <c r="C2432" s="235"/>
      <c r="D2432" s="3"/>
      <c r="E2432" s="235"/>
      <c r="F2432" s="236"/>
      <c r="G2432" s="215" t="str">
        <f>IF(AND($B2432="",OR(B2432&lt;&gt;"",C2432&lt;&gt;"",D2432&lt;&gt;"",E2432&lt;&gt;"",F2432&lt;&gt;"")),入力リスト!$K$34,IF($I2432=TRUE,入力リスト!$K$35,IF(J2432=FALSE,"「毎月の固定給与額」","")&amp;IF(AND(J2432=FALSE,OR(K2432=FALSE,L2432=FALSE,M2432=FALSE)),",","")&amp;IF(K2432=FALSE,"「賞与額等」","")&amp;IF(AND(K2432=FALSE,OR(L2432=FALSE,M2432=FALSE)),",","")&amp;IF(L2432=FALSE,"「残業手当」","")&amp;IF(AND(L2432=FALSE,M2432=FALSE),",","")&amp;IF(M2432=FALSE,"「残業時間」","")&amp;IF(OR(J2432=FALSE,K2432=FALSE,L2432=FALSE,M2432=FALSE),入力リスト!$K$36,"")&amp;IF(N2432,"",入力リスト!$K$37)))</f>
        <v/>
      </c>
      <c r="H2432" s="215"/>
      <c r="I2432" s="1" t="b">
        <f>IF(B2432="",FALSE,COUNTIF('従業員情報(給与以外)'!$A$4:$A$1000000,$B2432)=0)</f>
        <v>0</v>
      </c>
      <c r="J2432" s="8" t="b">
        <f t="shared" si="190"/>
        <v>1</v>
      </c>
      <c r="K2432" s="8" t="b">
        <f t="shared" si="191"/>
        <v>1</v>
      </c>
      <c r="L2432" s="8" t="b">
        <f t="shared" si="192"/>
        <v>1</v>
      </c>
      <c r="M2432" s="8" t="b">
        <f t="shared" si="193"/>
        <v>1</v>
      </c>
      <c r="N2432" s="1" t="b">
        <f t="shared" si="189"/>
        <v>1</v>
      </c>
      <c r="O2432" s="8" t="str">
        <f>IF(F2432="","",IF($F$2=入力リスト!$H$25,ROUNDDOWN(INT(F2432)+ROUNDDOWN((F2432-INT(F2432))*100,0)/60,2),F2432))</f>
        <v/>
      </c>
      <c r="P2432" s="7"/>
      <c r="Q2432" s="7"/>
    </row>
    <row r="2433" spans="1:17">
      <c r="A2433" s="234"/>
      <c r="B2433" s="235"/>
      <c r="C2433" s="235"/>
      <c r="D2433" s="3"/>
      <c r="E2433" s="235"/>
      <c r="F2433" s="236"/>
      <c r="G2433" s="215" t="str">
        <f>IF(AND($B2433="",OR(B2433&lt;&gt;"",C2433&lt;&gt;"",D2433&lt;&gt;"",E2433&lt;&gt;"",F2433&lt;&gt;"")),入力リスト!$K$34,IF($I2433=TRUE,入力リスト!$K$35,IF(J2433=FALSE,"「毎月の固定給与額」","")&amp;IF(AND(J2433=FALSE,OR(K2433=FALSE,L2433=FALSE,M2433=FALSE)),",","")&amp;IF(K2433=FALSE,"「賞与額等」","")&amp;IF(AND(K2433=FALSE,OR(L2433=FALSE,M2433=FALSE)),",","")&amp;IF(L2433=FALSE,"「残業手当」","")&amp;IF(AND(L2433=FALSE,M2433=FALSE),",","")&amp;IF(M2433=FALSE,"「残業時間」","")&amp;IF(OR(J2433=FALSE,K2433=FALSE,L2433=FALSE,M2433=FALSE),入力リスト!$K$36,"")&amp;IF(N2433,"",入力リスト!$K$37)))</f>
        <v/>
      </c>
      <c r="H2433" s="215"/>
      <c r="I2433" s="1" t="b">
        <f>IF(B2433="",FALSE,COUNTIF('従業員情報(給与以外)'!$A$4:$A$1000000,$B2433)=0)</f>
        <v>0</v>
      </c>
      <c r="J2433" s="8" t="b">
        <f t="shared" si="190"/>
        <v>1</v>
      </c>
      <c r="K2433" s="8" t="b">
        <f t="shared" si="191"/>
        <v>1</v>
      </c>
      <c r="L2433" s="8" t="b">
        <f t="shared" si="192"/>
        <v>1</v>
      </c>
      <c r="M2433" s="8" t="b">
        <f t="shared" si="193"/>
        <v>1</v>
      </c>
      <c r="N2433" s="1" t="b">
        <f t="shared" si="189"/>
        <v>1</v>
      </c>
      <c r="O2433" s="8" t="str">
        <f>IF(F2433="","",IF($F$2=入力リスト!$H$25,ROUNDDOWN(INT(F2433)+ROUNDDOWN((F2433-INT(F2433))*100,0)/60,2),F2433))</f>
        <v/>
      </c>
      <c r="P2433" s="7"/>
      <c r="Q2433" s="7"/>
    </row>
    <row r="2434" spans="1:17">
      <c r="A2434" s="234"/>
      <c r="B2434" s="235"/>
      <c r="C2434" s="235"/>
      <c r="D2434" s="3"/>
      <c r="E2434" s="235"/>
      <c r="F2434" s="236"/>
      <c r="G2434" s="215" t="str">
        <f>IF(AND($B2434="",OR(B2434&lt;&gt;"",C2434&lt;&gt;"",D2434&lt;&gt;"",E2434&lt;&gt;"",F2434&lt;&gt;"")),入力リスト!$K$34,IF($I2434=TRUE,入力リスト!$K$35,IF(J2434=FALSE,"「毎月の固定給与額」","")&amp;IF(AND(J2434=FALSE,OR(K2434=FALSE,L2434=FALSE,M2434=FALSE)),",","")&amp;IF(K2434=FALSE,"「賞与額等」","")&amp;IF(AND(K2434=FALSE,OR(L2434=FALSE,M2434=FALSE)),",","")&amp;IF(L2434=FALSE,"「残業手当」","")&amp;IF(AND(L2434=FALSE,M2434=FALSE),",","")&amp;IF(M2434=FALSE,"「残業時間」","")&amp;IF(OR(J2434=FALSE,K2434=FALSE,L2434=FALSE,M2434=FALSE),入力リスト!$K$36,"")&amp;IF(N2434,"",入力リスト!$K$37)))</f>
        <v/>
      </c>
      <c r="H2434" s="215"/>
      <c r="I2434" s="1" t="b">
        <f>IF(B2434="",FALSE,COUNTIF('従業員情報(給与以外)'!$A$4:$A$1000000,$B2434)=0)</f>
        <v>0</v>
      </c>
      <c r="J2434" s="8" t="b">
        <f t="shared" si="190"/>
        <v>1</v>
      </c>
      <c r="K2434" s="8" t="b">
        <f t="shared" si="191"/>
        <v>1</v>
      </c>
      <c r="L2434" s="8" t="b">
        <f t="shared" si="192"/>
        <v>1</v>
      </c>
      <c r="M2434" s="8" t="b">
        <f t="shared" si="193"/>
        <v>1</v>
      </c>
      <c r="N2434" s="1" t="b">
        <f t="shared" si="189"/>
        <v>1</v>
      </c>
      <c r="O2434" s="8" t="str">
        <f>IF(F2434="","",IF($F$2=入力リスト!$H$25,ROUNDDOWN(INT(F2434)+ROUNDDOWN((F2434-INT(F2434))*100,0)/60,2),F2434))</f>
        <v/>
      </c>
      <c r="P2434" s="7"/>
      <c r="Q2434" s="7"/>
    </row>
    <row r="2435" spans="1:17">
      <c r="A2435" s="234"/>
      <c r="B2435" s="235"/>
      <c r="C2435" s="235"/>
      <c r="D2435" s="3"/>
      <c r="E2435" s="235"/>
      <c r="F2435" s="236"/>
      <c r="G2435" s="215" t="str">
        <f>IF(AND($B2435="",OR(B2435&lt;&gt;"",C2435&lt;&gt;"",D2435&lt;&gt;"",E2435&lt;&gt;"",F2435&lt;&gt;"")),入力リスト!$K$34,IF($I2435=TRUE,入力リスト!$K$35,IF(J2435=FALSE,"「毎月の固定給与額」","")&amp;IF(AND(J2435=FALSE,OR(K2435=FALSE,L2435=FALSE,M2435=FALSE)),",","")&amp;IF(K2435=FALSE,"「賞与額等」","")&amp;IF(AND(K2435=FALSE,OR(L2435=FALSE,M2435=FALSE)),",","")&amp;IF(L2435=FALSE,"「残業手当」","")&amp;IF(AND(L2435=FALSE,M2435=FALSE),",","")&amp;IF(M2435=FALSE,"「残業時間」","")&amp;IF(OR(J2435=FALSE,K2435=FALSE,L2435=FALSE,M2435=FALSE),入力リスト!$K$36,"")&amp;IF(N2435,"",入力リスト!$K$37)))</f>
        <v/>
      </c>
      <c r="H2435" s="215"/>
      <c r="I2435" s="1" t="b">
        <f>IF(B2435="",FALSE,COUNTIF('従業員情報(給与以外)'!$A$4:$A$1000000,$B2435)=0)</f>
        <v>0</v>
      </c>
      <c r="J2435" s="8" t="b">
        <f t="shared" si="190"/>
        <v>1</v>
      </c>
      <c r="K2435" s="8" t="b">
        <f t="shared" si="191"/>
        <v>1</v>
      </c>
      <c r="L2435" s="8" t="b">
        <f t="shared" si="192"/>
        <v>1</v>
      </c>
      <c r="M2435" s="8" t="b">
        <f t="shared" si="193"/>
        <v>1</v>
      </c>
      <c r="N2435" s="1" t="b">
        <f t="shared" si="189"/>
        <v>1</v>
      </c>
      <c r="O2435" s="8" t="str">
        <f>IF(F2435="","",IF($F$2=入力リスト!$H$25,ROUNDDOWN(INT(F2435)+ROUNDDOWN((F2435-INT(F2435))*100,0)/60,2),F2435))</f>
        <v/>
      </c>
      <c r="P2435" s="7"/>
      <c r="Q2435" s="7"/>
    </row>
    <row r="2436" spans="1:17">
      <c r="A2436" s="234"/>
      <c r="B2436" s="235"/>
      <c r="C2436" s="235"/>
      <c r="D2436" s="3"/>
      <c r="E2436" s="235"/>
      <c r="F2436" s="236"/>
      <c r="G2436" s="215" t="str">
        <f>IF(AND($B2436="",OR(B2436&lt;&gt;"",C2436&lt;&gt;"",D2436&lt;&gt;"",E2436&lt;&gt;"",F2436&lt;&gt;"")),入力リスト!$K$34,IF($I2436=TRUE,入力リスト!$K$35,IF(J2436=FALSE,"「毎月の固定給与額」","")&amp;IF(AND(J2436=FALSE,OR(K2436=FALSE,L2436=FALSE,M2436=FALSE)),",","")&amp;IF(K2436=FALSE,"「賞与額等」","")&amp;IF(AND(K2436=FALSE,OR(L2436=FALSE,M2436=FALSE)),",","")&amp;IF(L2436=FALSE,"「残業手当」","")&amp;IF(AND(L2436=FALSE,M2436=FALSE),",","")&amp;IF(M2436=FALSE,"「残業時間」","")&amp;IF(OR(J2436=FALSE,K2436=FALSE,L2436=FALSE,M2436=FALSE),入力リスト!$K$36,"")&amp;IF(N2436,"",入力リスト!$K$37)))</f>
        <v/>
      </c>
      <c r="H2436" s="215"/>
      <c r="I2436" s="1" t="b">
        <f>IF(B2436="",FALSE,COUNTIF('従業員情報(給与以外)'!$A$4:$A$1000000,$B2436)=0)</f>
        <v>0</v>
      </c>
      <c r="J2436" s="8" t="b">
        <f t="shared" si="190"/>
        <v>1</v>
      </c>
      <c r="K2436" s="8" t="b">
        <f t="shared" si="191"/>
        <v>1</v>
      </c>
      <c r="L2436" s="8" t="b">
        <f t="shared" si="192"/>
        <v>1</v>
      </c>
      <c r="M2436" s="8" t="b">
        <f t="shared" si="193"/>
        <v>1</v>
      </c>
      <c r="N2436" s="1" t="b">
        <f t="shared" si="189"/>
        <v>1</v>
      </c>
      <c r="O2436" s="8" t="str">
        <f>IF(F2436="","",IF($F$2=入力リスト!$H$25,ROUNDDOWN(INT(F2436)+ROUNDDOWN((F2436-INT(F2436))*100,0)/60,2),F2436))</f>
        <v/>
      </c>
      <c r="P2436" s="7"/>
      <c r="Q2436" s="7"/>
    </row>
    <row r="2437" spans="1:17">
      <c r="A2437" s="234"/>
      <c r="B2437" s="235"/>
      <c r="C2437" s="235"/>
      <c r="D2437" s="3"/>
      <c r="E2437" s="235"/>
      <c r="F2437" s="236"/>
      <c r="G2437" s="215" t="str">
        <f>IF(AND($B2437="",OR(B2437&lt;&gt;"",C2437&lt;&gt;"",D2437&lt;&gt;"",E2437&lt;&gt;"",F2437&lt;&gt;"")),入力リスト!$K$34,IF($I2437=TRUE,入力リスト!$K$35,IF(J2437=FALSE,"「毎月の固定給与額」","")&amp;IF(AND(J2437=FALSE,OR(K2437=FALSE,L2437=FALSE,M2437=FALSE)),",","")&amp;IF(K2437=FALSE,"「賞与額等」","")&amp;IF(AND(K2437=FALSE,OR(L2437=FALSE,M2437=FALSE)),",","")&amp;IF(L2437=FALSE,"「残業手当」","")&amp;IF(AND(L2437=FALSE,M2437=FALSE),",","")&amp;IF(M2437=FALSE,"「残業時間」","")&amp;IF(OR(J2437=FALSE,K2437=FALSE,L2437=FALSE,M2437=FALSE),入力リスト!$K$36,"")&amp;IF(N2437,"",入力リスト!$K$37)))</f>
        <v/>
      </c>
      <c r="H2437" s="215"/>
      <c r="I2437" s="1" t="b">
        <f>IF(B2437="",FALSE,COUNTIF('従業員情報(給与以外)'!$A$4:$A$1000000,$B2437)=0)</f>
        <v>0</v>
      </c>
      <c r="J2437" s="8" t="b">
        <f t="shared" si="190"/>
        <v>1</v>
      </c>
      <c r="K2437" s="8" t="b">
        <f t="shared" si="191"/>
        <v>1</v>
      </c>
      <c r="L2437" s="8" t="b">
        <f t="shared" si="192"/>
        <v>1</v>
      </c>
      <c r="M2437" s="8" t="b">
        <f t="shared" si="193"/>
        <v>1</v>
      </c>
      <c r="N2437" s="1" t="b">
        <f t="shared" ref="N2437:N2500" si="194">IF($N$1,TRUE,IF($N$2,IF(F2437-INT(F2437)&lt;0.6,TRUE,FALSE),TRUE))</f>
        <v>1</v>
      </c>
      <c r="O2437" s="8" t="str">
        <f>IF(F2437="","",IF($F$2=入力リスト!$H$25,ROUNDDOWN(INT(F2437)+ROUNDDOWN((F2437-INT(F2437))*100,0)/60,2),F2437))</f>
        <v/>
      </c>
      <c r="P2437" s="7"/>
      <c r="Q2437" s="7"/>
    </row>
    <row r="2438" spans="1:17">
      <c r="A2438" s="234"/>
      <c r="B2438" s="235"/>
      <c r="C2438" s="235"/>
      <c r="D2438" s="3"/>
      <c r="E2438" s="235"/>
      <c r="F2438" s="236"/>
      <c r="G2438" s="215" t="str">
        <f>IF(AND($B2438="",OR(B2438&lt;&gt;"",C2438&lt;&gt;"",D2438&lt;&gt;"",E2438&lt;&gt;"",F2438&lt;&gt;"")),入力リスト!$K$34,IF($I2438=TRUE,入力リスト!$K$35,IF(J2438=FALSE,"「毎月の固定給与額」","")&amp;IF(AND(J2438=FALSE,OR(K2438=FALSE,L2438=FALSE,M2438=FALSE)),",","")&amp;IF(K2438=FALSE,"「賞与額等」","")&amp;IF(AND(K2438=FALSE,OR(L2438=FALSE,M2438=FALSE)),",","")&amp;IF(L2438=FALSE,"「残業手当」","")&amp;IF(AND(L2438=FALSE,M2438=FALSE),",","")&amp;IF(M2438=FALSE,"「残業時間」","")&amp;IF(OR(J2438=FALSE,K2438=FALSE,L2438=FALSE,M2438=FALSE),入力リスト!$K$36,"")&amp;IF(N2438,"",入力リスト!$K$37)))</f>
        <v/>
      </c>
      <c r="H2438" s="215"/>
      <c r="I2438" s="1" t="b">
        <f>IF(B2438="",FALSE,COUNTIF('従業員情報(給与以外)'!$A$4:$A$1000000,$B2438)=0)</f>
        <v>0</v>
      </c>
      <c r="J2438" s="8" t="b">
        <f t="shared" si="190"/>
        <v>1</v>
      </c>
      <c r="K2438" s="8" t="b">
        <f t="shared" si="191"/>
        <v>1</v>
      </c>
      <c r="L2438" s="8" t="b">
        <f t="shared" si="192"/>
        <v>1</v>
      </c>
      <c r="M2438" s="8" t="b">
        <f t="shared" si="193"/>
        <v>1</v>
      </c>
      <c r="N2438" s="1" t="b">
        <f t="shared" si="194"/>
        <v>1</v>
      </c>
      <c r="O2438" s="8" t="str">
        <f>IF(F2438="","",IF($F$2=入力リスト!$H$25,ROUNDDOWN(INT(F2438)+ROUNDDOWN((F2438-INT(F2438))*100,0)/60,2),F2438))</f>
        <v/>
      </c>
      <c r="P2438" s="7"/>
      <c r="Q2438" s="7"/>
    </row>
    <row r="2439" spans="1:17">
      <c r="A2439" s="234"/>
      <c r="B2439" s="235"/>
      <c r="C2439" s="235"/>
      <c r="D2439" s="3"/>
      <c r="E2439" s="235"/>
      <c r="F2439" s="236"/>
      <c r="G2439" s="215" t="str">
        <f>IF(AND($B2439="",OR(B2439&lt;&gt;"",C2439&lt;&gt;"",D2439&lt;&gt;"",E2439&lt;&gt;"",F2439&lt;&gt;"")),入力リスト!$K$34,IF($I2439=TRUE,入力リスト!$K$35,IF(J2439=FALSE,"「毎月の固定給与額」","")&amp;IF(AND(J2439=FALSE,OR(K2439=FALSE,L2439=FALSE,M2439=FALSE)),",","")&amp;IF(K2439=FALSE,"「賞与額等」","")&amp;IF(AND(K2439=FALSE,OR(L2439=FALSE,M2439=FALSE)),",","")&amp;IF(L2439=FALSE,"「残業手当」","")&amp;IF(AND(L2439=FALSE,M2439=FALSE),",","")&amp;IF(M2439=FALSE,"「残業時間」","")&amp;IF(OR(J2439=FALSE,K2439=FALSE,L2439=FALSE,M2439=FALSE),入力リスト!$K$36,"")&amp;IF(N2439,"",入力リスト!$K$37)))</f>
        <v/>
      </c>
      <c r="H2439" s="215"/>
      <c r="I2439" s="1" t="b">
        <f>IF(B2439="",FALSE,COUNTIF('従業員情報(給与以外)'!$A$4:$A$1000000,$B2439)=0)</f>
        <v>0</v>
      </c>
      <c r="J2439" s="8" t="b">
        <f t="shared" si="190"/>
        <v>1</v>
      </c>
      <c r="K2439" s="8" t="b">
        <f t="shared" si="191"/>
        <v>1</v>
      </c>
      <c r="L2439" s="8" t="b">
        <f t="shared" si="192"/>
        <v>1</v>
      </c>
      <c r="M2439" s="8" t="b">
        <f t="shared" si="193"/>
        <v>1</v>
      </c>
      <c r="N2439" s="1" t="b">
        <f t="shared" si="194"/>
        <v>1</v>
      </c>
      <c r="O2439" s="8" t="str">
        <f>IF(F2439="","",IF($F$2=入力リスト!$H$25,ROUNDDOWN(INT(F2439)+ROUNDDOWN((F2439-INT(F2439))*100,0)/60,2),F2439))</f>
        <v/>
      </c>
      <c r="P2439" s="7"/>
      <c r="Q2439" s="7"/>
    </row>
    <row r="2440" spans="1:17">
      <c r="A2440" s="234"/>
      <c r="B2440" s="235"/>
      <c r="C2440" s="235"/>
      <c r="D2440" s="3"/>
      <c r="E2440" s="235"/>
      <c r="F2440" s="236"/>
      <c r="G2440" s="215" t="str">
        <f>IF(AND($B2440="",OR(B2440&lt;&gt;"",C2440&lt;&gt;"",D2440&lt;&gt;"",E2440&lt;&gt;"",F2440&lt;&gt;"")),入力リスト!$K$34,IF($I2440=TRUE,入力リスト!$K$35,IF(J2440=FALSE,"「毎月の固定給与額」","")&amp;IF(AND(J2440=FALSE,OR(K2440=FALSE,L2440=FALSE,M2440=FALSE)),",","")&amp;IF(K2440=FALSE,"「賞与額等」","")&amp;IF(AND(K2440=FALSE,OR(L2440=FALSE,M2440=FALSE)),",","")&amp;IF(L2440=FALSE,"「残業手当」","")&amp;IF(AND(L2440=FALSE,M2440=FALSE),",","")&amp;IF(M2440=FALSE,"「残業時間」","")&amp;IF(OR(J2440=FALSE,K2440=FALSE,L2440=FALSE,M2440=FALSE),入力リスト!$K$36,"")&amp;IF(N2440,"",入力リスト!$K$37)))</f>
        <v/>
      </c>
      <c r="H2440" s="215"/>
      <c r="I2440" s="1" t="b">
        <f>IF(B2440="",FALSE,COUNTIF('従業員情報(給与以外)'!$A$4:$A$1000000,$B2440)=0)</f>
        <v>0</v>
      </c>
      <c r="J2440" s="8" t="b">
        <f t="shared" si="190"/>
        <v>1</v>
      </c>
      <c r="K2440" s="8" t="b">
        <f t="shared" si="191"/>
        <v>1</v>
      </c>
      <c r="L2440" s="8" t="b">
        <f t="shared" si="192"/>
        <v>1</v>
      </c>
      <c r="M2440" s="8" t="b">
        <f t="shared" si="193"/>
        <v>1</v>
      </c>
      <c r="N2440" s="1" t="b">
        <f t="shared" si="194"/>
        <v>1</v>
      </c>
      <c r="O2440" s="8" t="str">
        <f>IF(F2440="","",IF($F$2=入力リスト!$H$25,ROUNDDOWN(INT(F2440)+ROUNDDOWN((F2440-INT(F2440))*100,0)/60,2),F2440))</f>
        <v/>
      </c>
      <c r="P2440" s="7"/>
      <c r="Q2440" s="7"/>
    </row>
    <row r="2441" spans="1:17">
      <c r="A2441" s="234"/>
      <c r="B2441" s="235"/>
      <c r="C2441" s="235"/>
      <c r="D2441" s="3"/>
      <c r="E2441" s="235"/>
      <c r="F2441" s="236"/>
      <c r="G2441" s="215" t="str">
        <f>IF(AND($B2441="",OR(B2441&lt;&gt;"",C2441&lt;&gt;"",D2441&lt;&gt;"",E2441&lt;&gt;"",F2441&lt;&gt;"")),入力リスト!$K$34,IF($I2441=TRUE,入力リスト!$K$35,IF(J2441=FALSE,"「毎月の固定給与額」","")&amp;IF(AND(J2441=FALSE,OR(K2441=FALSE,L2441=FALSE,M2441=FALSE)),",","")&amp;IF(K2441=FALSE,"「賞与額等」","")&amp;IF(AND(K2441=FALSE,OR(L2441=FALSE,M2441=FALSE)),",","")&amp;IF(L2441=FALSE,"「残業手当」","")&amp;IF(AND(L2441=FALSE,M2441=FALSE),",","")&amp;IF(M2441=FALSE,"「残業時間」","")&amp;IF(OR(J2441=FALSE,K2441=FALSE,L2441=FALSE,M2441=FALSE),入力リスト!$K$36,"")&amp;IF(N2441,"",入力リスト!$K$37)))</f>
        <v/>
      </c>
      <c r="H2441" s="215"/>
      <c r="I2441" s="1" t="b">
        <f>IF(B2441="",FALSE,COUNTIF('従業員情報(給与以外)'!$A$4:$A$1000000,$B2441)=0)</f>
        <v>0</v>
      </c>
      <c r="J2441" s="8" t="b">
        <f t="shared" si="190"/>
        <v>1</v>
      </c>
      <c r="K2441" s="8" t="b">
        <f t="shared" si="191"/>
        <v>1</v>
      </c>
      <c r="L2441" s="8" t="b">
        <f t="shared" si="192"/>
        <v>1</v>
      </c>
      <c r="M2441" s="8" t="b">
        <f t="shared" si="193"/>
        <v>1</v>
      </c>
      <c r="N2441" s="1" t="b">
        <f t="shared" si="194"/>
        <v>1</v>
      </c>
      <c r="O2441" s="8" t="str">
        <f>IF(F2441="","",IF($F$2=入力リスト!$H$25,ROUNDDOWN(INT(F2441)+ROUNDDOWN((F2441-INT(F2441))*100,0)/60,2),F2441))</f>
        <v/>
      </c>
      <c r="P2441" s="7"/>
      <c r="Q2441" s="7"/>
    </row>
    <row r="2442" spans="1:17">
      <c r="A2442" s="234"/>
      <c r="B2442" s="235"/>
      <c r="C2442" s="235"/>
      <c r="D2442" s="3"/>
      <c r="E2442" s="235"/>
      <c r="F2442" s="236"/>
      <c r="G2442" s="215" t="str">
        <f>IF(AND($B2442="",OR(B2442&lt;&gt;"",C2442&lt;&gt;"",D2442&lt;&gt;"",E2442&lt;&gt;"",F2442&lt;&gt;"")),入力リスト!$K$34,IF($I2442=TRUE,入力リスト!$K$35,IF(J2442=FALSE,"「毎月の固定給与額」","")&amp;IF(AND(J2442=FALSE,OR(K2442=FALSE,L2442=FALSE,M2442=FALSE)),",","")&amp;IF(K2442=FALSE,"「賞与額等」","")&amp;IF(AND(K2442=FALSE,OR(L2442=FALSE,M2442=FALSE)),",","")&amp;IF(L2442=FALSE,"「残業手当」","")&amp;IF(AND(L2442=FALSE,M2442=FALSE),",","")&amp;IF(M2442=FALSE,"「残業時間」","")&amp;IF(OR(J2442=FALSE,K2442=FALSE,L2442=FALSE,M2442=FALSE),入力リスト!$K$36,"")&amp;IF(N2442,"",入力リスト!$K$37)))</f>
        <v/>
      </c>
      <c r="H2442" s="215"/>
      <c r="I2442" s="1" t="b">
        <f>IF(B2442="",FALSE,COUNTIF('従業員情報(給与以外)'!$A$4:$A$1000000,$B2442)=0)</f>
        <v>0</v>
      </c>
      <c r="J2442" s="8" t="b">
        <f t="shared" si="190"/>
        <v>1</v>
      </c>
      <c r="K2442" s="8" t="b">
        <f t="shared" si="191"/>
        <v>1</v>
      </c>
      <c r="L2442" s="8" t="b">
        <f t="shared" si="192"/>
        <v>1</v>
      </c>
      <c r="M2442" s="8" t="b">
        <f t="shared" si="193"/>
        <v>1</v>
      </c>
      <c r="N2442" s="1" t="b">
        <f t="shared" si="194"/>
        <v>1</v>
      </c>
      <c r="O2442" s="8" t="str">
        <f>IF(F2442="","",IF($F$2=入力リスト!$H$25,ROUNDDOWN(INT(F2442)+ROUNDDOWN((F2442-INT(F2442))*100,0)/60,2),F2442))</f>
        <v/>
      </c>
      <c r="P2442" s="7"/>
      <c r="Q2442" s="7"/>
    </row>
    <row r="2443" spans="1:17">
      <c r="A2443" s="234"/>
      <c r="B2443" s="235"/>
      <c r="C2443" s="235"/>
      <c r="D2443" s="3"/>
      <c r="E2443" s="235"/>
      <c r="F2443" s="236"/>
      <c r="G2443" s="215" t="str">
        <f>IF(AND($B2443="",OR(B2443&lt;&gt;"",C2443&lt;&gt;"",D2443&lt;&gt;"",E2443&lt;&gt;"",F2443&lt;&gt;"")),入力リスト!$K$34,IF($I2443=TRUE,入力リスト!$K$35,IF(J2443=FALSE,"「毎月の固定給与額」","")&amp;IF(AND(J2443=FALSE,OR(K2443=FALSE,L2443=FALSE,M2443=FALSE)),",","")&amp;IF(K2443=FALSE,"「賞与額等」","")&amp;IF(AND(K2443=FALSE,OR(L2443=FALSE,M2443=FALSE)),",","")&amp;IF(L2443=FALSE,"「残業手当」","")&amp;IF(AND(L2443=FALSE,M2443=FALSE),",","")&amp;IF(M2443=FALSE,"「残業時間」","")&amp;IF(OR(J2443=FALSE,K2443=FALSE,L2443=FALSE,M2443=FALSE),入力リスト!$K$36,"")&amp;IF(N2443,"",入力リスト!$K$37)))</f>
        <v/>
      </c>
      <c r="H2443" s="215"/>
      <c r="I2443" s="1" t="b">
        <f>IF(B2443="",FALSE,COUNTIF('従業員情報(給与以外)'!$A$4:$A$1000000,$B2443)=0)</f>
        <v>0</v>
      </c>
      <c r="J2443" s="8" t="b">
        <f t="shared" si="190"/>
        <v>1</v>
      </c>
      <c r="K2443" s="8" t="b">
        <f t="shared" si="191"/>
        <v>1</v>
      </c>
      <c r="L2443" s="8" t="b">
        <f t="shared" si="192"/>
        <v>1</v>
      </c>
      <c r="M2443" s="8" t="b">
        <f t="shared" si="193"/>
        <v>1</v>
      </c>
      <c r="N2443" s="1" t="b">
        <f t="shared" si="194"/>
        <v>1</v>
      </c>
      <c r="O2443" s="8" t="str">
        <f>IF(F2443="","",IF($F$2=入力リスト!$H$25,ROUNDDOWN(INT(F2443)+ROUNDDOWN((F2443-INT(F2443))*100,0)/60,2),F2443))</f>
        <v/>
      </c>
      <c r="P2443" s="7"/>
      <c r="Q2443" s="7"/>
    </row>
    <row r="2444" spans="1:17">
      <c r="A2444" s="234"/>
      <c r="B2444" s="235"/>
      <c r="C2444" s="235"/>
      <c r="D2444" s="3"/>
      <c r="E2444" s="235"/>
      <c r="F2444" s="236"/>
      <c r="G2444" s="215" t="str">
        <f>IF(AND($B2444="",OR(B2444&lt;&gt;"",C2444&lt;&gt;"",D2444&lt;&gt;"",E2444&lt;&gt;"",F2444&lt;&gt;"")),入力リスト!$K$34,IF($I2444=TRUE,入力リスト!$K$35,IF(J2444=FALSE,"「毎月の固定給与額」","")&amp;IF(AND(J2444=FALSE,OR(K2444=FALSE,L2444=FALSE,M2444=FALSE)),",","")&amp;IF(K2444=FALSE,"「賞与額等」","")&amp;IF(AND(K2444=FALSE,OR(L2444=FALSE,M2444=FALSE)),",","")&amp;IF(L2444=FALSE,"「残業手当」","")&amp;IF(AND(L2444=FALSE,M2444=FALSE),",","")&amp;IF(M2444=FALSE,"「残業時間」","")&amp;IF(OR(J2444=FALSE,K2444=FALSE,L2444=FALSE,M2444=FALSE),入力リスト!$K$36,"")&amp;IF(N2444,"",入力リスト!$K$37)))</f>
        <v/>
      </c>
      <c r="H2444" s="215"/>
      <c r="I2444" s="1" t="b">
        <f>IF(B2444="",FALSE,COUNTIF('従業員情報(給与以外)'!$A$4:$A$1000000,$B2444)=0)</f>
        <v>0</v>
      </c>
      <c r="J2444" s="8" t="b">
        <f t="shared" si="190"/>
        <v>1</v>
      </c>
      <c r="K2444" s="8" t="b">
        <f t="shared" si="191"/>
        <v>1</v>
      </c>
      <c r="L2444" s="8" t="b">
        <f t="shared" si="192"/>
        <v>1</v>
      </c>
      <c r="M2444" s="8" t="b">
        <f t="shared" si="193"/>
        <v>1</v>
      </c>
      <c r="N2444" s="1" t="b">
        <f t="shared" si="194"/>
        <v>1</v>
      </c>
      <c r="O2444" s="8" t="str">
        <f>IF(F2444="","",IF($F$2=入力リスト!$H$25,ROUNDDOWN(INT(F2444)+ROUNDDOWN((F2444-INT(F2444))*100,0)/60,2),F2444))</f>
        <v/>
      </c>
      <c r="P2444" s="7"/>
      <c r="Q2444" s="7"/>
    </row>
    <row r="2445" spans="1:17">
      <c r="A2445" s="234"/>
      <c r="B2445" s="235"/>
      <c r="C2445" s="235"/>
      <c r="D2445" s="3"/>
      <c r="E2445" s="235"/>
      <c r="F2445" s="236"/>
      <c r="G2445" s="215" t="str">
        <f>IF(AND($B2445="",OR(B2445&lt;&gt;"",C2445&lt;&gt;"",D2445&lt;&gt;"",E2445&lt;&gt;"",F2445&lt;&gt;"")),入力リスト!$K$34,IF($I2445=TRUE,入力リスト!$K$35,IF(J2445=FALSE,"「毎月の固定給与額」","")&amp;IF(AND(J2445=FALSE,OR(K2445=FALSE,L2445=FALSE,M2445=FALSE)),",","")&amp;IF(K2445=FALSE,"「賞与額等」","")&amp;IF(AND(K2445=FALSE,OR(L2445=FALSE,M2445=FALSE)),",","")&amp;IF(L2445=FALSE,"「残業手当」","")&amp;IF(AND(L2445=FALSE,M2445=FALSE),",","")&amp;IF(M2445=FALSE,"「残業時間」","")&amp;IF(OR(J2445=FALSE,K2445=FALSE,L2445=FALSE,M2445=FALSE),入力リスト!$K$36,"")&amp;IF(N2445,"",入力リスト!$K$37)))</f>
        <v/>
      </c>
      <c r="H2445" s="215"/>
      <c r="I2445" s="1" t="b">
        <f>IF(B2445="",FALSE,COUNTIF('従業員情報(給与以外)'!$A$4:$A$1000000,$B2445)=0)</f>
        <v>0</v>
      </c>
      <c r="J2445" s="8" t="b">
        <f t="shared" si="190"/>
        <v>1</v>
      </c>
      <c r="K2445" s="8" t="b">
        <f t="shared" si="191"/>
        <v>1</v>
      </c>
      <c r="L2445" s="8" t="b">
        <f t="shared" si="192"/>
        <v>1</v>
      </c>
      <c r="M2445" s="8" t="b">
        <f t="shared" si="193"/>
        <v>1</v>
      </c>
      <c r="N2445" s="1" t="b">
        <f t="shared" si="194"/>
        <v>1</v>
      </c>
      <c r="O2445" s="8" t="str">
        <f>IF(F2445="","",IF($F$2=入力リスト!$H$25,ROUNDDOWN(INT(F2445)+ROUNDDOWN((F2445-INT(F2445))*100,0)/60,2),F2445))</f>
        <v/>
      </c>
      <c r="P2445" s="7"/>
      <c r="Q2445" s="7"/>
    </row>
    <row r="2446" spans="1:17">
      <c r="A2446" s="234"/>
      <c r="B2446" s="235"/>
      <c r="C2446" s="235"/>
      <c r="D2446" s="3"/>
      <c r="E2446" s="235"/>
      <c r="F2446" s="236"/>
      <c r="G2446" s="215" t="str">
        <f>IF(AND($B2446="",OR(B2446&lt;&gt;"",C2446&lt;&gt;"",D2446&lt;&gt;"",E2446&lt;&gt;"",F2446&lt;&gt;"")),入力リスト!$K$34,IF($I2446=TRUE,入力リスト!$K$35,IF(J2446=FALSE,"「毎月の固定給与額」","")&amp;IF(AND(J2446=FALSE,OR(K2446=FALSE,L2446=FALSE,M2446=FALSE)),",","")&amp;IF(K2446=FALSE,"「賞与額等」","")&amp;IF(AND(K2446=FALSE,OR(L2446=FALSE,M2446=FALSE)),",","")&amp;IF(L2446=FALSE,"「残業手当」","")&amp;IF(AND(L2446=FALSE,M2446=FALSE),",","")&amp;IF(M2446=FALSE,"「残業時間」","")&amp;IF(OR(J2446=FALSE,K2446=FALSE,L2446=FALSE,M2446=FALSE),入力リスト!$K$36,"")&amp;IF(N2446,"",入力リスト!$K$37)))</f>
        <v/>
      </c>
      <c r="H2446" s="215"/>
      <c r="I2446" s="1" t="b">
        <f>IF(B2446="",FALSE,COUNTIF('従業員情報(給与以外)'!$A$4:$A$1000000,$B2446)=0)</f>
        <v>0</v>
      </c>
      <c r="J2446" s="8" t="b">
        <f t="shared" si="190"/>
        <v>1</v>
      </c>
      <c r="K2446" s="8" t="b">
        <f t="shared" si="191"/>
        <v>1</v>
      </c>
      <c r="L2446" s="8" t="b">
        <f t="shared" si="192"/>
        <v>1</v>
      </c>
      <c r="M2446" s="8" t="b">
        <f t="shared" si="193"/>
        <v>1</v>
      </c>
      <c r="N2446" s="1" t="b">
        <f t="shared" si="194"/>
        <v>1</v>
      </c>
      <c r="O2446" s="8" t="str">
        <f>IF(F2446="","",IF($F$2=入力リスト!$H$25,ROUNDDOWN(INT(F2446)+ROUNDDOWN((F2446-INT(F2446))*100,0)/60,2),F2446))</f>
        <v/>
      </c>
      <c r="P2446" s="7"/>
      <c r="Q2446" s="7"/>
    </row>
    <row r="2447" spans="1:17">
      <c r="A2447" s="234"/>
      <c r="B2447" s="235"/>
      <c r="C2447" s="235"/>
      <c r="D2447" s="3"/>
      <c r="E2447" s="235"/>
      <c r="F2447" s="236"/>
      <c r="G2447" s="215" t="str">
        <f>IF(AND($B2447="",OR(B2447&lt;&gt;"",C2447&lt;&gt;"",D2447&lt;&gt;"",E2447&lt;&gt;"",F2447&lt;&gt;"")),入力リスト!$K$34,IF($I2447=TRUE,入力リスト!$K$35,IF(J2447=FALSE,"「毎月の固定給与額」","")&amp;IF(AND(J2447=FALSE,OR(K2447=FALSE,L2447=FALSE,M2447=FALSE)),",","")&amp;IF(K2447=FALSE,"「賞与額等」","")&amp;IF(AND(K2447=FALSE,OR(L2447=FALSE,M2447=FALSE)),",","")&amp;IF(L2447=FALSE,"「残業手当」","")&amp;IF(AND(L2447=FALSE,M2447=FALSE),",","")&amp;IF(M2447=FALSE,"「残業時間」","")&amp;IF(OR(J2447=FALSE,K2447=FALSE,L2447=FALSE,M2447=FALSE),入力リスト!$K$36,"")&amp;IF(N2447,"",入力リスト!$K$37)))</f>
        <v/>
      </c>
      <c r="H2447" s="215"/>
      <c r="I2447" s="1" t="b">
        <f>IF(B2447="",FALSE,COUNTIF('従業員情報(給与以外)'!$A$4:$A$1000000,$B2447)=0)</f>
        <v>0</v>
      </c>
      <c r="J2447" s="8" t="b">
        <f t="shared" si="190"/>
        <v>1</v>
      </c>
      <c r="K2447" s="8" t="b">
        <f t="shared" si="191"/>
        <v>1</v>
      </c>
      <c r="L2447" s="8" t="b">
        <f t="shared" si="192"/>
        <v>1</v>
      </c>
      <c r="M2447" s="8" t="b">
        <f t="shared" si="193"/>
        <v>1</v>
      </c>
      <c r="N2447" s="1" t="b">
        <f t="shared" si="194"/>
        <v>1</v>
      </c>
      <c r="O2447" s="8" t="str">
        <f>IF(F2447="","",IF($F$2=入力リスト!$H$25,ROUNDDOWN(INT(F2447)+ROUNDDOWN((F2447-INT(F2447))*100,0)/60,2),F2447))</f>
        <v/>
      </c>
      <c r="P2447" s="7"/>
      <c r="Q2447" s="7"/>
    </row>
    <row r="2448" spans="1:17">
      <c r="A2448" s="234"/>
      <c r="B2448" s="235"/>
      <c r="C2448" s="235"/>
      <c r="D2448" s="3"/>
      <c r="E2448" s="235"/>
      <c r="F2448" s="236"/>
      <c r="G2448" s="215" t="str">
        <f>IF(AND($B2448="",OR(B2448&lt;&gt;"",C2448&lt;&gt;"",D2448&lt;&gt;"",E2448&lt;&gt;"",F2448&lt;&gt;"")),入力リスト!$K$34,IF($I2448=TRUE,入力リスト!$K$35,IF(J2448=FALSE,"「毎月の固定給与額」","")&amp;IF(AND(J2448=FALSE,OR(K2448=FALSE,L2448=FALSE,M2448=FALSE)),",","")&amp;IF(K2448=FALSE,"「賞与額等」","")&amp;IF(AND(K2448=FALSE,OR(L2448=FALSE,M2448=FALSE)),",","")&amp;IF(L2448=FALSE,"「残業手当」","")&amp;IF(AND(L2448=FALSE,M2448=FALSE),",","")&amp;IF(M2448=FALSE,"「残業時間」","")&amp;IF(OR(J2448=FALSE,K2448=FALSE,L2448=FALSE,M2448=FALSE),入力リスト!$K$36,"")&amp;IF(N2448,"",入力リスト!$K$37)))</f>
        <v/>
      </c>
      <c r="H2448" s="215"/>
      <c r="I2448" s="1" t="b">
        <f>IF(B2448="",FALSE,COUNTIF('従業員情報(給与以外)'!$A$4:$A$1000000,$B2448)=0)</f>
        <v>0</v>
      </c>
      <c r="J2448" s="8" t="b">
        <f t="shared" si="190"/>
        <v>1</v>
      </c>
      <c r="K2448" s="8" t="b">
        <f t="shared" si="191"/>
        <v>1</v>
      </c>
      <c r="L2448" s="8" t="b">
        <f t="shared" si="192"/>
        <v>1</v>
      </c>
      <c r="M2448" s="8" t="b">
        <f t="shared" si="193"/>
        <v>1</v>
      </c>
      <c r="N2448" s="1" t="b">
        <f t="shared" si="194"/>
        <v>1</v>
      </c>
      <c r="O2448" s="8" t="str">
        <f>IF(F2448="","",IF($F$2=入力リスト!$H$25,ROUNDDOWN(INT(F2448)+ROUNDDOWN((F2448-INT(F2448))*100,0)/60,2),F2448))</f>
        <v/>
      </c>
      <c r="P2448" s="7"/>
      <c r="Q2448" s="7"/>
    </row>
    <row r="2449" spans="1:17">
      <c r="A2449" s="234"/>
      <c r="B2449" s="235"/>
      <c r="C2449" s="235"/>
      <c r="D2449" s="3"/>
      <c r="E2449" s="235"/>
      <c r="F2449" s="236"/>
      <c r="G2449" s="215" t="str">
        <f>IF(AND($B2449="",OR(B2449&lt;&gt;"",C2449&lt;&gt;"",D2449&lt;&gt;"",E2449&lt;&gt;"",F2449&lt;&gt;"")),入力リスト!$K$34,IF($I2449=TRUE,入力リスト!$K$35,IF(J2449=FALSE,"「毎月の固定給与額」","")&amp;IF(AND(J2449=FALSE,OR(K2449=FALSE,L2449=FALSE,M2449=FALSE)),",","")&amp;IF(K2449=FALSE,"「賞与額等」","")&amp;IF(AND(K2449=FALSE,OR(L2449=FALSE,M2449=FALSE)),",","")&amp;IF(L2449=FALSE,"「残業手当」","")&amp;IF(AND(L2449=FALSE,M2449=FALSE),",","")&amp;IF(M2449=FALSE,"「残業時間」","")&amp;IF(OR(J2449=FALSE,K2449=FALSE,L2449=FALSE,M2449=FALSE),入力リスト!$K$36,"")&amp;IF(N2449,"",入力リスト!$K$37)))</f>
        <v/>
      </c>
      <c r="H2449" s="215"/>
      <c r="I2449" s="1" t="b">
        <f>IF(B2449="",FALSE,COUNTIF('従業員情報(給与以外)'!$A$4:$A$1000000,$B2449)=0)</f>
        <v>0</v>
      </c>
      <c r="J2449" s="8" t="b">
        <f t="shared" si="190"/>
        <v>1</v>
      </c>
      <c r="K2449" s="8" t="b">
        <f t="shared" si="191"/>
        <v>1</v>
      </c>
      <c r="L2449" s="8" t="b">
        <f t="shared" si="192"/>
        <v>1</v>
      </c>
      <c r="M2449" s="8" t="b">
        <f t="shared" si="193"/>
        <v>1</v>
      </c>
      <c r="N2449" s="1" t="b">
        <f t="shared" si="194"/>
        <v>1</v>
      </c>
      <c r="O2449" s="8" t="str">
        <f>IF(F2449="","",IF($F$2=入力リスト!$H$25,ROUNDDOWN(INT(F2449)+ROUNDDOWN((F2449-INT(F2449))*100,0)/60,2),F2449))</f>
        <v/>
      </c>
      <c r="P2449" s="7"/>
      <c r="Q2449" s="7"/>
    </row>
    <row r="2450" spans="1:17">
      <c r="A2450" s="234"/>
      <c r="B2450" s="235"/>
      <c r="C2450" s="235"/>
      <c r="D2450" s="3"/>
      <c r="E2450" s="235"/>
      <c r="F2450" s="236"/>
      <c r="G2450" s="215" t="str">
        <f>IF(AND($B2450="",OR(B2450&lt;&gt;"",C2450&lt;&gt;"",D2450&lt;&gt;"",E2450&lt;&gt;"",F2450&lt;&gt;"")),入力リスト!$K$34,IF($I2450=TRUE,入力リスト!$K$35,IF(J2450=FALSE,"「毎月の固定給与額」","")&amp;IF(AND(J2450=FALSE,OR(K2450=FALSE,L2450=FALSE,M2450=FALSE)),",","")&amp;IF(K2450=FALSE,"「賞与額等」","")&amp;IF(AND(K2450=FALSE,OR(L2450=FALSE,M2450=FALSE)),",","")&amp;IF(L2450=FALSE,"「残業手当」","")&amp;IF(AND(L2450=FALSE,M2450=FALSE),",","")&amp;IF(M2450=FALSE,"「残業時間」","")&amp;IF(OR(J2450=FALSE,K2450=FALSE,L2450=FALSE,M2450=FALSE),入力リスト!$K$36,"")&amp;IF(N2450,"",入力リスト!$K$37)))</f>
        <v/>
      </c>
      <c r="H2450" s="215"/>
      <c r="I2450" s="1" t="b">
        <f>IF(B2450="",FALSE,COUNTIF('従業員情報(給与以外)'!$A$4:$A$1000000,$B2450)=0)</f>
        <v>0</v>
      </c>
      <c r="J2450" s="8" t="b">
        <f t="shared" si="190"/>
        <v>1</v>
      </c>
      <c r="K2450" s="8" t="b">
        <f t="shared" si="191"/>
        <v>1</v>
      </c>
      <c r="L2450" s="8" t="b">
        <f t="shared" si="192"/>
        <v>1</v>
      </c>
      <c r="M2450" s="8" t="b">
        <f t="shared" si="193"/>
        <v>1</v>
      </c>
      <c r="N2450" s="1" t="b">
        <f t="shared" si="194"/>
        <v>1</v>
      </c>
      <c r="O2450" s="8" t="str">
        <f>IF(F2450="","",IF($F$2=入力リスト!$H$25,ROUNDDOWN(INT(F2450)+ROUNDDOWN((F2450-INT(F2450))*100,0)/60,2),F2450))</f>
        <v/>
      </c>
      <c r="P2450" s="7"/>
      <c r="Q2450" s="7"/>
    </row>
    <row r="2451" spans="1:17">
      <c r="A2451" s="234"/>
      <c r="B2451" s="235"/>
      <c r="C2451" s="235"/>
      <c r="D2451" s="3"/>
      <c r="E2451" s="235"/>
      <c r="F2451" s="236"/>
      <c r="G2451" s="215" t="str">
        <f>IF(AND($B2451="",OR(B2451&lt;&gt;"",C2451&lt;&gt;"",D2451&lt;&gt;"",E2451&lt;&gt;"",F2451&lt;&gt;"")),入力リスト!$K$34,IF($I2451=TRUE,入力リスト!$K$35,IF(J2451=FALSE,"「毎月の固定給与額」","")&amp;IF(AND(J2451=FALSE,OR(K2451=FALSE,L2451=FALSE,M2451=FALSE)),",","")&amp;IF(K2451=FALSE,"「賞与額等」","")&amp;IF(AND(K2451=FALSE,OR(L2451=FALSE,M2451=FALSE)),",","")&amp;IF(L2451=FALSE,"「残業手当」","")&amp;IF(AND(L2451=FALSE,M2451=FALSE),",","")&amp;IF(M2451=FALSE,"「残業時間」","")&amp;IF(OR(J2451=FALSE,K2451=FALSE,L2451=FALSE,M2451=FALSE),入力リスト!$K$36,"")&amp;IF(N2451,"",入力リスト!$K$37)))</f>
        <v/>
      </c>
      <c r="H2451" s="215"/>
      <c r="I2451" s="1" t="b">
        <f>IF(B2451="",FALSE,COUNTIF('従業員情報(給与以外)'!$A$4:$A$1000000,$B2451)=0)</f>
        <v>0</v>
      </c>
      <c r="J2451" s="8" t="b">
        <f t="shared" si="190"/>
        <v>1</v>
      </c>
      <c r="K2451" s="8" t="b">
        <f t="shared" si="191"/>
        <v>1</v>
      </c>
      <c r="L2451" s="8" t="b">
        <f t="shared" si="192"/>
        <v>1</v>
      </c>
      <c r="M2451" s="8" t="b">
        <f t="shared" si="193"/>
        <v>1</v>
      </c>
      <c r="N2451" s="1" t="b">
        <f t="shared" si="194"/>
        <v>1</v>
      </c>
      <c r="O2451" s="8" t="str">
        <f>IF(F2451="","",IF($F$2=入力リスト!$H$25,ROUNDDOWN(INT(F2451)+ROUNDDOWN((F2451-INT(F2451))*100,0)/60,2),F2451))</f>
        <v/>
      </c>
      <c r="P2451" s="7"/>
      <c r="Q2451" s="7"/>
    </row>
    <row r="2452" spans="1:17">
      <c r="A2452" s="234"/>
      <c r="B2452" s="235"/>
      <c r="C2452" s="235"/>
      <c r="D2452" s="3"/>
      <c r="E2452" s="235"/>
      <c r="F2452" s="236"/>
      <c r="G2452" s="215" t="str">
        <f>IF(AND($B2452="",OR(B2452&lt;&gt;"",C2452&lt;&gt;"",D2452&lt;&gt;"",E2452&lt;&gt;"",F2452&lt;&gt;"")),入力リスト!$K$34,IF($I2452=TRUE,入力リスト!$K$35,IF(J2452=FALSE,"「毎月の固定給与額」","")&amp;IF(AND(J2452=FALSE,OR(K2452=FALSE,L2452=FALSE,M2452=FALSE)),",","")&amp;IF(K2452=FALSE,"「賞与額等」","")&amp;IF(AND(K2452=FALSE,OR(L2452=FALSE,M2452=FALSE)),",","")&amp;IF(L2452=FALSE,"「残業手当」","")&amp;IF(AND(L2452=FALSE,M2452=FALSE),",","")&amp;IF(M2452=FALSE,"「残業時間」","")&amp;IF(OR(J2452=FALSE,K2452=FALSE,L2452=FALSE,M2452=FALSE),入力リスト!$K$36,"")&amp;IF(N2452,"",入力リスト!$K$37)))</f>
        <v/>
      </c>
      <c r="H2452" s="215"/>
      <c r="I2452" s="1" t="b">
        <f>IF(B2452="",FALSE,COUNTIF('従業員情報(給与以外)'!$A$4:$A$1000000,$B2452)=0)</f>
        <v>0</v>
      </c>
      <c r="J2452" s="8" t="b">
        <f t="shared" si="190"/>
        <v>1</v>
      </c>
      <c r="K2452" s="8" t="b">
        <f t="shared" si="191"/>
        <v>1</v>
      </c>
      <c r="L2452" s="8" t="b">
        <f t="shared" si="192"/>
        <v>1</v>
      </c>
      <c r="M2452" s="8" t="b">
        <f t="shared" si="193"/>
        <v>1</v>
      </c>
      <c r="N2452" s="1" t="b">
        <f t="shared" si="194"/>
        <v>1</v>
      </c>
      <c r="O2452" s="8" t="str">
        <f>IF(F2452="","",IF($F$2=入力リスト!$H$25,ROUNDDOWN(INT(F2452)+ROUNDDOWN((F2452-INT(F2452))*100,0)/60,2),F2452))</f>
        <v/>
      </c>
      <c r="P2452" s="7"/>
      <c r="Q2452" s="7"/>
    </row>
    <row r="2453" spans="1:17">
      <c r="A2453" s="234"/>
      <c r="B2453" s="235"/>
      <c r="C2453" s="235"/>
      <c r="D2453" s="3"/>
      <c r="E2453" s="235"/>
      <c r="F2453" s="236"/>
      <c r="G2453" s="215" t="str">
        <f>IF(AND($B2453="",OR(B2453&lt;&gt;"",C2453&lt;&gt;"",D2453&lt;&gt;"",E2453&lt;&gt;"",F2453&lt;&gt;"")),入力リスト!$K$34,IF($I2453=TRUE,入力リスト!$K$35,IF(J2453=FALSE,"「毎月の固定給与額」","")&amp;IF(AND(J2453=FALSE,OR(K2453=FALSE,L2453=FALSE,M2453=FALSE)),",","")&amp;IF(K2453=FALSE,"「賞与額等」","")&amp;IF(AND(K2453=FALSE,OR(L2453=FALSE,M2453=FALSE)),",","")&amp;IF(L2453=FALSE,"「残業手当」","")&amp;IF(AND(L2453=FALSE,M2453=FALSE),",","")&amp;IF(M2453=FALSE,"「残業時間」","")&amp;IF(OR(J2453=FALSE,K2453=FALSE,L2453=FALSE,M2453=FALSE),入力リスト!$K$36,"")&amp;IF(N2453,"",入力リスト!$K$37)))</f>
        <v/>
      </c>
      <c r="H2453" s="215"/>
      <c r="I2453" s="1" t="b">
        <f>IF(B2453="",FALSE,COUNTIF('従業員情報(給与以外)'!$A$4:$A$1000000,$B2453)=0)</f>
        <v>0</v>
      </c>
      <c r="J2453" s="8" t="b">
        <f t="shared" si="190"/>
        <v>1</v>
      </c>
      <c r="K2453" s="8" t="b">
        <f t="shared" si="191"/>
        <v>1</v>
      </c>
      <c r="L2453" s="8" t="b">
        <f t="shared" si="192"/>
        <v>1</v>
      </c>
      <c r="M2453" s="8" t="b">
        <f t="shared" si="193"/>
        <v>1</v>
      </c>
      <c r="N2453" s="1" t="b">
        <f t="shared" si="194"/>
        <v>1</v>
      </c>
      <c r="O2453" s="8" t="str">
        <f>IF(F2453="","",IF($F$2=入力リスト!$H$25,ROUNDDOWN(INT(F2453)+ROUNDDOWN((F2453-INT(F2453))*100,0)/60,2),F2453))</f>
        <v/>
      </c>
      <c r="P2453" s="7"/>
      <c r="Q2453" s="7"/>
    </row>
    <row r="2454" spans="1:17">
      <c r="A2454" s="234"/>
      <c r="B2454" s="235"/>
      <c r="C2454" s="235"/>
      <c r="D2454" s="3"/>
      <c r="E2454" s="235"/>
      <c r="F2454" s="236"/>
      <c r="G2454" s="215" t="str">
        <f>IF(AND($B2454="",OR(B2454&lt;&gt;"",C2454&lt;&gt;"",D2454&lt;&gt;"",E2454&lt;&gt;"",F2454&lt;&gt;"")),入力リスト!$K$34,IF($I2454=TRUE,入力リスト!$K$35,IF(J2454=FALSE,"「毎月の固定給与額」","")&amp;IF(AND(J2454=FALSE,OR(K2454=FALSE,L2454=FALSE,M2454=FALSE)),",","")&amp;IF(K2454=FALSE,"「賞与額等」","")&amp;IF(AND(K2454=FALSE,OR(L2454=FALSE,M2454=FALSE)),",","")&amp;IF(L2454=FALSE,"「残業手当」","")&amp;IF(AND(L2454=FALSE,M2454=FALSE),",","")&amp;IF(M2454=FALSE,"「残業時間」","")&amp;IF(OR(J2454=FALSE,K2454=FALSE,L2454=FALSE,M2454=FALSE),入力リスト!$K$36,"")&amp;IF(N2454,"",入力リスト!$K$37)))</f>
        <v/>
      </c>
      <c r="H2454" s="215"/>
      <c r="I2454" s="1" t="b">
        <f>IF(B2454="",FALSE,COUNTIF('従業員情報(給与以外)'!$A$4:$A$1000000,$B2454)=0)</f>
        <v>0</v>
      </c>
      <c r="J2454" s="8" t="b">
        <f t="shared" si="190"/>
        <v>1</v>
      </c>
      <c r="K2454" s="8" t="b">
        <f t="shared" si="191"/>
        <v>1</v>
      </c>
      <c r="L2454" s="8" t="b">
        <f t="shared" si="192"/>
        <v>1</v>
      </c>
      <c r="M2454" s="8" t="b">
        <f t="shared" si="193"/>
        <v>1</v>
      </c>
      <c r="N2454" s="1" t="b">
        <f t="shared" si="194"/>
        <v>1</v>
      </c>
      <c r="O2454" s="8" t="str">
        <f>IF(F2454="","",IF($F$2=入力リスト!$H$25,ROUNDDOWN(INT(F2454)+ROUNDDOWN((F2454-INT(F2454))*100,0)/60,2),F2454))</f>
        <v/>
      </c>
      <c r="P2454" s="7"/>
      <c r="Q2454" s="7"/>
    </row>
    <row r="2455" spans="1:17">
      <c r="A2455" s="234"/>
      <c r="B2455" s="235"/>
      <c r="C2455" s="235"/>
      <c r="D2455" s="3"/>
      <c r="E2455" s="235"/>
      <c r="F2455" s="236"/>
      <c r="G2455" s="215" t="str">
        <f>IF(AND($B2455="",OR(B2455&lt;&gt;"",C2455&lt;&gt;"",D2455&lt;&gt;"",E2455&lt;&gt;"",F2455&lt;&gt;"")),入力リスト!$K$34,IF($I2455=TRUE,入力リスト!$K$35,IF(J2455=FALSE,"「毎月の固定給与額」","")&amp;IF(AND(J2455=FALSE,OR(K2455=FALSE,L2455=FALSE,M2455=FALSE)),",","")&amp;IF(K2455=FALSE,"「賞与額等」","")&amp;IF(AND(K2455=FALSE,OR(L2455=FALSE,M2455=FALSE)),",","")&amp;IF(L2455=FALSE,"「残業手当」","")&amp;IF(AND(L2455=FALSE,M2455=FALSE),",","")&amp;IF(M2455=FALSE,"「残業時間」","")&amp;IF(OR(J2455=FALSE,K2455=FALSE,L2455=FALSE,M2455=FALSE),入力リスト!$K$36,"")&amp;IF(N2455,"",入力リスト!$K$37)))</f>
        <v/>
      </c>
      <c r="H2455" s="215"/>
      <c r="I2455" s="1" t="b">
        <f>IF(B2455="",FALSE,COUNTIF('従業員情報(給与以外)'!$A$4:$A$1000000,$B2455)=0)</f>
        <v>0</v>
      </c>
      <c r="J2455" s="8" t="b">
        <f t="shared" si="190"/>
        <v>1</v>
      </c>
      <c r="K2455" s="8" t="b">
        <f t="shared" si="191"/>
        <v>1</v>
      </c>
      <c r="L2455" s="8" t="b">
        <f t="shared" si="192"/>
        <v>1</v>
      </c>
      <c r="M2455" s="8" t="b">
        <f t="shared" si="193"/>
        <v>1</v>
      </c>
      <c r="N2455" s="1" t="b">
        <f t="shared" si="194"/>
        <v>1</v>
      </c>
      <c r="O2455" s="8" t="str">
        <f>IF(F2455="","",IF($F$2=入力リスト!$H$25,ROUNDDOWN(INT(F2455)+ROUNDDOWN((F2455-INT(F2455))*100,0)/60,2),F2455))</f>
        <v/>
      </c>
      <c r="P2455" s="7"/>
      <c r="Q2455" s="7"/>
    </row>
    <row r="2456" spans="1:17">
      <c r="A2456" s="234"/>
      <c r="B2456" s="235"/>
      <c r="C2456" s="235"/>
      <c r="D2456" s="3"/>
      <c r="E2456" s="235"/>
      <c r="F2456" s="236"/>
      <c r="G2456" s="215" t="str">
        <f>IF(AND($B2456="",OR(B2456&lt;&gt;"",C2456&lt;&gt;"",D2456&lt;&gt;"",E2456&lt;&gt;"",F2456&lt;&gt;"")),入力リスト!$K$34,IF($I2456=TRUE,入力リスト!$K$35,IF(J2456=FALSE,"「毎月の固定給与額」","")&amp;IF(AND(J2456=FALSE,OR(K2456=FALSE,L2456=FALSE,M2456=FALSE)),",","")&amp;IF(K2456=FALSE,"「賞与額等」","")&amp;IF(AND(K2456=FALSE,OR(L2456=FALSE,M2456=FALSE)),",","")&amp;IF(L2456=FALSE,"「残業手当」","")&amp;IF(AND(L2456=FALSE,M2456=FALSE),",","")&amp;IF(M2456=FALSE,"「残業時間」","")&amp;IF(OR(J2456=FALSE,K2456=FALSE,L2456=FALSE,M2456=FALSE),入力リスト!$K$36,"")&amp;IF(N2456,"",入力リスト!$K$37)))</f>
        <v/>
      </c>
      <c r="H2456" s="215"/>
      <c r="I2456" s="1" t="b">
        <f>IF(B2456="",FALSE,COUNTIF('従業員情報(給与以外)'!$A$4:$A$1000000,$B2456)=0)</f>
        <v>0</v>
      </c>
      <c r="J2456" s="8" t="b">
        <f t="shared" si="190"/>
        <v>1</v>
      </c>
      <c r="K2456" s="8" t="b">
        <f t="shared" si="191"/>
        <v>1</v>
      </c>
      <c r="L2456" s="8" t="b">
        <f t="shared" si="192"/>
        <v>1</v>
      </c>
      <c r="M2456" s="8" t="b">
        <f t="shared" si="193"/>
        <v>1</v>
      </c>
      <c r="N2456" s="1" t="b">
        <f t="shared" si="194"/>
        <v>1</v>
      </c>
      <c r="O2456" s="8" t="str">
        <f>IF(F2456="","",IF($F$2=入力リスト!$H$25,ROUNDDOWN(INT(F2456)+ROUNDDOWN((F2456-INT(F2456))*100,0)/60,2),F2456))</f>
        <v/>
      </c>
      <c r="P2456" s="7"/>
      <c r="Q2456" s="7"/>
    </row>
    <row r="2457" spans="1:17">
      <c r="A2457" s="234"/>
      <c r="B2457" s="235"/>
      <c r="C2457" s="235"/>
      <c r="D2457" s="3"/>
      <c r="E2457" s="235"/>
      <c r="F2457" s="236"/>
      <c r="G2457" s="215" t="str">
        <f>IF(AND($B2457="",OR(B2457&lt;&gt;"",C2457&lt;&gt;"",D2457&lt;&gt;"",E2457&lt;&gt;"",F2457&lt;&gt;"")),入力リスト!$K$34,IF($I2457=TRUE,入力リスト!$K$35,IF(J2457=FALSE,"「毎月の固定給与額」","")&amp;IF(AND(J2457=FALSE,OR(K2457=FALSE,L2457=FALSE,M2457=FALSE)),",","")&amp;IF(K2457=FALSE,"「賞与額等」","")&amp;IF(AND(K2457=FALSE,OR(L2457=FALSE,M2457=FALSE)),",","")&amp;IF(L2457=FALSE,"「残業手当」","")&amp;IF(AND(L2457=FALSE,M2457=FALSE),",","")&amp;IF(M2457=FALSE,"「残業時間」","")&amp;IF(OR(J2457=FALSE,K2457=FALSE,L2457=FALSE,M2457=FALSE),入力リスト!$K$36,"")&amp;IF(N2457,"",入力リスト!$K$37)))</f>
        <v/>
      </c>
      <c r="H2457" s="215"/>
      <c r="I2457" s="1" t="b">
        <f>IF(B2457="",FALSE,COUNTIF('従業員情報(給与以外)'!$A$4:$A$1000000,$B2457)=0)</f>
        <v>0</v>
      </c>
      <c r="J2457" s="8" t="b">
        <f t="shared" si="190"/>
        <v>1</v>
      </c>
      <c r="K2457" s="8" t="b">
        <f t="shared" si="191"/>
        <v>1</v>
      </c>
      <c r="L2457" s="8" t="b">
        <f t="shared" si="192"/>
        <v>1</v>
      </c>
      <c r="M2457" s="8" t="b">
        <f t="shared" si="193"/>
        <v>1</v>
      </c>
      <c r="N2457" s="1" t="b">
        <f t="shared" si="194"/>
        <v>1</v>
      </c>
      <c r="O2457" s="8" t="str">
        <f>IF(F2457="","",IF($F$2=入力リスト!$H$25,ROUNDDOWN(INT(F2457)+ROUNDDOWN((F2457-INT(F2457))*100,0)/60,2),F2457))</f>
        <v/>
      </c>
      <c r="P2457" s="7"/>
      <c r="Q2457" s="7"/>
    </row>
    <row r="2458" spans="1:17">
      <c r="A2458" s="234"/>
      <c r="B2458" s="235"/>
      <c r="C2458" s="235"/>
      <c r="D2458" s="3"/>
      <c r="E2458" s="235"/>
      <c r="F2458" s="236"/>
      <c r="G2458" s="215" t="str">
        <f>IF(AND($B2458="",OR(B2458&lt;&gt;"",C2458&lt;&gt;"",D2458&lt;&gt;"",E2458&lt;&gt;"",F2458&lt;&gt;"")),入力リスト!$K$34,IF($I2458=TRUE,入力リスト!$K$35,IF(J2458=FALSE,"「毎月の固定給与額」","")&amp;IF(AND(J2458=FALSE,OR(K2458=FALSE,L2458=FALSE,M2458=FALSE)),",","")&amp;IF(K2458=FALSE,"「賞与額等」","")&amp;IF(AND(K2458=FALSE,OR(L2458=FALSE,M2458=FALSE)),",","")&amp;IF(L2458=FALSE,"「残業手当」","")&amp;IF(AND(L2458=FALSE,M2458=FALSE),",","")&amp;IF(M2458=FALSE,"「残業時間」","")&amp;IF(OR(J2458=FALSE,K2458=FALSE,L2458=FALSE,M2458=FALSE),入力リスト!$K$36,"")&amp;IF(N2458,"",入力リスト!$K$37)))</f>
        <v/>
      </c>
      <c r="H2458" s="215"/>
      <c r="I2458" s="1" t="b">
        <f>IF(B2458="",FALSE,COUNTIF('従業員情報(給与以外)'!$A$4:$A$1000000,$B2458)=0)</f>
        <v>0</v>
      </c>
      <c r="J2458" s="8" t="b">
        <f t="shared" si="190"/>
        <v>1</v>
      </c>
      <c r="K2458" s="8" t="b">
        <f t="shared" si="191"/>
        <v>1</v>
      </c>
      <c r="L2458" s="8" t="b">
        <f t="shared" si="192"/>
        <v>1</v>
      </c>
      <c r="M2458" s="8" t="b">
        <f t="shared" si="193"/>
        <v>1</v>
      </c>
      <c r="N2458" s="1" t="b">
        <f t="shared" si="194"/>
        <v>1</v>
      </c>
      <c r="O2458" s="8" t="str">
        <f>IF(F2458="","",IF($F$2=入力リスト!$H$25,ROUNDDOWN(INT(F2458)+ROUNDDOWN((F2458-INT(F2458))*100,0)/60,2),F2458))</f>
        <v/>
      </c>
      <c r="P2458" s="7"/>
      <c r="Q2458" s="7"/>
    </row>
    <row r="2459" spans="1:17">
      <c r="A2459" s="234"/>
      <c r="B2459" s="235"/>
      <c r="C2459" s="235"/>
      <c r="D2459" s="3"/>
      <c r="E2459" s="235"/>
      <c r="F2459" s="236"/>
      <c r="G2459" s="215" t="str">
        <f>IF(AND($B2459="",OR(B2459&lt;&gt;"",C2459&lt;&gt;"",D2459&lt;&gt;"",E2459&lt;&gt;"",F2459&lt;&gt;"")),入力リスト!$K$34,IF($I2459=TRUE,入力リスト!$K$35,IF(J2459=FALSE,"「毎月の固定給与額」","")&amp;IF(AND(J2459=FALSE,OR(K2459=FALSE,L2459=FALSE,M2459=FALSE)),",","")&amp;IF(K2459=FALSE,"「賞与額等」","")&amp;IF(AND(K2459=FALSE,OR(L2459=FALSE,M2459=FALSE)),",","")&amp;IF(L2459=FALSE,"「残業手当」","")&amp;IF(AND(L2459=FALSE,M2459=FALSE),",","")&amp;IF(M2459=FALSE,"「残業時間」","")&amp;IF(OR(J2459=FALSE,K2459=FALSE,L2459=FALSE,M2459=FALSE),入力リスト!$K$36,"")&amp;IF(N2459,"",入力リスト!$K$37)))</f>
        <v/>
      </c>
      <c r="H2459" s="215"/>
      <c r="I2459" s="1" t="b">
        <f>IF(B2459="",FALSE,COUNTIF('従業員情報(給与以外)'!$A$4:$A$1000000,$B2459)=0)</f>
        <v>0</v>
      </c>
      <c r="J2459" s="8" t="b">
        <f t="shared" si="190"/>
        <v>1</v>
      </c>
      <c r="K2459" s="8" t="b">
        <f t="shared" si="191"/>
        <v>1</v>
      </c>
      <c r="L2459" s="8" t="b">
        <f t="shared" si="192"/>
        <v>1</v>
      </c>
      <c r="M2459" s="8" t="b">
        <f t="shared" si="193"/>
        <v>1</v>
      </c>
      <c r="N2459" s="1" t="b">
        <f t="shared" si="194"/>
        <v>1</v>
      </c>
      <c r="O2459" s="8" t="str">
        <f>IF(F2459="","",IF($F$2=入力リスト!$H$25,ROUNDDOWN(INT(F2459)+ROUNDDOWN((F2459-INT(F2459))*100,0)/60,2),F2459))</f>
        <v/>
      </c>
      <c r="P2459" s="7"/>
      <c r="Q2459" s="7"/>
    </row>
    <row r="2460" spans="1:17">
      <c r="A2460" s="234"/>
      <c r="B2460" s="235"/>
      <c r="C2460" s="235"/>
      <c r="D2460" s="3"/>
      <c r="E2460" s="235"/>
      <c r="F2460" s="236"/>
      <c r="G2460" s="215" t="str">
        <f>IF(AND($B2460="",OR(B2460&lt;&gt;"",C2460&lt;&gt;"",D2460&lt;&gt;"",E2460&lt;&gt;"",F2460&lt;&gt;"")),入力リスト!$K$34,IF($I2460=TRUE,入力リスト!$K$35,IF(J2460=FALSE,"「毎月の固定給与額」","")&amp;IF(AND(J2460=FALSE,OR(K2460=FALSE,L2460=FALSE,M2460=FALSE)),",","")&amp;IF(K2460=FALSE,"「賞与額等」","")&amp;IF(AND(K2460=FALSE,OR(L2460=FALSE,M2460=FALSE)),",","")&amp;IF(L2460=FALSE,"「残業手当」","")&amp;IF(AND(L2460=FALSE,M2460=FALSE),",","")&amp;IF(M2460=FALSE,"「残業時間」","")&amp;IF(OR(J2460=FALSE,K2460=FALSE,L2460=FALSE,M2460=FALSE),入力リスト!$K$36,"")&amp;IF(N2460,"",入力リスト!$K$37)))</f>
        <v/>
      </c>
      <c r="H2460" s="215"/>
      <c r="I2460" s="1" t="b">
        <f>IF(B2460="",FALSE,COUNTIF('従業員情報(給与以外)'!$A$4:$A$1000000,$B2460)=0)</f>
        <v>0</v>
      </c>
      <c r="J2460" s="8" t="b">
        <f t="shared" si="190"/>
        <v>1</v>
      </c>
      <c r="K2460" s="8" t="b">
        <f t="shared" si="191"/>
        <v>1</v>
      </c>
      <c r="L2460" s="8" t="b">
        <f t="shared" si="192"/>
        <v>1</v>
      </c>
      <c r="M2460" s="8" t="b">
        <f t="shared" si="193"/>
        <v>1</v>
      </c>
      <c r="N2460" s="1" t="b">
        <f t="shared" si="194"/>
        <v>1</v>
      </c>
      <c r="O2460" s="8" t="str">
        <f>IF(F2460="","",IF($F$2=入力リスト!$H$25,ROUNDDOWN(INT(F2460)+ROUNDDOWN((F2460-INT(F2460))*100,0)/60,2),F2460))</f>
        <v/>
      </c>
      <c r="P2460" s="7"/>
      <c r="Q2460" s="7"/>
    </row>
    <row r="2461" spans="1:17">
      <c r="A2461" s="234"/>
      <c r="B2461" s="235"/>
      <c r="C2461" s="235"/>
      <c r="D2461" s="3"/>
      <c r="E2461" s="235"/>
      <c r="F2461" s="236"/>
      <c r="G2461" s="215" t="str">
        <f>IF(AND($B2461="",OR(B2461&lt;&gt;"",C2461&lt;&gt;"",D2461&lt;&gt;"",E2461&lt;&gt;"",F2461&lt;&gt;"")),入力リスト!$K$34,IF($I2461=TRUE,入力リスト!$K$35,IF(J2461=FALSE,"「毎月の固定給与額」","")&amp;IF(AND(J2461=FALSE,OR(K2461=FALSE,L2461=FALSE,M2461=FALSE)),",","")&amp;IF(K2461=FALSE,"「賞与額等」","")&amp;IF(AND(K2461=FALSE,OR(L2461=FALSE,M2461=FALSE)),",","")&amp;IF(L2461=FALSE,"「残業手当」","")&amp;IF(AND(L2461=FALSE,M2461=FALSE),",","")&amp;IF(M2461=FALSE,"「残業時間」","")&amp;IF(OR(J2461=FALSE,K2461=FALSE,L2461=FALSE,M2461=FALSE),入力リスト!$K$36,"")&amp;IF(N2461,"",入力リスト!$K$37)))</f>
        <v/>
      </c>
      <c r="H2461" s="215"/>
      <c r="I2461" s="1" t="b">
        <f>IF(B2461="",FALSE,COUNTIF('従業員情報(給与以外)'!$A$4:$A$1000000,$B2461)=0)</f>
        <v>0</v>
      </c>
      <c r="J2461" s="8" t="b">
        <f t="shared" si="190"/>
        <v>1</v>
      </c>
      <c r="K2461" s="8" t="b">
        <f t="shared" si="191"/>
        <v>1</v>
      </c>
      <c r="L2461" s="8" t="b">
        <f t="shared" si="192"/>
        <v>1</v>
      </c>
      <c r="M2461" s="8" t="b">
        <f t="shared" si="193"/>
        <v>1</v>
      </c>
      <c r="N2461" s="1" t="b">
        <f t="shared" si="194"/>
        <v>1</v>
      </c>
      <c r="O2461" s="8" t="str">
        <f>IF(F2461="","",IF($F$2=入力リスト!$H$25,ROUNDDOWN(INT(F2461)+ROUNDDOWN((F2461-INT(F2461))*100,0)/60,2),F2461))</f>
        <v/>
      </c>
      <c r="P2461" s="7"/>
      <c r="Q2461" s="7"/>
    </row>
    <row r="2462" spans="1:17">
      <c r="A2462" s="234"/>
      <c r="B2462" s="235"/>
      <c r="C2462" s="235"/>
      <c r="D2462" s="3"/>
      <c r="E2462" s="235"/>
      <c r="F2462" s="236"/>
      <c r="G2462" s="215" t="str">
        <f>IF(AND($B2462="",OR(B2462&lt;&gt;"",C2462&lt;&gt;"",D2462&lt;&gt;"",E2462&lt;&gt;"",F2462&lt;&gt;"")),入力リスト!$K$34,IF($I2462=TRUE,入力リスト!$K$35,IF(J2462=FALSE,"「毎月の固定給与額」","")&amp;IF(AND(J2462=FALSE,OR(K2462=FALSE,L2462=FALSE,M2462=FALSE)),",","")&amp;IF(K2462=FALSE,"「賞与額等」","")&amp;IF(AND(K2462=FALSE,OR(L2462=FALSE,M2462=FALSE)),",","")&amp;IF(L2462=FALSE,"「残業手当」","")&amp;IF(AND(L2462=FALSE,M2462=FALSE),",","")&amp;IF(M2462=FALSE,"「残業時間」","")&amp;IF(OR(J2462=FALSE,K2462=FALSE,L2462=FALSE,M2462=FALSE),入力リスト!$K$36,"")&amp;IF(N2462,"",入力リスト!$K$37)))</f>
        <v/>
      </c>
      <c r="H2462" s="215"/>
      <c r="I2462" s="1" t="b">
        <f>IF(B2462="",FALSE,COUNTIF('従業員情報(給与以外)'!$A$4:$A$1000000,$B2462)=0)</f>
        <v>0</v>
      </c>
      <c r="J2462" s="8" t="b">
        <f t="shared" si="190"/>
        <v>1</v>
      </c>
      <c r="K2462" s="8" t="b">
        <f t="shared" si="191"/>
        <v>1</v>
      </c>
      <c r="L2462" s="8" t="b">
        <f t="shared" si="192"/>
        <v>1</v>
      </c>
      <c r="M2462" s="8" t="b">
        <f t="shared" si="193"/>
        <v>1</v>
      </c>
      <c r="N2462" s="1" t="b">
        <f t="shared" si="194"/>
        <v>1</v>
      </c>
      <c r="O2462" s="8" t="str">
        <f>IF(F2462="","",IF($F$2=入力リスト!$H$25,ROUNDDOWN(INT(F2462)+ROUNDDOWN((F2462-INT(F2462))*100,0)/60,2),F2462))</f>
        <v/>
      </c>
      <c r="P2462" s="7"/>
      <c r="Q2462" s="7"/>
    </row>
    <row r="2463" spans="1:17">
      <c r="A2463" s="234"/>
      <c r="B2463" s="235"/>
      <c r="C2463" s="235"/>
      <c r="D2463" s="3"/>
      <c r="E2463" s="235"/>
      <c r="F2463" s="236"/>
      <c r="G2463" s="215" t="str">
        <f>IF(AND($B2463="",OR(B2463&lt;&gt;"",C2463&lt;&gt;"",D2463&lt;&gt;"",E2463&lt;&gt;"",F2463&lt;&gt;"")),入力リスト!$K$34,IF($I2463=TRUE,入力リスト!$K$35,IF(J2463=FALSE,"「毎月の固定給与額」","")&amp;IF(AND(J2463=FALSE,OR(K2463=FALSE,L2463=FALSE,M2463=FALSE)),",","")&amp;IF(K2463=FALSE,"「賞与額等」","")&amp;IF(AND(K2463=FALSE,OR(L2463=FALSE,M2463=FALSE)),",","")&amp;IF(L2463=FALSE,"「残業手当」","")&amp;IF(AND(L2463=FALSE,M2463=FALSE),",","")&amp;IF(M2463=FALSE,"「残業時間」","")&amp;IF(OR(J2463=FALSE,K2463=FALSE,L2463=FALSE,M2463=FALSE),入力リスト!$K$36,"")&amp;IF(N2463,"",入力リスト!$K$37)))</f>
        <v/>
      </c>
      <c r="H2463" s="215"/>
      <c r="I2463" s="1" t="b">
        <f>IF(B2463="",FALSE,COUNTIF('従業員情報(給与以外)'!$A$4:$A$1000000,$B2463)=0)</f>
        <v>0</v>
      </c>
      <c r="J2463" s="8" t="b">
        <f t="shared" si="190"/>
        <v>1</v>
      </c>
      <c r="K2463" s="8" t="b">
        <f t="shared" si="191"/>
        <v>1</v>
      </c>
      <c r="L2463" s="8" t="b">
        <f t="shared" si="192"/>
        <v>1</v>
      </c>
      <c r="M2463" s="8" t="b">
        <f t="shared" si="193"/>
        <v>1</v>
      </c>
      <c r="N2463" s="1" t="b">
        <f t="shared" si="194"/>
        <v>1</v>
      </c>
      <c r="O2463" s="8" t="str">
        <f>IF(F2463="","",IF($F$2=入力リスト!$H$25,ROUNDDOWN(INT(F2463)+ROUNDDOWN((F2463-INT(F2463))*100,0)/60,2),F2463))</f>
        <v/>
      </c>
      <c r="P2463" s="7"/>
      <c r="Q2463" s="7"/>
    </row>
    <row r="2464" spans="1:17">
      <c r="A2464" s="234"/>
      <c r="B2464" s="235"/>
      <c r="C2464" s="235"/>
      <c r="D2464" s="3"/>
      <c r="E2464" s="235"/>
      <c r="F2464" s="236"/>
      <c r="G2464" s="215" t="str">
        <f>IF(AND($B2464="",OR(B2464&lt;&gt;"",C2464&lt;&gt;"",D2464&lt;&gt;"",E2464&lt;&gt;"",F2464&lt;&gt;"")),入力リスト!$K$34,IF($I2464=TRUE,入力リスト!$K$35,IF(J2464=FALSE,"「毎月の固定給与額」","")&amp;IF(AND(J2464=FALSE,OR(K2464=FALSE,L2464=FALSE,M2464=FALSE)),",","")&amp;IF(K2464=FALSE,"「賞与額等」","")&amp;IF(AND(K2464=FALSE,OR(L2464=FALSE,M2464=FALSE)),",","")&amp;IF(L2464=FALSE,"「残業手当」","")&amp;IF(AND(L2464=FALSE,M2464=FALSE),",","")&amp;IF(M2464=FALSE,"「残業時間」","")&amp;IF(OR(J2464=FALSE,K2464=FALSE,L2464=FALSE,M2464=FALSE),入力リスト!$K$36,"")&amp;IF(N2464,"",入力リスト!$K$37)))</f>
        <v/>
      </c>
      <c r="H2464" s="215"/>
      <c r="I2464" s="1" t="b">
        <f>IF(B2464="",FALSE,COUNTIF('従業員情報(給与以外)'!$A$4:$A$1000000,$B2464)=0)</f>
        <v>0</v>
      </c>
      <c r="J2464" s="8" t="b">
        <f t="shared" si="190"/>
        <v>1</v>
      </c>
      <c r="K2464" s="8" t="b">
        <f t="shared" si="191"/>
        <v>1</v>
      </c>
      <c r="L2464" s="8" t="b">
        <f t="shared" si="192"/>
        <v>1</v>
      </c>
      <c r="M2464" s="8" t="b">
        <f t="shared" si="193"/>
        <v>1</v>
      </c>
      <c r="N2464" s="1" t="b">
        <f t="shared" si="194"/>
        <v>1</v>
      </c>
      <c r="O2464" s="8" t="str">
        <f>IF(F2464="","",IF($F$2=入力リスト!$H$25,ROUNDDOWN(INT(F2464)+ROUNDDOWN((F2464-INT(F2464))*100,0)/60,2),F2464))</f>
        <v/>
      </c>
      <c r="P2464" s="7"/>
      <c r="Q2464" s="7"/>
    </row>
    <row r="2465" spans="1:17">
      <c r="A2465" s="234"/>
      <c r="B2465" s="235"/>
      <c r="C2465" s="235"/>
      <c r="D2465" s="3"/>
      <c r="E2465" s="235"/>
      <c r="F2465" s="236"/>
      <c r="G2465" s="215" t="str">
        <f>IF(AND($B2465="",OR(B2465&lt;&gt;"",C2465&lt;&gt;"",D2465&lt;&gt;"",E2465&lt;&gt;"",F2465&lt;&gt;"")),入力リスト!$K$34,IF($I2465=TRUE,入力リスト!$K$35,IF(J2465=FALSE,"「毎月の固定給与額」","")&amp;IF(AND(J2465=FALSE,OR(K2465=FALSE,L2465=FALSE,M2465=FALSE)),",","")&amp;IF(K2465=FALSE,"「賞与額等」","")&amp;IF(AND(K2465=FALSE,OR(L2465=FALSE,M2465=FALSE)),",","")&amp;IF(L2465=FALSE,"「残業手当」","")&amp;IF(AND(L2465=FALSE,M2465=FALSE),",","")&amp;IF(M2465=FALSE,"「残業時間」","")&amp;IF(OR(J2465=FALSE,K2465=FALSE,L2465=FALSE,M2465=FALSE),入力リスト!$K$36,"")&amp;IF(N2465,"",入力リスト!$K$37)))</f>
        <v/>
      </c>
      <c r="H2465" s="215"/>
      <c r="I2465" s="1" t="b">
        <f>IF(B2465="",FALSE,COUNTIF('従業員情報(給与以外)'!$A$4:$A$1000000,$B2465)=0)</f>
        <v>0</v>
      </c>
      <c r="J2465" s="8" t="b">
        <f t="shared" si="190"/>
        <v>1</v>
      </c>
      <c r="K2465" s="8" t="b">
        <f t="shared" si="191"/>
        <v>1</v>
      </c>
      <c r="L2465" s="8" t="b">
        <f t="shared" si="192"/>
        <v>1</v>
      </c>
      <c r="M2465" s="8" t="b">
        <f t="shared" si="193"/>
        <v>1</v>
      </c>
      <c r="N2465" s="1" t="b">
        <f t="shared" si="194"/>
        <v>1</v>
      </c>
      <c r="O2465" s="8" t="str">
        <f>IF(F2465="","",IF($F$2=入力リスト!$H$25,ROUNDDOWN(INT(F2465)+ROUNDDOWN((F2465-INT(F2465))*100,0)/60,2),F2465))</f>
        <v/>
      </c>
      <c r="P2465" s="7"/>
      <c r="Q2465" s="7"/>
    </row>
    <row r="2466" spans="1:17">
      <c r="A2466" s="234"/>
      <c r="B2466" s="235"/>
      <c r="C2466" s="235"/>
      <c r="D2466" s="3"/>
      <c r="E2466" s="235"/>
      <c r="F2466" s="236"/>
      <c r="G2466" s="215" t="str">
        <f>IF(AND($B2466="",OR(B2466&lt;&gt;"",C2466&lt;&gt;"",D2466&lt;&gt;"",E2466&lt;&gt;"",F2466&lt;&gt;"")),入力リスト!$K$34,IF($I2466=TRUE,入力リスト!$K$35,IF(J2466=FALSE,"「毎月の固定給与額」","")&amp;IF(AND(J2466=FALSE,OR(K2466=FALSE,L2466=FALSE,M2466=FALSE)),",","")&amp;IF(K2466=FALSE,"「賞与額等」","")&amp;IF(AND(K2466=FALSE,OR(L2466=FALSE,M2466=FALSE)),",","")&amp;IF(L2466=FALSE,"「残業手当」","")&amp;IF(AND(L2466=FALSE,M2466=FALSE),",","")&amp;IF(M2466=FALSE,"「残業時間」","")&amp;IF(OR(J2466=FALSE,K2466=FALSE,L2466=FALSE,M2466=FALSE),入力リスト!$K$36,"")&amp;IF(N2466,"",入力リスト!$K$37)))</f>
        <v/>
      </c>
      <c r="H2466" s="215"/>
      <c r="I2466" s="1" t="b">
        <f>IF(B2466="",FALSE,COUNTIF('従業員情報(給与以外)'!$A$4:$A$1000000,$B2466)=0)</f>
        <v>0</v>
      </c>
      <c r="J2466" s="8" t="b">
        <f t="shared" si="190"/>
        <v>1</v>
      </c>
      <c r="K2466" s="8" t="b">
        <f t="shared" si="191"/>
        <v>1</v>
      </c>
      <c r="L2466" s="8" t="b">
        <f t="shared" si="192"/>
        <v>1</v>
      </c>
      <c r="M2466" s="8" t="b">
        <f t="shared" si="193"/>
        <v>1</v>
      </c>
      <c r="N2466" s="1" t="b">
        <f t="shared" si="194"/>
        <v>1</v>
      </c>
      <c r="O2466" s="8" t="str">
        <f>IF(F2466="","",IF($F$2=入力リスト!$H$25,ROUNDDOWN(INT(F2466)+ROUNDDOWN((F2466-INT(F2466))*100,0)/60,2),F2466))</f>
        <v/>
      </c>
      <c r="P2466" s="7"/>
      <c r="Q2466" s="7"/>
    </row>
    <row r="2467" spans="1:17">
      <c r="A2467" s="234"/>
      <c r="B2467" s="235"/>
      <c r="C2467" s="235"/>
      <c r="D2467" s="3"/>
      <c r="E2467" s="235"/>
      <c r="F2467" s="236"/>
      <c r="G2467" s="215" t="str">
        <f>IF(AND($B2467="",OR(B2467&lt;&gt;"",C2467&lt;&gt;"",D2467&lt;&gt;"",E2467&lt;&gt;"",F2467&lt;&gt;"")),入力リスト!$K$34,IF($I2467=TRUE,入力リスト!$K$35,IF(J2467=FALSE,"「毎月の固定給与額」","")&amp;IF(AND(J2467=FALSE,OR(K2467=FALSE,L2467=FALSE,M2467=FALSE)),",","")&amp;IF(K2467=FALSE,"「賞与額等」","")&amp;IF(AND(K2467=FALSE,OR(L2467=FALSE,M2467=FALSE)),",","")&amp;IF(L2467=FALSE,"「残業手当」","")&amp;IF(AND(L2467=FALSE,M2467=FALSE),",","")&amp;IF(M2467=FALSE,"「残業時間」","")&amp;IF(OR(J2467=FALSE,K2467=FALSE,L2467=FALSE,M2467=FALSE),入力リスト!$K$36,"")&amp;IF(N2467,"",入力リスト!$K$37)))</f>
        <v/>
      </c>
      <c r="H2467" s="215"/>
      <c r="I2467" s="1" t="b">
        <f>IF(B2467="",FALSE,COUNTIF('従業員情報(給与以外)'!$A$4:$A$1000000,$B2467)=0)</f>
        <v>0</v>
      </c>
      <c r="J2467" s="8" t="b">
        <f t="shared" si="190"/>
        <v>1</v>
      </c>
      <c r="K2467" s="8" t="b">
        <f t="shared" si="191"/>
        <v>1</v>
      </c>
      <c r="L2467" s="8" t="b">
        <f t="shared" si="192"/>
        <v>1</v>
      </c>
      <c r="M2467" s="8" t="b">
        <f t="shared" si="193"/>
        <v>1</v>
      </c>
      <c r="N2467" s="1" t="b">
        <f t="shared" si="194"/>
        <v>1</v>
      </c>
      <c r="O2467" s="8" t="str">
        <f>IF(F2467="","",IF($F$2=入力リスト!$H$25,ROUNDDOWN(INT(F2467)+ROUNDDOWN((F2467-INT(F2467))*100,0)/60,2),F2467))</f>
        <v/>
      </c>
      <c r="P2467" s="7"/>
      <c r="Q2467" s="7"/>
    </row>
    <row r="2468" spans="1:17">
      <c r="A2468" s="234"/>
      <c r="B2468" s="235"/>
      <c r="C2468" s="235"/>
      <c r="D2468" s="3"/>
      <c r="E2468" s="235"/>
      <c r="F2468" s="236"/>
      <c r="G2468" s="215" t="str">
        <f>IF(AND($B2468="",OR(B2468&lt;&gt;"",C2468&lt;&gt;"",D2468&lt;&gt;"",E2468&lt;&gt;"",F2468&lt;&gt;"")),入力リスト!$K$34,IF($I2468=TRUE,入力リスト!$K$35,IF(J2468=FALSE,"「毎月の固定給与額」","")&amp;IF(AND(J2468=FALSE,OR(K2468=FALSE,L2468=FALSE,M2468=FALSE)),",","")&amp;IF(K2468=FALSE,"「賞与額等」","")&amp;IF(AND(K2468=FALSE,OR(L2468=FALSE,M2468=FALSE)),",","")&amp;IF(L2468=FALSE,"「残業手当」","")&amp;IF(AND(L2468=FALSE,M2468=FALSE),",","")&amp;IF(M2468=FALSE,"「残業時間」","")&amp;IF(OR(J2468=FALSE,K2468=FALSE,L2468=FALSE,M2468=FALSE),入力リスト!$K$36,"")&amp;IF(N2468,"",入力リスト!$K$37)))</f>
        <v/>
      </c>
      <c r="H2468" s="215"/>
      <c r="I2468" s="1" t="b">
        <f>IF(B2468="",FALSE,COUNTIF('従業員情報(給与以外)'!$A$4:$A$1000000,$B2468)=0)</f>
        <v>0</v>
      </c>
      <c r="J2468" s="8" t="b">
        <f t="shared" si="190"/>
        <v>1</v>
      </c>
      <c r="K2468" s="8" t="b">
        <f t="shared" si="191"/>
        <v>1</v>
      </c>
      <c r="L2468" s="8" t="b">
        <f t="shared" si="192"/>
        <v>1</v>
      </c>
      <c r="M2468" s="8" t="b">
        <f t="shared" si="193"/>
        <v>1</v>
      </c>
      <c r="N2468" s="1" t="b">
        <f t="shared" si="194"/>
        <v>1</v>
      </c>
      <c r="O2468" s="8" t="str">
        <f>IF(F2468="","",IF($F$2=入力リスト!$H$25,ROUNDDOWN(INT(F2468)+ROUNDDOWN((F2468-INT(F2468))*100,0)/60,2),F2468))</f>
        <v/>
      </c>
      <c r="P2468" s="7"/>
      <c r="Q2468" s="7"/>
    </row>
    <row r="2469" spans="1:17">
      <c r="A2469" s="234"/>
      <c r="B2469" s="235"/>
      <c r="C2469" s="235"/>
      <c r="D2469" s="3"/>
      <c r="E2469" s="235"/>
      <c r="F2469" s="236"/>
      <c r="G2469" s="215" t="str">
        <f>IF(AND($B2469="",OR(B2469&lt;&gt;"",C2469&lt;&gt;"",D2469&lt;&gt;"",E2469&lt;&gt;"",F2469&lt;&gt;"")),入力リスト!$K$34,IF($I2469=TRUE,入力リスト!$K$35,IF(J2469=FALSE,"「毎月の固定給与額」","")&amp;IF(AND(J2469=FALSE,OR(K2469=FALSE,L2469=FALSE,M2469=FALSE)),",","")&amp;IF(K2469=FALSE,"「賞与額等」","")&amp;IF(AND(K2469=FALSE,OR(L2469=FALSE,M2469=FALSE)),",","")&amp;IF(L2469=FALSE,"「残業手当」","")&amp;IF(AND(L2469=FALSE,M2469=FALSE),",","")&amp;IF(M2469=FALSE,"「残業時間」","")&amp;IF(OR(J2469=FALSE,K2469=FALSE,L2469=FALSE,M2469=FALSE),入力リスト!$K$36,"")&amp;IF(N2469,"",入力リスト!$K$37)))</f>
        <v/>
      </c>
      <c r="H2469" s="215"/>
      <c r="I2469" s="1" t="b">
        <f>IF(B2469="",FALSE,COUNTIF('従業員情報(給与以外)'!$A$4:$A$1000000,$B2469)=0)</f>
        <v>0</v>
      </c>
      <c r="J2469" s="8" t="b">
        <f t="shared" si="190"/>
        <v>1</v>
      </c>
      <c r="K2469" s="8" t="b">
        <f t="shared" si="191"/>
        <v>1</v>
      </c>
      <c r="L2469" s="8" t="b">
        <f t="shared" si="192"/>
        <v>1</v>
      </c>
      <c r="M2469" s="8" t="b">
        <f t="shared" si="193"/>
        <v>1</v>
      </c>
      <c r="N2469" s="1" t="b">
        <f t="shared" si="194"/>
        <v>1</v>
      </c>
      <c r="O2469" s="8" t="str">
        <f>IF(F2469="","",IF($F$2=入力リスト!$H$25,ROUNDDOWN(INT(F2469)+ROUNDDOWN((F2469-INT(F2469))*100,0)/60,2),F2469))</f>
        <v/>
      </c>
      <c r="P2469" s="7"/>
      <c r="Q2469" s="7"/>
    </row>
    <row r="2470" spans="1:17">
      <c r="A2470" s="234"/>
      <c r="B2470" s="235"/>
      <c r="C2470" s="235"/>
      <c r="D2470" s="3"/>
      <c r="E2470" s="235"/>
      <c r="F2470" s="236"/>
      <c r="G2470" s="215" t="str">
        <f>IF(AND($B2470="",OR(B2470&lt;&gt;"",C2470&lt;&gt;"",D2470&lt;&gt;"",E2470&lt;&gt;"",F2470&lt;&gt;"")),入力リスト!$K$34,IF($I2470=TRUE,入力リスト!$K$35,IF(J2470=FALSE,"「毎月の固定給与額」","")&amp;IF(AND(J2470=FALSE,OR(K2470=FALSE,L2470=FALSE,M2470=FALSE)),",","")&amp;IF(K2470=FALSE,"「賞与額等」","")&amp;IF(AND(K2470=FALSE,OR(L2470=FALSE,M2470=FALSE)),",","")&amp;IF(L2470=FALSE,"「残業手当」","")&amp;IF(AND(L2470=FALSE,M2470=FALSE),",","")&amp;IF(M2470=FALSE,"「残業時間」","")&amp;IF(OR(J2470=FALSE,K2470=FALSE,L2470=FALSE,M2470=FALSE),入力リスト!$K$36,"")&amp;IF(N2470,"",入力リスト!$K$37)))</f>
        <v/>
      </c>
      <c r="H2470" s="215"/>
      <c r="I2470" s="1" t="b">
        <f>IF(B2470="",FALSE,COUNTIF('従業員情報(給与以外)'!$A$4:$A$1000000,$B2470)=0)</f>
        <v>0</v>
      </c>
      <c r="J2470" s="8" t="b">
        <f t="shared" si="190"/>
        <v>1</v>
      </c>
      <c r="K2470" s="8" t="b">
        <f t="shared" si="191"/>
        <v>1</v>
      </c>
      <c r="L2470" s="8" t="b">
        <f t="shared" si="192"/>
        <v>1</v>
      </c>
      <c r="M2470" s="8" t="b">
        <f t="shared" si="193"/>
        <v>1</v>
      </c>
      <c r="N2470" s="1" t="b">
        <f t="shared" si="194"/>
        <v>1</v>
      </c>
      <c r="O2470" s="8" t="str">
        <f>IF(F2470="","",IF($F$2=入力リスト!$H$25,ROUNDDOWN(INT(F2470)+ROUNDDOWN((F2470-INT(F2470))*100,0)/60,2),F2470))</f>
        <v/>
      </c>
      <c r="P2470" s="7"/>
      <c r="Q2470" s="7"/>
    </row>
    <row r="2471" spans="1:17">
      <c r="A2471" s="234"/>
      <c r="B2471" s="235"/>
      <c r="C2471" s="235"/>
      <c r="D2471" s="3"/>
      <c r="E2471" s="235"/>
      <c r="F2471" s="236"/>
      <c r="G2471" s="215" t="str">
        <f>IF(AND($B2471="",OR(B2471&lt;&gt;"",C2471&lt;&gt;"",D2471&lt;&gt;"",E2471&lt;&gt;"",F2471&lt;&gt;"")),入力リスト!$K$34,IF($I2471=TRUE,入力リスト!$K$35,IF(J2471=FALSE,"「毎月の固定給与額」","")&amp;IF(AND(J2471=FALSE,OR(K2471=FALSE,L2471=FALSE,M2471=FALSE)),",","")&amp;IF(K2471=FALSE,"「賞与額等」","")&amp;IF(AND(K2471=FALSE,OR(L2471=FALSE,M2471=FALSE)),",","")&amp;IF(L2471=FALSE,"「残業手当」","")&amp;IF(AND(L2471=FALSE,M2471=FALSE),",","")&amp;IF(M2471=FALSE,"「残業時間」","")&amp;IF(OR(J2471=FALSE,K2471=FALSE,L2471=FALSE,M2471=FALSE),入力リスト!$K$36,"")&amp;IF(N2471,"",入力リスト!$K$37)))</f>
        <v/>
      </c>
      <c r="H2471" s="215"/>
      <c r="I2471" s="1" t="b">
        <f>IF(B2471="",FALSE,COUNTIF('従業員情報(給与以外)'!$A$4:$A$1000000,$B2471)=0)</f>
        <v>0</v>
      </c>
      <c r="J2471" s="8" t="b">
        <f t="shared" si="190"/>
        <v>1</v>
      </c>
      <c r="K2471" s="8" t="b">
        <f t="shared" si="191"/>
        <v>1</v>
      </c>
      <c r="L2471" s="8" t="b">
        <f t="shared" si="192"/>
        <v>1</v>
      </c>
      <c r="M2471" s="8" t="b">
        <f t="shared" si="193"/>
        <v>1</v>
      </c>
      <c r="N2471" s="1" t="b">
        <f t="shared" si="194"/>
        <v>1</v>
      </c>
      <c r="O2471" s="8" t="str">
        <f>IF(F2471="","",IF($F$2=入力リスト!$H$25,ROUNDDOWN(INT(F2471)+ROUNDDOWN((F2471-INT(F2471))*100,0)/60,2),F2471))</f>
        <v/>
      </c>
      <c r="P2471" s="7"/>
      <c r="Q2471" s="7"/>
    </row>
    <row r="2472" spans="1:17">
      <c r="A2472" s="234"/>
      <c r="B2472" s="235"/>
      <c r="C2472" s="235"/>
      <c r="D2472" s="3"/>
      <c r="E2472" s="235"/>
      <c r="F2472" s="236"/>
      <c r="G2472" s="215" t="str">
        <f>IF(AND($B2472="",OR(B2472&lt;&gt;"",C2472&lt;&gt;"",D2472&lt;&gt;"",E2472&lt;&gt;"",F2472&lt;&gt;"")),入力リスト!$K$34,IF($I2472=TRUE,入力リスト!$K$35,IF(J2472=FALSE,"「毎月の固定給与額」","")&amp;IF(AND(J2472=FALSE,OR(K2472=FALSE,L2472=FALSE,M2472=FALSE)),",","")&amp;IF(K2472=FALSE,"「賞与額等」","")&amp;IF(AND(K2472=FALSE,OR(L2472=FALSE,M2472=FALSE)),",","")&amp;IF(L2472=FALSE,"「残業手当」","")&amp;IF(AND(L2472=FALSE,M2472=FALSE),",","")&amp;IF(M2472=FALSE,"「残業時間」","")&amp;IF(OR(J2472=FALSE,K2472=FALSE,L2472=FALSE,M2472=FALSE),入力リスト!$K$36,"")&amp;IF(N2472,"",入力リスト!$K$37)))</f>
        <v/>
      </c>
      <c r="H2472" s="215"/>
      <c r="I2472" s="1" t="b">
        <f>IF(B2472="",FALSE,COUNTIF('従業員情報(給与以外)'!$A$4:$A$1000000,$B2472)=0)</f>
        <v>0</v>
      </c>
      <c r="J2472" s="8" t="b">
        <f t="shared" si="190"/>
        <v>1</v>
      </c>
      <c r="K2472" s="8" t="b">
        <f t="shared" si="191"/>
        <v>1</v>
      </c>
      <c r="L2472" s="8" t="b">
        <f t="shared" si="192"/>
        <v>1</v>
      </c>
      <c r="M2472" s="8" t="b">
        <f t="shared" si="193"/>
        <v>1</v>
      </c>
      <c r="N2472" s="1" t="b">
        <f t="shared" si="194"/>
        <v>1</v>
      </c>
      <c r="O2472" s="8" t="str">
        <f>IF(F2472="","",IF($F$2=入力リスト!$H$25,ROUNDDOWN(INT(F2472)+ROUNDDOWN((F2472-INT(F2472))*100,0)/60,2),F2472))</f>
        <v/>
      </c>
      <c r="P2472" s="7"/>
      <c r="Q2472" s="7"/>
    </row>
    <row r="2473" spans="1:17">
      <c r="A2473" s="234"/>
      <c r="B2473" s="235"/>
      <c r="C2473" s="235"/>
      <c r="D2473" s="3"/>
      <c r="E2473" s="235"/>
      <c r="F2473" s="236"/>
      <c r="G2473" s="215" t="str">
        <f>IF(AND($B2473="",OR(B2473&lt;&gt;"",C2473&lt;&gt;"",D2473&lt;&gt;"",E2473&lt;&gt;"",F2473&lt;&gt;"")),入力リスト!$K$34,IF($I2473=TRUE,入力リスト!$K$35,IF(J2473=FALSE,"「毎月の固定給与額」","")&amp;IF(AND(J2473=FALSE,OR(K2473=FALSE,L2473=FALSE,M2473=FALSE)),",","")&amp;IF(K2473=FALSE,"「賞与額等」","")&amp;IF(AND(K2473=FALSE,OR(L2473=FALSE,M2473=FALSE)),",","")&amp;IF(L2473=FALSE,"「残業手当」","")&amp;IF(AND(L2473=FALSE,M2473=FALSE),",","")&amp;IF(M2473=FALSE,"「残業時間」","")&amp;IF(OR(J2473=FALSE,K2473=FALSE,L2473=FALSE,M2473=FALSE),入力リスト!$K$36,"")&amp;IF(N2473,"",入力リスト!$K$37)))</f>
        <v/>
      </c>
      <c r="H2473" s="215"/>
      <c r="I2473" s="1" t="b">
        <f>IF(B2473="",FALSE,COUNTIF('従業員情報(給与以外)'!$A$4:$A$1000000,$B2473)=0)</f>
        <v>0</v>
      </c>
      <c r="J2473" s="8" t="b">
        <f t="shared" si="190"/>
        <v>1</v>
      </c>
      <c r="K2473" s="8" t="b">
        <f t="shared" si="191"/>
        <v>1</v>
      </c>
      <c r="L2473" s="8" t="b">
        <f t="shared" si="192"/>
        <v>1</v>
      </c>
      <c r="M2473" s="8" t="b">
        <f t="shared" si="193"/>
        <v>1</v>
      </c>
      <c r="N2473" s="1" t="b">
        <f t="shared" si="194"/>
        <v>1</v>
      </c>
      <c r="O2473" s="8" t="str">
        <f>IF(F2473="","",IF($F$2=入力リスト!$H$25,ROUNDDOWN(INT(F2473)+ROUNDDOWN((F2473-INT(F2473))*100,0)/60,2),F2473))</f>
        <v/>
      </c>
      <c r="P2473" s="7"/>
      <c r="Q2473" s="7"/>
    </row>
    <row r="2474" spans="1:17">
      <c r="A2474" s="234"/>
      <c r="B2474" s="235"/>
      <c r="C2474" s="235"/>
      <c r="D2474" s="3"/>
      <c r="E2474" s="235"/>
      <c r="F2474" s="236"/>
      <c r="G2474" s="215" t="str">
        <f>IF(AND($B2474="",OR(B2474&lt;&gt;"",C2474&lt;&gt;"",D2474&lt;&gt;"",E2474&lt;&gt;"",F2474&lt;&gt;"")),入力リスト!$K$34,IF($I2474=TRUE,入力リスト!$K$35,IF(J2474=FALSE,"「毎月の固定給与額」","")&amp;IF(AND(J2474=FALSE,OR(K2474=FALSE,L2474=FALSE,M2474=FALSE)),",","")&amp;IF(K2474=FALSE,"「賞与額等」","")&amp;IF(AND(K2474=FALSE,OR(L2474=FALSE,M2474=FALSE)),",","")&amp;IF(L2474=FALSE,"「残業手当」","")&amp;IF(AND(L2474=FALSE,M2474=FALSE),",","")&amp;IF(M2474=FALSE,"「残業時間」","")&amp;IF(OR(J2474=FALSE,K2474=FALSE,L2474=FALSE,M2474=FALSE),入力リスト!$K$36,"")&amp;IF(N2474,"",入力リスト!$K$37)))</f>
        <v/>
      </c>
      <c r="H2474" s="215"/>
      <c r="I2474" s="1" t="b">
        <f>IF(B2474="",FALSE,COUNTIF('従業員情報(給与以外)'!$A$4:$A$1000000,$B2474)=0)</f>
        <v>0</v>
      </c>
      <c r="J2474" s="8" t="b">
        <f t="shared" si="190"/>
        <v>1</v>
      </c>
      <c r="K2474" s="8" t="b">
        <f t="shared" si="191"/>
        <v>1</v>
      </c>
      <c r="L2474" s="8" t="b">
        <f t="shared" si="192"/>
        <v>1</v>
      </c>
      <c r="M2474" s="8" t="b">
        <f t="shared" si="193"/>
        <v>1</v>
      </c>
      <c r="N2474" s="1" t="b">
        <f t="shared" si="194"/>
        <v>1</v>
      </c>
      <c r="O2474" s="8" t="str">
        <f>IF(F2474="","",IF($F$2=入力リスト!$H$25,ROUNDDOWN(INT(F2474)+ROUNDDOWN((F2474-INT(F2474))*100,0)/60,2),F2474))</f>
        <v/>
      </c>
      <c r="P2474" s="7"/>
      <c r="Q2474" s="7"/>
    </row>
    <row r="2475" spans="1:17">
      <c r="A2475" s="234"/>
      <c r="B2475" s="235"/>
      <c r="C2475" s="235"/>
      <c r="D2475" s="3"/>
      <c r="E2475" s="235"/>
      <c r="F2475" s="236"/>
      <c r="G2475" s="215" t="str">
        <f>IF(AND($B2475="",OR(B2475&lt;&gt;"",C2475&lt;&gt;"",D2475&lt;&gt;"",E2475&lt;&gt;"",F2475&lt;&gt;"")),入力リスト!$K$34,IF($I2475=TRUE,入力リスト!$K$35,IF(J2475=FALSE,"「毎月の固定給与額」","")&amp;IF(AND(J2475=FALSE,OR(K2475=FALSE,L2475=FALSE,M2475=FALSE)),",","")&amp;IF(K2475=FALSE,"「賞与額等」","")&amp;IF(AND(K2475=FALSE,OR(L2475=FALSE,M2475=FALSE)),",","")&amp;IF(L2475=FALSE,"「残業手当」","")&amp;IF(AND(L2475=FALSE,M2475=FALSE),",","")&amp;IF(M2475=FALSE,"「残業時間」","")&amp;IF(OR(J2475=FALSE,K2475=FALSE,L2475=FALSE,M2475=FALSE),入力リスト!$K$36,"")&amp;IF(N2475,"",入力リスト!$K$37)))</f>
        <v/>
      </c>
      <c r="H2475" s="215"/>
      <c r="I2475" s="1" t="b">
        <f>IF(B2475="",FALSE,COUNTIF('従業員情報(給与以外)'!$A$4:$A$1000000,$B2475)=0)</f>
        <v>0</v>
      </c>
      <c r="J2475" s="8" t="b">
        <f t="shared" si="190"/>
        <v>1</v>
      </c>
      <c r="K2475" s="8" t="b">
        <f t="shared" si="191"/>
        <v>1</v>
      </c>
      <c r="L2475" s="8" t="b">
        <f t="shared" si="192"/>
        <v>1</v>
      </c>
      <c r="M2475" s="8" t="b">
        <f t="shared" si="193"/>
        <v>1</v>
      </c>
      <c r="N2475" s="1" t="b">
        <f t="shared" si="194"/>
        <v>1</v>
      </c>
      <c r="O2475" s="8" t="str">
        <f>IF(F2475="","",IF($F$2=入力リスト!$H$25,ROUNDDOWN(INT(F2475)+ROUNDDOWN((F2475-INT(F2475))*100,0)/60,2),F2475))</f>
        <v/>
      </c>
      <c r="P2475" s="7"/>
      <c r="Q2475" s="7"/>
    </row>
    <row r="2476" spans="1:17">
      <c r="A2476" s="234"/>
      <c r="B2476" s="235"/>
      <c r="C2476" s="235"/>
      <c r="D2476" s="3"/>
      <c r="E2476" s="235"/>
      <c r="F2476" s="236"/>
      <c r="G2476" s="215" t="str">
        <f>IF(AND($B2476="",OR(B2476&lt;&gt;"",C2476&lt;&gt;"",D2476&lt;&gt;"",E2476&lt;&gt;"",F2476&lt;&gt;"")),入力リスト!$K$34,IF($I2476=TRUE,入力リスト!$K$35,IF(J2476=FALSE,"「毎月の固定給与額」","")&amp;IF(AND(J2476=FALSE,OR(K2476=FALSE,L2476=FALSE,M2476=FALSE)),",","")&amp;IF(K2476=FALSE,"「賞与額等」","")&amp;IF(AND(K2476=FALSE,OR(L2476=FALSE,M2476=FALSE)),",","")&amp;IF(L2476=FALSE,"「残業手当」","")&amp;IF(AND(L2476=FALSE,M2476=FALSE),",","")&amp;IF(M2476=FALSE,"「残業時間」","")&amp;IF(OR(J2476=FALSE,K2476=FALSE,L2476=FALSE,M2476=FALSE),入力リスト!$K$36,"")&amp;IF(N2476,"",入力リスト!$K$37)))</f>
        <v/>
      </c>
      <c r="H2476" s="215"/>
      <c r="I2476" s="1" t="b">
        <f>IF(B2476="",FALSE,COUNTIF('従業員情報(給与以外)'!$A$4:$A$1000000,$B2476)=0)</f>
        <v>0</v>
      </c>
      <c r="J2476" s="8" t="b">
        <f t="shared" si="190"/>
        <v>1</v>
      </c>
      <c r="K2476" s="8" t="b">
        <f t="shared" si="191"/>
        <v>1</v>
      </c>
      <c r="L2476" s="8" t="b">
        <f t="shared" si="192"/>
        <v>1</v>
      </c>
      <c r="M2476" s="8" t="b">
        <f t="shared" si="193"/>
        <v>1</v>
      </c>
      <c r="N2476" s="1" t="b">
        <f t="shared" si="194"/>
        <v>1</v>
      </c>
      <c r="O2476" s="8" t="str">
        <f>IF(F2476="","",IF($F$2=入力リスト!$H$25,ROUNDDOWN(INT(F2476)+ROUNDDOWN((F2476-INT(F2476))*100,0)/60,2),F2476))</f>
        <v/>
      </c>
      <c r="P2476" s="7"/>
      <c r="Q2476" s="7"/>
    </row>
    <row r="2477" spans="1:17">
      <c r="A2477" s="234"/>
      <c r="B2477" s="235"/>
      <c r="C2477" s="235"/>
      <c r="D2477" s="3"/>
      <c r="E2477" s="235"/>
      <c r="F2477" s="236"/>
      <c r="G2477" s="215" t="str">
        <f>IF(AND($B2477="",OR(B2477&lt;&gt;"",C2477&lt;&gt;"",D2477&lt;&gt;"",E2477&lt;&gt;"",F2477&lt;&gt;"")),入力リスト!$K$34,IF($I2477=TRUE,入力リスト!$K$35,IF(J2477=FALSE,"「毎月の固定給与額」","")&amp;IF(AND(J2477=FALSE,OR(K2477=FALSE,L2477=FALSE,M2477=FALSE)),",","")&amp;IF(K2477=FALSE,"「賞与額等」","")&amp;IF(AND(K2477=FALSE,OR(L2477=FALSE,M2477=FALSE)),",","")&amp;IF(L2477=FALSE,"「残業手当」","")&amp;IF(AND(L2477=FALSE,M2477=FALSE),",","")&amp;IF(M2477=FALSE,"「残業時間」","")&amp;IF(OR(J2477=FALSE,K2477=FALSE,L2477=FALSE,M2477=FALSE),入力リスト!$K$36,"")&amp;IF(N2477,"",入力リスト!$K$37)))</f>
        <v/>
      </c>
      <c r="H2477" s="215"/>
      <c r="I2477" s="1" t="b">
        <f>IF(B2477="",FALSE,COUNTIF('従業員情報(給与以外)'!$A$4:$A$1000000,$B2477)=0)</f>
        <v>0</v>
      </c>
      <c r="J2477" s="8" t="b">
        <f t="shared" si="190"/>
        <v>1</v>
      </c>
      <c r="K2477" s="8" t="b">
        <f t="shared" si="191"/>
        <v>1</v>
      </c>
      <c r="L2477" s="8" t="b">
        <f t="shared" si="192"/>
        <v>1</v>
      </c>
      <c r="M2477" s="8" t="b">
        <f t="shared" si="193"/>
        <v>1</v>
      </c>
      <c r="N2477" s="1" t="b">
        <f t="shared" si="194"/>
        <v>1</v>
      </c>
      <c r="O2477" s="8" t="str">
        <f>IF(F2477="","",IF($F$2=入力リスト!$H$25,ROUNDDOWN(INT(F2477)+ROUNDDOWN((F2477-INT(F2477))*100,0)/60,2),F2477))</f>
        <v/>
      </c>
      <c r="P2477" s="7"/>
      <c r="Q2477" s="7"/>
    </row>
    <row r="2478" spans="1:17">
      <c r="A2478" s="234"/>
      <c r="B2478" s="235"/>
      <c r="C2478" s="235"/>
      <c r="D2478" s="3"/>
      <c r="E2478" s="235"/>
      <c r="F2478" s="236"/>
      <c r="G2478" s="215" t="str">
        <f>IF(AND($B2478="",OR(B2478&lt;&gt;"",C2478&lt;&gt;"",D2478&lt;&gt;"",E2478&lt;&gt;"",F2478&lt;&gt;"")),入力リスト!$K$34,IF($I2478=TRUE,入力リスト!$K$35,IF(J2478=FALSE,"「毎月の固定給与額」","")&amp;IF(AND(J2478=FALSE,OR(K2478=FALSE,L2478=FALSE,M2478=FALSE)),",","")&amp;IF(K2478=FALSE,"「賞与額等」","")&amp;IF(AND(K2478=FALSE,OR(L2478=FALSE,M2478=FALSE)),",","")&amp;IF(L2478=FALSE,"「残業手当」","")&amp;IF(AND(L2478=FALSE,M2478=FALSE),",","")&amp;IF(M2478=FALSE,"「残業時間」","")&amp;IF(OR(J2478=FALSE,K2478=FALSE,L2478=FALSE,M2478=FALSE),入力リスト!$K$36,"")&amp;IF(N2478,"",入力リスト!$K$37)))</f>
        <v/>
      </c>
      <c r="H2478" s="215"/>
      <c r="I2478" s="1" t="b">
        <f>IF(B2478="",FALSE,COUNTIF('従業員情報(給与以外)'!$A$4:$A$1000000,$B2478)=0)</f>
        <v>0</v>
      </c>
      <c r="J2478" s="8" t="b">
        <f t="shared" si="190"/>
        <v>1</v>
      </c>
      <c r="K2478" s="8" t="b">
        <f t="shared" si="191"/>
        <v>1</v>
      </c>
      <c r="L2478" s="8" t="b">
        <f t="shared" si="192"/>
        <v>1</v>
      </c>
      <c r="M2478" s="8" t="b">
        <f t="shared" si="193"/>
        <v>1</v>
      </c>
      <c r="N2478" s="1" t="b">
        <f t="shared" si="194"/>
        <v>1</v>
      </c>
      <c r="O2478" s="8" t="str">
        <f>IF(F2478="","",IF($F$2=入力リスト!$H$25,ROUNDDOWN(INT(F2478)+ROUNDDOWN((F2478-INT(F2478))*100,0)/60,2),F2478))</f>
        <v/>
      </c>
      <c r="P2478" s="7"/>
      <c r="Q2478" s="7"/>
    </row>
    <row r="2479" spans="1:17">
      <c r="A2479" s="234"/>
      <c r="B2479" s="235"/>
      <c r="C2479" s="235"/>
      <c r="D2479" s="3"/>
      <c r="E2479" s="235"/>
      <c r="F2479" s="236"/>
      <c r="G2479" s="215" t="str">
        <f>IF(AND($B2479="",OR(B2479&lt;&gt;"",C2479&lt;&gt;"",D2479&lt;&gt;"",E2479&lt;&gt;"",F2479&lt;&gt;"")),入力リスト!$K$34,IF($I2479=TRUE,入力リスト!$K$35,IF(J2479=FALSE,"「毎月の固定給与額」","")&amp;IF(AND(J2479=FALSE,OR(K2479=FALSE,L2479=FALSE,M2479=FALSE)),",","")&amp;IF(K2479=FALSE,"「賞与額等」","")&amp;IF(AND(K2479=FALSE,OR(L2479=FALSE,M2479=FALSE)),",","")&amp;IF(L2479=FALSE,"「残業手当」","")&amp;IF(AND(L2479=FALSE,M2479=FALSE),",","")&amp;IF(M2479=FALSE,"「残業時間」","")&amp;IF(OR(J2479=FALSE,K2479=FALSE,L2479=FALSE,M2479=FALSE),入力リスト!$K$36,"")&amp;IF(N2479,"",入力リスト!$K$37)))</f>
        <v/>
      </c>
      <c r="H2479" s="215"/>
      <c r="I2479" s="1" t="b">
        <f>IF(B2479="",FALSE,COUNTIF('従業員情報(給与以外)'!$A$4:$A$1000000,$B2479)=0)</f>
        <v>0</v>
      </c>
      <c r="J2479" s="8" t="b">
        <f t="shared" si="190"/>
        <v>1</v>
      </c>
      <c r="K2479" s="8" t="b">
        <f t="shared" si="191"/>
        <v>1</v>
      </c>
      <c r="L2479" s="8" t="b">
        <f t="shared" si="192"/>
        <v>1</v>
      </c>
      <c r="M2479" s="8" t="b">
        <f t="shared" si="193"/>
        <v>1</v>
      </c>
      <c r="N2479" s="1" t="b">
        <f t="shared" si="194"/>
        <v>1</v>
      </c>
      <c r="O2479" s="8" t="str">
        <f>IF(F2479="","",IF($F$2=入力リスト!$H$25,ROUNDDOWN(INT(F2479)+ROUNDDOWN((F2479-INT(F2479))*100,0)/60,2),F2479))</f>
        <v/>
      </c>
      <c r="P2479" s="7"/>
      <c r="Q2479" s="7"/>
    </row>
    <row r="2480" spans="1:17">
      <c r="A2480" s="234"/>
      <c r="B2480" s="235"/>
      <c r="C2480" s="235"/>
      <c r="D2480" s="3"/>
      <c r="E2480" s="235"/>
      <c r="F2480" s="236"/>
      <c r="G2480" s="215" t="str">
        <f>IF(AND($B2480="",OR(B2480&lt;&gt;"",C2480&lt;&gt;"",D2480&lt;&gt;"",E2480&lt;&gt;"",F2480&lt;&gt;"")),入力リスト!$K$34,IF($I2480=TRUE,入力リスト!$K$35,IF(J2480=FALSE,"「毎月の固定給与額」","")&amp;IF(AND(J2480=FALSE,OR(K2480=FALSE,L2480=FALSE,M2480=FALSE)),",","")&amp;IF(K2480=FALSE,"「賞与額等」","")&amp;IF(AND(K2480=FALSE,OR(L2480=FALSE,M2480=FALSE)),",","")&amp;IF(L2480=FALSE,"「残業手当」","")&amp;IF(AND(L2480=FALSE,M2480=FALSE),",","")&amp;IF(M2480=FALSE,"「残業時間」","")&amp;IF(OR(J2480=FALSE,K2480=FALSE,L2480=FALSE,M2480=FALSE),入力リスト!$K$36,"")&amp;IF(N2480,"",入力リスト!$K$37)))</f>
        <v/>
      </c>
      <c r="H2480" s="215"/>
      <c r="I2480" s="1" t="b">
        <f>IF(B2480="",FALSE,COUNTIF('従業員情報(給与以外)'!$A$4:$A$1000000,$B2480)=0)</f>
        <v>0</v>
      </c>
      <c r="J2480" s="8" t="b">
        <f t="shared" si="190"/>
        <v>1</v>
      </c>
      <c r="K2480" s="8" t="b">
        <f t="shared" si="191"/>
        <v>1</v>
      </c>
      <c r="L2480" s="8" t="b">
        <f t="shared" si="192"/>
        <v>1</v>
      </c>
      <c r="M2480" s="8" t="b">
        <f t="shared" si="193"/>
        <v>1</v>
      </c>
      <c r="N2480" s="1" t="b">
        <f t="shared" si="194"/>
        <v>1</v>
      </c>
      <c r="O2480" s="8" t="str">
        <f>IF(F2480="","",IF($F$2=入力リスト!$H$25,ROUNDDOWN(INT(F2480)+ROUNDDOWN((F2480-INT(F2480))*100,0)/60,2),F2480))</f>
        <v/>
      </c>
      <c r="P2480" s="7"/>
      <c r="Q2480" s="7"/>
    </row>
    <row r="2481" spans="1:17">
      <c r="A2481" s="234"/>
      <c r="B2481" s="235"/>
      <c r="C2481" s="235"/>
      <c r="D2481" s="3"/>
      <c r="E2481" s="235"/>
      <c r="F2481" s="236"/>
      <c r="G2481" s="215" t="str">
        <f>IF(AND($B2481="",OR(B2481&lt;&gt;"",C2481&lt;&gt;"",D2481&lt;&gt;"",E2481&lt;&gt;"",F2481&lt;&gt;"")),入力リスト!$K$34,IF($I2481=TRUE,入力リスト!$K$35,IF(J2481=FALSE,"「毎月の固定給与額」","")&amp;IF(AND(J2481=FALSE,OR(K2481=FALSE,L2481=FALSE,M2481=FALSE)),",","")&amp;IF(K2481=FALSE,"「賞与額等」","")&amp;IF(AND(K2481=FALSE,OR(L2481=FALSE,M2481=FALSE)),",","")&amp;IF(L2481=FALSE,"「残業手当」","")&amp;IF(AND(L2481=FALSE,M2481=FALSE),",","")&amp;IF(M2481=FALSE,"「残業時間」","")&amp;IF(OR(J2481=FALSE,K2481=FALSE,L2481=FALSE,M2481=FALSE),入力リスト!$K$36,"")&amp;IF(N2481,"",入力リスト!$K$37)))</f>
        <v/>
      </c>
      <c r="H2481" s="215"/>
      <c r="I2481" s="1" t="b">
        <f>IF(B2481="",FALSE,COUNTIF('従業員情報(給与以外)'!$A$4:$A$1000000,$B2481)=0)</f>
        <v>0</v>
      </c>
      <c r="J2481" s="8" t="b">
        <f t="shared" si="190"/>
        <v>1</v>
      </c>
      <c r="K2481" s="8" t="b">
        <f t="shared" si="191"/>
        <v>1</v>
      </c>
      <c r="L2481" s="8" t="b">
        <f t="shared" si="192"/>
        <v>1</v>
      </c>
      <c r="M2481" s="8" t="b">
        <f t="shared" si="193"/>
        <v>1</v>
      </c>
      <c r="N2481" s="1" t="b">
        <f t="shared" si="194"/>
        <v>1</v>
      </c>
      <c r="O2481" s="8" t="str">
        <f>IF(F2481="","",IF($F$2=入力リスト!$H$25,ROUNDDOWN(INT(F2481)+ROUNDDOWN((F2481-INT(F2481))*100,0)/60,2),F2481))</f>
        <v/>
      </c>
      <c r="P2481" s="7"/>
      <c r="Q2481" s="7"/>
    </row>
    <row r="2482" spans="1:17">
      <c r="A2482" s="234"/>
      <c r="B2482" s="235"/>
      <c r="C2482" s="235"/>
      <c r="D2482" s="3"/>
      <c r="E2482" s="235"/>
      <c r="F2482" s="236"/>
      <c r="G2482" s="215" t="str">
        <f>IF(AND($B2482="",OR(B2482&lt;&gt;"",C2482&lt;&gt;"",D2482&lt;&gt;"",E2482&lt;&gt;"",F2482&lt;&gt;"")),入力リスト!$K$34,IF($I2482=TRUE,入力リスト!$K$35,IF(J2482=FALSE,"「毎月の固定給与額」","")&amp;IF(AND(J2482=FALSE,OR(K2482=FALSE,L2482=FALSE,M2482=FALSE)),",","")&amp;IF(K2482=FALSE,"「賞与額等」","")&amp;IF(AND(K2482=FALSE,OR(L2482=FALSE,M2482=FALSE)),",","")&amp;IF(L2482=FALSE,"「残業手当」","")&amp;IF(AND(L2482=FALSE,M2482=FALSE),",","")&amp;IF(M2482=FALSE,"「残業時間」","")&amp;IF(OR(J2482=FALSE,K2482=FALSE,L2482=FALSE,M2482=FALSE),入力リスト!$K$36,"")&amp;IF(N2482,"",入力リスト!$K$37)))</f>
        <v/>
      </c>
      <c r="H2482" s="215"/>
      <c r="I2482" s="1" t="b">
        <f>IF(B2482="",FALSE,COUNTIF('従業員情報(給与以外)'!$A$4:$A$1000000,$B2482)=0)</f>
        <v>0</v>
      </c>
      <c r="J2482" s="8" t="b">
        <f t="shared" ref="J2482:J2502" si="195">OR(C2482="",ISNUMBER(C2482))</f>
        <v>1</v>
      </c>
      <c r="K2482" s="8" t="b">
        <f t="shared" ref="K2482:K2502" si="196">OR(D2482="",ISNUMBER(D2482))</f>
        <v>1</v>
      </c>
      <c r="L2482" s="8" t="b">
        <f t="shared" ref="L2482:L2502" si="197">OR(E2482="",ISNUMBER(E2482))</f>
        <v>1</v>
      </c>
      <c r="M2482" s="8" t="b">
        <f t="shared" ref="M2482:M2502" si="198">OR(F2482="",ISNUMBER(F2482))</f>
        <v>1</v>
      </c>
      <c r="N2482" s="1" t="b">
        <f t="shared" si="194"/>
        <v>1</v>
      </c>
      <c r="O2482" s="8" t="str">
        <f>IF(F2482="","",IF($F$2=入力リスト!$H$25,ROUNDDOWN(INT(F2482)+ROUNDDOWN((F2482-INT(F2482))*100,0)/60,2),F2482))</f>
        <v/>
      </c>
      <c r="P2482" s="7"/>
      <c r="Q2482" s="7"/>
    </row>
    <row r="2483" spans="1:17">
      <c r="A2483" s="234"/>
      <c r="B2483" s="235"/>
      <c r="C2483" s="235"/>
      <c r="D2483" s="3"/>
      <c r="E2483" s="235"/>
      <c r="F2483" s="236"/>
      <c r="G2483" s="215" t="str">
        <f>IF(AND($B2483="",OR(B2483&lt;&gt;"",C2483&lt;&gt;"",D2483&lt;&gt;"",E2483&lt;&gt;"",F2483&lt;&gt;"")),入力リスト!$K$34,IF($I2483=TRUE,入力リスト!$K$35,IF(J2483=FALSE,"「毎月の固定給与額」","")&amp;IF(AND(J2483=FALSE,OR(K2483=FALSE,L2483=FALSE,M2483=FALSE)),",","")&amp;IF(K2483=FALSE,"「賞与額等」","")&amp;IF(AND(K2483=FALSE,OR(L2483=FALSE,M2483=FALSE)),",","")&amp;IF(L2483=FALSE,"「残業手当」","")&amp;IF(AND(L2483=FALSE,M2483=FALSE),",","")&amp;IF(M2483=FALSE,"「残業時間」","")&amp;IF(OR(J2483=FALSE,K2483=FALSE,L2483=FALSE,M2483=FALSE),入力リスト!$K$36,"")&amp;IF(N2483,"",入力リスト!$K$37)))</f>
        <v/>
      </c>
      <c r="H2483" s="215"/>
      <c r="I2483" s="1" t="b">
        <f>IF(B2483="",FALSE,COUNTIF('従業員情報(給与以外)'!$A$4:$A$1000000,$B2483)=0)</f>
        <v>0</v>
      </c>
      <c r="J2483" s="8" t="b">
        <f t="shared" si="195"/>
        <v>1</v>
      </c>
      <c r="K2483" s="8" t="b">
        <f t="shared" si="196"/>
        <v>1</v>
      </c>
      <c r="L2483" s="8" t="b">
        <f t="shared" si="197"/>
        <v>1</v>
      </c>
      <c r="M2483" s="8" t="b">
        <f t="shared" si="198"/>
        <v>1</v>
      </c>
      <c r="N2483" s="1" t="b">
        <f t="shared" si="194"/>
        <v>1</v>
      </c>
      <c r="O2483" s="8" t="str">
        <f>IF(F2483="","",IF($F$2=入力リスト!$H$25,ROUNDDOWN(INT(F2483)+ROUNDDOWN((F2483-INT(F2483))*100,0)/60,2),F2483))</f>
        <v/>
      </c>
      <c r="P2483" s="7"/>
      <c r="Q2483" s="7"/>
    </row>
    <row r="2484" spans="1:17">
      <c r="A2484" s="234"/>
      <c r="B2484" s="235"/>
      <c r="C2484" s="235"/>
      <c r="D2484" s="3"/>
      <c r="E2484" s="235"/>
      <c r="F2484" s="236"/>
      <c r="G2484" s="215" t="str">
        <f>IF(AND($B2484="",OR(B2484&lt;&gt;"",C2484&lt;&gt;"",D2484&lt;&gt;"",E2484&lt;&gt;"",F2484&lt;&gt;"")),入力リスト!$K$34,IF($I2484=TRUE,入力リスト!$K$35,IF(J2484=FALSE,"「毎月の固定給与額」","")&amp;IF(AND(J2484=FALSE,OR(K2484=FALSE,L2484=FALSE,M2484=FALSE)),",","")&amp;IF(K2484=FALSE,"「賞与額等」","")&amp;IF(AND(K2484=FALSE,OR(L2484=FALSE,M2484=FALSE)),",","")&amp;IF(L2484=FALSE,"「残業手当」","")&amp;IF(AND(L2484=FALSE,M2484=FALSE),",","")&amp;IF(M2484=FALSE,"「残業時間」","")&amp;IF(OR(J2484=FALSE,K2484=FALSE,L2484=FALSE,M2484=FALSE),入力リスト!$K$36,"")&amp;IF(N2484,"",入力リスト!$K$37)))</f>
        <v/>
      </c>
      <c r="H2484" s="215"/>
      <c r="I2484" s="1" t="b">
        <f>IF(B2484="",FALSE,COUNTIF('従業員情報(給与以外)'!$A$4:$A$1000000,$B2484)=0)</f>
        <v>0</v>
      </c>
      <c r="J2484" s="8" t="b">
        <f t="shared" si="195"/>
        <v>1</v>
      </c>
      <c r="K2484" s="8" t="b">
        <f t="shared" si="196"/>
        <v>1</v>
      </c>
      <c r="L2484" s="8" t="b">
        <f t="shared" si="197"/>
        <v>1</v>
      </c>
      <c r="M2484" s="8" t="b">
        <f t="shared" si="198"/>
        <v>1</v>
      </c>
      <c r="N2484" s="1" t="b">
        <f t="shared" si="194"/>
        <v>1</v>
      </c>
      <c r="O2484" s="8" t="str">
        <f>IF(F2484="","",IF($F$2=入力リスト!$H$25,ROUNDDOWN(INT(F2484)+ROUNDDOWN((F2484-INT(F2484))*100,0)/60,2),F2484))</f>
        <v/>
      </c>
      <c r="P2484" s="7"/>
      <c r="Q2484" s="7"/>
    </row>
    <row r="2485" spans="1:17">
      <c r="A2485" s="234"/>
      <c r="B2485" s="235"/>
      <c r="C2485" s="235"/>
      <c r="D2485" s="3"/>
      <c r="E2485" s="235"/>
      <c r="F2485" s="236"/>
      <c r="G2485" s="215" t="str">
        <f>IF(AND($B2485="",OR(B2485&lt;&gt;"",C2485&lt;&gt;"",D2485&lt;&gt;"",E2485&lt;&gt;"",F2485&lt;&gt;"")),入力リスト!$K$34,IF($I2485=TRUE,入力リスト!$K$35,IF(J2485=FALSE,"「毎月の固定給与額」","")&amp;IF(AND(J2485=FALSE,OR(K2485=FALSE,L2485=FALSE,M2485=FALSE)),",","")&amp;IF(K2485=FALSE,"「賞与額等」","")&amp;IF(AND(K2485=FALSE,OR(L2485=FALSE,M2485=FALSE)),",","")&amp;IF(L2485=FALSE,"「残業手当」","")&amp;IF(AND(L2485=FALSE,M2485=FALSE),",","")&amp;IF(M2485=FALSE,"「残業時間」","")&amp;IF(OR(J2485=FALSE,K2485=FALSE,L2485=FALSE,M2485=FALSE),入力リスト!$K$36,"")&amp;IF(N2485,"",入力リスト!$K$37)))</f>
        <v/>
      </c>
      <c r="H2485" s="215"/>
      <c r="I2485" s="1" t="b">
        <f>IF(B2485="",FALSE,COUNTIF('従業員情報(給与以外)'!$A$4:$A$1000000,$B2485)=0)</f>
        <v>0</v>
      </c>
      <c r="J2485" s="8" t="b">
        <f t="shared" si="195"/>
        <v>1</v>
      </c>
      <c r="K2485" s="8" t="b">
        <f t="shared" si="196"/>
        <v>1</v>
      </c>
      <c r="L2485" s="8" t="b">
        <f t="shared" si="197"/>
        <v>1</v>
      </c>
      <c r="M2485" s="8" t="b">
        <f t="shared" si="198"/>
        <v>1</v>
      </c>
      <c r="N2485" s="1" t="b">
        <f t="shared" si="194"/>
        <v>1</v>
      </c>
      <c r="O2485" s="8" t="str">
        <f>IF(F2485="","",IF($F$2=入力リスト!$H$25,ROUNDDOWN(INT(F2485)+ROUNDDOWN((F2485-INT(F2485))*100,0)/60,2),F2485))</f>
        <v/>
      </c>
      <c r="P2485" s="7"/>
      <c r="Q2485" s="7"/>
    </row>
    <row r="2486" spans="1:17">
      <c r="A2486" s="234"/>
      <c r="B2486" s="235"/>
      <c r="C2486" s="235"/>
      <c r="D2486" s="3"/>
      <c r="E2486" s="235"/>
      <c r="F2486" s="236"/>
      <c r="G2486" s="215" t="str">
        <f>IF(AND($B2486="",OR(B2486&lt;&gt;"",C2486&lt;&gt;"",D2486&lt;&gt;"",E2486&lt;&gt;"",F2486&lt;&gt;"")),入力リスト!$K$34,IF($I2486=TRUE,入力リスト!$K$35,IF(J2486=FALSE,"「毎月の固定給与額」","")&amp;IF(AND(J2486=FALSE,OR(K2486=FALSE,L2486=FALSE,M2486=FALSE)),",","")&amp;IF(K2486=FALSE,"「賞与額等」","")&amp;IF(AND(K2486=FALSE,OR(L2486=FALSE,M2486=FALSE)),",","")&amp;IF(L2486=FALSE,"「残業手当」","")&amp;IF(AND(L2486=FALSE,M2486=FALSE),",","")&amp;IF(M2486=FALSE,"「残業時間」","")&amp;IF(OR(J2486=FALSE,K2486=FALSE,L2486=FALSE,M2486=FALSE),入力リスト!$K$36,"")&amp;IF(N2486,"",入力リスト!$K$37)))</f>
        <v/>
      </c>
      <c r="H2486" s="215"/>
      <c r="I2486" s="1" t="b">
        <f>IF(B2486="",FALSE,COUNTIF('従業員情報(給与以外)'!$A$4:$A$1000000,$B2486)=0)</f>
        <v>0</v>
      </c>
      <c r="J2486" s="8" t="b">
        <f t="shared" si="195"/>
        <v>1</v>
      </c>
      <c r="K2486" s="8" t="b">
        <f t="shared" si="196"/>
        <v>1</v>
      </c>
      <c r="L2486" s="8" t="b">
        <f t="shared" si="197"/>
        <v>1</v>
      </c>
      <c r="M2486" s="8" t="b">
        <f t="shared" si="198"/>
        <v>1</v>
      </c>
      <c r="N2486" s="1" t="b">
        <f t="shared" si="194"/>
        <v>1</v>
      </c>
      <c r="O2486" s="8" t="str">
        <f>IF(F2486="","",IF($F$2=入力リスト!$H$25,ROUNDDOWN(INT(F2486)+ROUNDDOWN((F2486-INT(F2486))*100,0)/60,2),F2486))</f>
        <v/>
      </c>
      <c r="P2486" s="7"/>
      <c r="Q2486" s="7"/>
    </row>
    <row r="2487" spans="1:17">
      <c r="A2487" s="234"/>
      <c r="B2487" s="235"/>
      <c r="C2487" s="235"/>
      <c r="D2487" s="3"/>
      <c r="E2487" s="235"/>
      <c r="F2487" s="236"/>
      <c r="G2487" s="215" t="str">
        <f>IF(AND($B2487="",OR(B2487&lt;&gt;"",C2487&lt;&gt;"",D2487&lt;&gt;"",E2487&lt;&gt;"",F2487&lt;&gt;"")),入力リスト!$K$34,IF($I2487=TRUE,入力リスト!$K$35,IF(J2487=FALSE,"「毎月の固定給与額」","")&amp;IF(AND(J2487=FALSE,OR(K2487=FALSE,L2487=FALSE,M2487=FALSE)),",","")&amp;IF(K2487=FALSE,"「賞与額等」","")&amp;IF(AND(K2487=FALSE,OR(L2487=FALSE,M2487=FALSE)),",","")&amp;IF(L2487=FALSE,"「残業手当」","")&amp;IF(AND(L2487=FALSE,M2487=FALSE),",","")&amp;IF(M2487=FALSE,"「残業時間」","")&amp;IF(OR(J2487=FALSE,K2487=FALSE,L2487=FALSE,M2487=FALSE),入力リスト!$K$36,"")&amp;IF(N2487,"",入力リスト!$K$37)))</f>
        <v/>
      </c>
      <c r="H2487" s="215"/>
      <c r="I2487" s="1" t="b">
        <f>IF(B2487="",FALSE,COUNTIF('従業員情報(給与以外)'!$A$4:$A$1000000,$B2487)=0)</f>
        <v>0</v>
      </c>
      <c r="J2487" s="8" t="b">
        <f t="shared" si="195"/>
        <v>1</v>
      </c>
      <c r="K2487" s="8" t="b">
        <f t="shared" si="196"/>
        <v>1</v>
      </c>
      <c r="L2487" s="8" t="b">
        <f t="shared" si="197"/>
        <v>1</v>
      </c>
      <c r="M2487" s="8" t="b">
        <f t="shared" si="198"/>
        <v>1</v>
      </c>
      <c r="N2487" s="1" t="b">
        <f t="shared" si="194"/>
        <v>1</v>
      </c>
      <c r="O2487" s="8" t="str">
        <f>IF(F2487="","",IF($F$2=入力リスト!$H$25,ROUNDDOWN(INT(F2487)+ROUNDDOWN((F2487-INT(F2487))*100,0)/60,2),F2487))</f>
        <v/>
      </c>
      <c r="P2487" s="7"/>
      <c r="Q2487" s="7"/>
    </row>
    <row r="2488" spans="1:17">
      <c r="A2488" s="234"/>
      <c r="B2488" s="235"/>
      <c r="C2488" s="235"/>
      <c r="D2488" s="3"/>
      <c r="E2488" s="235"/>
      <c r="F2488" s="236"/>
      <c r="G2488" s="215" t="str">
        <f>IF(AND($B2488="",OR(B2488&lt;&gt;"",C2488&lt;&gt;"",D2488&lt;&gt;"",E2488&lt;&gt;"",F2488&lt;&gt;"")),入力リスト!$K$34,IF($I2488=TRUE,入力リスト!$K$35,IF(J2488=FALSE,"「毎月の固定給与額」","")&amp;IF(AND(J2488=FALSE,OR(K2488=FALSE,L2488=FALSE,M2488=FALSE)),",","")&amp;IF(K2488=FALSE,"「賞与額等」","")&amp;IF(AND(K2488=FALSE,OR(L2488=FALSE,M2488=FALSE)),",","")&amp;IF(L2488=FALSE,"「残業手当」","")&amp;IF(AND(L2488=FALSE,M2488=FALSE),",","")&amp;IF(M2488=FALSE,"「残業時間」","")&amp;IF(OR(J2488=FALSE,K2488=FALSE,L2488=FALSE,M2488=FALSE),入力リスト!$K$36,"")&amp;IF(N2488,"",入力リスト!$K$37)))</f>
        <v/>
      </c>
      <c r="H2488" s="215"/>
      <c r="I2488" s="1" t="b">
        <f>IF(B2488="",FALSE,COUNTIF('従業員情報(給与以外)'!$A$4:$A$1000000,$B2488)=0)</f>
        <v>0</v>
      </c>
      <c r="J2488" s="8" t="b">
        <f t="shared" si="195"/>
        <v>1</v>
      </c>
      <c r="K2488" s="8" t="b">
        <f t="shared" si="196"/>
        <v>1</v>
      </c>
      <c r="L2488" s="8" t="b">
        <f t="shared" si="197"/>
        <v>1</v>
      </c>
      <c r="M2488" s="8" t="b">
        <f t="shared" si="198"/>
        <v>1</v>
      </c>
      <c r="N2488" s="1" t="b">
        <f t="shared" si="194"/>
        <v>1</v>
      </c>
      <c r="O2488" s="8" t="str">
        <f>IF(F2488="","",IF($F$2=入力リスト!$H$25,ROUNDDOWN(INT(F2488)+ROUNDDOWN((F2488-INT(F2488))*100,0)/60,2),F2488))</f>
        <v/>
      </c>
      <c r="P2488" s="7"/>
      <c r="Q2488" s="7"/>
    </row>
    <row r="2489" spans="1:17">
      <c r="A2489" s="234"/>
      <c r="B2489" s="235"/>
      <c r="C2489" s="235"/>
      <c r="D2489" s="3"/>
      <c r="E2489" s="235"/>
      <c r="F2489" s="236"/>
      <c r="G2489" s="215" t="str">
        <f>IF(AND($B2489="",OR(B2489&lt;&gt;"",C2489&lt;&gt;"",D2489&lt;&gt;"",E2489&lt;&gt;"",F2489&lt;&gt;"")),入力リスト!$K$34,IF($I2489=TRUE,入力リスト!$K$35,IF(J2489=FALSE,"「毎月の固定給与額」","")&amp;IF(AND(J2489=FALSE,OR(K2489=FALSE,L2489=FALSE,M2489=FALSE)),",","")&amp;IF(K2489=FALSE,"「賞与額等」","")&amp;IF(AND(K2489=FALSE,OR(L2489=FALSE,M2489=FALSE)),",","")&amp;IF(L2489=FALSE,"「残業手当」","")&amp;IF(AND(L2489=FALSE,M2489=FALSE),",","")&amp;IF(M2489=FALSE,"「残業時間」","")&amp;IF(OR(J2489=FALSE,K2489=FALSE,L2489=FALSE,M2489=FALSE),入力リスト!$K$36,"")&amp;IF(N2489,"",入力リスト!$K$37)))</f>
        <v/>
      </c>
      <c r="H2489" s="215"/>
      <c r="I2489" s="1" t="b">
        <f>IF(B2489="",FALSE,COUNTIF('従業員情報(給与以外)'!$A$4:$A$1000000,$B2489)=0)</f>
        <v>0</v>
      </c>
      <c r="J2489" s="8" t="b">
        <f t="shared" si="195"/>
        <v>1</v>
      </c>
      <c r="K2489" s="8" t="b">
        <f t="shared" si="196"/>
        <v>1</v>
      </c>
      <c r="L2489" s="8" t="b">
        <f t="shared" si="197"/>
        <v>1</v>
      </c>
      <c r="M2489" s="8" t="b">
        <f t="shared" si="198"/>
        <v>1</v>
      </c>
      <c r="N2489" s="1" t="b">
        <f t="shared" si="194"/>
        <v>1</v>
      </c>
      <c r="O2489" s="8" t="str">
        <f>IF(F2489="","",IF($F$2=入力リスト!$H$25,ROUNDDOWN(INT(F2489)+ROUNDDOWN((F2489-INT(F2489))*100,0)/60,2),F2489))</f>
        <v/>
      </c>
      <c r="P2489" s="7"/>
      <c r="Q2489" s="7"/>
    </row>
    <row r="2490" spans="1:17">
      <c r="A2490" s="234"/>
      <c r="B2490" s="235"/>
      <c r="C2490" s="235"/>
      <c r="D2490" s="3"/>
      <c r="E2490" s="235"/>
      <c r="F2490" s="236"/>
      <c r="G2490" s="215" t="str">
        <f>IF(AND($B2490="",OR(B2490&lt;&gt;"",C2490&lt;&gt;"",D2490&lt;&gt;"",E2490&lt;&gt;"",F2490&lt;&gt;"")),入力リスト!$K$34,IF($I2490=TRUE,入力リスト!$K$35,IF(J2490=FALSE,"「毎月の固定給与額」","")&amp;IF(AND(J2490=FALSE,OR(K2490=FALSE,L2490=FALSE,M2490=FALSE)),",","")&amp;IF(K2490=FALSE,"「賞与額等」","")&amp;IF(AND(K2490=FALSE,OR(L2490=FALSE,M2490=FALSE)),",","")&amp;IF(L2490=FALSE,"「残業手当」","")&amp;IF(AND(L2490=FALSE,M2490=FALSE),",","")&amp;IF(M2490=FALSE,"「残業時間」","")&amp;IF(OR(J2490=FALSE,K2490=FALSE,L2490=FALSE,M2490=FALSE),入力リスト!$K$36,"")&amp;IF(N2490,"",入力リスト!$K$37)))</f>
        <v/>
      </c>
      <c r="H2490" s="215"/>
      <c r="I2490" s="1" t="b">
        <f>IF(B2490="",FALSE,COUNTIF('従業員情報(給与以外)'!$A$4:$A$1000000,$B2490)=0)</f>
        <v>0</v>
      </c>
      <c r="J2490" s="8" t="b">
        <f t="shared" si="195"/>
        <v>1</v>
      </c>
      <c r="K2490" s="8" t="b">
        <f t="shared" si="196"/>
        <v>1</v>
      </c>
      <c r="L2490" s="8" t="b">
        <f t="shared" si="197"/>
        <v>1</v>
      </c>
      <c r="M2490" s="8" t="b">
        <f t="shared" si="198"/>
        <v>1</v>
      </c>
      <c r="N2490" s="1" t="b">
        <f t="shared" si="194"/>
        <v>1</v>
      </c>
      <c r="O2490" s="8" t="str">
        <f>IF(F2490="","",IF($F$2=入力リスト!$H$25,ROUNDDOWN(INT(F2490)+ROUNDDOWN((F2490-INT(F2490))*100,0)/60,2),F2490))</f>
        <v/>
      </c>
      <c r="P2490" s="7"/>
      <c r="Q2490" s="7"/>
    </row>
    <row r="2491" spans="1:17">
      <c r="A2491" s="234"/>
      <c r="B2491" s="235"/>
      <c r="C2491" s="235"/>
      <c r="D2491" s="3"/>
      <c r="E2491" s="235"/>
      <c r="F2491" s="236"/>
      <c r="G2491" s="215" t="str">
        <f>IF(AND($B2491="",OR(B2491&lt;&gt;"",C2491&lt;&gt;"",D2491&lt;&gt;"",E2491&lt;&gt;"",F2491&lt;&gt;"")),入力リスト!$K$34,IF($I2491=TRUE,入力リスト!$K$35,IF(J2491=FALSE,"「毎月の固定給与額」","")&amp;IF(AND(J2491=FALSE,OR(K2491=FALSE,L2491=FALSE,M2491=FALSE)),",","")&amp;IF(K2491=FALSE,"「賞与額等」","")&amp;IF(AND(K2491=FALSE,OR(L2491=FALSE,M2491=FALSE)),",","")&amp;IF(L2491=FALSE,"「残業手当」","")&amp;IF(AND(L2491=FALSE,M2491=FALSE),",","")&amp;IF(M2491=FALSE,"「残業時間」","")&amp;IF(OR(J2491=FALSE,K2491=FALSE,L2491=FALSE,M2491=FALSE),入力リスト!$K$36,"")&amp;IF(N2491,"",入力リスト!$K$37)))</f>
        <v/>
      </c>
      <c r="H2491" s="215"/>
      <c r="I2491" s="1" t="b">
        <f>IF(B2491="",FALSE,COUNTIF('従業員情報(給与以外)'!$A$4:$A$1000000,$B2491)=0)</f>
        <v>0</v>
      </c>
      <c r="J2491" s="8" t="b">
        <f t="shared" si="195"/>
        <v>1</v>
      </c>
      <c r="K2491" s="8" t="b">
        <f t="shared" si="196"/>
        <v>1</v>
      </c>
      <c r="L2491" s="8" t="b">
        <f t="shared" si="197"/>
        <v>1</v>
      </c>
      <c r="M2491" s="8" t="b">
        <f t="shared" si="198"/>
        <v>1</v>
      </c>
      <c r="N2491" s="1" t="b">
        <f t="shared" si="194"/>
        <v>1</v>
      </c>
      <c r="O2491" s="8" t="str">
        <f>IF(F2491="","",IF($F$2=入力リスト!$H$25,ROUNDDOWN(INT(F2491)+ROUNDDOWN((F2491-INT(F2491))*100,0)/60,2),F2491))</f>
        <v/>
      </c>
      <c r="P2491" s="7"/>
      <c r="Q2491" s="7"/>
    </row>
    <row r="2492" spans="1:17">
      <c r="A2492" s="234"/>
      <c r="B2492" s="235"/>
      <c r="C2492" s="235"/>
      <c r="D2492" s="3"/>
      <c r="E2492" s="235"/>
      <c r="F2492" s="236"/>
      <c r="G2492" s="215" t="str">
        <f>IF(AND($B2492="",OR(B2492&lt;&gt;"",C2492&lt;&gt;"",D2492&lt;&gt;"",E2492&lt;&gt;"",F2492&lt;&gt;"")),入力リスト!$K$34,IF($I2492=TRUE,入力リスト!$K$35,IF(J2492=FALSE,"「毎月の固定給与額」","")&amp;IF(AND(J2492=FALSE,OR(K2492=FALSE,L2492=FALSE,M2492=FALSE)),",","")&amp;IF(K2492=FALSE,"「賞与額等」","")&amp;IF(AND(K2492=FALSE,OR(L2492=FALSE,M2492=FALSE)),",","")&amp;IF(L2492=FALSE,"「残業手当」","")&amp;IF(AND(L2492=FALSE,M2492=FALSE),",","")&amp;IF(M2492=FALSE,"「残業時間」","")&amp;IF(OR(J2492=FALSE,K2492=FALSE,L2492=FALSE,M2492=FALSE),入力リスト!$K$36,"")&amp;IF(N2492,"",入力リスト!$K$37)))</f>
        <v/>
      </c>
      <c r="H2492" s="215"/>
      <c r="I2492" s="1" t="b">
        <f>IF(B2492="",FALSE,COUNTIF('従業員情報(給与以外)'!$A$4:$A$1000000,$B2492)=0)</f>
        <v>0</v>
      </c>
      <c r="J2492" s="8" t="b">
        <f t="shared" si="195"/>
        <v>1</v>
      </c>
      <c r="K2492" s="8" t="b">
        <f t="shared" si="196"/>
        <v>1</v>
      </c>
      <c r="L2492" s="8" t="b">
        <f t="shared" si="197"/>
        <v>1</v>
      </c>
      <c r="M2492" s="8" t="b">
        <f t="shared" si="198"/>
        <v>1</v>
      </c>
      <c r="N2492" s="1" t="b">
        <f t="shared" si="194"/>
        <v>1</v>
      </c>
      <c r="O2492" s="8" t="str">
        <f>IF(F2492="","",IF($F$2=入力リスト!$H$25,ROUNDDOWN(INT(F2492)+ROUNDDOWN((F2492-INT(F2492))*100,0)/60,2),F2492))</f>
        <v/>
      </c>
      <c r="P2492" s="7"/>
      <c r="Q2492" s="7"/>
    </row>
    <row r="2493" spans="1:17">
      <c r="A2493" s="234"/>
      <c r="B2493" s="235"/>
      <c r="C2493" s="235"/>
      <c r="D2493" s="3"/>
      <c r="E2493" s="235"/>
      <c r="F2493" s="236"/>
      <c r="G2493" s="215" t="str">
        <f>IF(AND($B2493="",OR(B2493&lt;&gt;"",C2493&lt;&gt;"",D2493&lt;&gt;"",E2493&lt;&gt;"",F2493&lt;&gt;"")),入力リスト!$K$34,IF($I2493=TRUE,入力リスト!$K$35,IF(J2493=FALSE,"「毎月の固定給与額」","")&amp;IF(AND(J2493=FALSE,OR(K2493=FALSE,L2493=FALSE,M2493=FALSE)),",","")&amp;IF(K2493=FALSE,"「賞与額等」","")&amp;IF(AND(K2493=FALSE,OR(L2493=FALSE,M2493=FALSE)),",","")&amp;IF(L2493=FALSE,"「残業手当」","")&amp;IF(AND(L2493=FALSE,M2493=FALSE),",","")&amp;IF(M2493=FALSE,"「残業時間」","")&amp;IF(OR(J2493=FALSE,K2493=FALSE,L2493=FALSE,M2493=FALSE),入力リスト!$K$36,"")&amp;IF(N2493,"",入力リスト!$K$37)))</f>
        <v/>
      </c>
      <c r="H2493" s="215"/>
      <c r="I2493" s="1" t="b">
        <f>IF(B2493="",FALSE,COUNTIF('従業員情報(給与以外)'!$A$4:$A$1000000,$B2493)=0)</f>
        <v>0</v>
      </c>
      <c r="J2493" s="8" t="b">
        <f t="shared" si="195"/>
        <v>1</v>
      </c>
      <c r="K2493" s="8" t="b">
        <f t="shared" si="196"/>
        <v>1</v>
      </c>
      <c r="L2493" s="8" t="b">
        <f t="shared" si="197"/>
        <v>1</v>
      </c>
      <c r="M2493" s="8" t="b">
        <f t="shared" si="198"/>
        <v>1</v>
      </c>
      <c r="N2493" s="1" t="b">
        <f t="shared" si="194"/>
        <v>1</v>
      </c>
      <c r="O2493" s="8" t="str">
        <f>IF(F2493="","",IF($F$2=入力リスト!$H$25,ROUNDDOWN(INT(F2493)+ROUNDDOWN((F2493-INT(F2493))*100,0)/60,2),F2493))</f>
        <v/>
      </c>
      <c r="P2493" s="7"/>
      <c r="Q2493" s="7"/>
    </row>
    <row r="2494" spans="1:17">
      <c r="A2494" s="234"/>
      <c r="B2494" s="235"/>
      <c r="C2494" s="235"/>
      <c r="D2494" s="3"/>
      <c r="E2494" s="235"/>
      <c r="F2494" s="236"/>
      <c r="G2494" s="215" t="str">
        <f>IF(AND($B2494="",OR(B2494&lt;&gt;"",C2494&lt;&gt;"",D2494&lt;&gt;"",E2494&lt;&gt;"",F2494&lt;&gt;"")),入力リスト!$K$34,IF($I2494=TRUE,入力リスト!$K$35,IF(J2494=FALSE,"「毎月の固定給与額」","")&amp;IF(AND(J2494=FALSE,OR(K2494=FALSE,L2494=FALSE,M2494=FALSE)),",","")&amp;IF(K2494=FALSE,"「賞与額等」","")&amp;IF(AND(K2494=FALSE,OR(L2494=FALSE,M2494=FALSE)),",","")&amp;IF(L2494=FALSE,"「残業手当」","")&amp;IF(AND(L2494=FALSE,M2494=FALSE),",","")&amp;IF(M2494=FALSE,"「残業時間」","")&amp;IF(OR(J2494=FALSE,K2494=FALSE,L2494=FALSE,M2494=FALSE),入力リスト!$K$36,"")&amp;IF(N2494,"",入力リスト!$K$37)))</f>
        <v/>
      </c>
      <c r="H2494" s="215"/>
      <c r="I2494" s="1" t="b">
        <f>IF(B2494="",FALSE,COUNTIF('従業員情報(給与以外)'!$A$4:$A$1000000,$B2494)=0)</f>
        <v>0</v>
      </c>
      <c r="J2494" s="8" t="b">
        <f t="shared" si="195"/>
        <v>1</v>
      </c>
      <c r="K2494" s="8" t="b">
        <f t="shared" si="196"/>
        <v>1</v>
      </c>
      <c r="L2494" s="8" t="b">
        <f t="shared" si="197"/>
        <v>1</v>
      </c>
      <c r="M2494" s="8" t="b">
        <f t="shared" si="198"/>
        <v>1</v>
      </c>
      <c r="N2494" s="1" t="b">
        <f t="shared" si="194"/>
        <v>1</v>
      </c>
      <c r="O2494" s="8" t="str">
        <f>IF(F2494="","",IF($F$2=入力リスト!$H$25,ROUNDDOWN(INT(F2494)+ROUNDDOWN((F2494-INT(F2494))*100,0)/60,2),F2494))</f>
        <v/>
      </c>
      <c r="P2494" s="7"/>
      <c r="Q2494" s="7"/>
    </row>
    <row r="2495" spans="1:17">
      <c r="A2495" s="234"/>
      <c r="B2495" s="235"/>
      <c r="C2495" s="235"/>
      <c r="D2495" s="3"/>
      <c r="E2495" s="235"/>
      <c r="F2495" s="236"/>
      <c r="G2495" s="215" t="str">
        <f>IF(AND($B2495="",OR(B2495&lt;&gt;"",C2495&lt;&gt;"",D2495&lt;&gt;"",E2495&lt;&gt;"",F2495&lt;&gt;"")),入力リスト!$K$34,IF($I2495=TRUE,入力リスト!$K$35,IF(J2495=FALSE,"「毎月の固定給与額」","")&amp;IF(AND(J2495=FALSE,OR(K2495=FALSE,L2495=FALSE,M2495=FALSE)),",","")&amp;IF(K2495=FALSE,"「賞与額等」","")&amp;IF(AND(K2495=FALSE,OR(L2495=FALSE,M2495=FALSE)),",","")&amp;IF(L2495=FALSE,"「残業手当」","")&amp;IF(AND(L2495=FALSE,M2495=FALSE),",","")&amp;IF(M2495=FALSE,"「残業時間」","")&amp;IF(OR(J2495=FALSE,K2495=FALSE,L2495=FALSE,M2495=FALSE),入力リスト!$K$36,"")&amp;IF(N2495,"",入力リスト!$K$37)))</f>
        <v/>
      </c>
      <c r="H2495" s="215"/>
      <c r="I2495" s="1" t="b">
        <f>IF(B2495="",FALSE,COUNTIF('従業員情報(給与以外)'!$A$4:$A$1000000,$B2495)=0)</f>
        <v>0</v>
      </c>
      <c r="J2495" s="8" t="b">
        <f t="shared" si="195"/>
        <v>1</v>
      </c>
      <c r="K2495" s="8" t="b">
        <f t="shared" si="196"/>
        <v>1</v>
      </c>
      <c r="L2495" s="8" t="b">
        <f t="shared" si="197"/>
        <v>1</v>
      </c>
      <c r="M2495" s="8" t="b">
        <f t="shared" si="198"/>
        <v>1</v>
      </c>
      <c r="N2495" s="1" t="b">
        <f t="shared" si="194"/>
        <v>1</v>
      </c>
      <c r="O2495" s="8" t="str">
        <f>IF(F2495="","",IF($F$2=入力リスト!$H$25,ROUNDDOWN(INT(F2495)+ROUNDDOWN((F2495-INT(F2495))*100,0)/60,2),F2495))</f>
        <v/>
      </c>
      <c r="P2495" s="7"/>
      <c r="Q2495" s="7"/>
    </row>
    <row r="2496" spans="1:17">
      <c r="A2496" s="234"/>
      <c r="B2496" s="235"/>
      <c r="C2496" s="235"/>
      <c r="D2496" s="3"/>
      <c r="E2496" s="235"/>
      <c r="F2496" s="236"/>
      <c r="G2496" s="215" t="str">
        <f>IF(AND($B2496="",OR(B2496&lt;&gt;"",C2496&lt;&gt;"",D2496&lt;&gt;"",E2496&lt;&gt;"",F2496&lt;&gt;"")),入力リスト!$K$34,IF($I2496=TRUE,入力リスト!$K$35,IF(J2496=FALSE,"「毎月の固定給与額」","")&amp;IF(AND(J2496=FALSE,OR(K2496=FALSE,L2496=FALSE,M2496=FALSE)),",","")&amp;IF(K2496=FALSE,"「賞与額等」","")&amp;IF(AND(K2496=FALSE,OR(L2496=FALSE,M2496=FALSE)),",","")&amp;IF(L2496=FALSE,"「残業手当」","")&amp;IF(AND(L2496=FALSE,M2496=FALSE),",","")&amp;IF(M2496=FALSE,"「残業時間」","")&amp;IF(OR(J2496=FALSE,K2496=FALSE,L2496=FALSE,M2496=FALSE),入力リスト!$K$36,"")&amp;IF(N2496,"",入力リスト!$K$37)))</f>
        <v/>
      </c>
      <c r="H2496" s="215"/>
      <c r="I2496" s="1" t="b">
        <f>IF(B2496="",FALSE,COUNTIF('従業員情報(給与以外)'!$A$4:$A$1000000,$B2496)=0)</f>
        <v>0</v>
      </c>
      <c r="J2496" s="8" t="b">
        <f t="shared" si="195"/>
        <v>1</v>
      </c>
      <c r="K2496" s="8" t="b">
        <f t="shared" si="196"/>
        <v>1</v>
      </c>
      <c r="L2496" s="8" t="b">
        <f t="shared" si="197"/>
        <v>1</v>
      </c>
      <c r="M2496" s="8" t="b">
        <f t="shared" si="198"/>
        <v>1</v>
      </c>
      <c r="N2496" s="1" t="b">
        <f t="shared" si="194"/>
        <v>1</v>
      </c>
      <c r="O2496" s="8" t="str">
        <f>IF(F2496="","",IF($F$2=入力リスト!$H$25,ROUNDDOWN(INT(F2496)+ROUNDDOWN((F2496-INT(F2496))*100,0)/60,2),F2496))</f>
        <v/>
      </c>
      <c r="P2496" s="7"/>
      <c r="Q2496" s="7"/>
    </row>
    <row r="2497" spans="1:17">
      <c r="A2497" s="234"/>
      <c r="B2497" s="235"/>
      <c r="C2497" s="235"/>
      <c r="D2497" s="3"/>
      <c r="E2497" s="235"/>
      <c r="F2497" s="236"/>
      <c r="G2497" s="215" t="str">
        <f>IF(AND($B2497="",OR(B2497&lt;&gt;"",C2497&lt;&gt;"",D2497&lt;&gt;"",E2497&lt;&gt;"",F2497&lt;&gt;"")),入力リスト!$K$34,IF($I2497=TRUE,入力リスト!$K$35,IF(J2497=FALSE,"「毎月の固定給与額」","")&amp;IF(AND(J2497=FALSE,OR(K2497=FALSE,L2497=FALSE,M2497=FALSE)),",","")&amp;IF(K2497=FALSE,"「賞与額等」","")&amp;IF(AND(K2497=FALSE,OR(L2497=FALSE,M2497=FALSE)),",","")&amp;IF(L2497=FALSE,"「残業手当」","")&amp;IF(AND(L2497=FALSE,M2497=FALSE),",","")&amp;IF(M2497=FALSE,"「残業時間」","")&amp;IF(OR(J2497=FALSE,K2497=FALSE,L2497=FALSE,M2497=FALSE),入力リスト!$K$36,"")&amp;IF(N2497,"",入力リスト!$K$37)))</f>
        <v/>
      </c>
      <c r="H2497" s="215"/>
      <c r="I2497" s="1" t="b">
        <f>IF(B2497="",FALSE,COUNTIF('従業員情報(給与以外)'!$A$4:$A$1000000,$B2497)=0)</f>
        <v>0</v>
      </c>
      <c r="J2497" s="8" t="b">
        <f t="shared" si="195"/>
        <v>1</v>
      </c>
      <c r="K2497" s="8" t="b">
        <f t="shared" si="196"/>
        <v>1</v>
      </c>
      <c r="L2497" s="8" t="b">
        <f t="shared" si="197"/>
        <v>1</v>
      </c>
      <c r="M2497" s="8" t="b">
        <f t="shared" si="198"/>
        <v>1</v>
      </c>
      <c r="N2497" s="1" t="b">
        <f t="shared" si="194"/>
        <v>1</v>
      </c>
      <c r="O2497" s="8" t="str">
        <f>IF(F2497="","",IF($F$2=入力リスト!$H$25,ROUNDDOWN(INT(F2497)+ROUNDDOWN((F2497-INT(F2497))*100,0)/60,2),F2497))</f>
        <v/>
      </c>
      <c r="P2497" s="7"/>
      <c r="Q2497" s="7"/>
    </row>
    <row r="2498" spans="1:17">
      <c r="A2498" s="234"/>
      <c r="B2498" s="235"/>
      <c r="C2498" s="235"/>
      <c r="D2498" s="3"/>
      <c r="E2498" s="235"/>
      <c r="F2498" s="236"/>
      <c r="G2498" s="215" t="str">
        <f>IF(AND($B2498="",OR(B2498&lt;&gt;"",C2498&lt;&gt;"",D2498&lt;&gt;"",E2498&lt;&gt;"",F2498&lt;&gt;"")),入力リスト!$K$34,IF($I2498=TRUE,入力リスト!$K$35,IF(J2498=FALSE,"「毎月の固定給与額」","")&amp;IF(AND(J2498=FALSE,OR(K2498=FALSE,L2498=FALSE,M2498=FALSE)),",","")&amp;IF(K2498=FALSE,"「賞与額等」","")&amp;IF(AND(K2498=FALSE,OR(L2498=FALSE,M2498=FALSE)),",","")&amp;IF(L2498=FALSE,"「残業手当」","")&amp;IF(AND(L2498=FALSE,M2498=FALSE),",","")&amp;IF(M2498=FALSE,"「残業時間」","")&amp;IF(OR(J2498=FALSE,K2498=FALSE,L2498=FALSE,M2498=FALSE),入力リスト!$K$36,"")&amp;IF(N2498,"",入力リスト!$K$37)))</f>
        <v/>
      </c>
      <c r="H2498" s="215"/>
      <c r="I2498" s="1" t="b">
        <f>IF(B2498="",FALSE,COUNTIF('従業員情報(給与以外)'!$A$4:$A$1000000,$B2498)=0)</f>
        <v>0</v>
      </c>
      <c r="J2498" s="8" t="b">
        <f t="shared" si="195"/>
        <v>1</v>
      </c>
      <c r="K2498" s="8" t="b">
        <f t="shared" si="196"/>
        <v>1</v>
      </c>
      <c r="L2498" s="8" t="b">
        <f t="shared" si="197"/>
        <v>1</v>
      </c>
      <c r="M2498" s="8" t="b">
        <f t="shared" si="198"/>
        <v>1</v>
      </c>
      <c r="N2498" s="1" t="b">
        <f t="shared" si="194"/>
        <v>1</v>
      </c>
      <c r="O2498" s="8" t="str">
        <f>IF(F2498="","",IF($F$2=入力リスト!$H$25,ROUNDDOWN(INT(F2498)+ROUNDDOWN((F2498-INT(F2498))*100,0)/60,2),F2498))</f>
        <v/>
      </c>
      <c r="P2498" s="7"/>
      <c r="Q2498" s="7"/>
    </row>
    <row r="2499" spans="1:17">
      <c r="A2499" s="234"/>
      <c r="B2499" s="235"/>
      <c r="C2499" s="235"/>
      <c r="D2499" s="3"/>
      <c r="E2499" s="235"/>
      <c r="F2499" s="236"/>
      <c r="G2499" s="215" t="str">
        <f>IF(AND($B2499="",OR(B2499&lt;&gt;"",C2499&lt;&gt;"",D2499&lt;&gt;"",E2499&lt;&gt;"",F2499&lt;&gt;"")),入力リスト!$K$34,IF($I2499=TRUE,入力リスト!$K$35,IF(J2499=FALSE,"「毎月の固定給与額」","")&amp;IF(AND(J2499=FALSE,OR(K2499=FALSE,L2499=FALSE,M2499=FALSE)),",","")&amp;IF(K2499=FALSE,"「賞与額等」","")&amp;IF(AND(K2499=FALSE,OR(L2499=FALSE,M2499=FALSE)),",","")&amp;IF(L2499=FALSE,"「残業手当」","")&amp;IF(AND(L2499=FALSE,M2499=FALSE),",","")&amp;IF(M2499=FALSE,"「残業時間」","")&amp;IF(OR(J2499=FALSE,K2499=FALSE,L2499=FALSE,M2499=FALSE),入力リスト!$K$36,"")&amp;IF(N2499,"",入力リスト!$K$37)))</f>
        <v/>
      </c>
      <c r="H2499" s="215"/>
      <c r="I2499" s="1" t="b">
        <f>IF(B2499="",FALSE,COUNTIF('従業員情報(給与以外)'!$A$4:$A$1000000,$B2499)=0)</f>
        <v>0</v>
      </c>
      <c r="J2499" s="8" t="b">
        <f t="shared" si="195"/>
        <v>1</v>
      </c>
      <c r="K2499" s="8" t="b">
        <f t="shared" si="196"/>
        <v>1</v>
      </c>
      <c r="L2499" s="8" t="b">
        <f t="shared" si="197"/>
        <v>1</v>
      </c>
      <c r="M2499" s="8" t="b">
        <f t="shared" si="198"/>
        <v>1</v>
      </c>
      <c r="N2499" s="1" t="b">
        <f t="shared" si="194"/>
        <v>1</v>
      </c>
      <c r="O2499" s="8" t="str">
        <f>IF(F2499="","",IF($F$2=入力リスト!$H$25,ROUNDDOWN(INT(F2499)+ROUNDDOWN((F2499-INT(F2499))*100,0)/60,2),F2499))</f>
        <v/>
      </c>
      <c r="P2499" s="7"/>
      <c r="Q2499" s="7"/>
    </row>
    <row r="2500" spans="1:17">
      <c r="A2500" s="234"/>
      <c r="B2500" s="235"/>
      <c r="C2500" s="235"/>
      <c r="D2500" s="3"/>
      <c r="E2500" s="235"/>
      <c r="F2500" s="236"/>
      <c r="G2500" s="215" t="str">
        <f>IF(AND($B2500="",OR(B2500&lt;&gt;"",C2500&lt;&gt;"",D2500&lt;&gt;"",E2500&lt;&gt;"",F2500&lt;&gt;"")),入力リスト!$K$34,IF($I2500=TRUE,入力リスト!$K$35,IF(J2500=FALSE,"「毎月の固定給与額」","")&amp;IF(AND(J2500=FALSE,OR(K2500=FALSE,L2500=FALSE,M2500=FALSE)),",","")&amp;IF(K2500=FALSE,"「賞与額等」","")&amp;IF(AND(K2500=FALSE,OR(L2500=FALSE,M2500=FALSE)),",","")&amp;IF(L2500=FALSE,"「残業手当」","")&amp;IF(AND(L2500=FALSE,M2500=FALSE),",","")&amp;IF(M2500=FALSE,"「残業時間」","")&amp;IF(OR(J2500=FALSE,K2500=FALSE,L2500=FALSE,M2500=FALSE),入力リスト!$K$36,"")&amp;IF(N2500,"",入力リスト!$K$37)))</f>
        <v/>
      </c>
      <c r="H2500" s="215"/>
      <c r="I2500" s="1" t="b">
        <f>IF(B2500="",FALSE,COUNTIF('従業員情報(給与以外)'!$A$4:$A$1000000,$B2500)=0)</f>
        <v>0</v>
      </c>
      <c r="J2500" s="8" t="b">
        <f t="shared" si="195"/>
        <v>1</v>
      </c>
      <c r="K2500" s="8" t="b">
        <f t="shared" si="196"/>
        <v>1</v>
      </c>
      <c r="L2500" s="8" t="b">
        <f t="shared" si="197"/>
        <v>1</v>
      </c>
      <c r="M2500" s="8" t="b">
        <f t="shared" si="198"/>
        <v>1</v>
      </c>
      <c r="N2500" s="1" t="b">
        <f t="shared" si="194"/>
        <v>1</v>
      </c>
      <c r="O2500" s="8" t="str">
        <f>IF(F2500="","",IF($F$2=入力リスト!$H$25,ROUNDDOWN(INT(F2500)+ROUNDDOWN((F2500-INT(F2500))*100,0)/60,2),F2500))</f>
        <v/>
      </c>
      <c r="P2500" s="7"/>
      <c r="Q2500" s="7"/>
    </row>
    <row r="2501" spans="1:17">
      <c r="A2501" s="234"/>
      <c r="B2501" s="235"/>
      <c r="C2501" s="235"/>
      <c r="D2501" s="3"/>
      <c r="E2501" s="235"/>
      <c r="F2501" s="236"/>
      <c r="G2501" s="215" t="str">
        <f>IF(AND($B2501="",OR(B2501&lt;&gt;"",C2501&lt;&gt;"",D2501&lt;&gt;"",E2501&lt;&gt;"",F2501&lt;&gt;"")),入力リスト!$K$34,IF($I2501=TRUE,入力リスト!$K$35,IF(J2501=FALSE,"「毎月の固定給与額」","")&amp;IF(AND(J2501=FALSE,OR(K2501=FALSE,L2501=FALSE,M2501=FALSE)),",","")&amp;IF(K2501=FALSE,"「賞与額等」","")&amp;IF(AND(K2501=FALSE,OR(L2501=FALSE,M2501=FALSE)),",","")&amp;IF(L2501=FALSE,"「残業手当」","")&amp;IF(AND(L2501=FALSE,M2501=FALSE),",","")&amp;IF(M2501=FALSE,"「残業時間」","")&amp;IF(OR(J2501=FALSE,K2501=FALSE,L2501=FALSE,M2501=FALSE),入力リスト!$K$36,"")&amp;IF(N2501,"",入力リスト!$K$37)))</f>
        <v/>
      </c>
      <c r="H2501" s="215"/>
      <c r="I2501" s="1" t="b">
        <f>IF(B2501="",FALSE,COUNTIF('従業員情報(給与以外)'!$A$4:$A$1000000,$B2501)=0)</f>
        <v>0</v>
      </c>
      <c r="J2501" s="8" t="b">
        <f t="shared" si="195"/>
        <v>1</v>
      </c>
      <c r="K2501" s="8" t="b">
        <f t="shared" si="196"/>
        <v>1</v>
      </c>
      <c r="L2501" s="8" t="b">
        <f t="shared" si="197"/>
        <v>1</v>
      </c>
      <c r="M2501" s="8" t="b">
        <f t="shared" si="198"/>
        <v>1</v>
      </c>
      <c r="N2501" s="1" t="b">
        <f t="shared" ref="N2501:N2502" si="199">IF($N$1,TRUE,IF($N$2,IF(F2501-INT(F2501)&lt;0.6,TRUE,FALSE),TRUE))</f>
        <v>1</v>
      </c>
      <c r="O2501" s="8" t="str">
        <f>IF(F2501="","",IF($F$2=入力リスト!$H$25,ROUNDDOWN(INT(F2501)+ROUNDDOWN((F2501-INT(F2501))*100,0)/60,2),F2501))</f>
        <v/>
      </c>
      <c r="P2501" s="7"/>
      <c r="Q2501" s="7"/>
    </row>
    <row r="2502" spans="1:17">
      <c r="A2502" s="234"/>
      <c r="B2502" s="235"/>
      <c r="C2502" s="235"/>
      <c r="D2502" s="3"/>
      <c r="E2502" s="235"/>
      <c r="F2502" s="236"/>
      <c r="G2502" s="588" t="str">
        <f>H2502</f>
        <v/>
      </c>
      <c r="H2502" s="588" t="str">
        <f>IF(AND($B2502="",OR(B2502&lt;&gt;"",C2502&lt;&gt;"",D2502&lt;&gt;"",E2502&lt;&gt;"",F2502&lt;&gt;"")),入力リスト!$K$34,IF($I2502=TRUE,入力リスト!$K$35,IF(J2502=FALSE,"「毎月の固定給与額」","")&amp;IF(AND(J2502=FALSE,OR(K2502=FALSE,L2502=FALSE,M2502=FALSE)),",","")&amp;IF(K2502=FALSE,"「賞与額等」","")&amp;IF(AND(K2502=FALSE,OR(L2502=FALSE,M2502=FALSE)),",","")&amp;IF(L2502=FALSE,"「残業手当」","")&amp;IF(AND(L2502=FALSE,M2502=FALSE),",","")&amp;IF(M2502=FALSE,"「残業時間」","")&amp;IF(OR(J2502=FALSE,K2502=FALSE,L2502=FALSE,M2502=FALSE),入力リスト!$K$36,"")&amp;IF(N2502,"",入力リスト!$K$37)))</f>
        <v/>
      </c>
      <c r="I2502" s="1" t="b">
        <f>IF(B2502="",FALSE,COUNTIF('従業員情報(給与以外)'!$A$4:$A$1000000,$B2502)=0)</f>
        <v>0</v>
      </c>
      <c r="J2502" s="586" t="b">
        <f t="shared" si="195"/>
        <v>1</v>
      </c>
      <c r="K2502" s="586" t="b">
        <f t="shared" si="196"/>
        <v>1</v>
      </c>
      <c r="L2502" s="586" t="b">
        <f t="shared" si="197"/>
        <v>1</v>
      </c>
      <c r="M2502" s="586" t="b">
        <f t="shared" si="198"/>
        <v>1</v>
      </c>
      <c r="N2502" s="585" t="b">
        <f t="shared" si="199"/>
        <v>1</v>
      </c>
      <c r="O2502" s="586" t="str">
        <f>IF(F2502="","",IF($F$2=入力リスト!$H$25,ROUNDDOWN(INT(F2502)+ROUNDDOWN((F2502-INT(F2502))*100,0)/60,2),F2502))</f>
        <v/>
      </c>
      <c r="P2502" s="587" t="s">
        <v>5001</v>
      </c>
      <c r="Q2502" s="7"/>
    </row>
    <row r="2503" spans="1:17">
      <c r="I2503" s="1"/>
    </row>
    <row r="2504" spans="1:17">
      <c r="I2504" s="1"/>
    </row>
  </sheetData>
  <sheetProtection algorithmName="SHA-512" hashValue="0Pt6uL6kJclhCIN934tekHW7m41Y1neg4Zhn15qG1e7AVNuR6nv3NTOGUpLVpgV4Hr/B8BZXoaWyPjPqPfpeZg==" saltValue="GYbhsYc1ZgeeWZrY49xFqA==" spinCount="100000" sheet="1" objects="1" scenarios="1"/>
  <mergeCells count="6">
    <mergeCell ref="C1:C2"/>
    <mergeCell ref="B1:B2"/>
    <mergeCell ref="A1:A2"/>
    <mergeCell ref="P1:Q3"/>
    <mergeCell ref="E1:E2"/>
    <mergeCell ref="D1:D2"/>
  </mergeCells>
  <phoneticPr fontId="3"/>
  <conditionalFormatting sqref="G3:H3">
    <cfRule type="expression" dxfId="1" priority="4">
      <formula>$F$1="入力内容にエラーはありません。"</formula>
    </cfRule>
  </conditionalFormatting>
  <pageMargins left="0.7" right="0.7" top="0.75" bottom="0.75" header="0.3" footer="0.3"/>
  <ignoredErrors>
    <ignoredError sqref="C3:D3" numberStoredAsText="1"/>
  </ignoredErrors>
  <extLst>
    <ext xmlns:x14="http://schemas.microsoft.com/office/spreadsheetml/2009/9/main" uri="{78C0D931-6437-407d-A8EE-F0AAD7539E65}">
      <x14:conditionalFormattings>
        <x14:conditionalFormatting xmlns:xm="http://schemas.microsoft.com/office/excel/2006/main">
          <x14:cfRule type="expression" priority="690" stopIfTrue="1" id="{8786077C-D606-ED4B-ACD0-9996C9C21DA1}">
            <xm:f>COUNTIF(エラー表示用!$G$39:$G$41,$G$1)&gt;0</xm:f>
            <x14:dxf>
              <font>
                <color theme="0" tint="-0.24994659260841701"/>
              </font>
              <fill>
                <patternFill>
                  <bgColor theme="0" tint="-0.24994659260841701"/>
                </patternFill>
              </fill>
            </x14:dxf>
          </x14:cfRule>
          <xm:sqref>A4:F2502</xm:sqref>
        </x14:conditionalFormatting>
        <x14:conditionalFormatting xmlns:xm="http://schemas.microsoft.com/office/excel/2006/main">
          <x14:cfRule type="expression" priority="653" id="{5B746737-7B25-904F-9B7C-D0EC75D97905}">
            <xm:f>入力シート!$J$22=入力リスト!$H$10</xm:f>
            <x14:dxf>
              <font>
                <color theme="0" tint="-0.24994659260841701"/>
              </font>
              <fill>
                <patternFill patternType="lightGray">
                  <fgColor theme="0" tint="-0.24994659260841701"/>
                  <bgColor theme="0" tint="-0.24994659260841701"/>
                </patternFill>
              </fill>
            </x14:dxf>
          </x14:cfRule>
          <xm:sqref>F4:F2502</xm:sqref>
        </x14:conditionalFormatting>
        <x14:conditionalFormatting xmlns:xm="http://schemas.microsoft.com/office/excel/2006/main">
          <x14:cfRule type="expression" priority="691" stopIfTrue="1" id="{00000000-000E-0000-0300-000005000000}">
            <xm:f>VLOOKUP($G$1,エラー表示用!$G$36:$I$41,3,0)=1</xm:f>
            <x14:dxf>
              <font>
                <color rgb="FFC00000"/>
              </font>
            </x14:dxf>
          </x14:cfRule>
          <xm:sqref>G1:G2</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xr:uid="{990730B2-3840-434E-B406-3DE284B7B462}">
          <x14:formula1>
            <xm:f>入力リスト!$H$24:$H$25</xm:f>
          </x14:formula1>
          <xm:sqref>F2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A56A9-D67C-B240-A559-22AECA2925AF}">
  <dimension ref="B1:W129"/>
  <sheetViews>
    <sheetView showGridLines="0" topLeftCell="XFD1" zoomScale="75" zoomScaleNormal="75" workbookViewId="0">
      <selection sqref="A1:XFD1048576"/>
    </sheetView>
  </sheetViews>
  <sheetFormatPr defaultColWidth="0" defaultRowHeight="13.05" customHeight="1"/>
  <cols>
    <col min="1" max="2" width="9.1796875" style="262" hidden="1" customWidth="1"/>
    <col min="3" max="7" width="9.1796875" style="260" hidden="1" customWidth="1"/>
    <col min="8" max="8" width="9.1796875" style="282" hidden="1" customWidth="1"/>
    <col min="9" max="9" width="9.1796875" style="260" hidden="1" customWidth="1"/>
    <col min="10" max="10" width="9.1796875" style="283" hidden="1" customWidth="1"/>
    <col min="11" max="11" width="9.1796875" style="358" hidden="1" customWidth="1"/>
    <col min="12" max="13" width="9.1796875" style="283" hidden="1" customWidth="1"/>
    <col min="14" max="14" width="9.1796875" style="262" hidden="1" customWidth="1"/>
    <col min="15" max="15" width="9.1796875" style="260" hidden="1" customWidth="1"/>
    <col min="16" max="18" width="9.1796875" style="262" hidden="1" customWidth="1"/>
    <col min="19" max="19" width="9.1796875" style="260" hidden="1" customWidth="1"/>
    <col min="20" max="22" width="9.1796875" style="262" hidden="1" customWidth="1"/>
    <col min="23" max="23" width="9.1796875" style="260" hidden="1" customWidth="1"/>
    <col min="24" max="16384" width="9.1796875" style="262" hidden="1"/>
  </cols>
  <sheetData>
    <row r="1" spans="2:23" ht="13.05" customHeight="1">
      <c r="B1" s="348" t="s">
        <v>4976</v>
      </c>
      <c r="G1" s="348" t="s">
        <v>4977</v>
      </c>
      <c r="J1" s="349" t="s">
        <v>4986</v>
      </c>
      <c r="M1" s="366" t="s">
        <v>5027</v>
      </c>
      <c r="N1" s="367" t="s">
        <v>5026</v>
      </c>
      <c r="O1" s="367" t="s">
        <v>5025</v>
      </c>
      <c r="P1" s="368" t="s">
        <v>5028</v>
      </c>
      <c r="Q1" s="368" t="s">
        <v>5029</v>
      </c>
      <c r="V1" s="368" t="s">
        <v>5193</v>
      </c>
      <c r="W1" s="367" t="s">
        <v>5063</v>
      </c>
    </row>
    <row r="2" spans="2:23" ht="13.05" customHeight="1">
      <c r="B2" s="350" t="s">
        <v>4978</v>
      </c>
      <c r="C2" s="259"/>
      <c r="G2" s="350" t="s">
        <v>4981</v>
      </c>
      <c r="H2" s="261"/>
      <c r="J2" s="284" t="s">
        <v>1183</v>
      </c>
      <c r="K2" s="357" t="s">
        <v>133</v>
      </c>
      <c r="N2" s="302" t="b">
        <f>OR(入力シート!J33="",ISNUMBER(入力シート!J33))</f>
        <v>1</v>
      </c>
      <c r="O2" s="302" t="b">
        <f>OR(入力シート!J37="",ISNUMBER(入力シート!J37))</f>
        <v>1</v>
      </c>
      <c r="P2" s="302" t="b">
        <f>OR(入力シート!J47="",ISNUMBER(入力シート!J47))</f>
        <v>1</v>
      </c>
      <c r="Q2" s="363" t="b">
        <f>OR(入力シート!J54="",ISNUMBER(入力シート!J54))</f>
        <v>1</v>
      </c>
      <c r="R2" s="364" t="b">
        <f>OR(入力シート!L54="",ISNUMBER(入力シート!L54))</f>
        <v>1</v>
      </c>
      <c r="S2" s="364" t="b">
        <f>OR(入力シート!N54="",ISNUMBER(入力シート!N54))</f>
        <v>1</v>
      </c>
      <c r="T2" s="365" t="b">
        <f>OR(入力シート!P54="",ISNUMBER(入力シート!P54))</f>
        <v>1</v>
      </c>
      <c r="V2" s="262" t="s">
        <v>5064</v>
      </c>
      <c r="W2" s="260">
        <v>1</v>
      </c>
    </row>
    <row r="3" spans="2:23" ht="16.05" customHeight="1">
      <c r="B3" s="263"/>
      <c r="C3" s="264" t="s">
        <v>98</v>
      </c>
      <c r="G3" s="265"/>
      <c r="H3" s="266" t="s">
        <v>1235</v>
      </c>
      <c r="J3" s="285" t="s">
        <v>1169</v>
      </c>
      <c r="K3" s="353" t="s">
        <v>1170</v>
      </c>
      <c r="N3" s="302" t="b">
        <f>OR(入力シート!J34="",ISNUMBER(入力シート!J34))</f>
        <v>1</v>
      </c>
      <c r="O3" s="302" t="b">
        <f>OR(入力シート!J38="",ISNUMBER(入力シート!J38))</f>
        <v>1</v>
      </c>
      <c r="P3" s="302" t="b">
        <f>OR(入力シート!J48="",ISNUMBER(入力シート!J48))</f>
        <v>1</v>
      </c>
      <c r="Q3" s="363" t="b">
        <f>OR(入力シート!J55="",ISNUMBER(入力シート!J55))</f>
        <v>1</v>
      </c>
      <c r="R3" s="364" t="b">
        <f>OR(入力シート!L55="",ISNUMBER(入力シート!L55))</f>
        <v>1</v>
      </c>
      <c r="S3" s="364" t="b">
        <f>OR(入力シート!N55="",ISNUMBER(入力シート!N55))</f>
        <v>1</v>
      </c>
      <c r="T3" s="365" t="b">
        <f>OR(入力シート!P55="",ISNUMBER(入力シート!P55))</f>
        <v>1</v>
      </c>
      <c r="V3" s="262" t="s">
        <v>5065</v>
      </c>
      <c r="W3" s="260">
        <v>2</v>
      </c>
    </row>
    <row r="4" spans="2:23" ht="16.05" customHeight="1">
      <c r="B4" s="267"/>
      <c r="C4" s="268" t="s">
        <v>97</v>
      </c>
      <c r="G4" s="265"/>
      <c r="H4" s="266" t="s">
        <v>2</v>
      </c>
      <c r="J4" s="286" t="s">
        <v>103</v>
      </c>
      <c r="K4" s="357" t="s">
        <v>137</v>
      </c>
      <c r="L4" s="358"/>
      <c r="M4" s="358"/>
      <c r="N4" s="302" t="b">
        <f>OR(入力シート!J35="",ISNUMBER(入力シート!J35))</f>
        <v>1</v>
      </c>
      <c r="O4" s="302" t="b">
        <f>OR(入力シート!J39="",ISNUMBER(入力シート!J39))</f>
        <v>1</v>
      </c>
      <c r="P4" s="302" t="b">
        <f>OR(入力シート!J49="",ISNUMBER(入力シート!J49))</f>
        <v>1</v>
      </c>
      <c r="Q4" s="363" t="b">
        <f>OR(入力シート!J56="",ISNUMBER(入力シート!J56))</f>
        <v>1</v>
      </c>
      <c r="R4" s="364" t="b">
        <f>OR(入力シート!L56="",ISNUMBER(入力シート!L56))</f>
        <v>1</v>
      </c>
      <c r="S4" s="364"/>
      <c r="T4" s="365"/>
      <c r="V4" s="262" t="s">
        <v>5066</v>
      </c>
      <c r="W4" s="260">
        <v>3</v>
      </c>
    </row>
    <row r="5" spans="2:23" ht="16.05" customHeight="1">
      <c r="B5" s="350" t="s">
        <v>4979</v>
      </c>
      <c r="C5" s="269"/>
      <c r="D5" s="270" t="s">
        <v>4995</v>
      </c>
      <c r="G5" s="265"/>
      <c r="H5" s="266" t="s">
        <v>4523</v>
      </c>
      <c r="J5" s="287"/>
      <c r="K5" s="359" t="s">
        <v>104</v>
      </c>
      <c r="N5" s="369"/>
      <c r="O5" s="302" t="b">
        <f>OR(入力シート!J40="",ISNUMBER(入力シート!J40))</f>
        <v>1</v>
      </c>
      <c r="P5" s="302" t="b">
        <f>OR(入力シート!J50="",ISNUMBER(入力シート!J50))</f>
        <v>1</v>
      </c>
      <c r="Q5" s="363" t="b">
        <f>OR(入力シート!J57="",ISNUMBER(入力シート!J57))</f>
        <v>1</v>
      </c>
      <c r="R5" s="364" t="b">
        <f>OR(入力シート!L57="",ISNUMBER(入力シート!L57))</f>
        <v>1</v>
      </c>
      <c r="S5" s="364" t="b">
        <f>OR(入力シート!N57="",ISNUMBER(入力シート!N57))</f>
        <v>1</v>
      </c>
      <c r="T5" s="365" t="b">
        <f>OR(入力シート!P57="",ISNUMBER(入力シート!P57))</f>
        <v>1</v>
      </c>
      <c r="V5" s="262" t="s">
        <v>5067</v>
      </c>
      <c r="W5" s="260">
        <v>4</v>
      </c>
    </row>
    <row r="6" spans="2:23" ht="16.05" customHeight="1">
      <c r="B6" s="263"/>
      <c r="C6" s="266" t="s">
        <v>79</v>
      </c>
      <c r="D6" s="271"/>
      <c r="G6" s="265"/>
      <c r="H6" s="266" t="s">
        <v>4524</v>
      </c>
      <c r="J6" s="353" t="s">
        <v>4975</v>
      </c>
      <c r="K6" s="344" t="s">
        <v>5020</v>
      </c>
      <c r="N6" s="370"/>
      <c r="O6" s="302" t="b">
        <f>OR(入力シート!J41="",ISNUMBER(入力シート!J41))</f>
        <v>1</v>
      </c>
      <c r="P6" s="369"/>
      <c r="Q6" s="371"/>
      <c r="R6" s="372"/>
      <c r="S6" s="372"/>
      <c r="T6" s="373"/>
      <c r="V6" s="262" t="s">
        <v>5068</v>
      </c>
      <c r="W6" s="260">
        <v>5</v>
      </c>
    </row>
    <row r="7" spans="2:23" ht="16.05" customHeight="1">
      <c r="B7" s="263"/>
      <c r="C7" s="266" t="s">
        <v>38</v>
      </c>
      <c r="D7" s="271" t="s">
        <v>147</v>
      </c>
      <c r="G7" s="265"/>
      <c r="H7" s="272" t="s">
        <v>4525</v>
      </c>
      <c r="J7" s="361"/>
      <c r="K7" s="344" t="s">
        <v>91</v>
      </c>
      <c r="N7" s="370"/>
      <c r="O7" s="302" t="b">
        <f>OR(入力シート!J42="",ISNUMBER(入力シート!J42))</f>
        <v>1</v>
      </c>
      <c r="P7" s="370"/>
      <c r="Q7" s="374"/>
      <c r="R7" s="375"/>
      <c r="S7" s="375"/>
      <c r="T7" s="376"/>
      <c r="V7" s="262" t="s">
        <v>5069</v>
      </c>
      <c r="W7" s="260">
        <v>6</v>
      </c>
    </row>
    <row r="8" spans="2:23" ht="16.05" customHeight="1">
      <c r="B8" s="263"/>
      <c r="C8" s="266" t="s">
        <v>39</v>
      </c>
      <c r="D8" s="271" t="s">
        <v>148</v>
      </c>
      <c r="G8" s="350" t="s">
        <v>4984</v>
      </c>
      <c r="H8" s="273"/>
      <c r="J8" s="355"/>
      <c r="K8" s="362" t="s">
        <v>1152</v>
      </c>
      <c r="N8" s="370"/>
      <c r="O8" s="302" t="b">
        <f>OR(入力シート!J43="",ISNUMBER(入力シート!J43))</f>
        <v>1</v>
      </c>
      <c r="P8" s="370"/>
      <c r="Q8" s="374"/>
      <c r="R8" s="375"/>
      <c r="S8" s="375"/>
      <c r="T8" s="376"/>
      <c r="V8" s="262" t="s">
        <v>5070</v>
      </c>
      <c r="W8" s="260">
        <v>7</v>
      </c>
    </row>
    <row r="9" spans="2:23" ht="16.05" customHeight="1">
      <c r="B9" s="263"/>
      <c r="C9" s="266" t="s">
        <v>40</v>
      </c>
      <c r="D9" s="271" t="s">
        <v>149</v>
      </c>
      <c r="G9" s="265"/>
      <c r="H9" s="274" t="s">
        <v>99</v>
      </c>
      <c r="J9" s="355"/>
      <c r="K9" s="362" t="s">
        <v>1153</v>
      </c>
      <c r="N9" s="370"/>
      <c r="O9" s="302" t="b">
        <f>OR(入力シート!J44="",ISNUMBER(入力シート!J44))</f>
        <v>1</v>
      </c>
      <c r="P9" s="370"/>
      <c r="Q9" s="374"/>
      <c r="R9" s="375"/>
      <c r="S9" s="375"/>
      <c r="T9" s="376"/>
      <c r="V9" s="262" t="s">
        <v>5071</v>
      </c>
      <c r="W9" s="260">
        <v>8</v>
      </c>
    </row>
    <row r="10" spans="2:23" ht="16.05" customHeight="1">
      <c r="B10" s="263"/>
      <c r="C10" s="266" t="s">
        <v>41</v>
      </c>
      <c r="D10" s="271" t="s">
        <v>150</v>
      </c>
      <c r="G10" s="275"/>
      <c r="H10" s="276" t="s">
        <v>108</v>
      </c>
      <c r="J10" s="355"/>
      <c r="K10" s="357" t="s">
        <v>5021</v>
      </c>
      <c r="N10" s="305"/>
      <c r="O10" s="302" t="b">
        <f>OR(入力シート!J45="",ISNUMBER(入力シート!J45))</f>
        <v>1</v>
      </c>
      <c r="P10" s="305"/>
      <c r="Q10" s="377"/>
      <c r="R10" s="378"/>
      <c r="S10" s="378"/>
      <c r="T10" s="379"/>
      <c r="V10" s="262" t="s">
        <v>5072</v>
      </c>
      <c r="W10" s="260">
        <v>9</v>
      </c>
    </row>
    <row r="11" spans="2:23" ht="16.05" customHeight="1">
      <c r="B11" s="263"/>
      <c r="C11" s="266" t="s">
        <v>42</v>
      </c>
      <c r="D11" s="271" t="s">
        <v>151</v>
      </c>
      <c r="G11" s="292" t="s">
        <v>4988</v>
      </c>
      <c r="H11" s="279"/>
      <c r="J11" s="355"/>
      <c r="K11" s="357" t="s">
        <v>5024</v>
      </c>
      <c r="V11" s="262" t="s">
        <v>5073</v>
      </c>
      <c r="W11" s="260">
        <v>10</v>
      </c>
    </row>
    <row r="12" spans="2:23" ht="16.05" customHeight="1">
      <c r="B12" s="263"/>
      <c r="C12" s="266" t="s">
        <v>43</v>
      </c>
      <c r="D12" s="271" t="s">
        <v>152</v>
      </c>
      <c r="G12" s="275"/>
      <c r="H12" s="274" t="s">
        <v>411</v>
      </c>
      <c r="J12" s="355"/>
      <c r="K12" s="357" t="s">
        <v>5023</v>
      </c>
      <c r="V12" s="262" t="s">
        <v>5074</v>
      </c>
      <c r="W12" s="260">
        <v>11</v>
      </c>
    </row>
    <row r="13" spans="2:23" ht="16.05" customHeight="1">
      <c r="B13" s="263"/>
      <c r="C13" s="266" t="s">
        <v>44</v>
      </c>
      <c r="D13" s="271" t="s">
        <v>153</v>
      </c>
      <c r="G13" s="350" t="s">
        <v>4982</v>
      </c>
      <c r="H13" s="261"/>
      <c r="J13" s="355"/>
      <c r="K13" s="357" t="s">
        <v>5022</v>
      </c>
      <c r="V13" s="262" t="s">
        <v>5075</v>
      </c>
      <c r="W13" s="260">
        <v>12</v>
      </c>
    </row>
    <row r="14" spans="2:23" ht="16.05" customHeight="1">
      <c r="B14" s="263"/>
      <c r="C14" s="266" t="s">
        <v>45</v>
      </c>
      <c r="D14" s="271" t="s">
        <v>154</v>
      </c>
      <c r="E14" s="262"/>
      <c r="F14" s="262"/>
      <c r="G14" s="265"/>
      <c r="H14" s="274" t="s">
        <v>14</v>
      </c>
      <c r="J14" s="356"/>
      <c r="K14" s="357" t="s">
        <v>5201</v>
      </c>
      <c r="V14" s="262" t="s">
        <v>5076</v>
      </c>
      <c r="W14" s="260">
        <v>13</v>
      </c>
    </row>
    <row r="15" spans="2:23" ht="16.05" customHeight="1">
      <c r="B15" s="263"/>
      <c r="C15" s="266" t="s">
        <v>46</v>
      </c>
      <c r="D15" s="271" t="s">
        <v>155</v>
      </c>
      <c r="G15" s="265"/>
      <c r="H15" s="274" t="s">
        <v>19</v>
      </c>
      <c r="J15" s="294" t="s">
        <v>4533</v>
      </c>
      <c r="K15" s="354" t="s">
        <v>4534</v>
      </c>
      <c r="V15" s="262" t="s">
        <v>5077</v>
      </c>
      <c r="W15" s="260">
        <v>14</v>
      </c>
    </row>
    <row r="16" spans="2:23" ht="16.05" customHeight="1">
      <c r="B16" s="263"/>
      <c r="C16" s="266" t="s">
        <v>47</v>
      </c>
      <c r="D16" s="271" t="s">
        <v>156</v>
      </c>
      <c r="G16" s="350" t="s">
        <v>4983</v>
      </c>
      <c r="H16" s="261"/>
      <c r="J16" s="288"/>
      <c r="K16" s="354" t="s">
        <v>4535</v>
      </c>
      <c r="V16" s="262" t="s">
        <v>5078</v>
      </c>
      <c r="W16" s="260">
        <v>15</v>
      </c>
    </row>
    <row r="17" spans="2:23" ht="16.05" customHeight="1">
      <c r="B17" s="263"/>
      <c r="C17" s="266" t="s">
        <v>48</v>
      </c>
      <c r="D17" s="271" t="s">
        <v>157</v>
      </c>
      <c r="G17" s="278"/>
      <c r="H17" s="274" t="str">
        <f>IF(OR(入力シート!C5="",入力シート!C5=入力リスト!$C$4),"","部長級")</f>
        <v/>
      </c>
      <c r="J17" s="351" t="s">
        <v>4993</v>
      </c>
      <c r="K17" s="360"/>
      <c r="L17" s="289" t="s">
        <v>4992</v>
      </c>
      <c r="V17" s="262" t="s">
        <v>5079</v>
      </c>
      <c r="W17" s="260">
        <v>16</v>
      </c>
    </row>
    <row r="18" spans="2:23" ht="16.05" customHeight="1">
      <c r="B18" s="263"/>
      <c r="C18" s="266" t="s">
        <v>49</v>
      </c>
      <c r="D18" s="271" t="s">
        <v>158</v>
      </c>
      <c r="G18" s="265"/>
      <c r="H18" s="274" t="str">
        <f>IF(OR(入力シート!C5="",入力シート!C5=入力リスト!$C$4),"","課長級")</f>
        <v/>
      </c>
      <c r="J18" s="290"/>
      <c r="K18" s="291">
        <v>0</v>
      </c>
      <c r="L18" s="291" t="s">
        <v>0</v>
      </c>
      <c r="V18" s="262" t="s">
        <v>5080</v>
      </c>
      <c r="W18" s="260">
        <v>17</v>
      </c>
    </row>
    <row r="19" spans="2:23" ht="16.05" customHeight="1">
      <c r="B19" s="263"/>
      <c r="C19" s="266" t="s">
        <v>50</v>
      </c>
      <c r="D19" s="271" t="s">
        <v>159</v>
      </c>
      <c r="G19" s="265"/>
      <c r="H19" s="274" t="str">
        <f>IF(OR(入力シート!C5="",入力シート!C5=入力リスト!$C$4),"","係長級")</f>
        <v/>
      </c>
      <c r="J19" s="290"/>
      <c r="K19" s="291">
        <v>1</v>
      </c>
      <c r="L19" s="291" t="s">
        <v>4526</v>
      </c>
      <c r="V19" s="262" t="s">
        <v>5081</v>
      </c>
      <c r="W19" s="260">
        <v>18</v>
      </c>
    </row>
    <row r="20" spans="2:23" ht="16.05" customHeight="1">
      <c r="B20" s="263"/>
      <c r="C20" s="266" t="s">
        <v>51</v>
      </c>
      <c r="D20" s="271" t="s">
        <v>160</v>
      </c>
      <c r="G20" s="275"/>
      <c r="H20" s="274" t="str">
        <f>IF(OR(入力シート!C5="",入力シート!C5=入力リスト!$C$4),"","非役職")</f>
        <v/>
      </c>
      <c r="J20" s="290"/>
      <c r="K20" s="291">
        <v>3</v>
      </c>
      <c r="L20" s="291" t="s">
        <v>4527</v>
      </c>
      <c r="V20" s="262" t="s">
        <v>5082</v>
      </c>
      <c r="W20" s="260">
        <v>19</v>
      </c>
    </row>
    <row r="21" spans="2:23" ht="16.05" customHeight="1">
      <c r="B21" s="263"/>
      <c r="C21" s="266" t="s">
        <v>52</v>
      </c>
      <c r="D21" s="271" t="s">
        <v>161</v>
      </c>
      <c r="G21" s="350" t="s">
        <v>4985</v>
      </c>
      <c r="H21" s="261"/>
      <c r="J21" s="290"/>
      <c r="K21" s="291">
        <v>5</v>
      </c>
      <c r="L21" s="291" t="s">
        <v>4528</v>
      </c>
      <c r="V21" s="262" t="s">
        <v>5083</v>
      </c>
      <c r="W21" s="260">
        <v>20</v>
      </c>
    </row>
    <row r="22" spans="2:23" ht="16.05" customHeight="1">
      <c r="B22" s="267"/>
      <c r="C22" s="277" t="s">
        <v>53</v>
      </c>
      <c r="D22" s="271" t="s">
        <v>162</v>
      </c>
      <c r="G22" s="278"/>
      <c r="H22" s="274" t="s">
        <v>21</v>
      </c>
      <c r="J22" s="290"/>
      <c r="K22" s="291">
        <v>10</v>
      </c>
      <c r="L22" s="291" t="s">
        <v>4529</v>
      </c>
      <c r="V22" s="262" t="s">
        <v>5084</v>
      </c>
      <c r="W22" s="260">
        <v>21</v>
      </c>
    </row>
    <row r="23" spans="2:23" ht="16.05" customHeight="1">
      <c r="B23" s="350" t="s">
        <v>4980</v>
      </c>
      <c r="C23" s="269"/>
      <c r="D23" s="269"/>
      <c r="E23" s="270" t="s">
        <v>4989</v>
      </c>
      <c r="G23" s="280"/>
      <c r="H23" s="274" t="s">
        <v>22</v>
      </c>
      <c r="J23" s="290"/>
      <c r="K23" s="291">
        <v>15</v>
      </c>
      <c r="L23" s="291" t="s">
        <v>4530</v>
      </c>
      <c r="V23" s="262" t="s">
        <v>5085</v>
      </c>
      <c r="W23" s="260">
        <v>22</v>
      </c>
    </row>
    <row r="24" spans="2:23" ht="16.05" customHeight="1">
      <c r="B24" s="263"/>
      <c r="C24" s="274" t="s">
        <v>55</v>
      </c>
      <c r="D24" s="274" t="str">
        <f>IF(入力シート!$J$9=入力リスト!$C$9,入力リスト!C24,"")</f>
        <v/>
      </c>
      <c r="E24" s="274">
        <v>9</v>
      </c>
      <c r="G24" s="293" t="s">
        <v>4987</v>
      </c>
      <c r="H24" s="261"/>
      <c r="J24" s="290"/>
      <c r="K24" s="291">
        <v>20</v>
      </c>
      <c r="L24" s="291" t="s">
        <v>4531</v>
      </c>
      <c r="V24" s="262" t="s">
        <v>5086</v>
      </c>
      <c r="W24" s="260">
        <v>23</v>
      </c>
    </row>
    <row r="25" spans="2:23" ht="16.05" customHeight="1">
      <c r="B25" s="263"/>
      <c r="C25" s="274" t="s">
        <v>56</v>
      </c>
      <c r="D25" s="274" t="str">
        <f>IF(入力シート!$J$9=入力リスト!$C$9,入力リスト!C25,"")</f>
        <v/>
      </c>
      <c r="E25" s="274">
        <v>10</v>
      </c>
      <c r="G25" s="280"/>
      <c r="H25" s="274" t="s">
        <v>141</v>
      </c>
      <c r="J25" s="290"/>
      <c r="K25" s="291">
        <v>25</v>
      </c>
      <c r="L25" s="291" t="s">
        <v>4532</v>
      </c>
      <c r="V25" s="262" t="s">
        <v>5087</v>
      </c>
      <c r="W25" s="260">
        <v>24</v>
      </c>
    </row>
    <row r="26" spans="2:23" ht="13.05" customHeight="1">
      <c r="B26" s="263"/>
      <c r="C26" s="274" t="s">
        <v>57</v>
      </c>
      <c r="D26" s="274" t="str">
        <f>IF(入力シート!$J$9=入力リスト!$C$9,入力リスト!C26,"")</f>
        <v/>
      </c>
      <c r="E26" s="274">
        <v>11</v>
      </c>
      <c r="J26" s="287"/>
      <c r="K26" s="291">
        <v>30</v>
      </c>
      <c r="L26" s="291" t="s">
        <v>1</v>
      </c>
      <c r="V26" s="262" t="s">
        <v>5088</v>
      </c>
      <c r="W26" s="260">
        <v>25</v>
      </c>
    </row>
    <row r="27" spans="2:23" ht="13.05" customHeight="1">
      <c r="B27" s="263"/>
      <c r="C27" s="274" t="s">
        <v>58</v>
      </c>
      <c r="D27" s="274" t="str">
        <f>IF(入力シート!$J$9=入力リスト!$C$9,入力リスト!C27,"")</f>
        <v/>
      </c>
      <c r="E27" s="274">
        <v>12</v>
      </c>
      <c r="J27" s="351" t="s">
        <v>5210</v>
      </c>
      <c r="K27" s="344"/>
      <c r="V27" s="262" t="s">
        <v>5089</v>
      </c>
      <c r="W27" s="260">
        <v>26</v>
      </c>
    </row>
    <row r="28" spans="2:23" ht="13.05" customHeight="1">
      <c r="B28" s="263"/>
      <c r="C28" s="274" t="s">
        <v>59</v>
      </c>
      <c r="D28" s="274" t="str">
        <f>IF(入力シート!$J$9=入力リスト!$C$9,入力リスト!C28,"")</f>
        <v/>
      </c>
      <c r="E28" s="274">
        <v>13</v>
      </c>
      <c r="J28" s="355"/>
      <c r="K28" s="564" t="s">
        <v>5224</v>
      </c>
      <c r="V28" s="262" t="s">
        <v>5090</v>
      </c>
      <c r="W28" s="260">
        <v>27</v>
      </c>
    </row>
    <row r="29" spans="2:23" ht="13.05" customHeight="1">
      <c r="B29" s="263"/>
      <c r="C29" s="274" t="s">
        <v>60</v>
      </c>
      <c r="D29" s="274" t="str">
        <f>IF(入力シート!$J$9=入力リスト!$C$9,入力リスト!C29,"")</f>
        <v/>
      </c>
      <c r="E29" s="274">
        <v>14</v>
      </c>
      <c r="J29" s="355"/>
      <c r="K29" s="344" t="s">
        <v>5206</v>
      </c>
      <c r="V29" s="262" t="s">
        <v>5091</v>
      </c>
      <c r="W29" s="260">
        <v>28</v>
      </c>
    </row>
    <row r="30" spans="2:23" ht="13.05" customHeight="1">
      <c r="B30" s="263"/>
      <c r="C30" s="274" t="s">
        <v>61</v>
      </c>
      <c r="D30" s="274" t="str">
        <f>IF(入力シート!$J$9=入力リスト!$C$9,入力リスト!C30,"")</f>
        <v/>
      </c>
      <c r="E30" s="274">
        <v>15</v>
      </c>
      <c r="J30" s="355"/>
      <c r="K30" s="344" t="s">
        <v>5207</v>
      </c>
      <c r="V30" s="262" t="s">
        <v>5092</v>
      </c>
      <c r="W30" s="260">
        <v>29</v>
      </c>
    </row>
    <row r="31" spans="2:23" ht="13.05" customHeight="1">
      <c r="B31" s="263"/>
      <c r="C31" s="274" t="s">
        <v>62</v>
      </c>
      <c r="D31" s="274" t="str">
        <f>IF(入力シート!$J$9=入力リスト!$C$9,入力リスト!C31,"")</f>
        <v/>
      </c>
      <c r="E31" s="274">
        <v>16</v>
      </c>
      <c r="J31" s="355"/>
      <c r="K31" s="344" t="s">
        <v>5208</v>
      </c>
      <c r="V31" s="262" t="s">
        <v>5093</v>
      </c>
      <c r="W31" s="260">
        <v>30</v>
      </c>
    </row>
    <row r="32" spans="2:23" ht="13.05" customHeight="1">
      <c r="B32" s="263"/>
      <c r="C32" s="274" t="s">
        <v>63</v>
      </c>
      <c r="D32" s="274" t="str">
        <f>IF(入力シート!$J$9=入力リスト!$C$9,入力リスト!C32,"")</f>
        <v/>
      </c>
      <c r="E32" s="274">
        <v>17</v>
      </c>
      <c r="J32" s="356"/>
      <c r="K32" s="344" t="s">
        <v>5209</v>
      </c>
      <c r="V32" s="262" t="s">
        <v>5094</v>
      </c>
      <c r="W32" s="260">
        <v>31</v>
      </c>
    </row>
    <row r="33" spans="2:23" ht="13.05" customHeight="1">
      <c r="B33" s="263"/>
      <c r="C33" s="274" t="s">
        <v>64</v>
      </c>
      <c r="D33" s="274" t="str">
        <f>IF(入力シート!$J$9=入力リスト!$C$9,入力リスト!C33,"")</f>
        <v/>
      </c>
      <c r="E33" s="274">
        <v>18</v>
      </c>
      <c r="J33" s="351" t="s">
        <v>5215</v>
      </c>
      <c r="K33" s="362"/>
      <c r="V33" s="262" t="s">
        <v>5095</v>
      </c>
      <c r="W33" s="260">
        <v>32</v>
      </c>
    </row>
    <row r="34" spans="2:23" ht="13.05" customHeight="1">
      <c r="B34" s="263"/>
      <c r="C34" s="274" t="s">
        <v>65</v>
      </c>
      <c r="D34" s="274" t="str">
        <f>IF(入力シート!$J$9=入力リスト!$C$9,入力リスト!C34,"")</f>
        <v/>
      </c>
      <c r="E34" s="274">
        <v>19</v>
      </c>
      <c r="J34" s="565"/>
      <c r="K34" s="357" t="s">
        <v>5211</v>
      </c>
      <c r="V34" s="262" t="s">
        <v>5096</v>
      </c>
      <c r="W34" s="260">
        <v>33</v>
      </c>
    </row>
    <row r="35" spans="2:23" ht="13.05" customHeight="1">
      <c r="B35" s="263"/>
      <c r="C35" s="274" t="s">
        <v>66</v>
      </c>
      <c r="D35" s="274" t="str">
        <f>IF(入力シート!$J$9=入力リスト!$C$9,入力リスト!C35,"")</f>
        <v/>
      </c>
      <c r="E35" s="274">
        <v>20</v>
      </c>
      <c r="J35" s="565"/>
      <c r="K35" s="357" t="s">
        <v>5212</v>
      </c>
      <c r="V35" s="262" t="s">
        <v>5097</v>
      </c>
      <c r="W35" s="260">
        <v>34</v>
      </c>
    </row>
    <row r="36" spans="2:23" ht="13.05" customHeight="1">
      <c r="B36" s="263"/>
      <c r="C36" s="274" t="s">
        <v>67</v>
      </c>
      <c r="D36" s="274" t="str">
        <f>IF(入力シート!$J$9=入力リスト!$C$9,入力リスト!C36,"")</f>
        <v/>
      </c>
      <c r="E36" s="274">
        <v>21</v>
      </c>
      <c r="J36" s="565"/>
      <c r="K36" s="357" t="s">
        <v>5213</v>
      </c>
      <c r="V36" s="262" t="s">
        <v>5098</v>
      </c>
      <c r="W36" s="260">
        <v>35</v>
      </c>
    </row>
    <row r="37" spans="2:23" ht="13.05" customHeight="1">
      <c r="B37" s="263"/>
      <c r="C37" s="274" t="s">
        <v>68</v>
      </c>
      <c r="D37" s="274" t="str">
        <f>IF(入力シート!$J$9=入力リスト!$C$9,入力リスト!C37,"")</f>
        <v/>
      </c>
      <c r="E37" s="274">
        <v>22</v>
      </c>
      <c r="J37" s="288"/>
      <c r="K37" s="357" t="s">
        <v>5214</v>
      </c>
      <c r="V37" s="262" t="s">
        <v>5099</v>
      </c>
      <c r="W37" s="260">
        <v>36</v>
      </c>
    </row>
    <row r="38" spans="2:23" ht="13.05" customHeight="1">
      <c r="B38" s="263"/>
      <c r="C38" s="274" t="s">
        <v>69</v>
      </c>
      <c r="D38" s="274" t="str">
        <f>IF(入力シート!$J$9=入力リスト!$C$9,入力リスト!C38,"")</f>
        <v/>
      </c>
      <c r="E38" s="274">
        <v>23</v>
      </c>
      <c r="J38" s="589"/>
      <c r="K38" s="360"/>
      <c r="V38" s="262" t="s">
        <v>5100</v>
      </c>
      <c r="W38" s="260">
        <v>37</v>
      </c>
    </row>
    <row r="39" spans="2:23" ht="13.05" customHeight="1">
      <c r="B39" s="263"/>
      <c r="C39" s="274" t="s">
        <v>70</v>
      </c>
      <c r="D39" s="274" t="str">
        <f>IF(入力シート!$J$9=入力リスト!$C$9,入力リスト!C39,"")</f>
        <v/>
      </c>
      <c r="E39" s="274">
        <v>24</v>
      </c>
      <c r="V39" s="262" t="s">
        <v>5101</v>
      </c>
      <c r="W39" s="260">
        <v>38</v>
      </c>
    </row>
    <row r="40" spans="2:23" ht="13.05" customHeight="1">
      <c r="B40" s="263"/>
      <c r="C40" s="281" t="s">
        <v>71</v>
      </c>
      <c r="D40" s="274" t="str">
        <f>IF(入力シート!$J$9=入力リスト!$C$9,入力リスト!C40,"")</f>
        <v/>
      </c>
      <c r="E40" s="274">
        <v>25</v>
      </c>
      <c r="V40" s="262" t="s">
        <v>5102</v>
      </c>
      <c r="W40" s="260">
        <v>39</v>
      </c>
    </row>
    <row r="41" spans="2:23" ht="13.05" customHeight="1">
      <c r="B41" s="263"/>
      <c r="C41" s="274" t="s">
        <v>72</v>
      </c>
      <c r="D41" s="274" t="str">
        <f>IF(入力シート!$J$9=入力リスト!$C$9,入力リスト!C41,"")</f>
        <v/>
      </c>
      <c r="E41" s="274">
        <v>26</v>
      </c>
      <c r="V41" s="262" t="s">
        <v>5103</v>
      </c>
      <c r="W41" s="260">
        <v>40</v>
      </c>
    </row>
    <row r="42" spans="2:23" ht="13.05" customHeight="1">
      <c r="B42" s="263"/>
      <c r="C42" s="274" t="s">
        <v>73</v>
      </c>
      <c r="D42" s="274" t="str">
        <f>IF(入力シート!$J$9=入力リスト!$C$9,入力リスト!C42,"")</f>
        <v/>
      </c>
      <c r="E42" s="274">
        <v>27</v>
      </c>
      <c r="V42" s="262" t="s">
        <v>5104</v>
      </c>
      <c r="W42" s="260">
        <v>41</v>
      </c>
    </row>
    <row r="43" spans="2:23" ht="13.05" customHeight="1">
      <c r="B43" s="263"/>
      <c r="C43" s="274" t="s">
        <v>74</v>
      </c>
      <c r="D43" s="274" t="str">
        <f>IF(入力シート!$J$9=入力リスト!$C$9,入力リスト!C43,"")</f>
        <v/>
      </c>
      <c r="E43" s="274">
        <v>28</v>
      </c>
      <c r="V43" s="262" t="s">
        <v>5105</v>
      </c>
      <c r="W43" s="260">
        <v>42</v>
      </c>
    </row>
    <row r="44" spans="2:23" ht="13.05" customHeight="1">
      <c r="B44" s="263"/>
      <c r="C44" s="274" t="s">
        <v>75</v>
      </c>
      <c r="D44" s="274" t="str">
        <f>IF(入力シート!$J$9=入力リスト!$C$9,入力リスト!C44,"")</f>
        <v/>
      </c>
      <c r="E44" s="274">
        <v>29</v>
      </c>
      <c r="V44" s="262" t="s">
        <v>5106</v>
      </c>
      <c r="W44" s="260">
        <v>43</v>
      </c>
    </row>
    <row r="45" spans="2:23" ht="13.05" customHeight="1">
      <c r="B45" s="263"/>
      <c r="C45" s="274" t="s">
        <v>76</v>
      </c>
      <c r="D45" s="274" t="str">
        <f>IF(入力シート!$J$9=入力リスト!$C$9,入力リスト!C45,"")</f>
        <v/>
      </c>
      <c r="E45" s="274">
        <v>30</v>
      </c>
      <c r="V45" s="262" t="s">
        <v>5107</v>
      </c>
      <c r="W45" s="260">
        <v>44</v>
      </c>
    </row>
    <row r="46" spans="2:23" ht="13.05" customHeight="1">
      <c r="B46" s="263"/>
      <c r="C46" s="274" t="s">
        <v>77</v>
      </c>
      <c r="D46" s="274" t="str">
        <f>IF(入力シート!$J$9=入力リスト!$C$9,入力リスト!C46,"")</f>
        <v/>
      </c>
      <c r="E46" s="274">
        <v>31</v>
      </c>
      <c r="V46" s="262" t="s">
        <v>5108</v>
      </c>
      <c r="W46" s="260">
        <v>45</v>
      </c>
    </row>
    <row r="47" spans="2:23" ht="13.05" customHeight="1">
      <c r="B47" s="267"/>
      <c r="C47" s="274" t="s">
        <v>78</v>
      </c>
      <c r="D47" s="274" t="str">
        <f>IF(入力シート!$J$9=入力リスト!$C$9,入力リスト!C47,"")</f>
        <v/>
      </c>
      <c r="E47" s="274">
        <v>32</v>
      </c>
      <c r="V47" s="262" t="s">
        <v>5109</v>
      </c>
      <c r="W47" s="260">
        <v>46</v>
      </c>
    </row>
    <row r="48" spans="2:23" ht="13.05" customHeight="1">
      <c r="V48" s="262" t="s">
        <v>5110</v>
      </c>
      <c r="W48" s="260">
        <v>47</v>
      </c>
    </row>
    <row r="49" spans="5:23" ht="13.05" customHeight="1">
      <c r="V49" s="262" t="s">
        <v>5111</v>
      </c>
      <c r="W49" s="260">
        <v>48</v>
      </c>
    </row>
    <row r="50" spans="5:23" ht="13.05" customHeight="1">
      <c r="V50" s="262" t="s">
        <v>5112</v>
      </c>
      <c r="W50" s="260">
        <v>49</v>
      </c>
    </row>
    <row r="51" spans="5:23" ht="13.05" customHeight="1">
      <c r="V51" s="262" t="s">
        <v>5113</v>
      </c>
      <c r="W51" s="260">
        <v>50</v>
      </c>
    </row>
    <row r="52" spans="5:23" ht="13.05" customHeight="1">
      <c r="V52" s="262" t="s">
        <v>5114</v>
      </c>
      <c r="W52" s="260">
        <v>51</v>
      </c>
    </row>
    <row r="53" spans="5:23" ht="13.05" customHeight="1">
      <c r="V53" s="262" t="s">
        <v>5115</v>
      </c>
      <c r="W53" s="260">
        <v>52</v>
      </c>
    </row>
    <row r="54" spans="5:23" ht="13.05" customHeight="1">
      <c r="G54" s="262"/>
      <c r="V54" s="262" t="s">
        <v>5116</v>
      </c>
      <c r="W54" s="260">
        <v>53</v>
      </c>
    </row>
    <row r="55" spans="5:23" ht="13.05" customHeight="1">
      <c r="V55" s="262" t="s">
        <v>5117</v>
      </c>
      <c r="W55" s="260">
        <v>54</v>
      </c>
    </row>
    <row r="56" spans="5:23" ht="13.05" customHeight="1">
      <c r="V56" s="262" t="s">
        <v>5118</v>
      </c>
      <c r="W56" s="260">
        <v>55</v>
      </c>
    </row>
    <row r="57" spans="5:23" ht="13.05" customHeight="1">
      <c r="V57" s="262" t="s">
        <v>5119</v>
      </c>
      <c r="W57" s="260">
        <v>56</v>
      </c>
    </row>
    <row r="58" spans="5:23" ht="13.05" customHeight="1">
      <c r="V58" s="262" t="s">
        <v>5120</v>
      </c>
      <c r="W58" s="260">
        <v>57</v>
      </c>
    </row>
    <row r="59" spans="5:23" ht="13.05" customHeight="1">
      <c r="V59" s="262" t="s">
        <v>5121</v>
      </c>
      <c r="W59" s="260">
        <v>58</v>
      </c>
    </row>
    <row r="60" spans="5:23" ht="13.05" customHeight="1">
      <c r="V60" s="262" t="s">
        <v>5122</v>
      </c>
      <c r="W60" s="260">
        <v>59</v>
      </c>
    </row>
    <row r="61" spans="5:23" ht="13.05" customHeight="1">
      <c r="E61" s="262"/>
      <c r="F61" s="262"/>
      <c r="V61" s="262" t="s">
        <v>5123</v>
      </c>
      <c r="W61" s="260">
        <v>60</v>
      </c>
    </row>
    <row r="62" spans="5:23" ht="13.05" customHeight="1">
      <c r="E62" s="262"/>
      <c r="F62" s="262"/>
      <c r="V62" s="262" t="s">
        <v>5124</v>
      </c>
      <c r="W62" s="260">
        <v>61</v>
      </c>
    </row>
    <row r="63" spans="5:23" ht="13.05" customHeight="1">
      <c r="E63" s="262"/>
      <c r="F63" s="262"/>
      <c r="V63" s="262" t="s">
        <v>5125</v>
      </c>
      <c r="W63" s="260">
        <v>62</v>
      </c>
    </row>
    <row r="64" spans="5:23" ht="13.05" customHeight="1">
      <c r="E64" s="262"/>
      <c r="F64" s="262"/>
      <c r="V64" s="262" t="s">
        <v>5126</v>
      </c>
      <c r="W64" s="260">
        <v>63</v>
      </c>
    </row>
    <row r="65" spans="5:23" ht="13.05" customHeight="1">
      <c r="E65" s="262"/>
      <c r="F65" s="262"/>
      <c r="V65" s="262" t="s">
        <v>5127</v>
      </c>
      <c r="W65" s="260">
        <v>64</v>
      </c>
    </row>
    <row r="66" spans="5:23" ht="13.05" customHeight="1">
      <c r="E66" s="262"/>
      <c r="F66" s="262"/>
      <c r="V66" s="262" t="s">
        <v>5128</v>
      </c>
      <c r="W66" s="260">
        <v>65</v>
      </c>
    </row>
    <row r="67" spans="5:23" ht="13.05" customHeight="1">
      <c r="E67" s="262"/>
      <c r="F67" s="262"/>
      <c r="V67" s="262" t="s">
        <v>5129</v>
      </c>
      <c r="W67" s="260">
        <v>66</v>
      </c>
    </row>
    <row r="68" spans="5:23" ht="13.05" customHeight="1">
      <c r="E68" s="262"/>
      <c r="F68" s="262"/>
      <c r="V68" s="262" t="s">
        <v>5130</v>
      </c>
      <c r="W68" s="260">
        <v>67</v>
      </c>
    </row>
    <row r="69" spans="5:23" ht="13.05" customHeight="1">
      <c r="E69" s="262"/>
      <c r="F69" s="262"/>
      <c r="V69" s="262" t="s">
        <v>5131</v>
      </c>
      <c r="W69" s="260">
        <v>68</v>
      </c>
    </row>
    <row r="70" spans="5:23" ht="13.05" customHeight="1">
      <c r="V70" s="262" t="s">
        <v>5132</v>
      </c>
      <c r="W70" s="260">
        <v>69</v>
      </c>
    </row>
    <row r="71" spans="5:23" ht="13.05" customHeight="1">
      <c r="V71" s="262" t="s">
        <v>5133</v>
      </c>
      <c r="W71" s="260">
        <v>70</v>
      </c>
    </row>
    <row r="72" spans="5:23" ht="13.05" customHeight="1">
      <c r="V72" s="262" t="s">
        <v>5134</v>
      </c>
      <c r="W72" s="260">
        <v>71</v>
      </c>
    </row>
    <row r="73" spans="5:23" ht="13.05" customHeight="1">
      <c r="V73" s="262" t="s">
        <v>5135</v>
      </c>
      <c r="W73" s="260">
        <v>72</v>
      </c>
    </row>
    <row r="74" spans="5:23" ht="13.05" customHeight="1">
      <c r="V74" s="262" t="s">
        <v>5136</v>
      </c>
      <c r="W74" s="260">
        <v>73</v>
      </c>
    </row>
    <row r="75" spans="5:23" ht="13.05" customHeight="1">
      <c r="V75" s="262" t="s">
        <v>5137</v>
      </c>
      <c r="W75" s="260">
        <v>74</v>
      </c>
    </row>
    <row r="76" spans="5:23" ht="13.05" customHeight="1">
      <c r="V76" s="262" t="s">
        <v>5138</v>
      </c>
      <c r="W76" s="260">
        <v>75</v>
      </c>
    </row>
    <row r="77" spans="5:23" ht="13.05" customHeight="1">
      <c r="V77" s="262" t="s">
        <v>5139</v>
      </c>
      <c r="W77" s="260">
        <v>76</v>
      </c>
    </row>
    <row r="78" spans="5:23" ht="13.05" customHeight="1">
      <c r="V78" s="262" t="s">
        <v>5140</v>
      </c>
      <c r="W78" s="260">
        <v>77</v>
      </c>
    </row>
    <row r="79" spans="5:23" ht="13.05" customHeight="1">
      <c r="V79" s="262" t="s">
        <v>5141</v>
      </c>
      <c r="W79" s="260">
        <v>78</v>
      </c>
    </row>
    <row r="80" spans="5:23" ht="13.05" customHeight="1">
      <c r="V80" s="262" t="s">
        <v>5142</v>
      </c>
      <c r="W80" s="260">
        <v>79</v>
      </c>
    </row>
    <row r="81" spans="22:23" ht="13.05" customHeight="1">
      <c r="V81" s="262" t="s">
        <v>5143</v>
      </c>
      <c r="W81" s="260">
        <v>80</v>
      </c>
    </row>
    <row r="82" spans="22:23" ht="13.05" customHeight="1">
      <c r="V82" s="262" t="s">
        <v>5144</v>
      </c>
      <c r="W82" s="260">
        <v>81</v>
      </c>
    </row>
    <row r="83" spans="22:23" ht="13.05" customHeight="1">
      <c r="V83" s="262" t="s">
        <v>5145</v>
      </c>
      <c r="W83" s="260">
        <v>82</v>
      </c>
    </row>
    <row r="84" spans="22:23" ht="13.05" customHeight="1">
      <c r="V84" s="262" t="s">
        <v>5146</v>
      </c>
      <c r="W84" s="260">
        <v>83</v>
      </c>
    </row>
    <row r="85" spans="22:23" ht="13.05" customHeight="1">
      <c r="V85" s="262" t="s">
        <v>5147</v>
      </c>
      <c r="W85" s="260">
        <v>84</v>
      </c>
    </row>
    <row r="86" spans="22:23" ht="13.05" customHeight="1">
      <c r="V86" s="262" t="s">
        <v>5148</v>
      </c>
      <c r="W86" s="260">
        <v>85</v>
      </c>
    </row>
    <row r="87" spans="22:23" ht="13.05" customHeight="1">
      <c r="V87" s="262" t="s">
        <v>5149</v>
      </c>
      <c r="W87" s="260">
        <v>86</v>
      </c>
    </row>
    <row r="88" spans="22:23" ht="13.05" customHeight="1">
      <c r="V88" s="262" t="s">
        <v>5150</v>
      </c>
      <c r="W88" s="260">
        <v>87</v>
      </c>
    </row>
    <row r="89" spans="22:23" ht="13.05" customHeight="1">
      <c r="V89" s="262" t="s">
        <v>5151</v>
      </c>
      <c r="W89" s="260">
        <v>88</v>
      </c>
    </row>
    <row r="90" spans="22:23" ht="13.05" customHeight="1">
      <c r="V90" s="262" t="s">
        <v>5152</v>
      </c>
      <c r="W90" s="260">
        <v>89</v>
      </c>
    </row>
    <row r="91" spans="22:23" ht="13.05" customHeight="1">
      <c r="V91" s="262" t="s">
        <v>5153</v>
      </c>
      <c r="W91" s="260">
        <v>90</v>
      </c>
    </row>
    <row r="92" spans="22:23" ht="13.05" customHeight="1">
      <c r="V92" s="262" t="s">
        <v>5154</v>
      </c>
      <c r="W92" s="260">
        <v>91</v>
      </c>
    </row>
    <row r="93" spans="22:23" ht="13.05" customHeight="1">
      <c r="V93" s="262" t="s">
        <v>5155</v>
      </c>
      <c r="W93" s="260">
        <v>92</v>
      </c>
    </row>
    <row r="94" spans="22:23" ht="13.05" customHeight="1">
      <c r="V94" s="262" t="s">
        <v>5156</v>
      </c>
      <c r="W94" s="260">
        <v>93</v>
      </c>
    </row>
    <row r="95" spans="22:23" ht="13.05" customHeight="1">
      <c r="V95" s="262" t="s">
        <v>5157</v>
      </c>
      <c r="W95" s="260">
        <v>94</v>
      </c>
    </row>
    <row r="96" spans="22:23" ht="13.05" customHeight="1">
      <c r="V96" s="262" t="s">
        <v>5158</v>
      </c>
      <c r="W96" s="260">
        <v>95</v>
      </c>
    </row>
    <row r="97" spans="22:23" ht="13.05" customHeight="1">
      <c r="V97" s="262" t="s">
        <v>5159</v>
      </c>
      <c r="W97" s="260">
        <v>96</v>
      </c>
    </row>
    <row r="98" spans="22:23" ht="13.05" customHeight="1">
      <c r="V98" s="262" t="s">
        <v>5160</v>
      </c>
      <c r="W98" s="260">
        <v>97</v>
      </c>
    </row>
    <row r="99" spans="22:23" ht="13.05" customHeight="1">
      <c r="V99" s="262" t="s">
        <v>5161</v>
      </c>
      <c r="W99" s="260">
        <v>98</v>
      </c>
    </row>
    <row r="100" spans="22:23" ht="13.05" customHeight="1">
      <c r="V100" s="262" t="s">
        <v>5162</v>
      </c>
      <c r="W100" s="260">
        <v>99</v>
      </c>
    </row>
    <row r="101" spans="22:23" ht="13.05" customHeight="1">
      <c r="V101" s="262" t="s">
        <v>5163</v>
      </c>
      <c r="W101" s="260">
        <v>100</v>
      </c>
    </row>
    <row r="102" spans="22:23" ht="13.05" customHeight="1">
      <c r="V102" s="262" t="s">
        <v>5164</v>
      </c>
      <c r="W102" s="260">
        <v>101</v>
      </c>
    </row>
    <row r="103" spans="22:23" ht="13.05" customHeight="1">
      <c r="V103" s="262" t="s">
        <v>5165</v>
      </c>
      <c r="W103" s="260">
        <v>102</v>
      </c>
    </row>
    <row r="104" spans="22:23" ht="13.05" customHeight="1">
      <c r="V104" s="262" t="s">
        <v>5166</v>
      </c>
      <c r="W104" s="260">
        <v>103</v>
      </c>
    </row>
    <row r="105" spans="22:23" ht="13.05" customHeight="1">
      <c r="V105" s="262" t="s">
        <v>5167</v>
      </c>
      <c r="W105" s="260">
        <v>104</v>
      </c>
    </row>
    <row r="106" spans="22:23" ht="13.05" customHeight="1">
      <c r="V106" s="262" t="s">
        <v>5168</v>
      </c>
      <c r="W106" s="260">
        <v>105</v>
      </c>
    </row>
    <row r="107" spans="22:23" ht="13.05" customHeight="1">
      <c r="V107" s="262" t="s">
        <v>5169</v>
      </c>
      <c r="W107" s="260">
        <v>106</v>
      </c>
    </row>
    <row r="108" spans="22:23" ht="13.05" customHeight="1">
      <c r="V108" s="262" t="s">
        <v>5170</v>
      </c>
      <c r="W108" s="260">
        <v>107</v>
      </c>
    </row>
    <row r="109" spans="22:23" ht="13.05" customHeight="1">
      <c r="V109" s="262" t="s">
        <v>5171</v>
      </c>
      <c r="W109" s="260">
        <v>108</v>
      </c>
    </row>
    <row r="110" spans="22:23" ht="13.05" customHeight="1">
      <c r="V110" s="262" t="s">
        <v>5172</v>
      </c>
      <c r="W110" s="260">
        <v>109</v>
      </c>
    </row>
    <row r="111" spans="22:23" ht="13.05" customHeight="1">
      <c r="V111" s="262" t="s">
        <v>5173</v>
      </c>
      <c r="W111" s="260">
        <v>110</v>
      </c>
    </row>
    <row r="112" spans="22:23" ht="13.05" customHeight="1">
      <c r="V112" s="262" t="s">
        <v>5174</v>
      </c>
      <c r="W112" s="260">
        <v>111</v>
      </c>
    </row>
    <row r="113" spans="22:23" ht="13.05" customHeight="1">
      <c r="V113" s="262" t="s">
        <v>5175</v>
      </c>
      <c r="W113" s="260">
        <v>112</v>
      </c>
    </row>
    <row r="114" spans="22:23" ht="13.05" customHeight="1">
      <c r="V114" s="262" t="s">
        <v>5176</v>
      </c>
      <c r="W114" s="260">
        <v>113</v>
      </c>
    </row>
    <row r="115" spans="22:23" ht="13.05" customHeight="1">
      <c r="V115" s="262" t="s">
        <v>5177</v>
      </c>
      <c r="W115" s="260">
        <v>114</v>
      </c>
    </row>
    <row r="116" spans="22:23" ht="13.05" customHeight="1">
      <c r="V116" s="262" t="s">
        <v>5178</v>
      </c>
      <c r="W116" s="260">
        <v>115</v>
      </c>
    </row>
    <row r="117" spans="22:23" ht="13.05" customHeight="1">
      <c r="V117" s="262" t="s">
        <v>5179</v>
      </c>
      <c r="W117" s="260">
        <v>116</v>
      </c>
    </row>
    <row r="118" spans="22:23" ht="13.05" customHeight="1">
      <c r="V118" s="262" t="s">
        <v>5180</v>
      </c>
      <c r="W118" s="260">
        <v>117</v>
      </c>
    </row>
    <row r="119" spans="22:23" ht="13.05" customHeight="1">
      <c r="V119" s="262" t="s">
        <v>5181</v>
      </c>
      <c r="W119" s="260">
        <v>118</v>
      </c>
    </row>
    <row r="120" spans="22:23" ht="13.05" customHeight="1">
      <c r="V120" s="262" t="s">
        <v>5182</v>
      </c>
      <c r="W120" s="260">
        <v>119</v>
      </c>
    </row>
    <row r="121" spans="22:23" ht="13.05" customHeight="1">
      <c r="V121" s="262" t="s">
        <v>5183</v>
      </c>
      <c r="W121" s="260">
        <v>120</v>
      </c>
    </row>
    <row r="122" spans="22:23" ht="13.05" customHeight="1">
      <c r="V122" s="262" t="s">
        <v>5184</v>
      </c>
      <c r="W122" s="260">
        <v>121</v>
      </c>
    </row>
    <row r="123" spans="22:23" ht="13.05" customHeight="1">
      <c r="V123" s="262" t="s">
        <v>5185</v>
      </c>
      <c r="W123" s="260">
        <v>122</v>
      </c>
    </row>
    <row r="124" spans="22:23" ht="13.05" customHeight="1">
      <c r="V124" s="262" t="s">
        <v>5186</v>
      </c>
      <c r="W124" s="260">
        <v>123</v>
      </c>
    </row>
    <row r="125" spans="22:23" ht="13.05" customHeight="1">
      <c r="V125" s="262" t="s">
        <v>5187</v>
      </c>
      <c r="W125" s="260">
        <v>124</v>
      </c>
    </row>
    <row r="126" spans="22:23" ht="13.05" customHeight="1">
      <c r="V126" s="262" t="s">
        <v>5188</v>
      </c>
      <c r="W126" s="260">
        <v>125</v>
      </c>
    </row>
    <row r="127" spans="22:23" ht="13.05" customHeight="1">
      <c r="V127" s="262" t="s">
        <v>5189</v>
      </c>
      <c r="W127" s="260">
        <v>126</v>
      </c>
    </row>
    <row r="128" spans="22:23" ht="13.05" customHeight="1">
      <c r="V128" s="262" t="s">
        <v>5190</v>
      </c>
      <c r="W128" s="260">
        <v>127</v>
      </c>
    </row>
    <row r="129" spans="22:23" ht="13.05" customHeight="1">
      <c r="V129" s="262" t="s">
        <v>5191</v>
      </c>
      <c r="W129" s="260">
        <v>128</v>
      </c>
    </row>
  </sheetData>
  <sheetProtection algorithmName="SHA-512" hashValue="7pLA52Sgl6tte0k/M1UMYEhuZcecwM8Oy9VO4R+y5Jt5X3ovogbA/qt1sXFJSUq6jhxVSCM9Wf1EnJ5xG2KfDw==" saltValue="4BYKAGZJSHjYShW+TR1XAQ==" spinCount="100000" sheet="1" selectLockedCells="1" selectUnlockedCells="1"/>
  <phoneticPr fontId="3"/>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EE262-EF63-8148-9F5C-A6B0CBC01502}">
  <dimension ref="A1:R41"/>
  <sheetViews>
    <sheetView showGridLines="0" topLeftCell="XFD16" zoomScale="50" zoomScaleNormal="50" workbookViewId="0">
      <selection activeCell="A16" sqref="A1:XFD1048576"/>
    </sheetView>
  </sheetViews>
  <sheetFormatPr defaultColWidth="0" defaultRowHeight="30" customHeight="1"/>
  <cols>
    <col min="1" max="1" width="11.26953125" hidden="1" customWidth="1"/>
    <col min="2" max="2" width="11.26953125" style="5" hidden="1" customWidth="1"/>
    <col min="3" max="3" width="11.26953125" hidden="1" customWidth="1"/>
    <col min="4" max="4" width="11.26953125" style="5" hidden="1" customWidth="1"/>
    <col min="5" max="5" width="11.26953125" style="6" hidden="1" customWidth="1"/>
    <col min="6" max="6" width="11.26953125" style="4" hidden="1" customWidth="1"/>
    <col min="7" max="7" width="11.26953125" hidden="1" customWidth="1"/>
    <col min="8" max="14" width="11.26953125" style="4" hidden="1" customWidth="1"/>
    <col min="15" max="16" width="11.26953125" style="15" hidden="1" customWidth="1"/>
    <col min="17" max="17" width="11.26953125" style="237" hidden="1" customWidth="1"/>
    <col min="18" max="16384" width="11.26953125" hidden="1"/>
  </cols>
  <sheetData>
    <row r="1" spans="1:18" ht="30" customHeight="1">
      <c r="A1" s="301" t="s">
        <v>5052</v>
      </c>
    </row>
    <row r="2" spans="1:18" ht="30" customHeight="1" thickBot="1">
      <c r="B2" s="295" t="s">
        <v>1172</v>
      </c>
      <c r="H2" s="295" t="s">
        <v>5004</v>
      </c>
      <c r="N2" s="315" t="s">
        <v>5014</v>
      </c>
    </row>
    <row r="3" spans="1:18" s="5" customFormat="1" ht="30" customHeight="1" thickBot="1">
      <c r="B3" s="330" t="s">
        <v>84</v>
      </c>
      <c r="C3" s="331" t="s">
        <v>85</v>
      </c>
      <c r="D3" s="331" t="s">
        <v>5009</v>
      </c>
      <c r="E3" s="331" t="s">
        <v>5010</v>
      </c>
      <c r="F3" s="331" t="s">
        <v>5011</v>
      </c>
      <c r="G3" s="332" t="s">
        <v>5012</v>
      </c>
      <c r="H3" s="333" t="s">
        <v>84</v>
      </c>
      <c r="I3" s="331" t="s">
        <v>85</v>
      </c>
      <c r="J3" s="331" t="s">
        <v>5009</v>
      </c>
      <c r="K3" s="331" t="s">
        <v>5010</v>
      </c>
      <c r="L3" s="331" t="s">
        <v>5011</v>
      </c>
      <c r="M3" s="332" t="s">
        <v>5012</v>
      </c>
      <c r="N3" s="333" t="s">
        <v>5003</v>
      </c>
      <c r="O3" s="334" t="s">
        <v>5016</v>
      </c>
      <c r="P3" s="334" t="s">
        <v>5017</v>
      </c>
      <c r="Q3" s="386" t="s">
        <v>5007</v>
      </c>
      <c r="R3" s="335" t="s">
        <v>5049</v>
      </c>
    </row>
    <row r="4" spans="1:18" ht="30" customHeight="1" thickTop="1">
      <c r="B4" s="316" t="s">
        <v>5008</v>
      </c>
      <c r="C4" s="313"/>
      <c r="D4" s="345"/>
      <c r="E4" s="313"/>
      <c r="F4" s="314"/>
      <c r="G4" s="321"/>
      <c r="H4" s="327" t="b">
        <f>入力シート!$C$5=""</f>
        <v>1</v>
      </c>
      <c r="I4" s="313"/>
      <c r="J4" s="313"/>
      <c r="K4" s="313"/>
      <c r="L4" s="313"/>
      <c r="M4" s="325"/>
      <c r="N4" s="327" t="b">
        <f t="shared" ref="N4:N24" si="0">AND(H4,I4,J4,K4,L4,M4)</f>
        <v>1</v>
      </c>
      <c r="O4" s="405" t="s">
        <v>1128</v>
      </c>
      <c r="P4" s="423" t="s">
        <v>1192</v>
      </c>
      <c r="Q4" s="387">
        <v>1</v>
      </c>
      <c r="R4" s="336">
        <v>0</v>
      </c>
    </row>
    <row r="5" spans="1:18" ht="30" customHeight="1">
      <c r="B5" s="317" t="s">
        <v>127</v>
      </c>
      <c r="C5" s="310" t="s">
        <v>1135</v>
      </c>
      <c r="D5" s="346"/>
      <c r="E5" s="310"/>
      <c r="F5" s="311"/>
      <c r="G5" s="322"/>
      <c r="H5" s="328" t="b">
        <f>入力シート!$C$5=入力リスト!$C$4</f>
        <v>0</v>
      </c>
      <c r="I5" s="310" t="b">
        <f>OR(入力シート!$J$9="",IF(入力シート!$J$9=入力リスト!$C$9,入力シート!$J$10="",""),入力シート!$J$11="")</f>
        <v>1</v>
      </c>
      <c r="J5" s="310"/>
      <c r="K5" s="310"/>
      <c r="L5" s="310"/>
      <c r="M5" s="323"/>
      <c r="N5" s="328" t="b">
        <f t="shared" si="0"/>
        <v>0</v>
      </c>
      <c r="O5" s="406" t="s">
        <v>1136</v>
      </c>
      <c r="P5" s="407" t="s">
        <v>5030</v>
      </c>
      <c r="Q5" s="388">
        <v>0</v>
      </c>
      <c r="R5" s="337">
        <v>1</v>
      </c>
    </row>
    <row r="6" spans="1:18" ht="30" customHeight="1">
      <c r="B6" s="317" t="s">
        <v>127</v>
      </c>
      <c r="C6" s="310" t="s">
        <v>128</v>
      </c>
      <c r="D6" s="346"/>
      <c r="E6" s="310"/>
      <c r="F6" s="311"/>
      <c r="G6" s="322"/>
      <c r="H6" s="328" t="b">
        <f>入力シート!$C$5=入力リスト!$C$4</f>
        <v>0</v>
      </c>
      <c r="I6" s="310" t="b">
        <f>AND(入力シート!$J$9&lt;&gt;"",IF(入力シート!$J$9=入力リスト!$C$9,入力シート!$J$10&lt;&gt;"",""),入力シート!$J$11&lt;&gt;"")</f>
        <v>0</v>
      </c>
      <c r="J6" s="310"/>
      <c r="K6" s="310"/>
      <c r="L6" s="310"/>
      <c r="M6" s="323"/>
      <c r="N6" s="328" t="b">
        <f t="shared" si="0"/>
        <v>0</v>
      </c>
      <c r="O6" s="406" t="s">
        <v>1193</v>
      </c>
      <c r="P6" s="406" t="s">
        <v>5055</v>
      </c>
      <c r="Q6" s="388">
        <v>0</v>
      </c>
      <c r="R6" s="337">
        <v>1</v>
      </c>
    </row>
    <row r="7" spans="1:18" ht="30" customHeight="1">
      <c r="B7" s="317" t="s">
        <v>129</v>
      </c>
      <c r="C7" s="310" t="s">
        <v>1135</v>
      </c>
      <c r="D7" s="310" t="s">
        <v>1135</v>
      </c>
      <c r="E7" s="310"/>
      <c r="F7" s="311"/>
      <c r="G7" s="322"/>
      <c r="H7" s="328" t="b">
        <f>入力シート!$C$5=入力リスト!$C$3</f>
        <v>0</v>
      </c>
      <c r="I7" s="311" t="b">
        <f>IF(入力シート!$J$9=入力リスト!$C$9,OR(入力シート!$J$9="",入力シート!$J$10="",入力シート!$J$11=""),OR(入力シート!$J$9="",入力シート!$J$11=""))</f>
        <v>1</v>
      </c>
      <c r="J7" s="311" t="b">
        <f>OR(COUNTIF(入力シート!$J$16:$J$23,"")&gt;4,COUNTIF(入力シート!$T$24,入力リスト!$K$9)=1)</f>
        <v>1</v>
      </c>
      <c r="K7" s="310"/>
      <c r="L7" s="310"/>
      <c r="M7" s="323"/>
      <c r="N7" s="328" t="b">
        <f t="shared" si="0"/>
        <v>0</v>
      </c>
      <c r="O7" s="407" t="s">
        <v>1142</v>
      </c>
      <c r="P7" s="406" t="s">
        <v>5031</v>
      </c>
      <c r="Q7" s="388">
        <v>1</v>
      </c>
      <c r="R7" s="337">
        <v>0</v>
      </c>
    </row>
    <row r="8" spans="1:18" ht="30" customHeight="1">
      <c r="B8" s="317" t="s">
        <v>129</v>
      </c>
      <c r="C8" s="310" t="s">
        <v>1135</v>
      </c>
      <c r="D8" s="346" t="s">
        <v>128</v>
      </c>
      <c r="E8" s="310" t="s">
        <v>132</v>
      </c>
      <c r="F8" s="311"/>
      <c r="G8" s="323" t="s">
        <v>5013</v>
      </c>
      <c r="H8" s="328" t="b">
        <f>H7</f>
        <v>0</v>
      </c>
      <c r="I8" s="311" t="b">
        <f>IF(入力シート!$J$9=入力リスト!$C$9,OR(入力シート!$J$9="",入力シート!$J$10="",入力シート!$J$11=""),OR(入力シート!$J$9="",入力シート!$J$11=""))</f>
        <v>1</v>
      </c>
      <c r="J8" s="311" t="b">
        <f>AND(COUNTIF(入力シート!$J$16:$J$23,"")=4,COUNTIF(入力シート!$T$24,入力リスト!$K$9)=0)</f>
        <v>0</v>
      </c>
      <c r="K8" s="310" t="b">
        <f>COUNTIF(入力シート!$J$16:$S$25,入力リスト!$H$10)=4</f>
        <v>0</v>
      </c>
      <c r="L8" s="310"/>
      <c r="M8" s="312" t="b">
        <f>AND(COUNTIF(入力シート!$T$16:$T$24,入力リスト!$K$7)=4,COUNTIF(入力シート!$T$16:$T$24,入力リスト!$K$10)&gt;0)</f>
        <v>0</v>
      </c>
      <c r="N8" s="328" t="b">
        <f t="shared" si="0"/>
        <v>0</v>
      </c>
      <c r="O8" s="407" t="s">
        <v>1140</v>
      </c>
      <c r="P8" s="422" t="s">
        <v>5061</v>
      </c>
      <c r="Q8" s="388">
        <v>0</v>
      </c>
      <c r="R8" s="337">
        <v>1</v>
      </c>
    </row>
    <row r="9" spans="1:18" ht="30" customHeight="1">
      <c r="B9" s="317" t="s">
        <v>129</v>
      </c>
      <c r="C9" s="310" t="s">
        <v>1135</v>
      </c>
      <c r="D9" s="346" t="s">
        <v>128</v>
      </c>
      <c r="E9" s="310" t="s">
        <v>132</v>
      </c>
      <c r="F9" s="311"/>
      <c r="G9" s="323" t="s">
        <v>130</v>
      </c>
      <c r="H9" s="328" t="b">
        <f t="shared" ref="H9:H24" si="1">H8</f>
        <v>0</v>
      </c>
      <c r="I9" s="311" t="b">
        <f>I8</f>
        <v>1</v>
      </c>
      <c r="J9" s="311" t="b">
        <f>J8</f>
        <v>0</v>
      </c>
      <c r="K9" s="311" t="b">
        <f>K8</f>
        <v>0</v>
      </c>
      <c r="L9" s="310"/>
      <c r="M9" s="312" t="b">
        <f>AND(COUNTIF(入力シート!$T$16:$T$23,入力リスト!$K$7)&lt;4)</f>
        <v>1</v>
      </c>
      <c r="N9" s="328" t="b">
        <f t="shared" si="0"/>
        <v>0</v>
      </c>
      <c r="O9" s="407" t="s">
        <v>5037</v>
      </c>
      <c r="P9" s="422" t="s">
        <v>5062</v>
      </c>
      <c r="Q9" s="389">
        <v>1</v>
      </c>
      <c r="R9" s="338">
        <v>0</v>
      </c>
    </row>
    <row r="10" spans="1:18" ht="30" customHeight="1">
      <c r="B10" s="317" t="s">
        <v>129</v>
      </c>
      <c r="C10" s="310" t="s">
        <v>1135</v>
      </c>
      <c r="D10" s="346" t="s">
        <v>128</v>
      </c>
      <c r="E10" s="310" t="s">
        <v>132</v>
      </c>
      <c r="F10" s="311"/>
      <c r="G10" s="323" t="s">
        <v>131</v>
      </c>
      <c r="H10" s="328" t="b">
        <f t="shared" si="1"/>
        <v>0</v>
      </c>
      <c r="I10" s="311" t="b">
        <f t="shared" ref="I10:I15" si="2">I9</f>
        <v>1</v>
      </c>
      <c r="J10" s="311" t="b">
        <f t="shared" ref="J10:K15" si="3">J9</f>
        <v>0</v>
      </c>
      <c r="K10" s="311" t="b">
        <f>K9</f>
        <v>0</v>
      </c>
      <c r="L10" s="310"/>
      <c r="M10" s="312" t="b">
        <f>AND(COUNTIF(入力シート!$T$16:$BG$23,入力リスト!$K$7)=4,COUNTIF(入力シート!$T$16:$T$23,入力リスト!$K$10)=0)</f>
        <v>0</v>
      </c>
      <c r="N10" s="328" t="b">
        <f t="shared" si="0"/>
        <v>0</v>
      </c>
      <c r="O10" s="407" t="s">
        <v>1144</v>
      </c>
      <c r="P10" s="406" t="s">
        <v>5039</v>
      </c>
      <c r="Q10" s="390">
        <v>0</v>
      </c>
      <c r="R10" s="339">
        <v>1</v>
      </c>
    </row>
    <row r="11" spans="1:18" ht="30" customHeight="1">
      <c r="B11" s="317" t="s">
        <v>129</v>
      </c>
      <c r="C11" s="310" t="s">
        <v>1135</v>
      </c>
      <c r="D11" s="346" t="s">
        <v>128</v>
      </c>
      <c r="E11" s="310" t="s">
        <v>1167</v>
      </c>
      <c r="F11" s="311" t="s">
        <v>1143</v>
      </c>
      <c r="G11" s="323"/>
      <c r="H11" s="328" t="b">
        <f t="shared" si="1"/>
        <v>0</v>
      </c>
      <c r="I11" s="311" t="b">
        <f t="shared" si="2"/>
        <v>1</v>
      </c>
      <c r="J11" s="311" t="b">
        <f t="shared" si="3"/>
        <v>0</v>
      </c>
      <c r="K11" s="311" t="b">
        <f>COUNTIF(入力シート!$J$16:$S$25,入力リスト!$H$10)&lt;&gt;4</f>
        <v>1</v>
      </c>
      <c r="L11" s="310" t="b">
        <f>入力シート!$T$24=入力リスト!$K$9</f>
        <v>0</v>
      </c>
      <c r="M11" s="323"/>
      <c r="N11" s="328" t="b">
        <f t="shared" si="0"/>
        <v>0</v>
      </c>
      <c r="O11" s="407" t="s">
        <v>1139</v>
      </c>
      <c r="P11" s="406" t="s">
        <v>5032</v>
      </c>
      <c r="Q11" s="388">
        <v>1</v>
      </c>
      <c r="R11" s="337">
        <v>0</v>
      </c>
    </row>
    <row r="12" spans="1:18" ht="30" customHeight="1">
      <c r="B12" s="317" t="s">
        <v>129</v>
      </c>
      <c r="C12" s="310" t="s">
        <v>1135</v>
      </c>
      <c r="D12" s="346" t="s">
        <v>128</v>
      </c>
      <c r="E12" s="310" t="s">
        <v>1167</v>
      </c>
      <c r="F12" s="311" t="s">
        <v>1146</v>
      </c>
      <c r="G12" s="323" t="s">
        <v>5013</v>
      </c>
      <c r="H12" s="328" t="b">
        <f t="shared" si="1"/>
        <v>0</v>
      </c>
      <c r="I12" s="311" t="b">
        <f t="shared" si="2"/>
        <v>1</v>
      </c>
      <c r="J12" s="311" t="b">
        <f t="shared" si="3"/>
        <v>0</v>
      </c>
      <c r="K12" s="311" t="b">
        <f t="shared" si="3"/>
        <v>1</v>
      </c>
      <c r="L12" s="310" t="b">
        <f>OR(入力シート!$T$24=入力リスト!$K$7,入力シート!$T$24=入力リスト!$K$8)</f>
        <v>0</v>
      </c>
      <c r="M12" s="312" t="b">
        <f>AND(COUNTIF(入力シート!$T$16:$T$24,入力リスト!$K$7)+COUNTIF(入力シート!$T$16:$T$24,入力リスト!$K$8)=5,COUNTIF(入力シート!$T$16:$T$24,入力リスト!$K$10)&gt;0)</f>
        <v>0</v>
      </c>
      <c r="N12" s="328" t="b">
        <f t="shared" si="0"/>
        <v>0</v>
      </c>
      <c r="O12" s="407" t="s">
        <v>1140</v>
      </c>
      <c r="P12" s="406" t="s">
        <v>5033</v>
      </c>
      <c r="Q12" s="388">
        <v>0</v>
      </c>
      <c r="R12" s="337">
        <v>2</v>
      </c>
    </row>
    <row r="13" spans="1:18" ht="30" customHeight="1">
      <c r="B13" s="317" t="s">
        <v>129</v>
      </c>
      <c r="C13" s="310" t="s">
        <v>1135</v>
      </c>
      <c r="D13" s="346" t="s">
        <v>128</v>
      </c>
      <c r="E13" s="310" t="s">
        <v>1167</v>
      </c>
      <c r="F13" s="311" t="s">
        <v>1134</v>
      </c>
      <c r="G13" s="323" t="s">
        <v>5233</v>
      </c>
      <c r="H13" s="328" t="b">
        <f t="shared" si="1"/>
        <v>0</v>
      </c>
      <c r="I13" s="311" t="b">
        <f t="shared" si="2"/>
        <v>1</v>
      </c>
      <c r="J13" s="311" t="b">
        <f t="shared" si="3"/>
        <v>0</v>
      </c>
      <c r="K13" s="311" t="b">
        <f t="shared" si="3"/>
        <v>1</v>
      </c>
      <c r="L13" s="310" t="b">
        <f>L12</f>
        <v>0</v>
      </c>
      <c r="M13" s="312" t="b">
        <f>AND(OR(入力シート!$AA$33&lt;&gt;"",入力シート!$AP$33&lt;&gt;"",入力シート!$BC$33&lt;&gt;"",COUNTIF(入力シート!$T$16:$BG$24,入力リスト!$K$7)+COUNTIF(入力シート!$T$16:$BG$24,入力リスト!$K$8)+COUNTIF(入力シート!$T$16:$T$24,入力リスト!$K$10)&lt;5),AND(COUNTIF('従業員情報(給与以外)'!$A$4:$A$502,"")=499,COUNTIF('従業員情報(給与以外)'!$B$4:$B$502,"")=499,COUNTIF('従業員情報(給与以外)'!$C$4:$C$502,"")=499,COUNTIF('従業員情報(給与以外)'!$D$4:$D$502,"")=499,COUNTIF('従業員情報(給与以外)'!$E$4:$E$502,"")=499))</f>
        <v>1</v>
      </c>
      <c r="N13" s="328" t="b">
        <f t="shared" si="0"/>
        <v>0</v>
      </c>
      <c r="O13" s="419" t="s">
        <v>5203</v>
      </c>
      <c r="P13" s="422" t="s">
        <v>5204</v>
      </c>
      <c r="Q13" s="389">
        <v>1</v>
      </c>
      <c r="R13" s="338">
        <v>0</v>
      </c>
    </row>
    <row r="14" spans="1:18" ht="30" customHeight="1">
      <c r="B14" s="317" t="s">
        <v>129</v>
      </c>
      <c r="C14" s="310" t="s">
        <v>1135</v>
      </c>
      <c r="D14" s="346" t="s">
        <v>128</v>
      </c>
      <c r="E14" s="310" t="s">
        <v>1167</v>
      </c>
      <c r="F14" s="311" t="s">
        <v>1134</v>
      </c>
      <c r="G14" s="323" t="s">
        <v>5232</v>
      </c>
      <c r="H14" s="328" t="b">
        <f t="shared" si="1"/>
        <v>0</v>
      </c>
      <c r="I14" s="311" t="b">
        <f t="shared" si="2"/>
        <v>1</v>
      </c>
      <c r="J14" s="311" t="b">
        <f t="shared" si="3"/>
        <v>0</v>
      </c>
      <c r="K14" s="311" t="b">
        <f t="shared" si="3"/>
        <v>1</v>
      </c>
      <c r="L14" s="310" t="b">
        <f>L13</f>
        <v>0</v>
      </c>
      <c r="M14" s="312" t="b">
        <f>AND(OR(COUNTIF(入力シート!$AA$33,"*存在*"),COUNTIF(入力シート!$AP$33,"*存在*"),COUNTIF(入力シート!$BC$33,"*存在*"),COUNTIF(入力シート!$T$16:$BG$24,入力リスト!$K$7)+COUNTIF(入力シート!$T$16:$BG$24,入力リスト!$K$8)+COUNTIF(入力シート!$T$16:$T$24,入力リスト!$K$10)&lt;5),OR(COUNTIF('従業員情報(給与以外)'!$A$4:$A$502,"")&lt;499,COUNTIF('従業員情報(給与以外)'!$B$4:$B$502,"")&lt;499,COUNTIF('従業員情報(給与以外)'!$C$4:$C$502,"")&lt;499,COUNTIF('従業員情報(給与以外)'!$D$4:$D$502,"")&lt;499,COUNTIF('従業員情報(給与以外)'!$E$4:$E$502,"")&lt;499))</f>
        <v>0</v>
      </c>
      <c r="N14" s="328" t="b">
        <f t="shared" si="0"/>
        <v>0</v>
      </c>
      <c r="O14" s="419" t="str">
        <f>"(2)で比較する参考値（産業分類と企業規模）を選択してください。"&amp;CHAR(10)&amp;IF(COUNTIF(入力シート!$AA$33,"*存在*")+COUNTIF(入力シート!$AP$33,"*存在*")+COUNTIF(入力シート!$BC$33,"*存在*")&gt;0,"・[入力シート](4)","")&amp;IF(COUNTIF(入力シート!$AA$33,"*存在*"),"「雇用形態名」","")&amp;IF(COUNTIF(入力シート!$AP$33,"*存在*"),"「役職名」","")&amp;IF(COUNTIF(入力シート!$BC$33,"*存在*"),"「性別表記」","")&amp;IF(COUNTIF(入力シート!$AA$33,"*存在*")+COUNTIF(入力シート!$AP$33,"*存在*")+COUNTIF(入力シート!$BC$33,"*存在*")&gt;0,"の調整欄に使用していない項目があります。","")</f>
        <v xml:space="preserve">(2)で比較する参考値（産業分類と企業規模）を選択してください。
</v>
      </c>
      <c r="P14" s="406" t="s">
        <v>5040</v>
      </c>
      <c r="Q14" s="389">
        <v>0</v>
      </c>
      <c r="R14" s="338">
        <v>2</v>
      </c>
    </row>
    <row r="15" spans="1:18" ht="30" customHeight="1">
      <c r="B15" s="317" t="s">
        <v>129</v>
      </c>
      <c r="C15" s="310" t="s">
        <v>1135</v>
      </c>
      <c r="D15" s="346" t="s">
        <v>128</v>
      </c>
      <c r="E15" s="310" t="s">
        <v>1167</v>
      </c>
      <c r="F15" s="311" t="s">
        <v>1146</v>
      </c>
      <c r="G15" s="323" t="s">
        <v>131</v>
      </c>
      <c r="H15" s="328" t="b">
        <f t="shared" si="1"/>
        <v>0</v>
      </c>
      <c r="I15" s="311" t="b">
        <f t="shared" si="2"/>
        <v>1</v>
      </c>
      <c r="J15" s="311" t="b">
        <f t="shared" si="3"/>
        <v>0</v>
      </c>
      <c r="K15" s="311" t="b">
        <f t="shared" si="3"/>
        <v>1</v>
      </c>
      <c r="L15" s="310" t="b">
        <f>L14</f>
        <v>0</v>
      </c>
      <c r="M15" s="312" t="b">
        <f>AND(入力シート!$AA$33="",入力シート!$AP$33="",入力シート!$BC$33="",COUNTIF(入力シート!$T$16:$BG$24,入力リスト!$K$7)+COUNTIF(入力シート!$T$16:$BG$24,入力リスト!$K$8)+COUNTIF(入力シート!$T$16:$T$24,入力リスト!$K$10)=5,COUNTIF(入力シート!$T$16:$T$24,入力リスト!$K$10)=0)</f>
        <v>0</v>
      </c>
      <c r="N15" s="328" t="b">
        <f t="shared" si="0"/>
        <v>0</v>
      </c>
      <c r="O15" s="407" t="s">
        <v>1144</v>
      </c>
      <c r="P15" s="406" t="s">
        <v>5040</v>
      </c>
      <c r="Q15" s="390">
        <v>0</v>
      </c>
      <c r="R15" s="339">
        <v>2</v>
      </c>
    </row>
    <row r="16" spans="1:18" ht="30" customHeight="1">
      <c r="B16" s="317" t="s">
        <v>129</v>
      </c>
      <c r="C16" s="310" t="s">
        <v>128</v>
      </c>
      <c r="D16" s="310" t="s">
        <v>1135</v>
      </c>
      <c r="E16" s="310"/>
      <c r="F16" s="311"/>
      <c r="G16" s="323"/>
      <c r="H16" s="328" t="b">
        <f t="shared" si="1"/>
        <v>0</v>
      </c>
      <c r="I16" s="311" t="b">
        <f>IF(入力シート!$J$9=入力リスト!$C$9,AND(入力シート!$J$9&lt;&gt;"",入力シート!$J$10&lt;&gt;"",入力シート!$J$11&lt;&gt;""),AND(入力シート!$J$9&lt;&gt;"",入力シート!$J$11&lt;&gt;""))</f>
        <v>0</v>
      </c>
      <c r="J16" s="311" t="b">
        <f>OR(COUNTIF(入力シート!$J$16:$J$23,"")&gt;4,COUNTIF(入力シート!$T$24,入力リスト!$K$9)=1)</f>
        <v>1</v>
      </c>
      <c r="K16" s="310"/>
      <c r="L16" s="310"/>
      <c r="M16" s="323"/>
      <c r="N16" s="328" t="b">
        <f t="shared" si="0"/>
        <v>0</v>
      </c>
      <c r="O16" s="419" t="s">
        <v>5197</v>
      </c>
      <c r="P16" s="406" t="s">
        <v>1168</v>
      </c>
      <c r="Q16" s="388">
        <v>1</v>
      </c>
      <c r="R16" s="337">
        <v>0</v>
      </c>
    </row>
    <row r="17" spans="1:18" ht="30" customHeight="1">
      <c r="B17" s="317" t="s">
        <v>129</v>
      </c>
      <c r="C17" s="310" t="s">
        <v>128</v>
      </c>
      <c r="D17" s="346" t="s">
        <v>128</v>
      </c>
      <c r="E17" s="310" t="s">
        <v>132</v>
      </c>
      <c r="F17" s="311"/>
      <c r="G17" s="323" t="s">
        <v>5013</v>
      </c>
      <c r="H17" s="328" t="b">
        <f t="shared" si="1"/>
        <v>0</v>
      </c>
      <c r="I17" s="311" t="b">
        <f>I16</f>
        <v>0</v>
      </c>
      <c r="J17" s="311" t="b">
        <f>AND(COUNTIF(入力シート!$J$16:$J$23,"")=4,COUNTIF(入力シート!$T$24,入力リスト!$K$9)=0)</f>
        <v>0</v>
      </c>
      <c r="K17" s="310" t="b">
        <f>COUNTIF(入力シート!$J$16:$S$25,入力リスト!$H$10)=4</f>
        <v>0</v>
      </c>
      <c r="L17" s="310"/>
      <c r="M17" s="312" t="b">
        <f>M8</f>
        <v>0</v>
      </c>
      <c r="N17" s="328" t="b">
        <f t="shared" si="0"/>
        <v>0</v>
      </c>
      <c r="O17" s="406" t="s">
        <v>1137</v>
      </c>
      <c r="P17" s="406" t="s">
        <v>5034</v>
      </c>
      <c r="Q17" s="388">
        <v>0</v>
      </c>
      <c r="R17" s="337">
        <v>1</v>
      </c>
    </row>
    <row r="18" spans="1:18" ht="30" customHeight="1">
      <c r="B18" s="317" t="s">
        <v>129</v>
      </c>
      <c r="C18" s="310" t="s">
        <v>128</v>
      </c>
      <c r="D18" s="346" t="s">
        <v>128</v>
      </c>
      <c r="E18" s="310" t="s">
        <v>132</v>
      </c>
      <c r="F18" s="311"/>
      <c r="G18" s="323" t="s">
        <v>130</v>
      </c>
      <c r="H18" s="328" t="b">
        <f t="shared" si="1"/>
        <v>0</v>
      </c>
      <c r="I18" s="311" t="b">
        <f t="shared" ref="I18:J24" si="4">I17</f>
        <v>0</v>
      </c>
      <c r="J18" s="311" t="b">
        <f t="shared" si="4"/>
        <v>0</v>
      </c>
      <c r="K18" s="310" t="b">
        <f>K17</f>
        <v>0</v>
      </c>
      <c r="L18" s="310"/>
      <c r="M18" s="312" t="b">
        <f>M9</f>
        <v>1</v>
      </c>
      <c r="N18" s="328" t="b">
        <f t="shared" si="0"/>
        <v>0</v>
      </c>
      <c r="O18" s="406" t="s">
        <v>5205</v>
      </c>
      <c r="P18" s="406" t="s">
        <v>5038</v>
      </c>
      <c r="Q18" s="389">
        <v>1</v>
      </c>
      <c r="R18" s="338">
        <v>0</v>
      </c>
    </row>
    <row r="19" spans="1:18" ht="30" customHeight="1">
      <c r="B19" s="317" t="s">
        <v>129</v>
      </c>
      <c r="C19" s="310" t="s">
        <v>128</v>
      </c>
      <c r="D19" s="346" t="s">
        <v>128</v>
      </c>
      <c r="E19" s="310" t="s">
        <v>132</v>
      </c>
      <c r="F19" s="311"/>
      <c r="G19" s="323" t="s">
        <v>131</v>
      </c>
      <c r="H19" s="328" t="b">
        <f t="shared" si="1"/>
        <v>0</v>
      </c>
      <c r="I19" s="311" t="b">
        <f t="shared" si="4"/>
        <v>0</v>
      </c>
      <c r="J19" s="311" t="b">
        <f t="shared" si="4"/>
        <v>0</v>
      </c>
      <c r="K19" s="310" t="b">
        <f>K18</f>
        <v>0</v>
      </c>
      <c r="L19" s="310"/>
      <c r="M19" s="312" t="b">
        <f>M10</f>
        <v>0</v>
      </c>
      <c r="N19" s="328" t="b">
        <f t="shared" si="0"/>
        <v>0</v>
      </c>
      <c r="O19" s="406" t="s">
        <v>1141</v>
      </c>
      <c r="P19" s="406" t="s">
        <v>5055</v>
      </c>
      <c r="Q19" s="390">
        <v>0</v>
      </c>
      <c r="R19" s="339">
        <v>1</v>
      </c>
    </row>
    <row r="20" spans="1:18" ht="30" customHeight="1">
      <c r="B20" s="317" t="s">
        <v>129</v>
      </c>
      <c r="C20" s="310" t="s">
        <v>128</v>
      </c>
      <c r="D20" s="346" t="s">
        <v>128</v>
      </c>
      <c r="E20" s="310" t="s">
        <v>1167</v>
      </c>
      <c r="F20" s="311" t="s">
        <v>1143</v>
      </c>
      <c r="G20" s="323"/>
      <c r="H20" s="328" t="b">
        <f t="shared" si="1"/>
        <v>0</v>
      </c>
      <c r="I20" s="311" t="b">
        <f t="shared" si="4"/>
        <v>0</v>
      </c>
      <c r="J20" s="311" t="b">
        <f t="shared" si="4"/>
        <v>0</v>
      </c>
      <c r="K20" s="311" t="b">
        <f>COUNTIF(入力シート!$J$16:$S$25,入力リスト!$H$10)&lt;&gt;4</f>
        <v>1</v>
      </c>
      <c r="L20" s="310" t="b">
        <f>入力シート!$T$24=入力リスト!$K$9</f>
        <v>0</v>
      </c>
      <c r="M20" s="323"/>
      <c r="N20" s="328" t="b">
        <f t="shared" si="0"/>
        <v>0</v>
      </c>
      <c r="O20" s="406" t="s">
        <v>1138</v>
      </c>
      <c r="P20" s="406" t="s">
        <v>5035</v>
      </c>
      <c r="Q20" s="388">
        <v>1</v>
      </c>
      <c r="R20" s="337">
        <v>0</v>
      </c>
    </row>
    <row r="21" spans="1:18" ht="30" customHeight="1">
      <c r="B21" s="317" t="s">
        <v>129</v>
      </c>
      <c r="C21" s="310" t="s">
        <v>128</v>
      </c>
      <c r="D21" s="346" t="s">
        <v>128</v>
      </c>
      <c r="E21" s="310" t="s">
        <v>1167</v>
      </c>
      <c r="F21" s="311" t="s">
        <v>1145</v>
      </c>
      <c r="G21" s="323" t="s">
        <v>5013</v>
      </c>
      <c r="H21" s="328" t="b">
        <f t="shared" si="1"/>
        <v>0</v>
      </c>
      <c r="I21" s="311" t="b">
        <f t="shared" si="4"/>
        <v>0</v>
      </c>
      <c r="J21" s="311" t="b">
        <f t="shared" si="4"/>
        <v>0</v>
      </c>
      <c r="K21" s="311" t="b">
        <f>K20</f>
        <v>1</v>
      </c>
      <c r="L21" s="310" t="b">
        <f>OR(入力シート!$T$24=入力リスト!$K$7,入力シート!$T$24=入力リスト!$K$8)</f>
        <v>0</v>
      </c>
      <c r="M21" s="312" t="b">
        <f>M12</f>
        <v>0</v>
      </c>
      <c r="N21" s="328" t="b">
        <f t="shared" si="0"/>
        <v>0</v>
      </c>
      <c r="O21" s="406" t="s">
        <v>1137</v>
      </c>
      <c r="P21" s="422" t="s">
        <v>5223</v>
      </c>
      <c r="Q21" s="389">
        <v>0</v>
      </c>
      <c r="R21" s="338">
        <v>2</v>
      </c>
    </row>
    <row r="22" spans="1:18" ht="30" customHeight="1">
      <c r="B22" s="317" t="s">
        <v>129</v>
      </c>
      <c r="C22" s="310" t="s">
        <v>128</v>
      </c>
      <c r="D22" s="346" t="s">
        <v>128</v>
      </c>
      <c r="E22" s="310" t="s">
        <v>1167</v>
      </c>
      <c r="F22" s="311" t="s">
        <v>1145</v>
      </c>
      <c r="G22" s="323" t="s">
        <v>5233</v>
      </c>
      <c r="H22" s="328" t="b">
        <f t="shared" si="1"/>
        <v>0</v>
      </c>
      <c r="I22" s="311" t="b">
        <f t="shared" si="4"/>
        <v>0</v>
      </c>
      <c r="J22" s="311" t="b">
        <f t="shared" si="4"/>
        <v>0</v>
      </c>
      <c r="K22" s="311" t="b">
        <f>K21</f>
        <v>1</v>
      </c>
      <c r="L22" s="310" t="b">
        <f>L21</f>
        <v>0</v>
      </c>
      <c r="M22" s="312" t="b">
        <f>M13</f>
        <v>1</v>
      </c>
      <c r="N22" s="328" t="b">
        <f t="shared" si="0"/>
        <v>0</v>
      </c>
      <c r="O22" s="406" t="s">
        <v>5205</v>
      </c>
      <c r="P22" s="406" t="s">
        <v>5036</v>
      </c>
      <c r="Q22" s="389">
        <v>1</v>
      </c>
      <c r="R22" s="338">
        <v>0</v>
      </c>
    </row>
    <row r="23" spans="1:18" ht="30" customHeight="1">
      <c r="B23" s="317" t="s">
        <v>129</v>
      </c>
      <c r="C23" s="310" t="s">
        <v>128</v>
      </c>
      <c r="D23" s="346" t="s">
        <v>128</v>
      </c>
      <c r="E23" s="310" t="s">
        <v>1167</v>
      </c>
      <c r="F23" s="311" t="s">
        <v>1145</v>
      </c>
      <c r="G23" s="323" t="s">
        <v>5232</v>
      </c>
      <c r="H23" s="328" t="b">
        <f t="shared" si="1"/>
        <v>0</v>
      </c>
      <c r="I23" s="311" t="b">
        <f t="shared" si="4"/>
        <v>0</v>
      </c>
      <c r="J23" s="311" t="b">
        <f t="shared" si="4"/>
        <v>0</v>
      </c>
      <c r="K23" s="311" t="b">
        <f>K22</f>
        <v>1</v>
      </c>
      <c r="L23" s="310" t="b">
        <f>L22</f>
        <v>0</v>
      </c>
      <c r="M23" s="312" t="b">
        <f>M14</f>
        <v>0</v>
      </c>
      <c r="N23" s="328" t="b">
        <f t="shared" si="0"/>
        <v>0</v>
      </c>
      <c r="O23" s="408" t="str">
        <f>"・[入力シート](4)"&amp;IF(COUNTIF(入力シート!$AA$33,"*存在*"),"「雇用形態名」","")&amp;IF(COUNTIF(入力シート!$AP$33,"*存在*"),"「役職名」","")&amp;IF(COUNTIF(入力シート!$BC$33,"*存在*"),"「性別表記」","")&amp;"の調整欄に使用していない項目があります。"</f>
        <v>・[入力シート](4)の調整欄に使用していない項目があります。</v>
      </c>
      <c r="P23" s="420" t="s">
        <v>5053</v>
      </c>
      <c r="Q23" s="389">
        <v>1</v>
      </c>
      <c r="R23" s="392">
        <v>2</v>
      </c>
    </row>
    <row r="24" spans="1:18" ht="30" customHeight="1" thickBot="1">
      <c r="B24" s="318" t="s">
        <v>129</v>
      </c>
      <c r="C24" s="319" t="s">
        <v>128</v>
      </c>
      <c r="D24" s="347" t="s">
        <v>128</v>
      </c>
      <c r="E24" s="319" t="s">
        <v>1167</v>
      </c>
      <c r="F24" s="320" t="s">
        <v>1145</v>
      </c>
      <c r="G24" s="324" t="s">
        <v>131</v>
      </c>
      <c r="H24" s="329" t="b">
        <f t="shared" si="1"/>
        <v>0</v>
      </c>
      <c r="I24" s="320" t="b">
        <f t="shared" si="4"/>
        <v>0</v>
      </c>
      <c r="J24" s="320" t="b">
        <f>J23</f>
        <v>0</v>
      </c>
      <c r="K24" s="320" t="b">
        <f>K23</f>
        <v>1</v>
      </c>
      <c r="L24" s="319" t="b">
        <f>L23</f>
        <v>0</v>
      </c>
      <c r="M24" s="326" t="b">
        <f>M15</f>
        <v>0</v>
      </c>
      <c r="N24" s="329" t="b">
        <f t="shared" si="0"/>
        <v>0</v>
      </c>
      <c r="O24" s="409" t="s">
        <v>1141</v>
      </c>
      <c r="P24" s="421" t="s">
        <v>5054</v>
      </c>
      <c r="Q24" s="391">
        <v>0</v>
      </c>
      <c r="R24" s="340">
        <v>2</v>
      </c>
    </row>
    <row r="25" spans="1:18" ht="30" customHeight="1">
      <c r="G25" s="384"/>
      <c r="H25" s="385"/>
      <c r="J25" s="6"/>
      <c r="K25" s="6"/>
      <c r="O25" s="6"/>
      <c r="P25" s="4"/>
      <c r="Q25" s="4"/>
      <c r="R25" s="15"/>
    </row>
    <row r="26" spans="1:18" s="57" customFormat="1" ht="30" customHeight="1" thickBot="1">
      <c r="A26" s="382" t="s">
        <v>1161</v>
      </c>
      <c r="B26" s="56"/>
      <c r="C26" s="56"/>
      <c r="D26" s="56"/>
      <c r="E26" s="56"/>
      <c r="F26" s="58"/>
      <c r="G26" s="58"/>
      <c r="H26" s="58"/>
      <c r="I26" s="58"/>
      <c r="J26" s="58"/>
      <c r="K26" s="58"/>
      <c r="O26" s="58"/>
      <c r="P26" s="58"/>
      <c r="Q26" s="58"/>
      <c r="R26" s="58"/>
    </row>
    <row r="27" spans="1:18" s="57" customFormat="1" ht="30" customHeight="1" thickBot="1">
      <c r="B27" s="393" t="s">
        <v>4991</v>
      </c>
      <c r="C27" s="394" t="s">
        <v>5047</v>
      </c>
      <c r="D27" s="395" t="s">
        <v>5042</v>
      </c>
      <c r="E27" s="394" t="s">
        <v>5045</v>
      </c>
      <c r="F27" s="394" t="s">
        <v>5047</v>
      </c>
      <c r="G27" s="395" t="s">
        <v>5042</v>
      </c>
      <c r="H27" s="394" t="s">
        <v>5015</v>
      </c>
      <c r="I27" s="396" t="s">
        <v>5005</v>
      </c>
      <c r="J27" s="396" t="s">
        <v>5006</v>
      </c>
      <c r="K27" s="397" t="s">
        <v>5051</v>
      </c>
      <c r="M27" s="383"/>
    </row>
    <row r="28" spans="1:18" s="57" customFormat="1" ht="30" customHeight="1" thickTop="1">
      <c r="B28" s="398" t="b">
        <f>AND(F28,G28,H28)</f>
        <v>1</v>
      </c>
      <c r="C28" s="305" t="s">
        <v>5046</v>
      </c>
      <c r="D28" s="306"/>
      <c r="E28" s="305"/>
      <c r="F28" s="306" t="b">
        <f>AND(COUNTIF('従業員情報(給与以外)'!A$4:A$502,"")=499,COUNTIF('従業員情報(給与以外)'!B$4:B$502,"")=499,COUNTIF('従業員情報(給与以外)'!C$4:C$502,"")=499,COUNTIF('従業員情報(給与以外)'!D$4:D$502,"")=499,COUNTIF('従業員情報(給与以外)'!E$4:E$502,"")=499)</f>
        <v>1</v>
      </c>
      <c r="G28" s="306"/>
      <c r="H28" s="306"/>
      <c r="I28" s="307" t="str">
        <f>"・記載例に従って、「従業員番号」「雇用形態」"&amp;IF(OR(入力シート!$J$18=入力リスト!$H$9,入力シート!$J$22=入力リスト!$H$9),"「入社年月日」","")&amp;"「性別」"&amp;IF(入力シート!$J$20=入力リスト!$H$9,"「役職」","")&amp;"に従業員情報を入力又は貼付してください。"</f>
        <v>・記載例に従って、「従業員番号」「雇用形態」「性別」に従業員情報を入力又は貼付してください。</v>
      </c>
      <c r="J28" s="307"/>
      <c r="K28" s="309">
        <v>1</v>
      </c>
    </row>
    <row r="29" spans="1:18" s="57" customFormat="1" ht="30" customHeight="1">
      <c r="B29" s="399" t="b">
        <f>AND(F29,G29,H29)</f>
        <v>0</v>
      </c>
      <c r="C29" s="302" t="s">
        <v>5044</v>
      </c>
      <c r="D29" s="302" t="s">
        <v>5043</v>
      </c>
      <c r="E29" s="302" t="s">
        <v>5044</v>
      </c>
      <c r="F29" s="303" t="b">
        <f>OR(COUNTIF('従業員情報(給与以外)'!A$4:A$502,"")&lt;499,COUNTIF('従業員情報(給与以外)'!B$4:B$502,"")&lt;499,COUNTIF('従業員情報(給与以外)'!C$4:C$502,"")&lt;499,COUNTIF('従業員情報(給与以外)'!D$4:D$502,"")&lt;499,COUNTIF('従業員情報(給与以外)'!E$4:E$502,"")&lt;499)</f>
        <v>0</v>
      </c>
      <c r="G29" s="303" t="b">
        <f>AND(F29=TRUE,AND(入力シート!$AA$33="",入力シート!$AP$33="",入力シート!$BC$33=""))</f>
        <v>0</v>
      </c>
      <c r="H29" s="303" t="b">
        <f>COUNTIF('従業員情報(給与以外)'!$F$4:$F$1000000,"*。*")&gt;0</f>
        <v>0</v>
      </c>
      <c r="I29" s="308" t="str">
        <f>"・入力内容に"&amp;COUNTIF('従業員情報(給与以外)'!$F$4:$F$1000000,"*。*")&amp;"件のエラーがあります。"</f>
        <v>・入力内容に0件のエラーがあります。</v>
      </c>
      <c r="J29" s="308" t="s">
        <v>5057</v>
      </c>
      <c r="K29" s="304">
        <v>1</v>
      </c>
    </row>
    <row r="30" spans="1:18" s="57" customFormat="1" ht="30" customHeight="1">
      <c r="B30" s="399" t="b">
        <f>AND(F30,G30,H30)</f>
        <v>0</v>
      </c>
      <c r="C30" s="302" t="s">
        <v>5044</v>
      </c>
      <c r="D30" s="302" t="s">
        <v>5043</v>
      </c>
      <c r="E30" s="302" t="s">
        <v>5046</v>
      </c>
      <c r="F30" s="303" t="b">
        <f>F29</f>
        <v>0</v>
      </c>
      <c r="G30" s="303" t="b">
        <f>AND(F30=TRUE,AND(入力シート!$AA$33="",入力シート!$AP$33="",入力シート!$BC$33=""))</f>
        <v>0</v>
      </c>
      <c r="H30" s="303" t="b">
        <f>COUNTIF('従業員情報(給与以外)'!$F$4:$F$1000000,"*。*")=0</f>
        <v>1</v>
      </c>
      <c r="I30" s="308" t="s">
        <v>5048</v>
      </c>
      <c r="J30" s="308" t="s">
        <v>5058</v>
      </c>
      <c r="K30" s="304">
        <v>0</v>
      </c>
    </row>
    <row r="31" spans="1:18" s="57" customFormat="1" ht="30" customHeight="1">
      <c r="B31" s="399" t="b">
        <f>AND(F31,G31,H31)</f>
        <v>0</v>
      </c>
      <c r="C31" s="302" t="s">
        <v>5044</v>
      </c>
      <c r="D31" s="302" t="s">
        <v>5044</v>
      </c>
      <c r="E31" s="302" t="s">
        <v>5044</v>
      </c>
      <c r="F31" s="303" t="b">
        <f>F30</f>
        <v>0</v>
      </c>
      <c r="G31" s="303" t="b">
        <f>AND(F31=TRUE,OR(入力シート!$AA$33&lt;&gt;"",入力シート!$AP$33&lt;&gt;"",入力シート!$BC$33&lt;&gt;""))</f>
        <v>0</v>
      </c>
      <c r="H31" s="303" t="b">
        <f>COUNTIF('従業員情報(給与以外)'!$F$4:$F$1000000,"*。*")&gt;0</f>
        <v>0</v>
      </c>
      <c r="I31" s="308" t="str">
        <f>"・[雇用形態名]"&amp;IF(COUNTIF(入力シート!$AP$33,"*存在しません。")&gt;0,"[役職名]","")&amp;IF(COUNTIF(入力シート!$BC$33,"*存在しません。")&gt;0,"[性別表記]","")&amp;"の調整欄に使用していない項目があります。"&amp;CHAR(10)&amp;"・入力内容に"&amp;COUNTIF('従業員情報(給与以外)'!F4:F502,"*。*")&amp;"件のエラーがあります。"</f>
        <v>・[雇用形態名]の調整欄に使用していない項目があります。
・入力内容に0件のエラーがあります。</v>
      </c>
      <c r="J31" s="308" t="s">
        <v>5057</v>
      </c>
      <c r="K31" s="304">
        <v>1</v>
      </c>
    </row>
    <row r="32" spans="1:18" s="57" customFormat="1" ht="30" customHeight="1" thickBot="1">
      <c r="B32" s="400" t="b">
        <f>AND(F32,G32,H32)</f>
        <v>0</v>
      </c>
      <c r="C32" s="401" t="s">
        <v>5044</v>
      </c>
      <c r="D32" s="401" t="s">
        <v>5044</v>
      </c>
      <c r="E32" s="401" t="s">
        <v>5046</v>
      </c>
      <c r="F32" s="402" t="b">
        <f>F31</f>
        <v>0</v>
      </c>
      <c r="G32" s="401" t="b">
        <f>AND(F32=TRUE,OR(入力シート!$AA$33&lt;&gt;"",入力シート!$AP$33&lt;&gt;"",入力シート!$BC$33&lt;&gt;""))</f>
        <v>0</v>
      </c>
      <c r="H32" s="402" t="b">
        <f>COUNTIF('従業員情報(給与以外)'!$F$4:$F$1000000,"*。*")=0</f>
        <v>1</v>
      </c>
      <c r="I32" s="403" t="str">
        <f>"・[入力シート](4)"&amp;IF(COUNTIF(入力シート!$AA$33,"*存在しません。")&gt;0,"[雇用形態名]","")&amp;IF(COUNTIF(入力シート!$AP$33,"*存在しません。")&gt;0,"[役職名]","")&amp;IF(COUNTIF(入力シート!$BC$33,"*存在しません。")&gt;0,"[性別表記]","")&amp;"の調整欄に使用していない項目があります。"&amp;CHAR(10)&amp;"・その他の入力内容にエラーはありません。"</f>
        <v>・[入力シート](4)の調整欄に使用していない項目があります。
・その他の入力内容にエラーはありません。</v>
      </c>
      <c r="J32" s="403" t="s">
        <v>5059</v>
      </c>
      <c r="K32" s="404">
        <v>0</v>
      </c>
    </row>
    <row r="33" spans="1:18" ht="30" customHeight="1">
      <c r="D33"/>
      <c r="G33" s="412"/>
      <c r="H33" s="385"/>
      <c r="I33" s="4" t="s">
        <v>5228</v>
      </c>
      <c r="J33"/>
      <c r="K33" s="6">
        <v>1</v>
      </c>
      <c r="O33" s="4"/>
      <c r="P33" s="4"/>
      <c r="Q33" s="4"/>
      <c r="R33" s="15"/>
    </row>
    <row r="34" spans="1:18" ht="30" customHeight="1" thickBot="1">
      <c r="A34" s="301" t="s">
        <v>5050</v>
      </c>
      <c r="B34" s="6"/>
      <c r="D34" s="6"/>
      <c r="G34" s="6"/>
      <c r="H34" s="6"/>
      <c r="I34" s="4" t="s">
        <v>5229</v>
      </c>
      <c r="K34" s="6">
        <v>0</v>
      </c>
      <c r="O34" s="4"/>
      <c r="P34" s="4"/>
      <c r="Q34" s="4"/>
      <c r="R34" s="4"/>
    </row>
    <row r="35" spans="1:18" ht="30" customHeight="1" thickBot="1">
      <c r="A35" s="5"/>
      <c r="B35" s="418" t="s">
        <v>4990</v>
      </c>
      <c r="C35" s="394" t="s">
        <v>5047</v>
      </c>
      <c r="D35" s="331" t="s">
        <v>5045</v>
      </c>
      <c r="E35" s="394" t="s">
        <v>5047</v>
      </c>
      <c r="F35" s="331" t="s">
        <v>5045</v>
      </c>
      <c r="G35" s="396" t="s">
        <v>5005</v>
      </c>
      <c r="H35" s="396" t="s">
        <v>5006</v>
      </c>
      <c r="I35" s="397" t="s">
        <v>5007</v>
      </c>
      <c r="L35" s="411"/>
      <c r="M35" s="411"/>
      <c r="O35" s="410"/>
      <c r="P35" s="410"/>
      <c r="Q35" s="410"/>
      <c r="R35" s="411"/>
    </row>
    <row r="36" spans="1:18" ht="30" customHeight="1" thickTop="1">
      <c r="A36" s="5"/>
      <c r="B36" s="316" t="b">
        <f>AND(E36,F36)</f>
        <v>1</v>
      </c>
      <c r="C36" s="305" t="s">
        <v>5046</v>
      </c>
      <c r="D36" s="313"/>
      <c r="E36" s="313" t="b">
        <f>OR(COUNTIF(従業員の給与情報!$B$4:$B$2502,"")=2499,COUNTIF(従業員の給与情報!$C$4:$C$2502,"")=2499)</f>
        <v>1</v>
      </c>
      <c r="F36" s="314"/>
      <c r="G36" s="417" t="str">
        <f>"・記載例に従って、「従業員番号」「毎月の固定給与額」「賞与額等」「残業手当額」"&amp;IF(入力シート!$J$22&lt;&gt;入力リスト!$H$9,"","「残業時間」")&amp;"に入力又は貼付してください。"</f>
        <v>・記載例に従って、「従業員番号」「毎月の固定給与額」「賞与額等」「残業手当額」に入力又は貼付してください。</v>
      </c>
      <c r="H36" s="314"/>
      <c r="I36" s="341">
        <v>1</v>
      </c>
      <c r="O36" s="4"/>
      <c r="P36" s="4"/>
      <c r="Q36" s="4"/>
      <c r="R36" s="4"/>
    </row>
    <row r="37" spans="1:18" ht="30" customHeight="1">
      <c r="A37" s="5"/>
      <c r="B37" s="414" t="b">
        <f>AND(E37,F37)</f>
        <v>0</v>
      </c>
      <c r="C37" s="302" t="s">
        <v>5044</v>
      </c>
      <c r="D37" s="310" t="s">
        <v>5044</v>
      </c>
      <c r="E37" s="310" t="b">
        <f>AND(COUNTIF(従業員の給与情報!$B$4:$B$2502,"")&lt;2499,COUNTIF(従業員の給与情報!$C$4:$C$2502,"")&lt;2499)</f>
        <v>0</v>
      </c>
      <c r="F37" s="311" t="b">
        <f>COUNTIF(従業員の給与情報!$G$4:$G$1000000,"*。*")&gt;0</f>
        <v>0</v>
      </c>
      <c r="G37" s="413" t="str">
        <f>"・入力内容に"&amp;COUNTIF(従業員の給与情報!$G$4:$G$1000000,"*。*")&amp;"件のエラーがあります。"</f>
        <v>・入力内容に0件のエラーがあります。</v>
      </c>
      <c r="H37" s="413" t="s">
        <v>5057</v>
      </c>
      <c r="I37" s="342">
        <v>1</v>
      </c>
      <c r="O37" s="4"/>
      <c r="P37" s="4"/>
      <c r="Q37" s="4"/>
      <c r="R37" s="4"/>
    </row>
    <row r="38" spans="1:18" ht="30" customHeight="1" thickBot="1">
      <c r="A38" s="5"/>
      <c r="B38" s="415" t="b">
        <f>AND(E38,F38)</f>
        <v>0</v>
      </c>
      <c r="C38" s="401" t="s">
        <v>5044</v>
      </c>
      <c r="D38" s="401" t="s">
        <v>5046</v>
      </c>
      <c r="E38" s="319" t="b">
        <f>E37</f>
        <v>0</v>
      </c>
      <c r="F38" s="320" t="b">
        <f>COUNTIF(従業員の給与情報!$G$4:$G$1000000,"*。*")=0</f>
        <v>1</v>
      </c>
      <c r="G38" s="416" t="s">
        <v>5060</v>
      </c>
      <c r="H38" s="416" t="s">
        <v>5056</v>
      </c>
      <c r="I38" s="343">
        <v>0</v>
      </c>
      <c r="O38" s="4"/>
      <c r="P38" s="4"/>
      <c r="Q38" s="4"/>
      <c r="R38" s="4"/>
    </row>
    <row r="39" spans="1:18" ht="30" customHeight="1">
      <c r="G39" s="4" t="s">
        <v>5228</v>
      </c>
      <c r="I39" s="6">
        <v>1</v>
      </c>
    </row>
    <row r="40" spans="1:18" ht="30" customHeight="1">
      <c r="G40" s="4" t="s">
        <v>5229</v>
      </c>
      <c r="I40" s="6">
        <v>0</v>
      </c>
    </row>
    <row r="41" spans="1:18" ht="30" customHeight="1">
      <c r="G41" t="s">
        <v>5231</v>
      </c>
      <c r="I41" s="6">
        <v>1</v>
      </c>
    </row>
  </sheetData>
  <sheetProtection algorithmName="SHA-512" hashValue="ZVIBM1Oo8F1BAww38KgSZ95VsI/cVZ05ZSMjWUIkjPeNKTtq+L5wtw7WU/tHVUQHJNj+USJPWhZfXTcQVROJ3g==" saltValue="htE1Kc8myN3kC3XUdFNhww==" spinCount="100000" sheet="1" selectLockedCells="1" selectUnlockedCells="1"/>
  <phoneticPr fontId="3"/>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06DF8-DEC1-3F46-A866-7FF39B31F97D}">
  <dimension ref="A1:I4476"/>
  <sheetViews>
    <sheetView topLeftCell="XFD1" workbookViewId="0">
      <selection sqref="A1:XFD1048576"/>
    </sheetView>
  </sheetViews>
  <sheetFormatPr defaultColWidth="0" defaultRowHeight="24" customHeight="1"/>
  <cols>
    <col min="1" max="1" width="7.7265625" style="5" hidden="1" customWidth="1"/>
    <col min="2" max="9" width="7.7265625" style="4" hidden="1" customWidth="1"/>
    <col min="10" max="16384" width="7.7265625" hidden="1"/>
  </cols>
  <sheetData>
    <row r="1" spans="1:9" ht="24" customHeight="1">
      <c r="B1" t="s">
        <v>415</v>
      </c>
      <c r="C1"/>
      <c r="D1"/>
      <c r="E1"/>
      <c r="F1"/>
      <c r="G1"/>
      <c r="H1"/>
      <c r="I1"/>
    </row>
    <row r="2" spans="1:9" ht="24" customHeight="1">
      <c r="A2" s="1101" t="s">
        <v>416</v>
      </c>
      <c r="B2" t="s">
        <v>417</v>
      </c>
      <c r="C2"/>
      <c r="D2" t="s">
        <v>418</v>
      </c>
      <c r="E2"/>
      <c r="F2" t="s">
        <v>419</v>
      </c>
      <c r="G2"/>
      <c r="H2" t="s">
        <v>420</v>
      </c>
      <c r="I2"/>
    </row>
    <row r="3" spans="1:9" ht="24" customHeight="1">
      <c r="A3" s="1101"/>
      <c r="B3" s="6" t="s">
        <v>21</v>
      </c>
      <c r="C3" s="6" t="s">
        <v>22</v>
      </c>
      <c r="D3" s="6" t="s">
        <v>21</v>
      </c>
      <c r="E3" s="6" t="s">
        <v>22</v>
      </c>
      <c r="F3" s="6" t="s">
        <v>21</v>
      </c>
      <c r="G3" s="6" t="s">
        <v>22</v>
      </c>
      <c r="H3" s="6" t="s">
        <v>21</v>
      </c>
      <c r="I3" s="6" t="s">
        <v>22</v>
      </c>
    </row>
    <row r="4" spans="1:9" ht="24" customHeight="1">
      <c r="A4" s="6" t="s">
        <v>163</v>
      </c>
      <c r="B4">
        <v>10017</v>
      </c>
      <c r="C4">
        <v>1943</v>
      </c>
      <c r="D4">
        <v>516727</v>
      </c>
      <c r="E4">
        <v>390310</v>
      </c>
      <c r="F4">
        <v>12.2</v>
      </c>
      <c r="G4">
        <v>6.7</v>
      </c>
      <c r="H4">
        <v>14.4</v>
      </c>
      <c r="I4">
        <v>10.8</v>
      </c>
    </row>
    <row r="5" spans="1:9" ht="24" customHeight="1">
      <c r="A5" s="6" t="s">
        <v>164</v>
      </c>
      <c r="B5">
        <v>1597627</v>
      </c>
      <c r="C5">
        <v>344873</v>
      </c>
      <c r="D5">
        <v>483696</v>
      </c>
      <c r="E5">
        <v>313917</v>
      </c>
      <c r="F5">
        <v>13.3</v>
      </c>
      <c r="G5">
        <v>7.4</v>
      </c>
      <c r="H5">
        <v>13.5</v>
      </c>
      <c r="I5">
        <v>9.9</v>
      </c>
    </row>
    <row r="6" spans="1:9" ht="24" customHeight="1">
      <c r="A6" s="6" t="s">
        <v>165</v>
      </c>
      <c r="B6">
        <v>4901655</v>
      </c>
      <c r="C6">
        <v>2436877</v>
      </c>
      <c r="D6">
        <v>464147</v>
      </c>
      <c r="E6">
        <v>247120</v>
      </c>
      <c r="F6">
        <v>14.5</v>
      </c>
      <c r="G6">
        <v>8.6</v>
      </c>
      <c r="H6">
        <v>15.3</v>
      </c>
      <c r="I6">
        <v>10.4</v>
      </c>
    </row>
    <row r="7" spans="1:9" ht="24" customHeight="1">
      <c r="A7" s="6" t="s">
        <v>166</v>
      </c>
      <c r="B7">
        <v>651903</v>
      </c>
      <c r="C7">
        <v>863800</v>
      </c>
      <c r="D7">
        <v>358550</v>
      </c>
      <c r="E7">
        <v>186895</v>
      </c>
      <c r="F7">
        <v>14.7</v>
      </c>
      <c r="G7">
        <v>11.5</v>
      </c>
      <c r="H7">
        <v>12.5</v>
      </c>
      <c r="I7">
        <v>8.4</v>
      </c>
    </row>
    <row r="8" spans="1:9" ht="24" customHeight="1">
      <c r="A8" s="6" t="s">
        <v>167</v>
      </c>
      <c r="B8">
        <v>250101</v>
      </c>
      <c r="C8">
        <v>415596</v>
      </c>
      <c r="D8">
        <v>361794</v>
      </c>
      <c r="E8">
        <v>196498</v>
      </c>
      <c r="F8">
        <v>19</v>
      </c>
      <c r="G8">
        <v>16.399999999999999</v>
      </c>
      <c r="H8">
        <v>13</v>
      </c>
      <c r="I8">
        <v>8</v>
      </c>
    </row>
    <row r="9" spans="1:9" ht="24" customHeight="1">
      <c r="A9" s="6" t="s">
        <v>168</v>
      </c>
      <c r="B9">
        <v>145283</v>
      </c>
      <c r="C9">
        <v>70119</v>
      </c>
      <c r="D9">
        <v>466292</v>
      </c>
      <c r="E9">
        <v>313157</v>
      </c>
      <c r="F9">
        <v>20.7</v>
      </c>
      <c r="G9">
        <v>17.3</v>
      </c>
      <c r="H9">
        <v>15.4</v>
      </c>
      <c r="I9">
        <v>8.3000000000000007</v>
      </c>
    </row>
    <row r="10" spans="1:9" ht="24" customHeight="1">
      <c r="A10" s="6" t="s">
        <v>1656</v>
      </c>
      <c r="B10">
        <v>136643</v>
      </c>
      <c r="C10">
        <v>159725</v>
      </c>
      <c r="D10">
        <v>306472</v>
      </c>
      <c r="E10">
        <v>165908</v>
      </c>
      <c r="F10">
        <v>9.9</v>
      </c>
      <c r="G10">
        <v>4.5999999999999996</v>
      </c>
      <c r="H10">
        <v>11.3</v>
      </c>
      <c r="I10">
        <v>9</v>
      </c>
    </row>
    <row r="11" spans="1:9" ht="24" customHeight="1">
      <c r="A11" s="6" t="s">
        <v>1657</v>
      </c>
      <c r="B11">
        <v>102668</v>
      </c>
      <c r="C11">
        <v>58782</v>
      </c>
      <c r="D11">
        <v>346422</v>
      </c>
      <c r="E11">
        <v>233284</v>
      </c>
      <c r="F11">
        <v>10.8</v>
      </c>
      <c r="G11">
        <v>5.8</v>
      </c>
      <c r="H11">
        <v>11.7</v>
      </c>
      <c r="I11">
        <v>9.5</v>
      </c>
    </row>
    <row r="12" spans="1:9" ht="24" customHeight="1">
      <c r="A12" s="6" t="s">
        <v>1658</v>
      </c>
      <c r="B12">
        <v>94211</v>
      </c>
      <c r="C12">
        <v>119974</v>
      </c>
      <c r="D12">
        <v>363051</v>
      </c>
      <c r="E12">
        <v>199853</v>
      </c>
      <c r="F12">
        <v>13.7</v>
      </c>
      <c r="G12">
        <v>10</v>
      </c>
      <c r="H12">
        <v>12.4</v>
      </c>
      <c r="I12">
        <v>9.1999999999999993</v>
      </c>
    </row>
    <row r="13" spans="1:9" ht="24" customHeight="1">
      <c r="A13" s="6" t="s">
        <v>1659</v>
      </c>
      <c r="B13">
        <v>67260</v>
      </c>
      <c r="C13">
        <v>40730</v>
      </c>
      <c r="D13">
        <v>424857</v>
      </c>
      <c r="E13">
        <v>286753</v>
      </c>
      <c r="F13">
        <v>14.4</v>
      </c>
      <c r="G13">
        <v>13.4</v>
      </c>
      <c r="H13">
        <v>14.3</v>
      </c>
      <c r="I13">
        <v>10.5</v>
      </c>
    </row>
    <row r="14" spans="1:9" ht="24" customHeight="1">
      <c r="A14" s="6" t="s">
        <v>1660</v>
      </c>
      <c r="B14">
        <v>170949</v>
      </c>
      <c r="C14">
        <v>168505</v>
      </c>
      <c r="D14">
        <v>392950</v>
      </c>
      <c r="E14">
        <v>173880</v>
      </c>
      <c r="F14">
        <v>12.8</v>
      </c>
      <c r="G14">
        <v>7</v>
      </c>
      <c r="H14">
        <v>12.8</v>
      </c>
      <c r="I14">
        <v>8.4</v>
      </c>
    </row>
    <row r="15" spans="1:9" ht="24" customHeight="1">
      <c r="A15" s="6" t="s">
        <v>1661</v>
      </c>
      <c r="B15">
        <v>112614</v>
      </c>
      <c r="C15">
        <v>35752</v>
      </c>
      <c r="D15">
        <v>516757</v>
      </c>
      <c r="E15">
        <v>359188</v>
      </c>
      <c r="F15">
        <v>15.4</v>
      </c>
      <c r="G15">
        <v>13.4</v>
      </c>
      <c r="H15">
        <v>16.3</v>
      </c>
      <c r="I15">
        <v>10.6</v>
      </c>
    </row>
    <row r="16" spans="1:9" ht="24" customHeight="1">
      <c r="A16" s="6" t="s">
        <v>170</v>
      </c>
      <c r="B16">
        <v>67378</v>
      </c>
      <c r="C16">
        <v>32667</v>
      </c>
      <c r="D16">
        <v>429443</v>
      </c>
      <c r="E16">
        <v>245771</v>
      </c>
      <c r="F16">
        <v>12.6</v>
      </c>
      <c r="G16">
        <v>6</v>
      </c>
      <c r="H16">
        <v>14.5</v>
      </c>
      <c r="I16">
        <v>9.8000000000000007</v>
      </c>
    </row>
    <row r="17" spans="1:9" ht="24" customHeight="1">
      <c r="A17" s="6" t="s">
        <v>171</v>
      </c>
      <c r="B17">
        <v>12934</v>
      </c>
      <c r="C17">
        <v>2908</v>
      </c>
      <c r="D17">
        <v>552926</v>
      </c>
      <c r="E17">
        <v>364407</v>
      </c>
      <c r="F17">
        <v>16</v>
      </c>
      <c r="G17">
        <v>9.8000000000000007</v>
      </c>
      <c r="H17">
        <v>15.9</v>
      </c>
      <c r="I17">
        <v>11.9</v>
      </c>
    </row>
    <row r="18" spans="1:9" ht="24" customHeight="1">
      <c r="A18" s="6" t="s">
        <v>172</v>
      </c>
      <c r="B18">
        <v>11461</v>
      </c>
      <c r="C18">
        <v>1828</v>
      </c>
      <c r="D18">
        <v>587222</v>
      </c>
      <c r="E18">
        <v>450634</v>
      </c>
      <c r="F18">
        <v>16.8</v>
      </c>
      <c r="G18">
        <v>12.5</v>
      </c>
      <c r="H18">
        <v>16.5</v>
      </c>
      <c r="I18">
        <v>14.4</v>
      </c>
    </row>
    <row r="19" spans="1:9" ht="24" customHeight="1">
      <c r="A19" s="6" t="s">
        <v>1662</v>
      </c>
      <c r="B19">
        <v>25405</v>
      </c>
      <c r="C19">
        <v>16557</v>
      </c>
      <c r="D19">
        <v>356637</v>
      </c>
      <c r="E19">
        <v>198569</v>
      </c>
      <c r="F19">
        <v>7.5</v>
      </c>
      <c r="G19">
        <v>3.6</v>
      </c>
      <c r="H19">
        <v>12.4</v>
      </c>
      <c r="I19">
        <v>8.4</v>
      </c>
    </row>
    <row r="20" spans="1:9" ht="24" customHeight="1">
      <c r="A20" s="6" t="s">
        <v>1663</v>
      </c>
      <c r="B20">
        <v>20767</v>
      </c>
      <c r="C20">
        <v>6767</v>
      </c>
      <c r="D20">
        <v>389564</v>
      </c>
      <c r="E20">
        <v>288345</v>
      </c>
      <c r="F20">
        <v>8.1999999999999993</v>
      </c>
      <c r="G20">
        <v>6.5</v>
      </c>
      <c r="H20">
        <v>13</v>
      </c>
      <c r="I20">
        <v>10.3</v>
      </c>
    </row>
    <row r="21" spans="1:9" ht="24" customHeight="1">
      <c r="A21" s="6" t="s">
        <v>1664</v>
      </c>
      <c r="B21">
        <v>12058</v>
      </c>
      <c r="C21">
        <v>7166</v>
      </c>
      <c r="D21">
        <v>395597</v>
      </c>
      <c r="E21">
        <v>233462</v>
      </c>
      <c r="F21">
        <v>12.9</v>
      </c>
      <c r="G21">
        <v>5.4</v>
      </c>
      <c r="H21">
        <v>14.9</v>
      </c>
      <c r="I21">
        <v>10</v>
      </c>
    </row>
    <row r="22" spans="1:9" ht="24" customHeight="1">
      <c r="A22" s="6" t="s">
        <v>1665</v>
      </c>
      <c r="B22">
        <v>9922</v>
      </c>
      <c r="C22">
        <v>3705</v>
      </c>
      <c r="D22">
        <v>428050</v>
      </c>
      <c r="E22">
        <v>305414</v>
      </c>
      <c r="F22">
        <v>14.1</v>
      </c>
      <c r="G22">
        <v>8.3000000000000007</v>
      </c>
      <c r="H22">
        <v>14.3</v>
      </c>
      <c r="I22">
        <v>10.6</v>
      </c>
    </row>
    <row r="23" spans="1:9" ht="24" customHeight="1">
      <c r="A23" s="6" t="s">
        <v>1666</v>
      </c>
      <c r="B23">
        <v>16981</v>
      </c>
      <c r="C23">
        <v>6036</v>
      </c>
      <c r="D23">
        <v>468348</v>
      </c>
      <c r="E23">
        <v>332700</v>
      </c>
      <c r="F23">
        <v>17.3</v>
      </c>
      <c r="G23">
        <v>11.2</v>
      </c>
      <c r="H23">
        <v>16.399999999999999</v>
      </c>
      <c r="I23">
        <v>12.6</v>
      </c>
    </row>
    <row r="24" spans="1:9" ht="24" customHeight="1">
      <c r="A24" s="6" t="s">
        <v>1667</v>
      </c>
      <c r="B24">
        <v>15264</v>
      </c>
      <c r="C24">
        <v>4541</v>
      </c>
      <c r="D24">
        <v>490883</v>
      </c>
      <c r="E24">
        <v>380588</v>
      </c>
      <c r="F24">
        <v>17.7</v>
      </c>
      <c r="G24">
        <v>12.7</v>
      </c>
      <c r="H24">
        <v>16.7</v>
      </c>
      <c r="I24">
        <v>14.4</v>
      </c>
    </row>
    <row r="25" spans="1:9" ht="24" customHeight="1">
      <c r="A25" s="6" t="s">
        <v>174</v>
      </c>
      <c r="B25">
        <v>84487</v>
      </c>
      <c r="C25">
        <v>127898</v>
      </c>
      <c r="D25">
        <v>369209</v>
      </c>
      <c r="E25">
        <v>202946</v>
      </c>
      <c r="F25">
        <v>9.4</v>
      </c>
      <c r="G25">
        <v>6.4</v>
      </c>
      <c r="H25">
        <v>15</v>
      </c>
      <c r="I25">
        <v>12.2</v>
      </c>
    </row>
    <row r="26" spans="1:9" ht="24" customHeight="1">
      <c r="A26" s="6" t="s">
        <v>175</v>
      </c>
      <c r="B26">
        <v>8567</v>
      </c>
      <c r="C26">
        <v>6705</v>
      </c>
      <c r="D26">
        <v>541380</v>
      </c>
      <c r="E26">
        <v>286001</v>
      </c>
      <c r="F26">
        <v>7.6</v>
      </c>
      <c r="G26">
        <v>7</v>
      </c>
      <c r="H26">
        <v>18</v>
      </c>
      <c r="I26">
        <v>13.1</v>
      </c>
    </row>
    <row r="27" spans="1:9" ht="24" customHeight="1">
      <c r="A27" s="6" t="s">
        <v>176</v>
      </c>
      <c r="B27">
        <v>7952</v>
      </c>
      <c r="C27">
        <v>5187</v>
      </c>
      <c r="D27">
        <v>557119</v>
      </c>
      <c r="E27">
        <v>313322</v>
      </c>
      <c r="F27">
        <v>8</v>
      </c>
      <c r="G27">
        <v>6.9</v>
      </c>
      <c r="H27">
        <v>17.3</v>
      </c>
      <c r="I27">
        <v>12.3</v>
      </c>
    </row>
    <row r="28" spans="1:9" ht="24" customHeight="1">
      <c r="A28" s="6" t="s">
        <v>1668</v>
      </c>
      <c r="B28">
        <v>50655</v>
      </c>
      <c r="C28">
        <v>88068</v>
      </c>
      <c r="D28">
        <v>329929</v>
      </c>
      <c r="E28">
        <v>185736</v>
      </c>
      <c r="F28">
        <v>10.1</v>
      </c>
      <c r="G28">
        <v>6.3</v>
      </c>
      <c r="H28">
        <v>13.4</v>
      </c>
      <c r="I28">
        <v>11.2</v>
      </c>
    </row>
    <row r="29" spans="1:9" ht="24" customHeight="1">
      <c r="A29" s="6" t="s">
        <v>1669</v>
      </c>
      <c r="B29">
        <v>43210</v>
      </c>
      <c r="C29">
        <v>46395</v>
      </c>
      <c r="D29">
        <v>350124</v>
      </c>
      <c r="E29">
        <v>221984</v>
      </c>
      <c r="F29">
        <v>10.199999999999999</v>
      </c>
      <c r="G29">
        <v>5.3</v>
      </c>
      <c r="H29">
        <v>12.9</v>
      </c>
      <c r="I29">
        <v>12.7</v>
      </c>
    </row>
    <row r="30" spans="1:9" ht="24" customHeight="1">
      <c r="A30" s="6" t="s">
        <v>1670</v>
      </c>
      <c r="B30">
        <v>19605</v>
      </c>
      <c r="C30">
        <v>24626</v>
      </c>
      <c r="D30">
        <v>385501</v>
      </c>
      <c r="E30">
        <v>234352</v>
      </c>
      <c r="F30">
        <v>8.9</v>
      </c>
      <c r="G30">
        <v>7.7</v>
      </c>
      <c r="H30">
        <v>17.3</v>
      </c>
      <c r="I30">
        <v>15.1</v>
      </c>
    </row>
    <row r="31" spans="1:9" ht="24" customHeight="1">
      <c r="A31" s="6" t="s">
        <v>1671</v>
      </c>
      <c r="B31">
        <v>16888</v>
      </c>
      <c r="C31">
        <v>16459</v>
      </c>
      <c r="D31">
        <v>403877</v>
      </c>
      <c r="E31">
        <v>256274</v>
      </c>
      <c r="F31">
        <v>9.6999999999999993</v>
      </c>
      <c r="G31">
        <v>6.7</v>
      </c>
      <c r="H31">
        <v>16.8</v>
      </c>
      <c r="I31">
        <v>16</v>
      </c>
    </row>
    <row r="32" spans="1:9" ht="24" customHeight="1">
      <c r="A32" s="6" t="s">
        <v>1672</v>
      </c>
      <c r="B32">
        <v>5660</v>
      </c>
      <c r="C32">
        <v>8499</v>
      </c>
      <c r="D32">
        <v>403726</v>
      </c>
      <c r="E32">
        <v>224748</v>
      </c>
      <c r="F32">
        <v>8.3000000000000007</v>
      </c>
      <c r="G32">
        <v>3.6</v>
      </c>
      <c r="H32">
        <v>16.8</v>
      </c>
      <c r="I32">
        <v>14.2</v>
      </c>
    </row>
    <row r="33" spans="1:9" ht="24" customHeight="1">
      <c r="A33" s="6" t="s">
        <v>1673</v>
      </c>
      <c r="B33">
        <v>4635</v>
      </c>
      <c r="C33">
        <v>5641</v>
      </c>
      <c r="D33">
        <v>439238</v>
      </c>
      <c r="E33">
        <v>254459</v>
      </c>
      <c r="F33">
        <v>8.6</v>
      </c>
      <c r="G33">
        <v>2.5</v>
      </c>
      <c r="H33">
        <v>16</v>
      </c>
      <c r="I33">
        <v>15.4</v>
      </c>
    </row>
    <row r="34" spans="1:9" ht="24" customHeight="1">
      <c r="A34" s="6" t="s">
        <v>178</v>
      </c>
      <c r="B34">
        <v>58932</v>
      </c>
      <c r="C34">
        <v>15857</v>
      </c>
      <c r="D34">
        <v>363582</v>
      </c>
      <c r="E34">
        <v>235903</v>
      </c>
      <c r="F34">
        <v>13.1</v>
      </c>
      <c r="G34">
        <v>4.8</v>
      </c>
      <c r="H34">
        <v>12.5</v>
      </c>
      <c r="I34">
        <v>11</v>
      </c>
    </row>
    <row r="35" spans="1:9" ht="24" customHeight="1">
      <c r="A35" s="6" t="s">
        <v>179</v>
      </c>
      <c r="B35">
        <v>4916</v>
      </c>
      <c r="C35">
        <v>779</v>
      </c>
      <c r="D35">
        <v>468267</v>
      </c>
      <c r="E35">
        <v>334467</v>
      </c>
      <c r="F35">
        <v>22.1</v>
      </c>
      <c r="G35">
        <v>9.5</v>
      </c>
      <c r="H35">
        <v>14.6</v>
      </c>
      <c r="I35">
        <v>11</v>
      </c>
    </row>
    <row r="36" spans="1:9" ht="24" customHeight="1">
      <c r="A36" s="6" t="s">
        <v>180</v>
      </c>
      <c r="B36">
        <v>4350</v>
      </c>
      <c r="C36">
        <v>647</v>
      </c>
      <c r="D36">
        <v>486713</v>
      </c>
      <c r="E36">
        <v>350304</v>
      </c>
      <c r="F36">
        <v>21.3</v>
      </c>
      <c r="G36">
        <v>9.4</v>
      </c>
      <c r="H36">
        <v>15.4</v>
      </c>
      <c r="I36">
        <v>11.1</v>
      </c>
    </row>
    <row r="37" spans="1:9" ht="24" customHeight="1">
      <c r="A37" s="6" t="s">
        <v>1674</v>
      </c>
      <c r="B37">
        <v>32781</v>
      </c>
      <c r="C37">
        <v>10743</v>
      </c>
      <c r="D37">
        <v>336424</v>
      </c>
      <c r="E37">
        <v>214005</v>
      </c>
      <c r="F37">
        <v>9.3000000000000007</v>
      </c>
      <c r="G37">
        <v>3.3</v>
      </c>
      <c r="H37">
        <v>12.2</v>
      </c>
      <c r="I37">
        <v>11.2</v>
      </c>
    </row>
    <row r="38" spans="1:9" ht="24" customHeight="1">
      <c r="A38" s="6" t="s">
        <v>1675</v>
      </c>
      <c r="B38">
        <v>27217</v>
      </c>
      <c r="C38">
        <v>6943</v>
      </c>
      <c r="D38">
        <v>360824</v>
      </c>
      <c r="E38">
        <v>261276</v>
      </c>
      <c r="F38">
        <v>9.9</v>
      </c>
      <c r="G38">
        <v>4.2</v>
      </c>
      <c r="H38">
        <v>12.4</v>
      </c>
      <c r="I38">
        <v>12</v>
      </c>
    </row>
    <row r="39" spans="1:9" ht="24" customHeight="1">
      <c r="A39" s="6" t="s">
        <v>1676</v>
      </c>
      <c r="B39">
        <v>11216</v>
      </c>
      <c r="C39">
        <v>2629</v>
      </c>
      <c r="D39">
        <v>378211</v>
      </c>
      <c r="E39">
        <v>251988</v>
      </c>
      <c r="F39">
        <v>14.2</v>
      </c>
      <c r="G39">
        <v>5.6</v>
      </c>
      <c r="H39">
        <v>13.9</v>
      </c>
      <c r="I39">
        <v>10.6</v>
      </c>
    </row>
    <row r="40" spans="1:9" ht="24" customHeight="1">
      <c r="A40" s="6" t="s">
        <v>1677</v>
      </c>
      <c r="B40">
        <v>9564</v>
      </c>
      <c r="C40">
        <v>1790</v>
      </c>
      <c r="D40">
        <v>397970</v>
      </c>
      <c r="E40">
        <v>298563</v>
      </c>
      <c r="F40">
        <v>14.6</v>
      </c>
      <c r="G40">
        <v>7.4</v>
      </c>
      <c r="H40">
        <v>14.1</v>
      </c>
      <c r="I40">
        <v>10.1</v>
      </c>
    </row>
    <row r="41" spans="1:9" ht="24" customHeight="1">
      <c r="A41" s="6" t="s">
        <v>1678</v>
      </c>
      <c r="B41">
        <v>10020</v>
      </c>
      <c r="C41">
        <v>1705</v>
      </c>
      <c r="D41">
        <v>384700</v>
      </c>
      <c r="E41">
        <v>304043</v>
      </c>
      <c r="F41">
        <v>20</v>
      </c>
      <c r="G41">
        <v>10.5</v>
      </c>
      <c r="H41">
        <v>10.9</v>
      </c>
      <c r="I41">
        <v>9.9</v>
      </c>
    </row>
    <row r="42" spans="1:9" ht="24" customHeight="1">
      <c r="A42" s="6" t="s">
        <v>1679</v>
      </c>
      <c r="B42">
        <v>7383</v>
      </c>
      <c r="C42">
        <v>1326</v>
      </c>
      <c r="D42">
        <v>430240</v>
      </c>
      <c r="E42">
        <v>331853</v>
      </c>
      <c r="F42">
        <v>19.8</v>
      </c>
      <c r="G42">
        <v>10.6</v>
      </c>
      <c r="H42">
        <v>12.1</v>
      </c>
      <c r="I42">
        <v>11.2</v>
      </c>
    </row>
    <row r="43" spans="1:9" ht="24" customHeight="1">
      <c r="A43" s="6" t="s">
        <v>182</v>
      </c>
      <c r="B43">
        <v>49813</v>
      </c>
      <c r="C43">
        <v>19214</v>
      </c>
      <c r="D43">
        <v>378738</v>
      </c>
      <c r="E43">
        <v>252053</v>
      </c>
      <c r="F43">
        <v>11</v>
      </c>
      <c r="G43">
        <v>5.9</v>
      </c>
      <c r="H43">
        <v>15.5</v>
      </c>
      <c r="I43">
        <v>10.8</v>
      </c>
    </row>
    <row r="44" spans="1:9" ht="24" customHeight="1">
      <c r="A44" s="6" t="s">
        <v>183</v>
      </c>
      <c r="B44">
        <v>9831</v>
      </c>
      <c r="C44">
        <v>3880</v>
      </c>
      <c r="D44">
        <v>502498</v>
      </c>
      <c r="E44">
        <v>323105</v>
      </c>
      <c r="F44">
        <v>17.5</v>
      </c>
      <c r="G44">
        <v>10.6</v>
      </c>
      <c r="H44">
        <v>17.3</v>
      </c>
      <c r="I44">
        <v>12.2</v>
      </c>
    </row>
    <row r="45" spans="1:9" ht="24" customHeight="1">
      <c r="A45" s="6" t="s">
        <v>184</v>
      </c>
      <c r="B45">
        <v>8392</v>
      </c>
      <c r="C45">
        <v>2159</v>
      </c>
      <c r="D45">
        <v>536574</v>
      </c>
      <c r="E45">
        <v>403759</v>
      </c>
      <c r="F45">
        <v>18.5</v>
      </c>
      <c r="G45">
        <v>13.5</v>
      </c>
      <c r="H45">
        <v>18.2</v>
      </c>
      <c r="I45">
        <v>14.3</v>
      </c>
    </row>
    <row r="46" spans="1:9" ht="24" customHeight="1">
      <c r="A46" s="6" t="s">
        <v>1680</v>
      </c>
      <c r="B46">
        <v>24276</v>
      </c>
      <c r="C46">
        <v>10150</v>
      </c>
      <c r="D46">
        <v>325093</v>
      </c>
      <c r="E46">
        <v>204081</v>
      </c>
      <c r="F46">
        <v>10.7</v>
      </c>
      <c r="G46">
        <v>3.9</v>
      </c>
      <c r="H46">
        <v>13.6</v>
      </c>
      <c r="I46">
        <v>9.8000000000000007</v>
      </c>
    </row>
    <row r="47" spans="1:9" ht="24" customHeight="1">
      <c r="A47" s="6" t="s">
        <v>1681</v>
      </c>
      <c r="B47">
        <v>20669</v>
      </c>
      <c r="C47">
        <v>5811</v>
      </c>
      <c r="D47">
        <v>348048</v>
      </c>
      <c r="E47">
        <v>261870</v>
      </c>
      <c r="F47">
        <v>11.8</v>
      </c>
      <c r="G47">
        <v>5.6</v>
      </c>
      <c r="H47">
        <v>13.8</v>
      </c>
      <c r="I47">
        <v>10.9</v>
      </c>
    </row>
    <row r="48" spans="1:9" ht="24" customHeight="1">
      <c r="A48" s="6" t="s">
        <v>1682</v>
      </c>
      <c r="B48">
        <v>12142</v>
      </c>
      <c r="C48">
        <v>3709</v>
      </c>
      <c r="D48">
        <v>381832</v>
      </c>
      <c r="E48">
        <v>288388</v>
      </c>
      <c r="F48">
        <v>7.6</v>
      </c>
      <c r="G48">
        <v>7.4</v>
      </c>
      <c r="H48">
        <v>17.100000000000001</v>
      </c>
      <c r="I48">
        <v>10.6</v>
      </c>
    </row>
    <row r="49" spans="1:9" ht="24" customHeight="1">
      <c r="A49" s="6" t="s">
        <v>1683</v>
      </c>
      <c r="B49">
        <v>9955</v>
      </c>
      <c r="C49">
        <v>2814</v>
      </c>
      <c r="D49">
        <v>412675</v>
      </c>
      <c r="E49">
        <v>324639</v>
      </c>
      <c r="F49">
        <v>8.1999999999999993</v>
      </c>
      <c r="G49">
        <v>8.8000000000000007</v>
      </c>
      <c r="H49">
        <v>17.100000000000001</v>
      </c>
      <c r="I49">
        <v>11.2</v>
      </c>
    </row>
    <row r="50" spans="1:9" ht="24" customHeight="1">
      <c r="A50" s="6" t="s">
        <v>1684</v>
      </c>
      <c r="B50">
        <v>3564</v>
      </c>
      <c r="C50">
        <v>1476</v>
      </c>
      <c r="D50">
        <v>392189</v>
      </c>
      <c r="E50">
        <v>303844</v>
      </c>
      <c r="F50">
        <v>6.8</v>
      </c>
      <c r="G50">
        <v>4.5</v>
      </c>
      <c r="H50">
        <v>17.2</v>
      </c>
      <c r="I50">
        <v>13.7</v>
      </c>
    </row>
    <row r="51" spans="1:9" ht="24" customHeight="1">
      <c r="A51" s="6" t="s">
        <v>1685</v>
      </c>
      <c r="B51">
        <v>3019</v>
      </c>
      <c r="C51">
        <v>1207</v>
      </c>
      <c r="D51">
        <v>416548</v>
      </c>
      <c r="E51">
        <v>328166</v>
      </c>
      <c r="F51">
        <v>7.4</v>
      </c>
      <c r="G51">
        <v>4.9000000000000004</v>
      </c>
      <c r="H51">
        <v>16.7</v>
      </c>
      <c r="I51">
        <v>14.2</v>
      </c>
    </row>
    <row r="52" spans="1:9" ht="24" customHeight="1">
      <c r="A52" s="6" t="s">
        <v>186</v>
      </c>
      <c r="B52">
        <v>117663</v>
      </c>
      <c r="C52">
        <v>48226</v>
      </c>
      <c r="D52">
        <v>409456</v>
      </c>
      <c r="E52">
        <v>221999</v>
      </c>
      <c r="F52">
        <v>11.9</v>
      </c>
      <c r="G52">
        <v>4.3</v>
      </c>
      <c r="H52">
        <v>15.4</v>
      </c>
      <c r="I52">
        <v>10.5</v>
      </c>
    </row>
    <row r="53" spans="1:9" ht="24" customHeight="1">
      <c r="A53" s="6" t="s">
        <v>187</v>
      </c>
      <c r="B53">
        <v>23455</v>
      </c>
      <c r="C53">
        <v>3259</v>
      </c>
      <c r="D53">
        <v>541609</v>
      </c>
      <c r="E53">
        <v>366325</v>
      </c>
      <c r="F53">
        <v>16</v>
      </c>
      <c r="G53">
        <v>9.8000000000000007</v>
      </c>
      <c r="H53">
        <v>21</v>
      </c>
      <c r="I53">
        <v>14.4</v>
      </c>
    </row>
    <row r="54" spans="1:9" ht="24" customHeight="1">
      <c r="A54" s="6" t="s">
        <v>188</v>
      </c>
      <c r="B54">
        <v>22094</v>
      </c>
      <c r="C54">
        <v>2498</v>
      </c>
      <c r="D54">
        <v>554378</v>
      </c>
      <c r="E54">
        <v>403432</v>
      </c>
      <c r="F54">
        <v>16.5</v>
      </c>
      <c r="G54">
        <v>10.4</v>
      </c>
      <c r="H54">
        <v>20.7</v>
      </c>
      <c r="I54">
        <v>15.3</v>
      </c>
    </row>
    <row r="55" spans="1:9" ht="24" customHeight="1">
      <c r="A55" s="6" t="s">
        <v>1686</v>
      </c>
      <c r="B55">
        <v>49924</v>
      </c>
      <c r="C55">
        <v>28431</v>
      </c>
      <c r="D55">
        <v>366054</v>
      </c>
      <c r="E55">
        <v>197861</v>
      </c>
      <c r="F55">
        <v>9.6</v>
      </c>
      <c r="G55">
        <v>2.9</v>
      </c>
      <c r="H55">
        <v>12.6</v>
      </c>
      <c r="I55">
        <v>9.6999999999999993</v>
      </c>
    </row>
    <row r="56" spans="1:9" ht="24" customHeight="1">
      <c r="A56" s="6" t="s">
        <v>1687</v>
      </c>
      <c r="B56">
        <v>44243</v>
      </c>
      <c r="C56">
        <v>14253</v>
      </c>
      <c r="D56">
        <v>384817</v>
      </c>
      <c r="E56">
        <v>262203</v>
      </c>
      <c r="F56">
        <v>10</v>
      </c>
      <c r="G56">
        <v>3.5</v>
      </c>
      <c r="H56">
        <v>12.7</v>
      </c>
      <c r="I56">
        <v>11</v>
      </c>
    </row>
    <row r="57" spans="1:9" ht="24" customHeight="1">
      <c r="A57" s="6" t="s">
        <v>1688</v>
      </c>
      <c r="B57">
        <v>28011</v>
      </c>
      <c r="C57">
        <v>10472</v>
      </c>
      <c r="D57">
        <v>368025</v>
      </c>
      <c r="E57">
        <v>226390</v>
      </c>
      <c r="F57">
        <v>11.5</v>
      </c>
      <c r="G57">
        <v>5.4</v>
      </c>
      <c r="H57">
        <v>15.2</v>
      </c>
      <c r="I57">
        <v>10.7</v>
      </c>
    </row>
    <row r="58" spans="1:9" ht="24" customHeight="1">
      <c r="A58" s="6" t="s">
        <v>1689</v>
      </c>
      <c r="B58">
        <v>24200</v>
      </c>
      <c r="C58">
        <v>5444</v>
      </c>
      <c r="D58">
        <v>389672</v>
      </c>
      <c r="E58">
        <v>282782</v>
      </c>
      <c r="F58">
        <v>12.2</v>
      </c>
      <c r="G58">
        <v>7.4</v>
      </c>
      <c r="H58">
        <v>15.4</v>
      </c>
      <c r="I58">
        <v>12.2</v>
      </c>
    </row>
    <row r="59" spans="1:9" ht="24" customHeight="1">
      <c r="A59" s="6" t="s">
        <v>1690</v>
      </c>
      <c r="B59">
        <v>16273</v>
      </c>
      <c r="C59">
        <v>6064</v>
      </c>
      <c r="D59">
        <v>423446</v>
      </c>
      <c r="E59">
        <v>250016</v>
      </c>
      <c r="F59">
        <v>14</v>
      </c>
      <c r="G59">
        <v>5.9</v>
      </c>
      <c r="H59">
        <v>16.399999999999999</v>
      </c>
      <c r="I59">
        <v>11.8</v>
      </c>
    </row>
    <row r="60" spans="1:9" ht="24" customHeight="1">
      <c r="A60" s="6" t="s">
        <v>1691</v>
      </c>
      <c r="B60">
        <v>14846</v>
      </c>
      <c r="C60">
        <v>3729</v>
      </c>
      <c r="D60">
        <v>441274</v>
      </c>
      <c r="E60">
        <v>300006</v>
      </c>
      <c r="F60">
        <v>14.6</v>
      </c>
      <c r="G60">
        <v>6.3</v>
      </c>
      <c r="H60">
        <v>16.3</v>
      </c>
      <c r="I60">
        <v>11.9</v>
      </c>
    </row>
    <row r="61" spans="1:9" ht="24" customHeight="1">
      <c r="A61" s="6" t="s">
        <v>190</v>
      </c>
      <c r="B61">
        <v>148818</v>
      </c>
      <c r="C61">
        <v>81547</v>
      </c>
      <c r="D61">
        <v>426396</v>
      </c>
      <c r="E61">
        <v>241723</v>
      </c>
      <c r="F61">
        <v>15.5</v>
      </c>
      <c r="G61">
        <v>8.1</v>
      </c>
      <c r="H61">
        <v>17.7</v>
      </c>
      <c r="I61">
        <v>10.7</v>
      </c>
    </row>
    <row r="62" spans="1:9" ht="24" customHeight="1">
      <c r="A62" s="6" t="s">
        <v>191</v>
      </c>
      <c r="B62">
        <v>37104</v>
      </c>
      <c r="C62">
        <v>16903</v>
      </c>
      <c r="D62">
        <v>526362</v>
      </c>
      <c r="E62">
        <v>303669</v>
      </c>
      <c r="F62">
        <v>22.5</v>
      </c>
      <c r="G62">
        <v>12.6</v>
      </c>
      <c r="H62">
        <v>21.8</v>
      </c>
      <c r="I62">
        <v>10.5</v>
      </c>
    </row>
    <row r="63" spans="1:9" ht="24" customHeight="1">
      <c r="A63" s="6" t="s">
        <v>192</v>
      </c>
      <c r="B63">
        <v>33601</v>
      </c>
      <c r="C63">
        <v>10491</v>
      </c>
      <c r="D63">
        <v>555765</v>
      </c>
      <c r="E63">
        <v>393444</v>
      </c>
      <c r="F63">
        <v>23.3</v>
      </c>
      <c r="G63">
        <v>16.8</v>
      </c>
      <c r="H63">
        <v>22.6</v>
      </c>
      <c r="I63">
        <v>12.6</v>
      </c>
    </row>
    <row r="64" spans="1:9" ht="24" customHeight="1">
      <c r="A64" s="6" t="s">
        <v>1692</v>
      </c>
      <c r="B64">
        <v>58670</v>
      </c>
      <c r="C64">
        <v>37589</v>
      </c>
      <c r="D64">
        <v>361952</v>
      </c>
      <c r="E64">
        <v>201957</v>
      </c>
      <c r="F64">
        <v>7.3</v>
      </c>
      <c r="G64">
        <v>4.2</v>
      </c>
      <c r="H64">
        <v>15.4</v>
      </c>
      <c r="I64">
        <v>10.7</v>
      </c>
    </row>
    <row r="65" spans="1:9" ht="24" customHeight="1">
      <c r="A65" s="6" t="s">
        <v>1693</v>
      </c>
      <c r="B65">
        <v>52001</v>
      </c>
      <c r="C65">
        <v>21245</v>
      </c>
      <c r="D65">
        <v>377660</v>
      </c>
      <c r="E65">
        <v>261651</v>
      </c>
      <c r="F65">
        <v>7.6</v>
      </c>
      <c r="G65">
        <v>6.4</v>
      </c>
      <c r="H65">
        <v>15.1</v>
      </c>
      <c r="I65">
        <v>12.4</v>
      </c>
    </row>
    <row r="66" spans="1:9" ht="24" customHeight="1">
      <c r="A66" s="6" t="s">
        <v>1694</v>
      </c>
      <c r="B66">
        <v>37002</v>
      </c>
      <c r="C66">
        <v>18883</v>
      </c>
      <c r="D66">
        <v>417621</v>
      </c>
      <c r="E66">
        <v>238977</v>
      </c>
      <c r="F66">
        <v>22</v>
      </c>
      <c r="G66">
        <v>12.1</v>
      </c>
      <c r="H66">
        <v>16.2</v>
      </c>
      <c r="I66">
        <v>10.3</v>
      </c>
    </row>
    <row r="67" spans="1:9" ht="24" customHeight="1">
      <c r="A67" s="6" t="s">
        <v>1695</v>
      </c>
      <c r="B67">
        <v>33452</v>
      </c>
      <c r="C67">
        <v>10790</v>
      </c>
      <c r="D67">
        <v>433458</v>
      </c>
      <c r="E67">
        <v>304450</v>
      </c>
      <c r="F67">
        <v>22.7</v>
      </c>
      <c r="G67">
        <v>16.5</v>
      </c>
      <c r="H67">
        <v>16.100000000000001</v>
      </c>
      <c r="I67">
        <v>11.7</v>
      </c>
    </row>
    <row r="68" spans="1:9" ht="24" customHeight="1">
      <c r="A68" s="6" t="s">
        <v>1696</v>
      </c>
      <c r="B68">
        <v>16042</v>
      </c>
      <c r="C68">
        <v>8172</v>
      </c>
      <c r="D68">
        <v>451110</v>
      </c>
      <c r="E68">
        <v>302854</v>
      </c>
      <c r="F68">
        <v>14.4</v>
      </c>
      <c r="G68">
        <v>7.7</v>
      </c>
      <c r="H68">
        <v>20</v>
      </c>
      <c r="I68">
        <v>12.5</v>
      </c>
    </row>
    <row r="69" spans="1:9" ht="24" customHeight="1">
      <c r="A69" s="6" t="s">
        <v>1697</v>
      </c>
      <c r="B69">
        <v>13697</v>
      </c>
      <c r="C69">
        <v>5696</v>
      </c>
      <c r="D69">
        <v>481381</v>
      </c>
      <c r="E69">
        <v>351954</v>
      </c>
      <c r="F69">
        <v>15.6</v>
      </c>
      <c r="G69">
        <v>9.3000000000000007</v>
      </c>
      <c r="H69">
        <v>19.2</v>
      </c>
      <c r="I69">
        <v>14.2</v>
      </c>
    </row>
    <row r="70" spans="1:9" ht="24" customHeight="1">
      <c r="A70" s="6" t="s">
        <v>194</v>
      </c>
      <c r="B70">
        <v>302541</v>
      </c>
      <c r="C70">
        <v>121735</v>
      </c>
      <c r="D70">
        <v>576054</v>
      </c>
      <c r="E70">
        <v>371880</v>
      </c>
      <c r="F70">
        <v>11.9</v>
      </c>
      <c r="G70">
        <v>7.5</v>
      </c>
      <c r="H70">
        <v>15.8</v>
      </c>
      <c r="I70">
        <v>11.4</v>
      </c>
    </row>
    <row r="71" spans="1:9" ht="24" customHeight="1">
      <c r="A71" s="6" t="s">
        <v>195</v>
      </c>
      <c r="B71">
        <v>127262</v>
      </c>
      <c r="C71">
        <v>37470</v>
      </c>
      <c r="D71">
        <v>694672</v>
      </c>
      <c r="E71">
        <v>523716</v>
      </c>
      <c r="F71">
        <v>11.7</v>
      </c>
      <c r="G71">
        <v>8</v>
      </c>
      <c r="H71">
        <v>17.600000000000001</v>
      </c>
      <c r="I71">
        <v>14.2</v>
      </c>
    </row>
    <row r="72" spans="1:9" ht="24" customHeight="1">
      <c r="A72" s="6" t="s">
        <v>196</v>
      </c>
      <c r="B72">
        <v>119763</v>
      </c>
      <c r="C72">
        <v>31756</v>
      </c>
      <c r="D72">
        <v>711447</v>
      </c>
      <c r="E72">
        <v>573231</v>
      </c>
      <c r="F72">
        <v>12</v>
      </c>
      <c r="G72">
        <v>8.5</v>
      </c>
      <c r="H72">
        <v>17.2</v>
      </c>
      <c r="I72">
        <v>14.6</v>
      </c>
    </row>
    <row r="73" spans="1:9" ht="24" customHeight="1">
      <c r="A73" s="6" t="s">
        <v>1698</v>
      </c>
      <c r="B73">
        <v>39089</v>
      </c>
      <c r="C73">
        <v>26515</v>
      </c>
      <c r="D73">
        <v>456273</v>
      </c>
      <c r="E73">
        <v>275900</v>
      </c>
      <c r="F73">
        <v>9.1</v>
      </c>
      <c r="G73">
        <v>5.5</v>
      </c>
      <c r="H73">
        <v>12.6</v>
      </c>
      <c r="I73">
        <v>10.3</v>
      </c>
    </row>
    <row r="74" spans="1:9" ht="24" customHeight="1">
      <c r="A74" s="6" t="s">
        <v>1699</v>
      </c>
      <c r="B74">
        <v>34368</v>
      </c>
      <c r="C74">
        <v>15638</v>
      </c>
      <c r="D74">
        <v>477781</v>
      </c>
      <c r="E74">
        <v>375870</v>
      </c>
      <c r="F74">
        <v>9.9</v>
      </c>
      <c r="G74">
        <v>8.8000000000000007</v>
      </c>
      <c r="H74">
        <v>12.3</v>
      </c>
      <c r="I74">
        <v>9.9</v>
      </c>
    </row>
    <row r="75" spans="1:9" ht="24" customHeight="1">
      <c r="A75" s="6" t="s">
        <v>1700</v>
      </c>
      <c r="B75">
        <v>69252</v>
      </c>
      <c r="C75">
        <v>32808</v>
      </c>
      <c r="D75">
        <v>459712</v>
      </c>
      <c r="E75">
        <v>270168</v>
      </c>
      <c r="F75">
        <v>11.8</v>
      </c>
      <c r="G75">
        <v>7.8</v>
      </c>
      <c r="H75">
        <v>14.7</v>
      </c>
      <c r="I75">
        <v>9.1</v>
      </c>
    </row>
    <row r="76" spans="1:9" ht="24" customHeight="1">
      <c r="A76" s="6" t="s">
        <v>1701</v>
      </c>
      <c r="B76">
        <v>62638</v>
      </c>
      <c r="C76">
        <v>18722</v>
      </c>
      <c r="D76">
        <v>474559</v>
      </c>
      <c r="E76">
        <v>349913</v>
      </c>
      <c r="F76">
        <v>12.6</v>
      </c>
      <c r="G76">
        <v>9.9</v>
      </c>
      <c r="H76">
        <v>14.4</v>
      </c>
      <c r="I76">
        <v>9.6999999999999993</v>
      </c>
    </row>
    <row r="77" spans="1:9" ht="24" customHeight="1">
      <c r="A77" s="6" t="s">
        <v>1702</v>
      </c>
      <c r="B77">
        <v>66938</v>
      </c>
      <c r="C77">
        <v>24941</v>
      </c>
      <c r="D77">
        <v>540846</v>
      </c>
      <c r="E77">
        <v>379601</v>
      </c>
      <c r="F77">
        <v>14</v>
      </c>
      <c r="G77">
        <v>8.4</v>
      </c>
      <c r="H77">
        <v>15.4</v>
      </c>
      <c r="I77">
        <v>11.5</v>
      </c>
    </row>
    <row r="78" spans="1:9" ht="24" customHeight="1">
      <c r="A78" s="6" t="s">
        <v>1703</v>
      </c>
      <c r="B78">
        <v>60810</v>
      </c>
      <c r="C78">
        <v>17895</v>
      </c>
      <c r="D78">
        <v>557153</v>
      </c>
      <c r="E78">
        <v>445969</v>
      </c>
      <c r="F78">
        <v>14.7</v>
      </c>
      <c r="G78">
        <v>10.4</v>
      </c>
      <c r="H78">
        <v>14.7</v>
      </c>
      <c r="I78">
        <v>11.8</v>
      </c>
    </row>
    <row r="79" spans="1:9" ht="24" customHeight="1">
      <c r="A79" s="6" t="s">
        <v>198</v>
      </c>
      <c r="B79">
        <v>10351</v>
      </c>
      <c r="C79">
        <v>2102</v>
      </c>
      <c r="D79">
        <v>563458</v>
      </c>
      <c r="E79">
        <v>352965</v>
      </c>
      <c r="F79">
        <v>21.3</v>
      </c>
      <c r="G79">
        <v>10.4</v>
      </c>
      <c r="H79">
        <v>14</v>
      </c>
      <c r="I79">
        <v>12.5</v>
      </c>
    </row>
    <row r="80" spans="1:9" ht="24" customHeight="1">
      <c r="A80" s="6" t="s">
        <v>199</v>
      </c>
      <c r="B80">
        <v>5144</v>
      </c>
      <c r="C80">
        <v>818</v>
      </c>
      <c r="D80">
        <v>596996</v>
      </c>
      <c r="E80">
        <v>401619</v>
      </c>
      <c r="F80">
        <v>26.3</v>
      </c>
      <c r="G80">
        <v>16.899999999999999</v>
      </c>
      <c r="H80">
        <v>15</v>
      </c>
      <c r="I80">
        <v>17</v>
      </c>
    </row>
    <row r="81" spans="1:9" ht="24" customHeight="1">
      <c r="A81" s="6" t="s">
        <v>200</v>
      </c>
      <c r="B81">
        <v>5040</v>
      </c>
      <c r="C81">
        <v>748</v>
      </c>
      <c r="D81">
        <v>599165</v>
      </c>
      <c r="E81">
        <v>414394</v>
      </c>
      <c r="F81">
        <v>26.7</v>
      </c>
      <c r="G81">
        <v>18.3</v>
      </c>
      <c r="H81">
        <v>14.6</v>
      </c>
      <c r="I81">
        <v>15.8</v>
      </c>
    </row>
    <row r="82" spans="1:9" ht="24" customHeight="1">
      <c r="A82" s="6" t="s">
        <v>1704</v>
      </c>
      <c r="B82">
        <v>2351</v>
      </c>
      <c r="C82">
        <v>710</v>
      </c>
      <c r="D82">
        <v>433578</v>
      </c>
      <c r="E82">
        <v>304460</v>
      </c>
      <c r="F82">
        <v>16.100000000000001</v>
      </c>
      <c r="G82">
        <v>4.7</v>
      </c>
      <c r="H82">
        <v>10.8</v>
      </c>
      <c r="I82">
        <v>11.7</v>
      </c>
    </row>
    <row r="83" spans="1:9" ht="24" customHeight="1">
      <c r="A83" s="6" t="s">
        <v>1705</v>
      </c>
      <c r="B83">
        <v>2109</v>
      </c>
      <c r="C83">
        <v>515</v>
      </c>
      <c r="D83">
        <v>453960</v>
      </c>
      <c r="E83">
        <v>350536</v>
      </c>
      <c r="F83">
        <v>16.8</v>
      </c>
      <c r="G83">
        <v>6.5</v>
      </c>
      <c r="H83">
        <v>11.3</v>
      </c>
      <c r="I83">
        <v>12</v>
      </c>
    </row>
    <row r="84" spans="1:9" ht="24" customHeight="1">
      <c r="A84" s="6" t="s">
        <v>1706</v>
      </c>
      <c r="B84">
        <v>348</v>
      </c>
      <c r="C84">
        <v>15</v>
      </c>
      <c r="D84">
        <v>404754</v>
      </c>
      <c r="E84">
        <v>402162</v>
      </c>
      <c r="F84">
        <v>11.4</v>
      </c>
      <c r="G84">
        <v>7</v>
      </c>
      <c r="H84">
        <v>11</v>
      </c>
      <c r="I84">
        <v>16</v>
      </c>
    </row>
    <row r="85" spans="1:9" ht="24" customHeight="1">
      <c r="A85" s="6" t="s">
        <v>1707</v>
      </c>
      <c r="B85">
        <v>337</v>
      </c>
      <c r="C85">
        <v>15</v>
      </c>
      <c r="D85">
        <v>410633</v>
      </c>
      <c r="E85">
        <v>402162</v>
      </c>
      <c r="F85">
        <v>11.8</v>
      </c>
      <c r="G85">
        <v>7</v>
      </c>
      <c r="H85">
        <v>10.8</v>
      </c>
      <c r="I85">
        <v>16</v>
      </c>
    </row>
    <row r="86" spans="1:9" ht="24" customHeight="1">
      <c r="A86" s="6" t="s">
        <v>1708</v>
      </c>
      <c r="B86">
        <v>2509</v>
      </c>
      <c r="C86">
        <v>559</v>
      </c>
      <c r="D86">
        <v>638383</v>
      </c>
      <c r="E86">
        <v>342112</v>
      </c>
      <c r="F86">
        <v>17.3</v>
      </c>
      <c r="G86">
        <v>8.3000000000000007</v>
      </c>
      <c r="H86">
        <v>15.6</v>
      </c>
      <c r="I86">
        <v>7.1</v>
      </c>
    </row>
    <row r="87" spans="1:9" ht="24" customHeight="1">
      <c r="A87" s="6" t="s">
        <v>1709</v>
      </c>
      <c r="B87">
        <v>2319</v>
      </c>
      <c r="C87">
        <v>333</v>
      </c>
      <c r="D87">
        <v>662533</v>
      </c>
      <c r="E87">
        <v>421752</v>
      </c>
      <c r="F87">
        <v>17.7</v>
      </c>
      <c r="G87">
        <v>11.7</v>
      </c>
      <c r="H87">
        <v>16.399999999999999</v>
      </c>
      <c r="I87">
        <v>5.5</v>
      </c>
    </row>
    <row r="88" spans="1:9" ht="24" customHeight="1">
      <c r="A88" s="6" t="s">
        <v>202</v>
      </c>
      <c r="B88">
        <v>264444</v>
      </c>
      <c r="C88">
        <v>130207</v>
      </c>
      <c r="D88">
        <v>411001</v>
      </c>
      <c r="E88">
        <v>235495</v>
      </c>
      <c r="F88">
        <v>13.5</v>
      </c>
      <c r="G88">
        <v>7.5</v>
      </c>
      <c r="H88">
        <v>14.8</v>
      </c>
      <c r="I88">
        <v>10.4</v>
      </c>
    </row>
    <row r="89" spans="1:9" ht="24" customHeight="1">
      <c r="A89" s="6" t="s">
        <v>203</v>
      </c>
      <c r="B89">
        <v>44406</v>
      </c>
      <c r="C89">
        <v>12815</v>
      </c>
      <c r="D89">
        <v>525505</v>
      </c>
      <c r="E89">
        <v>316908</v>
      </c>
      <c r="F89">
        <v>12.2</v>
      </c>
      <c r="G89">
        <v>8.6999999999999993</v>
      </c>
      <c r="H89">
        <v>16.8</v>
      </c>
      <c r="I89">
        <v>10.5</v>
      </c>
    </row>
    <row r="90" spans="1:9" ht="24" customHeight="1">
      <c r="A90" s="6" t="s">
        <v>204</v>
      </c>
      <c r="B90">
        <v>39429</v>
      </c>
      <c r="C90">
        <v>7099</v>
      </c>
      <c r="D90">
        <v>550616</v>
      </c>
      <c r="E90">
        <v>413403</v>
      </c>
      <c r="F90">
        <v>12</v>
      </c>
      <c r="G90">
        <v>10.199999999999999</v>
      </c>
      <c r="H90">
        <v>16.8</v>
      </c>
      <c r="I90">
        <v>12.1</v>
      </c>
    </row>
    <row r="91" spans="1:9" ht="24" customHeight="1">
      <c r="A91" s="6" t="s">
        <v>1710</v>
      </c>
      <c r="B91">
        <v>98070</v>
      </c>
      <c r="C91">
        <v>68430</v>
      </c>
      <c r="D91">
        <v>356628</v>
      </c>
      <c r="E91">
        <v>203079</v>
      </c>
      <c r="F91">
        <v>11.9</v>
      </c>
      <c r="G91">
        <v>6.2</v>
      </c>
      <c r="H91">
        <v>13.4</v>
      </c>
      <c r="I91">
        <v>9.6</v>
      </c>
    </row>
    <row r="92" spans="1:9" ht="24" customHeight="1">
      <c r="A92" s="6" t="s">
        <v>1711</v>
      </c>
      <c r="B92">
        <v>84360</v>
      </c>
      <c r="C92">
        <v>34138</v>
      </c>
      <c r="D92">
        <v>379971</v>
      </c>
      <c r="E92">
        <v>258248</v>
      </c>
      <c r="F92">
        <v>12.2</v>
      </c>
      <c r="G92">
        <v>6.7</v>
      </c>
      <c r="H92">
        <v>13.3</v>
      </c>
      <c r="I92">
        <v>11</v>
      </c>
    </row>
    <row r="93" spans="1:9" ht="24" customHeight="1">
      <c r="A93" s="6" t="s">
        <v>1712</v>
      </c>
      <c r="B93">
        <v>64476</v>
      </c>
      <c r="C93">
        <v>27393</v>
      </c>
      <c r="D93">
        <v>391239</v>
      </c>
      <c r="E93">
        <v>256954</v>
      </c>
      <c r="F93">
        <v>14.7</v>
      </c>
      <c r="G93">
        <v>9.9</v>
      </c>
      <c r="H93">
        <v>15.2</v>
      </c>
      <c r="I93">
        <v>11.6</v>
      </c>
    </row>
    <row r="94" spans="1:9" ht="24" customHeight="1">
      <c r="A94" s="6" t="s">
        <v>1713</v>
      </c>
      <c r="B94">
        <v>56842</v>
      </c>
      <c r="C94">
        <v>16899</v>
      </c>
      <c r="D94">
        <v>406325</v>
      </c>
      <c r="E94">
        <v>293095</v>
      </c>
      <c r="F94">
        <v>15.6</v>
      </c>
      <c r="G94">
        <v>10.3</v>
      </c>
      <c r="H94">
        <v>14.8</v>
      </c>
      <c r="I94">
        <v>12.2</v>
      </c>
    </row>
    <row r="95" spans="1:9" ht="24" customHeight="1">
      <c r="A95" s="6" t="s">
        <v>1714</v>
      </c>
      <c r="B95">
        <v>57492</v>
      </c>
      <c r="C95">
        <v>21569</v>
      </c>
      <c r="D95">
        <v>437472</v>
      </c>
      <c r="E95">
        <v>262712</v>
      </c>
      <c r="F95">
        <v>15.9</v>
      </c>
      <c r="G95">
        <v>8</v>
      </c>
      <c r="H95">
        <v>15</v>
      </c>
      <c r="I95">
        <v>11.1</v>
      </c>
    </row>
    <row r="96" spans="1:9" ht="24" customHeight="1">
      <c r="A96" s="6" t="s">
        <v>1715</v>
      </c>
      <c r="B96">
        <v>50211</v>
      </c>
      <c r="C96">
        <v>11915</v>
      </c>
      <c r="D96">
        <v>463008</v>
      </c>
      <c r="E96">
        <v>335244</v>
      </c>
      <c r="F96">
        <v>17.2</v>
      </c>
      <c r="G96">
        <v>11.5</v>
      </c>
      <c r="H96">
        <v>15.3</v>
      </c>
      <c r="I96">
        <v>12.4</v>
      </c>
    </row>
    <row r="97" spans="1:9" ht="24" customHeight="1">
      <c r="A97" s="6" t="s">
        <v>206</v>
      </c>
      <c r="B97">
        <v>80964</v>
      </c>
      <c r="C97">
        <v>32533</v>
      </c>
      <c r="D97">
        <v>472076</v>
      </c>
      <c r="E97">
        <v>257046</v>
      </c>
      <c r="F97">
        <v>15.9</v>
      </c>
      <c r="G97">
        <v>6.9</v>
      </c>
      <c r="H97">
        <v>15.5</v>
      </c>
      <c r="I97">
        <v>11.1</v>
      </c>
    </row>
    <row r="98" spans="1:9" ht="24" customHeight="1">
      <c r="A98" s="6" t="s">
        <v>207</v>
      </c>
      <c r="B98">
        <v>38428</v>
      </c>
      <c r="C98">
        <v>6951</v>
      </c>
      <c r="D98">
        <v>560008</v>
      </c>
      <c r="E98">
        <v>368246</v>
      </c>
      <c r="F98">
        <v>18.8</v>
      </c>
      <c r="G98">
        <v>12.2</v>
      </c>
      <c r="H98">
        <v>16.2</v>
      </c>
      <c r="I98">
        <v>13</v>
      </c>
    </row>
    <row r="99" spans="1:9" ht="24" customHeight="1">
      <c r="A99" s="6" t="s">
        <v>208</v>
      </c>
      <c r="B99">
        <v>33730</v>
      </c>
      <c r="C99">
        <v>4713</v>
      </c>
      <c r="D99">
        <v>588472</v>
      </c>
      <c r="E99">
        <v>430103</v>
      </c>
      <c r="F99">
        <v>19.7</v>
      </c>
      <c r="G99">
        <v>13.1</v>
      </c>
      <c r="H99">
        <v>16.100000000000001</v>
      </c>
      <c r="I99">
        <v>13.9</v>
      </c>
    </row>
    <row r="100" spans="1:9" ht="24" customHeight="1">
      <c r="A100" s="6" t="s">
        <v>1716</v>
      </c>
      <c r="B100">
        <v>16474</v>
      </c>
      <c r="C100">
        <v>13394</v>
      </c>
      <c r="D100">
        <v>345653</v>
      </c>
      <c r="E100">
        <v>201947</v>
      </c>
      <c r="F100">
        <v>12</v>
      </c>
      <c r="G100">
        <v>4.2</v>
      </c>
      <c r="H100">
        <v>13.3</v>
      </c>
      <c r="I100">
        <v>9.9</v>
      </c>
    </row>
    <row r="101" spans="1:9" ht="24" customHeight="1">
      <c r="A101" s="6" t="s">
        <v>1717</v>
      </c>
      <c r="B101">
        <v>14390</v>
      </c>
      <c r="C101">
        <v>6452</v>
      </c>
      <c r="D101">
        <v>367632</v>
      </c>
      <c r="E101">
        <v>279467</v>
      </c>
      <c r="F101">
        <v>12.9</v>
      </c>
      <c r="G101">
        <v>6.7</v>
      </c>
      <c r="H101">
        <v>13</v>
      </c>
      <c r="I101">
        <v>12.1</v>
      </c>
    </row>
    <row r="102" spans="1:9" ht="24" customHeight="1">
      <c r="A102" s="6" t="s">
        <v>1718</v>
      </c>
      <c r="B102">
        <v>11511</v>
      </c>
      <c r="C102">
        <v>8090</v>
      </c>
      <c r="D102">
        <v>382647</v>
      </c>
      <c r="E102">
        <v>233846</v>
      </c>
      <c r="F102">
        <v>12.6</v>
      </c>
      <c r="G102">
        <v>5.9</v>
      </c>
      <c r="H102">
        <v>14.4</v>
      </c>
      <c r="I102">
        <v>10.6</v>
      </c>
    </row>
    <row r="103" spans="1:9" ht="24" customHeight="1">
      <c r="A103" s="6" t="s">
        <v>1719</v>
      </c>
      <c r="B103">
        <v>9999</v>
      </c>
      <c r="C103">
        <v>4662</v>
      </c>
      <c r="D103">
        <v>401058</v>
      </c>
      <c r="E103">
        <v>284029</v>
      </c>
      <c r="F103">
        <v>13.1</v>
      </c>
      <c r="G103">
        <v>7.4</v>
      </c>
      <c r="H103">
        <v>14.2</v>
      </c>
      <c r="I103">
        <v>11.5</v>
      </c>
    </row>
    <row r="104" spans="1:9" ht="24" customHeight="1">
      <c r="A104" s="6" t="s">
        <v>1720</v>
      </c>
      <c r="B104">
        <v>14552</v>
      </c>
      <c r="C104">
        <v>4097</v>
      </c>
      <c r="D104">
        <v>453735</v>
      </c>
      <c r="E104">
        <v>294319</v>
      </c>
      <c r="F104">
        <v>15.4</v>
      </c>
      <c r="G104">
        <v>8.9</v>
      </c>
      <c r="H104">
        <v>16.899999999999999</v>
      </c>
      <c r="I104">
        <v>12.8</v>
      </c>
    </row>
    <row r="105" spans="1:9" ht="24" customHeight="1">
      <c r="A105" s="6" t="s">
        <v>1721</v>
      </c>
      <c r="B105">
        <v>12942</v>
      </c>
      <c r="C105">
        <v>2350</v>
      </c>
      <c r="D105">
        <v>471271</v>
      </c>
      <c r="E105">
        <v>354828</v>
      </c>
      <c r="F105">
        <v>16.399999999999999</v>
      </c>
      <c r="G105">
        <v>8.8000000000000007</v>
      </c>
      <c r="H105">
        <v>16.399999999999999</v>
      </c>
      <c r="I105">
        <v>15.1</v>
      </c>
    </row>
    <row r="106" spans="1:9" ht="24" customHeight="1">
      <c r="A106" s="6" t="s">
        <v>210</v>
      </c>
      <c r="B106">
        <v>7616</v>
      </c>
      <c r="C106">
        <v>9527</v>
      </c>
      <c r="D106">
        <v>310746</v>
      </c>
      <c r="E106">
        <v>188609</v>
      </c>
      <c r="F106">
        <v>3.8</v>
      </c>
      <c r="G106">
        <v>2.2000000000000002</v>
      </c>
      <c r="H106">
        <v>15.8</v>
      </c>
      <c r="I106">
        <v>11.5</v>
      </c>
    </row>
    <row r="107" spans="1:9" ht="24" customHeight="1">
      <c r="A107" s="6" t="s">
        <v>404</v>
      </c>
      <c r="B107">
        <v>48</v>
      </c>
      <c r="C107">
        <v>45</v>
      </c>
      <c r="D107">
        <v>270014</v>
      </c>
      <c r="E107">
        <v>233115</v>
      </c>
      <c r="F107">
        <v>1</v>
      </c>
      <c r="G107">
        <v>0.5</v>
      </c>
      <c r="H107">
        <v>18.600000000000001</v>
      </c>
      <c r="I107">
        <v>12.3</v>
      </c>
    </row>
    <row r="108" spans="1:9" ht="24" customHeight="1">
      <c r="A108" s="6" t="s">
        <v>405</v>
      </c>
      <c r="B108">
        <v>47</v>
      </c>
      <c r="C108">
        <v>33</v>
      </c>
      <c r="D108">
        <v>268601</v>
      </c>
      <c r="E108">
        <v>249429</v>
      </c>
      <c r="F108">
        <v>1</v>
      </c>
      <c r="G108">
        <v>0.7</v>
      </c>
      <c r="H108">
        <v>18</v>
      </c>
      <c r="I108">
        <v>15.1</v>
      </c>
    </row>
    <row r="109" spans="1:9" ht="24" customHeight="1">
      <c r="A109" s="6" t="s">
        <v>1722</v>
      </c>
      <c r="B109">
        <v>4980</v>
      </c>
      <c r="C109">
        <v>6091</v>
      </c>
      <c r="D109">
        <v>284150</v>
      </c>
      <c r="E109">
        <v>178934</v>
      </c>
      <c r="F109">
        <v>1.7</v>
      </c>
      <c r="G109">
        <v>1</v>
      </c>
      <c r="H109">
        <v>17.100000000000001</v>
      </c>
      <c r="I109">
        <v>11.3</v>
      </c>
    </row>
    <row r="110" spans="1:9" ht="24" customHeight="1">
      <c r="A110" s="6" t="s">
        <v>1723</v>
      </c>
      <c r="B110">
        <v>3645</v>
      </c>
      <c r="C110">
        <v>3020</v>
      </c>
      <c r="D110">
        <v>324145</v>
      </c>
      <c r="E110">
        <v>235524</v>
      </c>
      <c r="F110">
        <v>2.1</v>
      </c>
      <c r="G110">
        <v>1.4</v>
      </c>
      <c r="H110">
        <v>13.3</v>
      </c>
      <c r="I110">
        <v>12</v>
      </c>
    </row>
    <row r="111" spans="1:9" ht="24" customHeight="1">
      <c r="A111" s="6" t="s">
        <v>1724</v>
      </c>
      <c r="B111">
        <v>2457</v>
      </c>
      <c r="C111">
        <v>3223</v>
      </c>
      <c r="D111">
        <v>359667</v>
      </c>
      <c r="E111">
        <v>199980</v>
      </c>
      <c r="F111">
        <v>7</v>
      </c>
      <c r="G111">
        <v>3.7</v>
      </c>
      <c r="H111">
        <v>13.2</v>
      </c>
      <c r="I111">
        <v>12.1</v>
      </c>
    </row>
    <row r="112" spans="1:9" ht="24" customHeight="1">
      <c r="A112" s="6" t="s">
        <v>1725</v>
      </c>
      <c r="B112">
        <v>2038</v>
      </c>
      <c r="C112">
        <v>1251</v>
      </c>
      <c r="D112">
        <v>378639</v>
      </c>
      <c r="E112">
        <v>283436</v>
      </c>
      <c r="F112">
        <v>7.6</v>
      </c>
      <c r="G112">
        <v>4.2</v>
      </c>
      <c r="H112">
        <v>13</v>
      </c>
      <c r="I112">
        <v>14</v>
      </c>
    </row>
    <row r="113" spans="1:9" ht="24" customHeight="1">
      <c r="A113" s="6" t="s">
        <v>1726</v>
      </c>
      <c r="B113">
        <v>132</v>
      </c>
      <c r="C113">
        <v>167</v>
      </c>
      <c r="D113">
        <v>418422</v>
      </c>
      <c r="E113">
        <v>309803</v>
      </c>
      <c r="F113">
        <v>29.7</v>
      </c>
      <c r="G113">
        <v>19</v>
      </c>
      <c r="H113">
        <v>12.4</v>
      </c>
      <c r="I113">
        <v>9.8000000000000007</v>
      </c>
    </row>
    <row r="114" spans="1:9" ht="24" customHeight="1">
      <c r="A114" s="6" t="s">
        <v>1727</v>
      </c>
      <c r="B114">
        <v>120</v>
      </c>
      <c r="C114">
        <v>157</v>
      </c>
      <c r="D114">
        <v>434177</v>
      </c>
      <c r="E114">
        <v>310156</v>
      </c>
      <c r="F114">
        <v>31.6</v>
      </c>
      <c r="G114">
        <v>18.399999999999999</v>
      </c>
      <c r="H114">
        <v>11.7</v>
      </c>
      <c r="I114">
        <v>9.8000000000000007</v>
      </c>
    </row>
    <row r="115" spans="1:9" ht="24" customHeight="1">
      <c r="A115" s="6" t="s">
        <v>211</v>
      </c>
      <c r="B115">
        <v>172276</v>
      </c>
      <c r="C115">
        <v>40321</v>
      </c>
      <c r="D115">
        <v>432889</v>
      </c>
      <c r="E115">
        <v>296718</v>
      </c>
      <c r="F115">
        <v>13</v>
      </c>
      <c r="G115">
        <v>6</v>
      </c>
      <c r="H115">
        <v>15</v>
      </c>
      <c r="I115">
        <v>12.9</v>
      </c>
    </row>
    <row r="116" spans="1:9" ht="24" customHeight="1">
      <c r="A116" s="6" t="s">
        <v>212</v>
      </c>
      <c r="B116">
        <v>39009</v>
      </c>
      <c r="C116">
        <v>6598</v>
      </c>
      <c r="D116">
        <v>576963</v>
      </c>
      <c r="E116">
        <v>412295</v>
      </c>
      <c r="F116">
        <v>19</v>
      </c>
      <c r="G116">
        <v>9.9</v>
      </c>
      <c r="H116">
        <v>16.7</v>
      </c>
      <c r="I116">
        <v>13.7</v>
      </c>
    </row>
    <row r="117" spans="1:9" ht="24" customHeight="1">
      <c r="A117" s="6" t="s">
        <v>213</v>
      </c>
      <c r="B117">
        <v>35653</v>
      </c>
      <c r="C117">
        <v>5487</v>
      </c>
      <c r="D117">
        <v>595801</v>
      </c>
      <c r="E117">
        <v>442488</v>
      </c>
      <c r="F117">
        <v>19.2</v>
      </c>
      <c r="G117">
        <v>10.3</v>
      </c>
      <c r="H117">
        <v>17.100000000000001</v>
      </c>
      <c r="I117">
        <v>14.5</v>
      </c>
    </row>
    <row r="118" spans="1:9" ht="24" customHeight="1">
      <c r="A118" s="6" t="s">
        <v>1728</v>
      </c>
      <c r="B118">
        <v>80323</v>
      </c>
      <c r="C118">
        <v>21170</v>
      </c>
      <c r="D118">
        <v>359395</v>
      </c>
      <c r="E118">
        <v>248191</v>
      </c>
      <c r="F118">
        <v>11</v>
      </c>
      <c r="G118">
        <v>4.4000000000000004</v>
      </c>
      <c r="H118">
        <v>13.3</v>
      </c>
      <c r="I118">
        <v>11.9</v>
      </c>
    </row>
    <row r="119" spans="1:9" ht="24" customHeight="1">
      <c r="A119" s="6" t="s">
        <v>1729</v>
      </c>
      <c r="B119">
        <v>64190</v>
      </c>
      <c r="C119">
        <v>14530</v>
      </c>
      <c r="D119">
        <v>382087</v>
      </c>
      <c r="E119">
        <v>286812</v>
      </c>
      <c r="F119">
        <v>11.8</v>
      </c>
      <c r="G119">
        <v>5.3</v>
      </c>
      <c r="H119">
        <v>13.7</v>
      </c>
      <c r="I119">
        <v>13</v>
      </c>
    </row>
    <row r="120" spans="1:9" ht="24" customHeight="1">
      <c r="A120" s="6" t="s">
        <v>1730</v>
      </c>
      <c r="B120">
        <v>33807</v>
      </c>
      <c r="C120">
        <v>9154</v>
      </c>
      <c r="D120">
        <v>419173</v>
      </c>
      <c r="E120">
        <v>302745</v>
      </c>
      <c r="F120">
        <v>10.4</v>
      </c>
      <c r="G120">
        <v>5.8</v>
      </c>
      <c r="H120">
        <v>15.3</v>
      </c>
      <c r="I120">
        <v>13.7</v>
      </c>
    </row>
    <row r="121" spans="1:9" ht="24" customHeight="1">
      <c r="A121" s="6" t="s">
        <v>1731</v>
      </c>
      <c r="B121">
        <v>29299</v>
      </c>
      <c r="C121">
        <v>6143</v>
      </c>
      <c r="D121">
        <v>435681</v>
      </c>
      <c r="E121">
        <v>338181</v>
      </c>
      <c r="F121">
        <v>11.3</v>
      </c>
      <c r="G121">
        <v>7.5</v>
      </c>
      <c r="H121">
        <v>14</v>
      </c>
      <c r="I121">
        <v>12.7</v>
      </c>
    </row>
    <row r="122" spans="1:9" ht="24" customHeight="1">
      <c r="A122" s="6" t="s">
        <v>1732</v>
      </c>
      <c r="B122">
        <v>19138</v>
      </c>
      <c r="C122">
        <v>3400</v>
      </c>
      <c r="D122">
        <v>471910</v>
      </c>
      <c r="E122">
        <v>358365</v>
      </c>
      <c r="F122">
        <v>13.4</v>
      </c>
      <c r="G122">
        <v>9.4</v>
      </c>
      <c r="H122">
        <v>17.8</v>
      </c>
      <c r="I122">
        <v>15.1</v>
      </c>
    </row>
    <row r="123" spans="1:9" ht="24" customHeight="1">
      <c r="A123" s="6" t="s">
        <v>1733</v>
      </c>
      <c r="B123">
        <v>17017</v>
      </c>
      <c r="C123">
        <v>2614</v>
      </c>
      <c r="D123">
        <v>493537</v>
      </c>
      <c r="E123">
        <v>394368</v>
      </c>
      <c r="F123">
        <v>13.8</v>
      </c>
      <c r="G123">
        <v>10.199999999999999</v>
      </c>
      <c r="H123">
        <v>17.7</v>
      </c>
      <c r="I123">
        <v>15.7</v>
      </c>
    </row>
    <row r="124" spans="1:9" ht="24" customHeight="1">
      <c r="A124" s="6" t="s">
        <v>215</v>
      </c>
      <c r="B124">
        <v>181070</v>
      </c>
      <c r="C124">
        <v>22856</v>
      </c>
      <c r="D124">
        <v>514903</v>
      </c>
      <c r="E124">
        <v>353374</v>
      </c>
      <c r="F124">
        <v>20.8</v>
      </c>
      <c r="G124">
        <v>9.9</v>
      </c>
      <c r="H124">
        <v>15.1</v>
      </c>
      <c r="I124">
        <v>12.6</v>
      </c>
    </row>
    <row r="125" spans="1:9" ht="24" customHeight="1">
      <c r="A125" s="6" t="s">
        <v>216</v>
      </c>
      <c r="B125">
        <v>64579</v>
      </c>
      <c r="C125">
        <v>6759</v>
      </c>
      <c r="D125">
        <v>642040</v>
      </c>
      <c r="E125">
        <v>466811</v>
      </c>
      <c r="F125">
        <v>21.4</v>
      </c>
      <c r="G125">
        <v>12.1</v>
      </c>
      <c r="H125">
        <v>17.600000000000001</v>
      </c>
      <c r="I125">
        <v>16.7</v>
      </c>
    </row>
    <row r="126" spans="1:9" ht="24" customHeight="1">
      <c r="A126" s="6" t="s">
        <v>217</v>
      </c>
      <c r="B126">
        <v>61489</v>
      </c>
      <c r="C126">
        <v>5868</v>
      </c>
      <c r="D126">
        <v>653843</v>
      </c>
      <c r="E126">
        <v>495474</v>
      </c>
      <c r="F126">
        <v>21.8</v>
      </c>
      <c r="G126">
        <v>12.3</v>
      </c>
      <c r="H126">
        <v>17</v>
      </c>
      <c r="I126">
        <v>16.3</v>
      </c>
    </row>
    <row r="127" spans="1:9" ht="24" customHeight="1">
      <c r="A127" s="6" t="s">
        <v>1734</v>
      </c>
      <c r="B127">
        <v>35058</v>
      </c>
      <c r="C127">
        <v>6321</v>
      </c>
      <c r="D127">
        <v>383132</v>
      </c>
      <c r="E127">
        <v>268232</v>
      </c>
      <c r="F127">
        <v>17.7</v>
      </c>
      <c r="G127">
        <v>7.7</v>
      </c>
      <c r="H127">
        <v>11.4</v>
      </c>
      <c r="I127">
        <v>9.9</v>
      </c>
    </row>
    <row r="128" spans="1:9" ht="24" customHeight="1">
      <c r="A128" s="6" t="s">
        <v>1735</v>
      </c>
      <c r="B128">
        <v>29629</v>
      </c>
      <c r="C128">
        <v>4760</v>
      </c>
      <c r="D128">
        <v>408227</v>
      </c>
      <c r="E128">
        <v>302466</v>
      </c>
      <c r="F128">
        <v>18.399999999999999</v>
      </c>
      <c r="G128">
        <v>9.5</v>
      </c>
      <c r="H128">
        <v>12.2</v>
      </c>
      <c r="I128">
        <v>11.1</v>
      </c>
    </row>
    <row r="129" spans="1:9" ht="24" customHeight="1">
      <c r="A129" s="6" t="s">
        <v>1736</v>
      </c>
      <c r="B129">
        <v>41758</v>
      </c>
      <c r="C129">
        <v>6482</v>
      </c>
      <c r="D129">
        <v>475480</v>
      </c>
      <c r="E129">
        <v>322515</v>
      </c>
      <c r="F129">
        <v>21</v>
      </c>
      <c r="G129">
        <v>8.3000000000000007</v>
      </c>
      <c r="H129">
        <v>13.7</v>
      </c>
      <c r="I129">
        <v>11.1</v>
      </c>
    </row>
    <row r="130" spans="1:9" ht="24" customHeight="1">
      <c r="A130" s="6" t="s">
        <v>1737</v>
      </c>
      <c r="B130">
        <v>37250</v>
      </c>
      <c r="C130">
        <v>5242</v>
      </c>
      <c r="D130">
        <v>500764</v>
      </c>
      <c r="E130">
        <v>350223</v>
      </c>
      <c r="F130">
        <v>21</v>
      </c>
      <c r="G130">
        <v>9.4</v>
      </c>
      <c r="H130">
        <v>14</v>
      </c>
      <c r="I130">
        <v>11.2</v>
      </c>
    </row>
    <row r="131" spans="1:9" ht="24" customHeight="1">
      <c r="A131" s="6" t="s">
        <v>1738</v>
      </c>
      <c r="B131">
        <v>39675</v>
      </c>
      <c r="C131">
        <v>3294</v>
      </c>
      <c r="D131">
        <v>465889</v>
      </c>
      <c r="E131">
        <v>344711</v>
      </c>
      <c r="F131">
        <v>22.4</v>
      </c>
      <c r="G131">
        <v>12.6</v>
      </c>
      <c r="H131">
        <v>15.9</v>
      </c>
      <c r="I131">
        <v>12.5</v>
      </c>
    </row>
    <row r="132" spans="1:9" ht="24" customHeight="1">
      <c r="A132" s="6" t="s">
        <v>1739</v>
      </c>
      <c r="B132">
        <v>36699</v>
      </c>
      <c r="C132">
        <v>2728</v>
      </c>
      <c r="D132">
        <v>479076</v>
      </c>
      <c r="E132">
        <v>366762</v>
      </c>
      <c r="F132">
        <v>23.3</v>
      </c>
      <c r="G132">
        <v>14.3</v>
      </c>
      <c r="H132">
        <v>15.6</v>
      </c>
      <c r="I132">
        <v>12.8</v>
      </c>
    </row>
    <row r="133" spans="1:9" ht="24" customHeight="1">
      <c r="A133" s="6" t="s">
        <v>219</v>
      </c>
      <c r="B133">
        <v>95707</v>
      </c>
      <c r="C133">
        <v>24959</v>
      </c>
      <c r="D133">
        <v>493819</v>
      </c>
      <c r="E133">
        <v>294171</v>
      </c>
      <c r="F133">
        <v>14.5</v>
      </c>
      <c r="G133">
        <v>7.1</v>
      </c>
      <c r="H133">
        <v>16.3</v>
      </c>
      <c r="I133">
        <v>11.6</v>
      </c>
    </row>
    <row r="134" spans="1:9" ht="24" customHeight="1">
      <c r="A134" s="6" t="s">
        <v>220</v>
      </c>
      <c r="B134">
        <v>31288</v>
      </c>
      <c r="C134">
        <v>4154</v>
      </c>
      <c r="D134">
        <v>589763</v>
      </c>
      <c r="E134">
        <v>412886</v>
      </c>
      <c r="F134">
        <v>16.2</v>
      </c>
      <c r="G134">
        <v>10.4</v>
      </c>
      <c r="H134">
        <v>18</v>
      </c>
      <c r="I134">
        <v>13.9</v>
      </c>
    </row>
    <row r="135" spans="1:9" ht="24" customHeight="1">
      <c r="A135" s="6" t="s">
        <v>221</v>
      </c>
      <c r="B135">
        <v>29451</v>
      </c>
      <c r="C135">
        <v>3368</v>
      </c>
      <c r="D135">
        <v>604433</v>
      </c>
      <c r="E135">
        <v>454567</v>
      </c>
      <c r="F135">
        <v>16.8</v>
      </c>
      <c r="G135">
        <v>11.5</v>
      </c>
      <c r="H135">
        <v>17.8</v>
      </c>
      <c r="I135">
        <v>14.2</v>
      </c>
    </row>
    <row r="136" spans="1:9" ht="24" customHeight="1">
      <c r="A136" s="6" t="s">
        <v>1740</v>
      </c>
      <c r="B136">
        <v>21869</v>
      </c>
      <c r="C136">
        <v>9911</v>
      </c>
      <c r="D136">
        <v>364296</v>
      </c>
      <c r="E136">
        <v>231865</v>
      </c>
      <c r="F136">
        <v>11.6</v>
      </c>
      <c r="G136">
        <v>4.9000000000000004</v>
      </c>
      <c r="H136">
        <v>13.1</v>
      </c>
      <c r="I136">
        <v>9.9</v>
      </c>
    </row>
    <row r="137" spans="1:9" ht="24" customHeight="1">
      <c r="A137" s="6" t="s">
        <v>1741</v>
      </c>
      <c r="B137">
        <v>17234</v>
      </c>
      <c r="C137">
        <v>5477</v>
      </c>
      <c r="D137">
        <v>395800</v>
      </c>
      <c r="E137">
        <v>287149</v>
      </c>
      <c r="F137">
        <v>10.9</v>
      </c>
      <c r="G137">
        <v>5.0999999999999996</v>
      </c>
      <c r="H137">
        <v>14.6</v>
      </c>
      <c r="I137">
        <v>11</v>
      </c>
    </row>
    <row r="138" spans="1:9" ht="24" customHeight="1">
      <c r="A138" s="6" t="s">
        <v>1742</v>
      </c>
      <c r="B138">
        <v>20622</v>
      </c>
      <c r="C138">
        <v>5698</v>
      </c>
      <c r="D138">
        <v>481299</v>
      </c>
      <c r="E138">
        <v>298445</v>
      </c>
      <c r="F138">
        <v>13</v>
      </c>
      <c r="G138">
        <v>6.9</v>
      </c>
      <c r="H138">
        <v>16.399999999999999</v>
      </c>
      <c r="I138">
        <v>11.1</v>
      </c>
    </row>
    <row r="139" spans="1:9" ht="24" customHeight="1">
      <c r="A139" s="6" t="s">
        <v>1743</v>
      </c>
      <c r="B139">
        <v>18679</v>
      </c>
      <c r="C139">
        <v>3561</v>
      </c>
      <c r="D139">
        <v>497314</v>
      </c>
      <c r="E139">
        <v>349833</v>
      </c>
      <c r="F139">
        <v>13.4</v>
      </c>
      <c r="G139">
        <v>6.9</v>
      </c>
      <c r="H139">
        <v>16.3</v>
      </c>
      <c r="I139">
        <v>11.9</v>
      </c>
    </row>
    <row r="140" spans="1:9" ht="24" customHeight="1">
      <c r="A140" s="6" t="s">
        <v>1744</v>
      </c>
      <c r="B140">
        <v>21929</v>
      </c>
      <c r="C140">
        <v>5195</v>
      </c>
      <c r="D140">
        <v>497867</v>
      </c>
      <c r="E140">
        <v>313428</v>
      </c>
      <c r="F140">
        <v>16.399999999999999</v>
      </c>
      <c r="G140">
        <v>8.9</v>
      </c>
      <c r="H140">
        <v>16.8</v>
      </c>
      <c r="I140">
        <v>13.5</v>
      </c>
    </row>
    <row r="141" spans="1:9" ht="24" customHeight="1">
      <c r="A141" s="6" t="s">
        <v>1745</v>
      </c>
      <c r="B141">
        <v>19591</v>
      </c>
      <c r="C141">
        <v>3109</v>
      </c>
      <c r="D141">
        <v>520771</v>
      </c>
      <c r="E141">
        <v>379548</v>
      </c>
      <c r="F141">
        <v>17.100000000000001</v>
      </c>
      <c r="G141">
        <v>9.1999999999999993</v>
      </c>
      <c r="H141">
        <v>16.600000000000001</v>
      </c>
      <c r="I141">
        <v>15.3</v>
      </c>
    </row>
    <row r="142" spans="1:9" ht="24" customHeight="1">
      <c r="A142" s="6" t="s">
        <v>223</v>
      </c>
      <c r="B142">
        <v>355911</v>
      </c>
      <c r="C142">
        <v>111305</v>
      </c>
      <c r="D142">
        <v>417877</v>
      </c>
      <c r="E142">
        <v>270179</v>
      </c>
      <c r="F142">
        <v>13.3</v>
      </c>
      <c r="G142">
        <v>5.6</v>
      </c>
      <c r="H142">
        <v>14</v>
      </c>
      <c r="I142">
        <v>10.3</v>
      </c>
    </row>
    <row r="143" spans="1:9" ht="24" customHeight="1">
      <c r="A143" s="6" t="s">
        <v>224</v>
      </c>
      <c r="B143">
        <v>39579</v>
      </c>
      <c r="C143">
        <v>9171</v>
      </c>
      <c r="D143">
        <v>538632</v>
      </c>
      <c r="E143">
        <v>387818</v>
      </c>
      <c r="F143">
        <v>22.4</v>
      </c>
      <c r="G143">
        <v>12.1</v>
      </c>
      <c r="H143">
        <v>16</v>
      </c>
      <c r="I143">
        <v>14.3</v>
      </c>
    </row>
    <row r="144" spans="1:9" ht="24" customHeight="1">
      <c r="A144" s="6" t="s">
        <v>225</v>
      </c>
      <c r="B144">
        <v>35701</v>
      </c>
      <c r="C144">
        <v>7278</v>
      </c>
      <c r="D144">
        <v>561015</v>
      </c>
      <c r="E144">
        <v>422304</v>
      </c>
      <c r="F144">
        <v>22.8</v>
      </c>
      <c r="G144">
        <v>12.3</v>
      </c>
      <c r="H144">
        <v>16.5</v>
      </c>
      <c r="I144">
        <v>15.4</v>
      </c>
    </row>
    <row r="145" spans="1:9" ht="24" customHeight="1">
      <c r="A145" s="6" t="s">
        <v>1746</v>
      </c>
      <c r="B145">
        <v>189131</v>
      </c>
      <c r="C145">
        <v>62805</v>
      </c>
      <c r="D145">
        <v>371015</v>
      </c>
      <c r="E145">
        <v>236195</v>
      </c>
      <c r="F145">
        <v>10.6</v>
      </c>
      <c r="G145">
        <v>3.3</v>
      </c>
      <c r="H145">
        <v>12.8</v>
      </c>
      <c r="I145">
        <v>9.6</v>
      </c>
    </row>
    <row r="146" spans="1:9" ht="24" customHeight="1">
      <c r="A146" s="6" t="s">
        <v>1747</v>
      </c>
      <c r="B146">
        <v>165870</v>
      </c>
      <c r="C146">
        <v>40917</v>
      </c>
      <c r="D146">
        <v>388649</v>
      </c>
      <c r="E146">
        <v>287808</v>
      </c>
      <c r="F146">
        <v>10.8</v>
      </c>
      <c r="G146">
        <v>4.3</v>
      </c>
      <c r="H146">
        <v>12.9</v>
      </c>
      <c r="I146">
        <v>10.5</v>
      </c>
    </row>
    <row r="147" spans="1:9" ht="24" customHeight="1">
      <c r="A147" s="6" t="s">
        <v>1748</v>
      </c>
      <c r="B147">
        <v>77588</v>
      </c>
      <c r="C147">
        <v>24140</v>
      </c>
      <c r="D147">
        <v>428990</v>
      </c>
      <c r="E147">
        <v>285462</v>
      </c>
      <c r="F147">
        <v>12.8</v>
      </c>
      <c r="G147">
        <v>6.9</v>
      </c>
      <c r="H147">
        <v>15.1</v>
      </c>
      <c r="I147">
        <v>11</v>
      </c>
    </row>
    <row r="148" spans="1:9" ht="24" customHeight="1">
      <c r="A148" s="6" t="s">
        <v>1749</v>
      </c>
      <c r="B148">
        <v>70268</v>
      </c>
      <c r="C148">
        <v>17148</v>
      </c>
      <c r="D148">
        <v>445726</v>
      </c>
      <c r="E148">
        <v>320983</v>
      </c>
      <c r="F148">
        <v>12.6</v>
      </c>
      <c r="G148">
        <v>7.6</v>
      </c>
      <c r="H148">
        <v>15.1</v>
      </c>
      <c r="I148">
        <v>10.3</v>
      </c>
    </row>
    <row r="149" spans="1:9" ht="24" customHeight="1">
      <c r="A149" s="6" t="s">
        <v>1750</v>
      </c>
      <c r="B149">
        <v>49612</v>
      </c>
      <c r="C149">
        <v>15189</v>
      </c>
      <c r="D149">
        <v>482815</v>
      </c>
      <c r="E149">
        <v>315382</v>
      </c>
      <c r="F149">
        <v>17.100000000000001</v>
      </c>
      <c r="G149">
        <v>9.1999999999999993</v>
      </c>
      <c r="H149">
        <v>15.1</v>
      </c>
      <c r="I149">
        <v>9.8000000000000007</v>
      </c>
    </row>
    <row r="150" spans="1:9" ht="24" customHeight="1">
      <c r="A150" s="6" t="s">
        <v>1751</v>
      </c>
      <c r="B150">
        <v>42853</v>
      </c>
      <c r="C150">
        <v>10686</v>
      </c>
      <c r="D150">
        <v>512866</v>
      </c>
      <c r="E150">
        <v>344845</v>
      </c>
      <c r="F150">
        <v>18</v>
      </c>
      <c r="G150">
        <v>10.5</v>
      </c>
      <c r="H150">
        <v>15.2</v>
      </c>
      <c r="I150">
        <v>10.5</v>
      </c>
    </row>
    <row r="151" spans="1:9" ht="24" customHeight="1">
      <c r="A151" s="6" t="s">
        <v>227</v>
      </c>
      <c r="B151">
        <v>240097</v>
      </c>
      <c r="C151">
        <v>63335</v>
      </c>
      <c r="D151">
        <v>504115</v>
      </c>
      <c r="E151">
        <v>320581</v>
      </c>
      <c r="F151">
        <v>14.4</v>
      </c>
      <c r="G151">
        <v>8.1</v>
      </c>
      <c r="H151">
        <v>15.5</v>
      </c>
      <c r="I151">
        <v>11.7</v>
      </c>
    </row>
    <row r="152" spans="1:9" ht="24" customHeight="1">
      <c r="A152" s="6" t="s">
        <v>228</v>
      </c>
      <c r="B152">
        <v>83634</v>
      </c>
      <c r="C152">
        <v>19716</v>
      </c>
      <c r="D152">
        <v>629703</v>
      </c>
      <c r="E152">
        <v>418196</v>
      </c>
      <c r="F152">
        <v>14.4</v>
      </c>
      <c r="G152">
        <v>9</v>
      </c>
      <c r="H152">
        <v>17.3</v>
      </c>
      <c r="I152">
        <v>13.5</v>
      </c>
    </row>
    <row r="153" spans="1:9" ht="24" customHeight="1">
      <c r="A153" s="6" t="s">
        <v>229</v>
      </c>
      <c r="B153">
        <v>73519</v>
      </c>
      <c r="C153">
        <v>13776</v>
      </c>
      <c r="D153">
        <v>662939</v>
      </c>
      <c r="E153">
        <v>490440</v>
      </c>
      <c r="F153">
        <v>15.1</v>
      </c>
      <c r="G153">
        <v>9</v>
      </c>
      <c r="H153">
        <v>17.2</v>
      </c>
      <c r="I153">
        <v>15.8</v>
      </c>
    </row>
    <row r="154" spans="1:9" ht="24" customHeight="1">
      <c r="A154" s="6" t="s">
        <v>1752</v>
      </c>
      <c r="B154">
        <v>59603</v>
      </c>
      <c r="C154">
        <v>17054</v>
      </c>
      <c r="D154">
        <v>384732</v>
      </c>
      <c r="E154">
        <v>235535</v>
      </c>
      <c r="F154">
        <v>13.4</v>
      </c>
      <c r="G154">
        <v>5.2</v>
      </c>
      <c r="H154">
        <v>12.6</v>
      </c>
      <c r="I154">
        <v>9.6</v>
      </c>
    </row>
    <row r="155" spans="1:9" ht="24" customHeight="1">
      <c r="A155" s="6" t="s">
        <v>1753</v>
      </c>
      <c r="B155">
        <v>51883</v>
      </c>
      <c r="C155">
        <v>11594</v>
      </c>
      <c r="D155">
        <v>408786</v>
      </c>
      <c r="E155">
        <v>274093</v>
      </c>
      <c r="F155">
        <v>14.2</v>
      </c>
      <c r="G155">
        <v>6.3</v>
      </c>
      <c r="H155">
        <v>12.9</v>
      </c>
      <c r="I155">
        <v>10.3</v>
      </c>
    </row>
    <row r="156" spans="1:9" ht="24" customHeight="1">
      <c r="A156" s="6" t="s">
        <v>1754</v>
      </c>
      <c r="B156">
        <v>52140</v>
      </c>
      <c r="C156">
        <v>17332</v>
      </c>
      <c r="D156">
        <v>421635</v>
      </c>
      <c r="E156">
        <v>287086</v>
      </c>
      <c r="F156">
        <v>14.8</v>
      </c>
      <c r="G156">
        <v>10.3</v>
      </c>
      <c r="H156">
        <v>16</v>
      </c>
      <c r="I156">
        <v>11.5</v>
      </c>
    </row>
    <row r="157" spans="1:9" ht="24" customHeight="1">
      <c r="A157" s="6" t="s">
        <v>1755</v>
      </c>
      <c r="B157">
        <v>46485</v>
      </c>
      <c r="C157">
        <v>11937</v>
      </c>
      <c r="D157">
        <v>439001</v>
      </c>
      <c r="E157">
        <v>324700</v>
      </c>
      <c r="F157">
        <v>15.6</v>
      </c>
      <c r="G157">
        <v>13.5</v>
      </c>
      <c r="H157">
        <v>15.5</v>
      </c>
      <c r="I157">
        <v>11.8</v>
      </c>
    </row>
    <row r="158" spans="1:9" ht="24" customHeight="1">
      <c r="A158" s="6" t="s">
        <v>1756</v>
      </c>
      <c r="B158">
        <v>44720</v>
      </c>
      <c r="C158">
        <v>9234</v>
      </c>
      <c r="D158">
        <v>524526</v>
      </c>
      <c r="E158">
        <v>332100</v>
      </c>
      <c r="F158">
        <v>15.3</v>
      </c>
      <c r="G158">
        <v>7</v>
      </c>
      <c r="H158">
        <v>15.6</v>
      </c>
      <c r="I158">
        <v>12.2</v>
      </c>
    </row>
    <row r="159" spans="1:9" ht="24" customHeight="1">
      <c r="A159" s="6" t="s">
        <v>1757</v>
      </c>
      <c r="B159">
        <v>39675</v>
      </c>
      <c r="C159">
        <v>6113</v>
      </c>
      <c r="D159">
        <v>548475</v>
      </c>
      <c r="E159">
        <v>395821</v>
      </c>
      <c r="F159">
        <v>16.2</v>
      </c>
      <c r="G159">
        <v>8.4</v>
      </c>
      <c r="H159">
        <v>15.7</v>
      </c>
      <c r="I159">
        <v>13.4</v>
      </c>
    </row>
    <row r="160" spans="1:9" ht="24" customHeight="1">
      <c r="A160" s="6" t="s">
        <v>231</v>
      </c>
      <c r="B160">
        <v>418109</v>
      </c>
      <c r="C160">
        <v>99034</v>
      </c>
      <c r="D160">
        <v>488550</v>
      </c>
      <c r="E160">
        <v>317912</v>
      </c>
      <c r="F160">
        <v>15</v>
      </c>
      <c r="G160">
        <v>7.6</v>
      </c>
      <c r="H160">
        <v>15.4</v>
      </c>
      <c r="I160">
        <v>10.5</v>
      </c>
    </row>
    <row r="161" spans="1:9" ht="24" customHeight="1">
      <c r="A161" s="6" t="s">
        <v>232</v>
      </c>
      <c r="B161">
        <v>88846</v>
      </c>
      <c r="C161">
        <v>16532</v>
      </c>
      <c r="D161">
        <v>661697</v>
      </c>
      <c r="E161">
        <v>430754</v>
      </c>
      <c r="F161">
        <v>16</v>
      </c>
      <c r="G161">
        <v>11.5</v>
      </c>
      <c r="H161">
        <v>17.3</v>
      </c>
      <c r="I161">
        <v>12</v>
      </c>
    </row>
    <row r="162" spans="1:9" ht="24" customHeight="1">
      <c r="A162" s="6" t="s">
        <v>233</v>
      </c>
      <c r="B162">
        <v>82119</v>
      </c>
      <c r="C162">
        <v>12017</v>
      </c>
      <c r="D162">
        <v>686239</v>
      </c>
      <c r="E162">
        <v>489265</v>
      </c>
      <c r="F162">
        <v>16.600000000000001</v>
      </c>
      <c r="G162">
        <v>12.2</v>
      </c>
      <c r="H162">
        <v>17</v>
      </c>
      <c r="I162">
        <v>13.8</v>
      </c>
    </row>
    <row r="163" spans="1:9" ht="24" customHeight="1">
      <c r="A163" s="6" t="s">
        <v>1758</v>
      </c>
      <c r="B163">
        <v>172662</v>
      </c>
      <c r="C163">
        <v>40309</v>
      </c>
      <c r="D163">
        <v>407067</v>
      </c>
      <c r="E163">
        <v>256128</v>
      </c>
      <c r="F163">
        <v>13.5</v>
      </c>
      <c r="G163">
        <v>6.3</v>
      </c>
      <c r="H163">
        <v>13.9</v>
      </c>
      <c r="I163">
        <v>9.3000000000000007</v>
      </c>
    </row>
    <row r="164" spans="1:9" ht="24" customHeight="1">
      <c r="A164" s="6" t="s">
        <v>1759</v>
      </c>
      <c r="B164">
        <v>154451</v>
      </c>
      <c r="C164">
        <v>28670</v>
      </c>
      <c r="D164">
        <v>421335</v>
      </c>
      <c r="E164">
        <v>298030</v>
      </c>
      <c r="F164">
        <v>14</v>
      </c>
      <c r="G164">
        <v>7.3</v>
      </c>
      <c r="H164">
        <v>14</v>
      </c>
      <c r="I164">
        <v>9.8000000000000007</v>
      </c>
    </row>
    <row r="165" spans="1:9" ht="24" customHeight="1">
      <c r="A165" s="6" t="s">
        <v>1760</v>
      </c>
      <c r="B165">
        <v>84313</v>
      </c>
      <c r="C165">
        <v>23712</v>
      </c>
      <c r="D165">
        <v>453440</v>
      </c>
      <c r="E165">
        <v>323761</v>
      </c>
      <c r="F165">
        <v>15.5</v>
      </c>
      <c r="G165">
        <v>7.2</v>
      </c>
      <c r="H165">
        <v>15.8</v>
      </c>
      <c r="I165">
        <v>12.4</v>
      </c>
    </row>
    <row r="166" spans="1:9" ht="24" customHeight="1">
      <c r="A166" s="6" t="s">
        <v>1761</v>
      </c>
      <c r="B166">
        <v>72991</v>
      </c>
      <c r="C166">
        <v>16491</v>
      </c>
      <c r="D166">
        <v>479013</v>
      </c>
      <c r="E166">
        <v>381526</v>
      </c>
      <c r="F166">
        <v>16.399999999999999</v>
      </c>
      <c r="G166">
        <v>8</v>
      </c>
      <c r="H166">
        <v>15.6</v>
      </c>
      <c r="I166">
        <v>13.2</v>
      </c>
    </row>
    <row r="167" spans="1:9" ht="24" customHeight="1">
      <c r="A167" s="6" t="s">
        <v>1762</v>
      </c>
      <c r="B167">
        <v>72287</v>
      </c>
      <c r="C167">
        <v>18481</v>
      </c>
      <c r="D167">
        <v>511319</v>
      </c>
      <c r="E167">
        <v>344217</v>
      </c>
      <c r="F167">
        <v>16.8</v>
      </c>
      <c r="G167">
        <v>7.3</v>
      </c>
      <c r="H167">
        <v>16.399999999999999</v>
      </c>
      <c r="I167">
        <v>9.5</v>
      </c>
    </row>
    <row r="168" spans="1:9" ht="24" customHeight="1">
      <c r="A168" s="6" t="s">
        <v>1763</v>
      </c>
      <c r="B168">
        <v>64781</v>
      </c>
      <c r="C168">
        <v>13587</v>
      </c>
      <c r="D168">
        <v>527462</v>
      </c>
      <c r="E168">
        <v>395105</v>
      </c>
      <c r="F168">
        <v>17.600000000000001</v>
      </c>
      <c r="G168">
        <v>9.4</v>
      </c>
      <c r="H168">
        <v>16.399999999999999</v>
      </c>
      <c r="I168">
        <v>11.4</v>
      </c>
    </row>
    <row r="169" spans="1:9" ht="24" customHeight="1">
      <c r="A169" s="6" t="s">
        <v>235</v>
      </c>
      <c r="B169">
        <v>143262</v>
      </c>
      <c r="C169">
        <v>64380</v>
      </c>
      <c r="D169">
        <v>510790</v>
      </c>
      <c r="E169">
        <v>306677</v>
      </c>
      <c r="F169">
        <v>12.3</v>
      </c>
      <c r="G169">
        <v>6.9</v>
      </c>
      <c r="H169">
        <v>16.2</v>
      </c>
      <c r="I169">
        <v>12</v>
      </c>
    </row>
    <row r="170" spans="1:9" ht="24" customHeight="1">
      <c r="A170" s="6" t="s">
        <v>236</v>
      </c>
      <c r="B170">
        <v>54173</v>
      </c>
      <c r="C170">
        <v>17642</v>
      </c>
      <c r="D170">
        <v>607346</v>
      </c>
      <c r="E170">
        <v>407294</v>
      </c>
      <c r="F170">
        <v>12.7</v>
      </c>
      <c r="G170">
        <v>9</v>
      </c>
      <c r="H170">
        <v>19.100000000000001</v>
      </c>
      <c r="I170">
        <v>15.5</v>
      </c>
    </row>
    <row r="171" spans="1:9" ht="24" customHeight="1">
      <c r="A171" s="6" t="s">
        <v>237</v>
      </c>
      <c r="B171">
        <v>47517</v>
      </c>
      <c r="C171">
        <v>13368</v>
      </c>
      <c r="D171">
        <v>639600</v>
      </c>
      <c r="E171">
        <v>458651</v>
      </c>
      <c r="F171">
        <v>13.4</v>
      </c>
      <c r="G171">
        <v>9.8000000000000007</v>
      </c>
      <c r="H171">
        <v>18.600000000000001</v>
      </c>
      <c r="I171">
        <v>16.100000000000001</v>
      </c>
    </row>
    <row r="172" spans="1:9" ht="24" customHeight="1">
      <c r="A172" s="6" t="s">
        <v>1764</v>
      </c>
      <c r="B172">
        <v>30521</v>
      </c>
      <c r="C172">
        <v>15291</v>
      </c>
      <c r="D172">
        <v>362954</v>
      </c>
      <c r="E172">
        <v>223587</v>
      </c>
      <c r="F172">
        <v>10.6</v>
      </c>
      <c r="G172">
        <v>3.8</v>
      </c>
      <c r="H172">
        <v>12</v>
      </c>
      <c r="I172">
        <v>9.8000000000000007</v>
      </c>
    </row>
    <row r="173" spans="1:9" ht="24" customHeight="1">
      <c r="A173" s="6" t="s">
        <v>1765</v>
      </c>
      <c r="B173">
        <v>26457</v>
      </c>
      <c r="C173">
        <v>9311</v>
      </c>
      <c r="D173">
        <v>384871</v>
      </c>
      <c r="E173">
        <v>270998</v>
      </c>
      <c r="F173">
        <v>11.7</v>
      </c>
      <c r="G173">
        <v>4.9000000000000004</v>
      </c>
      <c r="H173">
        <v>11.9</v>
      </c>
      <c r="I173">
        <v>10.8</v>
      </c>
    </row>
    <row r="174" spans="1:9" ht="24" customHeight="1">
      <c r="A174" s="6" t="s">
        <v>1766</v>
      </c>
      <c r="B174">
        <v>29693</v>
      </c>
      <c r="C174">
        <v>17842</v>
      </c>
      <c r="D174">
        <v>479416</v>
      </c>
      <c r="E174">
        <v>256999</v>
      </c>
      <c r="F174">
        <v>12.5</v>
      </c>
      <c r="G174">
        <v>5.8</v>
      </c>
      <c r="H174">
        <v>14.7</v>
      </c>
      <c r="I174">
        <v>10.6</v>
      </c>
    </row>
    <row r="175" spans="1:9" ht="24" customHeight="1">
      <c r="A175" s="6" t="s">
        <v>1767</v>
      </c>
      <c r="B175">
        <v>26563</v>
      </c>
      <c r="C175">
        <v>8784</v>
      </c>
      <c r="D175">
        <v>498797</v>
      </c>
      <c r="E175">
        <v>341761</v>
      </c>
      <c r="F175">
        <v>13.5</v>
      </c>
      <c r="G175">
        <v>8.9</v>
      </c>
      <c r="H175">
        <v>14.5</v>
      </c>
      <c r="I175">
        <v>12.4</v>
      </c>
    </row>
    <row r="176" spans="1:9" ht="24" customHeight="1">
      <c r="A176" s="6" t="s">
        <v>1768</v>
      </c>
      <c r="B176">
        <v>28875</v>
      </c>
      <c r="C176">
        <v>13605</v>
      </c>
      <c r="D176">
        <v>518167</v>
      </c>
      <c r="E176">
        <v>334746</v>
      </c>
      <c r="F176">
        <v>13.3</v>
      </c>
      <c r="G176">
        <v>9</v>
      </c>
      <c r="H176">
        <v>16.8</v>
      </c>
      <c r="I176">
        <v>12.1</v>
      </c>
    </row>
    <row r="177" spans="1:9" ht="24" customHeight="1">
      <c r="A177" s="6" t="s">
        <v>1769</v>
      </c>
      <c r="B177">
        <v>25607</v>
      </c>
      <c r="C177">
        <v>8449</v>
      </c>
      <c r="D177">
        <v>545641</v>
      </c>
      <c r="E177">
        <v>407257</v>
      </c>
      <c r="F177">
        <v>14.1</v>
      </c>
      <c r="G177">
        <v>11.2</v>
      </c>
      <c r="H177">
        <v>16.3</v>
      </c>
      <c r="I177">
        <v>13.3</v>
      </c>
    </row>
    <row r="178" spans="1:9" ht="24" customHeight="1">
      <c r="A178" s="6" t="s">
        <v>239</v>
      </c>
      <c r="B178">
        <v>255472</v>
      </c>
      <c r="C178">
        <v>110223</v>
      </c>
      <c r="D178">
        <v>511412</v>
      </c>
      <c r="E178">
        <v>287501</v>
      </c>
      <c r="F178">
        <v>12.9</v>
      </c>
      <c r="G178">
        <v>6.9</v>
      </c>
      <c r="H178">
        <v>17.3</v>
      </c>
      <c r="I178">
        <v>13.3</v>
      </c>
    </row>
    <row r="179" spans="1:9" ht="24" customHeight="1">
      <c r="A179" s="6" t="s">
        <v>240</v>
      </c>
      <c r="B179">
        <v>127963</v>
      </c>
      <c r="C179">
        <v>31273</v>
      </c>
      <c r="D179">
        <v>614784</v>
      </c>
      <c r="E179">
        <v>390894</v>
      </c>
      <c r="F179">
        <v>14.1</v>
      </c>
      <c r="G179">
        <v>8</v>
      </c>
      <c r="H179">
        <v>18.399999999999999</v>
      </c>
      <c r="I179">
        <v>16.3</v>
      </c>
    </row>
    <row r="180" spans="1:9" ht="24" customHeight="1">
      <c r="A180" s="6" t="s">
        <v>241</v>
      </c>
      <c r="B180">
        <v>115044</v>
      </c>
      <c r="C180">
        <v>24277</v>
      </c>
      <c r="D180">
        <v>635654</v>
      </c>
      <c r="E180">
        <v>438135</v>
      </c>
      <c r="F180">
        <v>14.8</v>
      </c>
      <c r="G180">
        <v>9</v>
      </c>
      <c r="H180">
        <v>17.899999999999999</v>
      </c>
      <c r="I180">
        <v>17.7</v>
      </c>
    </row>
    <row r="181" spans="1:9" ht="24" customHeight="1">
      <c r="A181" s="6" t="s">
        <v>1770</v>
      </c>
      <c r="B181">
        <v>30214</v>
      </c>
      <c r="C181">
        <v>30497</v>
      </c>
      <c r="D181">
        <v>346482</v>
      </c>
      <c r="E181">
        <v>187470</v>
      </c>
      <c r="F181">
        <v>11</v>
      </c>
      <c r="G181">
        <v>3.3</v>
      </c>
      <c r="H181">
        <v>15.4</v>
      </c>
      <c r="I181">
        <v>10.9</v>
      </c>
    </row>
    <row r="182" spans="1:9" ht="24" customHeight="1">
      <c r="A182" s="6" t="s">
        <v>1771</v>
      </c>
      <c r="B182">
        <v>26073</v>
      </c>
      <c r="C182">
        <v>14322</v>
      </c>
      <c r="D182">
        <v>362986</v>
      </c>
      <c r="E182">
        <v>246074</v>
      </c>
      <c r="F182">
        <v>11.6</v>
      </c>
      <c r="G182">
        <v>4.8</v>
      </c>
      <c r="H182">
        <v>16.100000000000001</v>
      </c>
      <c r="I182">
        <v>13</v>
      </c>
    </row>
    <row r="183" spans="1:9" ht="24" customHeight="1">
      <c r="A183" s="6" t="s">
        <v>1772</v>
      </c>
      <c r="B183">
        <v>51185</v>
      </c>
      <c r="C183">
        <v>29009</v>
      </c>
      <c r="D183">
        <v>411368</v>
      </c>
      <c r="E183">
        <v>263868</v>
      </c>
      <c r="F183">
        <v>10.9</v>
      </c>
      <c r="G183">
        <v>7.9</v>
      </c>
      <c r="H183">
        <v>15.1</v>
      </c>
      <c r="I183">
        <v>11.4</v>
      </c>
    </row>
    <row r="184" spans="1:9" ht="24" customHeight="1">
      <c r="A184" s="6" t="s">
        <v>1773</v>
      </c>
      <c r="B184">
        <v>44475</v>
      </c>
      <c r="C184">
        <v>17421</v>
      </c>
      <c r="D184">
        <v>430241</v>
      </c>
      <c r="E184">
        <v>325384</v>
      </c>
      <c r="F184">
        <v>11.8</v>
      </c>
      <c r="G184">
        <v>9.8000000000000007</v>
      </c>
      <c r="H184">
        <v>14.5</v>
      </c>
      <c r="I184">
        <v>12.7</v>
      </c>
    </row>
    <row r="185" spans="1:9" ht="24" customHeight="1">
      <c r="A185" s="6" t="s">
        <v>1774</v>
      </c>
      <c r="B185">
        <v>46110</v>
      </c>
      <c r="C185">
        <v>19443</v>
      </c>
      <c r="D185">
        <v>443664</v>
      </c>
      <c r="E185">
        <v>313362</v>
      </c>
      <c r="F185">
        <v>13</v>
      </c>
      <c r="G185">
        <v>9.5</v>
      </c>
      <c r="H185">
        <v>18</v>
      </c>
      <c r="I185">
        <v>15</v>
      </c>
    </row>
    <row r="186" spans="1:9" ht="24" customHeight="1">
      <c r="A186" s="6" t="s">
        <v>1775</v>
      </c>
      <c r="B186">
        <v>41212</v>
      </c>
      <c r="C186">
        <v>12929</v>
      </c>
      <c r="D186">
        <v>459517</v>
      </c>
      <c r="E186">
        <v>367598</v>
      </c>
      <c r="F186">
        <v>13.5</v>
      </c>
      <c r="G186">
        <v>10.3</v>
      </c>
      <c r="H186">
        <v>17.7</v>
      </c>
      <c r="I186">
        <v>16.3</v>
      </c>
    </row>
    <row r="187" spans="1:9" ht="24" customHeight="1">
      <c r="A187" s="6" t="s">
        <v>243</v>
      </c>
      <c r="B187">
        <v>318461</v>
      </c>
      <c r="C187">
        <v>154836</v>
      </c>
      <c r="D187">
        <v>524414</v>
      </c>
      <c r="E187">
        <v>283803</v>
      </c>
      <c r="F187">
        <v>13.3</v>
      </c>
      <c r="G187">
        <v>7.7</v>
      </c>
      <c r="H187">
        <v>16.5</v>
      </c>
      <c r="I187">
        <v>12.5</v>
      </c>
    </row>
    <row r="188" spans="1:9" ht="24" customHeight="1">
      <c r="A188" s="6" t="s">
        <v>244</v>
      </c>
      <c r="B188">
        <v>143893</v>
      </c>
      <c r="C188">
        <v>39672</v>
      </c>
      <c r="D188">
        <v>634957</v>
      </c>
      <c r="E188">
        <v>418526</v>
      </c>
      <c r="F188">
        <v>15.3</v>
      </c>
      <c r="G188">
        <v>10.9</v>
      </c>
      <c r="H188">
        <v>18.2</v>
      </c>
      <c r="I188">
        <v>16</v>
      </c>
    </row>
    <row r="189" spans="1:9" ht="24" customHeight="1">
      <c r="A189" s="6" t="s">
        <v>245</v>
      </c>
      <c r="B189">
        <v>127574</v>
      </c>
      <c r="C189">
        <v>31457</v>
      </c>
      <c r="D189">
        <v>662644</v>
      </c>
      <c r="E189">
        <v>454613</v>
      </c>
      <c r="F189">
        <v>15.4</v>
      </c>
      <c r="G189">
        <v>10.6</v>
      </c>
      <c r="H189">
        <v>17.899999999999999</v>
      </c>
      <c r="I189">
        <v>17</v>
      </c>
    </row>
    <row r="190" spans="1:9" ht="24" customHeight="1">
      <c r="A190" s="6" t="s">
        <v>1776</v>
      </c>
      <c r="B190">
        <v>84996</v>
      </c>
      <c r="C190">
        <v>58276</v>
      </c>
      <c r="D190">
        <v>392237</v>
      </c>
      <c r="E190">
        <v>212826</v>
      </c>
      <c r="F190">
        <v>10.9</v>
      </c>
      <c r="G190">
        <v>4.8</v>
      </c>
      <c r="H190">
        <v>14.2</v>
      </c>
      <c r="I190">
        <v>10.7</v>
      </c>
    </row>
    <row r="191" spans="1:9" ht="24" customHeight="1">
      <c r="A191" s="6" t="s">
        <v>1777</v>
      </c>
      <c r="B191">
        <v>72298</v>
      </c>
      <c r="C191">
        <v>26587</v>
      </c>
      <c r="D191">
        <v>419765</v>
      </c>
      <c r="E191">
        <v>262199</v>
      </c>
      <c r="F191">
        <v>11.8</v>
      </c>
      <c r="G191">
        <v>5.5</v>
      </c>
      <c r="H191">
        <v>14.2</v>
      </c>
      <c r="I191">
        <v>11.8</v>
      </c>
    </row>
    <row r="192" spans="1:9" ht="24" customHeight="1">
      <c r="A192" s="6" t="s">
        <v>1778</v>
      </c>
      <c r="B192">
        <v>44728</v>
      </c>
      <c r="C192">
        <v>27937</v>
      </c>
      <c r="D192">
        <v>445373</v>
      </c>
      <c r="E192">
        <v>252162</v>
      </c>
      <c r="F192">
        <v>10.8</v>
      </c>
      <c r="G192">
        <v>6.3</v>
      </c>
      <c r="H192">
        <v>14.6</v>
      </c>
      <c r="I192">
        <v>11.7</v>
      </c>
    </row>
    <row r="193" spans="1:9" ht="24" customHeight="1">
      <c r="A193" s="6" t="s">
        <v>1779</v>
      </c>
      <c r="B193">
        <v>38955</v>
      </c>
      <c r="C193">
        <v>14565</v>
      </c>
      <c r="D193">
        <v>465420</v>
      </c>
      <c r="E193">
        <v>317778</v>
      </c>
      <c r="F193">
        <v>11.4</v>
      </c>
      <c r="G193">
        <v>8.5</v>
      </c>
      <c r="H193">
        <v>14.2</v>
      </c>
      <c r="I193">
        <v>12.8</v>
      </c>
    </row>
    <row r="194" spans="1:9" ht="24" customHeight="1">
      <c r="A194" s="6" t="s">
        <v>1780</v>
      </c>
      <c r="B194">
        <v>44845</v>
      </c>
      <c r="C194">
        <v>28951</v>
      </c>
      <c r="D194">
        <v>499074</v>
      </c>
      <c r="E194">
        <v>272594</v>
      </c>
      <c r="F194">
        <v>13.5</v>
      </c>
      <c r="G194">
        <v>10.3</v>
      </c>
      <c r="H194">
        <v>17.600000000000001</v>
      </c>
      <c r="I194">
        <v>12.2</v>
      </c>
    </row>
    <row r="195" spans="1:9" ht="24" customHeight="1">
      <c r="A195" s="6" t="s">
        <v>1781</v>
      </c>
      <c r="B195">
        <v>39060</v>
      </c>
      <c r="C195">
        <v>15216</v>
      </c>
      <c r="D195">
        <v>517280</v>
      </c>
      <c r="E195">
        <v>328644</v>
      </c>
      <c r="F195">
        <v>14.6</v>
      </c>
      <c r="G195">
        <v>8.8000000000000007</v>
      </c>
      <c r="H195">
        <v>17.8</v>
      </c>
      <c r="I195">
        <v>15</v>
      </c>
    </row>
    <row r="196" spans="1:9" ht="24" customHeight="1">
      <c r="A196" s="6" t="s">
        <v>247</v>
      </c>
      <c r="B196">
        <v>98351</v>
      </c>
      <c r="C196">
        <v>37619</v>
      </c>
      <c r="D196">
        <v>554141</v>
      </c>
      <c r="E196">
        <v>316650</v>
      </c>
      <c r="F196">
        <v>13.4</v>
      </c>
      <c r="G196">
        <v>6.9</v>
      </c>
      <c r="H196">
        <v>18.5</v>
      </c>
      <c r="I196">
        <v>14.3</v>
      </c>
    </row>
    <row r="197" spans="1:9" ht="24" customHeight="1">
      <c r="A197" s="6" t="s">
        <v>248</v>
      </c>
      <c r="B197">
        <v>46909</v>
      </c>
      <c r="C197">
        <v>12124</v>
      </c>
      <c r="D197">
        <v>659990</v>
      </c>
      <c r="E197">
        <v>470437</v>
      </c>
      <c r="F197">
        <v>15.4</v>
      </c>
      <c r="G197">
        <v>9.9</v>
      </c>
      <c r="H197">
        <v>20.100000000000001</v>
      </c>
      <c r="I197">
        <v>17.600000000000001</v>
      </c>
    </row>
    <row r="198" spans="1:9" ht="24" customHeight="1">
      <c r="A198" s="6" t="s">
        <v>249</v>
      </c>
      <c r="B198">
        <v>43098</v>
      </c>
      <c r="C198">
        <v>10666</v>
      </c>
      <c r="D198">
        <v>680144</v>
      </c>
      <c r="E198">
        <v>500584</v>
      </c>
      <c r="F198">
        <v>15.9</v>
      </c>
      <c r="G198">
        <v>10.199999999999999</v>
      </c>
      <c r="H198">
        <v>19.2</v>
      </c>
      <c r="I198">
        <v>17.8</v>
      </c>
    </row>
    <row r="199" spans="1:9" ht="24" customHeight="1">
      <c r="A199" s="6" t="s">
        <v>1782</v>
      </c>
      <c r="B199">
        <v>10141</v>
      </c>
      <c r="C199">
        <v>9347</v>
      </c>
      <c r="D199">
        <v>378297</v>
      </c>
      <c r="E199">
        <v>182702</v>
      </c>
      <c r="F199">
        <v>8.8000000000000007</v>
      </c>
      <c r="G199">
        <v>3.6</v>
      </c>
      <c r="H199">
        <v>15.1</v>
      </c>
      <c r="I199">
        <v>10.3</v>
      </c>
    </row>
    <row r="200" spans="1:9" ht="24" customHeight="1">
      <c r="A200" s="6" t="s">
        <v>1783</v>
      </c>
      <c r="B200">
        <v>8632</v>
      </c>
      <c r="C200">
        <v>4249</v>
      </c>
      <c r="D200">
        <v>406876</v>
      </c>
      <c r="E200">
        <v>256136</v>
      </c>
      <c r="F200">
        <v>9.8000000000000007</v>
      </c>
      <c r="G200">
        <v>5.9</v>
      </c>
      <c r="H200">
        <v>15.1</v>
      </c>
      <c r="I200">
        <v>12.4</v>
      </c>
    </row>
    <row r="201" spans="1:9" ht="24" customHeight="1">
      <c r="A201" s="6" t="s">
        <v>1784</v>
      </c>
      <c r="B201">
        <v>18715</v>
      </c>
      <c r="C201">
        <v>8727</v>
      </c>
      <c r="D201">
        <v>419092</v>
      </c>
      <c r="E201">
        <v>239894</v>
      </c>
      <c r="F201">
        <v>11.1</v>
      </c>
      <c r="G201">
        <v>4.8</v>
      </c>
      <c r="H201">
        <v>15.6</v>
      </c>
      <c r="I201">
        <v>12.1</v>
      </c>
    </row>
    <row r="202" spans="1:9" ht="24" customHeight="1">
      <c r="A202" s="6" t="s">
        <v>1785</v>
      </c>
      <c r="B202">
        <v>16112</v>
      </c>
      <c r="C202">
        <v>4575</v>
      </c>
      <c r="D202">
        <v>443134</v>
      </c>
      <c r="E202">
        <v>312054</v>
      </c>
      <c r="F202">
        <v>12.1</v>
      </c>
      <c r="G202">
        <v>7.9</v>
      </c>
      <c r="H202">
        <v>16</v>
      </c>
      <c r="I202">
        <v>13.7</v>
      </c>
    </row>
    <row r="203" spans="1:9" ht="24" customHeight="1">
      <c r="A203" s="6" t="s">
        <v>1786</v>
      </c>
      <c r="B203">
        <v>22586</v>
      </c>
      <c r="C203">
        <v>7421</v>
      </c>
      <c r="D203">
        <v>525163</v>
      </c>
      <c r="E203">
        <v>324371</v>
      </c>
      <c r="F203">
        <v>13.3</v>
      </c>
      <c r="G203">
        <v>8.4</v>
      </c>
      <c r="H203">
        <v>19.2</v>
      </c>
      <c r="I203">
        <v>16.600000000000001</v>
      </c>
    </row>
    <row r="204" spans="1:9" ht="24" customHeight="1">
      <c r="A204" s="6" t="s">
        <v>1787</v>
      </c>
      <c r="B204">
        <v>20522</v>
      </c>
      <c r="C204">
        <v>5516</v>
      </c>
      <c r="D204">
        <v>540246</v>
      </c>
      <c r="E204">
        <v>367729</v>
      </c>
      <c r="F204">
        <v>14.1</v>
      </c>
      <c r="G204">
        <v>8.8000000000000007</v>
      </c>
      <c r="H204">
        <v>18.399999999999999</v>
      </c>
      <c r="I204">
        <v>17.2</v>
      </c>
    </row>
    <row r="205" spans="1:9" ht="24" customHeight="1">
      <c r="A205" s="6" t="s">
        <v>251</v>
      </c>
      <c r="B205">
        <v>689104</v>
      </c>
      <c r="C205">
        <v>165643</v>
      </c>
      <c r="D205">
        <v>500633</v>
      </c>
      <c r="E205">
        <v>298996</v>
      </c>
      <c r="F205">
        <v>18.399999999999999</v>
      </c>
      <c r="G205">
        <v>7.8</v>
      </c>
      <c r="H205">
        <v>16.100000000000001</v>
      </c>
      <c r="I205">
        <v>10.9</v>
      </c>
    </row>
    <row r="206" spans="1:9" ht="24" customHeight="1">
      <c r="A206" s="6" t="s">
        <v>252</v>
      </c>
      <c r="B206">
        <v>328524</v>
      </c>
      <c r="C206">
        <v>51319</v>
      </c>
      <c r="D206">
        <v>592955</v>
      </c>
      <c r="E206">
        <v>422197</v>
      </c>
      <c r="F206">
        <v>20.2</v>
      </c>
      <c r="G206">
        <v>13.3</v>
      </c>
      <c r="H206">
        <v>18.399999999999999</v>
      </c>
      <c r="I206">
        <v>12.6</v>
      </c>
    </row>
    <row r="207" spans="1:9" ht="24" customHeight="1">
      <c r="A207" s="6" t="s">
        <v>253</v>
      </c>
      <c r="B207">
        <v>297738</v>
      </c>
      <c r="C207">
        <v>41017</v>
      </c>
      <c r="D207">
        <v>612767</v>
      </c>
      <c r="E207">
        <v>449389</v>
      </c>
      <c r="F207">
        <v>20.8</v>
      </c>
      <c r="G207">
        <v>12.8</v>
      </c>
      <c r="H207">
        <v>18.5</v>
      </c>
      <c r="I207">
        <v>13.8</v>
      </c>
    </row>
    <row r="208" spans="1:9" ht="24" customHeight="1">
      <c r="A208" s="6" t="s">
        <v>1788</v>
      </c>
      <c r="B208">
        <v>106461</v>
      </c>
      <c r="C208">
        <v>37032</v>
      </c>
      <c r="D208">
        <v>368038</v>
      </c>
      <c r="E208">
        <v>178567</v>
      </c>
      <c r="F208">
        <v>14.9</v>
      </c>
      <c r="G208">
        <v>2.9</v>
      </c>
      <c r="H208">
        <v>13.8</v>
      </c>
      <c r="I208">
        <v>10.3</v>
      </c>
    </row>
    <row r="209" spans="1:9" ht="24" customHeight="1">
      <c r="A209" s="6" t="s">
        <v>1789</v>
      </c>
      <c r="B209">
        <v>91019</v>
      </c>
      <c r="C209">
        <v>16911</v>
      </c>
      <c r="D209">
        <v>390629</v>
      </c>
      <c r="E209">
        <v>255052</v>
      </c>
      <c r="F209">
        <v>15</v>
      </c>
      <c r="G209">
        <v>4.4000000000000004</v>
      </c>
      <c r="H209">
        <v>14.5</v>
      </c>
      <c r="I209">
        <v>10.1</v>
      </c>
    </row>
    <row r="210" spans="1:9" ht="24" customHeight="1">
      <c r="A210" s="6" t="s">
        <v>1790</v>
      </c>
      <c r="B210">
        <v>98505</v>
      </c>
      <c r="C210">
        <v>49412</v>
      </c>
      <c r="D210">
        <v>388920</v>
      </c>
      <c r="E210">
        <v>257876</v>
      </c>
      <c r="F210">
        <v>15.4</v>
      </c>
      <c r="G210">
        <v>4.4000000000000004</v>
      </c>
      <c r="H210">
        <v>11.8</v>
      </c>
      <c r="I210">
        <v>8.9</v>
      </c>
    </row>
    <row r="211" spans="1:9" ht="24" customHeight="1">
      <c r="A211" s="6" t="s">
        <v>1791</v>
      </c>
      <c r="B211">
        <v>85219</v>
      </c>
      <c r="C211">
        <v>35616</v>
      </c>
      <c r="D211">
        <v>392188</v>
      </c>
      <c r="E211">
        <v>287544</v>
      </c>
      <c r="F211">
        <v>16</v>
      </c>
      <c r="G211">
        <v>3.6</v>
      </c>
      <c r="H211">
        <v>12.2</v>
      </c>
      <c r="I211">
        <v>8.6999999999999993</v>
      </c>
    </row>
    <row r="212" spans="1:9" ht="24" customHeight="1">
      <c r="A212" s="6" t="s">
        <v>1792</v>
      </c>
      <c r="B212">
        <v>155613</v>
      </c>
      <c r="C212">
        <v>27880</v>
      </c>
      <c r="D212">
        <v>467153</v>
      </c>
      <c r="E212">
        <v>305060</v>
      </c>
      <c r="F212">
        <v>19.100000000000001</v>
      </c>
      <c r="G212">
        <v>10.4</v>
      </c>
      <c r="H212">
        <v>15.6</v>
      </c>
      <c r="I212">
        <v>12</v>
      </c>
    </row>
    <row r="213" spans="1:9" ht="24" customHeight="1">
      <c r="A213" s="6" t="s">
        <v>1793</v>
      </c>
      <c r="B213">
        <v>135695</v>
      </c>
      <c r="C213">
        <v>20097</v>
      </c>
      <c r="D213">
        <v>492987</v>
      </c>
      <c r="E213">
        <v>349038</v>
      </c>
      <c r="F213">
        <v>20.3</v>
      </c>
      <c r="G213">
        <v>10</v>
      </c>
      <c r="H213">
        <v>16.2</v>
      </c>
      <c r="I213">
        <v>13.3</v>
      </c>
    </row>
    <row r="214" spans="1:9" ht="24" customHeight="1">
      <c r="A214" s="6" t="s">
        <v>255</v>
      </c>
      <c r="B214">
        <v>88921</v>
      </c>
      <c r="C214">
        <v>57052</v>
      </c>
      <c r="D214">
        <v>455274</v>
      </c>
      <c r="E214">
        <v>260827</v>
      </c>
      <c r="F214">
        <v>11</v>
      </c>
      <c r="G214">
        <v>5.4</v>
      </c>
      <c r="H214">
        <v>15.4</v>
      </c>
      <c r="I214">
        <v>10.5</v>
      </c>
    </row>
    <row r="215" spans="1:9" ht="24" customHeight="1">
      <c r="A215" s="6" t="s">
        <v>256</v>
      </c>
      <c r="B215">
        <v>17340</v>
      </c>
      <c r="C215">
        <v>6405</v>
      </c>
      <c r="D215">
        <v>617396</v>
      </c>
      <c r="E215">
        <v>412854</v>
      </c>
      <c r="F215">
        <v>17.399999999999999</v>
      </c>
      <c r="G215">
        <v>12.7</v>
      </c>
      <c r="H215">
        <v>17.2</v>
      </c>
      <c r="I215">
        <v>13.2</v>
      </c>
    </row>
    <row r="216" spans="1:9" ht="24" customHeight="1">
      <c r="A216" s="6" t="s">
        <v>257</v>
      </c>
      <c r="B216">
        <v>15712</v>
      </c>
      <c r="C216">
        <v>4373</v>
      </c>
      <c r="D216">
        <v>645956</v>
      </c>
      <c r="E216">
        <v>493527</v>
      </c>
      <c r="F216">
        <v>18</v>
      </c>
      <c r="G216">
        <v>15.1</v>
      </c>
      <c r="H216">
        <v>16.7</v>
      </c>
      <c r="I216">
        <v>13.8</v>
      </c>
    </row>
    <row r="217" spans="1:9" ht="24" customHeight="1">
      <c r="A217" s="6" t="s">
        <v>1794</v>
      </c>
      <c r="B217">
        <v>31767</v>
      </c>
      <c r="C217">
        <v>28787</v>
      </c>
      <c r="D217">
        <v>362795</v>
      </c>
      <c r="E217">
        <v>211552</v>
      </c>
      <c r="F217">
        <v>7.9</v>
      </c>
      <c r="G217">
        <v>3.8</v>
      </c>
      <c r="H217">
        <v>13</v>
      </c>
      <c r="I217">
        <v>9.8000000000000007</v>
      </c>
    </row>
    <row r="218" spans="1:9" ht="24" customHeight="1">
      <c r="A218" s="6" t="s">
        <v>1795</v>
      </c>
      <c r="B218">
        <v>26271</v>
      </c>
      <c r="C218">
        <v>14566</v>
      </c>
      <c r="D218">
        <v>398805</v>
      </c>
      <c r="E218">
        <v>290094</v>
      </c>
      <c r="F218">
        <v>9.1999999999999993</v>
      </c>
      <c r="G218">
        <v>6.9</v>
      </c>
      <c r="H218">
        <v>13.3</v>
      </c>
      <c r="I218">
        <v>10.4</v>
      </c>
    </row>
    <row r="219" spans="1:9" ht="24" customHeight="1">
      <c r="A219" s="6" t="s">
        <v>1796</v>
      </c>
      <c r="B219">
        <v>26706</v>
      </c>
      <c r="C219">
        <v>16249</v>
      </c>
      <c r="D219">
        <v>457395</v>
      </c>
      <c r="E219">
        <v>288091</v>
      </c>
      <c r="F219">
        <v>10.1</v>
      </c>
      <c r="G219">
        <v>4.9000000000000004</v>
      </c>
      <c r="H219">
        <v>15.8</v>
      </c>
      <c r="I219">
        <v>10.3</v>
      </c>
    </row>
    <row r="220" spans="1:9" ht="24" customHeight="1">
      <c r="A220" s="6" t="s">
        <v>1797</v>
      </c>
      <c r="B220">
        <v>23297</v>
      </c>
      <c r="C220">
        <v>9965</v>
      </c>
      <c r="D220">
        <v>472561</v>
      </c>
      <c r="E220">
        <v>347220</v>
      </c>
      <c r="F220">
        <v>10.6</v>
      </c>
      <c r="G220">
        <v>6.9</v>
      </c>
      <c r="H220">
        <v>15.2</v>
      </c>
      <c r="I220">
        <v>11.8</v>
      </c>
    </row>
    <row r="221" spans="1:9" ht="24" customHeight="1">
      <c r="A221" s="6" t="s">
        <v>1798</v>
      </c>
      <c r="B221">
        <v>13109</v>
      </c>
      <c r="C221">
        <v>5611</v>
      </c>
      <c r="D221">
        <v>460604</v>
      </c>
      <c r="E221">
        <v>261128</v>
      </c>
      <c r="F221">
        <v>12</v>
      </c>
      <c r="G221">
        <v>5.9</v>
      </c>
      <c r="H221">
        <v>18</v>
      </c>
      <c r="I221">
        <v>12.1</v>
      </c>
    </row>
    <row r="222" spans="1:9" ht="24" customHeight="1">
      <c r="A222" s="6" t="s">
        <v>1799</v>
      </c>
      <c r="B222">
        <v>11323</v>
      </c>
      <c r="C222">
        <v>2557</v>
      </c>
      <c r="D222">
        <v>492502</v>
      </c>
      <c r="E222">
        <v>361108</v>
      </c>
      <c r="F222">
        <v>12.6</v>
      </c>
      <c r="G222">
        <v>7.6</v>
      </c>
      <c r="H222">
        <v>18.7</v>
      </c>
      <c r="I222">
        <v>16</v>
      </c>
    </row>
    <row r="223" spans="1:9" ht="24" customHeight="1">
      <c r="A223" s="6" t="s">
        <v>259</v>
      </c>
      <c r="B223">
        <v>121827</v>
      </c>
      <c r="C223">
        <v>21295</v>
      </c>
      <c r="D223">
        <v>597021</v>
      </c>
      <c r="E223">
        <v>453104</v>
      </c>
      <c r="F223">
        <v>14.9</v>
      </c>
      <c r="G223">
        <v>10.7</v>
      </c>
      <c r="H223">
        <v>18.899999999999999</v>
      </c>
      <c r="I223">
        <v>15.3</v>
      </c>
    </row>
    <row r="224" spans="1:9" ht="24" customHeight="1">
      <c r="A224" s="6" t="s">
        <v>260</v>
      </c>
      <c r="B224">
        <v>1035365</v>
      </c>
      <c r="C224">
        <v>470676</v>
      </c>
      <c r="D224">
        <v>535744</v>
      </c>
      <c r="E224">
        <v>385319</v>
      </c>
      <c r="F224">
        <v>10.4</v>
      </c>
      <c r="G224">
        <v>8.3000000000000007</v>
      </c>
      <c r="H224">
        <v>12.9</v>
      </c>
      <c r="I224">
        <v>8.4</v>
      </c>
    </row>
    <row r="225" spans="1:9" ht="24" customHeight="1">
      <c r="A225" s="6" t="s">
        <v>261</v>
      </c>
      <c r="B225">
        <v>2079920</v>
      </c>
      <c r="C225">
        <v>564173</v>
      </c>
      <c r="D225">
        <v>393812</v>
      </c>
      <c r="E225">
        <v>234199</v>
      </c>
      <c r="F225">
        <v>24.9</v>
      </c>
      <c r="G225">
        <v>9.1999999999999993</v>
      </c>
      <c r="H225">
        <v>12.8</v>
      </c>
      <c r="I225">
        <v>8.6999999999999993</v>
      </c>
    </row>
    <row r="226" spans="1:9" ht="24" customHeight="1">
      <c r="A226" s="6" t="s">
        <v>262</v>
      </c>
      <c r="B226">
        <v>4547876</v>
      </c>
      <c r="C226">
        <v>4577647</v>
      </c>
      <c r="D226">
        <v>369420</v>
      </c>
      <c r="E226">
        <v>187354</v>
      </c>
      <c r="F226">
        <v>8.1</v>
      </c>
      <c r="G226">
        <v>3.4</v>
      </c>
      <c r="H226">
        <v>11.4</v>
      </c>
      <c r="I226">
        <v>7.9</v>
      </c>
    </row>
    <row r="227" spans="1:9" ht="24" customHeight="1">
      <c r="A227" s="6" t="s">
        <v>263</v>
      </c>
      <c r="B227">
        <v>477556</v>
      </c>
      <c r="C227">
        <v>688794</v>
      </c>
      <c r="D227">
        <v>701789</v>
      </c>
      <c r="E227">
        <v>369995</v>
      </c>
      <c r="F227">
        <v>12.1</v>
      </c>
      <c r="G227">
        <v>7.8</v>
      </c>
      <c r="H227">
        <v>15.7</v>
      </c>
      <c r="I227">
        <v>12.1</v>
      </c>
    </row>
    <row r="228" spans="1:9" ht="24" customHeight="1">
      <c r="A228" s="6" t="s">
        <v>264</v>
      </c>
      <c r="B228">
        <v>390959</v>
      </c>
      <c r="C228">
        <v>289022</v>
      </c>
      <c r="D228">
        <v>467885</v>
      </c>
      <c r="E228">
        <v>279218</v>
      </c>
      <c r="F228">
        <v>9.4</v>
      </c>
      <c r="G228">
        <v>5.4</v>
      </c>
      <c r="H228">
        <v>10</v>
      </c>
      <c r="I228">
        <v>7.4</v>
      </c>
    </row>
    <row r="229" spans="1:9" ht="24" customHeight="1">
      <c r="A229" s="6" t="s">
        <v>265</v>
      </c>
      <c r="B229">
        <v>892135</v>
      </c>
      <c r="C229">
        <v>441698</v>
      </c>
      <c r="D229">
        <v>574581</v>
      </c>
      <c r="E229">
        <v>357075</v>
      </c>
      <c r="F229">
        <v>11.7</v>
      </c>
      <c r="G229">
        <v>7.9</v>
      </c>
      <c r="H229">
        <v>12.5</v>
      </c>
      <c r="I229">
        <v>8</v>
      </c>
    </row>
    <row r="230" spans="1:9" ht="24" customHeight="1">
      <c r="A230" s="6" t="s">
        <v>266</v>
      </c>
      <c r="B230">
        <v>1227036</v>
      </c>
      <c r="C230">
        <v>2005865</v>
      </c>
      <c r="D230">
        <v>169739</v>
      </c>
      <c r="E230">
        <v>105091</v>
      </c>
      <c r="F230">
        <v>5.9</v>
      </c>
      <c r="G230">
        <v>2.6</v>
      </c>
      <c r="H230">
        <v>5.0999999999999996</v>
      </c>
      <c r="I230">
        <v>4.7</v>
      </c>
    </row>
    <row r="231" spans="1:9" ht="24" customHeight="1">
      <c r="A231" s="6" t="s">
        <v>267</v>
      </c>
      <c r="B231">
        <v>498460</v>
      </c>
      <c r="C231">
        <v>648080</v>
      </c>
      <c r="D231">
        <v>281171</v>
      </c>
      <c r="E231">
        <v>169758</v>
      </c>
      <c r="F231">
        <v>6.3</v>
      </c>
      <c r="G231">
        <v>3.4</v>
      </c>
      <c r="H231">
        <v>9.1</v>
      </c>
      <c r="I231">
        <v>7.3</v>
      </c>
    </row>
    <row r="232" spans="1:9" ht="24" customHeight="1">
      <c r="A232" s="6" t="s">
        <v>268</v>
      </c>
      <c r="B232">
        <v>651217</v>
      </c>
      <c r="C232">
        <v>773605</v>
      </c>
      <c r="D232">
        <v>388051</v>
      </c>
      <c r="E232">
        <v>252633</v>
      </c>
      <c r="F232">
        <v>4</v>
      </c>
      <c r="G232">
        <v>2.6</v>
      </c>
      <c r="H232">
        <v>9.9</v>
      </c>
      <c r="I232">
        <v>7.7</v>
      </c>
    </row>
    <row r="233" spans="1:9" ht="24" customHeight="1">
      <c r="A233" s="6" t="s">
        <v>269</v>
      </c>
      <c r="B233">
        <v>1696604</v>
      </c>
      <c r="C233">
        <v>4769212</v>
      </c>
      <c r="D233">
        <v>396738</v>
      </c>
      <c r="E233">
        <v>274732</v>
      </c>
      <c r="F233">
        <v>6.1</v>
      </c>
      <c r="G233">
        <v>3.7</v>
      </c>
      <c r="H233">
        <v>8.6</v>
      </c>
      <c r="I233">
        <v>8.1</v>
      </c>
    </row>
    <row r="234" spans="1:9" ht="24" customHeight="1">
      <c r="A234" s="6" t="s">
        <v>270</v>
      </c>
      <c r="B234">
        <v>193295</v>
      </c>
      <c r="C234">
        <v>115450</v>
      </c>
      <c r="D234">
        <v>424663</v>
      </c>
      <c r="E234">
        <v>281312</v>
      </c>
      <c r="F234">
        <v>10</v>
      </c>
      <c r="G234">
        <v>5.3</v>
      </c>
      <c r="H234">
        <v>16.899999999999999</v>
      </c>
      <c r="I234">
        <v>12.3</v>
      </c>
    </row>
    <row r="235" spans="1:9" ht="24" customHeight="1">
      <c r="A235" s="6" t="s">
        <v>271</v>
      </c>
      <c r="B235">
        <v>2204902</v>
      </c>
      <c r="C235">
        <v>1802368</v>
      </c>
      <c r="D235">
        <v>359456</v>
      </c>
      <c r="E235">
        <v>213572</v>
      </c>
      <c r="F235">
        <v>11.8</v>
      </c>
      <c r="G235">
        <v>4.7</v>
      </c>
      <c r="H235">
        <v>9.6</v>
      </c>
      <c r="I235">
        <v>6.1</v>
      </c>
    </row>
    <row r="236" spans="1:9" ht="24" customHeight="1">
      <c r="A236" s="6" t="s">
        <v>272</v>
      </c>
      <c r="B236">
        <v>1704</v>
      </c>
      <c r="C236">
        <v>642</v>
      </c>
      <c r="D236">
        <v>824496</v>
      </c>
      <c r="E236">
        <v>519069</v>
      </c>
      <c r="F236">
        <v>13</v>
      </c>
      <c r="G236">
        <v>9.9</v>
      </c>
      <c r="H236">
        <v>16.2</v>
      </c>
      <c r="I236">
        <v>9.9</v>
      </c>
    </row>
    <row r="237" spans="1:9" ht="24" customHeight="1">
      <c r="A237" s="6" t="s">
        <v>407</v>
      </c>
      <c r="B237">
        <v>1560</v>
      </c>
      <c r="C237">
        <v>518</v>
      </c>
      <c r="D237">
        <v>863537</v>
      </c>
      <c r="E237">
        <v>586738</v>
      </c>
      <c r="F237">
        <v>13.7</v>
      </c>
      <c r="G237">
        <v>11.4</v>
      </c>
      <c r="H237">
        <v>15.8</v>
      </c>
      <c r="I237">
        <v>9.6999999999999993</v>
      </c>
    </row>
    <row r="238" spans="1:9" ht="24" customHeight="1">
      <c r="A238" s="6" t="s">
        <v>1800</v>
      </c>
      <c r="B238">
        <v>5799</v>
      </c>
      <c r="C238">
        <v>855</v>
      </c>
      <c r="D238">
        <v>371386</v>
      </c>
      <c r="E238">
        <v>258978</v>
      </c>
      <c r="F238">
        <v>13.2</v>
      </c>
      <c r="G238">
        <v>3.9</v>
      </c>
      <c r="H238">
        <v>12.6</v>
      </c>
      <c r="I238">
        <v>11.4</v>
      </c>
    </row>
    <row r="239" spans="1:9" ht="24" customHeight="1">
      <c r="A239" s="6" t="s">
        <v>1801</v>
      </c>
      <c r="B239">
        <v>4745</v>
      </c>
      <c r="C239">
        <v>676</v>
      </c>
      <c r="D239">
        <v>387228</v>
      </c>
      <c r="E239">
        <v>281690</v>
      </c>
      <c r="F239">
        <v>13.5</v>
      </c>
      <c r="G239">
        <v>4.0999999999999996</v>
      </c>
      <c r="H239">
        <v>12.6</v>
      </c>
      <c r="I239">
        <v>10.5</v>
      </c>
    </row>
    <row r="240" spans="1:9" ht="24" customHeight="1">
      <c r="A240" s="6" t="s">
        <v>1802</v>
      </c>
      <c r="B240">
        <v>1191</v>
      </c>
      <c r="C240">
        <v>151</v>
      </c>
      <c r="D240">
        <v>473364</v>
      </c>
      <c r="E240">
        <v>328912</v>
      </c>
      <c r="F240">
        <v>9.9</v>
      </c>
      <c r="G240">
        <v>3.1</v>
      </c>
      <c r="H240">
        <v>17.2</v>
      </c>
      <c r="I240">
        <v>12.6</v>
      </c>
    </row>
    <row r="241" spans="1:9" ht="24" customHeight="1">
      <c r="A241" s="6" t="s">
        <v>1803</v>
      </c>
      <c r="B241">
        <v>1097</v>
      </c>
      <c r="C241">
        <v>109</v>
      </c>
      <c r="D241">
        <v>485940</v>
      </c>
      <c r="E241">
        <v>388183</v>
      </c>
      <c r="F241">
        <v>10.5</v>
      </c>
      <c r="G241">
        <v>4.0999999999999996</v>
      </c>
      <c r="H241">
        <v>16.399999999999999</v>
      </c>
      <c r="I241">
        <v>11.8</v>
      </c>
    </row>
    <row r="242" spans="1:9" ht="24" customHeight="1">
      <c r="A242" s="6" t="s">
        <v>1804</v>
      </c>
      <c r="B242">
        <v>1323</v>
      </c>
      <c r="C242">
        <v>294</v>
      </c>
      <c r="D242">
        <v>796328</v>
      </c>
      <c r="E242">
        <v>522408</v>
      </c>
      <c r="F242">
        <v>9.1999999999999993</v>
      </c>
      <c r="G242">
        <v>10.1</v>
      </c>
      <c r="H242">
        <v>17.5</v>
      </c>
      <c r="I242">
        <v>10.1</v>
      </c>
    </row>
    <row r="243" spans="1:9" ht="24" customHeight="1">
      <c r="A243" s="6" t="s">
        <v>1805</v>
      </c>
      <c r="B243">
        <v>1160</v>
      </c>
      <c r="C243">
        <v>276</v>
      </c>
      <c r="D243">
        <v>794337</v>
      </c>
      <c r="E243">
        <v>546748</v>
      </c>
      <c r="F243">
        <v>9.6</v>
      </c>
      <c r="G243">
        <v>10.8</v>
      </c>
      <c r="H243">
        <v>14.9</v>
      </c>
      <c r="I243">
        <v>10.1</v>
      </c>
    </row>
    <row r="244" spans="1:9" ht="24" customHeight="1">
      <c r="A244" s="6" t="s">
        <v>274</v>
      </c>
      <c r="B244">
        <v>277258</v>
      </c>
      <c r="C244">
        <v>63486</v>
      </c>
      <c r="D244">
        <v>715371</v>
      </c>
      <c r="E244">
        <v>433906</v>
      </c>
      <c r="F244">
        <v>19.7</v>
      </c>
      <c r="G244">
        <v>15.2</v>
      </c>
      <c r="H244">
        <v>16.899999999999999</v>
      </c>
      <c r="I244">
        <v>11.4</v>
      </c>
    </row>
    <row r="245" spans="1:9" ht="24" customHeight="1">
      <c r="A245" s="6" t="s">
        <v>275</v>
      </c>
      <c r="B245">
        <v>245839</v>
      </c>
      <c r="C245">
        <v>48604</v>
      </c>
      <c r="D245">
        <v>750568</v>
      </c>
      <c r="E245">
        <v>500017</v>
      </c>
      <c r="F245">
        <v>20.8</v>
      </c>
      <c r="G245">
        <v>18</v>
      </c>
      <c r="H245">
        <v>17.3</v>
      </c>
      <c r="I245">
        <v>12.9</v>
      </c>
    </row>
    <row r="246" spans="1:9" ht="24" customHeight="1">
      <c r="A246" s="6" t="s">
        <v>1806</v>
      </c>
      <c r="B246">
        <v>978463</v>
      </c>
      <c r="C246">
        <v>198547</v>
      </c>
      <c r="D246">
        <v>405827</v>
      </c>
      <c r="E246">
        <v>263559</v>
      </c>
      <c r="F246">
        <v>10.7</v>
      </c>
      <c r="G246">
        <v>3.7</v>
      </c>
      <c r="H246">
        <v>12.2</v>
      </c>
      <c r="I246">
        <v>9.6999999999999993</v>
      </c>
    </row>
    <row r="247" spans="1:9" ht="24" customHeight="1">
      <c r="A247" s="6" t="s">
        <v>1807</v>
      </c>
      <c r="B247">
        <v>835803</v>
      </c>
      <c r="C247">
        <v>152518</v>
      </c>
      <c r="D247">
        <v>425113</v>
      </c>
      <c r="E247">
        <v>305345</v>
      </c>
      <c r="F247">
        <v>10.9</v>
      </c>
      <c r="G247">
        <v>4.4000000000000004</v>
      </c>
      <c r="H247">
        <v>12.5</v>
      </c>
      <c r="I247">
        <v>9.9</v>
      </c>
    </row>
    <row r="248" spans="1:9" ht="24" customHeight="1">
      <c r="A248" s="6" t="s">
        <v>1808</v>
      </c>
      <c r="B248">
        <v>158219</v>
      </c>
      <c r="C248">
        <v>34433</v>
      </c>
      <c r="D248">
        <v>483313</v>
      </c>
      <c r="E248">
        <v>333086</v>
      </c>
      <c r="F248">
        <v>13.9</v>
      </c>
      <c r="G248">
        <v>7.3</v>
      </c>
      <c r="H248">
        <v>13.9</v>
      </c>
      <c r="I248">
        <v>10.4</v>
      </c>
    </row>
    <row r="249" spans="1:9" ht="24" customHeight="1">
      <c r="A249" s="6" t="s">
        <v>1809</v>
      </c>
      <c r="B249">
        <v>134128</v>
      </c>
      <c r="C249">
        <v>26812</v>
      </c>
      <c r="D249">
        <v>503654</v>
      </c>
      <c r="E249">
        <v>361193</v>
      </c>
      <c r="F249">
        <v>15.4</v>
      </c>
      <c r="G249">
        <v>7.9</v>
      </c>
      <c r="H249">
        <v>13.6</v>
      </c>
      <c r="I249">
        <v>11</v>
      </c>
    </row>
    <row r="250" spans="1:9" ht="24" customHeight="1">
      <c r="A250" s="6" t="s">
        <v>1810</v>
      </c>
      <c r="B250">
        <v>183686</v>
      </c>
      <c r="C250">
        <v>48407</v>
      </c>
      <c r="D250">
        <v>549124</v>
      </c>
      <c r="E250">
        <v>349463</v>
      </c>
      <c r="F250">
        <v>17</v>
      </c>
      <c r="G250">
        <v>12.1</v>
      </c>
      <c r="H250">
        <v>14.5</v>
      </c>
      <c r="I250">
        <v>8.8000000000000007</v>
      </c>
    </row>
    <row r="251" spans="1:9" ht="24" customHeight="1">
      <c r="A251" s="6" t="s">
        <v>1811</v>
      </c>
      <c r="B251">
        <v>163055</v>
      </c>
      <c r="C251">
        <v>36693</v>
      </c>
      <c r="D251">
        <v>570454</v>
      </c>
      <c r="E251">
        <v>400414</v>
      </c>
      <c r="F251">
        <v>17.899999999999999</v>
      </c>
      <c r="G251">
        <v>14.5</v>
      </c>
      <c r="H251">
        <v>14.4</v>
      </c>
      <c r="I251">
        <v>9.3000000000000007</v>
      </c>
    </row>
    <row r="252" spans="1:9" ht="24" customHeight="1">
      <c r="A252" s="6" t="s">
        <v>277</v>
      </c>
      <c r="B252">
        <v>1627933</v>
      </c>
      <c r="C252">
        <v>729496</v>
      </c>
      <c r="D252">
        <v>572930</v>
      </c>
      <c r="E252">
        <v>290075</v>
      </c>
      <c r="F252">
        <v>17.2</v>
      </c>
      <c r="G252">
        <v>13.8</v>
      </c>
      <c r="H252">
        <v>17.3</v>
      </c>
      <c r="I252">
        <v>10.6</v>
      </c>
    </row>
    <row r="253" spans="1:9" ht="24" customHeight="1">
      <c r="A253" s="6" t="s">
        <v>278</v>
      </c>
      <c r="B253">
        <v>1395757</v>
      </c>
      <c r="C253">
        <v>310229</v>
      </c>
      <c r="D253">
        <v>616565</v>
      </c>
      <c r="E253">
        <v>430966</v>
      </c>
      <c r="F253">
        <v>17.7</v>
      </c>
      <c r="G253">
        <v>12.4</v>
      </c>
      <c r="H253">
        <v>17.600000000000001</v>
      </c>
      <c r="I253">
        <v>13.6</v>
      </c>
    </row>
    <row r="254" spans="1:9" ht="24" customHeight="1">
      <c r="A254" s="6" t="s">
        <v>1812</v>
      </c>
      <c r="B254">
        <v>1392064</v>
      </c>
      <c r="C254">
        <v>803203</v>
      </c>
      <c r="D254">
        <v>366435</v>
      </c>
      <c r="E254">
        <v>203345</v>
      </c>
      <c r="F254">
        <v>11.3</v>
      </c>
      <c r="G254">
        <v>4.5999999999999996</v>
      </c>
      <c r="H254">
        <v>13.2</v>
      </c>
      <c r="I254">
        <v>10</v>
      </c>
    </row>
    <row r="255" spans="1:9" ht="24" customHeight="1">
      <c r="A255" s="6" t="s">
        <v>1813</v>
      </c>
      <c r="B255">
        <v>1183655</v>
      </c>
      <c r="C255">
        <v>411852</v>
      </c>
      <c r="D255">
        <v>390400</v>
      </c>
      <c r="E255">
        <v>265405</v>
      </c>
      <c r="F255">
        <v>11.8</v>
      </c>
      <c r="G255">
        <v>5.7</v>
      </c>
      <c r="H255">
        <v>13.4</v>
      </c>
      <c r="I255">
        <v>11</v>
      </c>
    </row>
    <row r="256" spans="1:9" ht="24" customHeight="1">
      <c r="A256" s="6" t="s">
        <v>1814</v>
      </c>
      <c r="B256">
        <v>942048</v>
      </c>
      <c r="C256">
        <v>494681</v>
      </c>
      <c r="D256">
        <v>418973</v>
      </c>
      <c r="E256">
        <v>249431</v>
      </c>
      <c r="F256">
        <v>13.7</v>
      </c>
      <c r="G256">
        <v>7.8</v>
      </c>
      <c r="H256">
        <v>14.6</v>
      </c>
      <c r="I256">
        <v>10.6</v>
      </c>
    </row>
    <row r="257" spans="1:9" ht="24" customHeight="1">
      <c r="A257" s="6" t="s">
        <v>1815</v>
      </c>
      <c r="B257">
        <v>812686</v>
      </c>
      <c r="C257">
        <v>274725</v>
      </c>
      <c r="D257">
        <v>441393</v>
      </c>
      <c r="E257">
        <v>312123</v>
      </c>
      <c r="F257">
        <v>14.4</v>
      </c>
      <c r="G257">
        <v>9.1</v>
      </c>
      <c r="H257">
        <v>14.6</v>
      </c>
      <c r="I257">
        <v>11.5</v>
      </c>
    </row>
    <row r="258" spans="1:9" ht="24" customHeight="1">
      <c r="A258" s="6" t="s">
        <v>1816</v>
      </c>
      <c r="B258">
        <v>939610</v>
      </c>
      <c r="C258">
        <v>409496</v>
      </c>
      <c r="D258">
        <v>465732</v>
      </c>
      <c r="E258">
        <v>253668</v>
      </c>
      <c r="F258">
        <v>15.5</v>
      </c>
      <c r="G258">
        <v>8</v>
      </c>
      <c r="H258">
        <v>15.6</v>
      </c>
      <c r="I258">
        <v>10.6</v>
      </c>
    </row>
    <row r="259" spans="1:9" ht="24" customHeight="1">
      <c r="A259" s="6" t="s">
        <v>1817</v>
      </c>
      <c r="B259">
        <v>791893</v>
      </c>
      <c r="C259">
        <v>194142</v>
      </c>
      <c r="D259">
        <v>506232</v>
      </c>
      <c r="E259">
        <v>364720</v>
      </c>
      <c r="F259">
        <v>16.8</v>
      </c>
      <c r="G259">
        <v>10.4</v>
      </c>
      <c r="H259">
        <v>16.3</v>
      </c>
      <c r="I259">
        <v>12.9</v>
      </c>
    </row>
    <row r="260" spans="1:9" ht="24" customHeight="1">
      <c r="A260" s="6" t="s">
        <v>280</v>
      </c>
      <c r="B260">
        <v>91375</v>
      </c>
      <c r="C260">
        <v>15780</v>
      </c>
      <c r="D260">
        <v>629791</v>
      </c>
      <c r="E260">
        <v>485726</v>
      </c>
      <c r="F260">
        <v>17.100000000000001</v>
      </c>
      <c r="G260">
        <v>12.4</v>
      </c>
      <c r="H260">
        <v>19.899999999999999</v>
      </c>
      <c r="I260">
        <v>16.5</v>
      </c>
    </row>
    <row r="261" spans="1:9" ht="24" customHeight="1">
      <c r="A261" s="6" t="s">
        <v>281</v>
      </c>
      <c r="B261">
        <v>84911</v>
      </c>
      <c r="C261">
        <v>13337</v>
      </c>
      <c r="D261">
        <v>649033</v>
      </c>
      <c r="E261">
        <v>528373</v>
      </c>
      <c r="F261">
        <v>17.899999999999999</v>
      </c>
      <c r="G261">
        <v>14.2</v>
      </c>
      <c r="H261">
        <v>20.399999999999999</v>
      </c>
      <c r="I261">
        <v>18.2</v>
      </c>
    </row>
    <row r="262" spans="1:9" ht="24" customHeight="1">
      <c r="A262" s="6" t="s">
        <v>1818</v>
      </c>
      <c r="B262">
        <v>12728</v>
      </c>
      <c r="C262">
        <v>2453</v>
      </c>
      <c r="D262">
        <v>481876</v>
      </c>
      <c r="E262">
        <v>322501</v>
      </c>
      <c r="F262">
        <v>7.4</v>
      </c>
      <c r="G262">
        <v>4</v>
      </c>
      <c r="H262">
        <v>16.8</v>
      </c>
      <c r="I262">
        <v>11</v>
      </c>
    </row>
    <row r="263" spans="1:9" ht="24" customHeight="1">
      <c r="A263" s="6" t="s">
        <v>1819</v>
      </c>
      <c r="B263">
        <v>11000</v>
      </c>
      <c r="C263">
        <v>1815</v>
      </c>
      <c r="D263">
        <v>509295</v>
      </c>
      <c r="E263">
        <v>376554</v>
      </c>
      <c r="F263">
        <v>8</v>
      </c>
      <c r="G263">
        <v>5</v>
      </c>
      <c r="H263">
        <v>17.100000000000001</v>
      </c>
      <c r="I263">
        <v>12.6</v>
      </c>
    </row>
    <row r="264" spans="1:9" ht="24" customHeight="1">
      <c r="A264" s="6" t="s">
        <v>1820</v>
      </c>
      <c r="B264">
        <v>7419</v>
      </c>
      <c r="C264">
        <v>1240</v>
      </c>
      <c r="D264">
        <v>503229</v>
      </c>
      <c r="E264">
        <v>378274</v>
      </c>
      <c r="F264">
        <v>8.6</v>
      </c>
      <c r="G264">
        <v>5.4</v>
      </c>
      <c r="H264">
        <v>14.3</v>
      </c>
      <c r="I264">
        <v>10.1</v>
      </c>
    </row>
    <row r="265" spans="1:9" ht="24" customHeight="1">
      <c r="A265" s="6" t="s">
        <v>1821</v>
      </c>
      <c r="B265">
        <v>6303</v>
      </c>
      <c r="C265">
        <v>918</v>
      </c>
      <c r="D265">
        <v>532519</v>
      </c>
      <c r="E265">
        <v>450058</v>
      </c>
      <c r="F265">
        <v>9.3000000000000007</v>
      </c>
      <c r="G265">
        <v>7</v>
      </c>
      <c r="H265">
        <v>14.6</v>
      </c>
      <c r="I265">
        <v>10.7</v>
      </c>
    </row>
    <row r="266" spans="1:9" ht="24" customHeight="1">
      <c r="A266" s="6" t="s">
        <v>1822</v>
      </c>
      <c r="B266">
        <v>10305</v>
      </c>
      <c r="C266">
        <v>1821</v>
      </c>
      <c r="D266">
        <v>516202</v>
      </c>
      <c r="E266">
        <v>397317</v>
      </c>
      <c r="F266">
        <v>9.6999999999999993</v>
      </c>
      <c r="G266">
        <v>8.1</v>
      </c>
      <c r="H266">
        <v>15.7</v>
      </c>
      <c r="I266">
        <v>13.8</v>
      </c>
    </row>
    <row r="267" spans="1:9" ht="24" customHeight="1">
      <c r="A267" s="6" t="s">
        <v>1823</v>
      </c>
      <c r="B267">
        <v>8808</v>
      </c>
      <c r="C267">
        <v>1460</v>
      </c>
      <c r="D267">
        <v>550902</v>
      </c>
      <c r="E267">
        <v>434591</v>
      </c>
      <c r="F267">
        <v>10.4</v>
      </c>
      <c r="G267">
        <v>9.1</v>
      </c>
      <c r="H267">
        <v>16.100000000000001</v>
      </c>
      <c r="I267">
        <v>15.1</v>
      </c>
    </row>
    <row r="268" spans="1:9" ht="24" customHeight="1">
      <c r="A268" s="6" t="s">
        <v>283</v>
      </c>
      <c r="B268">
        <v>372316</v>
      </c>
      <c r="C268">
        <v>165774</v>
      </c>
      <c r="D268">
        <v>613361</v>
      </c>
      <c r="E268">
        <v>411200</v>
      </c>
      <c r="F268">
        <v>12.8</v>
      </c>
      <c r="G268">
        <v>8.6999999999999993</v>
      </c>
      <c r="H268">
        <v>15.1</v>
      </c>
      <c r="I268">
        <v>8.4</v>
      </c>
    </row>
    <row r="269" spans="1:9" ht="24" customHeight="1">
      <c r="A269" s="6" t="s">
        <v>284</v>
      </c>
      <c r="B269">
        <v>335448</v>
      </c>
      <c r="C269">
        <v>135467</v>
      </c>
      <c r="D269">
        <v>641806</v>
      </c>
      <c r="E269">
        <v>452650</v>
      </c>
      <c r="F269">
        <v>13.5</v>
      </c>
      <c r="G269">
        <v>9.9</v>
      </c>
      <c r="H269">
        <v>15.1</v>
      </c>
      <c r="I269">
        <v>9.1</v>
      </c>
    </row>
    <row r="270" spans="1:9" ht="24" customHeight="1">
      <c r="A270" s="6" t="s">
        <v>1824</v>
      </c>
      <c r="B270">
        <v>263467</v>
      </c>
      <c r="C270">
        <v>116688</v>
      </c>
      <c r="D270">
        <v>445890</v>
      </c>
      <c r="E270">
        <v>320860</v>
      </c>
      <c r="F270">
        <v>6.3</v>
      </c>
      <c r="G270">
        <v>5.0999999999999996</v>
      </c>
      <c r="H270">
        <v>10.9</v>
      </c>
      <c r="I270">
        <v>7.8</v>
      </c>
    </row>
    <row r="271" spans="1:9" ht="24" customHeight="1">
      <c r="A271" s="6" t="s">
        <v>1825</v>
      </c>
      <c r="B271">
        <v>234680</v>
      </c>
      <c r="C271">
        <v>88567</v>
      </c>
      <c r="D271">
        <v>454369</v>
      </c>
      <c r="E271">
        <v>358304</v>
      </c>
      <c r="F271">
        <v>6.6</v>
      </c>
      <c r="G271">
        <v>5.6</v>
      </c>
      <c r="H271">
        <v>11.2</v>
      </c>
      <c r="I271">
        <v>8.6</v>
      </c>
    </row>
    <row r="272" spans="1:9" ht="24" customHeight="1">
      <c r="A272" s="6" t="s">
        <v>1826</v>
      </c>
      <c r="B272">
        <v>213932</v>
      </c>
      <c r="C272">
        <v>108108</v>
      </c>
      <c r="D272">
        <v>505640</v>
      </c>
      <c r="E272">
        <v>394871</v>
      </c>
      <c r="F272">
        <v>10.1</v>
      </c>
      <c r="G272">
        <v>8.6</v>
      </c>
      <c r="H272">
        <v>10.9</v>
      </c>
      <c r="I272">
        <v>8.6</v>
      </c>
    </row>
    <row r="273" spans="1:9" ht="24" customHeight="1">
      <c r="A273" s="6" t="s">
        <v>1827</v>
      </c>
      <c r="B273">
        <v>195392</v>
      </c>
      <c r="C273">
        <v>86448</v>
      </c>
      <c r="D273">
        <v>517906</v>
      </c>
      <c r="E273">
        <v>428724</v>
      </c>
      <c r="F273">
        <v>10.199999999999999</v>
      </c>
      <c r="G273">
        <v>9.3000000000000007</v>
      </c>
      <c r="H273">
        <v>10.9</v>
      </c>
      <c r="I273">
        <v>9.3000000000000007</v>
      </c>
    </row>
    <row r="274" spans="1:9" ht="24" customHeight="1">
      <c r="A274" s="6" t="s">
        <v>1828</v>
      </c>
      <c r="B274">
        <v>185650</v>
      </c>
      <c r="C274">
        <v>80106</v>
      </c>
      <c r="D274">
        <v>542291</v>
      </c>
      <c r="E274">
        <v>412767</v>
      </c>
      <c r="F274">
        <v>11.9</v>
      </c>
      <c r="G274">
        <v>11.6</v>
      </c>
      <c r="H274">
        <v>13.4</v>
      </c>
      <c r="I274">
        <v>9.3000000000000007</v>
      </c>
    </row>
    <row r="275" spans="1:9" ht="24" customHeight="1">
      <c r="A275" s="6" t="s">
        <v>1829</v>
      </c>
      <c r="B275">
        <v>173385</v>
      </c>
      <c r="C275">
        <v>65449</v>
      </c>
      <c r="D275">
        <v>555449</v>
      </c>
      <c r="E275">
        <v>459581</v>
      </c>
      <c r="F275">
        <v>12.3</v>
      </c>
      <c r="G275">
        <v>13.3</v>
      </c>
      <c r="H275">
        <v>13.3</v>
      </c>
      <c r="I275">
        <v>9.4</v>
      </c>
    </row>
    <row r="276" spans="1:9" ht="24" customHeight="1">
      <c r="A276" s="6" t="s">
        <v>286</v>
      </c>
      <c r="B276">
        <v>659794</v>
      </c>
      <c r="C276">
        <v>217221</v>
      </c>
      <c r="D276">
        <v>448474</v>
      </c>
      <c r="E276">
        <v>241848</v>
      </c>
      <c r="F276">
        <v>26.7</v>
      </c>
      <c r="G276">
        <v>10.3</v>
      </c>
      <c r="H276">
        <v>14.8</v>
      </c>
      <c r="I276">
        <v>9.1</v>
      </c>
    </row>
    <row r="277" spans="1:9" ht="24" customHeight="1">
      <c r="A277" s="6" t="s">
        <v>287</v>
      </c>
      <c r="B277">
        <v>528393</v>
      </c>
      <c r="C277">
        <v>84324</v>
      </c>
      <c r="D277">
        <v>502739</v>
      </c>
      <c r="E277">
        <v>383072</v>
      </c>
      <c r="F277">
        <v>30.3</v>
      </c>
      <c r="G277">
        <v>16.399999999999999</v>
      </c>
      <c r="H277">
        <v>15.8</v>
      </c>
      <c r="I277">
        <v>11.5</v>
      </c>
    </row>
    <row r="278" spans="1:9" ht="24" customHeight="1">
      <c r="A278" s="6" t="s">
        <v>1830</v>
      </c>
      <c r="B278">
        <v>678713</v>
      </c>
      <c r="C278">
        <v>111381</v>
      </c>
      <c r="D278">
        <v>344454</v>
      </c>
      <c r="E278">
        <v>217824</v>
      </c>
      <c r="F278">
        <v>22.6</v>
      </c>
      <c r="G278">
        <v>6.4</v>
      </c>
      <c r="H278">
        <v>11.1</v>
      </c>
      <c r="I278">
        <v>8.3000000000000007</v>
      </c>
    </row>
    <row r="279" spans="1:9" ht="24" customHeight="1">
      <c r="A279" s="6" t="s">
        <v>1831</v>
      </c>
      <c r="B279">
        <v>563649</v>
      </c>
      <c r="C279">
        <v>64006</v>
      </c>
      <c r="D279">
        <v>367908</v>
      </c>
      <c r="E279">
        <v>279674</v>
      </c>
      <c r="F279">
        <v>24.4</v>
      </c>
      <c r="G279">
        <v>9.1</v>
      </c>
      <c r="H279">
        <v>11.2</v>
      </c>
      <c r="I279">
        <v>8.8000000000000007</v>
      </c>
    </row>
    <row r="280" spans="1:9" ht="24" customHeight="1">
      <c r="A280" s="6" t="s">
        <v>1832</v>
      </c>
      <c r="B280">
        <v>441516</v>
      </c>
      <c r="C280">
        <v>96904</v>
      </c>
      <c r="D280">
        <v>373110</v>
      </c>
      <c r="E280">
        <v>235124</v>
      </c>
      <c r="F280">
        <v>24.6</v>
      </c>
      <c r="G280">
        <v>9.8000000000000007</v>
      </c>
      <c r="H280">
        <v>12.7</v>
      </c>
      <c r="I280">
        <v>9.4</v>
      </c>
    </row>
    <row r="281" spans="1:9" ht="24" customHeight="1">
      <c r="A281" s="6" t="s">
        <v>1833</v>
      </c>
      <c r="B281">
        <v>343205</v>
      </c>
      <c r="C281">
        <v>52673</v>
      </c>
      <c r="D281">
        <v>408122</v>
      </c>
      <c r="E281">
        <v>305909</v>
      </c>
      <c r="F281">
        <v>27</v>
      </c>
      <c r="G281">
        <v>14.3</v>
      </c>
      <c r="H281">
        <v>12.6</v>
      </c>
      <c r="I281">
        <v>9.9</v>
      </c>
    </row>
    <row r="282" spans="1:9" ht="24" customHeight="1">
      <c r="A282" s="6" t="s">
        <v>1834</v>
      </c>
      <c r="B282">
        <v>299897</v>
      </c>
      <c r="C282">
        <v>138666</v>
      </c>
      <c r="D282">
        <v>415734</v>
      </c>
      <c r="E282">
        <v>234723</v>
      </c>
      <c r="F282">
        <v>27</v>
      </c>
      <c r="G282">
        <v>9.1</v>
      </c>
      <c r="H282">
        <v>12.2</v>
      </c>
      <c r="I282">
        <v>8</v>
      </c>
    </row>
    <row r="283" spans="1:9" ht="24" customHeight="1">
      <c r="A283" s="6" t="s">
        <v>1835</v>
      </c>
      <c r="B283">
        <v>238870</v>
      </c>
      <c r="C283">
        <v>60134</v>
      </c>
      <c r="D283">
        <v>461066</v>
      </c>
      <c r="E283">
        <v>372016</v>
      </c>
      <c r="F283">
        <v>30.6</v>
      </c>
      <c r="G283">
        <v>15.6</v>
      </c>
      <c r="H283">
        <v>12.7</v>
      </c>
      <c r="I283">
        <v>9.1999999999999993</v>
      </c>
    </row>
    <row r="284" spans="1:9" ht="24" customHeight="1">
      <c r="A284" s="6" t="s">
        <v>289</v>
      </c>
      <c r="B284">
        <v>2068628</v>
      </c>
      <c r="C284">
        <v>2318393</v>
      </c>
      <c r="D284">
        <v>342879</v>
      </c>
      <c r="E284">
        <v>173518</v>
      </c>
      <c r="F284">
        <v>8.5</v>
      </c>
      <c r="G284">
        <v>3.4</v>
      </c>
      <c r="H284">
        <v>10.199999999999999</v>
      </c>
      <c r="I284">
        <v>7.6</v>
      </c>
    </row>
    <row r="285" spans="1:9" ht="24" customHeight="1">
      <c r="A285" s="6" t="s">
        <v>290</v>
      </c>
      <c r="B285">
        <v>1145361</v>
      </c>
      <c r="C285">
        <v>426926</v>
      </c>
      <c r="D285">
        <v>510023</v>
      </c>
      <c r="E285">
        <v>389036</v>
      </c>
      <c r="F285">
        <v>13</v>
      </c>
      <c r="G285">
        <v>10.9</v>
      </c>
      <c r="H285">
        <v>14.4</v>
      </c>
      <c r="I285">
        <v>10.1</v>
      </c>
    </row>
    <row r="286" spans="1:9" ht="24" customHeight="1">
      <c r="A286" s="6" t="s">
        <v>1836</v>
      </c>
      <c r="B286">
        <v>1123830</v>
      </c>
      <c r="C286">
        <v>1159370</v>
      </c>
      <c r="D286">
        <v>316421</v>
      </c>
      <c r="E286">
        <v>168568</v>
      </c>
      <c r="F286">
        <v>5.5</v>
      </c>
      <c r="G286">
        <v>2.4</v>
      </c>
      <c r="H286">
        <v>10.7</v>
      </c>
      <c r="I286">
        <v>7.8</v>
      </c>
    </row>
    <row r="287" spans="1:9" ht="24" customHeight="1">
      <c r="A287" s="6" t="s">
        <v>1837</v>
      </c>
      <c r="B287">
        <v>730016</v>
      </c>
      <c r="C287">
        <v>383511</v>
      </c>
      <c r="D287">
        <v>420855</v>
      </c>
      <c r="E287">
        <v>311488</v>
      </c>
      <c r="F287">
        <v>7.2</v>
      </c>
      <c r="G287">
        <v>5.3</v>
      </c>
      <c r="H287">
        <v>13</v>
      </c>
      <c r="I287">
        <v>10.199999999999999</v>
      </c>
    </row>
    <row r="288" spans="1:9" ht="24" customHeight="1">
      <c r="A288" s="6" t="s">
        <v>1838</v>
      </c>
      <c r="B288">
        <v>589517</v>
      </c>
      <c r="C288">
        <v>445507</v>
      </c>
      <c r="D288">
        <v>429028</v>
      </c>
      <c r="E288">
        <v>246573</v>
      </c>
      <c r="F288">
        <v>8.1999999999999993</v>
      </c>
      <c r="G288">
        <v>4.4000000000000004</v>
      </c>
      <c r="H288">
        <v>13.3</v>
      </c>
      <c r="I288">
        <v>9.1</v>
      </c>
    </row>
    <row r="289" spans="1:9" ht="24" customHeight="1">
      <c r="A289" s="6" t="s">
        <v>1839</v>
      </c>
      <c r="B289">
        <v>469590</v>
      </c>
      <c r="C289">
        <v>219830</v>
      </c>
      <c r="D289">
        <v>490918</v>
      </c>
      <c r="E289">
        <v>363279</v>
      </c>
      <c r="F289">
        <v>9.3000000000000007</v>
      </c>
      <c r="G289">
        <v>6.4</v>
      </c>
      <c r="H289">
        <v>14.3</v>
      </c>
      <c r="I289">
        <v>10.199999999999999</v>
      </c>
    </row>
    <row r="290" spans="1:9" ht="24" customHeight="1">
      <c r="A290" s="6" t="s">
        <v>1840</v>
      </c>
      <c r="B290">
        <v>765901</v>
      </c>
      <c r="C290">
        <v>654377</v>
      </c>
      <c r="D290">
        <v>472992</v>
      </c>
      <c r="E290">
        <v>229339</v>
      </c>
      <c r="F290">
        <v>11</v>
      </c>
      <c r="G290">
        <v>4.5</v>
      </c>
      <c r="H290">
        <v>14.1</v>
      </c>
      <c r="I290">
        <v>8.4</v>
      </c>
    </row>
    <row r="291" spans="1:9" ht="24" customHeight="1">
      <c r="A291" s="6" t="s">
        <v>1841</v>
      </c>
      <c r="B291">
        <v>619815</v>
      </c>
      <c r="C291">
        <v>280958</v>
      </c>
      <c r="D291">
        <v>532723</v>
      </c>
      <c r="E291">
        <v>362806</v>
      </c>
      <c r="F291">
        <v>12.7</v>
      </c>
      <c r="G291">
        <v>7.8</v>
      </c>
      <c r="H291">
        <v>14.6</v>
      </c>
      <c r="I291">
        <v>9.6999999999999993</v>
      </c>
    </row>
    <row r="292" spans="1:9" ht="24" customHeight="1">
      <c r="A292" s="6" t="s">
        <v>292</v>
      </c>
      <c r="B292">
        <v>308543</v>
      </c>
      <c r="C292">
        <v>547862</v>
      </c>
      <c r="D292">
        <v>759663</v>
      </c>
      <c r="E292">
        <v>366256</v>
      </c>
      <c r="F292">
        <v>14.5</v>
      </c>
      <c r="G292">
        <v>8</v>
      </c>
      <c r="H292">
        <v>16.3</v>
      </c>
      <c r="I292">
        <v>12.5</v>
      </c>
    </row>
    <row r="293" spans="1:9" ht="24" customHeight="1">
      <c r="A293" s="6" t="s">
        <v>293</v>
      </c>
      <c r="B293">
        <v>284854</v>
      </c>
      <c r="C293">
        <v>434712</v>
      </c>
      <c r="D293">
        <v>786541</v>
      </c>
      <c r="E293">
        <v>410521</v>
      </c>
      <c r="F293">
        <v>15.2</v>
      </c>
      <c r="G293">
        <v>9.1</v>
      </c>
      <c r="H293">
        <v>16.2</v>
      </c>
      <c r="I293">
        <v>12.8</v>
      </c>
    </row>
    <row r="294" spans="1:9" ht="24" customHeight="1">
      <c r="A294" s="6" t="s">
        <v>1842</v>
      </c>
      <c r="B294">
        <v>45303</v>
      </c>
      <c r="C294">
        <v>38486</v>
      </c>
      <c r="D294">
        <v>621805</v>
      </c>
      <c r="E294">
        <v>382451</v>
      </c>
      <c r="F294">
        <v>5.0999999999999996</v>
      </c>
      <c r="G294">
        <v>4.2</v>
      </c>
      <c r="H294">
        <v>12</v>
      </c>
      <c r="I294">
        <v>10.6</v>
      </c>
    </row>
    <row r="295" spans="1:9" ht="24" customHeight="1">
      <c r="A295" s="6" t="s">
        <v>1843</v>
      </c>
      <c r="B295">
        <v>37594</v>
      </c>
      <c r="C295">
        <v>29756</v>
      </c>
      <c r="D295">
        <v>677598</v>
      </c>
      <c r="E295">
        <v>440351</v>
      </c>
      <c r="F295">
        <v>5.8</v>
      </c>
      <c r="G295">
        <v>5</v>
      </c>
      <c r="H295">
        <v>12.1</v>
      </c>
      <c r="I295">
        <v>10.8</v>
      </c>
    </row>
    <row r="296" spans="1:9" ht="24" customHeight="1">
      <c r="A296" s="6" t="s">
        <v>1844</v>
      </c>
      <c r="B296">
        <v>45196</v>
      </c>
      <c r="C296">
        <v>32752</v>
      </c>
      <c r="D296">
        <v>567737</v>
      </c>
      <c r="E296">
        <v>379781</v>
      </c>
      <c r="F296">
        <v>6.6</v>
      </c>
      <c r="G296">
        <v>6.5</v>
      </c>
      <c r="H296">
        <v>15</v>
      </c>
      <c r="I296">
        <v>11</v>
      </c>
    </row>
    <row r="297" spans="1:9" ht="24" customHeight="1">
      <c r="A297" s="6" t="s">
        <v>1845</v>
      </c>
      <c r="B297">
        <v>38445</v>
      </c>
      <c r="C297">
        <v>27111</v>
      </c>
      <c r="D297">
        <v>589449</v>
      </c>
      <c r="E297">
        <v>409738</v>
      </c>
      <c r="F297">
        <v>7.1</v>
      </c>
      <c r="G297">
        <v>7.2</v>
      </c>
      <c r="H297">
        <v>14.4</v>
      </c>
      <c r="I297">
        <v>11.2</v>
      </c>
    </row>
    <row r="298" spans="1:9" ht="24" customHeight="1">
      <c r="A298" s="6" t="s">
        <v>1846</v>
      </c>
      <c r="B298">
        <v>78513</v>
      </c>
      <c r="C298">
        <v>69694</v>
      </c>
      <c r="D298">
        <v>597673</v>
      </c>
      <c r="E298">
        <v>387905</v>
      </c>
      <c r="F298">
        <v>9.8000000000000007</v>
      </c>
      <c r="G298">
        <v>8.5</v>
      </c>
      <c r="H298">
        <v>15.9</v>
      </c>
      <c r="I298">
        <v>10.3</v>
      </c>
    </row>
    <row r="299" spans="1:9" ht="24" customHeight="1">
      <c r="A299" s="6" t="s">
        <v>1847</v>
      </c>
      <c r="B299">
        <v>68415</v>
      </c>
      <c r="C299">
        <v>56786</v>
      </c>
      <c r="D299">
        <v>626815</v>
      </c>
      <c r="E299">
        <v>426025</v>
      </c>
      <c r="F299">
        <v>10.5</v>
      </c>
      <c r="G299">
        <v>9.4</v>
      </c>
      <c r="H299">
        <v>15.3</v>
      </c>
      <c r="I299">
        <v>10.199999999999999</v>
      </c>
    </row>
    <row r="300" spans="1:9" ht="24" customHeight="1">
      <c r="A300" s="6" t="s">
        <v>295</v>
      </c>
      <c r="B300">
        <v>145058</v>
      </c>
      <c r="C300">
        <v>91663</v>
      </c>
      <c r="D300">
        <v>489654</v>
      </c>
      <c r="E300">
        <v>324216</v>
      </c>
      <c r="F300">
        <v>11.1</v>
      </c>
      <c r="G300">
        <v>7.5</v>
      </c>
      <c r="H300">
        <v>10.4</v>
      </c>
      <c r="I300">
        <v>8.1999999999999993</v>
      </c>
    </row>
    <row r="301" spans="1:9" ht="24" customHeight="1">
      <c r="A301" s="6" t="s">
        <v>296</v>
      </c>
      <c r="B301">
        <v>96858</v>
      </c>
      <c r="C301">
        <v>53534</v>
      </c>
      <c r="D301">
        <v>640097</v>
      </c>
      <c r="E301">
        <v>449543</v>
      </c>
      <c r="F301">
        <v>14.5</v>
      </c>
      <c r="G301">
        <v>11</v>
      </c>
      <c r="H301">
        <v>12.3</v>
      </c>
      <c r="I301">
        <v>9.6999999999999993</v>
      </c>
    </row>
    <row r="302" spans="1:9" ht="24" customHeight="1">
      <c r="A302" s="6" t="s">
        <v>1848</v>
      </c>
      <c r="B302">
        <v>121547</v>
      </c>
      <c r="C302">
        <v>98925</v>
      </c>
      <c r="D302">
        <v>433905</v>
      </c>
      <c r="E302">
        <v>249357</v>
      </c>
      <c r="F302">
        <v>5.5</v>
      </c>
      <c r="G302">
        <v>2.8</v>
      </c>
      <c r="H302">
        <v>8.9</v>
      </c>
      <c r="I302">
        <v>7</v>
      </c>
    </row>
    <row r="303" spans="1:9" ht="24" customHeight="1">
      <c r="A303" s="6" t="s">
        <v>1849</v>
      </c>
      <c r="B303">
        <v>97480</v>
      </c>
      <c r="C303">
        <v>56470</v>
      </c>
      <c r="D303">
        <v>489639</v>
      </c>
      <c r="E303">
        <v>344539</v>
      </c>
      <c r="F303">
        <v>6.3</v>
      </c>
      <c r="G303">
        <v>4.0999999999999996</v>
      </c>
      <c r="H303">
        <v>9.4</v>
      </c>
      <c r="I303">
        <v>8.1</v>
      </c>
    </row>
    <row r="304" spans="1:9" ht="24" customHeight="1">
      <c r="A304" s="6" t="s">
        <v>1850</v>
      </c>
      <c r="B304">
        <v>61710</v>
      </c>
      <c r="C304">
        <v>46526</v>
      </c>
      <c r="D304">
        <v>428818</v>
      </c>
      <c r="E304">
        <v>252103</v>
      </c>
      <c r="F304">
        <v>8.6</v>
      </c>
      <c r="G304">
        <v>4.2</v>
      </c>
      <c r="H304">
        <v>9.6</v>
      </c>
      <c r="I304">
        <v>6.2</v>
      </c>
    </row>
    <row r="305" spans="1:9" ht="24" customHeight="1">
      <c r="A305" s="6" t="s">
        <v>1851</v>
      </c>
      <c r="B305">
        <v>44772</v>
      </c>
      <c r="C305">
        <v>22314</v>
      </c>
      <c r="D305">
        <v>515802</v>
      </c>
      <c r="E305">
        <v>368969</v>
      </c>
      <c r="F305">
        <v>10.4</v>
      </c>
      <c r="G305">
        <v>7.6</v>
      </c>
      <c r="H305">
        <v>10.5</v>
      </c>
      <c r="I305">
        <v>7.7</v>
      </c>
    </row>
    <row r="306" spans="1:9" ht="24" customHeight="1">
      <c r="A306" s="6" t="s">
        <v>1852</v>
      </c>
      <c r="B306">
        <v>62645</v>
      </c>
      <c r="C306">
        <v>51908</v>
      </c>
      <c r="D306">
        <v>521892</v>
      </c>
      <c r="E306">
        <v>280969</v>
      </c>
      <c r="F306">
        <v>13.7</v>
      </c>
      <c r="G306">
        <v>7.7</v>
      </c>
      <c r="H306">
        <v>11.8</v>
      </c>
      <c r="I306">
        <v>7.6</v>
      </c>
    </row>
    <row r="307" spans="1:9" ht="24" customHeight="1">
      <c r="A307" s="6" t="s">
        <v>1853</v>
      </c>
      <c r="B307">
        <v>50563</v>
      </c>
      <c r="C307">
        <v>27650</v>
      </c>
      <c r="D307">
        <v>587949</v>
      </c>
      <c r="E307">
        <v>419922</v>
      </c>
      <c r="F307">
        <v>15.3</v>
      </c>
      <c r="G307">
        <v>12.3</v>
      </c>
      <c r="H307">
        <v>12.6</v>
      </c>
      <c r="I307">
        <v>9.1999999999999993</v>
      </c>
    </row>
    <row r="308" spans="1:9" ht="24" customHeight="1">
      <c r="A308" s="6" t="s">
        <v>298</v>
      </c>
      <c r="B308">
        <v>325981</v>
      </c>
      <c r="C308">
        <v>106345</v>
      </c>
      <c r="D308">
        <v>668123</v>
      </c>
      <c r="E308">
        <v>429394</v>
      </c>
      <c r="F308">
        <v>14.3</v>
      </c>
      <c r="G308">
        <v>10.7</v>
      </c>
      <c r="H308">
        <v>15.3</v>
      </c>
      <c r="I308">
        <v>9.8000000000000007</v>
      </c>
    </row>
    <row r="309" spans="1:9" ht="24" customHeight="1">
      <c r="A309" s="6" t="s">
        <v>299</v>
      </c>
      <c r="B309">
        <v>279155</v>
      </c>
      <c r="C309">
        <v>68884</v>
      </c>
      <c r="D309">
        <v>711492</v>
      </c>
      <c r="E309">
        <v>537238</v>
      </c>
      <c r="F309">
        <v>15.7</v>
      </c>
      <c r="G309">
        <v>13.2</v>
      </c>
      <c r="H309">
        <v>15.4</v>
      </c>
      <c r="I309">
        <v>11.5</v>
      </c>
    </row>
    <row r="310" spans="1:9" ht="24" customHeight="1">
      <c r="A310" s="6" t="s">
        <v>1854</v>
      </c>
      <c r="B310">
        <v>303058</v>
      </c>
      <c r="C310">
        <v>214509</v>
      </c>
      <c r="D310">
        <v>490072</v>
      </c>
      <c r="E310">
        <v>312579</v>
      </c>
      <c r="F310">
        <v>8.1</v>
      </c>
      <c r="G310">
        <v>6.5</v>
      </c>
      <c r="H310">
        <v>9.9</v>
      </c>
      <c r="I310">
        <v>6.9</v>
      </c>
    </row>
    <row r="311" spans="1:9" ht="24" customHeight="1">
      <c r="A311" s="6" t="s">
        <v>1855</v>
      </c>
      <c r="B311">
        <v>266690</v>
      </c>
      <c r="C311">
        <v>160307</v>
      </c>
      <c r="D311">
        <v>512947</v>
      </c>
      <c r="E311">
        <v>366671</v>
      </c>
      <c r="F311">
        <v>8.6999999999999993</v>
      </c>
      <c r="G311">
        <v>8.1999999999999993</v>
      </c>
      <c r="H311">
        <v>10.1</v>
      </c>
      <c r="I311">
        <v>7.3</v>
      </c>
    </row>
    <row r="312" spans="1:9" ht="24" customHeight="1">
      <c r="A312" s="6" t="s">
        <v>1856</v>
      </c>
      <c r="B312">
        <v>141623</v>
      </c>
      <c r="C312">
        <v>82914</v>
      </c>
      <c r="D312">
        <v>550486</v>
      </c>
      <c r="E312">
        <v>366219</v>
      </c>
      <c r="F312">
        <v>9.6999999999999993</v>
      </c>
      <c r="G312">
        <v>5.4</v>
      </c>
      <c r="H312">
        <v>11.1</v>
      </c>
      <c r="I312">
        <v>8.1</v>
      </c>
    </row>
    <row r="313" spans="1:9" ht="24" customHeight="1">
      <c r="A313" s="6" t="s">
        <v>1857</v>
      </c>
      <c r="B313">
        <v>115426</v>
      </c>
      <c r="C313">
        <v>57999</v>
      </c>
      <c r="D313">
        <v>585667</v>
      </c>
      <c r="E313">
        <v>429643</v>
      </c>
      <c r="F313">
        <v>11</v>
      </c>
      <c r="G313">
        <v>6.5</v>
      </c>
      <c r="H313">
        <v>11.5</v>
      </c>
      <c r="I313">
        <v>8.6999999999999993</v>
      </c>
    </row>
    <row r="314" spans="1:9" ht="24" customHeight="1">
      <c r="A314" s="6" t="s">
        <v>1858</v>
      </c>
      <c r="B314">
        <v>121472</v>
      </c>
      <c r="C314">
        <v>37929</v>
      </c>
      <c r="D314">
        <v>562489</v>
      </c>
      <c r="E314">
        <v>385967</v>
      </c>
      <c r="F314">
        <v>16.100000000000001</v>
      </c>
      <c r="G314">
        <v>13.6</v>
      </c>
      <c r="H314">
        <v>12.8</v>
      </c>
      <c r="I314">
        <v>9</v>
      </c>
    </row>
    <row r="315" spans="1:9" ht="24" customHeight="1">
      <c r="A315" s="6" t="s">
        <v>1859</v>
      </c>
      <c r="B315">
        <v>109869</v>
      </c>
      <c r="C315">
        <v>30309</v>
      </c>
      <c r="D315">
        <v>579987</v>
      </c>
      <c r="E315">
        <v>431309</v>
      </c>
      <c r="F315">
        <v>17.2</v>
      </c>
      <c r="G315">
        <v>15.9</v>
      </c>
      <c r="H315">
        <v>13</v>
      </c>
      <c r="I315">
        <v>9.6</v>
      </c>
    </row>
    <row r="316" spans="1:9" ht="24" customHeight="1">
      <c r="A316" s="6" t="s">
        <v>301</v>
      </c>
      <c r="B316">
        <v>612369</v>
      </c>
      <c r="C316">
        <v>1053198</v>
      </c>
      <c r="D316">
        <v>146909</v>
      </c>
      <c r="E316">
        <v>103092</v>
      </c>
      <c r="F316">
        <v>5.2</v>
      </c>
      <c r="G316">
        <v>2.8</v>
      </c>
      <c r="H316">
        <v>4.0999999999999996</v>
      </c>
      <c r="I316">
        <v>4.5</v>
      </c>
    </row>
    <row r="317" spans="1:9" ht="24" customHeight="1">
      <c r="A317" s="6" t="s">
        <v>302</v>
      </c>
      <c r="B317">
        <v>106707</v>
      </c>
      <c r="C317">
        <v>69788</v>
      </c>
      <c r="D317">
        <v>451374</v>
      </c>
      <c r="E317">
        <v>350281</v>
      </c>
      <c r="F317">
        <v>18.8</v>
      </c>
      <c r="G317">
        <v>15.8</v>
      </c>
      <c r="H317">
        <v>12.6</v>
      </c>
      <c r="I317">
        <v>8.3000000000000007</v>
      </c>
    </row>
    <row r="318" spans="1:9" ht="24" customHeight="1">
      <c r="A318" s="6" t="s">
        <v>1860</v>
      </c>
      <c r="B318">
        <v>342607</v>
      </c>
      <c r="C318">
        <v>567871</v>
      </c>
      <c r="D318">
        <v>182967</v>
      </c>
      <c r="E318">
        <v>101157</v>
      </c>
      <c r="F318">
        <v>5.6</v>
      </c>
      <c r="G318">
        <v>1.8</v>
      </c>
      <c r="H318">
        <v>5.9</v>
      </c>
      <c r="I318">
        <v>5.0999999999999996</v>
      </c>
    </row>
    <row r="319" spans="1:9" ht="24" customHeight="1">
      <c r="A319" s="6" t="s">
        <v>1861</v>
      </c>
      <c r="B319">
        <v>137773</v>
      </c>
      <c r="C319">
        <v>80145</v>
      </c>
      <c r="D319">
        <v>326891</v>
      </c>
      <c r="E319">
        <v>246382</v>
      </c>
      <c r="F319">
        <v>11.2</v>
      </c>
      <c r="G319">
        <v>7.1</v>
      </c>
      <c r="H319">
        <v>10.1</v>
      </c>
      <c r="I319">
        <v>8.8000000000000007</v>
      </c>
    </row>
    <row r="320" spans="1:9" ht="24" customHeight="1">
      <c r="A320" s="6" t="s">
        <v>1862</v>
      </c>
      <c r="B320">
        <v>131035</v>
      </c>
      <c r="C320">
        <v>183322</v>
      </c>
      <c r="D320">
        <v>204546</v>
      </c>
      <c r="E320">
        <v>117529</v>
      </c>
      <c r="F320">
        <v>8.1</v>
      </c>
      <c r="G320">
        <v>3.2</v>
      </c>
      <c r="H320">
        <v>6.4</v>
      </c>
      <c r="I320">
        <v>5</v>
      </c>
    </row>
    <row r="321" spans="1:9" ht="24" customHeight="1">
      <c r="A321" s="6" t="s">
        <v>1863</v>
      </c>
      <c r="B321">
        <v>55978</v>
      </c>
      <c r="C321">
        <v>31142</v>
      </c>
      <c r="D321">
        <v>353109</v>
      </c>
      <c r="E321">
        <v>288099</v>
      </c>
      <c r="F321">
        <v>15.4</v>
      </c>
      <c r="G321">
        <v>11.7</v>
      </c>
      <c r="H321">
        <v>10.8</v>
      </c>
      <c r="I321">
        <v>7.7</v>
      </c>
    </row>
    <row r="322" spans="1:9" ht="24" customHeight="1">
      <c r="A322" s="6" t="s">
        <v>1864</v>
      </c>
      <c r="B322">
        <v>141024</v>
      </c>
      <c r="C322">
        <v>201474</v>
      </c>
      <c r="D322">
        <v>204398</v>
      </c>
      <c r="E322">
        <v>115308</v>
      </c>
      <c r="F322">
        <v>7.6</v>
      </c>
      <c r="G322">
        <v>3.4</v>
      </c>
      <c r="H322">
        <v>6</v>
      </c>
      <c r="I322">
        <v>4.5</v>
      </c>
    </row>
    <row r="323" spans="1:9" ht="24" customHeight="1">
      <c r="A323" s="6" t="s">
        <v>1865</v>
      </c>
      <c r="B323">
        <v>49934</v>
      </c>
      <c r="C323">
        <v>25746</v>
      </c>
      <c r="D323">
        <v>394159</v>
      </c>
      <c r="E323">
        <v>306320</v>
      </c>
      <c r="F323">
        <v>16.100000000000001</v>
      </c>
      <c r="G323">
        <v>15.1</v>
      </c>
      <c r="H323">
        <v>11.6</v>
      </c>
      <c r="I323">
        <v>8</v>
      </c>
    </row>
    <row r="324" spans="1:9" ht="24" customHeight="1">
      <c r="A324" s="6" t="s">
        <v>304</v>
      </c>
      <c r="B324">
        <v>162437</v>
      </c>
      <c r="C324">
        <v>220362</v>
      </c>
      <c r="D324">
        <v>267479</v>
      </c>
      <c r="E324">
        <v>166443</v>
      </c>
      <c r="F324">
        <v>6.5</v>
      </c>
      <c r="G324">
        <v>4.2</v>
      </c>
      <c r="H324">
        <v>8.4</v>
      </c>
      <c r="I324">
        <v>6.1</v>
      </c>
    </row>
    <row r="325" spans="1:9" ht="24" customHeight="1">
      <c r="A325" s="6" t="s">
        <v>305</v>
      </c>
      <c r="B325">
        <v>65303</v>
      </c>
      <c r="C325">
        <v>47083</v>
      </c>
      <c r="D325">
        <v>485702</v>
      </c>
      <c r="E325">
        <v>338596</v>
      </c>
      <c r="F325">
        <v>12</v>
      </c>
      <c r="G325">
        <v>11.5</v>
      </c>
      <c r="H325">
        <v>14</v>
      </c>
      <c r="I325">
        <v>9.1</v>
      </c>
    </row>
    <row r="326" spans="1:9" ht="24" customHeight="1">
      <c r="A326" s="6" t="s">
        <v>1866</v>
      </c>
      <c r="B326">
        <v>169698</v>
      </c>
      <c r="C326">
        <v>231677</v>
      </c>
      <c r="D326">
        <v>279940</v>
      </c>
      <c r="E326">
        <v>170134</v>
      </c>
      <c r="F326">
        <v>5.3</v>
      </c>
      <c r="G326">
        <v>2.8</v>
      </c>
      <c r="H326">
        <v>9.1999999999999993</v>
      </c>
      <c r="I326">
        <v>8.1999999999999993</v>
      </c>
    </row>
    <row r="327" spans="1:9" ht="24" customHeight="1">
      <c r="A327" s="6" t="s">
        <v>1867</v>
      </c>
      <c r="B327">
        <v>98338</v>
      </c>
      <c r="C327">
        <v>76469</v>
      </c>
      <c r="D327">
        <v>380881</v>
      </c>
      <c r="E327">
        <v>283210</v>
      </c>
      <c r="F327">
        <v>7.3</v>
      </c>
      <c r="G327">
        <v>5.3</v>
      </c>
      <c r="H327">
        <v>11.7</v>
      </c>
      <c r="I327">
        <v>8.9</v>
      </c>
    </row>
    <row r="328" spans="1:9" ht="24" customHeight="1">
      <c r="A328" s="6" t="s">
        <v>1868</v>
      </c>
      <c r="B328">
        <v>94555</v>
      </c>
      <c r="C328">
        <v>112972</v>
      </c>
      <c r="D328">
        <v>283760</v>
      </c>
      <c r="E328">
        <v>168952</v>
      </c>
      <c r="F328">
        <v>7.7</v>
      </c>
      <c r="G328">
        <v>2.9</v>
      </c>
      <c r="H328">
        <v>9</v>
      </c>
      <c r="I328">
        <v>7.6</v>
      </c>
    </row>
    <row r="329" spans="1:9" ht="24" customHeight="1">
      <c r="A329" s="6" t="s">
        <v>1869</v>
      </c>
      <c r="B329">
        <v>53624</v>
      </c>
      <c r="C329">
        <v>33036</v>
      </c>
      <c r="D329">
        <v>391616</v>
      </c>
      <c r="E329">
        <v>290597</v>
      </c>
      <c r="F329">
        <v>11</v>
      </c>
      <c r="G329">
        <v>6.1</v>
      </c>
      <c r="H329">
        <v>11.5</v>
      </c>
      <c r="I329">
        <v>8.5</v>
      </c>
    </row>
    <row r="330" spans="1:9" ht="24" customHeight="1">
      <c r="A330" s="6" t="s">
        <v>1870</v>
      </c>
      <c r="B330">
        <v>71770</v>
      </c>
      <c r="C330">
        <v>83069</v>
      </c>
      <c r="D330">
        <v>311661</v>
      </c>
      <c r="E330">
        <v>178599</v>
      </c>
      <c r="F330">
        <v>6.5</v>
      </c>
      <c r="G330">
        <v>3.5</v>
      </c>
      <c r="H330">
        <v>10.6</v>
      </c>
      <c r="I330">
        <v>7.8</v>
      </c>
    </row>
    <row r="331" spans="1:9" ht="24" customHeight="1">
      <c r="A331" s="6" t="s">
        <v>1871</v>
      </c>
      <c r="B331">
        <v>43014</v>
      </c>
      <c r="C331">
        <v>22999</v>
      </c>
      <c r="D331">
        <v>429464</v>
      </c>
      <c r="E331">
        <v>343248</v>
      </c>
      <c r="F331">
        <v>8.9</v>
      </c>
      <c r="G331">
        <v>7.6</v>
      </c>
      <c r="H331">
        <v>14.5</v>
      </c>
      <c r="I331">
        <v>10.5</v>
      </c>
    </row>
    <row r="332" spans="1:9" ht="24" customHeight="1">
      <c r="A332" s="6" t="s">
        <v>307</v>
      </c>
      <c r="B332">
        <v>291072</v>
      </c>
      <c r="C332">
        <v>239244</v>
      </c>
      <c r="D332">
        <v>422409</v>
      </c>
      <c r="E332">
        <v>262241</v>
      </c>
      <c r="F332">
        <v>3.4</v>
      </c>
      <c r="G332">
        <v>3.3</v>
      </c>
      <c r="H332">
        <v>9.5</v>
      </c>
      <c r="I332">
        <v>7.2</v>
      </c>
    </row>
    <row r="333" spans="1:9" ht="24" customHeight="1">
      <c r="A333" s="6" t="s">
        <v>308</v>
      </c>
      <c r="B333">
        <v>126305</v>
      </c>
      <c r="C333">
        <v>66676</v>
      </c>
      <c r="D333">
        <v>713198</v>
      </c>
      <c r="E333">
        <v>567324</v>
      </c>
      <c r="F333">
        <v>6.7</v>
      </c>
      <c r="G333">
        <v>8</v>
      </c>
      <c r="H333">
        <v>15.5</v>
      </c>
      <c r="I333">
        <v>13</v>
      </c>
    </row>
    <row r="334" spans="1:9" ht="24" customHeight="1">
      <c r="A334" s="6" t="s">
        <v>1872</v>
      </c>
      <c r="B334">
        <v>131468</v>
      </c>
      <c r="C334">
        <v>293863</v>
      </c>
      <c r="D334">
        <v>289804</v>
      </c>
      <c r="E334">
        <v>223608</v>
      </c>
      <c r="F334">
        <v>6.1</v>
      </c>
      <c r="G334">
        <v>2</v>
      </c>
      <c r="H334">
        <v>9.6</v>
      </c>
      <c r="I334">
        <v>7.7</v>
      </c>
    </row>
    <row r="335" spans="1:9" ht="24" customHeight="1">
      <c r="A335" s="6" t="s">
        <v>1873</v>
      </c>
      <c r="B335">
        <v>67426</v>
      </c>
      <c r="C335">
        <v>139061</v>
      </c>
      <c r="D335">
        <v>431034</v>
      </c>
      <c r="E335">
        <v>340176</v>
      </c>
      <c r="F335">
        <v>10.1</v>
      </c>
      <c r="G335">
        <v>3.7</v>
      </c>
      <c r="H335">
        <v>12.7</v>
      </c>
      <c r="I335">
        <v>9.3000000000000007</v>
      </c>
    </row>
    <row r="336" spans="1:9" ht="24" customHeight="1">
      <c r="A336" s="6" t="s">
        <v>1874</v>
      </c>
      <c r="B336">
        <v>110318</v>
      </c>
      <c r="C336">
        <v>114801</v>
      </c>
      <c r="D336">
        <v>406008</v>
      </c>
      <c r="E336">
        <v>273845</v>
      </c>
      <c r="F336">
        <v>4.3</v>
      </c>
      <c r="G336">
        <v>2.2999999999999998</v>
      </c>
      <c r="H336">
        <v>11</v>
      </c>
      <c r="I336">
        <v>8.1</v>
      </c>
    </row>
    <row r="337" spans="1:9" ht="24" customHeight="1">
      <c r="A337" s="6" t="s">
        <v>1875</v>
      </c>
      <c r="B337">
        <v>60674</v>
      </c>
      <c r="C337">
        <v>48857</v>
      </c>
      <c r="D337">
        <v>572364</v>
      </c>
      <c r="E337">
        <v>429176</v>
      </c>
      <c r="F337">
        <v>6.1</v>
      </c>
      <c r="G337">
        <v>3.9</v>
      </c>
      <c r="H337">
        <v>14.4</v>
      </c>
      <c r="I337">
        <v>11.2</v>
      </c>
    </row>
    <row r="338" spans="1:9" ht="24" customHeight="1">
      <c r="A338" s="6" t="s">
        <v>1876</v>
      </c>
      <c r="B338">
        <v>118358</v>
      </c>
      <c r="C338">
        <v>125697</v>
      </c>
      <c r="D338">
        <v>395952</v>
      </c>
      <c r="E338">
        <v>282831</v>
      </c>
      <c r="F338">
        <v>2.7</v>
      </c>
      <c r="G338">
        <v>2.7</v>
      </c>
      <c r="H338">
        <v>10.3</v>
      </c>
      <c r="I338">
        <v>8</v>
      </c>
    </row>
    <row r="339" spans="1:9" ht="24" customHeight="1">
      <c r="A339" s="6" t="s">
        <v>1877</v>
      </c>
      <c r="B339">
        <v>57529</v>
      </c>
      <c r="C339">
        <v>43674</v>
      </c>
      <c r="D339">
        <v>640196</v>
      </c>
      <c r="E339">
        <v>524700</v>
      </c>
      <c r="F339">
        <v>4.5999999999999996</v>
      </c>
      <c r="G339">
        <v>5.3</v>
      </c>
      <c r="H339">
        <v>14.4</v>
      </c>
      <c r="I339">
        <v>12</v>
      </c>
    </row>
    <row r="340" spans="1:9" ht="24" customHeight="1">
      <c r="A340" s="6" t="s">
        <v>310</v>
      </c>
      <c r="B340">
        <v>361422</v>
      </c>
      <c r="C340">
        <v>888604</v>
      </c>
      <c r="D340">
        <v>520220</v>
      </c>
      <c r="E340">
        <v>342111</v>
      </c>
      <c r="F340">
        <v>12.2</v>
      </c>
      <c r="G340">
        <v>6.4</v>
      </c>
      <c r="H340">
        <v>8.8000000000000007</v>
      </c>
      <c r="I340">
        <v>8.4</v>
      </c>
    </row>
    <row r="341" spans="1:9" ht="24" customHeight="1">
      <c r="A341" s="6" t="s">
        <v>311</v>
      </c>
      <c r="B341">
        <v>259188</v>
      </c>
      <c r="C341">
        <v>582169</v>
      </c>
      <c r="D341">
        <v>598416</v>
      </c>
      <c r="E341">
        <v>424121</v>
      </c>
      <c r="F341">
        <v>13.4</v>
      </c>
      <c r="G341">
        <v>8.1</v>
      </c>
      <c r="H341">
        <v>10.1</v>
      </c>
      <c r="I341">
        <v>9.1999999999999993</v>
      </c>
    </row>
    <row r="342" spans="1:9" ht="24" customHeight="1">
      <c r="A342" s="6" t="s">
        <v>1878</v>
      </c>
      <c r="B342">
        <v>504516</v>
      </c>
      <c r="C342">
        <v>1815982</v>
      </c>
      <c r="D342">
        <v>322741</v>
      </c>
      <c r="E342">
        <v>232193</v>
      </c>
      <c r="F342">
        <v>4.3</v>
      </c>
      <c r="G342">
        <v>3.1</v>
      </c>
      <c r="H342">
        <v>7.5</v>
      </c>
      <c r="I342">
        <v>7.2</v>
      </c>
    </row>
    <row r="343" spans="1:9" ht="24" customHeight="1">
      <c r="A343" s="6" t="s">
        <v>1879</v>
      </c>
      <c r="B343">
        <v>320702</v>
      </c>
      <c r="C343">
        <v>900716</v>
      </c>
      <c r="D343">
        <v>413260</v>
      </c>
      <c r="E343">
        <v>329882</v>
      </c>
      <c r="F343">
        <v>6</v>
      </c>
      <c r="G343">
        <v>5.2</v>
      </c>
      <c r="H343">
        <v>8.9</v>
      </c>
      <c r="I343">
        <v>8.3000000000000007</v>
      </c>
    </row>
    <row r="344" spans="1:9" ht="24" customHeight="1">
      <c r="A344" s="6" t="s">
        <v>1880</v>
      </c>
      <c r="B344">
        <v>434069</v>
      </c>
      <c r="C344">
        <v>1129333</v>
      </c>
      <c r="D344">
        <v>373043</v>
      </c>
      <c r="E344">
        <v>272630</v>
      </c>
      <c r="F344">
        <v>3.8</v>
      </c>
      <c r="G344">
        <v>3</v>
      </c>
      <c r="H344">
        <v>9.1</v>
      </c>
      <c r="I344">
        <v>8.8000000000000007</v>
      </c>
    </row>
    <row r="345" spans="1:9" ht="24" customHeight="1">
      <c r="A345" s="6" t="s">
        <v>1881</v>
      </c>
      <c r="B345">
        <v>321785</v>
      </c>
      <c r="C345">
        <v>667520</v>
      </c>
      <c r="D345">
        <v>421073</v>
      </c>
      <c r="E345">
        <v>347039</v>
      </c>
      <c r="F345">
        <v>4.5</v>
      </c>
      <c r="G345">
        <v>4.2</v>
      </c>
      <c r="H345">
        <v>9.8000000000000007</v>
      </c>
      <c r="I345">
        <v>9.3000000000000007</v>
      </c>
    </row>
    <row r="346" spans="1:9" ht="24" customHeight="1">
      <c r="A346" s="6" t="s">
        <v>1882</v>
      </c>
      <c r="B346">
        <v>396598</v>
      </c>
      <c r="C346">
        <v>935293</v>
      </c>
      <c r="D346">
        <v>404276</v>
      </c>
      <c r="E346">
        <v>295849</v>
      </c>
      <c r="F346">
        <v>5.3</v>
      </c>
      <c r="G346">
        <v>3.3</v>
      </c>
      <c r="H346">
        <v>9</v>
      </c>
      <c r="I346">
        <v>8.6</v>
      </c>
    </row>
    <row r="347" spans="1:9" ht="24" customHeight="1">
      <c r="A347" s="6" t="s">
        <v>1883</v>
      </c>
      <c r="B347">
        <v>307114</v>
      </c>
      <c r="C347">
        <v>580746</v>
      </c>
      <c r="D347">
        <v>455844</v>
      </c>
      <c r="E347">
        <v>368533</v>
      </c>
      <c r="F347">
        <v>6.2</v>
      </c>
      <c r="G347">
        <v>4.5999999999999996</v>
      </c>
      <c r="H347">
        <v>9.9</v>
      </c>
      <c r="I347">
        <v>9.1</v>
      </c>
    </row>
    <row r="348" spans="1:9" ht="24" customHeight="1">
      <c r="A348" s="6" t="s">
        <v>313</v>
      </c>
      <c r="B348">
        <v>137613</v>
      </c>
      <c r="C348">
        <v>70216</v>
      </c>
      <c r="D348">
        <v>433482</v>
      </c>
      <c r="E348">
        <v>276112</v>
      </c>
      <c r="F348">
        <v>11.7</v>
      </c>
      <c r="G348">
        <v>6.1</v>
      </c>
      <c r="H348">
        <v>16.600000000000001</v>
      </c>
      <c r="I348">
        <v>11.7</v>
      </c>
    </row>
    <row r="349" spans="1:9" ht="24" customHeight="1">
      <c r="A349" s="6" t="s">
        <v>314</v>
      </c>
      <c r="B349">
        <v>86514</v>
      </c>
      <c r="C349">
        <v>28611</v>
      </c>
      <c r="D349">
        <v>526883</v>
      </c>
      <c r="E349">
        <v>406399</v>
      </c>
      <c r="F349">
        <v>12.7</v>
      </c>
      <c r="G349">
        <v>7.5</v>
      </c>
      <c r="H349">
        <v>19.5</v>
      </c>
      <c r="I349">
        <v>14</v>
      </c>
    </row>
    <row r="350" spans="1:9" ht="24" customHeight="1">
      <c r="A350" s="6" t="s">
        <v>1884</v>
      </c>
      <c r="B350">
        <v>11256</v>
      </c>
      <c r="C350">
        <v>7136</v>
      </c>
      <c r="D350">
        <v>390400</v>
      </c>
      <c r="E350">
        <v>275963</v>
      </c>
      <c r="F350">
        <v>10.1</v>
      </c>
      <c r="G350">
        <v>4</v>
      </c>
      <c r="H350">
        <v>16.8</v>
      </c>
      <c r="I350">
        <v>11.3</v>
      </c>
    </row>
    <row r="351" spans="1:9" ht="24" customHeight="1">
      <c r="A351" s="6" t="s">
        <v>1885</v>
      </c>
      <c r="B351">
        <v>8384</v>
      </c>
      <c r="C351">
        <v>4807</v>
      </c>
      <c r="D351">
        <v>445439</v>
      </c>
      <c r="E351">
        <v>327303</v>
      </c>
      <c r="F351">
        <v>12.4</v>
      </c>
      <c r="G351">
        <v>3.7</v>
      </c>
      <c r="H351">
        <v>17.399999999999999</v>
      </c>
      <c r="I351">
        <v>12.5</v>
      </c>
    </row>
    <row r="352" spans="1:9" ht="24" customHeight="1">
      <c r="A352" s="6" t="s">
        <v>1886</v>
      </c>
      <c r="B352">
        <v>14972</v>
      </c>
      <c r="C352">
        <v>11685</v>
      </c>
      <c r="D352">
        <v>401577</v>
      </c>
      <c r="E352">
        <v>291422</v>
      </c>
      <c r="F352">
        <v>5.0999999999999996</v>
      </c>
      <c r="G352">
        <v>3.5</v>
      </c>
      <c r="H352">
        <v>16.8</v>
      </c>
      <c r="I352">
        <v>13.7</v>
      </c>
    </row>
    <row r="353" spans="1:9" ht="24" customHeight="1">
      <c r="A353" s="6" t="s">
        <v>1887</v>
      </c>
      <c r="B353">
        <v>12237</v>
      </c>
      <c r="C353">
        <v>7419</v>
      </c>
      <c r="D353">
        <v>439858</v>
      </c>
      <c r="E353">
        <v>353579</v>
      </c>
      <c r="F353">
        <v>5</v>
      </c>
      <c r="G353">
        <v>3.3</v>
      </c>
      <c r="H353">
        <v>17.7</v>
      </c>
      <c r="I353">
        <v>15</v>
      </c>
    </row>
    <row r="354" spans="1:9" ht="24" customHeight="1">
      <c r="A354" s="6" t="s">
        <v>1888</v>
      </c>
      <c r="B354">
        <v>29454</v>
      </c>
      <c r="C354">
        <v>26413</v>
      </c>
      <c r="D354">
        <v>408288</v>
      </c>
      <c r="E354">
        <v>292110</v>
      </c>
      <c r="F354">
        <v>4.4000000000000004</v>
      </c>
      <c r="G354">
        <v>4.4000000000000004</v>
      </c>
      <c r="H354">
        <v>18.100000000000001</v>
      </c>
      <c r="I354">
        <v>13.4</v>
      </c>
    </row>
    <row r="355" spans="1:9" ht="24" customHeight="1">
      <c r="A355" s="6" t="s">
        <v>1889</v>
      </c>
      <c r="B355">
        <v>24335</v>
      </c>
      <c r="C355">
        <v>17684</v>
      </c>
      <c r="D355">
        <v>448231</v>
      </c>
      <c r="E355">
        <v>350727</v>
      </c>
      <c r="F355">
        <v>4.3</v>
      </c>
      <c r="G355">
        <v>4.3</v>
      </c>
      <c r="H355">
        <v>18.600000000000001</v>
      </c>
      <c r="I355">
        <v>13.9</v>
      </c>
    </row>
    <row r="356" spans="1:9" ht="24" customHeight="1">
      <c r="A356" s="6" t="s">
        <v>316</v>
      </c>
      <c r="B356">
        <v>882780</v>
      </c>
      <c r="C356">
        <v>806170</v>
      </c>
      <c r="D356">
        <v>412517</v>
      </c>
      <c r="E356">
        <v>232787</v>
      </c>
      <c r="F356">
        <v>13.2</v>
      </c>
      <c r="G356">
        <v>5.3</v>
      </c>
      <c r="H356">
        <v>10</v>
      </c>
      <c r="I356">
        <v>5.5</v>
      </c>
    </row>
    <row r="357" spans="1:9" ht="24" customHeight="1">
      <c r="A357" s="6" t="s">
        <v>317</v>
      </c>
      <c r="B357">
        <v>508858</v>
      </c>
      <c r="C357">
        <v>186275</v>
      </c>
      <c r="D357">
        <v>533235</v>
      </c>
      <c r="E357">
        <v>367426</v>
      </c>
      <c r="F357">
        <v>16.7</v>
      </c>
      <c r="G357">
        <v>10.5</v>
      </c>
      <c r="H357">
        <v>13.6</v>
      </c>
      <c r="I357">
        <v>9.5</v>
      </c>
    </row>
    <row r="358" spans="1:9" ht="24" customHeight="1">
      <c r="A358" s="6" t="s">
        <v>1890</v>
      </c>
      <c r="B358">
        <v>574939</v>
      </c>
      <c r="C358">
        <v>356928</v>
      </c>
      <c r="D358">
        <v>318070</v>
      </c>
      <c r="E358">
        <v>197258</v>
      </c>
      <c r="F358">
        <v>9.1</v>
      </c>
      <c r="G358">
        <v>3.5</v>
      </c>
      <c r="H358">
        <v>9.5</v>
      </c>
      <c r="I358">
        <v>7.5</v>
      </c>
    </row>
    <row r="359" spans="1:9" ht="24" customHeight="1">
      <c r="A359" s="6" t="s">
        <v>1891</v>
      </c>
      <c r="B359">
        <v>382862</v>
      </c>
      <c r="C359">
        <v>135789</v>
      </c>
      <c r="D359">
        <v>381474</v>
      </c>
      <c r="E359">
        <v>313245</v>
      </c>
      <c r="F359">
        <v>11</v>
      </c>
      <c r="G359">
        <v>6</v>
      </c>
      <c r="H359">
        <v>10.9</v>
      </c>
      <c r="I359">
        <v>9.8000000000000007</v>
      </c>
    </row>
    <row r="360" spans="1:9" ht="24" customHeight="1">
      <c r="A360" s="6" t="s">
        <v>1892</v>
      </c>
      <c r="B360">
        <v>367033</v>
      </c>
      <c r="C360">
        <v>272980</v>
      </c>
      <c r="D360">
        <v>331377</v>
      </c>
      <c r="E360">
        <v>199972</v>
      </c>
      <c r="F360">
        <v>11.1</v>
      </c>
      <c r="G360">
        <v>4.7</v>
      </c>
      <c r="H360">
        <v>9.4</v>
      </c>
      <c r="I360">
        <v>6.8</v>
      </c>
    </row>
    <row r="361" spans="1:9" ht="24" customHeight="1">
      <c r="A361" s="6" t="s">
        <v>1893</v>
      </c>
      <c r="B361">
        <v>218875</v>
      </c>
      <c r="C361">
        <v>75149</v>
      </c>
      <c r="D361">
        <v>407444</v>
      </c>
      <c r="E361">
        <v>347342</v>
      </c>
      <c r="F361">
        <v>13.4</v>
      </c>
      <c r="G361">
        <v>9.6999999999999993</v>
      </c>
      <c r="H361">
        <v>11.4</v>
      </c>
      <c r="I361">
        <v>9.9</v>
      </c>
    </row>
    <row r="362" spans="1:9" ht="24" customHeight="1">
      <c r="A362" s="6" t="s">
        <v>1894</v>
      </c>
      <c r="B362">
        <v>380151</v>
      </c>
      <c r="C362">
        <v>366289</v>
      </c>
      <c r="D362">
        <v>325943</v>
      </c>
      <c r="E362">
        <v>197312</v>
      </c>
      <c r="F362">
        <v>13.6</v>
      </c>
      <c r="G362">
        <v>4.5</v>
      </c>
      <c r="H362">
        <v>8.9</v>
      </c>
      <c r="I362">
        <v>5.7</v>
      </c>
    </row>
    <row r="363" spans="1:9" ht="24" customHeight="1">
      <c r="A363" s="6" t="s">
        <v>1895</v>
      </c>
      <c r="B363">
        <v>183791</v>
      </c>
      <c r="C363">
        <v>81852</v>
      </c>
      <c r="D363">
        <v>432400</v>
      </c>
      <c r="E363">
        <v>346738</v>
      </c>
      <c r="F363">
        <v>18.3</v>
      </c>
      <c r="G363">
        <v>9.5</v>
      </c>
      <c r="H363">
        <v>12.2</v>
      </c>
      <c r="I363">
        <v>8.5</v>
      </c>
    </row>
    <row r="364" spans="1:9" ht="24" customHeight="1">
      <c r="A364" s="6" t="s">
        <v>319</v>
      </c>
      <c r="B364">
        <v>427825</v>
      </c>
      <c r="C364">
        <v>205382</v>
      </c>
      <c r="D364">
        <v>444295</v>
      </c>
      <c r="E364">
        <v>293073</v>
      </c>
      <c r="F364">
        <v>15.9</v>
      </c>
      <c r="G364">
        <v>12.5</v>
      </c>
      <c r="H364">
        <v>14.6</v>
      </c>
      <c r="I364">
        <v>9.5</v>
      </c>
    </row>
    <row r="365" spans="1:9" ht="24" customHeight="1">
      <c r="A365" s="6" t="s">
        <v>321</v>
      </c>
      <c r="B365">
        <v>57414</v>
      </c>
      <c r="C365">
        <v>16841</v>
      </c>
      <c r="D365">
        <v>462608</v>
      </c>
      <c r="E365">
        <v>334590</v>
      </c>
      <c r="F365">
        <v>13.5</v>
      </c>
      <c r="G365">
        <v>9.1999999999999993</v>
      </c>
      <c r="H365">
        <v>14.9</v>
      </c>
      <c r="I365">
        <v>11.9</v>
      </c>
    </row>
    <row r="366" spans="1:9" ht="24" customHeight="1">
      <c r="A366" s="6" t="s">
        <v>323</v>
      </c>
      <c r="B366">
        <v>72685</v>
      </c>
      <c r="C366">
        <v>73682</v>
      </c>
      <c r="D366">
        <v>390942</v>
      </c>
      <c r="E366">
        <v>238560</v>
      </c>
      <c r="F366">
        <v>9.6999999999999993</v>
      </c>
      <c r="G366">
        <v>5.6</v>
      </c>
      <c r="H366">
        <v>14.5</v>
      </c>
      <c r="I366">
        <v>13.6</v>
      </c>
    </row>
    <row r="367" spans="1:9" ht="24" customHeight="1">
      <c r="A367" s="6" t="s">
        <v>325</v>
      </c>
      <c r="B367">
        <v>48514</v>
      </c>
      <c r="C367">
        <v>10705</v>
      </c>
      <c r="D367">
        <v>389999</v>
      </c>
      <c r="E367">
        <v>281632</v>
      </c>
      <c r="F367">
        <v>13.4</v>
      </c>
      <c r="G367">
        <v>5.8</v>
      </c>
      <c r="H367">
        <v>12.9</v>
      </c>
      <c r="I367">
        <v>11.5</v>
      </c>
    </row>
    <row r="368" spans="1:9" ht="24" customHeight="1">
      <c r="A368" s="6" t="s">
        <v>327</v>
      </c>
      <c r="B368">
        <v>42034</v>
      </c>
      <c r="C368">
        <v>11990</v>
      </c>
      <c r="D368">
        <v>405910</v>
      </c>
      <c r="E368">
        <v>308819</v>
      </c>
      <c r="F368">
        <v>12</v>
      </c>
      <c r="G368">
        <v>7.7</v>
      </c>
      <c r="H368">
        <v>15.7</v>
      </c>
      <c r="I368">
        <v>11.9</v>
      </c>
    </row>
    <row r="369" spans="1:9" ht="24" customHeight="1">
      <c r="A369" s="6" t="s">
        <v>329</v>
      </c>
      <c r="B369">
        <v>105383</v>
      </c>
      <c r="C369">
        <v>25923</v>
      </c>
      <c r="D369">
        <v>429435</v>
      </c>
      <c r="E369">
        <v>285569</v>
      </c>
      <c r="F369">
        <v>12.5</v>
      </c>
      <c r="G369">
        <v>5.4</v>
      </c>
      <c r="H369">
        <v>15.5</v>
      </c>
      <c r="I369">
        <v>11.8</v>
      </c>
    </row>
    <row r="370" spans="1:9" ht="24" customHeight="1">
      <c r="A370" s="6" t="s">
        <v>331</v>
      </c>
      <c r="B370">
        <v>132751</v>
      </c>
      <c r="C370">
        <v>48222</v>
      </c>
      <c r="D370">
        <v>447502</v>
      </c>
      <c r="E370">
        <v>310568</v>
      </c>
      <c r="F370">
        <v>16.2</v>
      </c>
      <c r="G370">
        <v>11.3</v>
      </c>
      <c r="H370">
        <v>17.7</v>
      </c>
      <c r="I370">
        <v>12.5</v>
      </c>
    </row>
    <row r="371" spans="1:9" ht="24" customHeight="1">
      <c r="A371" s="6" t="s">
        <v>333</v>
      </c>
      <c r="B371">
        <v>277579</v>
      </c>
      <c r="C371">
        <v>84011</v>
      </c>
      <c r="D371">
        <v>595259</v>
      </c>
      <c r="E371">
        <v>459618</v>
      </c>
      <c r="F371">
        <v>12.5</v>
      </c>
      <c r="G371">
        <v>9.3000000000000007</v>
      </c>
      <c r="H371">
        <v>15.4</v>
      </c>
      <c r="I371">
        <v>12.1</v>
      </c>
    </row>
    <row r="372" spans="1:9" ht="24" customHeight="1">
      <c r="A372" s="6" t="s">
        <v>335</v>
      </c>
      <c r="B372">
        <v>9806</v>
      </c>
      <c r="C372">
        <v>1611</v>
      </c>
      <c r="D372">
        <v>576439</v>
      </c>
      <c r="E372">
        <v>395376</v>
      </c>
      <c r="F372">
        <v>22</v>
      </c>
      <c r="G372">
        <v>13.1</v>
      </c>
      <c r="H372">
        <v>14.2</v>
      </c>
      <c r="I372">
        <v>12.5</v>
      </c>
    </row>
    <row r="373" spans="1:9" ht="24" customHeight="1">
      <c r="A373" s="6" t="s">
        <v>337</v>
      </c>
      <c r="B373">
        <v>230842</v>
      </c>
      <c r="C373">
        <v>70051</v>
      </c>
      <c r="D373">
        <v>433669</v>
      </c>
      <c r="E373">
        <v>295475</v>
      </c>
      <c r="F373">
        <v>14.1</v>
      </c>
      <c r="G373">
        <v>8.6999999999999993</v>
      </c>
      <c r="H373">
        <v>14.7</v>
      </c>
      <c r="I373">
        <v>11.6</v>
      </c>
    </row>
    <row r="374" spans="1:9" ht="24" customHeight="1">
      <c r="A374" s="6" t="s">
        <v>339</v>
      </c>
      <c r="B374">
        <v>71061</v>
      </c>
      <c r="C374">
        <v>18177</v>
      </c>
      <c r="D374">
        <v>496034</v>
      </c>
      <c r="E374">
        <v>329436</v>
      </c>
      <c r="F374">
        <v>16.8</v>
      </c>
      <c r="G374">
        <v>8.8000000000000007</v>
      </c>
      <c r="H374">
        <v>15.3</v>
      </c>
      <c r="I374">
        <v>12.8</v>
      </c>
    </row>
    <row r="375" spans="1:9" ht="24" customHeight="1">
      <c r="A375" s="6" t="s">
        <v>341</v>
      </c>
      <c r="B375">
        <v>5849</v>
      </c>
      <c r="C375">
        <v>4461</v>
      </c>
      <c r="D375">
        <v>344940</v>
      </c>
      <c r="E375">
        <v>251691</v>
      </c>
      <c r="F375">
        <v>4.5999999999999996</v>
      </c>
      <c r="G375">
        <v>2.8</v>
      </c>
      <c r="H375">
        <v>13.2</v>
      </c>
      <c r="I375">
        <v>12.5</v>
      </c>
    </row>
    <row r="376" spans="1:9" ht="24" customHeight="1">
      <c r="A376" s="6" t="s">
        <v>343</v>
      </c>
      <c r="B376">
        <v>146160</v>
      </c>
      <c r="C376">
        <v>28773</v>
      </c>
      <c r="D376">
        <v>457938</v>
      </c>
      <c r="E376">
        <v>337236</v>
      </c>
      <c r="F376">
        <v>13.7</v>
      </c>
      <c r="G376">
        <v>7.2</v>
      </c>
      <c r="H376">
        <v>15</v>
      </c>
      <c r="I376">
        <v>13.5</v>
      </c>
    </row>
    <row r="377" spans="1:9" ht="24" customHeight="1">
      <c r="A377" s="6" t="s">
        <v>345</v>
      </c>
      <c r="B377">
        <v>165067</v>
      </c>
      <c r="C377">
        <v>18597</v>
      </c>
      <c r="D377">
        <v>536356</v>
      </c>
      <c r="E377">
        <v>386252</v>
      </c>
      <c r="F377">
        <v>21.3</v>
      </c>
      <c r="G377">
        <v>11.1</v>
      </c>
      <c r="H377">
        <v>15.2</v>
      </c>
      <c r="I377">
        <v>13</v>
      </c>
    </row>
    <row r="378" spans="1:9" ht="24" customHeight="1">
      <c r="A378" s="6" t="s">
        <v>347</v>
      </c>
      <c r="B378">
        <v>84954</v>
      </c>
      <c r="C378">
        <v>15515</v>
      </c>
      <c r="D378">
        <v>519265</v>
      </c>
      <c r="E378">
        <v>356393</v>
      </c>
      <c r="F378">
        <v>14.9</v>
      </c>
      <c r="G378">
        <v>7.7</v>
      </c>
      <c r="H378">
        <v>16.5</v>
      </c>
      <c r="I378">
        <v>12.8</v>
      </c>
    </row>
    <row r="379" spans="1:9" ht="24" customHeight="1">
      <c r="A379" s="6" t="s">
        <v>349</v>
      </c>
      <c r="B379">
        <v>314692</v>
      </c>
      <c r="C379">
        <v>76029</v>
      </c>
      <c r="D379">
        <v>437863</v>
      </c>
      <c r="E379">
        <v>316182</v>
      </c>
      <c r="F379">
        <v>13.5</v>
      </c>
      <c r="G379">
        <v>6.7</v>
      </c>
      <c r="H379">
        <v>14.1</v>
      </c>
      <c r="I379">
        <v>10.9</v>
      </c>
    </row>
    <row r="380" spans="1:9" ht="24" customHeight="1">
      <c r="A380" s="6" t="s">
        <v>351</v>
      </c>
      <c r="B380">
        <v>211562</v>
      </c>
      <c r="C380">
        <v>43421</v>
      </c>
      <c r="D380">
        <v>529941</v>
      </c>
      <c r="E380">
        <v>373783</v>
      </c>
      <c r="F380">
        <v>15.2</v>
      </c>
      <c r="G380">
        <v>9.5</v>
      </c>
      <c r="H380">
        <v>15.5</v>
      </c>
      <c r="I380">
        <v>12.9</v>
      </c>
    </row>
    <row r="381" spans="1:9" ht="24" customHeight="1">
      <c r="A381" s="6" t="s">
        <v>353</v>
      </c>
      <c r="B381">
        <v>374342</v>
      </c>
      <c r="C381">
        <v>70765</v>
      </c>
      <c r="D381">
        <v>509058</v>
      </c>
      <c r="E381">
        <v>368601</v>
      </c>
      <c r="F381">
        <v>15.6</v>
      </c>
      <c r="G381">
        <v>8.6999999999999993</v>
      </c>
      <c r="H381">
        <v>15.4</v>
      </c>
      <c r="I381">
        <v>11.6</v>
      </c>
    </row>
    <row r="382" spans="1:9" ht="24" customHeight="1">
      <c r="A382" s="6" t="s">
        <v>355</v>
      </c>
      <c r="B382">
        <v>126144</v>
      </c>
      <c r="C382">
        <v>39911</v>
      </c>
      <c r="D382">
        <v>537451</v>
      </c>
      <c r="E382">
        <v>378268</v>
      </c>
      <c r="F382">
        <v>13.2</v>
      </c>
      <c r="G382">
        <v>8.8000000000000007</v>
      </c>
      <c r="H382">
        <v>15.9</v>
      </c>
      <c r="I382">
        <v>13.4</v>
      </c>
    </row>
    <row r="383" spans="1:9" ht="24" customHeight="1">
      <c r="A383" s="6" t="s">
        <v>357</v>
      </c>
      <c r="B383">
        <v>226804</v>
      </c>
      <c r="C383">
        <v>68949</v>
      </c>
      <c r="D383">
        <v>532022</v>
      </c>
      <c r="E383">
        <v>356525</v>
      </c>
      <c r="F383">
        <v>13.6</v>
      </c>
      <c r="G383">
        <v>8.6</v>
      </c>
      <c r="H383">
        <v>17</v>
      </c>
      <c r="I383">
        <v>15.2</v>
      </c>
    </row>
    <row r="384" spans="1:9" ht="24" customHeight="1">
      <c r="A384" s="6" t="s">
        <v>359</v>
      </c>
      <c r="B384">
        <v>277887</v>
      </c>
      <c r="C384">
        <v>87824</v>
      </c>
      <c r="D384">
        <v>551374</v>
      </c>
      <c r="E384">
        <v>351847</v>
      </c>
      <c r="F384">
        <v>13.8</v>
      </c>
      <c r="G384">
        <v>8.4</v>
      </c>
      <c r="H384">
        <v>16.399999999999999</v>
      </c>
      <c r="I384">
        <v>14.4</v>
      </c>
    </row>
    <row r="385" spans="1:9" ht="24" customHeight="1">
      <c r="A385" s="6" t="s">
        <v>361</v>
      </c>
      <c r="B385">
        <v>88363</v>
      </c>
      <c r="C385">
        <v>25006</v>
      </c>
      <c r="D385">
        <v>577743</v>
      </c>
      <c r="E385">
        <v>395247</v>
      </c>
      <c r="F385">
        <v>14.2</v>
      </c>
      <c r="G385">
        <v>8.6999999999999993</v>
      </c>
      <c r="H385">
        <v>18</v>
      </c>
      <c r="I385">
        <v>16</v>
      </c>
    </row>
    <row r="386" spans="1:9" ht="24" customHeight="1">
      <c r="A386" s="6" t="s">
        <v>363</v>
      </c>
      <c r="B386">
        <v>609671</v>
      </c>
      <c r="C386">
        <v>113640</v>
      </c>
      <c r="D386">
        <v>522112</v>
      </c>
      <c r="E386">
        <v>352000</v>
      </c>
      <c r="F386">
        <v>19.2</v>
      </c>
      <c r="G386">
        <v>8.1999999999999993</v>
      </c>
      <c r="H386">
        <v>16.5</v>
      </c>
      <c r="I386">
        <v>11.5</v>
      </c>
    </row>
    <row r="387" spans="1:9" ht="24" customHeight="1">
      <c r="A387" s="6" t="s">
        <v>365</v>
      </c>
      <c r="B387">
        <v>76602</v>
      </c>
      <c r="C387">
        <v>31461</v>
      </c>
      <c r="D387">
        <v>485779</v>
      </c>
      <c r="E387">
        <v>342238</v>
      </c>
      <c r="F387">
        <v>11.9</v>
      </c>
      <c r="G387">
        <v>8.1</v>
      </c>
      <c r="H387">
        <v>15.4</v>
      </c>
      <c r="I387">
        <v>11.8</v>
      </c>
    </row>
    <row r="388" spans="1:9" ht="24" customHeight="1">
      <c r="A388" s="6" t="s">
        <v>367</v>
      </c>
      <c r="B388">
        <v>8562</v>
      </c>
      <c r="C388">
        <v>1578</v>
      </c>
      <c r="D388">
        <v>541803</v>
      </c>
      <c r="E388">
        <v>435386</v>
      </c>
      <c r="F388">
        <v>12.6</v>
      </c>
      <c r="G388">
        <v>7.7</v>
      </c>
      <c r="H388">
        <v>14</v>
      </c>
      <c r="I388">
        <v>10.3</v>
      </c>
    </row>
    <row r="389" spans="1:9" ht="24" customHeight="1">
      <c r="A389" s="6" t="s">
        <v>369</v>
      </c>
      <c r="B389">
        <v>1378826</v>
      </c>
      <c r="C389">
        <v>264626</v>
      </c>
      <c r="D389">
        <v>507968</v>
      </c>
      <c r="E389">
        <v>359941</v>
      </c>
      <c r="F389">
        <v>13.9</v>
      </c>
      <c r="G389">
        <v>8.6999999999999993</v>
      </c>
      <c r="H389">
        <v>13.7</v>
      </c>
      <c r="I389">
        <v>10.5</v>
      </c>
    </row>
    <row r="390" spans="1:9" ht="24" customHeight="1">
      <c r="A390" s="6" t="s">
        <v>371</v>
      </c>
      <c r="B390">
        <v>4183990</v>
      </c>
      <c r="C390">
        <v>1190948</v>
      </c>
      <c r="D390">
        <v>497675</v>
      </c>
      <c r="E390">
        <v>335498</v>
      </c>
      <c r="F390">
        <v>15.2</v>
      </c>
      <c r="G390">
        <v>9</v>
      </c>
      <c r="H390">
        <v>15.6</v>
      </c>
      <c r="I390">
        <v>12.1</v>
      </c>
    </row>
    <row r="391" spans="1:9" ht="24" customHeight="1">
      <c r="A391" s="6" t="s">
        <v>373</v>
      </c>
      <c r="B391">
        <v>111023</v>
      </c>
      <c r="C391">
        <v>17530</v>
      </c>
      <c r="D391">
        <v>620787</v>
      </c>
      <c r="E391">
        <v>500744</v>
      </c>
      <c r="F391">
        <v>15.8</v>
      </c>
      <c r="G391">
        <v>12.4</v>
      </c>
      <c r="H391">
        <v>19.399999999999999</v>
      </c>
      <c r="I391">
        <v>17</v>
      </c>
    </row>
    <row r="392" spans="1:9" ht="24" customHeight="1">
      <c r="A392" s="6" t="s">
        <v>375</v>
      </c>
      <c r="B392">
        <v>938905</v>
      </c>
      <c r="C392">
        <v>375931</v>
      </c>
      <c r="D392">
        <v>553224</v>
      </c>
      <c r="E392">
        <v>426127</v>
      </c>
      <c r="F392">
        <v>10.9</v>
      </c>
      <c r="G392">
        <v>9.3000000000000007</v>
      </c>
      <c r="H392">
        <v>12.9</v>
      </c>
      <c r="I392">
        <v>9.1</v>
      </c>
    </row>
    <row r="393" spans="1:9" ht="24" customHeight="1">
      <c r="A393" s="6" t="s">
        <v>377</v>
      </c>
      <c r="B393">
        <v>1674118</v>
      </c>
      <c r="C393">
        <v>261137</v>
      </c>
      <c r="D393">
        <v>432000</v>
      </c>
      <c r="E393">
        <v>339618</v>
      </c>
      <c r="F393">
        <v>27.7</v>
      </c>
      <c r="G393">
        <v>14</v>
      </c>
      <c r="H393">
        <v>13.1</v>
      </c>
      <c r="I393">
        <v>10</v>
      </c>
    </row>
    <row r="394" spans="1:9" ht="24" customHeight="1">
      <c r="A394" s="6" t="s">
        <v>379</v>
      </c>
      <c r="B394">
        <v>2964782</v>
      </c>
      <c r="C394">
        <v>1311225</v>
      </c>
      <c r="D394">
        <v>489787</v>
      </c>
      <c r="E394">
        <v>356416</v>
      </c>
      <c r="F394">
        <v>10.9</v>
      </c>
      <c r="G394">
        <v>7.9</v>
      </c>
      <c r="H394">
        <v>14.1</v>
      </c>
      <c r="I394">
        <v>10.1</v>
      </c>
    </row>
    <row r="395" spans="1:9" ht="24" customHeight="1">
      <c r="A395" s="6" t="s">
        <v>381</v>
      </c>
      <c r="B395">
        <v>429309</v>
      </c>
      <c r="C395">
        <v>548364</v>
      </c>
      <c r="D395">
        <v>733897</v>
      </c>
      <c r="E395">
        <v>413707</v>
      </c>
      <c r="F395">
        <v>12.9</v>
      </c>
      <c r="G395">
        <v>8.8000000000000007</v>
      </c>
      <c r="H395">
        <v>15.5</v>
      </c>
      <c r="I395">
        <v>12.4</v>
      </c>
    </row>
    <row r="396" spans="1:9" ht="24" customHeight="1">
      <c r="A396" s="6" t="s">
        <v>383</v>
      </c>
      <c r="B396">
        <v>289673</v>
      </c>
      <c r="C396">
        <v>159967</v>
      </c>
      <c r="D396">
        <v>561151</v>
      </c>
      <c r="E396">
        <v>396116</v>
      </c>
      <c r="F396">
        <v>11.2</v>
      </c>
      <c r="G396">
        <v>8.3000000000000007</v>
      </c>
      <c r="H396">
        <v>11.1</v>
      </c>
      <c r="I396">
        <v>8.8000000000000007</v>
      </c>
    </row>
    <row r="397" spans="1:9" ht="24" customHeight="1">
      <c r="A397" s="6" t="s">
        <v>385</v>
      </c>
      <c r="B397">
        <v>771139</v>
      </c>
      <c r="C397">
        <v>317499</v>
      </c>
      <c r="D397">
        <v>605257</v>
      </c>
      <c r="E397">
        <v>421351</v>
      </c>
      <c r="F397">
        <v>12.8</v>
      </c>
      <c r="G397">
        <v>9.6999999999999993</v>
      </c>
      <c r="H397">
        <v>12.6</v>
      </c>
      <c r="I397">
        <v>8.6999999999999993</v>
      </c>
    </row>
    <row r="398" spans="1:9" ht="24" customHeight="1">
      <c r="A398" s="6" t="s">
        <v>387</v>
      </c>
      <c r="B398">
        <v>350392</v>
      </c>
      <c r="C398">
        <v>206822</v>
      </c>
      <c r="D398">
        <v>378575</v>
      </c>
      <c r="E398">
        <v>295183</v>
      </c>
      <c r="F398">
        <v>14.9</v>
      </c>
      <c r="G398">
        <v>11.7</v>
      </c>
      <c r="H398">
        <v>11.2</v>
      </c>
      <c r="I398">
        <v>8.4</v>
      </c>
    </row>
    <row r="399" spans="1:9" ht="24" customHeight="1">
      <c r="A399" s="6" t="s">
        <v>389</v>
      </c>
      <c r="B399">
        <v>260278</v>
      </c>
      <c r="C399">
        <v>179587</v>
      </c>
      <c r="D399">
        <v>417421</v>
      </c>
      <c r="E399">
        <v>306779</v>
      </c>
      <c r="F399">
        <v>9.5</v>
      </c>
      <c r="G399">
        <v>7.4</v>
      </c>
      <c r="H399">
        <v>12.7</v>
      </c>
      <c r="I399">
        <v>9.1</v>
      </c>
    </row>
    <row r="400" spans="1:9" ht="24" customHeight="1">
      <c r="A400" s="6" t="s">
        <v>391</v>
      </c>
      <c r="B400">
        <v>311935</v>
      </c>
      <c r="C400">
        <v>298268</v>
      </c>
      <c r="D400">
        <v>611350</v>
      </c>
      <c r="E400">
        <v>432551</v>
      </c>
      <c r="F400">
        <v>6.9</v>
      </c>
      <c r="G400">
        <v>4.9000000000000004</v>
      </c>
      <c r="H400">
        <v>14.5</v>
      </c>
      <c r="I400">
        <v>10.8</v>
      </c>
    </row>
    <row r="401" spans="1:9" ht="24" customHeight="1">
      <c r="A401" s="6" t="s">
        <v>393</v>
      </c>
      <c r="B401">
        <v>1208789</v>
      </c>
      <c r="C401">
        <v>2731151</v>
      </c>
      <c r="D401">
        <v>465860</v>
      </c>
      <c r="E401">
        <v>362382</v>
      </c>
      <c r="F401">
        <v>7.3</v>
      </c>
      <c r="G401">
        <v>5.4</v>
      </c>
      <c r="H401">
        <v>9.6</v>
      </c>
      <c r="I401">
        <v>8.9</v>
      </c>
    </row>
    <row r="402" spans="1:9" ht="24" customHeight="1">
      <c r="A402" s="6" t="s">
        <v>395</v>
      </c>
      <c r="B402">
        <v>131470</v>
      </c>
      <c r="C402">
        <v>58521</v>
      </c>
      <c r="D402">
        <v>499031</v>
      </c>
      <c r="E402">
        <v>376383</v>
      </c>
      <c r="F402">
        <v>10.4</v>
      </c>
      <c r="G402">
        <v>5.7</v>
      </c>
      <c r="H402">
        <v>19</v>
      </c>
      <c r="I402">
        <v>14</v>
      </c>
    </row>
    <row r="403" spans="1:9" ht="24" customHeight="1">
      <c r="A403" s="6" t="s">
        <v>397</v>
      </c>
      <c r="B403">
        <v>1294387</v>
      </c>
      <c r="C403">
        <v>479065</v>
      </c>
      <c r="D403">
        <v>452758</v>
      </c>
      <c r="E403">
        <v>345384</v>
      </c>
      <c r="F403">
        <v>14.7</v>
      </c>
      <c r="G403">
        <v>8.9</v>
      </c>
      <c r="H403">
        <v>12.2</v>
      </c>
      <c r="I403">
        <v>9.5</v>
      </c>
    </row>
    <row r="404" spans="1:9" ht="24" customHeight="1">
      <c r="A404" s="6" t="s">
        <v>399</v>
      </c>
      <c r="B404">
        <v>8326283</v>
      </c>
      <c r="C404">
        <v>7534459</v>
      </c>
      <c r="D404">
        <v>458181</v>
      </c>
      <c r="E404">
        <v>234287</v>
      </c>
      <c r="F404">
        <v>13</v>
      </c>
      <c r="G404">
        <v>5.9</v>
      </c>
      <c r="H404">
        <v>12.4</v>
      </c>
      <c r="I404">
        <v>7.8</v>
      </c>
    </row>
    <row r="405" spans="1:9" ht="24" customHeight="1">
      <c r="A405" s="6" t="s">
        <v>400</v>
      </c>
      <c r="B405">
        <v>5551011</v>
      </c>
      <c r="C405">
        <v>2557139</v>
      </c>
      <c r="D405">
        <v>593279</v>
      </c>
      <c r="E405">
        <v>418354</v>
      </c>
      <c r="F405">
        <v>16.8</v>
      </c>
      <c r="G405">
        <v>10.5</v>
      </c>
      <c r="H405">
        <v>15.5</v>
      </c>
      <c r="I405">
        <v>10.9</v>
      </c>
    </row>
    <row r="406" spans="1:9" ht="24" customHeight="1">
      <c r="A406" s="6" t="s">
        <v>1896</v>
      </c>
      <c r="B406">
        <v>6659455</v>
      </c>
      <c r="C406">
        <v>6017875</v>
      </c>
      <c r="D406">
        <v>352905</v>
      </c>
      <c r="E406">
        <v>205529</v>
      </c>
      <c r="F406">
        <v>9.6</v>
      </c>
      <c r="G406">
        <v>3.2</v>
      </c>
      <c r="H406">
        <v>10.8</v>
      </c>
      <c r="I406">
        <v>7.7</v>
      </c>
    </row>
    <row r="407" spans="1:9" ht="24" customHeight="1">
      <c r="A407" s="6" t="s">
        <v>1897</v>
      </c>
      <c r="B407">
        <v>4980799</v>
      </c>
      <c r="C407">
        <v>2686464</v>
      </c>
      <c r="D407">
        <v>411572</v>
      </c>
      <c r="E407">
        <v>315333</v>
      </c>
      <c r="F407">
        <v>11.3</v>
      </c>
      <c r="G407">
        <v>5.5</v>
      </c>
      <c r="H407">
        <v>12</v>
      </c>
      <c r="I407">
        <v>9.1999999999999993</v>
      </c>
    </row>
    <row r="408" spans="1:9" ht="24" customHeight="1">
      <c r="A408" s="6" t="s">
        <v>1898</v>
      </c>
      <c r="B408">
        <v>3754354</v>
      </c>
      <c r="C408">
        <v>3168309</v>
      </c>
      <c r="D408">
        <v>404692</v>
      </c>
      <c r="E408">
        <v>253506</v>
      </c>
      <c r="F408">
        <v>11.5</v>
      </c>
      <c r="G408">
        <v>4.5999999999999996</v>
      </c>
      <c r="H408">
        <v>12.1</v>
      </c>
      <c r="I408">
        <v>8.6999999999999993</v>
      </c>
    </row>
    <row r="409" spans="1:9" ht="24" customHeight="1">
      <c r="A409" s="6" t="s">
        <v>1899</v>
      </c>
      <c r="B409">
        <v>2884218</v>
      </c>
      <c r="C409">
        <v>1632062</v>
      </c>
      <c r="D409">
        <v>457961</v>
      </c>
      <c r="E409">
        <v>351153</v>
      </c>
      <c r="F409">
        <v>13.1</v>
      </c>
      <c r="G409">
        <v>6.6</v>
      </c>
      <c r="H409">
        <v>12.9</v>
      </c>
      <c r="I409">
        <v>9.9</v>
      </c>
    </row>
    <row r="410" spans="1:9" ht="24" customHeight="1">
      <c r="A410" s="6" t="s">
        <v>1900</v>
      </c>
      <c r="B410">
        <v>3786359</v>
      </c>
      <c r="C410">
        <v>3230934</v>
      </c>
      <c r="D410">
        <v>442308</v>
      </c>
      <c r="E410">
        <v>255012</v>
      </c>
      <c r="F410">
        <v>13.1</v>
      </c>
      <c r="G410">
        <v>5.2</v>
      </c>
      <c r="H410">
        <v>12.7</v>
      </c>
      <c r="I410">
        <v>8.1999999999999993</v>
      </c>
    </row>
    <row r="411" spans="1:9" ht="24" customHeight="1">
      <c r="A411" s="6" t="s">
        <v>1901</v>
      </c>
      <c r="B411">
        <v>2891550</v>
      </c>
      <c r="C411">
        <v>1526556</v>
      </c>
      <c r="D411">
        <v>511143</v>
      </c>
      <c r="E411">
        <v>377875</v>
      </c>
      <c r="F411">
        <v>15.2</v>
      </c>
      <c r="G411">
        <v>8</v>
      </c>
      <c r="H411">
        <v>14.1</v>
      </c>
      <c r="I411">
        <v>9.9</v>
      </c>
    </row>
    <row r="412" spans="1:9" ht="24" customHeight="1">
      <c r="A412" s="6" t="s">
        <v>402</v>
      </c>
      <c r="B412">
        <v>16307578</v>
      </c>
      <c r="C412">
        <v>8402221</v>
      </c>
      <c r="D412">
        <v>499284</v>
      </c>
      <c r="E412">
        <v>365007</v>
      </c>
      <c r="F412">
        <v>14.2</v>
      </c>
      <c r="G412">
        <v>7.7</v>
      </c>
      <c r="H412">
        <v>13.7</v>
      </c>
      <c r="I412">
        <v>10</v>
      </c>
    </row>
    <row r="413" spans="1:9" ht="24" customHeight="1">
      <c r="A413" s="6" t="s">
        <v>1149</v>
      </c>
      <c r="B413">
        <v>16220936</v>
      </c>
      <c r="C413">
        <v>8080594</v>
      </c>
      <c r="D413">
        <v>500634</v>
      </c>
      <c r="E413">
        <v>369584</v>
      </c>
      <c r="F413">
        <v>14.2</v>
      </c>
      <c r="G413">
        <v>7.9</v>
      </c>
      <c r="H413">
        <v>13.7</v>
      </c>
      <c r="I413">
        <v>9.9</v>
      </c>
    </row>
    <row r="414" spans="1:9" ht="24" customHeight="1">
      <c r="A414" s="6" t="s">
        <v>421</v>
      </c>
      <c r="B414">
        <v>8514</v>
      </c>
      <c r="C414">
        <v>1559</v>
      </c>
      <c r="D414">
        <v>543891</v>
      </c>
      <c r="E414">
        <v>438200</v>
      </c>
      <c r="F414">
        <v>12.7</v>
      </c>
      <c r="G414">
        <v>7.8</v>
      </c>
      <c r="H414">
        <v>14</v>
      </c>
      <c r="I414">
        <v>10.199999999999999</v>
      </c>
    </row>
    <row r="415" spans="1:9" ht="24" customHeight="1">
      <c r="A415" s="6" t="s">
        <v>422</v>
      </c>
      <c r="B415">
        <v>1363951</v>
      </c>
      <c r="C415">
        <v>250211</v>
      </c>
      <c r="D415">
        <v>511216</v>
      </c>
      <c r="E415">
        <v>364477</v>
      </c>
      <c r="F415">
        <v>14.1</v>
      </c>
      <c r="G415">
        <v>9</v>
      </c>
      <c r="H415">
        <v>13.7</v>
      </c>
      <c r="I415">
        <v>10.3</v>
      </c>
    </row>
    <row r="416" spans="1:9" ht="24" customHeight="1">
      <c r="A416" s="6" t="s">
        <v>423</v>
      </c>
      <c r="B416">
        <v>4172350</v>
      </c>
      <c r="C416">
        <v>1147840</v>
      </c>
      <c r="D416">
        <v>498281</v>
      </c>
      <c r="E416">
        <v>339670</v>
      </c>
      <c r="F416">
        <v>15.2</v>
      </c>
      <c r="G416">
        <v>9.3000000000000007</v>
      </c>
      <c r="H416">
        <v>15.6</v>
      </c>
      <c r="I416">
        <v>12.1</v>
      </c>
    </row>
    <row r="417" spans="1:9" ht="24" customHeight="1">
      <c r="A417" s="6" t="s">
        <v>424</v>
      </c>
      <c r="B417">
        <v>426942</v>
      </c>
      <c r="C417">
        <v>199591</v>
      </c>
      <c r="D417">
        <v>444865</v>
      </c>
      <c r="E417">
        <v>295383</v>
      </c>
      <c r="F417">
        <v>16</v>
      </c>
      <c r="G417">
        <v>12.8</v>
      </c>
      <c r="H417">
        <v>14.6</v>
      </c>
      <c r="I417">
        <v>9.4</v>
      </c>
    </row>
    <row r="418" spans="1:9" ht="24" customHeight="1">
      <c r="A418" s="6" t="s">
        <v>425</v>
      </c>
      <c r="B418">
        <v>145175</v>
      </c>
      <c r="C418">
        <v>68693</v>
      </c>
      <c r="D418">
        <v>466457</v>
      </c>
      <c r="E418">
        <v>313258</v>
      </c>
      <c r="F418">
        <v>20.7</v>
      </c>
      <c r="G418">
        <v>17.600000000000001</v>
      </c>
      <c r="H418">
        <v>15.4</v>
      </c>
      <c r="I418">
        <v>8.3000000000000007</v>
      </c>
    </row>
    <row r="419" spans="1:9" ht="24" customHeight="1">
      <c r="A419" s="6" t="s">
        <v>426</v>
      </c>
      <c r="B419">
        <v>4770</v>
      </c>
      <c r="C419">
        <v>9318</v>
      </c>
      <c r="D419">
        <v>213940</v>
      </c>
      <c r="E419">
        <v>196946</v>
      </c>
      <c r="F419">
        <v>6.8</v>
      </c>
      <c r="G419">
        <v>2.6</v>
      </c>
      <c r="H419">
        <v>0</v>
      </c>
      <c r="I419">
        <v>0</v>
      </c>
    </row>
    <row r="420" spans="1:9" ht="24" customHeight="1">
      <c r="A420" s="6" t="s">
        <v>1902</v>
      </c>
      <c r="B420">
        <v>6985</v>
      </c>
      <c r="C420">
        <v>18456</v>
      </c>
      <c r="D420">
        <v>284956</v>
      </c>
      <c r="E420">
        <v>258363</v>
      </c>
      <c r="F420">
        <v>16.7</v>
      </c>
      <c r="G420">
        <v>21.8</v>
      </c>
      <c r="H420">
        <v>1.7</v>
      </c>
      <c r="I420">
        <v>1.5</v>
      </c>
    </row>
    <row r="421" spans="1:9" ht="24" customHeight="1">
      <c r="A421" s="6" t="s">
        <v>1903</v>
      </c>
      <c r="B421">
        <v>31468</v>
      </c>
      <c r="C421">
        <v>5520</v>
      </c>
      <c r="D421">
        <v>419661</v>
      </c>
      <c r="E421">
        <v>353885</v>
      </c>
      <c r="F421">
        <v>23</v>
      </c>
      <c r="G421">
        <v>16.100000000000001</v>
      </c>
      <c r="H421">
        <v>11.9</v>
      </c>
      <c r="I421">
        <v>13.1</v>
      </c>
    </row>
    <row r="422" spans="1:9" ht="24" customHeight="1">
      <c r="A422" s="6" t="s">
        <v>1904</v>
      </c>
      <c r="B422">
        <v>23478</v>
      </c>
      <c r="C422">
        <v>7301</v>
      </c>
      <c r="D422">
        <v>478412</v>
      </c>
      <c r="E422">
        <v>387950</v>
      </c>
      <c r="F422">
        <v>22.1</v>
      </c>
      <c r="G422">
        <v>10.7</v>
      </c>
      <c r="H422">
        <v>17.100000000000001</v>
      </c>
      <c r="I422">
        <v>16.8</v>
      </c>
    </row>
    <row r="423" spans="1:9" ht="24" customHeight="1">
      <c r="A423" s="6" t="s">
        <v>1905</v>
      </c>
      <c r="B423">
        <v>14103</v>
      </c>
      <c r="C423">
        <v>4050</v>
      </c>
      <c r="D423">
        <v>588829</v>
      </c>
      <c r="E423">
        <v>431950</v>
      </c>
      <c r="F423">
        <v>28.5</v>
      </c>
      <c r="G423">
        <v>13.3</v>
      </c>
      <c r="H423">
        <v>22.1</v>
      </c>
      <c r="I423">
        <v>20.8</v>
      </c>
    </row>
    <row r="424" spans="1:9" ht="24" customHeight="1">
      <c r="A424" s="6" t="s">
        <v>1906</v>
      </c>
      <c r="B424">
        <v>12862</v>
      </c>
      <c r="C424">
        <v>1423</v>
      </c>
      <c r="D424">
        <v>577653</v>
      </c>
      <c r="E424">
        <v>530610</v>
      </c>
      <c r="F424">
        <v>15.2</v>
      </c>
      <c r="G424">
        <v>10.5</v>
      </c>
      <c r="H424">
        <v>26.5</v>
      </c>
      <c r="I424">
        <v>26.8</v>
      </c>
    </row>
    <row r="425" spans="1:9" ht="24" customHeight="1">
      <c r="A425" s="6" t="s">
        <v>1907</v>
      </c>
      <c r="B425">
        <v>11287</v>
      </c>
      <c r="C425">
        <v>9714</v>
      </c>
      <c r="D425">
        <v>316885</v>
      </c>
      <c r="E425">
        <v>284761</v>
      </c>
      <c r="F425">
        <v>23.7</v>
      </c>
      <c r="G425">
        <v>18.899999999999999</v>
      </c>
      <c r="H425">
        <v>3.5</v>
      </c>
      <c r="I425">
        <v>3.6</v>
      </c>
    </row>
    <row r="426" spans="1:9" ht="24" customHeight="1">
      <c r="A426" s="6" t="s">
        <v>427</v>
      </c>
      <c r="B426">
        <v>18739</v>
      </c>
      <c r="C426">
        <v>4532</v>
      </c>
      <c r="D426">
        <v>706712</v>
      </c>
      <c r="E426">
        <v>431924</v>
      </c>
      <c r="F426">
        <v>11.3</v>
      </c>
      <c r="G426">
        <v>19.3</v>
      </c>
      <c r="H426">
        <v>33.1</v>
      </c>
      <c r="I426">
        <v>30.8</v>
      </c>
    </row>
    <row r="427" spans="1:9" ht="24" customHeight="1">
      <c r="A427" s="6" t="s">
        <v>1908</v>
      </c>
      <c r="B427">
        <v>21591</v>
      </c>
      <c r="C427">
        <v>9805</v>
      </c>
      <c r="D427">
        <v>358554</v>
      </c>
      <c r="E427">
        <v>340727</v>
      </c>
      <c r="F427">
        <v>24.6</v>
      </c>
      <c r="G427">
        <v>28.5</v>
      </c>
      <c r="H427">
        <v>6.8</v>
      </c>
      <c r="I427">
        <v>6.6</v>
      </c>
    </row>
    <row r="428" spans="1:9" ht="24" customHeight="1">
      <c r="A428" s="6" t="s">
        <v>1909</v>
      </c>
      <c r="B428">
        <v>102607</v>
      </c>
      <c r="C428">
        <v>56384</v>
      </c>
      <c r="D428">
        <v>346516</v>
      </c>
      <c r="E428">
        <v>237115</v>
      </c>
      <c r="F428">
        <v>10.8</v>
      </c>
      <c r="G428">
        <v>6</v>
      </c>
      <c r="H428">
        <v>11.7</v>
      </c>
      <c r="I428">
        <v>9.4</v>
      </c>
    </row>
    <row r="429" spans="1:9" ht="24" customHeight="1">
      <c r="A429" s="6" t="s">
        <v>1910</v>
      </c>
      <c r="B429">
        <v>7919</v>
      </c>
      <c r="C429">
        <v>4570</v>
      </c>
      <c r="D429">
        <v>248573</v>
      </c>
      <c r="E429">
        <v>194631</v>
      </c>
      <c r="F429">
        <v>11.7</v>
      </c>
      <c r="G429">
        <v>4.9000000000000004</v>
      </c>
      <c r="H429">
        <v>0</v>
      </c>
      <c r="I429">
        <v>0</v>
      </c>
    </row>
    <row r="430" spans="1:9" ht="24" customHeight="1">
      <c r="A430" s="6" t="s">
        <v>1911</v>
      </c>
      <c r="B430">
        <v>10876</v>
      </c>
      <c r="C430">
        <v>7509</v>
      </c>
      <c r="D430">
        <v>290017</v>
      </c>
      <c r="E430">
        <v>203359</v>
      </c>
      <c r="F430">
        <v>13.2</v>
      </c>
      <c r="G430">
        <v>2.7</v>
      </c>
      <c r="H430">
        <v>1.5</v>
      </c>
      <c r="I430">
        <v>1.4</v>
      </c>
    </row>
    <row r="431" spans="1:9" ht="24" customHeight="1">
      <c r="A431" s="6" t="s">
        <v>1912</v>
      </c>
      <c r="B431">
        <v>16423</v>
      </c>
      <c r="C431">
        <v>10893</v>
      </c>
      <c r="D431">
        <v>351488</v>
      </c>
      <c r="E431">
        <v>249739</v>
      </c>
      <c r="F431">
        <v>10.5</v>
      </c>
      <c r="G431">
        <v>6</v>
      </c>
      <c r="H431">
        <v>12.1</v>
      </c>
      <c r="I431">
        <v>12</v>
      </c>
    </row>
    <row r="432" spans="1:9" ht="24" customHeight="1">
      <c r="A432" s="6" t="s">
        <v>1913</v>
      </c>
      <c r="B432">
        <v>12235</v>
      </c>
      <c r="C432">
        <v>5913</v>
      </c>
      <c r="D432">
        <v>384079</v>
      </c>
      <c r="E432">
        <v>244882</v>
      </c>
      <c r="F432">
        <v>10.6</v>
      </c>
      <c r="G432">
        <v>6.8</v>
      </c>
      <c r="H432">
        <v>16.7</v>
      </c>
      <c r="I432">
        <v>16.399999999999999</v>
      </c>
    </row>
    <row r="433" spans="1:9" ht="24" customHeight="1">
      <c r="A433" s="6" t="s">
        <v>1914</v>
      </c>
      <c r="B433">
        <v>9040</v>
      </c>
      <c r="C433">
        <v>3524</v>
      </c>
      <c r="D433">
        <v>426073</v>
      </c>
      <c r="E433">
        <v>229523</v>
      </c>
      <c r="F433">
        <v>11.7</v>
      </c>
      <c r="G433">
        <v>7.9</v>
      </c>
      <c r="H433">
        <v>21.6</v>
      </c>
      <c r="I433">
        <v>21.2</v>
      </c>
    </row>
    <row r="434" spans="1:9" ht="24" customHeight="1">
      <c r="A434" s="6" t="s">
        <v>1915</v>
      </c>
      <c r="B434">
        <v>6010</v>
      </c>
      <c r="C434">
        <v>2176</v>
      </c>
      <c r="D434">
        <v>419920</v>
      </c>
      <c r="E434">
        <v>286387</v>
      </c>
      <c r="F434">
        <v>7</v>
      </c>
      <c r="G434">
        <v>4.7</v>
      </c>
      <c r="H434">
        <v>27.1</v>
      </c>
      <c r="I434">
        <v>26.7</v>
      </c>
    </row>
    <row r="435" spans="1:9" ht="24" customHeight="1">
      <c r="A435" s="6" t="s">
        <v>1916</v>
      </c>
      <c r="B435">
        <v>11211</v>
      </c>
      <c r="C435">
        <v>10166</v>
      </c>
      <c r="D435">
        <v>312156</v>
      </c>
      <c r="E435">
        <v>226788</v>
      </c>
      <c r="F435">
        <v>11.6</v>
      </c>
      <c r="G435">
        <v>7.2</v>
      </c>
      <c r="H435">
        <v>3.4</v>
      </c>
      <c r="I435">
        <v>3.5</v>
      </c>
    </row>
    <row r="436" spans="1:9" ht="24" customHeight="1">
      <c r="A436" s="6" t="s">
        <v>1917</v>
      </c>
      <c r="B436">
        <v>6425</v>
      </c>
      <c r="C436">
        <v>2212</v>
      </c>
      <c r="D436">
        <v>392242</v>
      </c>
      <c r="E436">
        <v>323573</v>
      </c>
      <c r="F436">
        <v>6.5</v>
      </c>
      <c r="G436">
        <v>4.8</v>
      </c>
      <c r="H436">
        <v>34.700000000000003</v>
      </c>
      <c r="I436">
        <v>32.5</v>
      </c>
    </row>
    <row r="437" spans="1:9" ht="24" customHeight="1">
      <c r="A437" s="6" t="s">
        <v>1918</v>
      </c>
      <c r="B437">
        <v>22531</v>
      </c>
      <c r="C437">
        <v>11820</v>
      </c>
      <c r="D437">
        <v>336319</v>
      </c>
      <c r="E437">
        <v>226314</v>
      </c>
      <c r="F437">
        <v>11.2</v>
      </c>
      <c r="G437">
        <v>5.8</v>
      </c>
      <c r="H437">
        <v>7.2</v>
      </c>
      <c r="I437">
        <v>6.8</v>
      </c>
    </row>
    <row r="438" spans="1:9" ht="24" customHeight="1">
      <c r="A438" s="6" t="s">
        <v>1919</v>
      </c>
      <c r="B438">
        <v>66728</v>
      </c>
      <c r="C438">
        <v>39626</v>
      </c>
      <c r="D438">
        <v>427284</v>
      </c>
      <c r="E438">
        <v>290049</v>
      </c>
      <c r="F438">
        <v>14.5</v>
      </c>
      <c r="G438">
        <v>13.7</v>
      </c>
      <c r="H438">
        <v>14.4</v>
      </c>
      <c r="I438">
        <v>10.6</v>
      </c>
    </row>
    <row r="439" spans="1:9" ht="24" customHeight="1">
      <c r="A439" s="6" t="s">
        <v>1920</v>
      </c>
      <c r="B439">
        <v>4326</v>
      </c>
      <c r="C439">
        <v>3717</v>
      </c>
      <c r="D439">
        <v>265201</v>
      </c>
      <c r="E439">
        <v>208919</v>
      </c>
      <c r="F439">
        <v>10.4</v>
      </c>
      <c r="G439">
        <v>5.7</v>
      </c>
      <c r="H439">
        <v>0</v>
      </c>
      <c r="I439">
        <v>0</v>
      </c>
    </row>
    <row r="440" spans="1:9" ht="24" customHeight="1">
      <c r="A440" s="6" t="s">
        <v>1921</v>
      </c>
      <c r="B440">
        <v>6415</v>
      </c>
      <c r="C440">
        <v>5168</v>
      </c>
      <c r="D440">
        <v>354819</v>
      </c>
      <c r="E440">
        <v>265318</v>
      </c>
      <c r="F440">
        <v>20.6</v>
      </c>
      <c r="G440">
        <v>18.2</v>
      </c>
      <c r="H440">
        <v>1.4</v>
      </c>
      <c r="I440">
        <v>1.5</v>
      </c>
    </row>
    <row r="441" spans="1:9" ht="24" customHeight="1">
      <c r="A441" s="6" t="s">
        <v>1922</v>
      </c>
      <c r="B441">
        <v>7838</v>
      </c>
      <c r="C441">
        <v>5165</v>
      </c>
      <c r="D441">
        <v>390350</v>
      </c>
      <c r="E441">
        <v>282828</v>
      </c>
      <c r="F441">
        <v>16.2</v>
      </c>
      <c r="G441">
        <v>12.1</v>
      </c>
      <c r="H441">
        <v>11.6</v>
      </c>
      <c r="I441">
        <v>12.1</v>
      </c>
    </row>
    <row r="442" spans="1:9" ht="24" customHeight="1">
      <c r="A442" s="6" t="s">
        <v>1923</v>
      </c>
      <c r="B442">
        <v>11747</v>
      </c>
      <c r="C442">
        <v>5552</v>
      </c>
      <c r="D442">
        <v>454560</v>
      </c>
      <c r="E442">
        <v>304198</v>
      </c>
      <c r="F442">
        <v>14.2</v>
      </c>
      <c r="G442">
        <v>12.3</v>
      </c>
      <c r="H442">
        <v>16.600000000000001</v>
      </c>
      <c r="I442">
        <v>16.899999999999999</v>
      </c>
    </row>
    <row r="443" spans="1:9" ht="24" customHeight="1">
      <c r="A443" s="6" t="s">
        <v>1924</v>
      </c>
      <c r="B443">
        <v>7461</v>
      </c>
      <c r="C443">
        <v>2905</v>
      </c>
      <c r="D443">
        <v>490914</v>
      </c>
      <c r="E443">
        <v>319162</v>
      </c>
      <c r="F443">
        <v>11.4</v>
      </c>
      <c r="G443">
        <v>9.8000000000000007</v>
      </c>
      <c r="H443">
        <v>21.9</v>
      </c>
      <c r="I443">
        <v>22</v>
      </c>
    </row>
    <row r="444" spans="1:9" ht="24" customHeight="1">
      <c r="A444" s="6" t="s">
        <v>1925</v>
      </c>
      <c r="B444">
        <v>6920</v>
      </c>
      <c r="C444">
        <v>1948</v>
      </c>
      <c r="D444">
        <v>559475</v>
      </c>
      <c r="E444">
        <v>405011</v>
      </c>
      <c r="F444">
        <v>7.2</v>
      </c>
      <c r="G444">
        <v>13.7</v>
      </c>
      <c r="H444">
        <v>26.9</v>
      </c>
      <c r="I444">
        <v>26.8</v>
      </c>
    </row>
    <row r="445" spans="1:9" ht="24" customHeight="1">
      <c r="A445" s="6" t="s">
        <v>1926</v>
      </c>
      <c r="B445">
        <v>4865</v>
      </c>
      <c r="C445">
        <v>5070</v>
      </c>
      <c r="D445">
        <v>339795</v>
      </c>
      <c r="E445">
        <v>272357</v>
      </c>
      <c r="F445">
        <v>21.2</v>
      </c>
      <c r="G445">
        <v>13.1</v>
      </c>
      <c r="H445">
        <v>3.4</v>
      </c>
      <c r="I445">
        <v>3.4</v>
      </c>
    </row>
    <row r="446" spans="1:9" ht="24" customHeight="1">
      <c r="A446" s="6" t="s">
        <v>1927</v>
      </c>
      <c r="B446">
        <v>6278</v>
      </c>
      <c r="C446">
        <v>2070</v>
      </c>
      <c r="D446">
        <v>557302</v>
      </c>
      <c r="E446">
        <v>342566</v>
      </c>
      <c r="F446">
        <v>8.6999999999999993</v>
      </c>
      <c r="G446">
        <v>14.1</v>
      </c>
      <c r="H446">
        <v>35.6</v>
      </c>
      <c r="I446">
        <v>33.799999999999997</v>
      </c>
    </row>
    <row r="447" spans="1:9" ht="24" customHeight="1">
      <c r="A447" s="6" t="s">
        <v>1928</v>
      </c>
      <c r="B447">
        <v>11409</v>
      </c>
      <c r="C447">
        <v>9136</v>
      </c>
      <c r="D447">
        <v>356441</v>
      </c>
      <c r="E447">
        <v>281988</v>
      </c>
      <c r="F447">
        <v>17.8</v>
      </c>
      <c r="G447">
        <v>16.2</v>
      </c>
      <c r="H447">
        <v>6.8</v>
      </c>
      <c r="I447">
        <v>6.8</v>
      </c>
    </row>
    <row r="448" spans="1:9" ht="24" customHeight="1">
      <c r="A448" s="6" t="s">
        <v>1929</v>
      </c>
      <c r="B448">
        <v>112432</v>
      </c>
      <c r="C448">
        <v>34887</v>
      </c>
      <c r="D448">
        <v>517174</v>
      </c>
      <c r="E448">
        <v>360416</v>
      </c>
      <c r="F448">
        <v>15.4</v>
      </c>
      <c r="G448">
        <v>13.5</v>
      </c>
      <c r="H448">
        <v>16.3</v>
      </c>
      <c r="I448">
        <v>10.4</v>
      </c>
    </row>
    <row r="449" spans="1:9" ht="24" customHeight="1">
      <c r="A449" s="6" t="s">
        <v>1930</v>
      </c>
      <c r="B449">
        <v>6394</v>
      </c>
      <c r="C449">
        <v>3346</v>
      </c>
      <c r="D449">
        <v>265149</v>
      </c>
      <c r="E449">
        <v>227398</v>
      </c>
      <c r="F449">
        <v>9.1</v>
      </c>
      <c r="G449">
        <v>12.5</v>
      </c>
      <c r="H449">
        <v>0</v>
      </c>
      <c r="I449">
        <v>0</v>
      </c>
    </row>
    <row r="450" spans="1:9" ht="24" customHeight="1">
      <c r="A450" s="6" t="s">
        <v>1931</v>
      </c>
      <c r="B450">
        <v>8762</v>
      </c>
      <c r="C450">
        <v>4924</v>
      </c>
      <c r="D450">
        <v>373033</v>
      </c>
      <c r="E450">
        <v>281957</v>
      </c>
      <c r="F450">
        <v>16.2</v>
      </c>
      <c r="G450">
        <v>18.899999999999999</v>
      </c>
      <c r="H450">
        <v>1.7</v>
      </c>
      <c r="I450">
        <v>1.3</v>
      </c>
    </row>
    <row r="451" spans="1:9" ht="24" customHeight="1">
      <c r="A451" s="6" t="s">
        <v>1932</v>
      </c>
      <c r="B451">
        <v>14824</v>
      </c>
      <c r="C451">
        <v>4395</v>
      </c>
      <c r="D451">
        <v>481481</v>
      </c>
      <c r="E451">
        <v>379681</v>
      </c>
      <c r="F451">
        <v>25.4</v>
      </c>
      <c r="G451">
        <v>11.6</v>
      </c>
      <c r="H451">
        <v>12.6</v>
      </c>
      <c r="I451">
        <v>11.9</v>
      </c>
    </row>
    <row r="452" spans="1:9" ht="24" customHeight="1">
      <c r="A452" s="6" t="s">
        <v>1933</v>
      </c>
      <c r="B452">
        <v>15422</v>
      </c>
      <c r="C452">
        <v>3174</v>
      </c>
      <c r="D452">
        <v>555907</v>
      </c>
      <c r="E452">
        <v>341523</v>
      </c>
      <c r="F452">
        <v>19.600000000000001</v>
      </c>
      <c r="G452">
        <v>14.6</v>
      </c>
      <c r="H452">
        <v>16.7</v>
      </c>
      <c r="I452">
        <v>16.600000000000001</v>
      </c>
    </row>
    <row r="453" spans="1:9" ht="24" customHeight="1">
      <c r="A453" s="6" t="s">
        <v>1934</v>
      </c>
      <c r="B453">
        <v>10421</v>
      </c>
      <c r="C453">
        <v>2893</v>
      </c>
      <c r="D453">
        <v>610549</v>
      </c>
      <c r="E453">
        <v>537820</v>
      </c>
      <c r="F453">
        <v>15</v>
      </c>
      <c r="G453">
        <v>7.5</v>
      </c>
      <c r="H453">
        <v>21.8</v>
      </c>
      <c r="I453">
        <v>21.4</v>
      </c>
    </row>
    <row r="454" spans="1:9" ht="24" customHeight="1">
      <c r="A454" s="6" t="s">
        <v>1935</v>
      </c>
      <c r="B454">
        <v>10600</v>
      </c>
      <c r="C454">
        <v>2705</v>
      </c>
      <c r="D454">
        <v>651667</v>
      </c>
      <c r="E454">
        <v>496175</v>
      </c>
      <c r="F454">
        <v>11.3</v>
      </c>
      <c r="G454">
        <v>10.4</v>
      </c>
      <c r="H454">
        <v>27.2</v>
      </c>
      <c r="I454">
        <v>27.2</v>
      </c>
    </row>
    <row r="455" spans="1:9" ht="24" customHeight="1">
      <c r="A455" s="6" t="s">
        <v>1936</v>
      </c>
      <c r="B455">
        <v>10342</v>
      </c>
      <c r="C455">
        <v>4296</v>
      </c>
      <c r="D455">
        <v>344625</v>
      </c>
      <c r="E455">
        <v>337228</v>
      </c>
      <c r="F455">
        <v>14.9</v>
      </c>
      <c r="G455">
        <v>14.7</v>
      </c>
      <c r="H455">
        <v>3.4</v>
      </c>
      <c r="I455">
        <v>3.4</v>
      </c>
    </row>
    <row r="456" spans="1:9" ht="24" customHeight="1">
      <c r="A456" s="6" t="s">
        <v>1937</v>
      </c>
      <c r="B456">
        <v>21107</v>
      </c>
      <c r="C456">
        <v>1885</v>
      </c>
      <c r="D456">
        <v>674194</v>
      </c>
      <c r="E456">
        <v>462244</v>
      </c>
      <c r="F456">
        <v>7.4</v>
      </c>
      <c r="G456">
        <v>8.4</v>
      </c>
      <c r="H456">
        <v>34</v>
      </c>
      <c r="I456">
        <v>34.5</v>
      </c>
    </row>
    <row r="457" spans="1:9" ht="24" customHeight="1">
      <c r="A457" s="6" t="s">
        <v>1938</v>
      </c>
      <c r="B457">
        <v>14740</v>
      </c>
      <c r="C457">
        <v>8134</v>
      </c>
      <c r="D457">
        <v>437860</v>
      </c>
      <c r="E457">
        <v>334602</v>
      </c>
      <c r="F457">
        <v>18.399999999999999</v>
      </c>
      <c r="G457">
        <v>14.4</v>
      </c>
      <c r="H457">
        <v>7.2</v>
      </c>
      <c r="I457">
        <v>6.3</v>
      </c>
    </row>
    <row r="458" spans="1:9" ht="24" customHeight="1">
      <c r="A458" s="6" t="s">
        <v>428</v>
      </c>
      <c r="B458">
        <v>57378</v>
      </c>
      <c r="C458">
        <v>16346</v>
      </c>
      <c r="D458">
        <v>462710</v>
      </c>
      <c r="E458">
        <v>339176</v>
      </c>
      <c r="F458">
        <v>13.5</v>
      </c>
      <c r="G458">
        <v>9.4</v>
      </c>
      <c r="H458">
        <v>14.9</v>
      </c>
      <c r="I458">
        <v>12.1</v>
      </c>
    </row>
    <row r="459" spans="1:9" ht="24" customHeight="1">
      <c r="A459" s="6" t="s">
        <v>429</v>
      </c>
      <c r="B459">
        <v>11461</v>
      </c>
      <c r="C459">
        <v>1773</v>
      </c>
      <c r="D459">
        <v>587222</v>
      </c>
      <c r="E459">
        <v>454488</v>
      </c>
      <c r="F459">
        <v>16.8</v>
      </c>
      <c r="G459">
        <v>12.6</v>
      </c>
      <c r="H459">
        <v>16.5</v>
      </c>
      <c r="I459">
        <v>14.4</v>
      </c>
    </row>
    <row r="460" spans="1:9" ht="24" customHeight="1">
      <c r="A460" s="6" t="s">
        <v>430</v>
      </c>
      <c r="B460">
        <v>220</v>
      </c>
      <c r="C460">
        <v>94</v>
      </c>
      <c r="D460">
        <v>283193</v>
      </c>
      <c r="E460">
        <v>234656</v>
      </c>
      <c r="F460">
        <v>9.5</v>
      </c>
      <c r="G460">
        <v>2.7</v>
      </c>
      <c r="H460">
        <v>0</v>
      </c>
      <c r="I460">
        <v>0</v>
      </c>
    </row>
    <row r="461" spans="1:9" ht="24" customHeight="1">
      <c r="A461" s="6" t="s">
        <v>1939</v>
      </c>
      <c r="B461">
        <v>602</v>
      </c>
      <c r="C461">
        <v>223</v>
      </c>
      <c r="D461">
        <v>376370</v>
      </c>
      <c r="E461">
        <v>378944</v>
      </c>
      <c r="F461">
        <v>21.3</v>
      </c>
      <c r="G461">
        <v>19.899999999999999</v>
      </c>
      <c r="H461">
        <v>1.7</v>
      </c>
      <c r="I461">
        <v>1.5</v>
      </c>
    </row>
    <row r="462" spans="1:9" ht="24" customHeight="1">
      <c r="A462" s="6" t="s">
        <v>1940</v>
      </c>
      <c r="B462">
        <v>1620</v>
      </c>
      <c r="C462">
        <v>204</v>
      </c>
      <c r="D462">
        <v>522515</v>
      </c>
      <c r="E462">
        <v>468705</v>
      </c>
      <c r="F462">
        <v>18.5</v>
      </c>
      <c r="G462">
        <v>11.8</v>
      </c>
      <c r="H462">
        <v>12.2</v>
      </c>
      <c r="I462">
        <v>12.1</v>
      </c>
    </row>
    <row r="463" spans="1:9" ht="24" customHeight="1">
      <c r="A463" s="6" t="s">
        <v>1941</v>
      </c>
      <c r="B463">
        <v>1819</v>
      </c>
      <c r="C463">
        <v>139</v>
      </c>
      <c r="D463">
        <v>568017</v>
      </c>
      <c r="E463">
        <v>480792</v>
      </c>
      <c r="F463">
        <v>17.3</v>
      </c>
      <c r="G463">
        <v>7.3</v>
      </c>
      <c r="H463">
        <v>16.899999999999999</v>
      </c>
      <c r="I463">
        <v>16.5</v>
      </c>
    </row>
    <row r="464" spans="1:9" ht="24" customHeight="1">
      <c r="A464" s="6" t="s">
        <v>1942</v>
      </c>
      <c r="B464">
        <v>1138</v>
      </c>
      <c r="C464">
        <v>94</v>
      </c>
      <c r="D464">
        <v>670447</v>
      </c>
      <c r="E464">
        <v>486143</v>
      </c>
      <c r="F464">
        <v>16</v>
      </c>
      <c r="G464">
        <v>7.8</v>
      </c>
      <c r="H464">
        <v>21.7</v>
      </c>
      <c r="I464">
        <v>21.1</v>
      </c>
    </row>
    <row r="465" spans="1:9" ht="24" customHeight="1">
      <c r="A465" s="6" t="s">
        <v>1943</v>
      </c>
      <c r="B465">
        <v>1232</v>
      </c>
      <c r="C465">
        <v>208</v>
      </c>
      <c r="D465">
        <v>767656</v>
      </c>
      <c r="E465">
        <v>506407</v>
      </c>
      <c r="F465">
        <v>15</v>
      </c>
      <c r="G465">
        <v>9.1999999999999993</v>
      </c>
      <c r="H465">
        <v>26.9</v>
      </c>
      <c r="I465">
        <v>27.9</v>
      </c>
    </row>
    <row r="466" spans="1:9" ht="24" customHeight="1">
      <c r="A466" s="6" t="s">
        <v>1944</v>
      </c>
      <c r="B466">
        <v>800</v>
      </c>
      <c r="C466">
        <v>197</v>
      </c>
      <c r="D466">
        <v>418197</v>
      </c>
      <c r="E466">
        <v>350576</v>
      </c>
      <c r="F466">
        <v>18.3</v>
      </c>
      <c r="G466">
        <v>15.4</v>
      </c>
      <c r="H466">
        <v>3.4</v>
      </c>
      <c r="I466">
        <v>3.5</v>
      </c>
    </row>
    <row r="467" spans="1:9" ht="24" customHeight="1">
      <c r="A467" s="6" t="s">
        <v>431</v>
      </c>
      <c r="B467">
        <v>1939</v>
      </c>
      <c r="C467">
        <v>326</v>
      </c>
      <c r="D467">
        <v>745712</v>
      </c>
      <c r="E467">
        <v>622308</v>
      </c>
      <c r="F467">
        <v>12.1</v>
      </c>
      <c r="G467">
        <v>8.3000000000000007</v>
      </c>
      <c r="H467">
        <v>33.1</v>
      </c>
      <c r="I467">
        <v>32.5</v>
      </c>
    </row>
    <row r="468" spans="1:9" ht="24" customHeight="1">
      <c r="A468" s="6" t="s">
        <v>1945</v>
      </c>
      <c r="B468">
        <v>2092</v>
      </c>
      <c r="C468">
        <v>344</v>
      </c>
      <c r="D468">
        <v>512945</v>
      </c>
      <c r="E468">
        <v>384039</v>
      </c>
      <c r="F468">
        <v>19.899999999999999</v>
      </c>
      <c r="G468">
        <v>18.3</v>
      </c>
      <c r="H468">
        <v>6.4</v>
      </c>
      <c r="I468">
        <v>6.2</v>
      </c>
    </row>
    <row r="469" spans="1:9" ht="24" customHeight="1">
      <c r="A469" s="6" t="s">
        <v>1946</v>
      </c>
      <c r="B469">
        <v>20732</v>
      </c>
      <c r="C469">
        <v>6425</v>
      </c>
      <c r="D469">
        <v>389722</v>
      </c>
      <c r="E469">
        <v>295868</v>
      </c>
      <c r="F469">
        <v>8.3000000000000007</v>
      </c>
      <c r="G469">
        <v>6.8</v>
      </c>
      <c r="H469">
        <v>13</v>
      </c>
      <c r="I469">
        <v>10.6</v>
      </c>
    </row>
    <row r="470" spans="1:9" ht="24" customHeight="1">
      <c r="A470" s="6" t="s">
        <v>1947</v>
      </c>
      <c r="B470">
        <v>1311</v>
      </c>
      <c r="C470">
        <v>626</v>
      </c>
      <c r="D470">
        <v>241482</v>
      </c>
      <c r="E470">
        <v>193312</v>
      </c>
      <c r="F470">
        <v>6.5</v>
      </c>
      <c r="G470">
        <v>3.9</v>
      </c>
      <c r="H470">
        <v>0</v>
      </c>
      <c r="I470">
        <v>0</v>
      </c>
    </row>
    <row r="471" spans="1:9" ht="24" customHeight="1">
      <c r="A471" s="6" t="s">
        <v>1948</v>
      </c>
      <c r="B471">
        <v>2221</v>
      </c>
      <c r="C471">
        <v>790</v>
      </c>
      <c r="D471">
        <v>302983</v>
      </c>
      <c r="E471">
        <v>263078</v>
      </c>
      <c r="F471">
        <v>8.6</v>
      </c>
      <c r="G471">
        <v>8.1</v>
      </c>
      <c r="H471">
        <v>1.5</v>
      </c>
      <c r="I471">
        <v>1.5</v>
      </c>
    </row>
    <row r="472" spans="1:9" ht="24" customHeight="1">
      <c r="A472" s="6" t="s">
        <v>1949</v>
      </c>
      <c r="B472">
        <v>2702</v>
      </c>
      <c r="C472">
        <v>780</v>
      </c>
      <c r="D472">
        <v>409103</v>
      </c>
      <c r="E472">
        <v>312817</v>
      </c>
      <c r="F472">
        <v>11.7</v>
      </c>
      <c r="G472">
        <v>6.9</v>
      </c>
      <c r="H472">
        <v>11.7</v>
      </c>
      <c r="I472">
        <v>12</v>
      </c>
    </row>
    <row r="473" spans="1:9" ht="24" customHeight="1">
      <c r="A473" s="6" t="s">
        <v>1950</v>
      </c>
      <c r="B473">
        <v>2746</v>
      </c>
      <c r="C473">
        <v>834</v>
      </c>
      <c r="D473">
        <v>443839</v>
      </c>
      <c r="E473">
        <v>324134</v>
      </c>
      <c r="F473">
        <v>9.5</v>
      </c>
      <c r="G473">
        <v>5.6</v>
      </c>
      <c r="H473">
        <v>16.899999999999999</v>
      </c>
      <c r="I473">
        <v>16.899999999999999</v>
      </c>
    </row>
    <row r="474" spans="1:9" ht="24" customHeight="1">
      <c r="A474" s="6" t="s">
        <v>1951</v>
      </c>
      <c r="B474">
        <v>1969</v>
      </c>
      <c r="C474">
        <v>479</v>
      </c>
      <c r="D474">
        <v>461856</v>
      </c>
      <c r="E474">
        <v>343127</v>
      </c>
      <c r="F474">
        <v>6.7</v>
      </c>
      <c r="G474">
        <v>8.3000000000000007</v>
      </c>
      <c r="H474">
        <v>21.8</v>
      </c>
      <c r="I474">
        <v>21.7</v>
      </c>
    </row>
    <row r="475" spans="1:9" ht="24" customHeight="1">
      <c r="A475" s="6" t="s">
        <v>1952</v>
      </c>
      <c r="B475">
        <v>1742</v>
      </c>
      <c r="C475">
        <v>460</v>
      </c>
      <c r="D475">
        <v>472982</v>
      </c>
      <c r="E475">
        <v>321784</v>
      </c>
      <c r="F475">
        <v>6.5</v>
      </c>
      <c r="G475">
        <v>4.7</v>
      </c>
      <c r="H475">
        <v>26.9</v>
      </c>
      <c r="I475">
        <v>26.8</v>
      </c>
    </row>
    <row r="476" spans="1:9" ht="24" customHeight="1">
      <c r="A476" s="6" t="s">
        <v>1953</v>
      </c>
      <c r="B476">
        <v>2176</v>
      </c>
      <c r="C476">
        <v>1024</v>
      </c>
      <c r="D476">
        <v>336312</v>
      </c>
      <c r="E476">
        <v>287261</v>
      </c>
      <c r="F476">
        <v>9.5</v>
      </c>
      <c r="G476">
        <v>8.1</v>
      </c>
      <c r="H476">
        <v>3.5</v>
      </c>
      <c r="I476">
        <v>3.5</v>
      </c>
    </row>
    <row r="477" spans="1:9" ht="24" customHeight="1">
      <c r="A477" s="6" t="s">
        <v>1954</v>
      </c>
      <c r="B477">
        <v>1737</v>
      </c>
      <c r="C477">
        <v>232</v>
      </c>
      <c r="D477">
        <v>440071</v>
      </c>
      <c r="E477">
        <v>363749</v>
      </c>
      <c r="F477">
        <v>2.7</v>
      </c>
      <c r="G477">
        <v>3.8</v>
      </c>
      <c r="H477">
        <v>35.5</v>
      </c>
      <c r="I477">
        <v>34.299999999999997</v>
      </c>
    </row>
    <row r="478" spans="1:9" ht="24" customHeight="1">
      <c r="A478" s="6" t="s">
        <v>1955</v>
      </c>
      <c r="B478">
        <v>4162</v>
      </c>
      <c r="C478">
        <v>1541</v>
      </c>
      <c r="D478">
        <v>371540</v>
      </c>
      <c r="E478">
        <v>270466</v>
      </c>
      <c r="F478">
        <v>8.6</v>
      </c>
      <c r="G478">
        <v>6.5</v>
      </c>
      <c r="H478">
        <v>7</v>
      </c>
      <c r="I478">
        <v>6.9</v>
      </c>
    </row>
    <row r="479" spans="1:9" ht="24" customHeight="1">
      <c r="A479" s="6" t="s">
        <v>1956</v>
      </c>
      <c r="B479">
        <v>9922</v>
      </c>
      <c r="C479">
        <v>3656</v>
      </c>
      <c r="D479">
        <v>428050</v>
      </c>
      <c r="E479">
        <v>306173</v>
      </c>
      <c r="F479">
        <v>14.1</v>
      </c>
      <c r="G479">
        <v>8.4</v>
      </c>
      <c r="H479">
        <v>14.3</v>
      </c>
      <c r="I479">
        <v>10.6</v>
      </c>
    </row>
    <row r="480" spans="1:9" ht="24" customHeight="1">
      <c r="A480" s="6" t="s">
        <v>1957</v>
      </c>
      <c r="B480">
        <v>535</v>
      </c>
      <c r="C480">
        <v>305</v>
      </c>
      <c r="D480">
        <v>226117</v>
      </c>
      <c r="E480">
        <v>210238</v>
      </c>
      <c r="F480">
        <v>8.6999999999999993</v>
      </c>
      <c r="G480">
        <v>8.1</v>
      </c>
      <c r="H480">
        <v>0</v>
      </c>
      <c r="I480">
        <v>0</v>
      </c>
    </row>
    <row r="481" spans="1:9" ht="24" customHeight="1">
      <c r="A481" s="6" t="s">
        <v>1958</v>
      </c>
      <c r="B481">
        <v>935</v>
      </c>
      <c r="C481">
        <v>499</v>
      </c>
      <c r="D481">
        <v>322058</v>
      </c>
      <c r="E481">
        <v>281791</v>
      </c>
      <c r="F481">
        <v>18.5</v>
      </c>
      <c r="G481">
        <v>12.7</v>
      </c>
      <c r="H481">
        <v>1.5</v>
      </c>
      <c r="I481">
        <v>1.5</v>
      </c>
    </row>
    <row r="482" spans="1:9" ht="24" customHeight="1">
      <c r="A482" s="6" t="s">
        <v>1959</v>
      </c>
      <c r="B482">
        <v>1361</v>
      </c>
      <c r="C482">
        <v>695</v>
      </c>
      <c r="D482">
        <v>424331</v>
      </c>
      <c r="E482">
        <v>290777</v>
      </c>
      <c r="F482">
        <v>16.3</v>
      </c>
      <c r="G482">
        <v>3.8</v>
      </c>
      <c r="H482">
        <v>12.1</v>
      </c>
      <c r="I482">
        <v>12</v>
      </c>
    </row>
    <row r="483" spans="1:9" ht="24" customHeight="1">
      <c r="A483" s="6" t="s">
        <v>1960</v>
      </c>
      <c r="B483">
        <v>1258</v>
      </c>
      <c r="C483">
        <v>351</v>
      </c>
      <c r="D483">
        <v>480294</v>
      </c>
      <c r="E483">
        <v>322538</v>
      </c>
      <c r="F483">
        <v>13.9</v>
      </c>
      <c r="G483">
        <v>6.3</v>
      </c>
      <c r="H483">
        <v>16.8</v>
      </c>
      <c r="I483">
        <v>16.7</v>
      </c>
    </row>
    <row r="484" spans="1:9" ht="24" customHeight="1">
      <c r="A484" s="6" t="s">
        <v>1961</v>
      </c>
      <c r="B484">
        <v>1209</v>
      </c>
      <c r="C484">
        <v>306</v>
      </c>
      <c r="D484">
        <v>521900</v>
      </c>
      <c r="E484">
        <v>380611</v>
      </c>
      <c r="F484">
        <v>14.4</v>
      </c>
      <c r="G484">
        <v>3.6</v>
      </c>
      <c r="H484">
        <v>21.8</v>
      </c>
      <c r="I484">
        <v>21.3</v>
      </c>
    </row>
    <row r="485" spans="1:9" ht="24" customHeight="1">
      <c r="A485" s="6" t="s">
        <v>1962</v>
      </c>
      <c r="B485">
        <v>841</v>
      </c>
      <c r="C485">
        <v>114</v>
      </c>
      <c r="D485">
        <v>503500</v>
      </c>
      <c r="E485">
        <v>366840</v>
      </c>
      <c r="F485">
        <v>7.9</v>
      </c>
      <c r="G485">
        <v>10.9</v>
      </c>
      <c r="H485">
        <v>27.1</v>
      </c>
      <c r="I485">
        <v>27</v>
      </c>
    </row>
    <row r="486" spans="1:9" ht="24" customHeight="1">
      <c r="A486" s="6" t="s">
        <v>1963</v>
      </c>
      <c r="B486">
        <v>1116</v>
      </c>
      <c r="C486">
        <v>341</v>
      </c>
      <c r="D486">
        <v>349748</v>
      </c>
      <c r="E486">
        <v>291369</v>
      </c>
      <c r="F486">
        <v>17.100000000000001</v>
      </c>
      <c r="G486">
        <v>14.4</v>
      </c>
      <c r="H486">
        <v>3.5</v>
      </c>
      <c r="I486">
        <v>3.5</v>
      </c>
    </row>
    <row r="487" spans="1:9" ht="24" customHeight="1">
      <c r="A487" s="6" t="s">
        <v>1964</v>
      </c>
      <c r="B487">
        <v>1162</v>
      </c>
      <c r="C487">
        <v>244</v>
      </c>
      <c r="D487">
        <v>556363</v>
      </c>
      <c r="E487">
        <v>452356</v>
      </c>
      <c r="F487">
        <v>6.2</v>
      </c>
      <c r="G487">
        <v>5.8</v>
      </c>
      <c r="H487">
        <v>34.1</v>
      </c>
      <c r="I487">
        <v>33.9</v>
      </c>
    </row>
    <row r="488" spans="1:9" ht="24" customHeight="1">
      <c r="A488" s="6" t="s">
        <v>1965</v>
      </c>
      <c r="B488">
        <v>1505</v>
      </c>
      <c r="C488">
        <v>849</v>
      </c>
      <c r="D488">
        <v>366837</v>
      </c>
      <c r="E488">
        <v>286535</v>
      </c>
      <c r="F488">
        <v>18.3</v>
      </c>
      <c r="G488">
        <v>9.8000000000000007</v>
      </c>
      <c r="H488">
        <v>6.7</v>
      </c>
      <c r="I488">
        <v>6.3</v>
      </c>
    </row>
    <row r="489" spans="1:9" ht="24" customHeight="1">
      <c r="A489" s="6" t="s">
        <v>1966</v>
      </c>
      <c r="B489">
        <v>15264</v>
      </c>
      <c r="C489">
        <v>4493</v>
      </c>
      <c r="D489">
        <v>490883</v>
      </c>
      <c r="E489">
        <v>382454</v>
      </c>
      <c r="F489">
        <v>17.7</v>
      </c>
      <c r="G489">
        <v>12.8</v>
      </c>
      <c r="H489">
        <v>16.7</v>
      </c>
      <c r="I489">
        <v>14.4</v>
      </c>
    </row>
    <row r="490" spans="1:9" ht="24" customHeight="1">
      <c r="A490" s="6" t="s">
        <v>1967</v>
      </c>
      <c r="B490">
        <v>543</v>
      </c>
      <c r="C490">
        <v>210</v>
      </c>
      <c r="D490">
        <v>240861</v>
      </c>
      <c r="E490">
        <v>238117</v>
      </c>
      <c r="F490">
        <v>9.1999999999999993</v>
      </c>
      <c r="G490">
        <v>14.9</v>
      </c>
      <c r="H490">
        <v>0</v>
      </c>
      <c r="I490">
        <v>0</v>
      </c>
    </row>
    <row r="491" spans="1:9" ht="24" customHeight="1">
      <c r="A491" s="6" t="s">
        <v>1968</v>
      </c>
      <c r="B491">
        <v>1091</v>
      </c>
      <c r="C491">
        <v>359</v>
      </c>
      <c r="D491">
        <v>331817</v>
      </c>
      <c r="E491">
        <v>286788</v>
      </c>
      <c r="F491">
        <v>22.5</v>
      </c>
      <c r="G491">
        <v>14.7</v>
      </c>
      <c r="H491">
        <v>1.5</v>
      </c>
      <c r="I491">
        <v>1.5</v>
      </c>
    </row>
    <row r="492" spans="1:9" ht="24" customHeight="1">
      <c r="A492" s="6" t="s">
        <v>1969</v>
      </c>
      <c r="B492">
        <v>2306</v>
      </c>
      <c r="C492">
        <v>547</v>
      </c>
      <c r="D492">
        <v>499540</v>
      </c>
      <c r="E492">
        <v>382151</v>
      </c>
      <c r="F492">
        <v>20.9</v>
      </c>
      <c r="G492">
        <v>11.7</v>
      </c>
      <c r="H492">
        <v>12.1</v>
      </c>
      <c r="I492">
        <v>12.1</v>
      </c>
    </row>
    <row r="493" spans="1:9" ht="24" customHeight="1">
      <c r="A493" s="6" t="s">
        <v>1970</v>
      </c>
      <c r="B493">
        <v>2118</v>
      </c>
      <c r="C493">
        <v>744</v>
      </c>
      <c r="D493">
        <v>539132</v>
      </c>
      <c r="E493">
        <v>433875</v>
      </c>
      <c r="F493">
        <v>19.2</v>
      </c>
      <c r="G493">
        <v>13.2</v>
      </c>
      <c r="H493">
        <v>17.2</v>
      </c>
      <c r="I493">
        <v>17.100000000000001</v>
      </c>
    </row>
    <row r="494" spans="1:9" ht="24" customHeight="1">
      <c r="A494" s="6" t="s">
        <v>1971</v>
      </c>
      <c r="B494">
        <v>1441</v>
      </c>
      <c r="C494">
        <v>330</v>
      </c>
      <c r="D494">
        <v>542496</v>
      </c>
      <c r="E494">
        <v>427739</v>
      </c>
      <c r="F494">
        <v>20.2</v>
      </c>
      <c r="G494">
        <v>8.6999999999999993</v>
      </c>
      <c r="H494">
        <v>21.6</v>
      </c>
      <c r="I494">
        <v>21.8</v>
      </c>
    </row>
    <row r="495" spans="1:9" ht="24" customHeight="1">
      <c r="A495" s="6" t="s">
        <v>1972</v>
      </c>
      <c r="B495">
        <v>1659</v>
      </c>
      <c r="C495">
        <v>565</v>
      </c>
      <c r="D495">
        <v>589866</v>
      </c>
      <c r="E495">
        <v>394087</v>
      </c>
      <c r="F495">
        <v>14.6</v>
      </c>
      <c r="G495">
        <v>6.6</v>
      </c>
      <c r="H495">
        <v>27</v>
      </c>
      <c r="I495">
        <v>26.8</v>
      </c>
    </row>
    <row r="496" spans="1:9" ht="24" customHeight="1">
      <c r="A496" s="6" t="s">
        <v>1973</v>
      </c>
      <c r="B496">
        <v>1300</v>
      </c>
      <c r="C496">
        <v>762</v>
      </c>
      <c r="D496">
        <v>371871</v>
      </c>
      <c r="E496">
        <v>344900</v>
      </c>
      <c r="F496">
        <v>22.1</v>
      </c>
      <c r="G496">
        <v>17</v>
      </c>
      <c r="H496">
        <v>3.5</v>
      </c>
      <c r="I496">
        <v>3.4</v>
      </c>
    </row>
    <row r="497" spans="1:9" ht="24" customHeight="1">
      <c r="A497" s="6" t="s">
        <v>1974</v>
      </c>
      <c r="B497">
        <v>2724</v>
      </c>
      <c r="C497">
        <v>501</v>
      </c>
      <c r="D497">
        <v>590157</v>
      </c>
      <c r="E497">
        <v>492719</v>
      </c>
      <c r="F497">
        <v>6.5</v>
      </c>
      <c r="G497">
        <v>9.9</v>
      </c>
      <c r="H497">
        <v>34.5</v>
      </c>
      <c r="I497">
        <v>34.4</v>
      </c>
    </row>
    <row r="498" spans="1:9" ht="24" customHeight="1">
      <c r="A498" s="6" t="s">
        <v>1975</v>
      </c>
      <c r="B498">
        <v>2082</v>
      </c>
      <c r="C498">
        <v>523</v>
      </c>
      <c r="D498">
        <v>410590</v>
      </c>
      <c r="E498">
        <v>324940</v>
      </c>
      <c r="F498">
        <v>24.5</v>
      </c>
      <c r="G498">
        <v>16.600000000000001</v>
      </c>
      <c r="H498">
        <v>6.7</v>
      </c>
      <c r="I498">
        <v>6.2</v>
      </c>
    </row>
    <row r="499" spans="1:9" ht="24" customHeight="1">
      <c r="A499" s="6" t="s">
        <v>432</v>
      </c>
      <c r="B499">
        <v>72419</v>
      </c>
      <c r="C499">
        <v>69490</v>
      </c>
      <c r="D499">
        <v>391582</v>
      </c>
      <c r="E499">
        <v>243549</v>
      </c>
      <c r="F499">
        <v>9.8000000000000007</v>
      </c>
      <c r="G499">
        <v>5.9</v>
      </c>
      <c r="H499">
        <v>14.5</v>
      </c>
      <c r="I499">
        <v>13.7</v>
      </c>
    </row>
    <row r="500" spans="1:9" ht="24" customHeight="1">
      <c r="A500" s="6" t="s">
        <v>433</v>
      </c>
      <c r="B500">
        <v>7944</v>
      </c>
      <c r="C500">
        <v>5054</v>
      </c>
      <c r="D500">
        <v>557277</v>
      </c>
      <c r="E500">
        <v>314837</v>
      </c>
      <c r="F500">
        <v>8</v>
      </c>
      <c r="G500">
        <v>7.1</v>
      </c>
      <c r="H500">
        <v>17.3</v>
      </c>
      <c r="I500">
        <v>12.3</v>
      </c>
    </row>
    <row r="501" spans="1:9" ht="24" customHeight="1">
      <c r="A501" s="6" t="s">
        <v>434</v>
      </c>
      <c r="B501">
        <v>252</v>
      </c>
      <c r="C501">
        <v>527</v>
      </c>
      <c r="D501">
        <v>293328</v>
      </c>
      <c r="E501">
        <v>195448</v>
      </c>
      <c r="F501">
        <v>4.4000000000000004</v>
      </c>
      <c r="G501">
        <v>3.2</v>
      </c>
      <c r="H501">
        <v>0</v>
      </c>
      <c r="I501">
        <v>0</v>
      </c>
    </row>
    <row r="502" spans="1:9" ht="24" customHeight="1">
      <c r="A502" s="6" t="s">
        <v>1976</v>
      </c>
      <c r="B502">
        <v>457</v>
      </c>
      <c r="C502">
        <v>674</v>
      </c>
      <c r="D502">
        <v>375647</v>
      </c>
      <c r="E502">
        <v>293719</v>
      </c>
      <c r="F502">
        <v>13.1</v>
      </c>
      <c r="G502">
        <v>9.1</v>
      </c>
      <c r="H502">
        <v>1.3</v>
      </c>
      <c r="I502">
        <v>1.5</v>
      </c>
    </row>
    <row r="503" spans="1:9" ht="24" customHeight="1">
      <c r="A503" s="6" t="s">
        <v>1977</v>
      </c>
      <c r="B503">
        <v>805</v>
      </c>
      <c r="C503">
        <v>418</v>
      </c>
      <c r="D503">
        <v>536881</v>
      </c>
      <c r="E503">
        <v>300506</v>
      </c>
      <c r="F503">
        <v>10.3</v>
      </c>
      <c r="G503">
        <v>2.7</v>
      </c>
      <c r="H503">
        <v>12.1</v>
      </c>
      <c r="I503">
        <v>12.3</v>
      </c>
    </row>
    <row r="504" spans="1:9" ht="24" customHeight="1">
      <c r="A504" s="6" t="s">
        <v>1978</v>
      </c>
      <c r="B504">
        <v>1256</v>
      </c>
      <c r="C504">
        <v>505</v>
      </c>
      <c r="D504">
        <v>551053</v>
      </c>
      <c r="E504">
        <v>326122</v>
      </c>
      <c r="F504">
        <v>7</v>
      </c>
      <c r="G504">
        <v>6.2</v>
      </c>
      <c r="H504">
        <v>16.5</v>
      </c>
      <c r="I504">
        <v>16.899999999999999</v>
      </c>
    </row>
    <row r="505" spans="1:9" ht="24" customHeight="1">
      <c r="A505" s="6" t="s">
        <v>1979</v>
      </c>
      <c r="B505">
        <v>644</v>
      </c>
      <c r="C505">
        <v>236</v>
      </c>
      <c r="D505">
        <v>700656</v>
      </c>
      <c r="E505">
        <v>350087</v>
      </c>
      <c r="F505">
        <v>9.6999999999999993</v>
      </c>
      <c r="G505">
        <v>3.4</v>
      </c>
      <c r="H505">
        <v>22.3</v>
      </c>
      <c r="I505">
        <v>22.2</v>
      </c>
    </row>
    <row r="506" spans="1:9" ht="24" customHeight="1">
      <c r="A506" s="6" t="s">
        <v>1980</v>
      </c>
      <c r="B506">
        <v>921</v>
      </c>
      <c r="C506">
        <v>352</v>
      </c>
      <c r="D506">
        <v>632517</v>
      </c>
      <c r="E506">
        <v>395654</v>
      </c>
      <c r="F506">
        <v>7.2</v>
      </c>
      <c r="G506">
        <v>6.5</v>
      </c>
      <c r="H506">
        <v>26.6</v>
      </c>
      <c r="I506">
        <v>26.9</v>
      </c>
    </row>
    <row r="507" spans="1:9" ht="24" customHeight="1">
      <c r="A507" s="6" t="s">
        <v>1981</v>
      </c>
      <c r="B507">
        <v>728</v>
      </c>
      <c r="C507">
        <v>605</v>
      </c>
      <c r="D507">
        <v>389405</v>
      </c>
      <c r="E507">
        <v>269850</v>
      </c>
      <c r="F507">
        <v>8.6999999999999993</v>
      </c>
      <c r="G507">
        <v>7.8</v>
      </c>
      <c r="H507">
        <v>3.5</v>
      </c>
      <c r="I507">
        <v>3.6</v>
      </c>
    </row>
    <row r="508" spans="1:9" ht="24" customHeight="1">
      <c r="A508" s="6" t="s">
        <v>435</v>
      </c>
      <c r="B508">
        <v>1725</v>
      </c>
      <c r="C508">
        <v>740</v>
      </c>
      <c r="D508">
        <v>749351</v>
      </c>
      <c r="E508">
        <v>431095</v>
      </c>
      <c r="F508">
        <v>4.5999999999999996</v>
      </c>
      <c r="G508">
        <v>10.199999999999999</v>
      </c>
      <c r="H508">
        <v>33.299999999999997</v>
      </c>
      <c r="I508">
        <v>33.700000000000003</v>
      </c>
    </row>
    <row r="509" spans="1:9" ht="24" customHeight="1">
      <c r="A509" s="6" t="s">
        <v>1982</v>
      </c>
      <c r="B509">
        <v>1164</v>
      </c>
      <c r="C509">
        <v>1130</v>
      </c>
      <c r="D509">
        <v>386814</v>
      </c>
      <c r="E509">
        <v>291890</v>
      </c>
      <c r="F509">
        <v>10.4</v>
      </c>
      <c r="G509">
        <v>7.4</v>
      </c>
      <c r="H509">
        <v>6.6</v>
      </c>
      <c r="I509">
        <v>6.6</v>
      </c>
    </row>
    <row r="510" spans="1:9" ht="24" customHeight="1">
      <c r="A510" s="6" t="s">
        <v>1983</v>
      </c>
      <c r="B510">
        <v>42958</v>
      </c>
      <c r="C510">
        <v>42849</v>
      </c>
      <c r="D510">
        <v>351003</v>
      </c>
      <c r="E510">
        <v>227493</v>
      </c>
      <c r="F510">
        <v>10.199999999999999</v>
      </c>
      <c r="G510">
        <v>5.8</v>
      </c>
      <c r="H510">
        <v>13</v>
      </c>
      <c r="I510">
        <v>12.8</v>
      </c>
    </row>
    <row r="511" spans="1:9" ht="24" customHeight="1">
      <c r="A511" s="6" t="s">
        <v>1984</v>
      </c>
      <c r="B511">
        <v>3220</v>
      </c>
      <c r="C511">
        <v>3164</v>
      </c>
      <c r="D511">
        <v>230735</v>
      </c>
      <c r="E511">
        <v>180863</v>
      </c>
      <c r="F511">
        <v>6.2</v>
      </c>
      <c r="G511">
        <v>4.3</v>
      </c>
      <c r="H511">
        <v>0</v>
      </c>
      <c r="I511">
        <v>0</v>
      </c>
    </row>
    <row r="512" spans="1:9" ht="24" customHeight="1">
      <c r="A512" s="6" t="s">
        <v>1985</v>
      </c>
      <c r="B512">
        <v>4051</v>
      </c>
      <c r="C512">
        <v>4223</v>
      </c>
      <c r="D512">
        <v>274371</v>
      </c>
      <c r="E512">
        <v>207386</v>
      </c>
      <c r="F512">
        <v>7.5</v>
      </c>
      <c r="G512">
        <v>5.3</v>
      </c>
      <c r="H512">
        <v>1.6</v>
      </c>
      <c r="I512">
        <v>1.4</v>
      </c>
    </row>
    <row r="513" spans="1:9" ht="24" customHeight="1">
      <c r="A513" s="6" t="s">
        <v>1986</v>
      </c>
      <c r="B513">
        <v>7035</v>
      </c>
      <c r="C513">
        <v>7431</v>
      </c>
      <c r="D513">
        <v>393192</v>
      </c>
      <c r="E513">
        <v>225339</v>
      </c>
      <c r="F513">
        <v>11</v>
      </c>
      <c r="G513">
        <v>5.9</v>
      </c>
      <c r="H513">
        <v>11.9</v>
      </c>
      <c r="I513">
        <v>11.8</v>
      </c>
    </row>
    <row r="514" spans="1:9" ht="24" customHeight="1">
      <c r="A514" s="6" t="s">
        <v>1987</v>
      </c>
      <c r="B514">
        <v>5079</v>
      </c>
      <c r="C514">
        <v>5961</v>
      </c>
      <c r="D514">
        <v>376553</v>
      </c>
      <c r="E514">
        <v>236213</v>
      </c>
      <c r="F514">
        <v>10.7</v>
      </c>
      <c r="G514">
        <v>4.5999999999999996</v>
      </c>
      <c r="H514">
        <v>16.8</v>
      </c>
      <c r="I514">
        <v>16.7</v>
      </c>
    </row>
    <row r="515" spans="1:9" ht="24" customHeight="1">
      <c r="A515" s="6" t="s">
        <v>1988</v>
      </c>
      <c r="B515">
        <v>2985</v>
      </c>
      <c r="C515">
        <v>3618</v>
      </c>
      <c r="D515">
        <v>422209</v>
      </c>
      <c r="E515">
        <v>241168</v>
      </c>
      <c r="F515">
        <v>12.3</v>
      </c>
      <c r="G515">
        <v>6.5</v>
      </c>
      <c r="H515">
        <v>21.9</v>
      </c>
      <c r="I515">
        <v>21.7</v>
      </c>
    </row>
    <row r="516" spans="1:9" ht="24" customHeight="1">
      <c r="A516" s="6" t="s">
        <v>1989</v>
      </c>
      <c r="B516">
        <v>2488</v>
      </c>
      <c r="C516">
        <v>3682</v>
      </c>
      <c r="D516">
        <v>407451</v>
      </c>
      <c r="E516">
        <v>250226</v>
      </c>
      <c r="F516">
        <v>9.3000000000000007</v>
      </c>
      <c r="G516">
        <v>3</v>
      </c>
      <c r="H516">
        <v>26.9</v>
      </c>
      <c r="I516">
        <v>26.7</v>
      </c>
    </row>
    <row r="517" spans="1:9" ht="24" customHeight="1">
      <c r="A517" s="6" t="s">
        <v>1990</v>
      </c>
      <c r="B517">
        <v>3973</v>
      </c>
      <c r="C517">
        <v>3774</v>
      </c>
      <c r="D517">
        <v>286213</v>
      </c>
      <c r="E517">
        <v>215938</v>
      </c>
      <c r="F517">
        <v>10.5</v>
      </c>
      <c r="G517">
        <v>6.4</v>
      </c>
      <c r="H517">
        <v>3.4</v>
      </c>
      <c r="I517">
        <v>3.4</v>
      </c>
    </row>
    <row r="518" spans="1:9" ht="24" customHeight="1">
      <c r="A518" s="6" t="s">
        <v>1991</v>
      </c>
      <c r="B518">
        <v>4554</v>
      </c>
      <c r="C518">
        <v>3693</v>
      </c>
      <c r="D518">
        <v>414808</v>
      </c>
      <c r="E518">
        <v>226241</v>
      </c>
      <c r="F518">
        <v>5.0999999999999996</v>
      </c>
      <c r="G518">
        <v>6</v>
      </c>
      <c r="H518">
        <v>36.799999999999997</v>
      </c>
      <c r="I518">
        <v>35</v>
      </c>
    </row>
    <row r="519" spans="1:9" ht="24" customHeight="1">
      <c r="A519" s="6" t="s">
        <v>1992</v>
      </c>
      <c r="B519">
        <v>9825</v>
      </c>
      <c r="C519">
        <v>10849</v>
      </c>
      <c r="D519">
        <v>335422</v>
      </c>
      <c r="E519">
        <v>214212</v>
      </c>
      <c r="F519">
        <v>13.5</v>
      </c>
      <c r="G519">
        <v>5.5</v>
      </c>
      <c r="H519">
        <v>7</v>
      </c>
      <c r="I519">
        <v>7</v>
      </c>
    </row>
    <row r="520" spans="1:9" ht="24" customHeight="1">
      <c r="A520" s="6" t="s">
        <v>1993</v>
      </c>
      <c r="B520">
        <v>16888</v>
      </c>
      <c r="C520">
        <v>15954</v>
      </c>
      <c r="D520">
        <v>403877</v>
      </c>
      <c r="E520">
        <v>260134</v>
      </c>
      <c r="F520">
        <v>9.6999999999999993</v>
      </c>
      <c r="G520">
        <v>7</v>
      </c>
      <c r="H520">
        <v>16.8</v>
      </c>
      <c r="I520">
        <v>16.3</v>
      </c>
    </row>
    <row r="521" spans="1:9" ht="24" customHeight="1">
      <c r="A521" s="6" t="s">
        <v>1994</v>
      </c>
      <c r="B521">
        <v>512</v>
      </c>
      <c r="C521">
        <v>649</v>
      </c>
      <c r="D521">
        <v>232595</v>
      </c>
      <c r="E521">
        <v>184228</v>
      </c>
      <c r="F521">
        <v>9.6</v>
      </c>
      <c r="G521">
        <v>5.3</v>
      </c>
      <c r="H521">
        <v>0</v>
      </c>
      <c r="I521">
        <v>0</v>
      </c>
    </row>
    <row r="522" spans="1:9" ht="24" customHeight="1">
      <c r="A522" s="6" t="s">
        <v>1995</v>
      </c>
      <c r="B522">
        <v>1467</v>
      </c>
      <c r="C522">
        <v>1316</v>
      </c>
      <c r="D522">
        <v>334537</v>
      </c>
      <c r="E522">
        <v>196226</v>
      </c>
      <c r="F522">
        <v>10.6</v>
      </c>
      <c r="G522">
        <v>5.8</v>
      </c>
      <c r="H522">
        <v>1.5</v>
      </c>
      <c r="I522">
        <v>1.5</v>
      </c>
    </row>
    <row r="523" spans="1:9" ht="24" customHeight="1">
      <c r="A523" s="6" t="s">
        <v>1996</v>
      </c>
      <c r="B523">
        <v>1757</v>
      </c>
      <c r="C523">
        <v>2192</v>
      </c>
      <c r="D523">
        <v>373254</v>
      </c>
      <c r="E523">
        <v>248226</v>
      </c>
      <c r="F523">
        <v>13</v>
      </c>
      <c r="G523">
        <v>8.1</v>
      </c>
      <c r="H523">
        <v>12.1</v>
      </c>
      <c r="I523">
        <v>12.3</v>
      </c>
    </row>
    <row r="524" spans="1:9" ht="24" customHeight="1">
      <c r="A524" s="6" t="s">
        <v>1997</v>
      </c>
      <c r="B524">
        <v>2516</v>
      </c>
      <c r="C524">
        <v>2459</v>
      </c>
      <c r="D524">
        <v>425195</v>
      </c>
      <c r="E524">
        <v>269801</v>
      </c>
      <c r="F524">
        <v>8.9</v>
      </c>
      <c r="G524">
        <v>4.8</v>
      </c>
      <c r="H524">
        <v>16.8</v>
      </c>
      <c r="I524">
        <v>16.899999999999999</v>
      </c>
    </row>
    <row r="525" spans="1:9" ht="24" customHeight="1">
      <c r="A525" s="6" t="s">
        <v>1998</v>
      </c>
      <c r="B525">
        <v>1821</v>
      </c>
      <c r="C525">
        <v>2056</v>
      </c>
      <c r="D525">
        <v>442368</v>
      </c>
      <c r="E525">
        <v>282294</v>
      </c>
      <c r="F525">
        <v>9.8000000000000007</v>
      </c>
      <c r="G525">
        <v>11.1</v>
      </c>
      <c r="H525">
        <v>21.9</v>
      </c>
      <c r="I525">
        <v>22.1</v>
      </c>
    </row>
    <row r="526" spans="1:9" ht="24" customHeight="1">
      <c r="A526" s="6" t="s">
        <v>1999</v>
      </c>
      <c r="B526">
        <v>1910</v>
      </c>
      <c r="C526">
        <v>2025</v>
      </c>
      <c r="D526">
        <v>461145</v>
      </c>
      <c r="E526">
        <v>276319</v>
      </c>
      <c r="F526">
        <v>8.6999999999999993</v>
      </c>
      <c r="G526">
        <v>3.9</v>
      </c>
      <c r="H526">
        <v>26.8</v>
      </c>
      <c r="I526">
        <v>26.9</v>
      </c>
    </row>
    <row r="527" spans="1:9" ht="24" customHeight="1">
      <c r="A527" s="6" t="s">
        <v>2000</v>
      </c>
      <c r="B527">
        <v>1267</v>
      </c>
      <c r="C527">
        <v>1134</v>
      </c>
      <c r="D527">
        <v>328875</v>
      </c>
      <c r="E527">
        <v>219028</v>
      </c>
      <c r="F527">
        <v>12.2</v>
      </c>
      <c r="G527">
        <v>6.7</v>
      </c>
      <c r="H527">
        <v>3.4</v>
      </c>
      <c r="I527">
        <v>3.5</v>
      </c>
    </row>
    <row r="528" spans="1:9" ht="24" customHeight="1">
      <c r="A528" s="6" t="s">
        <v>2001</v>
      </c>
      <c r="B528">
        <v>3142</v>
      </c>
      <c r="C528">
        <v>2061</v>
      </c>
      <c r="D528">
        <v>473194</v>
      </c>
      <c r="E528">
        <v>302820</v>
      </c>
      <c r="F528">
        <v>7.6</v>
      </c>
      <c r="G528">
        <v>7</v>
      </c>
      <c r="H528">
        <v>33.5</v>
      </c>
      <c r="I528">
        <v>34.200000000000003</v>
      </c>
    </row>
    <row r="529" spans="1:9" ht="24" customHeight="1">
      <c r="A529" s="6" t="s">
        <v>2002</v>
      </c>
      <c r="B529">
        <v>2497</v>
      </c>
      <c r="C529">
        <v>2568</v>
      </c>
      <c r="D529">
        <v>358750</v>
      </c>
      <c r="E529">
        <v>241607</v>
      </c>
      <c r="F529">
        <v>9.9</v>
      </c>
      <c r="G529">
        <v>6.8</v>
      </c>
      <c r="H529">
        <v>6.9</v>
      </c>
      <c r="I529">
        <v>6.9</v>
      </c>
    </row>
    <row r="530" spans="1:9" ht="24" customHeight="1">
      <c r="A530" s="6" t="s">
        <v>2003</v>
      </c>
      <c r="B530">
        <v>4629</v>
      </c>
      <c r="C530">
        <v>5632</v>
      </c>
      <c r="D530">
        <v>438963</v>
      </c>
      <c r="E530">
        <v>254747</v>
      </c>
      <c r="F530">
        <v>8.6</v>
      </c>
      <c r="G530">
        <v>2.5</v>
      </c>
      <c r="H530">
        <v>16</v>
      </c>
      <c r="I530">
        <v>15.4</v>
      </c>
    </row>
    <row r="531" spans="1:9" ht="24" customHeight="1">
      <c r="A531" s="6" t="s">
        <v>2004</v>
      </c>
      <c r="B531">
        <v>244</v>
      </c>
      <c r="C531">
        <v>316</v>
      </c>
      <c r="D531">
        <v>226064</v>
      </c>
      <c r="E531">
        <v>188480</v>
      </c>
      <c r="F531">
        <v>8.1999999999999993</v>
      </c>
      <c r="G531">
        <v>0.6</v>
      </c>
      <c r="H531">
        <v>0</v>
      </c>
      <c r="I531">
        <v>0</v>
      </c>
    </row>
    <row r="532" spans="1:9" ht="24" customHeight="1">
      <c r="A532" s="6" t="s">
        <v>2005</v>
      </c>
      <c r="B532">
        <v>494</v>
      </c>
      <c r="C532">
        <v>517</v>
      </c>
      <c r="D532">
        <v>328158</v>
      </c>
      <c r="E532">
        <v>212250</v>
      </c>
      <c r="F532">
        <v>12.4</v>
      </c>
      <c r="G532">
        <v>4.2</v>
      </c>
      <c r="H532">
        <v>1.4</v>
      </c>
      <c r="I532">
        <v>1.5</v>
      </c>
    </row>
    <row r="533" spans="1:9" ht="24" customHeight="1">
      <c r="A533" s="6" t="s">
        <v>2006</v>
      </c>
      <c r="B533">
        <v>494</v>
      </c>
      <c r="C533">
        <v>632</v>
      </c>
      <c r="D533">
        <v>413704</v>
      </c>
      <c r="E533">
        <v>253077</v>
      </c>
      <c r="F533">
        <v>8.3000000000000007</v>
      </c>
      <c r="G533">
        <v>2.1</v>
      </c>
      <c r="H533">
        <v>11.9</v>
      </c>
      <c r="I533">
        <v>11.9</v>
      </c>
    </row>
    <row r="534" spans="1:9" ht="24" customHeight="1">
      <c r="A534" s="6" t="s">
        <v>2007</v>
      </c>
      <c r="B534">
        <v>648</v>
      </c>
      <c r="C534">
        <v>662</v>
      </c>
      <c r="D534">
        <v>416934</v>
      </c>
      <c r="E534">
        <v>269573</v>
      </c>
      <c r="F534">
        <v>8.8000000000000007</v>
      </c>
      <c r="G534">
        <v>2.5</v>
      </c>
      <c r="H534">
        <v>16.600000000000001</v>
      </c>
      <c r="I534">
        <v>16.600000000000001</v>
      </c>
    </row>
    <row r="535" spans="1:9" ht="24" customHeight="1">
      <c r="A535" s="6" t="s">
        <v>2008</v>
      </c>
      <c r="B535">
        <v>332</v>
      </c>
      <c r="C535">
        <v>577</v>
      </c>
      <c r="D535">
        <v>546311</v>
      </c>
      <c r="E535">
        <v>311973</v>
      </c>
      <c r="F535">
        <v>6.1</v>
      </c>
      <c r="G535">
        <v>7.1</v>
      </c>
      <c r="H535">
        <v>22</v>
      </c>
      <c r="I535">
        <v>22.2</v>
      </c>
    </row>
    <row r="536" spans="1:9" ht="24" customHeight="1">
      <c r="A536" s="6" t="s">
        <v>2009</v>
      </c>
      <c r="B536">
        <v>326</v>
      </c>
      <c r="C536">
        <v>506</v>
      </c>
      <c r="D536">
        <v>543714</v>
      </c>
      <c r="E536">
        <v>275925</v>
      </c>
      <c r="F536">
        <v>4.8</v>
      </c>
      <c r="G536">
        <v>3</v>
      </c>
      <c r="H536">
        <v>27.4</v>
      </c>
      <c r="I536">
        <v>26.9</v>
      </c>
    </row>
    <row r="537" spans="1:9" ht="24" customHeight="1">
      <c r="A537" s="6" t="s">
        <v>2010</v>
      </c>
      <c r="B537">
        <v>482</v>
      </c>
      <c r="C537">
        <v>658</v>
      </c>
      <c r="D537">
        <v>336823</v>
      </c>
      <c r="E537">
        <v>226135</v>
      </c>
      <c r="F537">
        <v>10.3</v>
      </c>
      <c r="G537">
        <v>1.2</v>
      </c>
      <c r="H537">
        <v>3.6</v>
      </c>
      <c r="I537">
        <v>3.6</v>
      </c>
    </row>
    <row r="538" spans="1:9" ht="24" customHeight="1">
      <c r="A538" s="6" t="s">
        <v>2011</v>
      </c>
      <c r="B538">
        <v>1014</v>
      </c>
      <c r="C538">
        <v>931</v>
      </c>
      <c r="D538">
        <v>568043</v>
      </c>
      <c r="E538">
        <v>280511</v>
      </c>
      <c r="F538">
        <v>5.3</v>
      </c>
      <c r="G538">
        <v>1.8</v>
      </c>
      <c r="H538">
        <v>34.5</v>
      </c>
      <c r="I538">
        <v>35.1</v>
      </c>
    </row>
    <row r="539" spans="1:9" ht="24" customHeight="1">
      <c r="A539" s="6" t="s">
        <v>2012</v>
      </c>
      <c r="B539">
        <v>601</v>
      </c>
      <c r="C539">
        <v>842</v>
      </c>
      <c r="D539">
        <v>410954</v>
      </c>
      <c r="E539">
        <v>235233</v>
      </c>
      <c r="F539">
        <v>13.5</v>
      </c>
      <c r="G539">
        <v>1.1000000000000001</v>
      </c>
      <c r="H539">
        <v>6.3</v>
      </c>
      <c r="I539">
        <v>7.1</v>
      </c>
    </row>
    <row r="540" spans="1:9" ht="24" customHeight="1">
      <c r="A540" s="6" t="s">
        <v>436</v>
      </c>
      <c r="B540">
        <v>48379</v>
      </c>
      <c r="C540">
        <v>10188</v>
      </c>
      <c r="D540">
        <v>390565</v>
      </c>
      <c r="E540">
        <v>286978</v>
      </c>
      <c r="F540">
        <v>13.4</v>
      </c>
      <c r="G540">
        <v>6.1</v>
      </c>
      <c r="H540">
        <v>12.9</v>
      </c>
      <c r="I540">
        <v>11.1</v>
      </c>
    </row>
    <row r="541" spans="1:9" ht="24" customHeight="1">
      <c r="A541" s="6" t="s">
        <v>437</v>
      </c>
      <c r="B541">
        <v>4311</v>
      </c>
      <c r="C541">
        <v>605</v>
      </c>
      <c r="D541">
        <v>489762</v>
      </c>
      <c r="E541">
        <v>365023</v>
      </c>
      <c r="F541">
        <v>21.4</v>
      </c>
      <c r="G541">
        <v>9.9</v>
      </c>
      <c r="H541">
        <v>15.4</v>
      </c>
      <c r="I541">
        <v>11.7</v>
      </c>
    </row>
    <row r="542" spans="1:9" ht="24" customHeight="1">
      <c r="A542" s="6" t="s">
        <v>438</v>
      </c>
      <c r="B542">
        <v>269</v>
      </c>
      <c r="C542">
        <v>42</v>
      </c>
      <c r="D542">
        <v>307997</v>
      </c>
      <c r="E542">
        <v>251703</v>
      </c>
      <c r="F542">
        <v>31.9</v>
      </c>
      <c r="G542">
        <v>7.8</v>
      </c>
      <c r="H542">
        <v>0</v>
      </c>
      <c r="I542">
        <v>0</v>
      </c>
    </row>
    <row r="543" spans="1:9" ht="24" customHeight="1">
      <c r="A543" s="6" t="s">
        <v>2013</v>
      </c>
      <c r="B543">
        <v>515</v>
      </c>
      <c r="C543">
        <v>117</v>
      </c>
      <c r="D543">
        <v>358848</v>
      </c>
      <c r="E543">
        <v>342349</v>
      </c>
      <c r="F543">
        <v>21.5</v>
      </c>
      <c r="G543">
        <v>14.5</v>
      </c>
      <c r="H543">
        <v>1.5</v>
      </c>
      <c r="I543">
        <v>1.7</v>
      </c>
    </row>
    <row r="544" spans="1:9" ht="24" customHeight="1">
      <c r="A544" s="6" t="s">
        <v>2014</v>
      </c>
      <c r="B544">
        <v>528</v>
      </c>
      <c r="C544">
        <v>75</v>
      </c>
      <c r="D544">
        <v>460044</v>
      </c>
      <c r="E544">
        <v>339362</v>
      </c>
      <c r="F544">
        <v>26.1</v>
      </c>
      <c r="G544">
        <v>7.7</v>
      </c>
      <c r="H544">
        <v>11.7</v>
      </c>
      <c r="I544">
        <v>11.8</v>
      </c>
    </row>
    <row r="545" spans="1:9" ht="24" customHeight="1">
      <c r="A545" s="6" t="s">
        <v>2015</v>
      </c>
      <c r="B545">
        <v>572</v>
      </c>
      <c r="C545">
        <v>38</v>
      </c>
      <c r="D545">
        <v>518387</v>
      </c>
      <c r="E545">
        <v>398002</v>
      </c>
      <c r="F545">
        <v>24.1</v>
      </c>
      <c r="G545">
        <v>20.399999999999999</v>
      </c>
      <c r="H545">
        <v>16.8</v>
      </c>
      <c r="I545">
        <v>17.3</v>
      </c>
    </row>
    <row r="546" spans="1:9" ht="24" customHeight="1">
      <c r="A546" s="6" t="s">
        <v>2016</v>
      </c>
      <c r="B546">
        <v>441</v>
      </c>
      <c r="C546">
        <v>49</v>
      </c>
      <c r="D546">
        <v>553464</v>
      </c>
      <c r="E546">
        <v>458938</v>
      </c>
      <c r="F546">
        <v>19.100000000000001</v>
      </c>
      <c r="G546">
        <v>5.0999999999999996</v>
      </c>
      <c r="H546">
        <v>21.6</v>
      </c>
      <c r="I546">
        <v>21.5</v>
      </c>
    </row>
    <row r="547" spans="1:9" ht="24" customHeight="1">
      <c r="A547" s="6" t="s">
        <v>2017</v>
      </c>
      <c r="B547">
        <v>307</v>
      </c>
      <c r="C547">
        <v>40</v>
      </c>
      <c r="D547">
        <v>614954</v>
      </c>
      <c r="E547">
        <v>437357</v>
      </c>
      <c r="F547">
        <v>13.1</v>
      </c>
      <c r="G547">
        <v>8.4</v>
      </c>
      <c r="H547">
        <v>27.1</v>
      </c>
      <c r="I547">
        <v>26.9</v>
      </c>
    </row>
    <row r="548" spans="1:9" ht="24" customHeight="1">
      <c r="A548" s="6" t="s">
        <v>2018</v>
      </c>
      <c r="B548">
        <v>235</v>
      </c>
      <c r="C548">
        <v>81</v>
      </c>
      <c r="D548">
        <v>395871</v>
      </c>
      <c r="E548">
        <v>314180</v>
      </c>
      <c r="F548">
        <v>25.9</v>
      </c>
      <c r="G548">
        <v>10.3</v>
      </c>
      <c r="H548">
        <v>3.5</v>
      </c>
      <c r="I548">
        <v>3.6</v>
      </c>
    </row>
    <row r="549" spans="1:9" ht="24" customHeight="1">
      <c r="A549" s="6" t="s">
        <v>439</v>
      </c>
      <c r="B549">
        <v>749</v>
      </c>
      <c r="C549">
        <v>57</v>
      </c>
      <c r="D549">
        <v>660144</v>
      </c>
      <c r="E549">
        <v>519164</v>
      </c>
      <c r="F549">
        <v>15.1</v>
      </c>
      <c r="G549">
        <v>6.7</v>
      </c>
      <c r="H549">
        <v>35.200000000000003</v>
      </c>
      <c r="I549">
        <v>35.5</v>
      </c>
    </row>
    <row r="550" spans="1:9" ht="24" customHeight="1">
      <c r="A550" s="6" t="s">
        <v>2019</v>
      </c>
      <c r="B550">
        <v>733</v>
      </c>
      <c r="C550">
        <v>149</v>
      </c>
      <c r="D550">
        <v>394515</v>
      </c>
      <c r="E550">
        <v>273500</v>
      </c>
      <c r="F550">
        <v>21.3</v>
      </c>
      <c r="G550">
        <v>5.9</v>
      </c>
      <c r="H550">
        <v>7.4</v>
      </c>
      <c r="I550">
        <v>6.9</v>
      </c>
    </row>
    <row r="551" spans="1:9" ht="24" customHeight="1">
      <c r="A551" s="6" t="s">
        <v>2020</v>
      </c>
      <c r="B551">
        <v>27159</v>
      </c>
      <c r="C551">
        <v>6505</v>
      </c>
      <c r="D551">
        <v>361270</v>
      </c>
      <c r="E551">
        <v>267015</v>
      </c>
      <c r="F551">
        <v>9.9</v>
      </c>
      <c r="G551">
        <v>4.5</v>
      </c>
      <c r="H551">
        <v>12.3</v>
      </c>
      <c r="I551">
        <v>11.3</v>
      </c>
    </row>
    <row r="552" spans="1:9" ht="24" customHeight="1">
      <c r="A552" s="6" t="s">
        <v>2021</v>
      </c>
      <c r="B552">
        <v>1773</v>
      </c>
      <c r="C552">
        <v>715</v>
      </c>
      <c r="D552">
        <v>231605</v>
      </c>
      <c r="E552">
        <v>209428</v>
      </c>
      <c r="F552">
        <v>9.6</v>
      </c>
      <c r="G552">
        <v>1.5</v>
      </c>
      <c r="H552">
        <v>0</v>
      </c>
      <c r="I552">
        <v>0</v>
      </c>
    </row>
    <row r="553" spans="1:9" ht="24" customHeight="1">
      <c r="A553" s="6" t="s">
        <v>2022</v>
      </c>
      <c r="B553">
        <v>3159</v>
      </c>
      <c r="C553">
        <v>567</v>
      </c>
      <c r="D553">
        <v>295687</v>
      </c>
      <c r="E553">
        <v>241734</v>
      </c>
      <c r="F553">
        <v>12.1</v>
      </c>
      <c r="G553">
        <v>7.5</v>
      </c>
      <c r="H553">
        <v>1.5</v>
      </c>
      <c r="I553">
        <v>1.3</v>
      </c>
    </row>
    <row r="554" spans="1:9" ht="24" customHeight="1">
      <c r="A554" s="6" t="s">
        <v>2023</v>
      </c>
      <c r="B554">
        <v>4363</v>
      </c>
      <c r="C554">
        <v>1285</v>
      </c>
      <c r="D554">
        <v>377260</v>
      </c>
      <c r="E554">
        <v>281042</v>
      </c>
      <c r="F554">
        <v>9.9</v>
      </c>
      <c r="G554">
        <v>1.9</v>
      </c>
      <c r="H554">
        <v>11.8</v>
      </c>
      <c r="I554">
        <v>11.4</v>
      </c>
    </row>
    <row r="555" spans="1:9" ht="24" customHeight="1">
      <c r="A555" s="6" t="s">
        <v>2024</v>
      </c>
      <c r="B555">
        <v>3519</v>
      </c>
      <c r="C555">
        <v>972</v>
      </c>
      <c r="D555">
        <v>380106</v>
      </c>
      <c r="E555">
        <v>268186</v>
      </c>
      <c r="F555">
        <v>10.6</v>
      </c>
      <c r="G555">
        <v>4.7</v>
      </c>
      <c r="H555">
        <v>16.8</v>
      </c>
      <c r="I555">
        <v>16.5</v>
      </c>
    </row>
    <row r="556" spans="1:9" ht="24" customHeight="1">
      <c r="A556" s="6" t="s">
        <v>2025</v>
      </c>
      <c r="B556">
        <v>2497</v>
      </c>
      <c r="C556">
        <v>409</v>
      </c>
      <c r="D556">
        <v>445732</v>
      </c>
      <c r="E556">
        <v>259770</v>
      </c>
      <c r="F556">
        <v>7.4</v>
      </c>
      <c r="G556">
        <v>2.5</v>
      </c>
      <c r="H556">
        <v>22</v>
      </c>
      <c r="I556">
        <v>21.4</v>
      </c>
    </row>
    <row r="557" spans="1:9" ht="24" customHeight="1">
      <c r="A557" s="6" t="s">
        <v>2026</v>
      </c>
      <c r="B557">
        <v>1819</v>
      </c>
      <c r="C557">
        <v>296</v>
      </c>
      <c r="D557">
        <v>453046</v>
      </c>
      <c r="E557">
        <v>283907</v>
      </c>
      <c r="F557">
        <v>7.3</v>
      </c>
      <c r="G557">
        <v>6.1</v>
      </c>
      <c r="H557">
        <v>26.6</v>
      </c>
      <c r="I557">
        <v>26.5</v>
      </c>
    </row>
    <row r="558" spans="1:9" ht="24" customHeight="1">
      <c r="A558" s="6" t="s">
        <v>2027</v>
      </c>
      <c r="B558">
        <v>2664</v>
      </c>
      <c r="C558">
        <v>847</v>
      </c>
      <c r="D558">
        <v>315845</v>
      </c>
      <c r="E558">
        <v>265086</v>
      </c>
      <c r="F558">
        <v>12.3</v>
      </c>
      <c r="G558">
        <v>4.8</v>
      </c>
      <c r="H558">
        <v>3.5</v>
      </c>
      <c r="I558">
        <v>3.4</v>
      </c>
    </row>
    <row r="559" spans="1:9" ht="24" customHeight="1">
      <c r="A559" s="6" t="s">
        <v>2028</v>
      </c>
      <c r="B559">
        <v>1939</v>
      </c>
      <c r="C559">
        <v>672</v>
      </c>
      <c r="D559">
        <v>450744</v>
      </c>
      <c r="E559">
        <v>236107</v>
      </c>
      <c r="F559">
        <v>4.7</v>
      </c>
      <c r="G559">
        <v>0.9</v>
      </c>
      <c r="H559">
        <v>36.4</v>
      </c>
      <c r="I559">
        <v>36.799999999999997</v>
      </c>
    </row>
    <row r="560" spans="1:9" ht="24" customHeight="1">
      <c r="A560" s="6" t="s">
        <v>2029</v>
      </c>
      <c r="B560">
        <v>5485</v>
      </c>
      <c r="C560">
        <v>1180</v>
      </c>
      <c r="D560">
        <v>335482</v>
      </c>
      <c r="E560">
        <v>281326</v>
      </c>
      <c r="F560">
        <v>11.1</v>
      </c>
      <c r="G560">
        <v>7.8</v>
      </c>
      <c r="H560">
        <v>7</v>
      </c>
      <c r="I560">
        <v>6.4</v>
      </c>
    </row>
    <row r="561" spans="1:9" ht="24" customHeight="1">
      <c r="A561" s="6" t="s">
        <v>2030</v>
      </c>
      <c r="B561">
        <v>9531</v>
      </c>
      <c r="C561">
        <v>1769</v>
      </c>
      <c r="D561">
        <v>398333</v>
      </c>
      <c r="E561">
        <v>299671</v>
      </c>
      <c r="F561">
        <v>14.6</v>
      </c>
      <c r="G561">
        <v>7.4</v>
      </c>
      <c r="H561">
        <v>14.1</v>
      </c>
      <c r="I561">
        <v>10</v>
      </c>
    </row>
    <row r="562" spans="1:9" ht="24" customHeight="1">
      <c r="A562" s="6" t="s">
        <v>2031</v>
      </c>
      <c r="B562">
        <v>396</v>
      </c>
      <c r="C562">
        <v>153</v>
      </c>
      <c r="D562">
        <v>251147</v>
      </c>
      <c r="E562">
        <v>230979</v>
      </c>
      <c r="F562">
        <v>10.8</v>
      </c>
      <c r="G562">
        <v>7.3</v>
      </c>
      <c r="H562">
        <v>0</v>
      </c>
      <c r="I562">
        <v>0</v>
      </c>
    </row>
    <row r="563" spans="1:9" ht="24" customHeight="1">
      <c r="A563" s="6" t="s">
        <v>2032</v>
      </c>
      <c r="B563">
        <v>928</v>
      </c>
      <c r="C563">
        <v>298</v>
      </c>
      <c r="D563">
        <v>303253</v>
      </c>
      <c r="E563">
        <v>260988</v>
      </c>
      <c r="F563">
        <v>17</v>
      </c>
      <c r="G563">
        <v>7.5</v>
      </c>
      <c r="H563">
        <v>1.3</v>
      </c>
      <c r="I563">
        <v>1.4</v>
      </c>
    </row>
    <row r="564" spans="1:9" ht="24" customHeight="1">
      <c r="A564" s="6" t="s">
        <v>2033</v>
      </c>
      <c r="B564">
        <v>1253</v>
      </c>
      <c r="C564">
        <v>203</v>
      </c>
      <c r="D564">
        <v>379387</v>
      </c>
      <c r="E564">
        <v>290638</v>
      </c>
      <c r="F564">
        <v>15.5</v>
      </c>
      <c r="G564">
        <v>4.9000000000000004</v>
      </c>
      <c r="H564">
        <v>11.8</v>
      </c>
      <c r="I564">
        <v>12</v>
      </c>
    </row>
    <row r="565" spans="1:9" ht="24" customHeight="1">
      <c r="A565" s="6" t="s">
        <v>2034</v>
      </c>
      <c r="B565">
        <v>1330</v>
      </c>
      <c r="C565">
        <v>184</v>
      </c>
      <c r="D565">
        <v>431907</v>
      </c>
      <c r="E565">
        <v>327301</v>
      </c>
      <c r="F565">
        <v>13.9</v>
      </c>
      <c r="G565">
        <v>5.2</v>
      </c>
      <c r="H565">
        <v>17.100000000000001</v>
      </c>
      <c r="I565">
        <v>16.600000000000001</v>
      </c>
    </row>
    <row r="566" spans="1:9" ht="24" customHeight="1">
      <c r="A566" s="6" t="s">
        <v>2035</v>
      </c>
      <c r="B566">
        <v>946</v>
      </c>
      <c r="C566">
        <v>136</v>
      </c>
      <c r="D566">
        <v>467266</v>
      </c>
      <c r="E566">
        <v>321990</v>
      </c>
      <c r="F566">
        <v>8.6</v>
      </c>
      <c r="G566">
        <v>13.8</v>
      </c>
      <c r="H566">
        <v>21.6</v>
      </c>
      <c r="I566">
        <v>21.6</v>
      </c>
    </row>
    <row r="567" spans="1:9" ht="24" customHeight="1">
      <c r="A567" s="6" t="s">
        <v>2036</v>
      </c>
      <c r="B567">
        <v>1265</v>
      </c>
      <c r="C567">
        <v>92</v>
      </c>
      <c r="D567">
        <v>481307</v>
      </c>
      <c r="E567">
        <v>334103</v>
      </c>
      <c r="F567">
        <v>8.1999999999999993</v>
      </c>
      <c r="G567">
        <v>5.3</v>
      </c>
      <c r="H567">
        <v>26.9</v>
      </c>
      <c r="I567">
        <v>26.7</v>
      </c>
    </row>
    <row r="568" spans="1:9" ht="24" customHeight="1">
      <c r="A568" s="6" t="s">
        <v>2037</v>
      </c>
      <c r="B568">
        <v>767</v>
      </c>
      <c r="C568">
        <v>297</v>
      </c>
      <c r="D568">
        <v>345624</v>
      </c>
      <c r="E568">
        <v>292566</v>
      </c>
      <c r="F568">
        <v>17.8</v>
      </c>
      <c r="G568">
        <v>7.3</v>
      </c>
      <c r="H568">
        <v>3.5</v>
      </c>
      <c r="I568">
        <v>3.4</v>
      </c>
    </row>
    <row r="569" spans="1:9" ht="24" customHeight="1">
      <c r="A569" s="6" t="s">
        <v>2038</v>
      </c>
      <c r="B569">
        <v>733</v>
      </c>
      <c r="C569">
        <v>106</v>
      </c>
      <c r="D569">
        <v>463301</v>
      </c>
      <c r="E569">
        <v>393152</v>
      </c>
      <c r="F569">
        <v>10</v>
      </c>
      <c r="G569">
        <v>6.7</v>
      </c>
      <c r="H569">
        <v>34.200000000000003</v>
      </c>
      <c r="I569">
        <v>34.6</v>
      </c>
    </row>
    <row r="570" spans="1:9" ht="24" customHeight="1">
      <c r="A570" s="6" t="s">
        <v>2039</v>
      </c>
      <c r="B570">
        <v>1945</v>
      </c>
      <c r="C570">
        <v>320</v>
      </c>
      <c r="D570">
        <v>369921</v>
      </c>
      <c r="E570">
        <v>308551</v>
      </c>
      <c r="F570">
        <v>21.5</v>
      </c>
      <c r="G570">
        <v>8.1999999999999993</v>
      </c>
      <c r="H570">
        <v>7</v>
      </c>
      <c r="I570">
        <v>6.6</v>
      </c>
    </row>
    <row r="571" spans="1:9" ht="24" customHeight="1">
      <c r="A571" s="6" t="s">
        <v>2040</v>
      </c>
      <c r="B571">
        <v>7378</v>
      </c>
      <c r="C571">
        <v>1309</v>
      </c>
      <c r="D571">
        <v>430414</v>
      </c>
      <c r="E571">
        <v>332964</v>
      </c>
      <c r="F571">
        <v>19.8</v>
      </c>
      <c r="G571">
        <v>10.8</v>
      </c>
      <c r="H571">
        <v>12.1</v>
      </c>
      <c r="I571">
        <v>11.1</v>
      </c>
    </row>
    <row r="572" spans="1:9" ht="24" customHeight="1">
      <c r="A572" s="6" t="s">
        <v>2041</v>
      </c>
      <c r="B572">
        <v>458</v>
      </c>
      <c r="C572">
        <v>33</v>
      </c>
      <c r="D572">
        <v>244853</v>
      </c>
      <c r="E572">
        <v>213039</v>
      </c>
      <c r="F572">
        <v>13</v>
      </c>
      <c r="G572">
        <v>11.9</v>
      </c>
      <c r="H572">
        <v>0</v>
      </c>
      <c r="I572">
        <v>0</v>
      </c>
    </row>
    <row r="573" spans="1:9" ht="24" customHeight="1">
      <c r="A573" s="6" t="s">
        <v>2042</v>
      </c>
      <c r="B573">
        <v>691</v>
      </c>
      <c r="C573">
        <v>179</v>
      </c>
      <c r="D573">
        <v>310852</v>
      </c>
      <c r="E573">
        <v>275584</v>
      </c>
      <c r="F573">
        <v>20.5</v>
      </c>
      <c r="G573">
        <v>8.9</v>
      </c>
      <c r="H573">
        <v>1.5</v>
      </c>
      <c r="I573">
        <v>1.3</v>
      </c>
    </row>
    <row r="574" spans="1:9" ht="24" customHeight="1">
      <c r="A574" s="6" t="s">
        <v>2043</v>
      </c>
      <c r="B574">
        <v>865</v>
      </c>
      <c r="C574">
        <v>108</v>
      </c>
      <c r="D574">
        <v>454224</v>
      </c>
      <c r="E574">
        <v>414414</v>
      </c>
      <c r="F574">
        <v>22.9</v>
      </c>
      <c r="G574">
        <v>18.2</v>
      </c>
      <c r="H574">
        <v>11.8</v>
      </c>
      <c r="I574">
        <v>12.1</v>
      </c>
    </row>
    <row r="575" spans="1:9" ht="24" customHeight="1">
      <c r="A575" s="6" t="s">
        <v>2044</v>
      </c>
      <c r="B575">
        <v>978</v>
      </c>
      <c r="C575">
        <v>153</v>
      </c>
      <c r="D575">
        <v>511571</v>
      </c>
      <c r="E575">
        <v>334693</v>
      </c>
      <c r="F575">
        <v>22.4</v>
      </c>
      <c r="G575">
        <v>9.4</v>
      </c>
      <c r="H575">
        <v>16.3</v>
      </c>
      <c r="I575">
        <v>16.8</v>
      </c>
    </row>
    <row r="576" spans="1:9" ht="24" customHeight="1">
      <c r="A576" s="6" t="s">
        <v>2045</v>
      </c>
      <c r="B576">
        <v>566</v>
      </c>
      <c r="C576">
        <v>69</v>
      </c>
      <c r="D576">
        <v>523487</v>
      </c>
      <c r="E576">
        <v>334475</v>
      </c>
      <c r="F576">
        <v>17.7</v>
      </c>
      <c r="G576">
        <v>1.6</v>
      </c>
      <c r="H576">
        <v>21.7</v>
      </c>
      <c r="I576">
        <v>21.5</v>
      </c>
    </row>
    <row r="577" spans="1:9" ht="24" customHeight="1">
      <c r="A577" s="6" t="s">
        <v>2046</v>
      </c>
      <c r="B577">
        <v>487</v>
      </c>
      <c r="C577">
        <v>92</v>
      </c>
      <c r="D577">
        <v>539575</v>
      </c>
      <c r="E577">
        <v>342291</v>
      </c>
      <c r="F577">
        <v>21.9</v>
      </c>
      <c r="G577">
        <v>3</v>
      </c>
      <c r="H577">
        <v>26.9</v>
      </c>
      <c r="I577">
        <v>27</v>
      </c>
    </row>
    <row r="578" spans="1:9" ht="24" customHeight="1">
      <c r="A578" s="6" t="s">
        <v>2047</v>
      </c>
      <c r="B578">
        <v>858</v>
      </c>
      <c r="C578">
        <v>110</v>
      </c>
      <c r="D578">
        <v>359065</v>
      </c>
      <c r="E578">
        <v>305175</v>
      </c>
      <c r="F578">
        <v>16.7</v>
      </c>
      <c r="G578">
        <v>11.8</v>
      </c>
      <c r="H578">
        <v>3.4</v>
      </c>
      <c r="I578">
        <v>3.3</v>
      </c>
    </row>
    <row r="579" spans="1:9" ht="24" customHeight="1">
      <c r="A579" s="6" t="s">
        <v>2048</v>
      </c>
      <c r="B579">
        <v>611</v>
      </c>
      <c r="C579">
        <v>111</v>
      </c>
      <c r="D579">
        <v>558822</v>
      </c>
      <c r="E579">
        <v>494912</v>
      </c>
      <c r="F579">
        <v>19.8</v>
      </c>
      <c r="G579">
        <v>24.6</v>
      </c>
      <c r="H579">
        <v>33.6</v>
      </c>
      <c r="I579">
        <v>31.1</v>
      </c>
    </row>
    <row r="580" spans="1:9" ht="24" customHeight="1">
      <c r="A580" s="6" t="s">
        <v>2049</v>
      </c>
      <c r="B580">
        <v>1870</v>
      </c>
      <c r="C580">
        <v>471</v>
      </c>
      <c r="D580">
        <v>400089</v>
      </c>
      <c r="E580">
        <v>307415</v>
      </c>
      <c r="F580">
        <v>20.100000000000001</v>
      </c>
      <c r="G580">
        <v>9.1</v>
      </c>
      <c r="H580">
        <v>7.2</v>
      </c>
      <c r="I580">
        <v>6.3</v>
      </c>
    </row>
    <row r="581" spans="1:9" ht="24" customHeight="1">
      <c r="A581" s="6" t="s">
        <v>440</v>
      </c>
      <c r="B581">
        <v>41948</v>
      </c>
      <c r="C581">
        <v>11759</v>
      </c>
      <c r="D581">
        <v>406144</v>
      </c>
      <c r="E581">
        <v>310681</v>
      </c>
      <c r="F581">
        <v>12</v>
      </c>
      <c r="G581">
        <v>7.8</v>
      </c>
      <c r="H581">
        <v>15.7</v>
      </c>
      <c r="I581">
        <v>11.9</v>
      </c>
    </row>
    <row r="582" spans="1:9" ht="24" customHeight="1">
      <c r="A582" s="6" t="s">
        <v>441</v>
      </c>
      <c r="B582">
        <v>8380</v>
      </c>
      <c r="C582">
        <v>2141</v>
      </c>
      <c r="D582">
        <v>536625</v>
      </c>
      <c r="E582">
        <v>403891</v>
      </c>
      <c r="F582">
        <v>18.5</v>
      </c>
      <c r="G582">
        <v>13.6</v>
      </c>
      <c r="H582">
        <v>18.2</v>
      </c>
      <c r="I582">
        <v>14.1</v>
      </c>
    </row>
    <row r="583" spans="1:9" ht="24" customHeight="1">
      <c r="A583" s="6" t="s">
        <v>442</v>
      </c>
      <c r="B583">
        <v>459</v>
      </c>
      <c r="C583">
        <v>153</v>
      </c>
      <c r="D583">
        <v>288669</v>
      </c>
      <c r="E583">
        <v>239017</v>
      </c>
      <c r="F583">
        <v>17.3</v>
      </c>
      <c r="G583">
        <v>7.4</v>
      </c>
      <c r="H583">
        <v>0</v>
      </c>
      <c r="I583">
        <v>0</v>
      </c>
    </row>
    <row r="584" spans="1:9" ht="24" customHeight="1">
      <c r="A584" s="6" t="s">
        <v>2050</v>
      </c>
      <c r="B584">
        <v>958</v>
      </c>
      <c r="C584">
        <v>387</v>
      </c>
      <c r="D584">
        <v>353194</v>
      </c>
      <c r="E584">
        <v>330130</v>
      </c>
      <c r="F584">
        <v>19.7</v>
      </c>
      <c r="G584">
        <v>16.600000000000001</v>
      </c>
      <c r="H584">
        <v>1.5</v>
      </c>
      <c r="I584">
        <v>1.4</v>
      </c>
    </row>
    <row r="585" spans="1:9" ht="24" customHeight="1">
      <c r="A585" s="6" t="s">
        <v>2051</v>
      </c>
      <c r="B585">
        <v>616</v>
      </c>
      <c r="C585">
        <v>210</v>
      </c>
      <c r="D585">
        <v>539004</v>
      </c>
      <c r="E585">
        <v>394379</v>
      </c>
      <c r="F585">
        <v>20.100000000000001</v>
      </c>
      <c r="G585">
        <v>16.3</v>
      </c>
      <c r="H585">
        <v>11.9</v>
      </c>
      <c r="I585">
        <v>11.5</v>
      </c>
    </row>
    <row r="586" spans="1:9" ht="24" customHeight="1">
      <c r="A586" s="6" t="s">
        <v>2052</v>
      </c>
      <c r="B586">
        <v>710</v>
      </c>
      <c r="C586">
        <v>191</v>
      </c>
      <c r="D586">
        <v>582814</v>
      </c>
      <c r="E586">
        <v>447990</v>
      </c>
      <c r="F586">
        <v>16.100000000000001</v>
      </c>
      <c r="G586">
        <v>9.4</v>
      </c>
      <c r="H586">
        <v>17.100000000000001</v>
      </c>
      <c r="I586">
        <v>16.7</v>
      </c>
    </row>
    <row r="587" spans="1:9" ht="24" customHeight="1">
      <c r="A587" s="6" t="s">
        <v>2053</v>
      </c>
      <c r="B587">
        <v>564</v>
      </c>
      <c r="C587">
        <v>172</v>
      </c>
      <c r="D587">
        <v>595039</v>
      </c>
      <c r="E587">
        <v>480162</v>
      </c>
      <c r="F587">
        <v>16</v>
      </c>
      <c r="G587">
        <v>13.3</v>
      </c>
      <c r="H587">
        <v>22</v>
      </c>
      <c r="I587">
        <v>21.6</v>
      </c>
    </row>
    <row r="588" spans="1:9" ht="24" customHeight="1">
      <c r="A588" s="6" t="s">
        <v>2054</v>
      </c>
      <c r="B588">
        <v>1198</v>
      </c>
      <c r="C588">
        <v>214</v>
      </c>
      <c r="D588">
        <v>599143</v>
      </c>
      <c r="E588">
        <v>448562</v>
      </c>
      <c r="F588">
        <v>21.3</v>
      </c>
      <c r="G588">
        <v>5.0999999999999996</v>
      </c>
      <c r="H588">
        <v>26.8</v>
      </c>
      <c r="I588">
        <v>26.9</v>
      </c>
    </row>
    <row r="589" spans="1:9" ht="24" customHeight="1">
      <c r="A589" s="6" t="s">
        <v>2055</v>
      </c>
      <c r="B589">
        <v>607</v>
      </c>
      <c r="C589">
        <v>85</v>
      </c>
      <c r="D589">
        <v>396199</v>
      </c>
      <c r="E589">
        <v>344220</v>
      </c>
      <c r="F589">
        <v>23.4</v>
      </c>
      <c r="G589">
        <v>16.100000000000001</v>
      </c>
      <c r="H589">
        <v>3.4</v>
      </c>
      <c r="I589">
        <v>3.6</v>
      </c>
    </row>
    <row r="590" spans="1:9" ht="24" customHeight="1">
      <c r="A590" s="6" t="s">
        <v>443</v>
      </c>
      <c r="B590">
        <v>2330</v>
      </c>
      <c r="C590">
        <v>381</v>
      </c>
      <c r="D590">
        <v>662989</v>
      </c>
      <c r="E590">
        <v>504866</v>
      </c>
      <c r="F590">
        <v>14</v>
      </c>
      <c r="G590">
        <v>14.9</v>
      </c>
      <c r="H590">
        <v>33.9</v>
      </c>
      <c r="I590">
        <v>33</v>
      </c>
    </row>
    <row r="591" spans="1:9" ht="24" customHeight="1">
      <c r="A591" s="6" t="s">
        <v>2056</v>
      </c>
      <c r="B591">
        <v>951</v>
      </c>
      <c r="C591">
        <v>366</v>
      </c>
      <c r="D591">
        <v>471117</v>
      </c>
      <c r="E591">
        <v>379293</v>
      </c>
      <c r="F591">
        <v>24.1</v>
      </c>
      <c r="G591">
        <v>16.5</v>
      </c>
      <c r="H591">
        <v>6.8</v>
      </c>
      <c r="I591">
        <v>6.4</v>
      </c>
    </row>
    <row r="592" spans="1:9" ht="24" customHeight="1">
      <c r="A592" s="6" t="s">
        <v>2057</v>
      </c>
      <c r="B592">
        <v>20595</v>
      </c>
      <c r="C592">
        <v>5660</v>
      </c>
      <c r="D592">
        <v>348373</v>
      </c>
      <c r="E592">
        <v>264231</v>
      </c>
      <c r="F592">
        <v>11.8</v>
      </c>
      <c r="G592">
        <v>5.7</v>
      </c>
      <c r="H592">
        <v>13.8</v>
      </c>
      <c r="I592">
        <v>11</v>
      </c>
    </row>
    <row r="593" spans="1:9" ht="24" customHeight="1">
      <c r="A593" s="6" t="s">
        <v>2058</v>
      </c>
      <c r="B593">
        <v>1086</v>
      </c>
      <c r="C593">
        <v>357</v>
      </c>
      <c r="D593">
        <v>246611</v>
      </c>
      <c r="E593">
        <v>200442</v>
      </c>
      <c r="F593">
        <v>9.5</v>
      </c>
      <c r="G593">
        <v>4.0999999999999996</v>
      </c>
      <c r="H593">
        <v>0</v>
      </c>
      <c r="I593">
        <v>0</v>
      </c>
    </row>
    <row r="594" spans="1:9" ht="24" customHeight="1">
      <c r="A594" s="6" t="s">
        <v>2059</v>
      </c>
      <c r="B594">
        <v>2373</v>
      </c>
      <c r="C594">
        <v>826</v>
      </c>
      <c r="D594">
        <v>296402</v>
      </c>
      <c r="E594">
        <v>219185</v>
      </c>
      <c r="F594">
        <v>13.9</v>
      </c>
      <c r="G594">
        <v>2.2000000000000002</v>
      </c>
      <c r="H594">
        <v>1.5</v>
      </c>
      <c r="I594">
        <v>1.4</v>
      </c>
    </row>
    <row r="595" spans="1:9" ht="24" customHeight="1">
      <c r="A595" s="6" t="s">
        <v>2060</v>
      </c>
      <c r="B595">
        <v>2542</v>
      </c>
      <c r="C595">
        <v>696</v>
      </c>
      <c r="D595">
        <v>373808</v>
      </c>
      <c r="E595">
        <v>260946</v>
      </c>
      <c r="F595">
        <v>13.8</v>
      </c>
      <c r="G595">
        <v>8.6</v>
      </c>
      <c r="H595">
        <v>11.7</v>
      </c>
      <c r="I595">
        <v>11.7</v>
      </c>
    </row>
    <row r="596" spans="1:9" ht="24" customHeight="1">
      <c r="A596" s="6" t="s">
        <v>2061</v>
      </c>
      <c r="B596">
        <v>2358</v>
      </c>
      <c r="C596">
        <v>563</v>
      </c>
      <c r="D596">
        <v>364828</v>
      </c>
      <c r="E596">
        <v>274970</v>
      </c>
      <c r="F596">
        <v>13.3</v>
      </c>
      <c r="G596">
        <v>4.8</v>
      </c>
      <c r="H596">
        <v>16.7</v>
      </c>
      <c r="I596">
        <v>16.8</v>
      </c>
    </row>
    <row r="597" spans="1:9" ht="24" customHeight="1">
      <c r="A597" s="6" t="s">
        <v>2062</v>
      </c>
      <c r="B597">
        <v>2164</v>
      </c>
      <c r="C597">
        <v>495</v>
      </c>
      <c r="D597">
        <v>445133</v>
      </c>
      <c r="E597">
        <v>299977</v>
      </c>
      <c r="F597">
        <v>12.2</v>
      </c>
      <c r="G597">
        <v>9.1</v>
      </c>
      <c r="H597">
        <v>21.7</v>
      </c>
      <c r="I597">
        <v>21.7</v>
      </c>
    </row>
    <row r="598" spans="1:9" ht="24" customHeight="1">
      <c r="A598" s="6" t="s">
        <v>2063</v>
      </c>
      <c r="B598">
        <v>1505</v>
      </c>
      <c r="C598">
        <v>425</v>
      </c>
      <c r="D598">
        <v>392760</v>
      </c>
      <c r="E598">
        <v>347498</v>
      </c>
      <c r="F598">
        <v>8.1999999999999993</v>
      </c>
      <c r="G598">
        <v>5.7</v>
      </c>
      <c r="H598">
        <v>26.8</v>
      </c>
      <c r="I598">
        <v>26.9</v>
      </c>
    </row>
    <row r="599" spans="1:9" ht="24" customHeight="1">
      <c r="A599" s="6" t="s">
        <v>2064</v>
      </c>
      <c r="B599">
        <v>1799</v>
      </c>
      <c r="C599">
        <v>772</v>
      </c>
      <c r="D599">
        <v>288251</v>
      </c>
      <c r="E599">
        <v>237504</v>
      </c>
      <c r="F599">
        <v>9.1</v>
      </c>
      <c r="G599">
        <v>4.9000000000000004</v>
      </c>
      <c r="H599">
        <v>3.4</v>
      </c>
      <c r="I599">
        <v>3.6</v>
      </c>
    </row>
    <row r="600" spans="1:9" ht="24" customHeight="1">
      <c r="A600" s="6" t="s">
        <v>2065</v>
      </c>
      <c r="B600">
        <v>2397</v>
      </c>
      <c r="C600">
        <v>298</v>
      </c>
      <c r="D600">
        <v>359704</v>
      </c>
      <c r="E600">
        <v>316707</v>
      </c>
      <c r="F600">
        <v>8.1999999999999993</v>
      </c>
      <c r="G600">
        <v>1.7</v>
      </c>
      <c r="H600">
        <v>36.299999999999997</v>
      </c>
      <c r="I600">
        <v>34.4</v>
      </c>
    </row>
    <row r="601" spans="1:9" ht="24" customHeight="1">
      <c r="A601" s="6" t="s">
        <v>2066</v>
      </c>
      <c r="B601">
        <v>4445</v>
      </c>
      <c r="C601">
        <v>1379</v>
      </c>
      <c r="D601">
        <v>332274</v>
      </c>
      <c r="E601">
        <v>260179</v>
      </c>
      <c r="F601">
        <v>13.2</v>
      </c>
      <c r="G601">
        <v>6.9</v>
      </c>
      <c r="H601">
        <v>7.1</v>
      </c>
      <c r="I601">
        <v>6.8</v>
      </c>
    </row>
    <row r="602" spans="1:9" ht="24" customHeight="1">
      <c r="A602" s="6" t="s">
        <v>2067</v>
      </c>
      <c r="B602">
        <v>9955</v>
      </c>
      <c r="C602">
        <v>2786</v>
      </c>
      <c r="D602">
        <v>412675</v>
      </c>
      <c r="E602">
        <v>325559</v>
      </c>
      <c r="F602">
        <v>8.1999999999999993</v>
      </c>
      <c r="G602">
        <v>8.9</v>
      </c>
      <c r="H602">
        <v>17.100000000000001</v>
      </c>
      <c r="I602">
        <v>11.1</v>
      </c>
    </row>
    <row r="603" spans="1:9" ht="24" customHeight="1">
      <c r="A603" s="6" t="s">
        <v>2068</v>
      </c>
      <c r="B603">
        <v>453</v>
      </c>
      <c r="C603">
        <v>245</v>
      </c>
      <c r="D603">
        <v>238208</v>
      </c>
      <c r="E603">
        <v>235790</v>
      </c>
      <c r="F603">
        <v>5.8</v>
      </c>
      <c r="G603">
        <v>2.5</v>
      </c>
      <c r="H603">
        <v>0</v>
      </c>
      <c r="I603">
        <v>0</v>
      </c>
    </row>
    <row r="604" spans="1:9" ht="24" customHeight="1">
      <c r="A604" s="6" t="s">
        <v>2069</v>
      </c>
      <c r="B604">
        <v>879</v>
      </c>
      <c r="C604">
        <v>296</v>
      </c>
      <c r="D604">
        <v>316245</v>
      </c>
      <c r="E604">
        <v>274873</v>
      </c>
      <c r="F604">
        <v>10.9</v>
      </c>
      <c r="G604">
        <v>10.7</v>
      </c>
      <c r="H604">
        <v>1.5</v>
      </c>
      <c r="I604">
        <v>1.6</v>
      </c>
    </row>
    <row r="605" spans="1:9" ht="24" customHeight="1">
      <c r="A605" s="6" t="s">
        <v>2070</v>
      </c>
      <c r="B605">
        <v>1102</v>
      </c>
      <c r="C605">
        <v>401</v>
      </c>
      <c r="D605">
        <v>387205</v>
      </c>
      <c r="E605">
        <v>330268</v>
      </c>
      <c r="F605">
        <v>8.1</v>
      </c>
      <c r="G605">
        <v>10.1</v>
      </c>
      <c r="H605">
        <v>11.3</v>
      </c>
      <c r="I605">
        <v>11.6</v>
      </c>
    </row>
    <row r="606" spans="1:9" ht="24" customHeight="1">
      <c r="A606" s="6" t="s">
        <v>2071</v>
      </c>
      <c r="B606">
        <v>1121</v>
      </c>
      <c r="C606">
        <v>470</v>
      </c>
      <c r="D606">
        <v>453274</v>
      </c>
      <c r="E606">
        <v>379929</v>
      </c>
      <c r="F606">
        <v>6.9</v>
      </c>
      <c r="G606">
        <v>14.1</v>
      </c>
      <c r="H606">
        <v>16.8</v>
      </c>
      <c r="I606">
        <v>16.7</v>
      </c>
    </row>
    <row r="607" spans="1:9" ht="24" customHeight="1">
      <c r="A607" s="6" t="s">
        <v>2072</v>
      </c>
      <c r="B607">
        <v>746</v>
      </c>
      <c r="C607">
        <v>168</v>
      </c>
      <c r="D607">
        <v>482696</v>
      </c>
      <c r="E607">
        <v>311841</v>
      </c>
      <c r="F607">
        <v>7.9</v>
      </c>
      <c r="G607">
        <v>10.3</v>
      </c>
      <c r="H607">
        <v>21.8</v>
      </c>
      <c r="I607">
        <v>21.1</v>
      </c>
    </row>
    <row r="608" spans="1:9" ht="24" customHeight="1">
      <c r="A608" s="6" t="s">
        <v>2073</v>
      </c>
      <c r="B608">
        <v>998</v>
      </c>
      <c r="C608">
        <v>102</v>
      </c>
      <c r="D608">
        <v>474876</v>
      </c>
      <c r="E608">
        <v>320013</v>
      </c>
      <c r="F608">
        <v>7.8</v>
      </c>
      <c r="G608">
        <v>8.6</v>
      </c>
      <c r="H608">
        <v>26.7</v>
      </c>
      <c r="I608">
        <v>26.5</v>
      </c>
    </row>
    <row r="609" spans="1:9" ht="24" customHeight="1">
      <c r="A609" s="6" t="s">
        <v>2074</v>
      </c>
      <c r="B609">
        <v>641</v>
      </c>
      <c r="C609">
        <v>242</v>
      </c>
      <c r="D609">
        <v>326902</v>
      </c>
      <c r="E609">
        <v>286147</v>
      </c>
      <c r="F609">
        <v>10.6</v>
      </c>
      <c r="G609">
        <v>8.6</v>
      </c>
      <c r="H609">
        <v>3.4</v>
      </c>
      <c r="I609">
        <v>3.5</v>
      </c>
    </row>
    <row r="610" spans="1:9" ht="24" customHeight="1">
      <c r="A610" s="6" t="s">
        <v>2075</v>
      </c>
      <c r="B610">
        <v>2277</v>
      </c>
      <c r="C610">
        <v>209</v>
      </c>
      <c r="D610">
        <v>495698</v>
      </c>
      <c r="E610">
        <v>436975</v>
      </c>
      <c r="F610">
        <v>5.5</v>
      </c>
      <c r="G610">
        <v>3.8</v>
      </c>
      <c r="H610">
        <v>35.4</v>
      </c>
      <c r="I610">
        <v>33.200000000000003</v>
      </c>
    </row>
    <row r="611" spans="1:9" ht="24" customHeight="1">
      <c r="A611" s="6" t="s">
        <v>2076</v>
      </c>
      <c r="B611">
        <v>1737</v>
      </c>
      <c r="C611">
        <v>681</v>
      </c>
      <c r="D611">
        <v>354003</v>
      </c>
      <c r="E611">
        <v>319790</v>
      </c>
      <c r="F611">
        <v>11.5</v>
      </c>
      <c r="G611">
        <v>7.2</v>
      </c>
      <c r="H611">
        <v>6.7</v>
      </c>
      <c r="I611">
        <v>6.5</v>
      </c>
    </row>
    <row r="612" spans="1:9" ht="24" customHeight="1">
      <c r="A612" s="6" t="s">
        <v>2077</v>
      </c>
      <c r="B612">
        <v>3019</v>
      </c>
      <c r="C612">
        <v>1171</v>
      </c>
      <c r="D612">
        <v>416548</v>
      </c>
      <c r="E612">
        <v>329349</v>
      </c>
      <c r="F612">
        <v>7.4</v>
      </c>
      <c r="G612">
        <v>5</v>
      </c>
      <c r="H612">
        <v>16.7</v>
      </c>
      <c r="I612">
        <v>14.1</v>
      </c>
    </row>
    <row r="613" spans="1:9" ht="24" customHeight="1">
      <c r="A613" s="6" t="s">
        <v>2078</v>
      </c>
      <c r="B613">
        <v>173</v>
      </c>
      <c r="C613">
        <v>71</v>
      </c>
      <c r="D613">
        <v>219743</v>
      </c>
      <c r="E613">
        <v>205232</v>
      </c>
      <c r="F613">
        <v>4</v>
      </c>
      <c r="G613">
        <v>2.8</v>
      </c>
      <c r="H613">
        <v>0</v>
      </c>
      <c r="I613">
        <v>0</v>
      </c>
    </row>
    <row r="614" spans="1:9" ht="24" customHeight="1">
      <c r="A614" s="6" t="s">
        <v>2079</v>
      </c>
      <c r="B614">
        <v>234</v>
      </c>
      <c r="C614">
        <v>125</v>
      </c>
      <c r="D614">
        <v>286672</v>
      </c>
      <c r="E614">
        <v>262431</v>
      </c>
      <c r="F614">
        <v>6.4</v>
      </c>
      <c r="G614">
        <v>11.5</v>
      </c>
      <c r="H614">
        <v>1.4</v>
      </c>
      <c r="I614">
        <v>1.5</v>
      </c>
    </row>
    <row r="615" spans="1:9" ht="24" customHeight="1">
      <c r="A615" s="6" t="s">
        <v>2080</v>
      </c>
      <c r="B615">
        <v>427</v>
      </c>
      <c r="C615">
        <v>111</v>
      </c>
      <c r="D615">
        <v>398441</v>
      </c>
      <c r="E615">
        <v>311874</v>
      </c>
      <c r="F615">
        <v>7.4</v>
      </c>
      <c r="G615">
        <v>2.2000000000000002</v>
      </c>
      <c r="H615">
        <v>11.9</v>
      </c>
      <c r="I615">
        <v>11.5</v>
      </c>
    </row>
    <row r="616" spans="1:9" ht="24" customHeight="1">
      <c r="A616" s="6" t="s">
        <v>2081</v>
      </c>
      <c r="B616">
        <v>441</v>
      </c>
      <c r="C616">
        <v>140</v>
      </c>
      <c r="D616">
        <v>458798</v>
      </c>
      <c r="E616">
        <v>397928</v>
      </c>
      <c r="F616">
        <v>6.8</v>
      </c>
      <c r="G616">
        <v>4.5999999999999996</v>
      </c>
      <c r="H616">
        <v>16.899999999999999</v>
      </c>
      <c r="I616">
        <v>17.2</v>
      </c>
    </row>
    <row r="617" spans="1:9" ht="24" customHeight="1">
      <c r="A617" s="6" t="s">
        <v>2082</v>
      </c>
      <c r="B617">
        <v>217</v>
      </c>
      <c r="C617">
        <v>133</v>
      </c>
      <c r="D617">
        <v>464302</v>
      </c>
      <c r="E617">
        <v>346088</v>
      </c>
      <c r="F617">
        <v>10.6</v>
      </c>
      <c r="G617">
        <v>3.2</v>
      </c>
      <c r="H617">
        <v>21.6</v>
      </c>
      <c r="I617">
        <v>22.4</v>
      </c>
    </row>
    <row r="618" spans="1:9" ht="24" customHeight="1">
      <c r="A618" s="6" t="s">
        <v>2083</v>
      </c>
      <c r="B618">
        <v>283</v>
      </c>
      <c r="C618">
        <v>146</v>
      </c>
      <c r="D618">
        <v>506035</v>
      </c>
      <c r="E618">
        <v>395191</v>
      </c>
      <c r="F618">
        <v>9.1</v>
      </c>
      <c r="G618">
        <v>5.9</v>
      </c>
      <c r="H618">
        <v>27</v>
      </c>
      <c r="I618">
        <v>26.5</v>
      </c>
    </row>
    <row r="619" spans="1:9" ht="24" customHeight="1">
      <c r="A619" s="6" t="s">
        <v>2084</v>
      </c>
      <c r="B619">
        <v>158</v>
      </c>
      <c r="C619">
        <v>145</v>
      </c>
      <c r="D619">
        <v>311498</v>
      </c>
      <c r="E619">
        <v>263758</v>
      </c>
      <c r="F619">
        <v>8</v>
      </c>
      <c r="G619">
        <v>2.8</v>
      </c>
      <c r="H619">
        <v>3.5</v>
      </c>
      <c r="I619">
        <v>3.5</v>
      </c>
    </row>
    <row r="620" spans="1:9" ht="24" customHeight="1">
      <c r="A620" s="6" t="s">
        <v>2085</v>
      </c>
      <c r="B620">
        <v>639</v>
      </c>
      <c r="C620">
        <v>133</v>
      </c>
      <c r="D620">
        <v>512367</v>
      </c>
      <c r="E620">
        <v>425357</v>
      </c>
      <c r="F620">
        <v>6.6</v>
      </c>
      <c r="G620">
        <v>9.3000000000000007</v>
      </c>
      <c r="H620">
        <v>33.9</v>
      </c>
      <c r="I620">
        <v>33.700000000000003</v>
      </c>
    </row>
    <row r="621" spans="1:9" ht="24" customHeight="1">
      <c r="A621" s="6" t="s">
        <v>2086</v>
      </c>
      <c r="B621">
        <v>447</v>
      </c>
      <c r="C621">
        <v>202</v>
      </c>
      <c r="D621">
        <v>356759</v>
      </c>
      <c r="E621">
        <v>294558</v>
      </c>
      <c r="F621">
        <v>8.1</v>
      </c>
      <c r="G621">
        <v>1.9</v>
      </c>
      <c r="H621">
        <v>7.1</v>
      </c>
      <c r="I621">
        <v>7.1</v>
      </c>
    </row>
    <row r="622" spans="1:9" ht="24" customHeight="1">
      <c r="A622" s="6" t="s">
        <v>444</v>
      </c>
      <c r="B622">
        <v>105164</v>
      </c>
      <c r="C622">
        <v>25286</v>
      </c>
      <c r="D622">
        <v>429868</v>
      </c>
      <c r="E622">
        <v>288684</v>
      </c>
      <c r="F622">
        <v>12.5</v>
      </c>
      <c r="G622">
        <v>5.5</v>
      </c>
      <c r="H622">
        <v>15.5</v>
      </c>
      <c r="I622">
        <v>11.9</v>
      </c>
    </row>
    <row r="623" spans="1:9" ht="24" customHeight="1">
      <c r="A623" s="6" t="s">
        <v>445</v>
      </c>
      <c r="B623">
        <v>22094</v>
      </c>
      <c r="C623">
        <v>2488</v>
      </c>
      <c r="D623">
        <v>554378</v>
      </c>
      <c r="E623">
        <v>403992</v>
      </c>
      <c r="F623">
        <v>16.5</v>
      </c>
      <c r="G623">
        <v>10.5</v>
      </c>
      <c r="H623">
        <v>20.7</v>
      </c>
      <c r="I623">
        <v>15.3</v>
      </c>
    </row>
    <row r="624" spans="1:9" ht="24" customHeight="1">
      <c r="A624" s="6" t="s">
        <v>446</v>
      </c>
      <c r="B624">
        <v>534</v>
      </c>
      <c r="C624">
        <v>77</v>
      </c>
      <c r="D624">
        <v>236920</v>
      </c>
      <c r="E624">
        <v>252386</v>
      </c>
      <c r="F624">
        <v>6.1</v>
      </c>
      <c r="G624">
        <v>2.8</v>
      </c>
      <c r="H624">
        <v>0</v>
      </c>
      <c r="I624">
        <v>0</v>
      </c>
    </row>
    <row r="625" spans="1:9" ht="24" customHeight="1">
      <c r="A625" s="6" t="s">
        <v>2087</v>
      </c>
      <c r="B625">
        <v>1051</v>
      </c>
      <c r="C625">
        <v>313</v>
      </c>
      <c r="D625">
        <v>341864</v>
      </c>
      <c r="E625">
        <v>319928</v>
      </c>
      <c r="F625">
        <v>17.399999999999999</v>
      </c>
      <c r="G625">
        <v>13.8</v>
      </c>
      <c r="H625">
        <v>1.5</v>
      </c>
      <c r="I625">
        <v>1.5</v>
      </c>
    </row>
    <row r="626" spans="1:9" ht="24" customHeight="1">
      <c r="A626" s="6" t="s">
        <v>2088</v>
      </c>
      <c r="B626">
        <v>2585</v>
      </c>
      <c r="C626">
        <v>275</v>
      </c>
      <c r="D626">
        <v>528079</v>
      </c>
      <c r="E626">
        <v>410561</v>
      </c>
      <c r="F626">
        <v>21.5</v>
      </c>
      <c r="G626">
        <v>6.2</v>
      </c>
      <c r="H626">
        <v>12.5</v>
      </c>
      <c r="I626">
        <v>13.4</v>
      </c>
    </row>
    <row r="627" spans="1:9" ht="24" customHeight="1">
      <c r="A627" s="6" t="s">
        <v>2089</v>
      </c>
      <c r="B627">
        <v>1892</v>
      </c>
      <c r="C627">
        <v>199</v>
      </c>
      <c r="D627">
        <v>553612</v>
      </c>
      <c r="E627">
        <v>415140</v>
      </c>
      <c r="F627">
        <v>14.8</v>
      </c>
      <c r="G627">
        <v>9.5</v>
      </c>
      <c r="H627">
        <v>16.899999999999999</v>
      </c>
      <c r="I627">
        <v>16.8</v>
      </c>
    </row>
    <row r="628" spans="1:9" ht="24" customHeight="1">
      <c r="A628" s="6" t="s">
        <v>2090</v>
      </c>
      <c r="B628">
        <v>1230</v>
      </c>
      <c r="C628">
        <v>129</v>
      </c>
      <c r="D628">
        <v>614197</v>
      </c>
      <c r="E628">
        <v>418471</v>
      </c>
      <c r="F628">
        <v>14.3</v>
      </c>
      <c r="G628">
        <v>6.3</v>
      </c>
      <c r="H628">
        <v>21.9</v>
      </c>
      <c r="I628">
        <v>23</v>
      </c>
    </row>
    <row r="629" spans="1:9" ht="24" customHeight="1">
      <c r="A629" s="6" t="s">
        <v>2091</v>
      </c>
      <c r="B629">
        <v>2651</v>
      </c>
      <c r="C629">
        <v>287</v>
      </c>
      <c r="D629">
        <v>661420</v>
      </c>
      <c r="E629">
        <v>481942</v>
      </c>
      <c r="F629">
        <v>15.5</v>
      </c>
      <c r="G629">
        <v>15.1</v>
      </c>
      <c r="H629">
        <v>26.8</v>
      </c>
      <c r="I629">
        <v>27.5</v>
      </c>
    </row>
    <row r="630" spans="1:9" ht="24" customHeight="1">
      <c r="A630" s="6" t="s">
        <v>2092</v>
      </c>
      <c r="B630">
        <v>1768</v>
      </c>
      <c r="C630">
        <v>396</v>
      </c>
      <c r="D630">
        <v>398205</v>
      </c>
      <c r="E630">
        <v>352740</v>
      </c>
      <c r="F630">
        <v>18</v>
      </c>
      <c r="G630">
        <v>15.2</v>
      </c>
      <c r="H630">
        <v>3.5</v>
      </c>
      <c r="I630">
        <v>3.4</v>
      </c>
    </row>
    <row r="631" spans="1:9" ht="24" customHeight="1">
      <c r="A631" s="6" t="s">
        <v>447</v>
      </c>
      <c r="B631">
        <v>7842</v>
      </c>
      <c r="C631">
        <v>473</v>
      </c>
      <c r="D631">
        <v>639015</v>
      </c>
      <c r="E631">
        <v>490175</v>
      </c>
      <c r="F631">
        <v>13.9</v>
      </c>
      <c r="G631">
        <v>7.1</v>
      </c>
      <c r="H631">
        <v>34.4</v>
      </c>
      <c r="I631">
        <v>34.1</v>
      </c>
    </row>
    <row r="632" spans="1:9" ht="24" customHeight="1">
      <c r="A632" s="6" t="s">
        <v>2093</v>
      </c>
      <c r="B632">
        <v>2542</v>
      </c>
      <c r="C632">
        <v>349</v>
      </c>
      <c r="D632">
        <v>443169</v>
      </c>
      <c r="E632">
        <v>369211</v>
      </c>
      <c r="F632">
        <v>23.7</v>
      </c>
      <c r="G632">
        <v>9.6999999999999993</v>
      </c>
      <c r="H632">
        <v>6.9</v>
      </c>
      <c r="I632">
        <v>6.9</v>
      </c>
    </row>
    <row r="633" spans="1:9" ht="24" customHeight="1">
      <c r="A633" s="6" t="s">
        <v>2094</v>
      </c>
      <c r="B633">
        <v>44088</v>
      </c>
      <c r="C633">
        <v>13685</v>
      </c>
      <c r="D633">
        <v>385496</v>
      </c>
      <c r="E633">
        <v>266420</v>
      </c>
      <c r="F633">
        <v>10</v>
      </c>
      <c r="G633">
        <v>3.6</v>
      </c>
      <c r="H633">
        <v>12.7</v>
      </c>
      <c r="I633">
        <v>11.1</v>
      </c>
    </row>
    <row r="634" spans="1:9" ht="24" customHeight="1">
      <c r="A634" s="6" t="s">
        <v>2095</v>
      </c>
      <c r="B634">
        <v>1939</v>
      </c>
      <c r="C634">
        <v>1204</v>
      </c>
      <c r="D634">
        <v>243688</v>
      </c>
      <c r="E634">
        <v>190468</v>
      </c>
      <c r="F634">
        <v>6.3</v>
      </c>
      <c r="G634">
        <v>1.2</v>
      </c>
      <c r="H634">
        <v>0</v>
      </c>
      <c r="I634">
        <v>0</v>
      </c>
    </row>
    <row r="635" spans="1:9" ht="24" customHeight="1">
      <c r="A635" s="6" t="s">
        <v>2096</v>
      </c>
      <c r="B635">
        <v>3612</v>
      </c>
      <c r="C635">
        <v>1515</v>
      </c>
      <c r="D635">
        <v>313839</v>
      </c>
      <c r="E635">
        <v>224908</v>
      </c>
      <c r="F635">
        <v>13.3</v>
      </c>
      <c r="G635">
        <v>3.5</v>
      </c>
      <c r="H635">
        <v>1.5</v>
      </c>
      <c r="I635">
        <v>1.4</v>
      </c>
    </row>
    <row r="636" spans="1:9" ht="24" customHeight="1">
      <c r="A636" s="6" t="s">
        <v>2097</v>
      </c>
      <c r="B636">
        <v>6107</v>
      </c>
      <c r="C636">
        <v>1714</v>
      </c>
      <c r="D636">
        <v>386499</v>
      </c>
      <c r="E636">
        <v>272428</v>
      </c>
      <c r="F636">
        <v>9.6999999999999993</v>
      </c>
      <c r="G636">
        <v>4.0999999999999996</v>
      </c>
      <c r="H636">
        <v>11.8</v>
      </c>
      <c r="I636">
        <v>11.7</v>
      </c>
    </row>
    <row r="637" spans="1:9" ht="24" customHeight="1">
      <c r="A637" s="6" t="s">
        <v>2098</v>
      </c>
      <c r="B637">
        <v>5379</v>
      </c>
      <c r="C637">
        <v>2296</v>
      </c>
      <c r="D637">
        <v>425542</v>
      </c>
      <c r="E637">
        <v>300408</v>
      </c>
      <c r="F637">
        <v>12.1</v>
      </c>
      <c r="G637">
        <v>2.9</v>
      </c>
      <c r="H637">
        <v>16.8</v>
      </c>
      <c r="I637">
        <v>17.3</v>
      </c>
    </row>
    <row r="638" spans="1:9" ht="24" customHeight="1">
      <c r="A638" s="6" t="s">
        <v>2099</v>
      </c>
      <c r="B638">
        <v>4747</v>
      </c>
      <c r="C638">
        <v>1421</v>
      </c>
      <c r="D638">
        <v>435752</v>
      </c>
      <c r="E638">
        <v>269660</v>
      </c>
      <c r="F638">
        <v>11.3</v>
      </c>
      <c r="G638">
        <v>2</v>
      </c>
      <c r="H638">
        <v>21.6</v>
      </c>
      <c r="I638">
        <v>21.8</v>
      </c>
    </row>
    <row r="639" spans="1:9" ht="24" customHeight="1">
      <c r="A639" s="6" t="s">
        <v>2100</v>
      </c>
      <c r="B639">
        <v>2969</v>
      </c>
      <c r="C639">
        <v>736</v>
      </c>
      <c r="D639">
        <v>427998</v>
      </c>
      <c r="E639">
        <v>343972</v>
      </c>
      <c r="F639">
        <v>11.4</v>
      </c>
      <c r="G639">
        <v>2.5</v>
      </c>
      <c r="H639">
        <v>27</v>
      </c>
      <c r="I639">
        <v>26.5</v>
      </c>
    </row>
    <row r="640" spans="1:9" ht="24" customHeight="1">
      <c r="A640" s="6" t="s">
        <v>2101</v>
      </c>
      <c r="B640">
        <v>6893</v>
      </c>
      <c r="C640">
        <v>2019</v>
      </c>
      <c r="D640">
        <v>364307</v>
      </c>
      <c r="E640">
        <v>250146</v>
      </c>
      <c r="F640">
        <v>8.4</v>
      </c>
      <c r="G640">
        <v>4.7</v>
      </c>
      <c r="H640">
        <v>3.4</v>
      </c>
      <c r="I640">
        <v>3.5</v>
      </c>
    </row>
    <row r="641" spans="1:9" ht="24" customHeight="1">
      <c r="A641" s="6" t="s">
        <v>2102</v>
      </c>
      <c r="B641">
        <v>3618</v>
      </c>
      <c r="C641">
        <v>504</v>
      </c>
      <c r="D641">
        <v>433466</v>
      </c>
      <c r="E641">
        <v>295360</v>
      </c>
      <c r="F641">
        <v>8.1999999999999993</v>
      </c>
      <c r="G641">
        <v>2.5</v>
      </c>
      <c r="H641">
        <v>34.4</v>
      </c>
      <c r="I641">
        <v>33.5</v>
      </c>
    </row>
    <row r="642" spans="1:9" ht="24" customHeight="1">
      <c r="A642" s="6" t="s">
        <v>2103</v>
      </c>
      <c r="B642">
        <v>8980</v>
      </c>
      <c r="C642">
        <v>2843</v>
      </c>
      <c r="D642">
        <v>373258</v>
      </c>
      <c r="E642">
        <v>253228</v>
      </c>
      <c r="F642">
        <v>9.1</v>
      </c>
      <c r="G642">
        <v>4.8</v>
      </c>
      <c r="H642">
        <v>7</v>
      </c>
      <c r="I642">
        <v>7.2</v>
      </c>
    </row>
    <row r="643" spans="1:9" ht="24" customHeight="1">
      <c r="A643" s="6" t="s">
        <v>2104</v>
      </c>
      <c r="B643">
        <v>24136</v>
      </c>
      <c r="C643">
        <v>5401</v>
      </c>
      <c r="D643">
        <v>389928</v>
      </c>
      <c r="E643">
        <v>283971</v>
      </c>
      <c r="F643">
        <v>12.2</v>
      </c>
      <c r="G643">
        <v>7.4</v>
      </c>
      <c r="H643">
        <v>15.4</v>
      </c>
      <c r="I643">
        <v>12.2</v>
      </c>
    </row>
    <row r="644" spans="1:9" ht="24" customHeight="1">
      <c r="A644" s="6" t="s">
        <v>2105</v>
      </c>
      <c r="B644">
        <v>1420</v>
      </c>
      <c r="C644">
        <v>289</v>
      </c>
      <c r="D644">
        <v>244568</v>
      </c>
      <c r="E644">
        <v>213803</v>
      </c>
      <c r="F644">
        <v>5.2</v>
      </c>
      <c r="G644">
        <v>2.5</v>
      </c>
      <c r="H644">
        <v>0</v>
      </c>
      <c r="I644">
        <v>0</v>
      </c>
    </row>
    <row r="645" spans="1:9" ht="24" customHeight="1">
      <c r="A645" s="6" t="s">
        <v>2106</v>
      </c>
      <c r="B645">
        <v>2536</v>
      </c>
      <c r="C645">
        <v>835</v>
      </c>
      <c r="D645">
        <v>273830</v>
      </c>
      <c r="E645">
        <v>215826</v>
      </c>
      <c r="F645">
        <v>10.6</v>
      </c>
      <c r="G645">
        <v>5.3</v>
      </c>
      <c r="H645">
        <v>1.4</v>
      </c>
      <c r="I645">
        <v>1</v>
      </c>
    </row>
    <row r="646" spans="1:9" ht="24" customHeight="1">
      <c r="A646" s="6" t="s">
        <v>2107</v>
      </c>
      <c r="B646">
        <v>3052</v>
      </c>
      <c r="C646">
        <v>658</v>
      </c>
      <c r="D646">
        <v>378007</v>
      </c>
      <c r="E646">
        <v>293439</v>
      </c>
      <c r="F646">
        <v>18.5</v>
      </c>
      <c r="G646">
        <v>4.5</v>
      </c>
      <c r="H646">
        <v>12.2</v>
      </c>
      <c r="I646">
        <v>13</v>
      </c>
    </row>
    <row r="647" spans="1:9" ht="24" customHeight="1">
      <c r="A647" s="6" t="s">
        <v>2108</v>
      </c>
      <c r="B647">
        <v>3171</v>
      </c>
      <c r="C647">
        <v>687</v>
      </c>
      <c r="D647">
        <v>417292</v>
      </c>
      <c r="E647">
        <v>303298</v>
      </c>
      <c r="F647">
        <v>12.1</v>
      </c>
      <c r="G647">
        <v>11.3</v>
      </c>
      <c r="H647">
        <v>17</v>
      </c>
      <c r="I647">
        <v>17.2</v>
      </c>
    </row>
    <row r="648" spans="1:9" ht="24" customHeight="1">
      <c r="A648" s="6" t="s">
        <v>2109</v>
      </c>
      <c r="B648">
        <v>2071</v>
      </c>
      <c r="C648">
        <v>268</v>
      </c>
      <c r="D648">
        <v>456849</v>
      </c>
      <c r="E648">
        <v>279549</v>
      </c>
      <c r="F648">
        <v>9.1</v>
      </c>
      <c r="G648">
        <v>10.7</v>
      </c>
      <c r="H648">
        <v>21.8</v>
      </c>
      <c r="I648">
        <v>22.4</v>
      </c>
    </row>
    <row r="649" spans="1:9" ht="24" customHeight="1">
      <c r="A649" s="6" t="s">
        <v>2110</v>
      </c>
      <c r="B649">
        <v>2631</v>
      </c>
      <c r="C649">
        <v>377</v>
      </c>
      <c r="D649">
        <v>447173</v>
      </c>
      <c r="E649">
        <v>311345</v>
      </c>
      <c r="F649">
        <v>11.4</v>
      </c>
      <c r="G649">
        <v>4.2</v>
      </c>
      <c r="H649">
        <v>27</v>
      </c>
      <c r="I649">
        <v>26.7</v>
      </c>
    </row>
    <row r="650" spans="1:9" ht="24" customHeight="1">
      <c r="A650" s="6" t="s">
        <v>2111</v>
      </c>
      <c r="B650">
        <v>1463</v>
      </c>
      <c r="C650">
        <v>763</v>
      </c>
      <c r="D650">
        <v>325464</v>
      </c>
      <c r="E650">
        <v>278920</v>
      </c>
      <c r="F650">
        <v>14.6</v>
      </c>
      <c r="G650">
        <v>7.6</v>
      </c>
      <c r="H650">
        <v>3.6</v>
      </c>
      <c r="I650">
        <v>3.6</v>
      </c>
    </row>
    <row r="651" spans="1:9" ht="24" customHeight="1">
      <c r="A651" s="6" t="s">
        <v>2112</v>
      </c>
      <c r="B651">
        <v>3573</v>
      </c>
      <c r="C651">
        <v>623</v>
      </c>
      <c r="D651">
        <v>505527</v>
      </c>
      <c r="E651">
        <v>378658</v>
      </c>
      <c r="F651">
        <v>9.9</v>
      </c>
      <c r="G651">
        <v>9.9</v>
      </c>
      <c r="H651">
        <v>35.299999999999997</v>
      </c>
      <c r="I651">
        <v>33.1</v>
      </c>
    </row>
    <row r="652" spans="1:9" ht="24" customHeight="1">
      <c r="A652" s="6" t="s">
        <v>2113</v>
      </c>
      <c r="B652">
        <v>4284</v>
      </c>
      <c r="C652">
        <v>945</v>
      </c>
      <c r="D652">
        <v>351704</v>
      </c>
      <c r="E652">
        <v>270114</v>
      </c>
      <c r="F652">
        <v>14.1</v>
      </c>
      <c r="G652">
        <v>8.1</v>
      </c>
      <c r="H652">
        <v>7.1</v>
      </c>
      <c r="I652">
        <v>6.3</v>
      </c>
    </row>
    <row r="653" spans="1:9" ht="24" customHeight="1">
      <c r="A653" s="6" t="s">
        <v>2114</v>
      </c>
      <c r="B653">
        <v>14846</v>
      </c>
      <c r="C653">
        <v>3711</v>
      </c>
      <c r="D653">
        <v>441274</v>
      </c>
      <c r="E653">
        <v>300355</v>
      </c>
      <c r="F653">
        <v>14.6</v>
      </c>
      <c r="G653">
        <v>6.3</v>
      </c>
      <c r="H653">
        <v>16.3</v>
      </c>
      <c r="I653">
        <v>11.9</v>
      </c>
    </row>
    <row r="654" spans="1:9" ht="24" customHeight="1">
      <c r="A654" s="6" t="s">
        <v>2115</v>
      </c>
      <c r="B654">
        <v>434</v>
      </c>
      <c r="C654">
        <v>345</v>
      </c>
      <c r="D654">
        <v>224702</v>
      </c>
      <c r="E654">
        <v>197532</v>
      </c>
      <c r="F654">
        <v>6.3</v>
      </c>
      <c r="G654">
        <v>1.2</v>
      </c>
      <c r="H654">
        <v>0</v>
      </c>
      <c r="I654">
        <v>0</v>
      </c>
    </row>
    <row r="655" spans="1:9" ht="24" customHeight="1">
      <c r="A655" s="6" t="s">
        <v>2116</v>
      </c>
      <c r="B655">
        <v>898</v>
      </c>
      <c r="C655">
        <v>325</v>
      </c>
      <c r="D655">
        <v>320876</v>
      </c>
      <c r="E655">
        <v>267234</v>
      </c>
      <c r="F655">
        <v>16.899999999999999</v>
      </c>
      <c r="G655">
        <v>5.8</v>
      </c>
      <c r="H655">
        <v>1.4</v>
      </c>
      <c r="I655">
        <v>1.5</v>
      </c>
    </row>
    <row r="656" spans="1:9" ht="24" customHeight="1">
      <c r="A656" s="6" t="s">
        <v>2117</v>
      </c>
      <c r="B656">
        <v>1368</v>
      </c>
      <c r="C656">
        <v>478</v>
      </c>
      <c r="D656">
        <v>437324</v>
      </c>
      <c r="E656">
        <v>296960</v>
      </c>
      <c r="F656">
        <v>15.6</v>
      </c>
      <c r="G656">
        <v>6.8</v>
      </c>
      <c r="H656">
        <v>11.9</v>
      </c>
      <c r="I656">
        <v>11.7</v>
      </c>
    </row>
    <row r="657" spans="1:9" ht="24" customHeight="1">
      <c r="A657" s="6" t="s">
        <v>2118</v>
      </c>
      <c r="B657">
        <v>2847</v>
      </c>
      <c r="C657">
        <v>466</v>
      </c>
      <c r="D657">
        <v>443458</v>
      </c>
      <c r="E657">
        <v>333118</v>
      </c>
      <c r="F657">
        <v>15.4</v>
      </c>
      <c r="G657">
        <v>5.5</v>
      </c>
      <c r="H657">
        <v>17.100000000000001</v>
      </c>
      <c r="I657">
        <v>16.600000000000001</v>
      </c>
    </row>
    <row r="658" spans="1:9" ht="24" customHeight="1">
      <c r="A658" s="6" t="s">
        <v>2119</v>
      </c>
      <c r="B658">
        <v>1281</v>
      </c>
      <c r="C658">
        <v>213</v>
      </c>
      <c r="D658">
        <v>498252</v>
      </c>
      <c r="E658">
        <v>334919</v>
      </c>
      <c r="F658">
        <v>11.8</v>
      </c>
      <c r="G658">
        <v>4.8</v>
      </c>
      <c r="H658">
        <v>21.8</v>
      </c>
      <c r="I658">
        <v>22</v>
      </c>
    </row>
    <row r="659" spans="1:9" ht="24" customHeight="1">
      <c r="A659" s="6" t="s">
        <v>2120</v>
      </c>
      <c r="B659">
        <v>1332</v>
      </c>
      <c r="C659">
        <v>256</v>
      </c>
      <c r="D659">
        <v>553230</v>
      </c>
      <c r="E659">
        <v>370768</v>
      </c>
      <c r="F659">
        <v>13.4</v>
      </c>
      <c r="G659">
        <v>7.6</v>
      </c>
      <c r="H659">
        <v>26.7</v>
      </c>
      <c r="I659">
        <v>27.3</v>
      </c>
    </row>
    <row r="660" spans="1:9" ht="24" customHeight="1">
      <c r="A660" s="6" t="s">
        <v>2121</v>
      </c>
      <c r="B660">
        <v>1318</v>
      </c>
      <c r="C660">
        <v>519</v>
      </c>
      <c r="D660">
        <v>356103</v>
      </c>
      <c r="E660">
        <v>281231</v>
      </c>
      <c r="F660">
        <v>19.899999999999999</v>
      </c>
      <c r="G660">
        <v>8.5</v>
      </c>
      <c r="H660">
        <v>3.4</v>
      </c>
      <c r="I660">
        <v>3.6</v>
      </c>
    </row>
    <row r="661" spans="1:9" ht="24" customHeight="1">
      <c r="A661" s="6" t="s">
        <v>2122</v>
      </c>
      <c r="B661">
        <v>2623</v>
      </c>
      <c r="C661">
        <v>343</v>
      </c>
      <c r="D661">
        <v>571559</v>
      </c>
      <c r="E661">
        <v>394226</v>
      </c>
      <c r="F661">
        <v>12.8</v>
      </c>
      <c r="G661">
        <v>5.5</v>
      </c>
      <c r="H661">
        <v>34.200000000000003</v>
      </c>
      <c r="I661">
        <v>33.9</v>
      </c>
    </row>
    <row r="662" spans="1:9" ht="24" customHeight="1">
      <c r="A662" s="6" t="s">
        <v>2123</v>
      </c>
      <c r="B662">
        <v>2745</v>
      </c>
      <c r="C662">
        <v>785</v>
      </c>
      <c r="D662">
        <v>350076</v>
      </c>
      <c r="E662">
        <v>279502</v>
      </c>
      <c r="F662">
        <v>14.9</v>
      </c>
      <c r="G662">
        <v>7.9</v>
      </c>
      <c r="H662">
        <v>6.6</v>
      </c>
      <c r="I662">
        <v>6.8</v>
      </c>
    </row>
    <row r="663" spans="1:9" ht="24" customHeight="1">
      <c r="A663" s="6" t="s">
        <v>448</v>
      </c>
      <c r="B663">
        <v>132512</v>
      </c>
      <c r="C663">
        <v>46645</v>
      </c>
      <c r="D663">
        <v>447708</v>
      </c>
      <c r="E663">
        <v>314496</v>
      </c>
      <c r="F663">
        <v>16.2</v>
      </c>
      <c r="G663">
        <v>11.6</v>
      </c>
      <c r="H663">
        <v>17.7</v>
      </c>
      <c r="I663">
        <v>12.5</v>
      </c>
    </row>
    <row r="664" spans="1:9" ht="24" customHeight="1">
      <c r="A664" s="6" t="s">
        <v>449</v>
      </c>
      <c r="B664">
        <v>33601</v>
      </c>
      <c r="C664">
        <v>10320</v>
      </c>
      <c r="D664">
        <v>555765</v>
      </c>
      <c r="E664">
        <v>393912</v>
      </c>
      <c r="F664">
        <v>23.3</v>
      </c>
      <c r="G664">
        <v>17.100000000000001</v>
      </c>
      <c r="H664">
        <v>22.6</v>
      </c>
      <c r="I664">
        <v>12.5</v>
      </c>
    </row>
    <row r="665" spans="1:9" ht="24" customHeight="1">
      <c r="A665" s="6" t="s">
        <v>450</v>
      </c>
      <c r="B665">
        <v>1015</v>
      </c>
      <c r="C665">
        <v>911</v>
      </c>
      <c r="D665">
        <v>232939</v>
      </c>
      <c r="E665">
        <v>244162</v>
      </c>
      <c r="F665">
        <v>7.3</v>
      </c>
      <c r="G665">
        <v>9.8000000000000007</v>
      </c>
      <c r="H665">
        <v>0</v>
      </c>
      <c r="I665">
        <v>0</v>
      </c>
    </row>
    <row r="666" spans="1:9" ht="24" customHeight="1">
      <c r="A666" s="6" t="s">
        <v>2124</v>
      </c>
      <c r="B666">
        <v>1090</v>
      </c>
      <c r="C666">
        <v>1355</v>
      </c>
      <c r="D666">
        <v>349992</v>
      </c>
      <c r="E666">
        <v>310140</v>
      </c>
      <c r="F666">
        <v>26.6</v>
      </c>
      <c r="G666">
        <v>25.3</v>
      </c>
      <c r="H666">
        <v>1.4</v>
      </c>
      <c r="I666">
        <v>1.6</v>
      </c>
    </row>
    <row r="667" spans="1:9" ht="24" customHeight="1">
      <c r="A667" s="6" t="s">
        <v>2125</v>
      </c>
      <c r="B667">
        <v>2091</v>
      </c>
      <c r="C667">
        <v>1503</v>
      </c>
      <c r="D667">
        <v>463845</v>
      </c>
      <c r="E667">
        <v>372942</v>
      </c>
      <c r="F667">
        <v>25.7</v>
      </c>
      <c r="G667">
        <v>16.3</v>
      </c>
      <c r="H667">
        <v>12.2</v>
      </c>
      <c r="I667">
        <v>11.4</v>
      </c>
    </row>
    <row r="668" spans="1:9" ht="24" customHeight="1">
      <c r="A668" s="6" t="s">
        <v>2126</v>
      </c>
      <c r="B668">
        <v>3790</v>
      </c>
      <c r="C668">
        <v>1793</v>
      </c>
      <c r="D668">
        <v>572042</v>
      </c>
      <c r="E668">
        <v>444177</v>
      </c>
      <c r="F668">
        <v>25.2</v>
      </c>
      <c r="G668">
        <v>13.2</v>
      </c>
      <c r="H668">
        <v>16.899999999999999</v>
      </c>
      <c r="I668">
        <v>16.100000000000001</v>
      </c>
    </row>
    <row r="669" spans="1:9" ht="24" customHeight="1">
      <c r="A669" s="6" t="s">
        <v>2127</v>
      </c>
      <c r="B669">
        <v>3746</v>
      </c>
      <c r="C669">
        <v>649</v>
      </c>
      <c r="D669">
        <v>617975</v>
      </c>
      <c r="E669">
        <v>461465</v>
      </c>
      <c r="F669">
        <v>24.3</v>
      </c>
      <c r="G669">
        <v>14.2</v>
      </c>
      <c r="H669">
        <v>22.1</v>
      </c>
      <c r="I669">
        <v>21.2</v>
      </c>
    </row>
    <row r="670" spans="1:9" ht="24" customHeight="1">
      <c r="A670" s="6" t="s">
        <v>2128</v>
      </c>
      <c r="B670">
        <v>7019</v>
      </c>
      <c r="C670">
        <v>468</v>
      </c>
      <c r="D670">
        <v>611164</v>
      </c>
      <c r="E670">
        <v>424227</v>
      </c>
      <c r="F670">
        <v>23.7</v>
      </c>
      <c r="G670">
        <v>6.8</v>
      </c>
      <c r="H670">
        <v>27</v>
      </c>
      <c r="I670">
        <v>25.7</v>
      </c>
    </row>
    <row r="671" spans="1:9" ht="24" customHeight="1">
      <c r="A671" s="6" t="s">
        <v>2129</v>
      </c>
      <c r="B671">
        <v>1122</v>
      </c>
      <c r="C671">
        <v>857</v>
      </c>
      <c r="D671">
        <v>381515</v>
      </c>
      <c r="E671">
        <v>353830</v>
      </c>
      <c r="F671">
        <v>27.8</v>
      </c>
      <c r="G671">
        <v>22.2</v>
      </c>
      <c r="H671">
        <v>3.5</v>
      </c>
      <c r="I671">
        <v>3.4</v>
      </c>
    </row>
    <row r="672" spans="1:9" ht="24" customHeight="1">
      <c r="A672" s="6" t="s">
        <v>451</v>
      </c>
      <c r="B672">
        <v>10992</v>
      </c>
      <c r="C672">
        <v>1346</v>
      </c>
      <c r="D672">
        <v>613452</v>
      </c>
      <c r="E672">
        <v>545844</v>
      </c>
      <c r="F672">
        <v>20.5</v>
      </c>
      <c r="G672">
        <v>13.5</v>
      </c>
      <c r="H672">
        <v>34.1</v>
      </c>
      <c r="I672">
        <v>33.200000000000003</v>
      </c>
    </row>
    <row r="673" spans="1:9" ht="24" customHeight="1">
      <c r="A673" s="6" t="s">
        <v>2130</v>
      </c>
      <c r="B673">
        <v>2737</v>
      </c>
      <c r="C673">
        <v>1609</v>
      </c>
      <c r="D673">
        <v>417631</v>
      </c>
      <c r="E673">
        <v>367977</v>
      </c>
      <c r="F673">
        <v>30.5</v>
      </c>
      <c r="G673">
        <v>22.1</v>
      </c>
      <c r="H673">
        <v>6.8</v>
      </c>
      <c r="I673">
        <v>6.9</v>
      </c>
    </row>
    <row r="674" spans="1:9" ht="24" customHeight="1">
      <c r="A674" s="6" t="s">
        <v>2131</v>
      </c>
      <c r="B674">
        <v>51904</v>
      </c>
      <c r="C674">
        <v>20123</v>
      </c>
      <c r="D674">
        <v>378074</v>
      </c>
      <c r="E674">
        <v>267305</v>
      </c>
      <c r="F674">
        <v>7.6</v>
      </c>
      <c r="G674">
        <v>6.7</v>
      </c>
      <c r="H674">
        <v>15.1</v>
      </c>
      <c r="I674">
        <v>12.5</v>
      </c>
    </row>
    <row r="675" spans="1:9" ht="24" customHeight="1">
      <c r="A675" s="6" t="s">
        <v>2132</v>
      </c>
      <c r="B675">
        <v>2840</v>
      </c>
      <c r="C675">
        <v>1663</v>
      </c>
      <c r="D675">
        <v>272397</v>
      </c>
      <c r="E675">
        <v>216435</v>
      </c>
      <c r="F675">
        <v>11.9</v>
      </c>
      <c r="G675">
        <v>9.3000000000000007</v>
      </c>
      <c r="H675">
        <v>0</v>
      </c>
      <c r="I675">
        <v>0</v>
      </c>
    </row>
    <row r="676" spans="1:9" ht="24" customHeight="1">
      <c r="A676" s="6" t="s">
        <v>2133</v>
      </c>
      <c r="B676">
        <v>3212</v>
      </c>
      <c r="C676">
        <v>1646</v>
      </c>
      <c r="D676">
        <v>295159</v>
      </c>
      <c r="E676">
        <v>208952</v>
      </c>
      <c r="F676">
        <v>9.3000000000000007</v>
      </c>
      <c r="G676">
        <v>3.3</v>
      </c>
      <c r="H676">
        <v>1.4</v>
      </c>
      <c r="I676">
        <v>1.5</v>
      </c>
    </row>
    <row r="677" spans="1:9" ht="24" customHeight="1">
      <c r="A677" s="6" t="s">
        <v>2134</v>
      </c>
      <c r="B677">
        <v>8107</v>
      </c>
      <c r="C677">
        <v>2396</v>
      </c>
      <c r="D677">
        <v>375530</v>
      </c>
      <c r="E677">
        <v>278166</v>
      </c>
      <c r="F677">
        <v>6.6</v>
      </c>
      <c r="G677">
        <v>5.7</v>
      </c>
      <c r="H677">
        <v>12</v>
      </c>
      <c r="I677">
        <v>12.2</v>
      </c>
    </row>
    <row r="678" spans="1:9" ht="24" customHeight="1">
      <c r="A678" s="6" t="s">
        <v>2135</v>
      </c>
      <c r="B678">
        <v>7015</v>
      </c>
      <c r="C678">
        <v>2945</v>
      </c>
      <c r="D678">
        <v>415965</v>
      </c>
      <c r="E678">
        <v>249634</v>
      </c>
      <c r="F678">
        <v>10.5</v>
      </c>
      <c r="G678">
        <v>5.0999999999999996</v>
      </c>
      <c r="H678">
        <v>16.8</v>
      </c>
      <c r="I678">
        <v>16.899999999999999</v>
      </c>
    </row>
    <row r="679" spans="1:9" ht="24" customHeight="1">
      <c r="A679" s="6" t="s">
        <v>2136</v>
      </c>
      <c r="B679">
        <v>5548</v>
      </c>
      <c r="C679">
        <v>1968</v>
      </c>
      <c r="D679">
        <v>391941</v>
      </c>
      <c r="E679">
        <v>302209</v>
      </c>
      <c r="F679">
        <v>5</v>
      </c>
      <c r="G679">
        <v>4.4000000000000004</v>
      </c>
      <c r="H679">
        <v>21.9</v>
      </c>
      <c r="I679">
        <v>21.6</v>
      </c>
    </row>
    <row r="680" spans="1:9" ht="24" customHeight="1">
      <c r="A680" s="6" t="s">
        <v>2137</v>
      </c>
      <c r="B680">
        <v>4713</v>
      </c>
      <c r="C680">
        <v>1389</v>
      </c>
      <c r="D680">
        <v>396683</v>
      </c>
      <c r="E680">
        <v>286191</v>
      </c>
      <c r="F680">
        <v>6.2</v>
      </c>
      <c r="G680">
        <v>2.9</v>
      </c>
      <c r="H680">
        <v>26.6</v>
      </c>
      <c r="I680">
        <v>26.7</v>
      </c>
    </row>
    <row r="681" spans="1:9" ht="24" customHeight="1">
      <c r="A681" s="6" t="s">
        <v>2138</v>
      </c>
      <c r="B681">
        <v>4002</v>
      </c>
      <c r="C681">
        <v>3513</v>
      </c>
      <c r="D681">
        <v>307015</v>
      </c>
      <c r="E681">
        <v>258927</v>
      </c>
      <c r="F681">
        <v>8.3000000000000007</v>
      </c>
      <c r="G681">
        <v>7.8</v>
      </c>
      <c r="H681">
        <v>3.6</v>
      </c>
      <c r="I681">
        <v>3.6</v>
      </c>
    </row>
    <row r="682" spans="1:9" ht="24" customHeight="1">
      <c r="A682" s="6" t="s">
        <v>2139</v>
      </c>
      <c r="B682">
        <v>6783</v>
      </c>
      <c r="C682">
        <v>2033</v>
      </c>
      <c r="D682">
        <v>440453</v>
      </c>
      <c r="E682">
        <v>278149</v>
      </c>
      <c r="F682">
        <v>4.2</v>
      </c>
      <c r="G682">
        <v>6.6</v>
      </c>
      <c r="H682">
        <v>35.299999999999997</v>
      </c>
      <c r="I682">
        <v>32.6</v>
      </c>
    </row>
    <row r="683" spans="1:9" ht="24" customHeight="1">
      <c r="A683" s="6" t="s">
        <v>2140</v>
      </c>
      <c r="B683">
        <v>9781</v>
      </c>
      <c r="C683">
        <v>3691</v>
      </c>
      <c r="D683">
        <v>377699</v>
      </c>
      <c r="E683">
        <v>267042</v>
      </c>
      <c r="F683">
        <v>8.9</v>
      </c>
      <c r="G683">
        <v>8.6999999999999993</v>
      </c>
      <c r="H683">
        <v>6.8</v>
      </c>
      <c r="I683">
        <v>6.5</v>
      </c>
    </row>
    <row r="684" spans="1:9" ht="24" customHeight="1">
      <c r="A684" s="6" t="s">
        <v>2141</v>
      </c>
      <c r="B684">
        <v>33414</v>
      </c>
      <c r="C684">
        <v>10673</v>
      </c>
      <c r="D684">
        <v>433555</v>
      </c>
      <c r="E684">
        <v>305615</v>
      </c>
      <c r="F684">
        <v>22.8</v>
      </c>
      <c r="G684">
        <v>16.7</v>
      </c>
      <c r="H684">
        <v>16</v>
      </c>
      <c r="I684">
        <v>11.7</v>
      </c>
    </row>
    <row r="685" spans="1:9" ht="24" customHeight="1">
      <c r="A685" s="6" t="s">
        <v>2142</v>
      </c>
      <c r="B685">
        <v>822</v>
      </c>
      <c r="C685">
        <v>633</v>
      </c>
      <c r="D685">
        <v>260004</v>
      </c>
      <c r="E685">
        <v>202166</v>
      </c>
      <c r="F685">
        <v>23.3</v>
      </c>
      <c r="G685">
        <v>13.6</v>
      </c>
      <c r="H685">
        <v>0</v>
      </c>
      <c r="I685">
        <v>0</v>
      </c>
    </row>
    <row r="686" spans="1:9" ht="24" customHeight="1">
      <c r="A686" s="6" t="s">
        <v>2143</v>
      </c>
      <c r="B686">
        <v>2632</v>
      </c>
      <c r="C686">
        <v>1184</v>
      </c>
      <c r="D686">
        <v>375740</v>
      </c>
      <c r="E686">
        <v>265274</v>
      </c>
      <c r="F686">
        <v>26.8</v>
      </c>
      <c r="G686">
        <v>9.1</v>
      </c>
      <c r="H686">
        <v>1.6</v>
      </c>
      <c r="I686">
        <v>1.6</v>
      </c>
    </row>
    <row r="687" spans="1:9" ht="24" customHeight="1">
      <c r="A687" s="6" t="s">
        <v>2144</v>
      </c>
      <c r="B687">
        <v>2871</v>
      </c>
      <c r="C687">
        <v>1104</v>
      </c>
      <c r="D687">
        <v>396331</v>
      </c>
      <c r="E687">
        <v>304504</v>
      </c>
      <c r="F687">
        <v>26.1</v>
      </c>
      <c r="G687">
        <v>17.399999999999999</v>
      </c>
      <c r="H687">
        <v>12.1</v>
      </c>
      <c r="I687">
        <v>11.6</v>
      </c>
    </row>
    <row r="688" spans="1:9" ht="24" customHeight="1">
      <c r="A688" s="6" t="s">
        <v>2145</v>
      </c>
      <c r="B688">
        <v>4672</v>
      </c>
      <c r="C688">
        <v>1255</v>
      </c>
      <c r="D688">
        <v>452813</v>
      </c>
      <c r="E688">
        <v>330361</v>
      </c>
      <c r="F688">
        <v>25.5</v>
      </c>
      <c r="G688">
        <v>14.8</v>
      </c>
      <c r="H688">
        <v>16.899999999999999</v>
      </c>
      <c r="I688">
        <v>16.8</v>
      </c>
    </row>
    <row r="689" spans="1:9" ht="24" customHeight="1">
      <c r="A689" s="6" t="s">
        <v>2146</v>
      </c>
      <c r="B689">
        <v>5305</v>
      </c>
      <c r="C689">
        <v>1307</v>
      </c>
      <c r="D689">
        <v>491027</v>
      </c>
      <c r="E689">
        <v>360841</v>
      </c>
      <c r="F689">
        <v>25.3</v>
      </c>
      <c r="G689">
        <v>20</v>
      </c>
      <c r="H689">
        <v>21.7</v>
      </c>
      <c r="I689">
        <v>22.1</v>
      </c>
    </row>
    <row r="690" spans="1:9" ht="24" customHeight="1">
      <c r="A690" s="6" t="s">
        <v>2147</v>
      </c>
      <c r="B690">
        <v>4663</v>
      </c>
      <c r="C690">
        <v>629</v>
      </c>
      <c r="D690">
        <v>510579</v>
      </c>
      <c r="E690">
        <v>327082</v>
      </c>
      <c r="F690">
        <v>16.7</v>
      </c>
      <c r="G690">
        <v>12.3</v>
      </c>
      <c r="H690">
        <v>26.8</v>
      </c>
      <c r="I690">
        <v>26.8</v>
      </c>
    </row>
    <row r="691" spans="1:9" ht="24" customHeight="1">
      <c r="A691" s="6" t="s">
        <v>2148</v>
      </c>
      <c r="B691">
        <v>3827</v>
      </c>
      <c r="C691">
        <v>1847</v>
      </c>
      <c r="D691">
        <v>358018</v>
      </c>
      <c r="E691">
        <v>300927</v>
      </c>
      <c r="F691">
        <v>25</v>
      </c>
      <c r="G691">
        <v>28.5</v>
      </c>
      <c r="H691">
        <v>3.7</v>
      </c>
      <c r="I691">
        <v>3.9</v>
      </c>
    </row>
    <row r="692" spans="1:9" ht="24" customHeight="1">
      <c r="A692" s="6" t="s">
        <v>2149</v>
      </c>
      <c r="B692">
        <v>3959</v>
      </c>
      <c r="C692">
        <v>707</v>
      </c>
      <c r="D692">
        <v>471516</v>
      </c>
      <c r="E692">
        <v>353572</v>
      </c>
      <c r="F692">
        <v>12</v>
      </c>
      <c r="G692">
        <v>12.6</v>
      </c>
      <c r="H692">
        <v>33.700000000000003</v>
      </c>
      <c r="I692">
        <v>33.9</v>
      </c>
    </row>
    <row r="693" spans="1:9" ht="24" customHeight="1">
      <c r="A693" s="6" t="s">
        <v>2150</v>
      </c>
      <c r="B693">
        <v>4700</v>
      </c>
      <c r="C693">
        <v>2123</v>
      </c>
      <c r="D693">
        <v>387437</v>
      </c>
      <c r="E693">
        <v>286740</v>
      </c>
      <c r="F693">
        <v>25.9</v>
      </c>
      <c r="G693">
        <v>12.3</v>
      </c>
      <c r="H693">
        <v>6.8</v>
      </c>
      <c r="I693">
        <v>6.6</v>
      </c>
    </row>
    <row r="694" spans="1:9" ht="24" customHeight="1">
      <c r="A694" s="6" t="s">
        <v>2151</v>
      </c>
      <c r="B694">
        <v>13594</v>
      </c>
      <c r="C694">
        <v>5529</v>
      </c>
      <c r="D694">
        <v>481278</v>
      </c>
      <c r="E694">
        <v>355157</v>
      </c>
      <c r="F694">
        <v>15.5</v>
      </c>
      <c r="G694">
        <v>9.6</v>
      </c>
      <c r="H694">
        <v>19.2</v>
      </c>
      <c r="I694">
        <v>14.1</v>
      </c>
    </row>
    <row r="695" spans="1:9" ht="24" customHeight="1">
      <c r="A695" s="6" t="s">
        <v>2152</v>
      </c>
      <c r="B695">
        <v>520</v>
      </c>
      <c r="C695">
        <v>321</v>
      </c>
      <c r="D695">
        <v>295614</v>
      </c>
      <c r="E695">
        <v>225375</v>
      </c>
      <c r="F695">
        <v>10.9</v>
      </c>
      <c r="G695">
        <v>1.8</v>
      </c>
      <c r="H695">
        <v>0</v>
      </c>
      <c r="I695">
        <v>0</v>
      </c>
    </row>
    <row r="696" spans="1:9" ht="24" customHeight="1">
      <c r="A696" s="6" t="s">
        <v>2153</v>
      </c>
      <c r="B696">
        <v>850</v>
      </c>
      <c r="C696">
        <v>777</v>
      </c>
      <c r="D696">
        <v>376582</v>
      </c>
      <c r="E696">
        <v>322994</v>
      </c>
      <c r="F696">
        <v>24.3</v>
      </c>
      <c r="G696">
        <v>13.7</v>
      </c>
      <c r="H696">
        <v>1.2</v>
      </c>
      <c r="I696">
        <v>1.4</v>
      </c>
    </row>
    <row r="697" spans="1:9" ht="24" customHeight="1">
      <c r="A697" s="6" t="s">
        <v>2154</v>
      </c>
      <c r="B697">
        <v>1010</v>
      </c>
      <c r="C697">
        <v>406</v>
      </c>
      <c r="D697">
        <v>451778</v>
      </c>
      <c r="E697">
        <v>345043</v>
      </c>
      <c r="F697">
        <v>21.8</v>
      </c>
      <c r="G697">
        <v>12.7</v>
      </c>
      <c r="H697">
        <v>12</v>
      </c>
      <c r="I697">
        <v>12.1</v>
      </c>
    </row>
    <row r="698" spans="1:9" ht="24" customHeight="1">
      <c r="A698" s="6" t="s">
        <v>2155</v>
      </c>
      <c r="B698">
        <v>1545</v>
      </c>
      <c r="C698">
        <v>845</v>
      </c>
      <c r="D698">
        <v>461328</v>
      </c>
      <c r="E698">
        <v>304061</v>
      </c>
      <c r="F698">
        <v>16</v>
      </c>
      <c r="G698">
        <v>3.3</v>
      </c>
      <c r="H698">
        <v>16.899999999999999</v>
      </c>
      <c r="I698">
        <v>16.8</v>
      </c>
    </row>
    <row r="699" spans="1:9" ht="24" customHeight="1">
      <c r="A699" s="6" t="s">
        <v>2156</v>
      </c>
      <c r="B699">
        <v>1610</v>
      </c>
      <c r="C699">
        <v>352</v>
      </c>
      <c r="D699">
        <v>603600</v>
      </c>
      <c r="E699">
        <v>423067</v>
      </c>
      <c r="F699">
        <v>11.7</v>
      </c>
      <c r="G699">
        <v>13</v>
      </c>
      <c r="H699">
        <v>21.9</v>
      </c>
      <c r="I699">
        <v>22.5</v>
      </c>
    </row>
    <row r="700" spans="1:9" ht="24" customHeight="1">
      <c r="A700" s="6" t="s">
        <v>2157</v>
      </c>
      <c r="B700">
        <v>2305</v>
      </c>
      <c r="C700">
        <v>631</v>
      </c>
      <c r="D700">
        <v>581058</v>
      </c>
      <c r="E700">
        <v>422396</v>
      </c>
      <c r="F700">
        <v>12.3</v>
      </c>
      <c r="G700">
        <v>11.3</v>
      </c>
      <c r="H700">
        <v>26.9</v>
      </c>
      <c r="I700">
        <v>26.6</v>
      </c>
    </row>
    <row r="701" spans="1:9" ht="24" customHeight="1">
      <c r="A701" s="6" t="s">
        <v>2158</v>
      </c>
      <c r="B701">
        <v>712</v>
      </c>
      <c r="C701">
        <v>516</v>
      </c>
      <c r="D701">
        <v>404216</v>
      </c>
      <c r="E701">
        <v>322374</v>
      </c>
      <c r="F701">
        <v>25.9</v>
      </c>
      <c r="G701">
        <v>10.6</v>
      </c>
      <c r="H701">
        <v>3.3</v>
      </c>
      <c r="I701">
        <v>3.5</v>
      </c>
    </row>
    <row r="702" spans="1:9" ht="24" customHeight="1">
      <c r="A702" s="6" t="s">
        <v>2159</v>
      </c>
      <c r="B702">
        <v>3262</v>
      </c>
      <c r="C702">
        <v>819</v>
      </c>
      <c r="D702">
        <v>485968</v>
      </c>
      <c r="E702">
        <v>428620</v>
      </c>
      <c r="F702">
        <v>9.9</v>
      </c>
      <c r="G702">
        <v>6.9</v>
      </c>
      <c r="H702">
        <v>34</v>
      </c>
      <c r="I702">
        <v>33.200000000000003</v>
      </c>
    </row>
    <row r="703" spans="1:9" ht="24" customHeight="1">
      <c r="A703" s="6" t="s">
        <v>2160</v>
      </c>
      <c r="B703">
        <v>1883</v>
      </c>
      <c r="C703">
        <v>1030</v>
      </c>
      <c r="D703">
        <v>406995</v>
      </c>
      <c r="E703">
        <v>341740</v>
      </c>
      <c r="F703">
        <v>22.4</v>
      </c>
      <c r="G703">
        <v>10.8</v>
      </c>
      <c r="H703">
        <v>6.8</v>
      </c>
      <c r="I703">
        <v>6.7</v>
      </c>
    </row>
    <row r="704" spans="1:9" ht="24" customHeight="1">
      <c r="A704" s="6" t="s">
        <v>452</v>
      </c>
      <c r="B704">
        <v>276986</v>
      </c>
      <c r="C704">
        <v>82470</v>
      </c>
      <c r="D704">
        <v>595434</v>
      </c>
      <c r="E704">
        <v>461976</v>
      </c>
      <c r="F704">
        <v>12.5</v>
      </c>
      <c r="G704">
        <v>9.4</v>
      </c>
      <c r="H704">
        <v>15.4</v>
      </c>
      <c r="I704">
        <v>12.1</v>
      </c>
    </row>
    <row r="705" spans="1:9" ht="24" customHeight="1">
      <c r="A705" s="6" t="s">
        <v>453</v>
      </c>
      <c r="B705">
        <v>119490</v>
      </c>
      <c r="C705">
        <v>31403</v>
      </c>
      <c r="D705">
        <v>711663</v>
      </c>
      <c r="E705">
        <v>575397</v>
      </c>
      <c r="F705">
        <v>12</v>
      </c>
      <c r="G705">
        <v>8.6</v>
      </c>
      <c r="H705">
        <v>17.2</v>
      </c>
      <c r="I705">
        <v>14.7</v>
      </c>
    </row>
    <row r="706" spans="1:9" ht="24" customHeight="1">
      <c r="A706" s="6" t="s">
        <v>454</v>
      </c>
      <c r="B706">
        <v>5379</v>
      </c>
      <c r="C706">
        <v>2036</v>
      </c>
      <c r="D706">
        <v>354167</v>
      </c>
      <c r="E706">
        <v>388967</v>
      </c>
      <c r="F706">
        <v>6.9</v>
      </c>
      <c r="G706">
        <v>5.5</v>
      </c>
      <c r="H706">
        <v>0</v>
      </c>
      <c r="I706">
        <v>0</v>
      </c>
    </row>
    <row r="707" spans="1:9" ht="24" customHeight="1">
      <c r="A707" s="6" t="s">
        <v>2161</v>
      </c>
      <c r="B707">
        <v>9025</v>
      </c>
      <c r="C707">
        <v>4084</v>
      </c>
      <c r="D707">
        <v>511622</v>
      </c>
      <c r="E707">
        <v>484246</v>
      </c>
      <c r="F707">
        <v>15.1</v>
      </c>
      <c r="G707">
        <v>13.1</v>
      </c>
      <c r="H707">
        <v>1.4</v>
      </c>
      <c r="I707">
        <v>1.5</v>
      </c>
    </row>
    <row r="708" spans="1:9" ht="24" customHeight="1">
      <c r="A708" s="6" t="s">
        <v>2162</v>
      </c>
      <c r="B708">
        <v>14841</v>
      </c>
      <c r="C708">
        <v>4397</v>
      </c>
      <c r="D708">
        <v>632246</v>
      </c>
      <c r="E708">
        <v>574053</v>
      </c>
      <c r="F708">
        <v>15.8</v>
      </c>
      <c r="G708">
        <v>7.4</v>
      </c>
      <c r="H708">
        <v>12.1</v>
      </c>
      <c r="I708">
        <v>12</v>
      </c>
    </row>
    <row r="709" spans="1:9" ht="24" customHeight="1">
      <c r="A709" s="6" t="s">
        <v>2163</v>
      </c>
      <c r="B709">
        <v>16651</v>
      </c>
      <c r="C709">
        <v>2796</v>
      </c>
      <c r="D709">
        <v>770773</v>
      </c>
      <c r="E709">
        <v>655085</v>
      </c>
      <c r="F709">
        <v>10.8</v>
      </c>
      <c r="G709">
        <v>5.6</v>
      </c>
      <c r="H709">
        <v>16.600000000000001</v>
      </c>
      <c r="I709">
        <v>16.600000000000001</v>
      </c>
    </row>
    <row r="710" spans="1:9" ht="24" customHeight="1">
      <c r="A710" s="6" t="s">
        <v>2164</v>
      </c>
      <c r="B710">
        <v>9518</v>
      </c>
      <c r="C710">
        <v>2001</v>
      </c>
      <c r="D710">
        <v>896196</v>
      </c>
      <c r="E710">
        <v>703111</v>
      </c>
      <c r="F710">
        <v>9.1999999999999993</v>
      </c>
      <c r="G710">
        <v>5.2</v>
      </c>
      <c r="H710">
        <v>22</v>
      </c>
      <c r="I710">
        <v>21.6</v>
      </c>
    </row>
    <row r="711" spans="1:9" ht="24" customHeight="1">
      <c r="A711" s="6" t="s">
        <v>2165</v>
      </c>
      <c r="B711">
        <v>10986</v>
      </c>
      <c r="C711">
        <v>2947</v>
      </c>
      <c r="D711">
        <v>891440</v>
      </c>
      <c r="E711">
        <v>623935</v>
      </c>
      <c r="F711">
        <v>8.6999999999999993</v>
      </c>
      <c r="G711">
        <v>6.7</v>
      </c>
      <c r="H711">
        <v>26.7</v>
      </c>
      <c r="I711">
        <v>26.7</v>
      </c>
    </row>
    <row r="712" spans="1:9" ht="24" customHeight="1">
      <c r="A712" s="6" t="s">
        <v>2166</v>
      </c>
      <c r="B712">
        <v>9154</v>
      </c>
      <c r="C712">
        <v>3053</v>
      </c>
      <c r="D712">
        <v>553120</v>
      </c>
      <c r="E712">
        <v>532723</v>
      </c>
      <c r="F712">
        <v>14</v>
      </c>
      <c r="G712">
        <v>9.8000000000000007</v>
      </c>
      <c r="H712">
        <v>3.5</v>
      </c>
      <c r="I712">
        <v>3.5</v>
      </c>
    </row>
    <row r="713" spans="1:9" ht="24" customHeight="1">
      <c r="A713" s="6" t="s">
        <v>455</v>
      </c>
      <c r="B713">
        <v>27815</v>
      </c>
      <c r="C713">
        <v>5744</v>
      </c>
      <c r="D713">
        <v>821149</v>
      </c>
      <c r="E713">
        <v>606591</v>
      </c>
      <c r="F713">
        <v>9.6</v>
      </c>
      <c r="G713">
        <v>7.8</v>
      </c>
      <c r="H713">
        <v>34.200000000000003</v>
      </c>
      <c r="I713">
        <v>34</v>
      </c>
    </row>
    <row r="714" spans="1:9" ht="24" customHeight="1">
      <c r="A714" s="6" t="s">
        <v>2167</v>
      </c>
      <c r="B714">
        <v>16393</v>
      </c>
      <c r="C714">
        <v>4699</v>
      </c>
      <c r="D714">
        <v>624528</v>
      </c>
      <c r="E714">
        <v>579350</v>
      </c>
      <c r="F714">
        <v>16.5</v>
      </c>
      <c r="G714">
        <v>11.4</v>
      </c>
      <c r="H714">
        <v>6.7</v>
      </c>
      <c r="I714">
        <v>6.7</v>
      </c>
    </row>
    <row r="715" spans="1:9" ht="24" customHeight="1">
      <c r="A715" s="6" t="s">
        <v>2168</v>
      </c>
      <c r="B715">
        <v>34289</v>
      </c>
      <c r="C715">
        <v>15217</v>
      </c>
      <c r="D715">
        <v>478284</v>
      </c>
      <c r="E715">
        <v>374990</v>
      </c>
      <c r="F715">
        <v>9.9</v>
      </c>
      <c r="G715">
        <v>9.1</v>
      </c>
      <c r="H715">
        <v>12.3</v>
      </c>
      <c r="I715">
        <v>9.8000000000000007</v>
      </c>
    </row>
    <row r="716" spans="1:9" ht="24" customHeight="1">
      <c r="A716" s="6" t="s">
        <v>2169</v>
      </c>
      <c r="B716">
        <v>2061</v>
      </c>
      <c r="C716">
        <v>1229</v>
      </c>
      <c r="D716">
        <v>333253</v>
      </c>
      <c r="E716">
        <v>265564</v>
      </c>
      <c r="F716">
        <v>12.3</v>
      </c>
      <c r="G716">
        <v>3.5</v>
      </c>
      <c r="H716">
        <v>0</v>
      </c>
      <c r="I716">
        <v>0</v>
      </c>
    </row>
    <row r="717" spans="1:9" ht="24" customHeight="1">
      <c r="A717" s="6" t="s">
        <v>2170</v>
      </c>
      <c r="B717">
        <v>3889</v>
      </c>
      <c r="C717">
        <v>2409</v>
      </c>
      <c r="D717">
        <v>429804</v>
      </c>
      <c r="E717">
        <v>309241</v>
      </c>
      <c r="F717">
        <v>12.3</v>
      </c>
      <c r="G717">
        <v>10.7</v>
      </c>
      <c r="H717">
        <v>1.5</v>
      </c>
      <c r="I717">
        <v>1.4</v>
      </c>
    </row>
    <row r="718" spans="1:9" ht="24" customHeight="1">
      <c r="A718" s="6" t="s">
        <v>2171</v>
      </c>
      <c r="B718">
        <v>4809</v>
      </c>
      <c r="C718">
        <v>2129</v>
      </c>
      <c r="D718">
        <v>509355</v>
      </c>
      <c r="E718">
        <v>410279</v>
      </c>
      <c r="F718">
        <v>12</v>
      </c>
      <c r="G718">
        <v>8.8000000000000007</v>
      </c>
      <c r="H718">
        <v>11.8</v>
      </c>
      <c r="I718">
        <v>11.3</v>
      </c>
    </row>
    <row r="719" spans="1:9" ht="24" customHeight="1">
      <c r="A719" s="6" t="s">
        <v>2172</v>
      </c>
      <c r="B719">
        <v>5072</v>
      </c>
      <c r="C719">
        <v>2030</v>
      </c>
      <c r="D719">
        <v>583260</v>
      </c>
      <c r="E719">
        <v>459878</v>
      </c>
      <c r="F719">
        <v>11.8</v>
      </c>
      <c r="G719">
        <v>12.2</v>
      </c>
      <c r="H719">
        <v>16.899999999999999</v>
      </c>
      <c r="I719">
        <v>17.399999999999999</v>
      </c>
    </row>
    <row r="720" spans="1:9" ht="24" customHeight="1">
      <c r="A720" s="6" t="s">
        <v>2173</v>
      </c>
      <c r="B720">
        <v>1792</v>
      </c>
      <c r="C720">
        <v>923</v>
      </c>
      <c r="D720">
        <v>573272</v>
      </c>
      <c r="E720">
        <v>463008</v>
      </c>
      <c r="F720">
        <v>4.5999999999999996</v>
      </c>
      <c r="G720">
        <v>2.2000000000000002</v>
      </c>
      <c r="H720">
        <v>21.9</v>
      </c>
      <c r="I720">
        <v>22.2</v>
      </c>
    </row>
    <row r="721" spans="1:9" ht="24" customHeight="1">
      <c r="A721" s="6" t="s">
        <v>2174</v>
      </c>
      <c r="B721">
        <v>2462</v>
      </c>
      <c r="C721">
        <v>1052</v>
      </c>
      <c r="D721">
        <v>522467</v>
      </c>
      <c r="E721">
        <v>462104</v>
      </c>
      <c r="F721">
        <v>4.8</v>
      </c>
      <c r="G721">
        <v>17.399999999999999</v>
      </c>
      <c r="H721">
        <v>27.1</v>
      </c>
      <c r="I721">
        <v>27.3</v>
      </c>
    </row>
    <row r="722" spans="1:9" ht="24" customHeight="1">
      <c r="A722" s="6" t="s">
        <v>2175</v>
      </c>
      <c r="B722">
        <v>4071</v>
      </c>
      <c r="C722">
        <v>2487</v>
      </c>
      <c r="D722">
        <v>401904</v>
      </c>
      <c r="E722">
        <v>301049</v>
      </c>
      <c r="F722">
        <v>10.6</v>
      </c>
      <c r="G722">
        <v>4.5999999999999996</v>
      </c>
      <c r="H722">
        <v>3.4</v>
      </c>
      <c r="I722">
        <v>3.6</v>
      </c>
    </row>
    <row r="723" spans="1:9" ht="24" customHeight="1">
      <c r="A723" s="6" t="s">
        <v>2176</v>
      </c>
      <c r="B723">
        <v>3070</v>
      </c>
      <c r="C723">
        <v>440</v>
      </c>
      <c r="D723">
        <v>588990</v>
      </c>
      <c r="E723">
        <v>416432</v>
      </c>
      <c r="F723">
        <v>5.9</v>
      </c>
      <c r="G723">
        <v>8.1</v>
      </c>
      <c r="H723">
        <v>34.200000000000003</v>
      </c>
      <c r="I723">
        <v>32.5</v>
      </c>
    </row>
    <row r="724" spans="1:9" ht="24" customHeight="1">
      <c r="A724" s="6" t="s">
        <v>2177</v>
      </c>
      <c r="B724">
        <v>7142</v>
      </c>
      <c r="C724">
        <v>2939</v>
      </c>
      <c r="D724">
        <v>405530</v>
      </c>
      <c r="E724">
        <v>392668</v>
      </c>
      <c r="F724">
        <v>9.5</v>
      </c>
      <c r="G724">
        <v>10.1</v>
      </c>
      <c r="H724">
        <v>6.7</v>
      </c>
      <c r="I724">
        <v>6.9</v>
      </c>
    </row>
    <row r="725" spans="1:9" ht="24" customHeight="1">
      <c r="A725" s="6" t="s">
        <v>2178</v>
      </c>
      <c r="B725">
        <v>62562</v>
      </c>
      <c r="C725">
        <v>18113</v>
      </c>
      <c r="D725">
        <v>474522</v>
      </c>
      <c r="E725">
        <v>352909</v>
      </c>
      <c r="F725">
        <v>12.6</v>
      </c>
      <c r="G725">
        <v>10.199999999999999</v>
      </c>
      <c r="H725">
        <v>14.4</v>
      </c>
      <c r="I725">
        <v>9.6</v>
      </c>
    </row>
    <row r="726" spans="1:9" ht="24" customHeight="1">
      <c r="A726" s="6" t="s">
        <v>2179</v>
      </c>
      <c r="B726">
        <v>4392</v>
      </c>
      <c r="C726">
        <v>1566</v>
      </c>
      <c r="D726">
        <v>291021</v>
      </c>
      <c r="E726">
        <v>210339</v>
      </c>
      <c r="F726">
        <v>11.8</v>
      </c>
      <c r="G726">
        <v>5.0999999999999996</v>
      </c>
      <c r="H726">
        <v>0</v>
      </c>
      <c r="I726">
        <v>0</v>
      </c>
    </row>
    <row r="727" spans="1:9" ht="24" customHeight="1">
      <c r="A727" s="6" t="s">
        <v>2180</v>
      </c>
      <c r="B727">
        <v>5883</v>
      </c>
      <c r="C727">
        <v>3725</v>
      </c>
      <c r="D727">
        <v>345972</v>
      </c>
      <c r="E727">
        <v>266790</v>
      </c>
      <c r="F727">
        <v>15.3</v>
      </c>
      <c r="G727">
        <v>8.9</v>
      </c>
      <c r="H727">
        <v>1.4</v>
      </c>
      <c r="I727">
        <v>1.6</v>
      </c>
    </row>
    <row r="728" spans="1:9" ht="24" customHeight="1">
      <c r="A728" s="6" t="s">
        <v>2181</v>
      </c>
      <c r="B728">
        <v>7862</v>
      </c>
      <c r="C728">
        <v>1680</v>
      </c>
      <c r="D728">
        <v>471745</v>
      </c>
      <c r="E728">
        <v>349300</v>
      </c>
      <c r="F728">
        <v>12.9</v>
      </c>
      <c r="G728">
        <v>8.1999999999999993</v>
      </c>
      <c r="H728">
        <v>12.1</v>
      </c>
      <c r="I728">
        <v>11.4</v>
      </c>
    </row>
    <row r="729" spans="1:9" ht="24" customHeight="1">
      <c r="A729" s="6" t="s">
        <v>2182</v>
      </c>
      <c r="B729">
        <v>7495</v>
      </c>
      <c r="C729">
        <v>1426</v>
      </c>
      <c r="D729">
        <v>508034</v>
      </c>
      <c r="E729">
        <v>411681</v>
      </c>
      <c r="F729">
        <v>15.7</v>
      </c>
      <c r="G729">
        <v>11.3</v>
      </c>
      <c r="H729">
        <v>16.7</v>
      </c>
      <c r="I729">
        <v>17</v>
      </c>
    </row>
    <row r="730" spans="1:9" ht="24" customHeight="1">
      <c r="A730" s="6" t="s">
        <v>2183</v>
      </c>
      <c r="B730">
        <v>6137</v>
      </c>
      <c r="C730">
        <v>1193</v>
      </c>
      <c r="D730">
        <v>567504</v>
      </c>
      <c r="E730">
        <v>461948</v>
      </c>
      <c r="F730">
        <v>7.2</v>
      </c>
      <c r="G730">
        <v>2.2000000000000002</v>
      </c>
      <c r="H730">
        <v>21.8</v>
      </c>
      <c r="I730">
        <v>22.5</v>
      </c>
    </row>
    <row r="731" spans="1:9" ht="24" customHeight="1">
      <c r="A731" s="6" t="s">
        <v>2184</v>
      </c>
      <c r="B731">
        <v>5714</v>
      </c>
      <c r="C731">
        <v>950</v>
      </c>
      <c r="D731">
        <v>609274</v>
      </c>
      <c r="E731">
        <v>486383</v>
      </c>
      <c r="F731">
        <v>6.8</v>
      </c>
      <c r="G731">
        <v>9.3000000000000007</v>
      </c>
      <c r="H731">
        <v>26.8</v>
      </c>
      <c r="I731">
        <v>27.3</v>
      </c>
    </row>
    <row r="732" spans="1:9" ht="24" customHeight="1">
      <c r="A732" s="6" t="s">
        <v>2185</v>
      </c>
      <c r="B732">
        <v>5711</v>
      </c>
      <c r="C732">
        <v>2947</v>
      </c>
      <c r="D732">
        <v>368132</v>
      </c>
      <c r="E732">
        <v>319364</v>
      </c>
      <c r="F732">
        <v>16.5</v>
      </c>
      <c r="G732">
        <v>13.5</v>
      </c>
      <c r="H732">
        <v>3.5</v>
      </c>
      <c r="I732">
        <v>3.4</v>
      </c>
    </row>
    <row r="733" spans="1:9" ht="24" customHeight="1">
      <c r="A733" s="6" t="s">
        <v>2186</v>
      </c>
      <c r="B733">
        <v>8399</v>
      </c>
      <c r="C733">
        <v>1314</v>
      </c>
      <c r="D733">
        <v>630858</v>
      </c>
      <c r="E733">
        <v>555066</v>
      </c>
      <c r="F733">
        <v>8.6999999999999993</v>
      </c>
      <c r="G733">
        <v>5.6</v>
      </c>
      <c r="H733">
        <v>34.299999999999997</v>
      </c>
      <c r="I733">
        <v>33.200000000000003</v>
      </c>
    </row>
    <row r="734" spans="1:9" ht="24" customHeight="1">
      <c r="A734" s="6" t="s">
        <v>2187</v>
      </c>
      <c r="B734">
        <v>11046</v>
      </c>
      <c r="C734">
        <v>3922</v>
      </c>
      <c r="D734">
        <v>410159</v>
      </c>
      <c r="E734">
        <v>349469</v>
      </c>
      <c r="F734">
        <v>16.100000000000001</v>
      </c>
      <c r="G734">
        <v>14.4</v>
      </c>
      <c r="H734">
        <v>6.9</v>
      </c>
      <c r="I734">
        <v>6.5</v>
      </c>
    </row>
    <row r="735" spans="1:9" ht="24" customHeight="1">
      <c r="A735" s="6" t="s">
        <v>2188</v>
      </c>
      <c r="B735">
        <v>60644</v>
      </c>
      <c r="C735">
        <v>17737</v>
      </c>
      <c r="D735">
        <v>557398</v>
      </c>
      <c r="E735">
        <v>447174</v>
      </c>
      <c r="F735">
        <v>14.7</v>
      </c>
      <c r="G735">
        <v>10.5</v>
      </c>
      <c r="H735">
        <v>14.7</v>
      </c>
      <c r="I735">
        <v>11.9</v>
      </c>
    </row>
    <row r="736" spans="1:9" ht="24" customHeight="1">
      <c r="A736" s="6" t="s">
        <v>2189</v>
      </c>
      <c r="B736">
        <v>2759</v>
      </c>
      <c r="C736">
        <v>1262</v>
      </c>
      <c r="D736">
        <v>294666</v>
      </c>
      <c r="E736">
        <v>242749</v>
      </c>
      <c r="F736">
        <v>7.2</v>
      </c>
      <c r="G736">
        <v>3.1</v>
      </c>
      <c r="H736">
        <v>0</v>
      </c>
      <c r="I736">
        <v>0</v>
      </c>
    </row>
    <row r="737" spans="1:9" ht="24" customHeight="1">
      <c r="A737" s="6" t="s">
        <v>2190</v>
      </c>
      <c r="B737">
        <v>6669</v>
      </c>
      <c r="C737">
        <v>2737</v>
      </c>
      <c r="D737">
        <v>386707</v>
      </c>
      <c r="E737">
        <v>367164</v>
      </c>
      <c r="F737">
        <v>15</v>
      </c>
      <c r="G737">
        <v>17.899999999999999</v>
      </c>
      <c r="H737">
        <v>1.6</v>
      </c>
      <c r="I737">
        <v>1.6</v>
      </c>
    </row>
    <row r="738" spans="1:9" ht="24" customHeight="1">
      <c r="A738" s="6" t="s">
        <v>2191</v>
      </c>
      <c r="B738">
        <v>7349</v>
      </c>
      <c r="C738">
        <v>2034</v>
      </c>
      <c r="D738">
        <v>536004</v>
      </c>
      <c r="E738">
        <v>397599</v>
      </c>
      <c r="F738">
        <v>17.600000000000001</v>
      </c>
      <c r="G738">
        <v>11</v>
      </c>
      <c r="H738">
        <v>12</v>
      </c>
      <c r="I738">
        <v>12</v>
      </c>
    </row>
    <row r="739" spans="1:9" ht="24" customHeight="1">
      <c r="A739" s="6" t="s">
        <v>2192</v>
      </c>
      <c r="B739">
        <v>7505</v>
      </c>
      <c r="C739">
        <v>1648</v>
      </c>
      <c r="D739">
        <v>603744</v>
      </c>
      <c r="E739">
        <v>542721</v>
      </c>
      <c r="F739">
        <v>16.399999999999999</v>
      </c>
      <c r="G739">
        <v>10.8</v>
      </c>
      <c r="H739">
        <v>16.5</v>
      </c>
      <c r="I739">
        <v>16.8</v>
      </c>
    </row>
    <row r="740" spans="1:9" ht="24" customHeight="1">
      <c r="A740" s="6" t="s">
        <v>2193</v>
      </c>
      <c r="B740">
        <v>4690</v>
      </c>
      <c r="C740">
        <v>1139</v>
      </c>
      <c r="D740">
        <v>676384</v>
      </c>
      <c r="E740">
        <v>553903</v>
      </c>
      <c r="F740">
        <v>16</v>
      </c>
      <c r="G740">
        <v>5.3</v>
      </c>
      <c r="H740">
        <v>21.9</v>
      </c>
      <c r="I740">
        <v>21.9</v>
      </c>
    </row>
    <row r="741" spans="1:9" ht="24" customHeight="1">
      <c r="A741" s="6" t="s">
        <v>2194</v>
      </c>
      <c r="B741">
        <v>5838</v>
      </c>
      <c r="C741">
        <v>586</v>
      </c>
      <c r="D741">
        <v>674644</v>
      </c>
      <c r="E741">
        <v>545941</v>
      </c>
      <c r="F741">
        <v>13.1</v>
      </c>
      <c r="G741">
        <v>14.2</v>
      </c>
      <c r="H741">
        <v>26.7</v>
      </c>
      <c r="I741">
        <v>26.5</v>
      </c>
    </row>
    <row r="742" spans="1:9" ht="24" customHeight="1">
      <c r="A742" s="6" t="s">
        <v>2195</v>
      </c>
      <c r="B742">
        <v>5141</v>
      </c>
      <c r="C742">
        <v>2231</v>
      </c>
      <c r="D742">
        <v>414843</v>
      </c>
      <c r="E742">
        <v>372826</v>
      </c>
      <c r="F742">
        <v>18.399999999999999</v>
      </c>
      <c r="G742">
        <v>7.6</v>
      </c>
      <c r="H742">
        <v>3.5</v>
      </c>
      <c r="I742">
        <v>3.6</v>
      </c>
    </row>
    <row r="743" spans="1:9" ht="24" customHeight="1">
      <c r="A743" s="6" t="s">
        <v>2196</v>
      </c>
      <c r="B743">
        <v>9408</v>
      </c>
      <c r="C743">
        <v>2450</v>
      </c>
      <c r="D743">
        <v>766023</v>
      </c>
      <c r="E743">
        <v>659021</v>
      </c>
      <c r="F743">
        <v>7.9</v>
      </c>
      <c r="G743">
        <v>9.4</v>
      </c>
      <c r="H743">
        <v>33.700000000000003</v>
      </c>
      <c r="I743">
        <v>33.700000000000003</v>
      </c>
    </row>
    <row r="744" spans="1:9" ht="24" customHeight="1">
      <c r="A744" s="6" t="s">
        <v>2197</v>
      </c>
      <c r="B744">
        <v>11451</v>
      </c>
      <c r="C744">
        <v>3808</v>
      </c>
      <c r="D744">
        <v>486245</v>
      </c>
      <c r="E744">
        <v>412044</v>
      </c>
      <c r="F744">
        <v>17.3</v>
      </c>
      <c r="G744">
        <v>10.1</v>
      </c>
      <c r="H744">
        <v>6.8</v>
      </c>
      <c r="I744">
        <v>6.3</v>
      </c>
    </row>
    <row r="745" spans="1:9" ht="24" customHeight="1">
      <c r="A745" s="6" t="s">
        <v>456</v>
      </c>
      <c r="B745">
        <v>9806</v>
      </c>
      <c r="C745">
        <v>1576</v>
      </c>
      <c r="D745">
        <v>576439</v>
      </c>
      <c r="E745">
        <v>398222</v>
      </c>
      <c r="F745">
        <v>22</v>
      </c>
      <c r="G745">
        <v>13.4</v>
      </c>
      <c r="H745">
        <v>14.2</v>
      </c>
      <c r="I745">
        <v>12.6</v>
      </c>
    </row>
    <row r="746" spans="1:9" ht="24" customHeight="1">
      <c r="A746" s="6" t="s">
        <v>457</v>
      </c>
      <c r="B746">
        <v>5040</v>
      </c>
      <c r="C746">
        <v>727</v>
      </c>
      <c r="D746">
        <v>599165</v>
      </c>
      <c r="E746">
        <v>418352</v>
      </c>
      <c r="F746">
        <v>26.7</v>
      </c>
      <c r="G746">
        <v>18.899999999999999</v>
      </c>
      <c r="H746">
        <v>14.6</v>
      </c>
      <c r="I746">
        <v>16</v>
      </c>
    </row>
    <row r="747" spans="1:9" ht="24" customHeight="1">
      <c r="A747" s="6" t="s">
        <v>458</v>
      </c>
      <c r="B747">
        <v>116</v>
      </c>
      <c r="C747">
        <v>81</v>
      </c>
      <c r="D747">
        <v>205914</v>
      </c>
      <c r="E747">
        <v>282593</v>
      </c>
      <c r="F747">
        <v>6.1</v>
      </c>
      <c r="G747">
        <v>4.3</v>
      </c>
      <c r="H747">
        <v>0</v>
      </c>
      <c r="I747">
        <v>0</v>
      </c>
    </row>
    <row r="748" spans="1:9" ht="24" customHeight="1">
      <c r="A748" s="6" t="s">
        <v>2198</v>
      </c>
      <c r="B748">
        <v>519</v>
      </c>
      <c r="C748">
        <v>147</v>
      </c>
      <c r="D748">
        <v>489752</v>
      </c>
      <c r="E748">
        <v>390188</v>
      </c>
      <c r="F748">
        <v>36.9</v>
      </c>
      <c r="G748">
        <v>27.4</v>
      </c>
      <c r="H748">
        <v>1.7</v>
      </c>
      <c r="I748">
        <v>1.2</v>
      </c>
    </row>
    <row r="749" spans="1:9" ht="24" customHeight="1">
      <c r="A749" s="6" t="s">
        <v>2199</v>
      </c>
      <c r="B749">
        <v>897</v>
      </c>
      <c r="C749">
        <v>30</v>
      </c>
      <c r="D749">
        <v>564515</v>
      </c>
      <c r="E749">
        <v>471581</v>
      </c>
      <c r="F749">
        <v>28.9</v>
      </c>
      <c r="G749">
        <v>9</v>
      </c>
      <c r="H749">
        <v>12</v>
      </c>
      <c r="I749">
        <v>14</v>
      </c>
    </row>
    <row r="750" spans="1:9" ht="24" customHeight="1">
      <c r="A750" s="6" t="s">
        <v>2200</v>
      </c>
      <c r="B750">
        <v>585</v>
      </c>
      <c r="C750">
        <v>93</v>
      </c>
      <c r="D750">
        <v>659023</v>
      </c>
      <c r="E750">
        <v>338798</v>
      </c>
      <c r="F750">
        <v>22.2</v>
      </c>
      <c r="G750">
        <v>4.7</v>
      </c>
      <c r="H750">
        <v>16.8</v>
      </c>
      <c r="I750">
        <v>15.2</v>
      </c>
    </row>
    <row r="751" spans="1:9" ht="24" customHeight="1">
      <c r="A751" s="6" t="s">
        <v>2201</v>
      </c>
      <c r="B751">
        <v>351</v>
      </c>
      <c r="C751">
        <v>0</v>
      </c>
      <c r="D751">
        <v>820176</v>
      </c>
      <c r="E751"/>
      <c r="F751">
        <v>23.6</v>
      </c>
      <c r="G751"/>
      <c r="H751">
        <v>21.8</v>
      </c>
      <c r="I751"/>
    </row>
    <row r="752" spans="1:9" ht="24" customHeight="1">
      <c r="A752" s="6" t="s">
        <v>2202</v>
      </c>
      <c r="B752">
        <v>324</v>
      </c>
      <c r="C752">
        <v>0</v>
      </c>
      <c r="D752">
        <v>829737</v>
      </c>
      <c r="E752"/>
      <c r="F752">
        <v>15.1</v>
      </c>
      <c r="G752"/>
      <c r="H752">
        <v>27.5</v>
      </c>
      <c r="I752"/>
    </row>
    <row r="753" spans="1:9" ht="24" customHeight="1">
      <c r="A753" s="6" t="s">
        <v>2203</v>
      </c>
      <c r="B753">
        <v>436</v>
      </c>
      <c r="C753">
        <v>110</v>
      </c>
      <c r="D753">
        <v>442024</v>
      </c>
      <c r="E753">
        <v>374176</v>
      </c>
      <c r="F753">
        <v>32.6</v>
      </c>
      <c r="G753">
        <v>22.1</v>
      </c>
      <c r="H753">
        <v>3.7</v>
      </c>
      <c r="I753">
        <v>3.2</v>
      </c>
    </row>
    <row r="754" spans="1:9" ht="24" customHeight="1">
      <c r="A754" s="6" t="s">
        <v>459</v>
      </c>
      <c r="B754">
        <v>752</v>
      </c>
      <c r="C754">
        <v>236</v>
      </c>
      <c r="D754">
        <v>768001</v>
      </c>
      <c r="E754">
        <v>520175</v>
      </c>
      <c r="F754">
        <v>22</v>
      </c>
      <c r="G754">
        <v>22</v>
      </c>
      <c r="H754">
        <v>35.4</v>
      </c>
      <c r="I754">
        <v>38.200000000000003</v>
      </c>
    </row>
    <row r="755" spans="1:9" ht="24" customHeight="1">
      <c r="A755" s="6" t="s">
        <v>2204</v>
      </c>
      <c r="B755">
        <v>1060</v>
      </c>
      <c r="C755">
        <v>52</v>
      </c>
      <c r="D755">
        <v>493087</v>
      </c>
      <c r="E755">
        <v>395810</v>
      </c>
      <c r="F755">
        <v>30.1</v>
      </c>
      <c r="G755">
        <v>19.8</v>
      </c>
      <c r="H755">
        <v>6.8</v>
      </c>
      <c r="I755">
        <v>8.4</v>
      </c>
    </row>
    <row r="756" spans="1:9" ht="24" customHeight="1">
      <c r="A756" s="6" t="s">
        <v>2205</v>
      </c>
      <c r="B756">
        <v>2109</v>
      </c>
      <c r="C756">
        <v>503</v>
      </c>
      <c r="D756">
        <v>453960</v>
      </c>
      <c r="E756">
        <v>353427</v>
      </c>
      <c r="F756">
        <v>16.8</v>
      </c>
      <c r="G756">
        <v>6.7</v>
      </c>
      <c r="H756">
        <v>11.3</v>
      </c>
      <c r="I756">
        <v>12.2</v>
      </c>
    </row>
    <row r="757" spans="1:9" ht="24" customHeight="1">
      <c r="A757" s="6" t="s">
        <v>2206</v>
      </c>
      <c r="B757">
        <v>157</v>
      </c>
      <c r="C757">
        <v>31</v>
      </c>
      <c r="D757">
        <v>307115</v>
      </c>
      <c r="E757">
        <v>225189</v>
      </c>
      <c r="F757">
        <v>24.2</v>
      </c>
      <c r="G757">
        <v>0</v>
      </c>
      <c r="H757">
        <v>0</v>
      </c>
      <c r="I757">
        <v>0</v>
      </c>
    </row>
    <row r="758" spans="1:9" ht="24" customHeight="1">
      <c r="A758" s="6" t="s">
        <v>2207</v>
      </c>
      <c r="B758">
        <v>155</v>
      </c>
      <c r="C758">
        <v>38</v>
      </c>
      <c r="D758">
        <v>321751</v>
      </c>
      <c r="E758">
        <v>245128</v>
      </c>
      <c r="F758">
        <v>19.8</v>
      </c>
      <c r="G758">
        <v>11.2</v>
      </c>
      <c r="H758">
        <v>1.6</v>
      </c>
      <c r="I758">
        <v>1</v>
      </c>
    </row>
    <row r="759" spans="1:9" ht="24" customHeight="1">
      <c r="A759" s="6" t="s">
        <v>2208</v>
      </c>
      <c r="B759">
        <v>469</v>
      </c>
      <c r="C759">
        <v>22</v>
      </c>
      <c r="D759">
        <v>515232</v>
      </c>
      <c r="E759">
        <v>236170</v>
      </c>
      <c r="F759">
        <v>21.6</v>
      </c>
      <c r="G759">
        <v>0</v>
      </c>
      <c r="H759">
        <v>11.6</v>
      </c>
      <c r="I759">
        <v>12</v>
      </c>
    </row>
    <row r="760" spans="1:9" ht="24" customHeight="1">
      <c r="A760" s="6" t="s">
        <v>2209</v>
      </c>
      <c r="B760">
        <v>193</v>
      </c>
      <c r="C760">
        <v>30</v>
      </c>
      <c r="D760">
        <v>532571</v>
      </c>
      <c r="E760">
        <v>374051</v>
      </c>
      <c r="F760">
        <v>13.1</v>
      </c>
      <c r="G760">
        <v>5.3</v>
      </c>
      <c r="H760">
        <v>16.7</v>
      </c>
      <c r="I760">
        <v>17.7</v>
      </c>
    </row>
    <row r="761" spans="1:9" ht="24" customHeight="1">
      <c r="A761" s="6" t="s">
        <v>2210</v>
      </c>
      <c r="B761">
        <v>230</v>
      </c>
      <c r="C761">
        <v>67</v>
      </c>
      <c r="D761">
        <v>497200</v>
      </c>
      <c r="E761">
        <v>581430</v>
      </c>
      <c r="F761">
        <v>14.8</v>
      </c>
      <c r="G761">
        <v>7.3</v>
      </c>
      <c r="H761">
        <v>21.1</v>
      </c>
      <c r="I761">
        <v>23</v>
      </c>
    </row>
    <row r="762" spans="1:9" ht="24" customHeight="1">
      <c r="A762" s="6" t="s">
        <v>2211</v>
      </c>
      <c r="B762">
        <v>112</v>
      </c>
      <c r="C762">
        <v>69</v>
      </c>
      <c r="D762">
        <v>598002</v>
      </c>
      <c r="E762">
        <v>555979</v>
      </c>
      <c r="F762">
        <v>9.4</v>
      </c>
      <c r="G762">
        <v>11.6</v>
      </c>
      <c r="H762">
        <v>27.1</v>
      </c>
      <c r="I762">
        <v>26.6</v>
      </c>
    </row>
    <row r="763" spans="1:9" ht="24" customHeight="1">
      <c r="A763" s="6" t="s">
        <v>2212</v>
      </c>
      <c r="B763">
        <v>242</v>
      </c>
      <c r="C763">
        <v>52</v>
      </c>
      <c r="D763">
        <v>367258</v>
      </c>
      <c r="E763">
        <v>347137</v>
      </c>
      <c r="F763">
        <v>17.5</v>
      </c>
      <c r="G763">
        <v>19.899999999999999</v>
      </c>
      <c r="H763">
        <v>3.5</v>
      </c>
      <c r="I763">
        <v>3</v>
      </c>
    </row>
    <row r="764" spans="1:9" ht="24" customHeight="1">
      <c r="A764" s="6" t="s">
        <v>2213</v>
      </c>
      <c r="B764">
        <v>99</v>
      </c>
      <c r="C764">
        <v>17</v>
      </c>
      <c r="D764">
        <v>514280</v>
      </c>
      <c r="E764">
        <v>254571</v>
      </c>
      <c r="F764">
        <v>6.8</v>
      </c>
      <c r="G764">
        <v>16.5</v>
      </c>
      <c r="H764">
        <v>32.9</v>
      </c>
      <c r="I764">
        <v>36.200000000000003</v>
      </c>
    </row>
    <row r="765" spans="1:9" ht="24" customHeight="1">
      <c r="A765" s="6" t="s">
        <v>2214</v>
      </c>
      <c r="B765">
        <v>451</v>
      </c>
      <c r="C765">
        <v>190</v>
      </c>
      <c r="D765">
        <v>428938</v>
      </c>
      <c r="E765">
        <v>255090</v>
      </c>
      <c r="F765">
        <v>14.6</v>
      </c>
      <c r="G765">
        <v>0.9</v>
      </c>
      <c r="H765">
        <v>6.4</v>
      </c>
      <c r="I765">
        <v>6.4</v>
      </c>
    </row>
    <row r="766" spans="1:9" ht="24" customHeight="1">
      <c r="A766" s="6" t="s">
        <v>2215</v>
      </c>
      <c r="B766">
        <v>337</v>
      </c>
      <c r="C766">
        <v>15</v>
      </c>
      <c r="D766">
        <v>410633</v>
      </c>
      <c r="E766">
        <v>402162</v>
      </c>
      <c r="F766">
        <v>11.8</v>
      </c>
      <c r="G766">
        <v>7</v>
      </c>
      <c r="H766">
        <v>10.8</v>
      </c>
      <c r="I766">
        <v>16</v>
      </c>
    </row>
    <row r="767" spans="1:9" ht="24" customHeight="1">
      <c r="A767" s="6" t="s">
        <v>2216</v>
      </c>
      <c r="B767">
        <v>15</v>
      </c>
      <c r="C767">
        <v>0</v>
      </c>
      <c r="D767">
        <v>184322</v>
      </c>
      <c r="E767"/>
      <c r="F767">
        <v>2</v>
      </c>
      <c r="G767"/>
      <c r="H767">
        <v>0</v>
      </c>
      <c r="I767"/>
    </row>
    <row r="768" spans="1:9" ht="24" customHeight="1">
      <c r="A768" s="6" t="s">
        <v>2217</v>
      </c>
      <c r="B768">
        <v>44</v>
      </c>
      <c r="C768">
        <v>0</v>
      </c>
      <c r="D768">
        <v>288245</v>
      </c>
      <c r="E768"/>
      <c r="F768">
        <v>5.3</v>
      </c>
      <c r="G768"/>
      <c r="H768">
        <v>1.7</v>
      </c>
      <c r="I768"/>
    </row>
    <row r="769" spans="1:9" ht="24" customHeight="1">
      <c r="A769" s="6" t="s">
        <v>2218</v>
      </c>
      <c r="B769">
        <v>88</v>
      </c>
      <c r="C769">
        <v>0</v>
      </c>
      <c r="D769">
        <v>400898</v>
      </c>
      <c r="E769"/>
      <c r="F769">
        <v>11.3</v>
      </c>
      <c r="G769"/>
      <c r="H769">
        <v>10.7</v>
      </c>
      <c r="I769"/>
    </row>
    <row r="770" spans="1:9" ht="24" customHeight="1">
      <c r="A770" s="6" t="s">
        <v>2219</v>
      </c>
      <c r="B770">
        <v>59</v>
      </c>
      <c r="C770">
        <v>15</v>
      </c>
      <c r="D770">
        <v>562171</v>
      </c>
      <c r="E770">
        <v>402162</v>
      </c>
      <c r="F770">
        <v>17.8</v>
      </c>
      <c r="G770">
        <v>7</v>
      </c>
      <c r="H770">
        <v>16</v>
      </c>
      <c r="I770">
        <v>16</v>
      </c>
    </row>
    <row r="771" spans="1:9" ht="24" customHeight="1">
      <c r="A771" s="6" t="s">
        <v>2220</v>
      </c>
      <c r="B771">
        <v>29</v>
      </c>
      <c r="C771">
        <v>0</v>
      </c>
      <c r="D771">
        <v>506589</v>
      </c>
      <c r="E771"/>
      <c r="F771">
        <v>6.5</v>
      </c>
      <c r="G771"/>
      <c r="H771">
        <v>26.5</v>
      </c>
      <c r="I771"/>
    </row>
    <row r="772" spans="1:9" ht="24" customHeight="1">
      <c r="A772" s="6" t="s">
        <v>2221</v>
      </c>
      <c r="B772">
        <v>44</v>
      </c>
      <c r="C772">
        <v>0</v>
      </c>
      <c r="D772">
        <v>325836</v>
      </c>
      <c r="E772"/>
      <c r="F772">
        <v>17</v>
      </c>
      <c r="G772"/>
      <c r="H772">
        <v>3.3</v>
      </c>
      <c r="I772"/>
    </row>
    <row r="773" spans="1:9" ht="24" customHeight="1">
      <c r="A773" s="6" t="s">
        <v>2222</v>
      </c>
      <c r="B773">
        <v>15</v>
      </c>
      <c r="C773">
        <v>0</v>
      </c>
      <c r="D773">
        <v>685664</v>
      </c>
      <c r="E773"/>
      <c r="F773">
        <v>0</v>
      </c>
      <c r="G773"/>
      <c r="H773">
        <v>31</v>
      </c>
      <c r="I773"/>
    </row>
    <row r="774" spans="1:9" ht="24" customHeight="1">
      <c r="A774" s="6" t="s">
        <v>2223</v>
      </c>
      <c r="B774">
        <v>44</v>
      </c>
      <c r="C774">
        <v>0</v>
      </c>
      <c r="D774">
        <v>355027</v>
      </c>
      <c r="E774"/>
      <c r="F774">
        <v>16.7</v>
      </c>
      <c r="G774"/>
      <c r="H774">
        <v>7</v>
      </c>
      <c r="I774"/>
    </row>
    <row r="775" spans="1:9" ht="24" customHeight="1">
      <c r="A775" s="6" t="s">
        <v>2224</v>
      </c>
      <c r="B775">
        <v>2319</v>
      </c>
      <c r="C775">
        <v>333</v>
      </c>
      <c r="D775">
        <v>662533</v>
      </c>
      <c r="E775">
        <v>421752</v>
      </c>
      <c r="F775">
        <v>17.7</v>
      </c>
      <c r="G775">
        <v>11.7</v>
      </c>
      <c r="H775">
        <v>16.399999999999999</v>
      </c>
      <c r="I775">
        <v>5.5</v>
      </c>
    </row>
    <row r="776" spans="1:9" ht="24" customHeight="1">
      <c r="A776" s="6" t="s">
        <v>2225</v>
      </c>
      <c r="B776">
        <v>94</v>
      </c>
      <c r="C776">
        <v>0</v>
      </c>
      <c r="D776">
        <v>287061</v>
      </c>
      <c r="E776"/>
      <c r="F776">
        <v>6.5</v>
      </c>
      <c r="G776"/>
      <c r="H776">
        <v>0</v>
      </c>
      <c r="I776"/>
    </row>
    <row r="777" spans="1:9" ht="24" customHeight="1">
      <c r="A777" s="6" t="s">
        <v>2226</v>
      </c>
      <c r="B777">
        <v>109</v>
      </c>
      <c r="C777">
        <v>112</v>
      </c>
      <c r="D777">
        <v>434730</v>
      </c>
      <c r="E777">
        <v>354074</v>
      </c>
      <c r="F777">
        <v>20.399999999999999</v>
      </c>
      <c r="G777">
        <v>10.1</v>
      </c>
      <c r="H777">
        <v>1.4</v>
      </c>
      <c r="I777">
        <v>1.6</v>
      </c>
    </row>
    <row r="778" spans="1:9" ht="24" customHeight="1">
      <c r="A778" s="6" t="s">
        <v>2227</v>
      </c>
      <c r="B778">
        <v>421</v>
      </c>
      <c r="C778">
        <v>52</v>
      </c>
      <c r="D778">
        <v>628547</v>
      </c>
      <c r="E778">
        <v>582845</v>
      </c>
      <c r="F778">
        <v>16.5</v>
      </c>
      <c r="G778">
        <v>19.3</v>
      </c>
      <c r="H778">
        <v>12.3</v>
      </c>
      <c r="I778">
        <v>13.8</v>
      </c>
    </row>
    <row r="779" spans="1:9" ht="24" customHeight="1">
      <c r="A779" s="6" t="s">
        <v>2228</v>
      </c>
      <c r="B779">
        <v>174</v>
      </c>
      <c r="C779">
        <v>8</v>
      </c>
      <c r="D779">
        <v>760073</v>
      </c>
      <c r="E779">
        <v>431720</v>
      </c>
      <c r="F779">
        <v>25.7</v>
      </c>
      <c r="G779">
        <v>7</v>
      </c>
      <c r="H779">
        <v>17.399999999999999</v>
      </c>
      <c r="I779">
        <v>15</v>
      </c>
    </row>
    <row r="780" spans="1:9" ht="24" customHeight="1">
      <c r="A780" s="6" t="s">
        <v>2229</v>
      </c>
      <c r="B780">
        <v>272</v>
      </c>
      <c r="C780">
        <v>8</v>
      </c>
      <c r="D780">
        <v>741975</v>
      </c>
      <c r="E780">
        <v>807931</v>
      </c>
      <c r="F780">
        <v>28.4</v>
      </c>
      <c r="G780">
        <v>46</v>
      </c>
      <c r="H780">
        <v>21.7</v>
      </c>
      <c r="I780">
        <v>22</v>
      </c>
    </row>
    <row r="781" spans="1:9" ht="24" customHeight="1">
      <c r="A781" s="6" t="s">
        <v>2230</v>
      </c>
      <c r="B781">
        <v>260</v>
      </c>
      <c r="C781">
        <v>0</v>
      </c>
      <c r="D781">
        <v>813832</v>
      </c>
      <c r="E781"/>
      <c r="F781">
        <v>12.1</v>
      </c>
      <c r="G781"/>
      <c r="H781">
        <v>27</v>
      </c>
      <c r="I781"/>
    </row>
    <row r="782" spans="1:9" ht="24" customHeight="1">
      <c r="A782" s="6" t="s">
        <v>2231</v>
      </c>
      <c r="B782">
        <v>160</v>
      </c>
      <c r="C782">
        <v>96</v>
      </c>
      <c r="D782">
        <v>653911</v>
      </c>
      <c r="E782">
        <v>389660</v>
      </c>
      <c r="F782">
        <v>16</v>
      </c>
      <c r="G782">
        <v>3.5</v>
      </c>
      <c r="H782">
        <v>3.8</v>
      </c>
      <c r="I782">
        <v>3.5</v>
      </c>
    </row>
    <row r="783" spans="1:9" ht="24" customHeight="1">
      <c r="A783" s="6" t="s">
        <v>2232</v>
      </c>
      <c r="B783">
        <v>361</v>
      </c>
      <c r="C783">
        <v>0</v>
      </c>
      <c r="D783">
        <v>785960</v>
      </c>
      <c r="E783"/>
      <c r="F783">
        <v>10.7</v>
      </c>
      <c r="G783"/>
      <c r="H783">
        <v>35.9</v>
      </c>
      <c r="I783"/>
    </row>
    <row r="784" spans="1:9" ht="24" customHeight="1">
      <c r="A784" s="6" t="s">
        <v>2233</v>
      </c>
      <c r="B784">
        <v>469</v>
      </c>
      <c r="C784">
        <v>56</v>
      </c>
      <c r="D784">
        <v>562931</v>
      </c>
      <c r="E784">
        <v>402563</v>
      </c>
      <c r="F784">
        <v>20.5</v>
      </c>
      <c r="G784">
        <v>17.399999999999999</v>
      </c>
      <c r="H784">
        <v>6.8</v>
      </c>
      <c r="I784">
        <v>5</v>
      </c>
    </row>
    <row r="785" spans="1:9" ht="24" customHeight="1">
      <c r="A785" s="6" t="s">
        <v>460</v>
      </c>
      <c r="B785">
        <v>230130</v>
      </c>
      <c r="C785">
        <v>67880</v>
      </c>
      <c r="D785">
        <v>434303</v>
      </c>
      <c r="E785">
        <v>297941</v>
      </c>
      <c r="F785">
        <v>14.2</v>
      </c>
      <c r="G785">
        <v>9</v>
      </c>
      <c r="H785">
        <v>14.7</v>
      </c>
      <c r="I785">
        <v>11.6</v>
      </c>
    </row>
    <row r="786" spans="1:9" ht="24" customHeight="1">
      <c r="A786" s="6" t="s">
        <v>461</v>
      </c>
      <c r="B786">
        <v>39355</v>
      </c>
      <c r="C786">
        <v>6705</v>
      </c>
      <c r="D786">
        <v>550718</v>
      </c>
      <c r="E786">
        <v>420243</v>
      </c>
      <c r="F786">
        <v>12</v>
      </c>
      <c r="G786">
        <v>10.7</v>
      </c>
      <c r="H786">
        <v>16.8</v>
      </c>
      <c r="I786">
        <v>12.1</v>
      </c>
    </row>
    <row r="787" spans="1:9" ht="24" customHeight="1">
      <c r="A787" s="6" t="s">
        <v>462</v>
      </c>
      <c r="B787">
        <v>1729</v>
      </c>
      <c r="C787">
        <v>221</v>
      </c>
      <c r="D787">
        <v>292386</v>
      </c>
      <c r="E787">
        <v>231555</v>
      </c>
      <c r="F787">
        <v>8.9</v>
      </c>
      <c r="G787">
        <v>6.2</v>
      </c>
      <c r="H787">
        <v>0</v>
      </c>
      <c r="I787">
        <v>0</v>
      </c>
    </row>
    <row r="788" spans="1:9" ht="24" customHeight="1">
      <c r="A788" s="6" t="s">
        <v>2234</v>
      </c>
      <c r="B788">
        <v>2601</v>
      </c>
      <c r="C788">
        <v>768</v>
      </c>
      <c r="D788">
        <v>353109</v>
      </c>
      <c r="E788">
        <v>328556</v>
      </c>
      <c r="F788">
        <v>15.7</v>
      </c>
      <c r="G788">
        <v>14.3</v>
      </c>
      <c r="H788">
        <v>1.7</v>
      </c>
      <c r="I788">
        <v>1.5</v>
      </c>
    </row>
    <row r="789" spans="1:9" ht="24" customHeight="1">
      <c r="A789" s="6" t="s">
        <v>2235</v>
      </c>
      <c r="B789">
        <v>4909</v>
      </c>
      <c r="C789">
        <v>1533</v>
      </c>
      <c r="D789">
        <v>533619</v>
      </c>
      <c r="E789">
        <v>470366</v>
      </c>
      <c r="F789">
        <v>13.6</v>
      </c>
      <c r="G789">
        <v>11.6</v>
      </c>
      <c r="H789">
        <v>11.9</v>
      </c>
      <c r="I789">
        <v>11.8</v>
      </c>
    </row>
    <row r="790" spans="1:9" ht="24" customHeight="1">
      <c r="A790" s="6" t="s">
        <v>2236</v>
      </c>
      <c r="B790">
        <v>6989</v>
      </c>
      <c r="C790">
        <v>807</v>
      </c>
      <c r="D790">
        <v>590887</v>
      </c>
      <c r="E790">
        <v>406720</v>
      </c>
      <c r="F790">
        <v>13.1</v>
      </c>
      <c r="G790">
        <v>7.4</v>
      </c>
      <c r="H790">
        <v>16.899999999999999</v>
      </c>
      <c r="I790">
        <v>17.2</v>
      </c>
    </row>
    <row r="791" spans="1:9" ht="24" customHeight="1">
      <c r="A791" s="6" t="s">
        <v>2237</v>
      </c>
      <c r="B791">
        <v>3871</v>
      </c>
      <c r="C791">
        <v>640</v>
      </c>
      <c r="D791">
        <v>650987</v>
      </c>
      <c r="E791">
        <v>438109</v>
      </c>
      <c r="F791">
        <v>10.9</v>
      </c>
      <c r="G791">
        <v>4.5999999999999996</v>
      </c>
      <c r="H791">
        <v>21.8</v>
      </c>
      <c r="I791">
        <v>21.7</v>
      </c>
    </row>
    <row r="792" spans="1:9" ht="24" customHeight="1">
      <c r="A792" s="6" t="s">
        <v>2238</v>
      </c>
      <c r="B792">
        <v>3028</v>
      </c>
      <c r="C792">
        <v>362</v>
      </c>
      <c r="D792">
        <v>691976</v>
      </c>
      <c r="E792">
        <v>482869</v>
      </c>
      <c r="F792">
        <v>9.1999999999999993</v>
      </c>
      <c r="G792">
        <v>9.8000000000000007</v>
      </c>
      <c r="H792">
        <v>27.2</v>
      </c>
      <c r="I792">
        <v>26.4</v>
      </c>
    </row>
    <row r="793" spans="1:9" ht="24" customHeight="1">
      <c r="A793" s="6" t="s">
        <v>2239</v>
      </c>
      <c r="B793">
        <v>2709</v>
      </c>
      <c r="C793">
        <v>801</v>
      </c>
      <c r="D793">
        <v>418609</v>
      </c>
      <c r="E793">
        <v>377577</v>
      </c>
      <c r="F793">
        <v>18.3</v>
      </c>
      <c r="G793">
        <v>7</v>
      </c>
      <c r="H793">
        <v>3.5</v>
      </c>
      <c r="I793">
        <v>3.7</v>
      </c>
    </row>
    <row r="794" spans="1:9" ht="24" customHeight="1">
      <c r="A794" s="6" t="s">
        <v>463</v>
      </c>
      <c r="B794">
        <v>7774</v>
      </c>
      <c r="C794">
        <v>523</v>
      </c>
      <c r="D794">
        <v>682376</v>
      </c>
      <c r="E794">
        <v>581571</v>
      </c>
      <c r="F794">
        <v>8.9</v>
      </c>
      <c r="G794">
        <v>11.7</v>
      </c>
      <c r="H794">
        <v>34.200000000000003</v>
      </c>
      <c r="I794">
        <v>32.9</v>
      </c>
    </row>
    <row r="795" spans="1:9" ht="24" customHeight="1">
      <c r="A795" s="6" t="s">
        <v>2240</v>
      </c>
      <c r="B795">
        <v>5820</v>
      </c>
      <c r="C795">
        <v>1444</v>
      </c>
      <c r="D795">
        <v>426735</v>
      </c>
      <c r="E795">
        <v>360348</v>
      </c>
      <c r="F795">
        <v>12.2</v>
      </c>
      <c r="G795">
        <v>12.7</v>
      </c>
      <c r="H795">
        <v>6.7</v>
      </c>
      <c r="I795">
        <v>6.3</v>
      </c>
    </row>
    <row r="796" spans="1:9" ht="24" customHeight="1">
      <c r="A796" s="6" t="s">
        <v>2241</v>
      </c>
      <c r="B796">
        <v>83841</v>
      </c>
      <c r="C796">
        <v>32993</v>
      </c>
      <c r="D796">
        <v>381386</v>
      </c>
      <c r="E796">
        <v>260648</v>
      </c>
      <c r="F796">
        <v>12.3</v>
      </c>
      <c r="G796">
        <v>7</v>
      </c>
      <c r="H796">
        <v>13.4</v>
      </c>
      <c r="I796">
        <v>11</v>
      </c>
    </row>
    <row r="797" spans="1:9" ht="24" customHeight="1">
      <c r="A797" s="6" t="s">
        <v>2242</v>
      </c>
      <c r="B797">
        <v>3516</v>
      </c>
      <c r="C797">
        <v>2551</v>
      </c>
      <c r="D797">
        <v>250387</v>
      </c>
      <c r="E797">
        <v>205950</v>
      </c>
      <c r="F797">
        <v>10.7</v>
      </c>
      <c r="G797">
        <v>7</v>
      </c>
      <c r="H797">
        <v>0</v>
      </c>
      <c r="I797">
        <v>0</v>
      </c>
    </row>
    <row r="798" spans="1:9" ht="24" customHeight="1">
      <c r="A798" s="6" t="s">
        <v>2243</v>
      </c>
      <c r="B798">
        <v>8367</v>
      </c>
      <c r="C798">
        <v>3321</v>
      </c>
      <c r="D798">
        <v>296028</v>
      </c>
      <c r="E798">
        <v>242391</v>
      </c>
      <c r="F798">
        <v>14.9</v>
      </c>
      <c r="G798">
        <v>8.6</v>
      </c>
      <c r="H798">
        <v>1.5</v>
      </c>
      <c r="I798">
        <v>1.3</v>
      </c>
    </row>
    <row r="799" spans="1:9" ht="24" customHeight="1">
      <c r="A799" s="6" t="s">
        <v>2244</v>
      </c>
      <c r="B799">
        <v>11258</v>
      </c>
      <c r="C799">
        <v>5924</v>
      </c>
      <c r="D799">
        <v>369369</v>
      </c>
      <c r="E799">
        <v>257623</v>
      </c>
      <c r="F799">
        <v>12.2</v>
      </c>
      <c r="G799">
        <v>5.5</v>
      </c>
      <c r="H799">
        <v>11.9</v>
      </c>
      <c r="I799">
        <v>11.7</v>
      </c>
    </row>
    <row r="800" spans="1:9" ht="24" customHeight="1">
      <c r="A800" s="6" t="s">
        <v>2245</v>
      </c>
      <c r="B800">
        <v>12676</v>
      </c>
      <c r="C800">
        <v>2772</v>
      </c>
      <c r="D800">
        <v>419546</v>
      </c>
      <c r="E800">
        <v>257665</v>
      </c>
      <c r="F800">
        <v>10.4</v>
      </c>
      <c r="G800">
        <v>4.5999999999999996</v>
      </c>
      <c r="H800">
        <v>17.100000000000001</v>
      </c>
      <c r="I800">
        <v>16.7</v>
      </c>
    </row>
    <row r="801" spans="1:9" ht="24" customHeight="1">
      <c r="A801" s="6" t="s">
        <v>2246</v>
      </c>
      <c r="B801">
        <v>12208</v>
      </c>
      <c r="C801">
        <v>2341</v>
      </c>
      <c r="D801">
        <v>466344</v>
      </c>
      <c r="E801">
        <v>288810</v>
      </c>
      <c r="F801">
        <v>12.8</v>
      </c>
      <c r="G801">
        <v>3</v>
      </c>
      <c r="H801">
        <v>22.2</v>
      </c>
      <c r="I801">
        <v>21.6</v>
      </c>
    </row>
    <row r="802" spans="1:9" ht="24" customHeight="1">
      <c r="A802" s="6" t="s">
        <v>2247</v>
      </c>
      <c r="B802">
        <v>6792</v>
      </c>
      <c r="C802">
        <v>2520</v>
      </c>
      <c r="D802">
        <v>467743</v>
      </c>
      <c r="E802">
        <v>330276</v>
      </c>
      <c r="F802">
        <v>11.7</v>
      </c>
      <c r="G802">
        <v>11.7</v>
      </c>
      <c r="H802">
        <v>26.7</v>
      </c>
      <c r="I802">
        <v>27.1</v>
      </c>
    </row>
    <row r="803" spans="1:9" ht="24" customHeight="1">
      <c r="A803" s="6" t="s">
        <v>2248</v>
      </c>
      <c r="B803">
        <v>9001</v>
      </c>
      <c r="C803">
        <v>3672</v>
      </c>
      <c r="D803">
        <v>333244</v>
      </c>
      <c r="E803">
        <v>225556</v>
      </c>
      <c r="F803">
        <v>15.6</v>
      </c>
      <c r="G803">
        <v>9.4</v>
      </c>
      <c r="H803">
        <v>3.4</v>
      </c>
      <c r="I803">
        <v>3.5</v>
      </c>
    </row>
    <row r="804" spans="1:9" ht="24" customHeight="1">
      <c r="A804" s="6" t="s">
        <v>2249</v>
      </c>
      <c r="B804">
        <v>5112</v>
      </c>
      <c r="C804">
        <v>1776</v>
      </c>
      <c r="D804">
        <v>437582</v>
      </c>
      <c r="E804">
        <v>293767</v>
      </c>
      <c r="F804">
        <v>5.7</v>
      </c>
      <c r="G804">
        <v>6.6</v>
      </c>
      <c r="H804">
        <v>34.299999999999997</v>
      </c>
      <c r="I804">
        <v>36.6</v>
      </c>
    </row>
    <row r="805" spans="1:9" ht="24" customHeight="1">
      <c r="A805" s="6" t="s">
        <v>2250</v>
      </c>
      <c r="B805">
        <v>15431</v>
      </c>
      <c r="C805">
        <v>9261</v>
      </c>
      <c r="D805">
        <v>331447</v>
      </c>
      <c r="E805">
        <v>257737</v>
      </c>
      <c r="F805">
        <v>12.5</v>
      </c>
      <c r="G805">
        <v>6</v>
      </c>
      <c r="H805">
        <v>6.8</v>
      </c>
      <c r="I805">
        <v>6.4</v>
      </c>
    </row>
    <row r="806" spans="1:9" ht="24" customHeight="1">
      <c r="A806" s="6" t="s">
        <v>2251</v>
      </c>
      <c r="B806">
        <v>56763</v>
      </c>
      <c r="C806">
        <v>16535</v>
      </c>
      <c r="D806">
        <v>406390</v>
      </c>
      <c r="E806">
        <v>294771</v>
      </c>
      <c r="F806">
        <v>15.7</v>
      </c>
      <c r="G806">
        <v>10.4</v>
      </c>
      <c r="H806">
        <v>14.8</v>
      </c>
      <c r="I806">
        <v>12.2</v>
      </c>
    </row>
    <row r="807" spans="1:9" ht="24" customHeight="1">
      <c r="A807" s="6" t="s">
        <v>2252</v>
      </c>
      <c r="B807">
        <v>3508</v>
      </c>
      <c r="C807">
        <v>1211</v>
      </c>
      <c r="D807">
        <v>249932</v>
      </c>
      <c r="E807">
        <v>214980</v>
      </c>
      <c r="F807">
        <v>8.6</v>
      </c>
      <c r="G807">
        <v>6.8</v>
      </c>
      <c r="H807">
        <v>0</v>
      </c>
      <c r="I807">
        <v>0</v>
      </c>
    </row>
    <row r="808" spans="1:9" ht="24" customHeight="1">
      <c r="A808" s="6" t="s">
        <v>2253</v>
      </c>
      <c r="B808">
        <v>4003</v>
      </c>
      <c r="C808">
        <v>1783</v>
      </c>
      <c r="D808">
        <v>303911</v>
      </c>
      <c r="E808">
        <v>258501</v>
      </c>
      <c r="F808">
        <v>13.5</v>
      </c>
      <c r="G808">
        <v>13.3</v>
      </c>
      <c r="H808">
        <v>1.5</v>
      </c>
      <c r="I808">
        <v>1.6</v>
      </c>
    </row>
    <row r="809" spans="1:9" ht="24" customHeight="1">
      <c r="A809" s="6" t="s">
        <v>2254</v>
      </c>
      <c r="B809">
        <v>7379</v>
      </c>
      <c r="C809">
        <v>2279</v>
      </c>
      <c r="D809">
        <v>399805</v>
      </c>
      <c r="E809">
        <v>269496</v>
      </c>
      <c r="F809">
        <v>16.2</v>
      </c>
      <c r="G809">
        <v>11.5</v>
      </c>
      <c r="H809">
        <v>11.8</v>
      </c>
      <c r="I809">
        <v>11.8</v>
      </c>
    </row>
    <row r="810" spans="1:9" ht="24" customHeight="1">
      <c r="A810" s="6" t="s">
        <v>2255</v>
      </c>
      <c r="B810">
        <v>10365</v>
      </c>
      <c r="C810">
        <v>2324</v>
      </c>
      <c r="D810">
        <v>415713</v>
      </c>
      <c r="E810">
        <v>324298</v>
      </c>
      <c r="F810">
        <v>17.2</v>
      </c>
      <c r="G810">
        <v>5.6</v>
      </c>
      <c r="H810">
        <v>16.899999999999999</v>
      </c>
      <c r="I810">
        <v>16.899999999999999</v>
      </c>
    </row>
    <row r="811" spans="1:9" ht="24" customHeight="1">
      <c r="A811" s="6" t="s">
        <v>2256</v>
      </c>
      <c r="B811">
        <v>5227</v>
      </c>
      <c r="C811">
        <v>1627</v>
      </c>
      <c r="D811">
        <v>466528</v>
      </c>
      <c r="E811">
        <v>315964</v>
      </c>
      <c r="F811">
        <v>10</v>
      </c>
      <c r="G811">
        <v>15.8</v>
      </c>
      <c r="H811">
        <v>21.6</v>
      </c>
      <c r="I811">
        <v>22.2</v>
      </c>
    </row>
    <row r="812" spans="1:9" ht="24" customHeight="1">
      <c r="A812" s="6" t="s">
        <v>2257</v>
      </c>
      <c r="B812">
        <v>5628</v>
      </c>
      <c r="C812">
        <v>795</v>
      </c>
      <c r="D812">
        <v>485975</v>
      </c>
      <c r="E812">
        <v>366566</v>
      </c>
      <c r="F812">
        <v>11.7</v>
      </c>
      <c r="G812">
        <v>8</v>
      </c>
      <c r="H812">
        <v>26.9</v>
      </c>
      <c r="I812">
        <v>26.9</v>
      </c>
    </row>
    <row r="813" spans="1:9" ht="24" customHeight="1">
      <c r="A813" s="6" t="s">
        <v>2258</v>
      </c>
      <c r="B813">
        <v>4115</v>
      </c>
      <c r="C813">
        <v>2019</v>
      </c>
      <c r="D813">
        <v>334485</v>
      </c>
      <c r="E813">
        <v>271488</v>
      </c>
      <c r="F813">
        <v>23.9</v>
      </c>
      <c r="G813">
        <v>10.8</v>
      </c>
      <c r="H813">
        <v>3.5</v>
      </c>
      <c r="I813">
        <v>3.7</v>
      </c>
    </row>
    <row r="814" spans="1:9" ht="24" customHeight="1">
      <c r="A814" s="6" t="s">
        <v>2259</v>
      </c>
      <c r="B814">
        <v>6461</v>
      </c>
      <c r="C814">
        <v>1428</v>
      </c>
      <c r="D814">
        <v>516818</v>
      </c>
      <c r="E814">
        <v>376000</v>
      </c>
      <c r="F814">
        <v>12</v>
      </c>
      <c r="G814">
        <v>7.4</v>
      </c>
      <c r="H814">
        <v>34.5</v>
      </c>
      <c r="I814">
        <v>34.299999999999997</v>
      </c>
    </row>
    <row r="815" spans="1:9" ht="24" customHeight="1">
      <c r="A815" s="6" t="s">
        <v>2260</v>
      </c>
      <c r="B815">
        <v>10158</v>
      </c>
      <c r="C815">
        <v>3433</v>
      </c>
      <c r="D815">
        <v>379560</v>
      </c>
      <c r="E815">
        <v>283520</v>
      </c>
      <c r="F815">
        <v>21</v>
      </c>
      <c r="G815">
        <v>11</v>
      </c>
      <c r="H815">
        <v>7.1</v>
      </c>
      <c r="I815">
        <v>6.6</v>
      </c>
    </row>
    <row r="816" spans="1:9" ht="24" customHeight="1">
      <c r="A816" s="6" t="s">
        <v>2261</v>
      </c>
      <c r="B816">
        <v>50171</v>
      </c>
      <c r="C816">
        <v>11647</v>
      </c>
      <c r="D816">
        <v>462996</v>
      </c>
      <c r="E816">
        <v>337682</v>
      </c>
      <c r="F816">
        <v>17.2</v>
      </c>
      <c r="G816">
        <v>11.7</v>
      </c>
      <c r="H816">
        <v>15.3</v>
      </c>
      <c r="I816">
        <v>12.3</v>
      </c>
    </row>
    <row r="817" spans="1:9" ht="24" customHeight="1">
      <c r="A817" s="6" t="s">
        <v>2262</v>
      </c>
      <c r="B817">
        <v>1749</v>
      </c>
      <c r="C817">
        <v>583</v>
      </c>
      <c r="D817">
        <v>259034</v>
      </c>
      <c r="E817">
        <v>236588</v>
      </c>
      <c r="F817">
        <v>14.1</v>
      </c>
      <c r="G817">
        <v>4.7</v>
      </c>
      <c r="H817">
        <v>0</v>
      </c>
      <c r="I817">
        <v>0</v>
      </c>
    </row>
    <row r="818" spans="1:9" ht="24" customHeight="1">
      <c r="A818" s="6" t="s">
        <v>2263</v>
      </c>
      <c r="B818">
        <v>3842</v>
      </c>
      <c r="C818">
        <v>1531</v>
      </c>
      <c r="D818">
        <v>333573</v>
      </c>
      <c r="E818">
        <v>274066</v>
      </c>
      <c r="F818">
        <v>15</v>
      </c>
      <c r="G818">
        <v>12</v>
      </c>
      <c r="H818">
        <v>1.5</v>
      </c>
      <c r="I818">
        <v>1.7</v>
      </c>
    </row>
    <row r="819" spans="1:9" ht="24" customHeight="1">
      <c r="A819" s="6" t="s">
        <v>2264</v>
      </c>
      <c r="B819">
        <v>4609</v>
      </c>
      <c r="C819">
        <v>1122</v>
      </c>
      <c r="D819">
        <v>466927</v>
      </c>
      <c r="E819">
        <v>342113</v>
      </c>
      <c r="F819">
        <v>25</v>
      </c>
      <c r="G819">
        <v>9.9</v>
      </c>
      <c r="H819">
        <v>11.8</v>
      </c>
      <c r="I819">
        <v>11.5</v>
      </c>
    </row>
    <row r="820" spans="1:9" ht="24" customHeight="1">
      <c r="A820" s="6" t="s">
        <v>2265</v>
      </c>
      <c r="B820">
        <v>9129</v>
      </c>
      <c r="C820">
        <v>2128</v>
      </c>
      <c r="D820">
        <v>482705</v>
      </c>
      <c r="E820">
        <v>352287</v>
      </c>
      <c r="F820">
        <v>20.7</v>
      </c>
      <c r="G820">
        <v>11.8</v>
      </c>
      <c r="H820">
        <v>16.8</v>
      </c>
      <c r="I820">
        <v>17.2</v>
      </c>
    </row>
    <row r="821" spans="1:9" ht="24" customHeight="1">
      <c r="A821" s="6" t="s">
        <v>2266</v>
      </c>
      <c r="B821">
        <v>2710</v>
      </c>
      <c r="C821">
        <v>592</v>
      </c>
      <c r="D821">
        <v>529427</v>
      </c>
      <c r="E821">
        <v>346459</v>
      </c>
      <c r="F821">
        <v>16.2</v>
      </c>
      <c r="G821">
        <v>13.6</v>
      </c>
      <c r="H821">
        <v>21.8</v>
      </c>
      <c r="I821">
        <v>21</v>
      </c>
    </row>
    <row r="822" spans="1:9" ht="24" customHeight="1">
      <c r="A822" s="6" t="s">
        <v>2267</v>
      </c>
      <c r="B822">
        <v>4186</v>
      </c>
      <c r="C822">
        <v>987</v>
      </c>
      <c r="D822">
        <v>572706</v>
      </c>
      <c r="E822">
        <v>401316</v>
      </c>
      <c r="F822">
        <v>13.8</v>
      </c>
      <c r="G822">
        <v>10.8</v>
      </c>
      <c r="H822">
        <v>27.1</v>
      </c>
      <c r="I822">
        <v>26.9</v>
      </c>
    </row>
    <row r="823" spans="1:9" ht="24" customHeight="1">
      <c r="A823" s="6" t="s">
        <v>2268</v>
      </c>
      <c r="B823">
        <v>6755</v>
      </c>
      <c r="C823">
        <v>2160</v>
      </c>
      <c r="D823">
        <v>422055</v>
      </c>
      <c r="E823">
        <v>318611</v>
      </c>
      <c r="F823">
        <v>19.100000000000001</v>
      </c>
      <c r="G823">
        <v>14.9</v>
      </c>
      <c r="H823">
        <v>3.7</v>
      </c>
      <c r="I823">
        <v>3.7</v>
      </c>
    </row>
    <row r="824" spans="1:9" ht="24" customHeight="1">
      <c r="A824" s="6" t="s">
        <v>2269</v>
      </c>
      <c r="B824">
        <v>8871</v>
      </c>
      <c r="C824">
        <v>1078</v>
      </c>
      <c r="D824">
        <v>566616</v>
      </c>
      <c r="E824">
        <v>409785</v>
      </c>
      <c r="F824">
        <v>9.9</v>
      </c>
      <c r="G824">
        <v>9.5</v>
      </c>
      <c r="H824">
        <v>34.1</v>
      </c>
      <c r="I824">
        <v>34</v>
      </c>
    </row>
    <row r="825" spans="1:9" ht="24" customHeight="1">
      <c r="A825" s="6" t="s">
        <v>2270</v>
      </c>
      <c r="B825">
        <v>8358</v>
      </c>
      <c r="C825">
        <v>1735</v>
      </c>
      <c r="D825">
        <v>388159</v>
      </c>
      <c r="E825">
        <v>329980</v>
      </c>
      <c r="F825">
        <v>19.2</v>
      </c>
      <c r="G825">
        <v>10.5</v>
      </c>
      <c r="H825">
        <v>6.7</v>
      </c>
      <c r="I825">
        <v>6.6</v>
      </c>
    </row>
    <row r="826" spans="1:9" ht="24" customHeight="1">
      <c r="A826" s="6" t="s">
        <v>464</v>
      </c>
      <c r="B826">
        <v>70831</v>
      </c>
      <c r="C826">
        <v>17453</v>
      </c>
      <c r="D826">
        <v>496762</v>
      </c>
      <c r="E826">
        <v>332575</v>
      </c>
      <c r="F826">
        <v>16.8</v>
      </c>
      <c r="G826">
        <v>9.1</v>
      </c>
      <c r="H826">
        <v>15.2</v>
      </c>
      <c r="I826">
        <v>12.6</v>
      </c>
    </row>
    <row r="827" spans="1:9" ht="24" customHeight="1">
      <c r="A827" s="6" t="s">
        <v>465</v>
      </c>
      <c r="B827">
        <v>33649</v>
      </c>
      <c r="C827">
        <v>4425</v>
      </c>
      <c r="D827">
        <v>588833</v>
      </c>
      <c r="E827">
        <v>436232</v>
      </c>
      <c r="F827">
        <v>19.7</v>
      </c>
      <c r="G827">
        <v>13.9</v>
      </c>
      <c r="H827">
        <v>16.2</v>
      </c>
      <c r="I827">
        <v>13.8</v>
      </c>
    </row>
    <row r="828" spans="1:9" ht="24" customHeight="1">
      <c r="A828" s="6" t="s">
        <v>466</v>
      </c>
      <c r="B828">
        <v>1258</v>
      </c>
      <c r="C828">
        <v>151</v>
      </c>
      <c r="D828">
        <v>285623</v>
      </c>
      <c r="E828">
        <v>242633</v>
      </c>
      <c r="F828">
        <v>12.8</v>
      </c>
      <c r="G828">
        <v>6.2</v>
      </c>
      <c r="H828">
        <v>0</v>
      </c>
      <c r="I828">
        <v>0</v>
      </c>
    </row>
    <row r="829" spans="1:9" ht="24" customHeight="1">
      <c r="A829" s="6" t="s">
        <v>2271</v>
      </c>
      <c r="B829">
        <v>1852</v>
      </c>
      <c r="C829">
        <v>441</v>
      </c>
      <c r="D829">
        <v>379730</v>
      </c>
      <c r="E829">
        <v>318770</v>
      </c>
      <c r="F829">
        <v>24</v>
      </c>
      <c r="G829">
        <v>12.7</v>
      </c>
      <c r="H829">
        <v>1.4</v>
      </c>
      <c r="I829">
        <v>1.3</v>
      </c>
    </row>
    <row r="830" spans="1:9" ht="24" customHeight="1">
      <c r="A830" s="6" t="s">
        <v>2272</v>
      </c>
      <c r="B830">
        <v>6041</v>
      </c>
      <c r="C830">
        <v>965</v>
      </c>
      <c r="D830">
        <v>561720</v>
      </c>
      <c r="E830">
        <v>455174</v>
      </c>
      <c r="F830">
        <v>21.8</v>
      </c>
      <c r="G830">
        <v>10.8</v>
      </c>
      <c r="H830">
        <v>12.5</v>
      </c>
      <c r="I830">
        <v>12.4</v>
      </c>
    </row>
    <row r="831" spans="1:9" ht="24" customHeight="1">
      <c r="A831" s="6" t="s">
        <v>2273</v>
      </c>
      <c r="B831">
        <v>7552</v>
      </c>
      <c r="C831">
        <v>509</v>
      </c>
      <c r="D831">
        <v>636047</v>
      </c>
      <c r="E831">
        <v>455173</v>
      </c>
      <c r="F831">
        <v>19.100000000000001</v>
      </c>
      <c r="G831">
        <v>11</v>
      </c>
      <c r="H831">
        <v>16.600000000000001</v>
      </c>
      <c r="I831">
        <v>16.100000000000001</v>
      </c>
    </row>
    <row r="832" spans="1:9" ht="24" customHeight="1">
      <c r="A832" s="6" t="s">
        <v>2274</v>
      </c>
      <c r="B832">
        <v>2561</v>
      </c>
      <c r="C832">
        <v>198</v>
      </c>
      <c r="D832">
        <v>754245</v>
      </c>
      <c r="E832">
        <v>424935</v>
      </c>
      <c r="F832">
        <v>14.5</v>
      </c>
      <c r="G832">
        <v>7.9</v>
      </c>
      <c r="H832">
        <v>21.5</v>
      </c>
      <c r="I832">
        <v>22.7</v>
      </c>
    </row>
    <row r="833" spans="1:9" ht="24" customHeight="1">
      <c r="A833" s="6" t="s">
        <v>2275</v>
      </c>
      <c r="B833">
        <v>2199</v>
      </c>
      <c r="C833">
        <v>315</v>
      </c>
      <c r="D833">
        <v>713926</v>
      </c>
      <c r="E833">
        <v>474510</v>
      </c>
      <c r="F833">
        <v>18.2</v>
      </c>
      <c r="G833">
        <v>13.1</v>
      </c>
      <c r="H833">
        <v>26.8</v>
      </c>
      <c r="I833">
        <v>26.9</v>
      </c>
    </row>
    <row r="834" spans="1:9" ht="24" customHeight="1">
      <c r="A834" s="6" t="s">
        <v>2276</v>
      </c>
      <c r="B834">
        <v>2854</v>
      </c>
      <c r="C834">
        <v>491</v>
      </c>
      <c r="D834">
        <v>433208</v>
      </c>
      <c r="E834">
        <v>420329</v>
      </c>
      <c r="F834">
        <v>25.4</v>
      </c>
      <c r="G834">
        <v>23.2</v>
      </c>
      <c r="H834">
        <v>3.6</v>
      </c>
      <c r="I834">
        <v>3.5</v>
      </c>
    </row>
    <row r="835" spans="1:9" ht="24" customHeight="1">
      <c r="A835" s="6" t="s">
        <v>467</v>
      </c>
      <c r="B835">
        <v>5681</v>
      </c>
      <c r="C835">
        <v>718</v>
      </c>
      <c r="D835">
        <v>707057</v>
      </c>
      <c r="E835">
        <v>506203</v>
      </c>
      <c r="F835">
        <v>14.5</v>
      </c>
      <c r="G835">
        <v>14.5</v>
      </c>
      <c r="H835">
        <v>33.700000000000003</v>
      </c>
      <c r="I835">
        <v>33.4</v>
      </c>
    </row>
    <row r="836" spans="1:9" ht="24" customHeight="1">
      <c r="A836" s="6" t="s">
        <v>2277</v>
      </c>
      <c r="B836">
        <v>3733</v>
      </c>
      <c r="C836">
        <v>924</v>
      </c>
      <c r="D836">
        <v>491669</v>
      </c>
      <c r="E836">
        <v>405980</v>
      </c>
      <c r="F836">
        <v>25.6</v>
      </c>
      <c r="G836">
        <v>12.8</v>
      </c>
      <c r="H836">
        <v>6.8</v>
      </c>
      <c r="I836">
        <v>6.5</v>
      </c>
    </row>
    <row r="837" spans="1:9" ht="24" customHeight="1">
      <c r="A837" s="6" t="s">
        <v>2278</v>
      </c>
      <c r="B837">
        <v>14257</v>
      </c>
      <c r="C837">
        <v>6091</v>
      </c>
      <c r="D837">
        <v>369551</v>
      </c>
      <c r="E837">
        <v>284983</v>
      </c>
      <c r="F837">
        <v>13</v>
      </c>
      <c r="G837">
        <v>7</v>
      </c>
      <c r="H837">
        <v>12.7</v>
      </c>
      <c r="I837">
        <v>11.4</v>
      </c>
    </row>
    <row r="838" spans="1:9" ht="24" customHeight="1">
      <c r="A838" s="6" t="s">
        <v>2279</v>
      </c>
      <c r="B838">
        <v>595</v>
      </c>
      <c r="C838">
        <v>296</v>
      </c>
      <c r="D838">
        <v>239535</v>
      </c>
      <c r="E838">
        <v>197781</v>
      </c>
      <c r="F838">
        <v>12.5</v>
      </c>
      <c r="G838">
        <v>1.2</v>
      </c>
      <c r="H838">
        <v>0</v>
      </c>
      <c r="I838">
        <v>0</v>
      </c>
    </row>
    <row r="839" spans="1:9" ht="24" customHeight="1">
      <c r="A839" s="6" t="s">
        <v>2280</v>
      </c>
      <c r="B839">
        <v>1317</v>
      </c>
      <c r="C839">
        <v>645</v>
      </c>
      <c r="D839">
        <v>302434</v>
      </c>
      <c r="E839">
        <v>226837</v>
      </c>
      <c r="F839">
        <v>11.8</v>
      </c>
      <c r="G839">
        <v>10.199999999999999</v>
      </c>
      <c r="H839">
        <v>1.4</v>
      </c>
      <c r="I839">
        <v>1.4</v>
      </c>
    </row>
    <row r="840" spans="1:9" ht="24" customHeight="1">
      <c r="A840" s="6" t="s">
        <v>2281</v>
      </c>
      <c r="B840">
        <v>2022</v>
      </c>
      <c r="C840">
        <v>1011</v>
      </c>
      <c r="D840">
        <v>366787</v>
      </c>
      <c r="E840">
        <v>291186</v>
      </c>
      <c r="F840">
        <v>10.7</v>
      </c>
      <c r="G840">
        <v>5</v>
      </c>
      <c r="H840">
        <v>11.6</v>
      </c>
      <c r="I840">
        <v>11.8</v>
      </c>
    </row>
    <row r="841" spans="1:9" ht="24" customHeight="1">
      <c r="A841" s="6" t="s">
        <v>2282</v>
      </c>
      <c r="B841">
        <v>2635</v>
      </c>
      <c r="C841">
        <v>1017</v>
      </c>
      <c r="D841">
        <v>409710</v>
      </c>
      <c r="E841">
        <v>358015</v>
      </c>
      <c r="F841">
        <v>13.2</v>
      </c>
      <c r="G841">
        <v>3.8</v>
      </c>
      <c r="H841">
        <v>17</v>
      </c>
      <c r="I841">
        <v>17.2</v>
      </c>
    </row>
    <row r="842" spans="1:9" ht="24" customHeight="1">
      <c r="A842" s="6" t="s">
        <v>2283</v>
      </c>
      <c r="B842">
        <v>1153</v>
      </c>
      <c r="C842">
        <v>540</v>
      </c>
      <c r="D842">
        <v>422414</v>
      </c>
      <c r="E842">
        <v>287674</v>
      </c>
      <c r="F842">
        <v>17.899999999999999</v>
      </c>
      <c r="G842">
        <v>4.0999999999999996</v>
      </c>
      <c r="H842">
        <v>21.6</v>
      </c>
      <c r="I842">
        <v>21.8</v>
      </c>
    </row>
    <row r="843" spans="1:9" ht="24" customHeight="1">
      <c r="A843" s="6" t="s">
        <v>2284</v>
      </c>
      <c r="B843">
        <v>764</v>
      </c>
      <c r="C843">
        <v>242</v>
      </c>
      <c r="D843">
        <v>455994</v>
      </c>
      <c r="E843">
        <v>329518</v>
      </c>
      <c r="F843">
        <v>13.3</v>
      </c>
      <c r="G843">
        <v>2</v>
      </c>
      <c r="H843">
        <v>26.9</v>
      </c>
      <c r="I843">
        <v>27</v>
      </c>
    </row>
    <row r="844" spans="1:9" ht="24" customHeight="1">
      <c r="A844" s="6" t="s">
        <v>2285</v>
      </c>
      <c r="B844">
        <v>1417</v>
      </c>
      <c r="C844">
        <v>705</v>
      </c>
      <c r="D844">
        <v>324141</v>
      </c>
      <c r="E844">
        <v>235252</v>
      </c>
      <c r="F844">
        <v>14.9</v>
      </c>
      <c r="G844">
        <v>6.3</v>
      </c>
      <c r="H844">
        <v>3.5</v>
      </c>
      <c r="I844">
        <v>3.5</v>
      </c>
    </row>
    <row r="845" spans="1:9" ht="24" customHeight="1">
      <c r="A845" s="6" t="s">
        <v>2286</v>
      </c>
      <c r="B845">
        <v>1239</v>
      </c>
      <c r="C845">
        <v>420</v>
      </c>
      <c r="D845">
        <v>410466</v>
      </c>
      <c r="E845">
        <v>253665</v>
      </c>
      <c r="F845">
        <v>6.1</v>
      </c>
      <c r="G845">
        <v>5.2</v>
      </c>
      <c r="H845">
        <v>35.6</v>
      </c>
      <c r="I845">
        <v>38.799999999999997</v>
      </c>
    </row>
    <row r="846" spans="1:9" ht="24" customHeight="1">
      <c r="A846" s="6" t="s">
        <v>2287</v>
      </c>
      <c r="B846">
        <v>3247</v>
      </c>
      <c r="C846">
        <v>1576</v>
      </c>
      <c r="D846">
        <v>346323</v>
      </c>
      <c r="E846">
        <v>274279</v>
      </c>
      <c r="F846">
        <v>14.4</v>
      </c>
      <c r="G846">
        <v>11.4</v>
      </c>
      <c r="H846">
        <v>6.8</v>
      </c>
      <c r="I846">
        <v>6.8</v>
      </c>
    </row>
    <row r="847" spans="1:9" ht="24" customHeight="1">
      <c r="A847" s="6" t="s">
        <v>2288</v>
      </c>
      <c r="B847">
        <v>9989</v>
      </c>
      <c r="C847">
        <v>4639</v>
      </c>
      <c r="D847">
        <v>401058</v>
      </c>
      <c r="E847">
        <v>284067</v>
      </c>
      <c r="F847">
        <v>13.1</v>
      </c>
      <c r="G847">
        <v>7.4</v>
      </c>
      <c r="H847">
        <v>14.2</v>
      </c>
      <c r="I847">
        <v>11.5</v>
      </c>
    </row>
    <row r="848" spans="1:9" ht="24" customHeight="1">
      <c r="A848" s="6" t="s">
        <v>2289</v>
      </c>
      <c r="B848">
        <v>468</v>
      </c>
      <c r="C848">
        <v>199</v>
      </c>
      <c r="D848">
        <v>248077</v>
      </c>
      <c r="E848">
        <v>224675</v>
      </c>
      <c r="F848">
        <v>6.8</v>
      </c>
      <c r="G848">
        <v>20.8</v>
      </c>
      <c r="H848">
        <v>0</v>
      </c>
      <c r="I848">
        <v>0</v>
      </c>
    </row>
    <row r="849" spans="1:9" ht="24" customHeight="1">
      <c r="A849" s="6" t="s">
        <v>2290</v>
      </c>
      <c r="B849">
        <v>757</v>
      </c>
      <c r="C849">
        <v>477</v>
      </c>
      <c r="D849">
        <v>320057</v>
      </c>
      <c r="E849">
        <v>230835</v>
      </c>
      <c r="F849">
        <v>12.2</v>
      </c>
      <c r="G849">
        <v>5.4</v>
      </c>
      <c r="H849">
        <v>1.4</v>
      </c>
      <c r="I849">
        <v>1.5</v>
      </c>
    </row>
    <row r="850" spans="1:9" ht="24" customHeight="1">
      <c r="A850" s="6" t="s">
        <v>2291</v>
      </c>
      <c r="B850">
        <v>1417</v>
      </c>
      <c r="C850">
        <v>686</v>
      </c>
      <c r="D850">
        <v>397070</v>
      </c>
      <c r="E850">
        <v>290919</v>
      </c>
      <c r="F850">
        <v>15.2</v>
      </c>
      <c r="G850">
        <v>12.1</v>
      </c>
      <c r="H850">
        <v>12.1</v>
      </c>
      <c r="I850">
        <v>11.5</v>
      </c>
    </row>
    <row r="851" spans="1:9" ht="24" customHeight="1">
      <c r="A851" s="6" t="s">
        <v>2292</v>
      </c>
      <c r="B851">
        <v>1628</v>
      </c>
      <c r="C851">
        <v>649</v>
      </c>
      <c r="D851">
        <v>426415</v>
      </c>
      <c r="E851">
        <v>319174</v>
      </c>
      <c r="F851">
        <v>14.3</v>
      </c>
      <c r="G851">
        <v>6.7</v>
      </c>
      <c r="H851">
        <v>16.899999999999999</v>
      </c>
      <c r="I851">
        <v>16.600000000000001</v>
      </c>
    </row>
    <row r="852" spans="1:9" ht="24" customHeight="1">
      <c r="A852" s="6" t="s">
        <v>2293</v>
      </c>
      <c r="B852">
        <v>977</v>
      </c>
      <c r="C852">
        <v>464</v>
      </c>
      <c r="D852">
        <v>496587</v>
      </c>
      <c r="E852">
        <v>320283</v>
      </c>
      <c r="F852">
        <v>14.3</v>
      </c>
      <c r="G852">
        <v>7.9</v>
      </c>
      <c r="H852">
        <v>21.9</v>
      </c>
      <c r="I852">
        <v>22</v>
      </c>
    </row>
    <row r="853" spans="1:9" ht="24" customHeight="1">
      <c r="A853" s="6" t="s">
        <v>2294</v>
      </c>
      <c r="B853">
        <v>695</v>
      </c>
      <c r="C853">
        <v>174</v>
      </c>
      <c r="D853">
        <v>506428</v>
      </c>
      <c r="E853">
        <v>319576</v>
      </c>
      <c r="F853">
        <v>8.4</v>
      </c>
      <c r="G853">
        <v>5.2</v>
      </c>
      <c r="H853">
        <v>26.9</v>
      </c>
      <c r="I853">
        <v>26.7</v>
      </c>
    </row>
    <row r="854" spans="1:9" ht="24" customHeight="1">
      <c r="A854" s="6" t="s">
        <v>2295</v>
      </c>
      <c r="B854">
        <v>973</v>
      </c>
      <c r="C854">
        <v>506</v>
      </c>
      <c r="D854">
        <v>315551</v>
      </c>
      <c r="E854">
        <v>268890</v>
      </c>
      <c r="F854">
        <v>14.2</v>
      </c>
      <c r="G854">
        <v>6.8</v>
      </c>
      <c r="H854">
        <v>3.5</v>
      </c>
      <c r="I854">
        <v>3.6</v>
      </c>
    </row>
    <row r="855" spans="1:9" ht="24" customHeight="1">
      <c r="A855" s="6" t="s">
        <v>2296</v>
      </c>
      <c r="B855">
        <v>1146</v>
      </c>
      <c r="C855">
        <v>276</v>
      </c>
      <c r="D855">
        <v>508548</v>
      </c>
      <c r="E855">
        <v>334544</v>
      </c>
      <c r="F855">
        <v>7</v>
      </c>
      <c r="G855">
        <v>7.8</v>
      </c>
      <c r="H855">
        <v>34.4</v>
      </c>
      <c r="I855">
        <v>33.1</v>
      </c>
    </row>
    <row r="856" spans="1:9" ht="24" customHeight="1">
      <c r="A856" s="6" t="s">
        <v>2297</v>
      </c>
      <c r="B856">
        <v>1937</v>
      </c>
      <c r="C856">
        <v>1232</v>
      </c>
      <c r="D856">
        <v>344628</v>
      </c>
      <c r="E856">
        <v>268075</v>
      </c>
      <c r="F856">
        <v>16.5</v>
      </c>
      <c r="G856">
        <v>4</v>
      </c>
      <c r="H856">
        <v>6.7</v>
      </c>
      <c r="I856">
        <v>6.9</v>
      </c>
    </row>
    <row r="857" spans="1:9" ht="24" customHeight="1">
      <c r="A857" s="6" t="s">
        <v>2298</v>
      </c>
      <c r="B857">
        <v>12937</v>
      </c>
      <c r="C857">
        <v>2299</v>
      </c>
      <c r="D857">
        <v>471371</v>
      </c>
      <c r="E857">
        <v>357058</v>
      </c>
      <c r="F857">
        <v>16.399999999999999</v>
      </c>
      <c r="G857">
        <v>8.9</v>
      </c>
      <c r="H857">
        <v>16.399999999999999</v>
      </c>
      <c r="I857">
        <v>15.2</v>
      </c>
    </row>
    <row r="858" spans="1:9" ht="24" customHeight="1">
      <c r="A858" s="6" t="s">
        <v>2299</v>
      </c>
      <c r="B858">
        <v>558</v>
      </c>
      <c r="C858">
        <v>53</v>
      </c>
      <c r="D858">
        <v>234211</v>
      </c>
      <c r="E858">
        <v>221335</v>
      </c>
      <c r="F858">
        <v>12</v>
      </c>
      <c r="G858">
        <v>7.3</v>
      </c>
      <c r="H858">
        <v>0</v>
      </c>
      <c r="I858">
        <v>0</v>
      </c>
    </row>
    <row r="859" spans="1:9" ht="24" customHeight="1">
      <c r="A859" s="6" t="s">
        <v>2300</v>
      </c>
      <c r="B859">
        <v>716</v>
      </c>
      <c r="C859">
        <v>237</v>
      </c>
      <c r="D859">
        <v>321384</v>
      </c>
      <c r="E859">
        <v>297750</v>
      </c>
      <c r="F859">
        <v>19.7</v>
      </c>
      <c r="G859">
        <v>11.3</v>
      </c>
      <c r="H859">
        <v>1.4</v>
      </c>
      <c r="I859">
        <v>1.3</v>
      </c>
    </row>
    <row r="860" spans="1:9" ht="24" customHeight="1">
      <c r="A860" s="6" t="s">
        <v>2301</v>
      </c>
      <c r="B860">
        <v>1824</v>
      </c>
      <c r="C860">
        <v>318</v>
      </c>
      <c r="D860">
        <v>440901</v>
      </c>
      <c r="E860">
        <v>340776</v>
      </c>
      <c r="F860">
        <v>19.899999999999999</v>
      </c>
      <c r="G860">
        <v>9.6999999999999993</v>
      </c>
      <c r="H860">
        <v>12.2</v>
      </c>
      <c r="I860">
        <v>11.8</v>
      </c>
    </row>
    <row r="861" spans="1:9" ht="24" customHeight="1">
      <c r="A861" s="6" t="s">
        <v>2302</v>
      </c>
      <c r="B861">
        <v>1671</v>
      </c>
      <c r="C861">
        <v>231</v>
      </c>
      <c r="D861">
        <v>493780</v>
      </c>
      <c r="E861">
        <v>367126</v>
      </c>
      <c r="F861">
        <v>16.3</v>
      </c>
      <c r="G861">
        <v>8.6999999999999993</v>
      </c>
      <c r="H861">
        <v>16.7</v>
      </c>
      <c r="I861">
        <v>16.3</v>
      </c>
    </row>
    <row r="862" spans="1:9" ht="24" customHeight="1">
      <c r="A862" s="6" t="s">
        <v>2303</v>
      </c>
      <c r="B862">
        <v>1006</v>
      </c>
      <c r="C862">
        <v>120</v>
      </c>
      <c r="D862">
        <v>557659</v>
      </c>
      <c r="E862">
        <v>416735</v>
      </c>
      <c r="F862">
        <v>15.2</v>
      </c>
      <c r="G862">
        <v>8.6999999999999993</v>
      </c>
      <c r="H862">
        <v>21.8</v>
      </c>
      <c r="I862">
        <v>21.3</v>
      </c>
    </row>
    <row r="863" spans="1:9" ht="24" customHeight="1">
      <c r="A863" s="6" t="s">
        <v>2304</v>
      </c>
      <c r="B863">
        <v>1226</v>
      </c>
      <c r="C863">
        <v>290</v>
      </c>
      <c r="D863">
        <v>595411</v>
      </c>
      <c r="E863">
        <v>410748</v>
      </c>
      <c r="F863">
        <v>15.6</v>
      </c>
      <c r="G863">
        <v>9.6999999999999993</v>
      </c>
      <c r="H863">
        <v>26.8</v>
      </c>
      <c r="I863">
        <v>26.6</v>
      </c>
    </row>
    <row r="864" spans="1:9" ht="24" customHeight="1">
      <c r="A864" s="6" t="s">
        <v>2305</v>
      </c>
      <c r="B864">
        <v>1091</v>
      </c>
      <c r="C864">
        <v>224</v>
      </c>
      <c r="D864">
        <v>370817</v>
      </c>
      <c r="E864">
        <v>322808</v>
      </c>
      <c r="F864">
        <v>20.9</v>
      </c>
      <c r="G864">
        <v>9.4</v>
      </c>
      <c r="H864">
        <v>3.6</v>
      </c>
      <c r="I864">
        <v>3.6</v>
      </c>
    </row>
    <row r="865" spans="1:9" ht="24" customHeight="1">
      <c r="A865" s="6" t="s">
        <v>2306</v>
      </c>
      <c r="B865">
        <v>2563</v>
      </c>
      <c r="C865">
        <v>377</v>
      </c>
      <c r="D865">
        <v>591445</v>
      </c>
      <c r="E865">
        <v>443405</v>
      </c>
      <c r="F865">
        <v>10.8</v>
      </c>
      <c r="G865">
        <v>6.6</v>
      </c>
      <c r="H865">
        <v>33.9</v>
      </c>
      <c r="I865">
        <v>34.799999999999997</v>
      </c>
    </row>
    <row r="866" spans="1:9" ht="24" customHeight="1">
      <c r="A866" s="6" t="s">
        <v>2307</v>
      </c>
      <c r="B866">
        <v>2287</v>
      </c>
      <c r="C866">
        <v>500</v>
      </c>
      <c r="D866">
        <v>392606</v>
      </c>
      <c r="E866">
        <v>299663</v>
      </c>
      <c r="F866">
        <v>19</v>
      </c>
      <c r="G866">
        <v>8.1</v>
      </c>
      <c r="H866">
        <v>6.9</v>
      </c>
      <c r="I866">
        <v>6.8</v>
      </c>
    </row>
    <row r="867" spans="1:9" ht="24" customHeight="1">
      <c r="A867" s="6" t="s">
        <v>468</v>
      </c>
      <c r="B867">
        <v>5837</v>
      </c>
      <c r="C867">
        <v>4374</v>
      </c>
      <c r="D867">
        <v>345194</v>
      </c>
      <c r="E867">
        <v>253065</v>
      </c>
      <c r="F867">
        <v>4.5999999999999996</v>
      </c>
      <c r="G867">
        <v>2.8</v>
      </c>
      <c r="H867">
        <v>13.2</v>
      </c>
      <c r="I867">
        <v>12.5</v>
      </c>
    </row>
    <row r="868" spans="1:9" ht="24" customHeight="1">
      <c r="A868" s="6" t="s">
        <v>469</v>
      </c>
      <c r="B868">
        <v>47</v>
      </c>
      <c r="C868">
        <v>33</v>
      </c>
      <c r="D868">
        <v>268601</v>
      </c>
      <c r="E868">
        <v>249429</v>
      </c>
      <c r="F868">
        <v>1</v>
      </c>
      <c r="G868">
        <v>0.7</v>
      </c>
      <c r="H868">
        <v>18</v>
      </c>
      <c r="I868">
        <v>15.1</v>
      </c>
    </row>
    <row r="869" spans="1:9" ht="24" customHeight="1">
      <c r="A869" s="6" t="s">
        <v>2308</v>
      </c>
      <c r="B869">
        <v>4</v>
      </c>
      <c r="C869">
        <v>0</v>
      </c>
      <c r="D869">
        <v>233844</v>
      </c>
      <c r="E869"/>
      <c r="F869">
        <v>0</v>
      </c>
      <c r="G869"/>
      <c r="H869">
        <v>11.3</v>
      </c>
      <c r="I869"/>
    </row>
    <row r="870" spans="1:9" ht="24" customHeight="1">
      <c r="A870" s="6" t="s">
        <v>2309</v>
      </c>
      <c r="B870">
        <v>15</v>
      </c>
      <c r="C870">
        <v>13</v>
      </c>
      <c r="D870">
        <v>262221</v>
      </c>
      <c r="E870">
        <v>256472</v>
      </c>
      <c r="F870">
        <v>0.8</v>
      </c>
      <c r="G870">
        <v>0.9</v>
      </c>
      <c r="H870">
        <v>15</v>
      </c>
      <c r="I870">
        <v>15.4</v>
      </c>
    </row>
    <row r="871" spans="1:9" ht="24" customHeight="1">
      <c r="A871" s="6" t="s">
        <v>2310</v>
      </c>
      <c r="B871">
        <v>8</v>
      </c>
      <c r="C871">
        <v>7</v>
      </c>
      <c r="D871">
        <v>284923</v>
      </c>
      <c r="E871">
        <v>269084</v>
      </c>
      <c r="F871">
        <v>1.8</v>
      </c>
      <c r="G871">
        <v>0</v>
      </c>
      <c r="H871">
        <v>21.2</v>
      </c>
      <c r="I871">
        <v>20.399999999999999</v>
      </c>
    </row>
    <row r="872" spans="1:9" ht="24" customHeight="1">
      <c r="A872" s="6" t="s">
        <v>2311</v>
      </c>
      <c r="B872">
        <v>5</v>
      </c>
      <c r="C872">
        <v>0</v>
      </c>
      <c r="D872">
        <v>267387</v>
      </c>
      <c r="E872"/>
      <c r="F872">
        <v>2.5</v>
      </c>
      <c r="G872"/>
      <c r="H872">
        <v>25.3</v>
      </c>
      <c r="I872"/>
    </row>
    <row r="873" spans="1:9" ht="24" customHeight="1">
      <c r="A873" s="6" t="s">
        <v>2312</v>
      </c>
      <c r="B873">
        <v>1</v>
      </c>
      <c r="C873">
        <v>3</v>
      </c>
      <c r="D873">
        <v>236006</v>
      </c>
      <c r="E873">
        <v>243957</v>
      </c>
      <c r="F873">
        <v>5</v>
      </c>
      <c r="G873">
        <v>4</v>
      </c>
      <c r="H873">
        <v>4</v>
      </c>
      <c r="I873">
        <v>3</v>
      </c>
    </row>
    <row r="874" spans="1:9" ht="24" customHeight="1">
      <c r="A874" s="6" t="s">
        <v>470</v>
      </c>
      <c r="B874">
        <v>7</v>
      </c>
      <c r="C874">
        <v>3</v>
      </c>
      <c r="D874">
        <v>317435</v>
      </c>
      <c r="E874">
        <v>324661</v>
      </c>
      <c r="F874">
        <v>0</v>
      </c>
      <c r="G874">
        <v>0</v>
      </c>
      <c r="H874">
        <v>33.200000000000003</v>
      </c>
      <c r="I874">
        <v>34.5</v>
      </c>
    </row>
    <row r="875" spans="1:9" ht="24" customHeight="1">
      <c r="A875" s="6" t="s">
        <v>2313</v>
      </c>
      <c r="B875">
        <v>7</v>
      </c>
      <c r="C875">
        <v>8</v>
      </c>
      <c r="D875">
        <v>242562</v>
      </c>
      <c r="E875">
        <v>198058</v>
      </c>
      <c r="F875">
        <v>0</v>
      </c>
      <c r="G875">
        <v>0</v>
      </c>
      <c r="H875">
        <v>6.6</v>
      </c>
      <c r="I875">
        <v>7.8</v>
      </c>
    </row>
    <row r="876" spans="1:9" ht="24" customHeight="1">
      <c r="A876" s="6" t="s">
        <v>2314</v>
      </c>
      <c r="B876">
        <v>3633</v>
      </c>
      <c r="C876">
        <v>2971</v>
      </c>
      <c r="D876">
        <v>324485</v>
      </c>
      <c r="E876">
        <v>236651</v>
      </c>
      <c r="F876">
        <v>2.1</v>
      </c>
      <c r="G876">
        <v>1.4</v>
      </c>
      <c r="H876">
        <v>13.2</v>
      </c>
      <c r="I876">
        <v>12</v>
      </c>
    </row>
    <row r="877" spans="1:9" ht="24" customHeight="1">
      <c r="A877" s="6" t="s">
        <v>2315</v>
      </c>
      <c r="B877">
        <v>231</v>
      </c>
      <c r="C877">
        <v>206</v>
      </c>
      <c r="D877">
        <v>210173</v>
      </c>
      <c r="E877">
        <v>215710</v>
      </c>
      <c r="F877">
        <v>1</v>
      </c>
      <c r="G877">
        <v>2.1</v>
      </c>
      <c r="H877">
        <v>0</v>
      </c>
      <c r="I877">
        <v>0</v>
      </c>
    </row>
    <row r="878" spans="1:9" ht="24" customHeight="1">
      <c r="A878" s="6" t="s">
        <v>2316</v>
      </c>
      <c r="B878">
        <v>219</v>
      </c>
      <c r="C878">
        <v>122</v>
      </c>
      <c r="D878">
        <v>255641</v>
      </c>
      <c r="E878">
        <v>195140</v>
      </c>
      <c r="F878">
        <v>2.2000000000000002</v>
      </c>
      <c r="G878">
        <v>2.2999999999999998</v>
      </c>
      <c r="H878">
        <v>1.1000000000000001</v>
      </c>
      <c r="I878">
        <v>1.5</v>
      </c>
    </row>
    <row r="879" spans="1:9" ht="24" customHeight="1">
      <c r="A879" s="6" t="s">
        <v>2317</v>
      </c>
      <c r="B879">
        <v>662</v>
      </c>
      <c r="C879">
        <v>600</v>
      </c>
      <c r="D879">
        <v>348110</v>
      </c>
      <c r="E879">
        <v>246784</v>
      </c>
      <c r="F879">
        <v>1.9</v>
      </c>
      <c r="G879">
        <v>0.7</v>
      </c>
      <c r="H879">
        <v>12.1</v>
      </c>
      <c r="I879">
        <v>12.2</v>
      </c>
    </row>
    <row r="880" spans="1:9" ht="24" customHeight="1">
      <c r="A880" s="6" t="s">
        <v>2318</v>
      </c>
      <c r="B880">
        <v>282</v>
      </c>
      <c r="C880">
        <v>211</v>
      </c>
      <c r="D880">
        <v>373968</v>
      </c>
      <c r="E880">
        <v>256120</v>
      </c>
      <c r="F880">
        <v>7.3</v>
      </c>
      <c r="G880">
        <v>2.2000000000000002</v>
      </c>
      <c r="H880">
        <v>17.3</v>
      </c>
      <c r="I880">
        <v>16.899999999999999</v>
      </c>
    </row>
    <row r="881" spans="1:9" ht="24" customHeight="1">
      <c r="A881" s="6" t="s">
        <v>2319</v>
      </c>
      <c r="B881">
        <v>378</v>
      </c>
      <c r="C881">
        <v>249</v>
      </c>
      <c r="D881">
        <v>431479</v>
      </c>
      <c r="E881">
        <v>265855</v>
      </c>
      <c r="F881">
        <v>1.2</v>
      </c>
      <c r="G881">
        <v>2.6</v>
      </c>
      <c r="H881">
        <v>22.2</v>
      </c>
      <c r="I881">
        <v>21.7</v>
      </c>
    </row>
    <row r="882" spans="1:9" ht="24" customHeight="1">
      <c r="A882" s="6" t="s">
        <v>2320</v>
      </c>
      <c r="B882">
        <v>120</v>
      </c>
      <c r="C882">
        <v>180</v>
      </c>
      <c r="D882">
        <v>447891</v>
      </c>
      <c r="E882">
        <v>256810</v>
      </c>
      <c r="F882">
        <v>2.2999999999999998</v>
      </c>
      <c r="G882">
        <v>1.3</v>
      </c>
      <c r="H882">
        <v>27.6</v>
      </c>
      <c r="I882">
        <v>25.9</v>
      </c>
    </row>
    <row r="883" spans="1:9" ht="24" customHeight="1">
      <c r="A883" s="6" t="s">
        <v>2321</v>
      </c>
      <c r="B883">
        <v>179</v>
      </c>
      <c r="C883">
        <v>649</v>
      </c>
      <c r="D883">
        <v>302683</v>
      </c>
      <c r="E883">
        <v>236698</v>
      </c>
      <c r="F883">
        <v>3.2</v>
      </c>
      <c r="G883">
        <v>0.8</v>
      </c>
      <c r="H883">
        <v>3.6</v>
      </c>
      <c r="I883">
        <v>3.4</v>
      </c>
    </row>
    <row r="884" spans="1:9" ht="24" customHeight="1">
      <c r="A884" s="6" t="s">
        <v>2322</v>
      </c>
      <c r="B884">
        <v>423</v>
      </c>
      <c r="C884">
        <v>283</v>
      </c>
      <c r="D884">
        <v>297077</v>
      </c>
      <c r="E884">
        <v>205815</v>
      </c>
      <c r="F884">
        <v>0.8</v>
      </c>
      <c r="G884">
        <v>1.5</v>
      </c>
      <c r="H884">
        <v>33</v>
      </c>
      <c r="I884">
        <v>32.4</v>
      </c>
    </row>
    <row r="885" spans="1:9" ht="24" customHeight="1">
      <c r="A885" s="6" t="s">
        <v>2323</v>
      </c>
      <c r="B885">
        <v>1153</v>
      </c>
      <c r="C885">
        <v>520</v>
      </c>
      <c r="D885">
        <v>299239</v>
      </c>
      <c r="E885">
        <v>224302</v>
      </c>
      <c r="F885">
        <v>1.7</v>
      </c>
      <c r="G885">
        <v>1.5</v>
      </c>
      <c r="H885">
        <v>7.7</v>
      </c>
      <c r="I885">
        <v>7.1</v>
      </c>
    </row>
    <row r="886" spans="1:9" ht="24" customHeight="1">
      <c r="A886" s="6" t="s">
        <v>2324</v>
      </c>
      <c r="B886">
        <v>2038</v>
      </c>
      <c r="C886">
        <v>1247</v>
      </c>
      <c r="D886">
        <v>378639</v>
      </c>
      <c r="E886">
        <v>283643</v>
      </c>
      <c r="F886">
        <v>7.6</v>
      </c>
      <c r="G886">
        <v>4.2</v>
      </c>
      <c r="H886">
        <v>13</v>
      </c>
      <c r="I886">
        <v>14</v>
      </c>
    </row>
    <row r="887" spans="1:9" ht="24" customHeight="1">
      <c r="A887" s="6" t="s">
        <v>2325</v>
      </c>
      <c r="B887">
        <v>71</v>
      </c>
      <c r="C887">
        <v>37</v>
      </c>
      <c r="D887">
        <v>273107</v>
      </c>
      <c r="E887">
        <v>187848</v>
      </c>
      <c r="F887">
        <v>6.1</v>
      </c>
      <c r="G887">
        <v>11.9</v>
      </c>
      <c r="H887">
        <v>0</v>
      </c>
      <c r="I887">
        <v>0</v>
      </c>
    </row>
    <row r="888" spans="1:9" ht="24" customHeight="1">
      <c r="A888" s="6" t="s">
        <v>2326</v>
      </c>
      <c r="B888">
        <v>62</v>
      </c>
      <c r="C888">
        <v>54</v>
      </c>
      <c r="D888">
        <v>285215</v>
      </c>
      <c r="E888">
        <v>237195</v>
      </c>
      <c r="F888">
        <v>15.4</v>
      </c>
      <c r="G888">
        <v>6.4</v>
      </c>
      <c r="H888">
        <v>1.7</v>
      </c>
      <c r="I888">
        <v>1.3</v>
      </c>
    </row>
    <row r="889" spans="1:9" ht="24" customHeight="1">
      <c r="A889" s="6" t="s">
        <v>2327</v>
      </c>
      <c r="B889">
        <v>416</v>
      </c>
      <c r="C889">
        <v>108</v>
      </c>
      <c r="D889">
        <v>385355</v>
      </c>
      <c r="E889">
        <v>265147</v>
      </c>
      <c r="F889">
        <v>9</v>
      </c>
      <c r="G889">
        <v>2.9</v>
      </c>
      <c r="H889">
        <v>12.4</v>
      </c>
      <c r="I889">
        <v>11.9</v>
      </c>
    </row>
    <row r="890" spans="1:9" ht="24" customHeight="1">
      <c r="A890" s="6" t="s">
        <v>2328</v>
      </c>
      <c r="B890">
        <v>603</v>
      </c>
      <c r="C890">
        <v>153</v>
      </c>
      <c r="D890">
        <v>411385</v>
      </c>
      <c r="E890">
        <v>303813</v>
      </c>
      <c r="F890">
        <v>3.2</v>
      </c>
      <c r="G890">
        <v>8.8000000000000007</v>
      </c>
      <c r="H890">
        <v>15.6</v>
      </c>
      <c r="I890">
        <v>16.8</v>
      </c>
    </row>
    <row r="891" spans="1:9" ht="24" customHeight="1">
      <c r="A891" s="6" t="s">
        <v>2329</v>
      </c>
      <c r="B891">
        <v>81</v>
      </c>
      <c r="C891">
        <v>262</v>
      </c>
      <c r="D891">
        <v>421841</v>
      </c>
      <c r="E891">
        <v>334901</v>
      </c>
      <c r="F891">
        <v>6.4</v>
      </c>
      <c r="G891">
        <v>1.6</v>
      </c>
      <c r="H891">
        <v>21.9</v>
      </c>
      <c r="I891">
        <v>21.1</v>
      </c>
    </row>
    <row r="892" spans="1:9" ht="24" customHeight="1">
      <c r="A892" s="6" t="s">
        <v>2330</v>
      </c>
      <c r="B892">
        <v>91</v>
      </c>
      <c r="C892">
        <v>174</v>
      </c>
      <c r="D892">
        <v>420611</v>
      </c>
      <c r="E892">
        <v>248006</v>
      </c>
      <c r="F892">
        <v>3.1</v>
      </c>
      <c r="G892">
        <v>0.6</v>
      </c>
      <c r="H892">
        <v>26.8</v>
      </c>
      <c r="I892">
        <v>27.6</v>
      </c>
    </row>
    <row r="893" spans="1:9" ht="24" customHeight="1">
      <c r="A893" s="6" t="s">
        <v>2331</v>
      </c>
      <c r="B893">
        <v>264</v>
      </c>
      <c r="C893">
        <v>102</v>
      </c>
      <c r="D893">
        <v>291427</v>
      </c>
      <c r="E893">
        <v>286466</v>
      </c>
      <c r="F893">
        <v>8.6999999999999993</v>
      </c>
      <c r="G893">
        <v>7.8</v>
      </c>
      <c r="H893">
        <v>3.8</v>
      </c>
      <c r="I893">
        <v>3.6</v>
      </c>
    </row>
    <row r="894" spans="1:9" ht="24" customHeight="1">
      <c r="A894" s="6" t="s">
        <v>2332</v>
      </c>
      <c r="B894">
        <v>130</v>
      </c>
      <c r="C894">
        <v>27</v>
      </c>
      <c r="D894">
        <v>487118</v>
      </c>
      <c r="E894">
        <v>385820</v>
      </c>
      <c r="F894">
        <v>4.3</v>
      </c>
      <c r="G894">
        <v>12.2</v>
      </c>
      <c r="H894">
        <v>33.9</v>
      </c>
      <c r="I894">
        <v>32.6</v>
      </c>
    </row>
    <row r="895" spans="1:9" ht="24" customHeight="1">
      <c r="A895" s="6" t="s">
        <v>2333</v>
      </c>
      <c r="B895">
        <v>320</v>
      </c>
      <c r="C895">
        <v>333</v>
      </c>
      <c r="D895">
        <v>354837</v>
      </c>
      <c r="E895">
        <v>267148</v>
      </c>
      <c r="F895">
        <v>14.8</v>
      </c>
      <c r="G895">
        <v>3.3</v>
      </c>
      <c r="H895">
        <v>6.9</v>
      </c>
      <c r="I895">
        <v>6.2</v>
      </c>
    </row>
    <row r="896" spans="1:9" ht="24" customHeight="1">
      <c r="A896" s="6" t="s">
        <v>2334</v>
      </c>
      <c r="B896">
        <v>120</v>
      </c>
      <c r="C896">
        <v>123</v>
      </c>
      <c r="D896">
        <v>434177</v>
      </c>
      <c r="E896">
        <v>340818</v>
      </c>
      <c r="F896">
        <v>31.6</v>
      </c>
      <c r="G896">
        <v>23.6</v>
      </c>
      <c r="H896">
        <v>11.7</v>
      </c>
      <c r="I896">
        <v>9.1999999999999993</v>
      </c>
    </row>
    <row r="897" spans="1:9" ht="24" customHeight="1">
      <c r="A897" s="6" t="s">
        <v>2335</v>
      </c>
      <c r="B897">
        <v>5</v>
      </c>
      <c r="C897">
        <v>10</v>
      </c>
      <c r="D897">
        <v>245290</v>
      </c>
      <c r="E897">
        <v>218154</v>
      </c>
      <c r="F897">
        <v>44</v>
      </c>
      <c r="G897">
        <v>24.5</v>
      </c>
      <c r="H897">
        <v>0</v>
      </c>
      <c r="I897">
        <v>0</v>
      </c>
    </row>
    <row r="898" spans="1:9" ht="24" customHeight="1">
      <c r="A898" s="6" t="s">
        <v>2336</v>
      </c>
      <c r="B898">
        <v>11</v>
      </c>
      <c r="C898">
        <v>15</v>
      </c>
      <c r="D898">
        <v>363449</v>
      </c>
      <c r="E898">
        <v>276641</v>
      </c>
      <c r="F898">
        <v>25.4</v>
      </c>
      <c r="G898">
        <v>25.3</v>
      </c>
      <c r="H898">
        <v>1.5</v>
      </c>
      <c r="I898">
        <v>1.3</v>
      </c>
    </row>
    <row r="899" spans="1:9" ht="24" customHeight="1">
      <c r="A899" s="6" t="s">
        <v>2337</v>
      </c>
      <c r="B899">
        <v>25</v>
      </c>
      <c r="C899">
        <v>25</v>
      </c>
      <c r="D899">
        <v>442758</v>
      </c>
      <c r="E899">
        <v>292539</v>
      </c>
      <c r="F899">
        <v>41.6</v>
      </c>
      <c r="G899">
        <v>13</v>
      </c>
      <c r="H899">
        <v>11</v>
      </c>
      <c r="I899">
        <v>11.4</v>
      </c>
    </row>
    <row r="900" spans="1:9" ht="24" customHeight="1">
      <c r="A900" s="6" t="s">
        <v>2338</v>
      </c>
      <c r="B900">
        <v>25</v>
      </c>
      <c r="C900">
        <v>46</v>
      </c>
      <c r="D900">
        <v>482081</v>
      </c>
      <c r="E900">
        <v>358031</v>
      </c>
      <c r="F900">
        <v>20</v>
      </c>
      <c r="G900">
        <v>18.5</v>
      </c>
      <c r="H900">
        <v>16</v>
      </c>
      <c r="I900">
        <v>16.399999999999999</v>
      </c>
    </row>
    <row r="901" spans="1:9" ht="24" customHeight="1">
      <c r="A901" s="6" t="s">
        <v>2339</v>
      </c>
      <c r="B901">
        <v>10</v>
      </c>
      <c r="C901">
        <v>5</v>
      </c>
      <c r="D901">
        <v>581106</v>
      </c>
      <c r="E901">
        <v>376649</v>
      </c>
      <c r="F901">
        <v>36.5</v>
      </c>
      <c r="G901">
        <v>8</v>
      </c>
      <c r="H901">
        <v>21</v>
      </c>
      <c r="I901">
        <v>22</v>
      </c>
    </row>
    <row r="902" spans="1:9" ht="24" customHeight="1">
      <c r="A902" s="6" t="s">
        <v>2340</v>
      </c>
      <c r="B902">
        <v>2</v>
      </c>
      <c r="C902">
        <v>2</v>
      </c>
      <c r="D902">
        <v>350516</v>
      </c>
      <c r="E902">
        <v>233954</v>
      </c>
      <c r="F902">
        <v>16</v>
      </c>
      <c r="G902">
        <v>0</v>
      </c>
      <c r="H902">
        <v>28</v>
      </c>
      <c r="I902">
        <v>29</v>
      </c>
    </row>
    <row r="903" spans="1:9" ht="24" customHeight="1">
      <c r="A903" s="6" t="s">
        <v>2341</v>
      </c>
      <c r="B903">
        <v>7</v>
      </c>
      <c r="C903">
        <v>15</v>
      </c>
      <c r="D903">
        <v>358081</v>
      </c>
      <c r="E903">
        <v>301479</v>
      </c>
      <c r="F903">
        <v>29.2</v>
      </c>
      <c r="G903">
        <v>16.3</v>
      </c>
      <c r="H903">
        <v>3</v>
      </c>
      <c r="I903">
        <v>3.3</v>
      </c>
    </row>
    <row r="904" spans="1:9" ht="24" customHeight="1">
      <c r="A904" s="6" t="s">
        <v>2342</v>
      </c>
      <c r="B904">
        <v>6</v>
      </c>
      <c r="C904">
        <v>0</v>
      </c>
      <c r="D904">
        <v>343590</v>
      </c>
      <c r="E904"/>
      <c r="F904">
        <v>5.3</v>
      </c>
      <c r="G904"/>
      <c r="H904">
        <v>35.299999999999997</v>
      </c>
      <c r="I904"/>
    </row>
    <row r="905" spans="1:9" ht="24" customHeight="1">
      <c r="A905" s="6" t="s">
        <v>2343</v>
      </c>
      <c r="B905">
        <v>30</v>
      </c>
      <c r="C905">
        <v>40</v>
      </c>
      <c r="D905">
        <v>437488</v>
      </c>
      <c r="E905">
        <v>299249</v>
      </c>
      <c r="F905">
        <v>38.299999999999997</v>
      </c>
      <c r="G905">
        <v>20.5</v>
      </c>
      <c r="H905">
        <v>7.7</v>
      </c>
      <c r="I905">
        <v>6.4</v>
      </c>
    </row>
    <row r="906" spans="1:9" ht="24" customHeight="1">
      <c r="A906" s="6" t="s">
        <v>471</v>
      </c>
      <c r="B906">
        <v>145708</v>
      </c>
      <c r="C906">
        <v>28279</v>
      </c>
      <c r="D906">
        <v>458580</v>
      </c>
      <c r="E906">
        <v>338521</v>
      </c>
      <c r="F906">
        <v>13.8</v>
      </c>
      <c r="G906">
        <v>7.3</v>
      </c>
      <c r="H906">
        <v>15</v>
      </c>
      <c r="I906">
        <v>13.4</v>
      </c>
    </row>
    <row r="907" spans="1:9" ht="24" customHeight="1">
      <c r="A907" s="6" t="s">
        <v>472</v>
      </c>
      <c r="B907">
        <v>35596</v>
      </c>
      <c r="C907">
        <v>5345</v>
      </c>
      <c r="D907">
        <v>595999</v>
      </c>
      <c r="E907">
        <v>444921</v>
      </c>
      <c r="F907">
        <v>19.2</v>
      </c>
      <c r="G907">
        <v>10.6</v>
      </c>
      <c r="H907">
        <v>17.100000000000001</v>
      </c>
      <c r="I907">
        <v>14.2</v>
      </c>
    </row>
    <row r="908" spans="1:9" ht="24" customHeight="1">
      <c r="A908" s="6" t="s">
        <v>473</v>
      </c>
      <c r="B908">
        <v>1331</v>
      </c>
      <c r="C908">
        <v>342</v>
      </c>
      <c r="D908">
        <v>329064</v>
      </c>
      <c r="E908">
        <v>302388</v>
      </c>
      <c r="F908">
        <v>21.6</v>
      </c>
      <c r="G908">
        <v>8</v>
      </c>
      <c r="H908">
        <v>0</v>
      </c>
      <c r="I908">
        <v>0</v>
      </c>
    </row>
    <row r="909" spans="1:9" ht="24" customHeight="1">
      <c r="A909" s="6" t="s">
        <v>2344</v>
      </c>
      <c r="B909">
        <v>2951</v>
      </c>
      <c r="C909">
        <v>726</v>
      </c>
      <c r="D909">
        <v>397705</v>
      </c>
      <c r="E909">
        <v>330448</v>
      </c>
      <c r="F909">
        <v>23.2</v>
      </c>
      <c r="G909">
        <v>18.600000000000001</v>
      </c>
      <c r="H909">
        <v>1.4</v>
      </c>
      <c r="I909">
        <v>1.4</v>
      </c>
    </row>
    <row r="910" spans="1:9" ht="24" customHeight="1">
      <c r="A910" s="6" t="s">
        <v>2345</v>
      </c>
      <c r="B910">
        <v>4837</v>
      </c>
      <c r="C910">
        <v>717</v>
      </c>
      <c r="D910">
        <v>539592</v>
      </c>
      <c r="E910">
        <v>448777</v>
      </c>
      <c r="F910">
        <v>25.5</v>
      </c>
      <c r="G910">
        <v>11.1</v>
      </c>
      <c r="H910">
        <v>12.4</v>
      </c>
      <c r="I910">
        <v>12.3</v>
      </c>
    </row>
    <row r="911" spans="1:9" ht="24" customHeight="1">
      <c r="A911" s="6" t="s">
        <v>2346</v>
      </c>
      <c r="B911">
        <v>5319</v>
      </c>
      <c r="C911">
        <v>606</v>
      </c>
      <c r="D911">
        <v>612948</v>
      </c>
      <c r="E911">
        <v>411096</v>
      </c>
      <c r="F911">
        <v>24.3</v>
      </c>
      <c r="G911">
        <v>5.8</v>
      </c>
      <c r="H911">
        <v>16.5</v>
      </c>
      <c r="I911">
        <v>16.2</v>
      </c>
    </row>
    <row r="912" spans="1:9" ht="24" customHeight="1">
      <c r="A912" s="6" t="s">
        <v>2347</v>
      </c>
      <c r="B912">
        <v>2466</v>
      </c>
      <c r="C912">
        <v>359</v>
      </c>
      <c r="D912">
        <v>728035</v>
      </c>
      <c r="E912">
        <v>540275</v>
      </c>
      <c r="F912">
        <v>11.4</v>
      </c>
      <c r="G912">
        <v>4.9000000000000004</v>
      </c>
      <c r="H912">
        <v>22.1</v>
      </c>
      <c r="I912">
        <v>21.8</v>
      </c>
    </row>
    <row r="913" spans="1:9" ht="24" customHeight="1">
      <c r="A913" s="6" t="s">
        <v>2348</v>
      </c>
      <c r="B913">
        <v>3165</v>
      </c>
      <c r="C913">
        <v>567</v>
      </c>
      <c r="D913">
        <v>721123</v>
      </c>
      <c r="E913">
        <v>485310</v>
      </c>
      <c r="F913">
        <v>14</v>
      </c>
      <c r="G913">
        <v>7.6</v>
      </c>
      <c r="H913">
        <v>26.7</v>
      </c>
      <c r="I913">
        <v>26.7</v>
      </c>
    </row>
    <row r="914" spans="1:9" ht="24" customHeight="1">
      <c r="A914" s="6" t="s">
        <v>2349</v>
      </c>
      <c r="B914">
        <v>2720</v>
      </c>
      <c r="C914">
        <v>635</v>
      </c>
      <c r="D914">
        <v>456323</v>
      </c>
      <c r="E914">
        <v>417426</v>
      </c>
      <c r="F914">
        <v>23.2</v>
      </c>
      <c r="G914">
        <v>13.8</v>
      </c>
      <c r="H914">
        <v>3.5</v>
      </c>
      <c r="I914">
        <v>3.5</v>
      </c>
    </row>
    <row r="915" spans="1:9" ht="24" customHeight="1">
      <c r="A915" s="6" t="s">
        <v>474</v>
      </c>
      <c r="B915">
        <v>8100</v>
      </c>
      <c r="C915">
        <v>884</v>
      </c>
      <c r="D915">
        <v>748625</v>
      </c>
      <c r="E915">
        <v>576641</v>
      </c>
      <c r="F915">
        <v>9.8000000000000007</v>
      </c>
      <c r="G915">
        <v>7.4</v>
      </c>
      <c r="H915">
        <v>34.1</v>
      </c>
      <c r="I915">
        <v>34.4</v>
      </c>
    </row>
    <row r="916" spans="1:9" ht="24" customHeight="1">
      <c r="A916" s="6" t="s">
        <v>2350</v>
      </c>
      <c r="B916">
        <v>4764</v>
      </c>
      <c r="C916">
        <v>652</v>
      </c>
      <c r="D916">
        <v>499046</v>
      </c>
      <c r="E916">
        <v>414191</v>
      </c>
      <c r="F916">
        <v>25.4</v>
      </c>
      <c r="G916">
        <v>11.7</v>
      </c>
      <c r="H916">
        <v>6.7</v>
      </c>
      <c r="I916">
        <v>6.5</v>
      </c>
    </row>
    <row r="917" spans="1:9" ht="24" customHeight="1">
      <c r="A917" s="6" t="s">
        <v>2351</v>
      </c>
      <c r="B917">
        <v>63903</v>
      </c>
      <c r="C917">
        <v>14314</v>
      </c>
      <c r="D917">
        <v>383214</v>
      </c>
      <c r="E917">
        <v>288309</v>
      </c>
      <c r="F917">
        <v>11.8</v>
      </c>
      <c r="G917">
        <v>5.4</v>
      </c>
      <c r="H917">
        <v>13.7</v>
      </c>
      <c r="I917">
        <v>12.9</v>
      </c>
    </row>
    <row r="918" spans="1:9" ht="24" customHeight="1">
      <c r="A918" s="6" t="s">
        <v>2352</v>
      </c>
      <c r="B918">
        <v>3990</v>
      </c>
      <c r="C918">
        <v>916</v>
      </c>
      <c r="D918">
        <v>290986</v>
      </c>
      <c r="E918">
        <v>226087</v>
      </c>
      <c r="F918">
        <v>13</v>
      </c>
      <c r="G918">
        <v>3.2</v>
      </c>
      <c r="H918">
        <v>0</v>
      </c>
      <c r="I918">
        <v>0</v>
      </c>
    </row>
    <row r="919" spans="1:9" ht="24" customHeight="1">
      <c r="A919" s="6" t="s">
        <v>2353</v>
      </c>
      <c r="B919">
        <v>7199</v>
      </c>
      <c r="C919">
        <v>1575</v>
      </c>
      <c r="D919">
        <v>309228</v>
      </c>
      <c r="E919">
        <v>247516</v>
      </c>
      <c r="F919">
        <v>12.3</v>
      </c>
      <c r="G919">
        <v>5.9</v>
      </c>
      <c r="H919">
        <v>1.5</v>
      </c>
      <c r="I919">
        <v>1.4</v>
      </c>
    </row>
    <row r="920" spans="1:9" ht="24" customHeight="1">
      <c r="A920" s="6" t="s">
        <v>2354</v>
      </c>
      <c r="B920">
        <v>9197</v>
      </c>
      <c r="C920">
        <v>1998</v>
      </c>
      <c r="D920">
        <v>400847</v>
      </c>
      <c r="E920">
        <v>286126</v>
      </c>
      <c r="F920">
        <v>13.3</v>
      </c>
      <c r="G920">
        <v>6.1</v>
      </c>
      <c r="H920">
        <v>11.6</v>
      </c>
      <c r="I920">
        <v>11.3</v>
      </c>
    </row>
    <row r="921" spans="1:9" ht="24" customHeight="1">
      <c r="A921" s="6" t="s">
        <v>2355</v>
      </c>
      <c r="B921">
        <v>7104</v>
      </c>
      <c r="C921">
        <v>2673</v>
      </c>
      <c r="D921">
        <v>435618</v>
      </c>
      <c r="E921">
        <v>324387</v>
      </c>
      <c r="F921">
        <v>11.6</v>
      </c>
      <c r="G921">
        <v>7</v>
      </c>
      <c r="H921">
        <v>17</v>
      </c>
      <c r="I921">
        <v>16.600000000000001</v>
      </c>
    </row>
    <row r="922" spans="1:9" ht="24" customHeight="1">
      <c r="A922" s="6" t="s">
        <v>2356</v>
      </c>
      <c r="B922">
        <v>5779</v>
      </c>
      <c r="C922">
        <v>1466</v>
      </c>
      <c r="D922">
        <v>450202</v>
      </c>
      <c r="E922">
        <v>312410</v>
      </c>
      <c r="F922">
        <v>10.4</v>
      </c>
      <c r="G922">
        <v>2.5</v>
      </c>
      <c r="H922">
        <v>21.8</v>
      </c>
      <c r="I922">
        <v>21.3</v>
      </c>
    </row>
    <row r="923" spans="1:9" ht="24" customHeight="1">
      <c r="A923" s="6" t="s">
        <v>2357</v>
      </c>
      <c r="B923">
        <v>4439</v>
      </c>
      <c r="C923">
        <v>835</v>
      </c>
      <c r="D923">
        <v>440641</v>
      </c>
      <c r="E923">
        <v>301293</v>
      </c>
      <c r="F923">
        <v>11</v>
      </c>
      <c r="G923">
        <v>2.2999999999999998</v>
      </c>
      <c r="H923">
        <v>27.2</v>
      </c>
      <c r="I923">
        <v>26.5</v>
      </c>
    </row>
    <row r="924" spans="1:9" ht="24" customHeight="1">
      <c r="A924" s="6" t="s">
        <v>2358</v>
      </c>
      <c r="B924">
        <v>6347</v>
      </c>
      <c r="C924">
        <v>1117</v>
      </c>
      <c r="D924">
        <v>337357</v>
      </c>
      <c r="E924">
        <v>268761</v>
      </c>
      <c r="F924">
        <v>16.5</v>
      </c>
      <c r="G924">
        <v>9.1999999999999993</v>
      </c>
      <c r="H924">
        <v>3.5</v>
      </c>
      <c r="I924">
        <v>3.5</v>
      </c>
    </row>
    <row r="925" spans="1:9" ht="24" customHeight="1">
      <c r="A925" s="6" t="s">
        <v>2359</v>
      </c>
      <c r="B925">
        <v>7934</v>
      </c>
      <c r="C925">
        <v>1322</v>
      </c>
      <c r="D925">
        <v>413370</v>
      </c>
      <c r="E925">
        <v>284671</v>
      </c>
      <c r="F925">
        <v>7.1</v>
      </c>
      <c r="G925">
        <v>5.4</v>
      </c>
      <c r="H925">
        <v>35.700000000000003</v>
      </c>
      <c r="I925">
        <v>34.700000000000003</v>
      </c>
    </row>
    <row r="926" spans="1:9" ht="24" customHeight="1">
      <c r="A926" s="6" t="s">
        <v>2360</v>
      </c>
      <c r="B926">
        <v>12202</v>
      </c>
      <c r="C926">
        <v>2627</v>
      </c>
      <c r="D926">
        <v>358919</v>
      </c>
      <c r="E926">
        <v>283696</v>
      </c>
      <c r="F926">
        <v>11.4</v>
      </c>
      <c r="G926">
        <v>4.3</v>
      </c>
      <c r="H926">
        <v>7.1</v>
      </c>
      <c r="I926">
        <v>6.7</v>
      </c>
    </row>
    <row r="927" spans="1:9" ht="24" customHeight="1">
      <c r="A927" s="6" t="s">
        <v>2361</v>
      </c>
      <c r="B927">
        <v>29217</v>
      </c>
      <c r="C927">
        <v>6105</v>
      </c>
      <c r="D927">
        <v>435799</v>
      </c>
      <c r="E927">
        <v>338985</v>
      </c>
      <c r="F927">
        <v>11.3</v>
      </c>
      <c r="G927">
        <v>7.5</v>
      </c>
      <c r="H927">
        <v>14</v>
      </c>
      <c r="I927">
        <v>12.7</v>
      </c>
    </row>
    <row r="928" spans="1:9" ht="24" customHeight="1">
      <c r="A928" s="6" t="s">
        <v>2362</v>
      </c>
      <c r="B928">
        <v>1362</v>
      </c>
      <c r="C928">
        <v>260</v>
      </c>
      <c r="D928">
        <v>253923</v>
      </c>
      <c r="E928">
        <v>234252</v>
      </c>
      <c r="F928">
        <v>4.8</v>
      </c>
      <c r="G928">
        <v>4.7</v>
      </c>
      <c r="H928">
        <v>0</v>
      </c>
      <c r="I928">
        <v>0</v>
      </c>
    </row>
    <row r="929" spans="1:9" ht="24" customHeight="1">
      <c r="A929" s="6" t="s">
        <v>2363</v>
      </c>
      <c r="B929">
        <v>2462</v>
      </c>
      <c r="C929">
        <v>581</v>
      </c>
      <c r="D929">
        <v>327680</v>
      </c>
      <c r="E929">
        <v>281470</v>
      </c>
      <c r="F929">
        <v>8.1</v>
      </c>
      <c r="G929">
        <v>7.4</v>
      </c>
      <c r="H929">
        <v>1.5</v>
      </c>
      <c r="I929">
        <v>1.6</v>
      </c>
    </row>
    <row r="930" spans="1:9" ht="24" customHeight="1">
      <c r="A930" s="6" t="s">
        <v>2364</v>
      </c>
      <c r="B930">
        <v>5084</v>
      </c>
      <c r="C930">
        <v>642</v>
      </c>
      <c r="D930">
        <v>412979</v>
      </c>
      <c r="E930">
        <v>366694</v>
      </c>
      <c r="F930">
        <v>9</v>
      </c>
      <c r="G930">
        <v>3.6</v>
      </c>
      <c r="H930">
        <v>12.4</v>
      </c>
      <c r="I930">
        <v>12.9</v>
      </c>
    </row>
    <row r="931" spans="1:9" ht="24" customHeight="1">
      <c r="A931" s="6" t="s">
        <v>2365</v>
      </c>
      <c r="B931">
        <v>3733</v>
      </c>
      <c r="C931">
        <v>581</v>
      </c>
      <c r="D931">
        <v>463815</v>
      </c>
      <c r="E931">
        <v>386005</v>
      </c>
      <c r="F931">
        <v>17</v>
      </c>
      <c r="G931">
        <v>3.5</v>
      </c>
      <c r="H931">
        <v>16.600000000000001</v>
      </c>
      <c r="I931">
        <v>16.3</v>
      </c>
    </row>
    <row r="932" spans="1:9" ht="24" customHeight="1">
      <c r="A932" s="6" t="s">
        <v>2366</v>
      </c>
      <c r="B932">
        <v>3917</v>
      </c>
      <c r="C932">
        <v>201</v>
      </c>
      <c r="D932">
        <v>518692</v>
      </c>
      <c r="E932">
        <v>338667</v>
      </c>
      <c r="F932">
        <v>10.5</v>
      </c>
      <c r="G932">
        <v>6.3</v>
      </c>
      <c r="H932">
        <v>21.7</v>
      </c>
      <c r="I932">
        <v>23.1</v>
      </c>
    </row>
    <row r="933" spans="1:9" ht="24" customHeight="1">
      <c r="A933" s="6" t="s">
        <v>2367</v>
      </c>
      <c r="B933">
        <v>2237</v>
      </c>
      <c r="C933">
        <v>627</v>
      </c>
      <c r="D933">
        <v>562836</v>
      </c>
      <c r="E933">
        <v>426994</v>
      </c>
      <c r="F933">
        <v>10.7</v>
      </c>
      <c r="G933">
        <v>20</v>
      </c>
      <c r="H933">
        <v>27</v>
      </c>
      <c r="I933">
        <v>28</v>
      </c>
    </row>
    <row r="934" spans="1:9" ht="24" customHeight="1">
      <c r="A934" s="6" t="s">
        <v>2368</v>
      </c>
      <c r="B934">
        <v>3011</v>
      </c>
      <c r="C934">
        <v>868</v>
      </c>
      <c r="D934">
        <v>352714</v>
      </c>
      <c r="E934">
        <v>311833</v>
      </c>
      <c r="F934">
        <v>11.4</v>
      </c>
      <c r="G934">
        <v>15.1</v>
      </c>
      <c r="H934">
        <v>3.6</v>
      </c>
      <c r="I934">
        <v>3.8</v>
      </c>
    </row>
    <row r="935" spans="1:9" ht="24" customHeight="1">
      <c r="A935" s="6" t="s">
        <v>2369</v>
      </c>
      <c r="B935">
        <v>2670</v>
      </c>
      <c r="C935">
        <v>685</v>
      </c>
      <c r="D935">
        <v>560482</v>
      </c>
      <c r="E935">
        <v>442821</v>
      </c>
      <c r="F935">
        <v>8.3000000000000007</v>
      </c>
      <c r="G935">
        <v>7.2</v>
      </c>
      <c r="H935">
        <v>34.1</v>
      </c>
      <c r="I935">
        <v>34.5</v>
      </c>
    </row>
    <row r="936" spans="1:9" ht="24" customHeight="1">
      <c r="A936" s="6" t="s">
        <v>2370</v>
      </c>
      <c r="B936">
        <v>4822</v>
      </c>
      <c r="C936">
        <v>1698</v>
      </c>
      <c r="D936">
        <v>400591</v>
      </c>
      <c r="E936">
        <v>284771</v>
      </c>
      <c r="F936">
        <v>15.4</v>
      </c>
      <c r="G936">
        <v>2.5</v>
      </c>
      <c r="H936">
        <v>6.9</v>
      </c>
      <c r="I936">
        <v>6</v>
      </c>
    </row>
    <row r="937" spans="1:9" ht="24" customHeight="1">
      <c r="A937" s="6" t="s">
        <v>2371</v>
      </c>
      <c r="B937">
        <v>16992</v>
      </c>
      <c r="C937">
        <v>2515</v>
      </c>
      <c r="D937">
        <v>493312</v>
      </c>
      <c r="E937">
        <v>397064</v>
      </c>
      <c r="F937">
        <v>13.8</v>
      </c>
      <c r="G937">
        <v>10.6</v>
      </c>
      <c r="H937">
        <v>17.7</v>
      </c>
      <c r="I937">
        <v>15.9</v>
      </c>
    </row>
    <row r="938" spans="1:9" ht="24" customHeight="1">
      <c r="A938" s="6" t="s">
        <v>2372</v>
      </c>
      <c r="B938">
        <v>807</v>
      </c>
      <c r="C938">
        <v>123</v>
      </c>
      <c r="D938">
        <v>248094</v>
      </c>
      <c r="E938">
        <v>220772</v>
      </c>
      <c r="F938">
        <v>13.4</v>
      </c>
      <c r="G938">
        <v>6.3</v>
      </c>
      <c r="H938">
        <v>0</v>
      </c>
      <c r="I938">
        <v>0</v>
      </c>
    </row>
    <row r="939" spans="1:9" ht="24" customHeight="1">
      <c r="A939" s="6" t="s">
        <v>2373</v>
      </c>
      <c r="B939">
        <v>1787</v>
      </c>
      <c r="C939">
        <v>280</v>
      </c>
      <c r="D939">
        <v>342646</v>
      </c>
      <c r="E939">
        <v>310305</v>
      </c>
      <c r="F939">
        <v>13.7</v>
      </c>
      <c r="G939">
        <v>6.9</v>
      </c>
      <c r="H939">
        <v>1.3</v>
      </c>
      <c r="I939">
        <v>1.6</v>
      </c>
    </row>
    <row r="940" spans="1:9" ht="24" customHeight="1">
      <c r="A940" s="6" t="s">
        <v>2374</v>
      </c>
      <c r="B940">
        <v>1715</v>
      </c>
      <c r="C940">
        <v>355</v>
      </c>
      <c r="D940">
        <v>537717</v>
      </c>
      <c r="E940">
        <v>363933</v>
      </c>
      <c r="F940">
        <v>15.8</v>
      </c>
      <c r="G940">
        <v>6.7</v>
      </c>
      <c r="H940">
        <v>12</v>
      </c>
      <c r="I940">
        <v>11.8</v>
      </c>
    </row>
    <row r="941" spans="1:9" ht="24" customHeight="1">
      <c r="A941" s="6" t="s">
        <v>2375</v>
      </c>
      <c r="B941">
        <v>1899</v>
      </c>
      <c r="C941">
        <v>277</v>
      </c>
      <c r="D941">
        <v>548004</v>
      </c>
      <c r="E941">
        <v>491746</v>
      </c>
      <c r="F941">
        <v>14.8</v>
      </c>
      <c r="G941">
        <v>5.3</v>
      </c>
      <c r="H941">
        <v>16.899999999999999</v>
      </c>
      <c r="I941">
        <v>17.3</v>
      </c>
    </row>
    <row r="942" spans="1:9" ht="24" customHeight="1">
      <c r="A942" s="6" t="s">
        <v>2376</v>
      </c>
      <c r="B942">
        <v>1317</v>
      </c>
      <c r="C942">
        <v>341</v>
      </c>
      <c r="D942">
        <v>574876</v>
      </c>
      <c r="E942">
        <v>477991</v>
      </c>
      <c r="F942">
        <v>11.4</v>
      </c>
      <c r="G942">
        <v>13.5</v>
      </c>
      <c r="H942">
        <v>22</v>
      </c>
      <c r="I942">
        <v>22.6</v>
      </c>
    </row>
    <row r="943" spans="1:9" ht="24" customHeight="1">
      <c r="A943" s="6" t="s">
        <v>2377</v>
      </c>
      <c r="B943">
        <v>1891</v>
      </c>
      <c r="C943">
        <v>293</v>
      </c>
      <c r="D943">
        <v>558272</v>
      </c>
      <c r="E943">
        <v>407542</v>
      </c>
      <c r="F943">
        <v>15</v>
      </c>
      <c r="G943">
        <v>9.5</v>
      </c>
      <c r="H943">
        <v>26.9</v>
      </c>
      <c r="I943">
        <v>26.1</v>
      </c>
    </row>
    <row r="944" spans="1:9" ht="24" customHeight="1">
      <c r="A944" s="6" t="s">
        <v>2378</v>
      </c>
      <c r="B944">
        <v>1481</v>
      </c>
      <c r="C944">
        <v>222</v>
      </c>
      <c r="D944">
        <v>377555</v>
      </c>
      <c r="E944">
        <v>379266</v>
      </c>
      <c r="F944">
        <v>16.7</v>
      </c>
      <c r="G944">
        <v>14.4</v>
      </c>
      <c r="H944">
        <v>3.4</v>
      </c>
      <c r="I944">
        <v>3.6</v>
      </c>
    </row>
    <row r="945" spans="1:9" ht="24" customHeight="1">
      <c r="A945" s="6" t="s">
        <v>2379</v>
      </c>
      <c r="B945">
        <v>4044</v>
      </c>
      <c r="C945">
        <v>380</v>
      </c>
      <c r="D945">
        <v>577000</v>
      </c>
      <c r="E945">
        <v>423706</v>
      </c>
      <c r="F945">
        <v>9.8000000000000007</v>
      </c>
      <c r="G945">
        <v>16.3</v>
      </c>
      <c r="H945">
        <v>36.4</v>
      </c>
      <c r="I945">
        <v>35.1</v>
      </c>
    </row>
    <row r="946" spans="1:9" ht="24" customHeight="1">
      <c r="A946" s="6" t="s">
        <v>2380</v>
      </c>
      <c r="B946">
        <v>2076</v>
      </c>
      <c r="C946">
        <v>343</v>
      </c>
      <c r="D946">
        <v>442050</v>
      </c>
      <c r="E946">
        <v>360774</v>
      </c>
      <c r="F946">
        <v>17.899999999999999</v>
      </c>
      <c r="G946">
        <v>9.5</v>
      </c>
      <c r="H946">
        <v>6.5</v>
      </c>
      <c r="I946">
        <v>6.5</v>
      </c>
    </row>
    <row r="947" spans="1:9" ht="24" customHeight="1">
      <c r="A947" s="6" t="s">
        <v>475</v>
      </c>
      <c r="B947">
        <v>164885</v>
      </c>
      <c r="C947">
        <v>18224</v>
      </c>
      <c r="D947">
        <v>536493</v>
      </c>
      <c r="E947">
        <v>388829</v>
      </c>
      <c r="F947">
        <v>21.4</v>
      </c>
      <c r="G947">
        <v>11.2</v>
      </c>
      <c r="H947">
        <v>15.2</v>
      </c>
      <c r="I947">
        <v>13</v>
      </c>
    </row>
    <row r="948" spans="1:9" ht="24" customHeight="1">
      <c r="A948" s="6" t="s">
        <v>476</v>
      </c>
      <c r="B948">
        <v>61419</v>
      </c>
      <c r="C948">
        <v>5795</v>
      </c>
      <c r="D948">
        <v>654015</v>
      </c>
      <c r="E948">
        <v>496855</v>
      </c>
      <c r="F948">
        <v>21.8</v>
      </c>
      <c r="G948">
        <v>12.4</v>
      </c>
      <c r="H948">
        <v>17</v>
      </c>
      <c r="I948">
        <v>16.399999999999999</v>
      </c>
    </row>
    <row r="949" spans="1:9" ht="24" customHeight="1">
      <c r="A949" s="6" t="s">
        <v>477</v>
      </c>
      <c r="B949">
        <v>2151</v>
      </c>
      <c r="C949">
        <v>444</v>
      </c>
      <c r="D949">
        <v>242081</v>
      </c>
      <c r="E949">
        <v>230972</v>
      </c>
      <c r="F949">
        <v>6.1</v>
      </c>
      <c r="G949">
        <v>2.2999999999999998</v>
      </c>
      <c r="H949">
        <v>0</v>
      </c>
      <c r="I949">
        <v>0</v>
      </c>
    </row>
    <row r="950" spans="1:9" ht="24" customHeight="1">
      <c r="A950" s="6" t="s">
        <v>2381</v>
      </c>
      <c r="B950">
        <v>3700</v>
      </c>
      <c r="C950">
        <v>185</v>
      </c>
      <c r="D950">
        <v>371656</v>
      </c>
      <c r="E950">
        <v>381893</v>
      </c>
      <c r="F950">
        <v>26.7</v>
      </c>
      <c r="G950">
        <v>23.9</v>
      </c>
      <c r="H950">
        <v>1.5</v>
      </c>
      <c r="I950">
        <v>1.7</v>
      </c>
    </row>
    <row r="951" spans="1:9" ht="24" customHeight="1">
      <c r="A951" s="6" t="s">
        <v>2382</v>
      </c>
      <c r="B951">
        <v>8816</v>
      </c>
      <c r="C951">
        <v>719</v>
      </c>
      <c r="D951">
        <v>619880</v>
      </c>
      <c r="E951">
        <v>460924</v>
      </c>
      <c r="F951">
        <v>25</v>
      </c>
      <c r="G951">
        <v>11</v>
      </c>
      <c r="H951">
        <v>12.4</v>
      </c>
      <c r="I951">
        <v>12</v>
      </c>
    </row>
    <row r="952" spans="1:9" ht="24" customHeight="1">
      <c r="A952" s="6" t="s">
        <v>2383</v>
      </c>
      <c r="B952">
        <v>9095</v>
      </c>
      <c r="C952">
        <v>337</v>
      </c>
      <c r="D952">
        <v>714503</v>
      </c>
      <c r="E952">
        <v>572515</v>
      </c>
      <c r="F952">
        <v>21.6</v>
      </c>
      <c r="G952">
        <v>12.3</v>
      </c>
      <c r="H952">
        <v>16.5</v>
      </c>
      <c r="I952">
        <v>16.600000000000001</v>
      </c>
    </row>
    <row r="953" spans="1:9" ht="24" customHeight="1">
      <c r="A953" s="6" t="s">
        <v>2384</v>
      </c>
      <c r="B953">
        <v>3616</v>
      </c>
      <c r="C953">
        <v>115</v>
      </c>
      <c r="D953">
        <v>768210</v>
      </c>
      <c r="E953">
        <v>828777</v>
      </c>
      <c r="F953">
        <v>22.4</v>
      </c>
      <c r="G953">
        <v>2.2999999999999998</v>
      </c>
      <c r="H953">
        <v>22.2</v>
      </c>
      <c r="I953">
        <v>23.2</v>
      </c>
    </row>
    <row r="954" spans="1:9" ht="24" customHeight="1">
      <c r="A954" s="6" t="s">
        <v>2385</v>
      </c>
      <c r="B954">
        <v>4384</v>
      </c>
      <c r="C954">
        <v>393</v>
      </c>
      <c r="D954">
        <v>842344</v>
      </c>
      <c r="E954">
        <v>563307</v>
      </c>
      <c r="F954">
        <v>18.3</v>
      </c>
      <c r="G954">
        <v>9.1</v>
      </c>
      <c r="H954">
        <v>27</v>
      </c>
      <c r="I954">
        <v>26.6</v>
      </c>
    </row>
    <row r="955" spans="1:9" ht="24" customHeight="1">
      <c r="A955" s="6" t="s">
        <v>2386</v>
      </c>
      <c r="B955">
        <v>6051</v>
      </c>
      <c r="C955">
        <v>868</v>
      </c>
      <c r="D955">
        <v>495276</v>
      </c>
      <c r="E955">
        <v>435415</v>
      </c>
      <c r="F955">
        <v>28</v>
      </c>
      <c r="G955">
        <v>17.600000000000001</v>
      </c>
      <c r="H955">
        <v>3.4</v>
      </c>
      <c r="I955">
        <v>3.4</v>
      </c>
    </row>
    <row r="956" spans="1:9" ht="24" customHeight="1">
      <c r="A956" s="6" t="s">
        <v>478</v>
      </c>
      <c r="B956">
        <v>14362</v>
      </c>
      <c r="C956">
        <v>1648</v>
      </c>
      <c r="D956">
        <v>851724</v>
      </c>
      <c r="E956">
        <v>610599</v>
      </c>
      <c r="F956">
        <v>16</v>
      </c>
      <c r="G956">
        <v>9.8000000000000007</v>
      </c>
      <c r="H956">
        <v>34.799999999999997</v>
      </c>
      <c r="I956">
        <v>34.799999999999997</v>
      </c>
    </row>
    <row r="957" spans="1:9" ht="24" customHeight="1">
      <c r="A957" s="6" t="s">
        <v>2387</v>
      </c>
      <c r="B957">
        <v>9314</v>
      </c>
      <c r="C957">
        <v>1159</v>
      </c>
      <c r="D957">
        <v>498686</v>
      </c>
      <c r="E957">
        <v>439221</v>
      </c>
      <c r="F957">
        <v>27.2</v>
      </c>
      <c r="G957">
        <v>16.600000000000001</v>
      </c>
      <c r="H957">
        <v>6.5</v>
      </c>
      <c r="I957">
        <v>6.7</v>
      </c>
    </row>
    <row r="958" spans="1:9" ht="24" customHeight="1">
      <c r="A958" s="6" t="s">
        <v>2388</v>
      </c>
      <c r="B958">
        <v>29587</v>
      </c>
      <c r="C958">
        <v>4615</v>
      </c>
      <c r="D958">
        <v>408413</v>
      </c>
      <c r="E958">
        <v>305271</v>
      </c>
      <c r="F958">
        <v>18.399999999999999</v>
      </c>
      <c r="G958">
        <v>9.8000000000000007</v>
      </c>
      <c r="H958">
        <v>12.3</v>
      </c>
      <c r="I958">
        <v>11</v>
      </c>
    </row>
    <row r="959" spans="1:9" ht="24" customHeight="1">
      <c r="A959" s="6" t="s">
        <v>2389</v>
      </c>
      <c r="B959">
        <v>2278</v>
      </c>
      <c r="C959">
        <v>439</v>
      </c>
      <c r="D959">
        <v>275803</v>
      </c>
      <c r="E959">
        <v>209428</v>
      </c>
      <c r="F959">
        <v>15.4</v>
      </c>
      <c r="G959">
        <v>5.3</v>
      </c>
      <c r="H959">
        <v>0</v>
      </c>
      <c r="I959">
        <v>0</v>
      </c>
    </row>
    <row r="960" spans="1:9" ht="24" customHeight="1">
      <c r="A960" s="6" t="s">
        <v>2390</v>
      </c>
      <c r="B960">
        <v>3446</v>
      </c>
      <c r="C960">
        <v>695</v>
      </c>
      <c r="D960">
        <v>333680</v>
      </c>
      <c r="E960">
        <v>273153</v>
      </c>
      <c r="F960">
        <v>18.2</v>
      </c>
      <c r="G960">
        <v>11.5</v>
      </c>
      <c r="H960">
        <v>1.5</v>
      </c>
      <c r="I960">
        <v>1.4</v>
      </c>
    </row>
    <row r="961" spans="1:9" ht="24" customHeight="1">
      <c r="A961" s="6" t="s">
        <v>2391</v>
      </c>
      <c r="B961">
        <v>3025</v>
      </c>
      <c r="C961">
        <v>653</v>
      </c>
      <c r="D961">
        <v>423539</v>
      </c>
      <c r="E961">
        <v>322770</v>
      </c>
      <c r="F961">
        <v>18.5</v>
      </c>
      <c r="G961">
        <v>11.7</v>
      </c>
      <c r="H961">
        <v>11.9</v>
      </c>
      <c r="I961">
        <v>11.9</v>
      </c>
    </row>
    <row r="962" spans="1:9" ht="24" customHeight="1">
      <c r="A962" s="6" t="s">
        <v>2392</v>
      </c>
      <c r="B962">
        <v>4533</v>
      </c>
      <c r="C962">
        <v>522</v>
      </c>
      <c r="D962">
        <v>465958</v>
      </c>
      <c r="E962">
        <v>324975</v>
      </c>
      <c r="F962">
        <v>23.5</v>
      </c>
      <c r="G962">
        <v>8</v>
      </c>
      <c r="H962">
        <v>16.8</v>
      </c>
      <c r="I962">
        <v>17.2</v>
      </c>
    </row>
    <row r="963" spans="1:9" ht="24" customHeight="1">
      <c r="A963" s="6" t="s">
        <v>2393</v>
      </c>
      <c r="B963">
        <v>3088</v>
      </c>
      <c r="C963">
        <v>373</v>
      </c>
      <c r="D963">
        <v>475470</v>
      </c>
      <c r="E963">
        <v>364325</v>
      </c>
      <c r="F963">
        <v>15.6</v>
      </c>
      <c r="G963">
        <v>14.9</v>
      </c>
      <c r="H963">
        <v>22</v>
      </c>
      <c r="I963">
        <v>22.1</v>
      </c>
    </row>
    <row r="964" spans="1:9" ht="24" customHeight="1">
      <c r="A964" s="6" t="s">
        <v>2394</v>
      </c>
      <c r="B964">
        <v>1610</v>
      </c>
      <c r="C964">
        <v>221</v>
      </c>
      <c r="D964">
        <v>492270</v>
      </c>
      <c r="E964">
        <v>362322</v>
      </c>
      <c r="F964">
        <v>16.100000000000001</v>
      </c>
      <c r="G964">
        <v>15.5</v>
      </c>
      <c r="H964">
        <v>26.7</v>
      </c>
      <c r="I964">
        <v>27</v>
      </c>
    </row>
    <row r="965" spans="1:9" ht="24" customHeight="1">
      <c r="A965" s="6" t="s">
        <v>2395</v>
      </c>
      <c r="B965">
        <v>2808</v>
      </c>
      <c r="C965">
        <v>519</v>
      </c>
      <c r="D965">
        <v>358179</v>
      </c>
      <c r="E965">
        <v>278893</v>
      </c>
      <c r="F965">
        <v>17.399999999999999</v>
      </c>
      <c r="G965">
        <v>9.3000000000000007</v>
      </c>
      <c r="H965">
        <v>3.5</v>
      </c>
      <c r="I965">
        <v>3.6</v>
      </c>
    </row>
    <row r="966" spans="1:9" ht="24" customHeight="1">
      <c r="A966" s="6" t="s">
        <v>2396</v>
      </c>
      <c r="B966">
        <v>2306</v>
      </c>
      <c r="C966">
        <v>325</v>
      </c>
      <c r="D966">
        <v>482515</v>
      </c>
      <c r="E966">
        <v>331736</v>
      </c>
      <c r="F966">
        <v>11.8</v>
      </c>
      <c r="G966">
        <v>8.8000000000000007</v>
      </c>
      <c r="H966">
        <v>35</v>
      </c>
      <c r="I966">
        <v>37.200000000000003</v>
      </c>
    </row>
    <row r="967" spans="1:9" ht="24" customHeight="1">
      <c r="A967" s="6" t="s">
        <v>2397</v>
      </c>
      <c r="B967">
        <v>6535</v>
      </c>
      <c r="C967">
        <v>1014</v>
      </c>
      <c r="D967">
        <v>389374</v>
      </c>
      <c r="E967">
        <v>305088</v>
      </c>
      <c r="F967">
        <v>20.399999999999999</v>
      </c>
      <c r="G967">
        <v>6.5</v>
      </c>
      <c r="H967">
        <v>6.8</v>
      </c>
      <c r="I967">
        <v>6.9</v>
      </c>
    </row>
    <row r="968" spans="1:9" ht="24" customHeight="1">
      <c r="A968" s="6" t="s">
        <v>2398</v>
      </c>
      <c r="B968">
        <v>37227</v>
      </c>
      <c r="C968">
        <v>5147</v>
      </c>
      <c r="D968">
        <v>500823</v>
      </c>
      <c r="E968">
        <v>352497</v>
      </c>
      <c r="F968">
        <v>21</v>
      </c>
      <c r="G968">
        <v>9.6</v>
      </c>
      <c r="H968">
        <v>14</v>
      </c>
      <c r="I968">
        <v>11.1</v>
      </c>
    </row>
    <row r="969" spans="1:9" ht="24" customHeight="1">
      <c r="A969" s="6" t="s">
        <v>2399</v>
      </c>
      <c r="B969">
        <v>1573</v>
      </c>
      <c r="C969">
        <v>298</v>
      </c>
      <c r="D969">
        <v>262089</v>
      </c>
      <c r="E969">
        <v>194618</v>
      </c>
      <c r="F969">
        <v>18.2</v>
      </c>
      <c r="G969">
        <v>2</v>
      </c>
      <c r="H969">
        <v>0</v>
      </c>
      <c r="I969">
        <v>0</v>
      </c>
    </row>
    <row r="970" spans="1:9" ht="24" customHeight="1">
      <c r="A970" s="6" t="s">
        <v>2400</v>
      </c>
      <c r="B970">
        <v>3122</v>
      </c>
      <c r="C970">
        <v>683</v>
      </c>
      <c r="D970">
        <v>349142</v>
      </c>
      <c r="E970">
        <v>281252</v>
      </c>
      <c r="F970">
        <v>20.8</v>
      </c>
      <c r="G970">
        <v>16</v>
      </c>
      <c r="H970">
        <v>1.4</v>
      </c>
      <c r="I970">
        <v>1.3</v>
      </c>
    </row>
    <row r="971" spans="1:9" ht="24" customHeight="1">
      <c r="A971" s="6" t="s">
        <v>2401</v>
      </c>
      <c r="B971">
        <v>4609</v>
      </c>
      <c r="C971">
        <v>820</v>
      </c>
      <c r="D971">
        <v>506070</v>
      </c>
      <c r="E971">
        <v>397074</v>
      </c>
      <c r="F971">
        <v>27.6</v>
      </c>
      <c r="G971">
        <v>13.3</v>
      </c>
      <c r="H971">
        <v>12.5</v>
      </c>
      <c r="I971">
        <v>12.4</v>
      </c>
    </row>
    <row r="972" spans="1:9" ht="24" customHeight="1">
      <c r="A972" s="6" t="s">
        <v>2402</v>
      </c>
      <c r="B972">
        <v>5939</v>
      </c>
      <c r="C972">
        <v>725</v>
      </c>
      <c r="D972">
        <v>567863</v>
      </c>
      <c r="E972">
        <v>428966</v>
      </c>
      <c r="F972">
        <v>20.5</v>
      </c>
      <c r="G972">
        <v>13</v>
      </c>
      <c r="H972">
        <v>16.600000000000001</v>
      </c>
      <c r="I972">
        <v>17.7</v>
      </c>
    </row>
    <row r="973" spans="1:9" ht="24" customHeight="1">
      <c r="A973" s="6" t="s">
        <v>2403</v>
      </c>
      <c r="B973">
        <v>3483</v>
      </c>
      <c r="C973">
        <v>186</v>
      </c>
      <c r="D973">
        <v>616436</v>
      </c>
      <c r="E973">
        <v>380258</v>
      </c>
      <c r="F973">
        <v>11.6</v>
      </c>
      <c r="G973">
        <v>4.4000000000000004</v>
      </c>
      <c r="H973">
        <v>22</v>
      </c>
      <c r="I973">
        <v>21.6</v>
      </c>
    </row>
    <row r="974" spans="1:9" ht="24" customHeight="1">
      <c r="A974" s="6" t="s">
        <v>2404</v>
      </c>
      <c r="B974">
        <v>3209</v>
      </c>
      <c r="C974">
        <v>191</v>
      </c>
      <c r="D974">
        <v>577702</v>
      </c>
      <c r="E974">
        <v>386966</v>
      </c>
      <c r="F974">
        <v>16.399999999999999</v>
      </c>
      <c r="G974">
        <v>6.2</v>
      </c>
      <c r="H974">
        <v>27.1</v>
      </c>
      <c r="I974">
        <v>26.7</v>
      </c>
    </row>
    <row r="975" spans="1:9" ht="24" customHeight="1">
      <c r="A975" s="6" t="s">
        <v>2405</v>
      </c>
      <c r="B975">
        <v>2667</v>
      </c>
      <c r="C975">
        <v>816</v>
      </c>
      <c r="D975">
        <v>443726</v>
      </c>
      <c r="E975">
        <v>280770</v>
      </c>
      <c r="F975">
        <v>27.2</v>
      </c>
      <c r="G975">
        <v>3.9</v>
      </c>
      <c r="H975">
        <v>3.7</v>
      </c>
      <c r="I975">
        <v>3.6</v>
      </c>
    </row>
    <row r="976" spans="1:9" ht="24" customHeight="1">
      <c r="A976" s="6" t="s">
        <v>2406</v>
      </c>
      <c r="B976">
        <v>3714</v>
      </c>
      <c r="C976">
        <v>481</v>
      </c>
      <c r="D976">
        <v>643645</v>
      </c>
      <c r="E976">
        <v>469291</v>
      </c>
      <c r="F976">
        <v>16.100000000000001</v>
      </c>
      <c r="G976">
        <v>5.5</v>
      </c>
      <c r="H976">
        <v>34.799999999999997</v>
      </c>
      <c r="I976">
        <v>34.200000000000003</v>
      </c>
    </row>
    <row r="977" spans="1:9" ht="24" customHeight="1">
      <c r="A977" s="6" t="s">
        <v>2407</v>
      </c>
      <c r="B977">
        <v>8935</v>
      </c>
      <c r="C977">
        <v>1041</v>
      </c>
      <c r="D977">
        <v>433320</v>
      </c>
      <c r="E977">
        <v>335753</v>
      </c>
      <c r="F977">
        <v>23.8</v>
      </c>
      <c r="G977">
        <v>9.5</v>
      </c>
      <c r="H977">
        <v>6.4</v>
      </c>
      <c r="I977">
        <v>6.1</v>
      </c>
    </row>
    <row r="978" spans="1:9" ht="24" customHeight="1">
      <c r="A978" s="6" t="s">
        <v>2408</v>
      </c>
      <c r="B978">
        <v>36651</v>
      </c>
      <c r="C978">
        <v>2667</v>
      </c>
      <c r="D978">
        <v>479175</v>
      </c>
      <c r="E978">
        <v>368814</v>
      </c>
      <c r="F978">
        <v>23.3</v>
      </c>
      <c r="G978">
        <v>14.2</v>
      </c>
      <c r="H978">
        <v>15.6</v>
      </c>
      <c r="I978">
        <v>12.7</v>
      </c>
    </row>
    <row r="979" spans="1:9" ht="24" customHeight="1">
      <c r="A979" s="6" t="s">
        <v>2409</v>
      </c>
      <c r="B979">
        <v>1151</v>
      </c>
      <c r="C979">
        <v>173</v>
      </c>
      <c r="D979">
        <v>261454</v>
      </c>
      <c r="E979">
        <v>236878</v>
      </c>
      <c r="F979">
        <v>14.3</v>
      </c>
      <c r="G979">
        <v>8</v>
      </c>
      <c r="H979">
        <v>0</v>
      </c>
      <c r="I979">
        <v>0</v>
      </c>
    </row>
    <row r="980" spans="1:9" ht="24" customHeight="1">
      <c r="A980" s="6" t="s">
        <v>2410</v>
      </c>
      <c r="B980">
        <v>2227</v>
      </c>
      <c r="C980">
        <v>217</v>
      </c>
      <c r="D980">
        <v>344419</v>
      </c>
      <c r="E980">
        <v>325441</v>
      </c>
      <c r="F980">
        <v>22.2</v>
      </c>
      <c r="G980">
        <v>14.6</v>
      </c>
      <c r="H980">
        <v>1.5</v>
      </c>
      <c r="I980">
        <v>1.5</v>
      </c>
    </row>
    <row r="981" spans="1:9" ht="24" customHeight="1">
      <c r="A981" s="6" t="s">
        <v>2411</v>
      </c>
      <c r="B981">
        <v>6030</v>
      </c>
      <c r="C981">
        <v>385</v>
      </c>
      <c r="D981">
        <v>451968</v>
      </c>
      <c r="E981">
        <v>311443</v>
      </c>
      <c r="F981">
        <v>27.7</v>
      </c>
      <c r="G981">
        <v>6.5</v>
      </c>
      <c r="H981">
        <v>12.1</v>
      </c>
      <c r="I981">
        <v>11.8</v>
      </c>
    </row>
    <row r="982" spans="1:9" ht="24" customHeight="1">
      <c r="A982" s="6" t="s">
        <v>2412</v>
      </c>
      <c r="B982">
        <v>7123</v>
      </c>
      <c r="C982">
        <v>444</v>
      </c>
      <c r="D982">
        <v>491254</v>
      </c>
      <c r="E982">
        <v>398929</v>
      </c>
      <c r="F982">
        <v>23.5</v>
      </c>
      <c r="G982">
        <v>14.4</v>
      </c>
      <c r="H982">
        <v>16.8</v>
      </c>
      <c r="I982">
        <v>16.7</v>
      </c>
    </row>
    <row r="983" spans="1:9" ht="24" customHeight="1">
      <c r="A983" s="6" t="s">
        <v>2413</v>
      </c>
      <c r="B983">
        <v>3197</v>
      </c>
      <c r="C983">
        <v>185</v>
      </c>
      <c r="D983">
        <v>539398</v>
      </c>
      <c r="E983">
        <v>427330</v>
      </c>
      <c r="F983">
        <v>19.5</v>
      </c>
      <c r="G983">
        <v>10.8</v>
      </c>
      <c r="H983">
        <v>21.7</v>
      </c>
      <c r="I983">
        <v>21.2</v>
      </c>
    </row>
    <row r="984" spans="1:9" ht="24" customHeight="1">
      <c r="A984" s="6" t="s">
        <v>2414</v>
      </c>
      <c r="B984">
        <v>3381</v>
      </c>
      <c r="C984">
        <v>92</v>
      </c>
      <c r="D984">
        <v>569611</v>
      </c>
      <c r="E984">
        <v>448176</v>
      </c>
      <c r="F984">
        <v>19.7</v>
      </c>
      <c r="G984">
        <v>15.7</v>
      </c>
      <c r="H984">
        <v>26.9</v>
      </c>
      <c r="I984">
        <v>27</v>
      </c>
    </row>
    <row r="985" spans="1:9" ht="24" customHeight="1">
      <c r="A985" s="6" t="s">
        <v>2415</v>
      </c>
      <c r="B985">
        <v>2964</v>
      </c>
      <c r="C985">
        <v>346</v>
      </c>
      <c r="D985">
        <v>408040</v>
      </c>
      <c r="E985">
        <v>352413</v>
      </c>
      <c r="F985">
        <v>23.2</v>
      </c>
      <c r="G985">
        <v>25.7</v>
      </c>
      <c r="H985">
        <v>3.6</v>
      </c>
      <c r="I985">
        <v>3.4</v>
      </c>
    </row>
    <row r="986" spans="1:9" ht="24" customHeight="1">
      <c r="A986" s="6" t="s">
        <v>2416</v>
      </c>
      <c r="B986">
        <v>5009</v>
      </c>
      <c r="C986">
        <v>330</v>
      </c>
      <c r="D986">
        <v>619622</v>
      </c>
      <c r="E986">
        <v>450554</v>
      </c>
      <c r="F986">
        <v>20.9</v>
      </c>
      <c r="G986">
        <v>11.8</v>
      </c>
      <c r="H986">
        <v>33.5</v>
      </c>
      <c r="I986">
        <v>34.9</v>
      </c>
    </row>
    <row r="987" spans="1:9" ht="24" customHeight="1">
      <c r="A987" s="6" t="s">
        <v>2417</v>
      </c>
      <c r="B987">
        <v>5617</v>
      </c>
      <c r="C987">
        <v>556</v>
      </c>
      <c r="D987">
        <v>414054</v>
      </c>
      <c r="E987">
        <v>361442</v>
      </c>
      <c r="F987">
        <v>27.2</v>
      </c>
      <c r="G987">
        <v>16.5</v>
      </c>
      <c r="H987">
        <v>6.9</v>
      </c>
      <c r="I987">
        <v>6.4</v>
      </c>
    </row>
    <row r="988" spans="1:9" ht="24" customHeight="1">
      <c r="A988" s="6" t="s">
        <v>479</v>
      </c>
      <c r="B988">
        <v>84755</v>
      </c>
      <c r="C988">
        <v>15115</v>
      </c>
      <c r="D988">
        <v>519700</v>
      </c>
      <c r="E988">
        <v>359161</v>
      </c>
      <c r="F988">
        <v>14.9</v>
      </c>
      <c r="G988">
        <v>7.9</v>
      </c>
      <c r="H988">
        <v>16.5</v>
      </c>
      <c r="I988">
        <v>12.8</v>
      </c>
    </row>
    <row r="989" spans="1:9" ht="24" customHeight="1">
      <c r="A989" s="6" t="s">
        <v>480</v>
      </c>
      <c r="B989">
        <v>29374</v>
      </c>
      <c r="C989">
        <v>3226</v>
      </c>
      <c r="D989">
        <v>604596</v>
      </c>
      <c r="E989">
        <v>458011</v>
      </c>
      <c r="F989">
        <v>16.8</v>
      </c>
      <c r="G989">
        <v>12</v>
      </c>
      <c r="H989">
        <v>17.8</v>
      </c>
      <c r="I989">
        <v>14.3</v>
      </c>
    </row>
    <row r="990" spans="1:9" ht="24" customHeight="1">
      <c r="A990" s="6" t="s">
        <v>481</v>
      </c>
      <c r="B990">
        <v>768</v>
      </c>
      <c r="C990">
        <v>139</v>
      </c>
      <c r="D990">
        <v>274034</v>
      </c>
      <c r="E990">
        <v>274260</v>
      </c>
      <c r="F990">
        <v>6.9</v>
      </c>
      <c r="G990">
        <v>2.6</v>
      </c>
      <c r="H990">
        <v>0</v>
      </c>
      <c r="I990">
        <v>0</v>
      </c>
    </row>
    <row r="991" spans="1:9" ht="24" customHeight="1">
      <c r="A991" s="6" t="s">
        <v>2418</v>
      </c>
      <c r="B991">
        <v>2548</v>
      </c>
      <c r="C991">
        <v>297</v>
      </c>
      <c r="D991">
        <v>439487</v>
      </c>
      <c r="E991">
        <v>336041</v>
      </c>
      <c r="F991">
        <v>17.100000000000001</v>
      </c>
      <c r="G991">
        <v>15.4</v>
      </c>
      <c r="H991">
        <v>1.5</v>
      </c>
      <c r="I991">
        <v>1.6</v>
      </c>
    </row>
    <row r="992" spans="1:9" ht="24" customHeight="1">
      <c r="A992" s="6" t="s">
        <v>2419</v>
      </c>
      <c r="B992">
        <v>3152</v>
      </c>
      <c r="C992">
        <v>427</v>
      </c>
      <c r="D992">
        <v>572689</v>
      </c>
      <c r="E992">
        <v>455863</v>
      </c>
      <c r="F992">
        <v>19.2</v>
      </c>
      <c r="G992">
        <v>13.8</v>
      </c>
      <c r="H992">
        <v>12.2</v>
      </c>
      <c r="I992">
        <v>11.9</v>
      </c>
    </row>
    <row r="993" spans="1:9" ht="24" customHeight="1">
      <c r="A993" s="6" t="s">
        <v>2420</v>
      </c>
      <c r="B993">
        <v>4626</v>
      </c>
      <c r="C993">
        <v>231</v>
      </c>
      <c r="D993">
        <v>617720</v>
      </c>
      <c r="E993">
        <v>589817</v>
      </c>
      <c r="F993">
        <v>15.9</v>
      </c>
      <c r="G993">
        <v>12.1</v>
      </c>
      <c r="H993">
        <v>16.7</v>
      </c>
      <c r="I993">
        <v>16.5</v>
      </c>
    </row>
    <row r="994" spans="1:9" ht="24" customHeight="1">
      <c r="A994" s="6" t="s">
        <v>2421</v>
      </c>
      <c r="B994">
        <v>2425</v>
      </c>
      <c r="C994">
        <v>246</v>
      </c>
      <c r="D994">
        <v>673190</v>
      </c>
      <c r="E994">
        <v>478705</v>
      </c>
      <c r="F994">
        <v>11.7</v>
      </c>
      <c r="G994">
        <v>5.8</v>
      </c>
      <c r="H994">
        <v>22.1</v>
      </c>
      <c r="I994">
        <v>23</v>
      </c>
    </row>
    <row r="995" spans="1:9" ht="24" customHeight="1">
      <c r="A995" s="6" t="s">
        <v>2422</v>
      </c>
      <c r="B995">
        <v>3058</v>
      </c>
      <c r="C995">
        <v>251</v>
      </c>
      <c r="D995">
        <v>722099</v>
      </c>
      <c r="E995">
        <v>539618</v>
      </c>
      <c r="F995">
        <v>17.899999999999999</v>
      </c>
      <c r="G995">
        <v>7.9</v>
      </c>
      <c r="H995">
        <v>26.8</v>
      </c>
      <c r="I995">
        <v>26.8</v>
      </c>
    </row>
    <row r="996" spans="1:9" ht="24" customHeight="1">
      <c r="A996" s="6" t="s">
        <v>2423</v>
      </c>
      <c r="B996">
        <v>2250</v>
      </c>
      <c r="C996">
        <v>545</v>
      </c>
      <c r="D996">
        <v>463715</v>
      </c>
      <c r="E996">
        <v>396347</v>
      </c>
      <c r="F996">
        <v>19.600000000000001</v>
      </c>
      <c r="G996">
        <v>14.7</v>
      </c>
      <c r="H996">
        <v>3.5</v>
      </c>
      <c r="I996">
        <v>3.6</v>
      </c>
    </row>
    <row r="997" spans="1:9" ht="24" customHeight="1">
      <c r="A997" s="6" t="s">
        <v>482</v>
      </c>
      <c r="B997">
        <v>6954</v>
      </c>
      <c r="C997">
        <v>591</v>
      </c>
      <c r="D997">
        <v>739391</v>
      </c>
      <c r="E997">
        <v>543884</v>
      </c>
      <c r="F997">
        <v>16.2</v>
      </c>
      <c r="G997">
        <v>8.6999999999999993</v>
      </c>
      <c r="H997">
        <v>34.1</v>
      </c>
      <c r="I997">
        <v>33.799999999999997</v>
      </c>
    </row>
    <row r="998" spans="1:9" ht="24" customHeight="1">
      <c r="A998" s="6" t="s">
        <v>2424</v>
      </c>
      <c r="B998">
        <v>3669</v>
      </c>
      <c r="C998">
        <v>640</v>
      </c>
      <c r="D998">
        <v>485609</v>
      </c>
      <c r="E998">
        <v>423481</v>
      </c>
      <c r="F998">
        <v>19.7</v>
      </c>
      <c r="G998">
        <v>13.4</v>
      </c>
      <c r="H998">
        <v>6.7</v>
      </c>
      <c r="I998">
        <v>6.5</v>
      </c>
    </row>
    <row r="999" spans="1:9" ht="24" customHeight="1">
      <c r="A999" s="6" t="s">
        <v>2425</v>
      </c>
      <c r="B999">
        <v>17176</v>
      </c>
      <c r="C999">
        <v>5344</v>
      </c>
      <c r="D999">
        <v>396636</v>
      </c>
      <c r="E999">
        <v>291701</v>
      </c>
      <c r="F999">
        <v>11</v>
      </c>
      <c r="G999">
        <v>5.2</v>
      </c>
      <c r="H999">
        <v>14.6</v>
      </c>
      <c r="I999">
        <v>11.1</v>
      </c>
    </row>
    <row r="1000" spans="1:9" ht="24" customHeight="1">
      <c r="A1000" s="6" t="s">
        <v>2426</v>
      </c>
      <c r="B1000">
        <v>920</v>
      </c>
      <c r="C1000">
        <v>411</v>
      </c>
      <c r="D1000">
        <v>251988</v>
      </c>
      <c r="E1000">
        <v>213696</v>
      </c>
      <c r="F1000">
        <v>5.9</v>
      </c>
      <c r="G1000">
        <v>2</v>
      </c>
      <c r="H1000">
        <v>0</v>
      </c>
      <c r="I1000">
        <v>0</v>
      </c>
    </row>
    <row r="1001" spans="1:9" ht="24" customHeight="1">
      <c r="A1001" s="6" t="s">
        <v>2427</v>
      </c>
      <c r="B1001">
        <v>1779</v>
      </c>
      <c r="C1001">
        <v>562</v>
      </c>
      <c r="D1001">
        <v>331369</v>
      </c>
      <c r="E1001">
        <v>232258</v>
      </c>
      <c r="F1001">
        <v>8.9</v>
      </c>
      <c r="G1001">
        <v>6.2</v>
      </c>
      <c r="H1001">
        <v>1.5</v>
      </c>
      <c r="I1001">
        <v>1.4</v>
      </c>
    </row>
    <row r="1002" spans="1:9" ht="24" customHeight="1">
      <c r="A1002" s="6" t="s">
        <v>2428</v>
      </c>
      <c r="B1002">
        <v>2423</v>
      </c>
      <c r="C1002">
        <v>700</v>
      </c>
      <c r="D1002">
        <v>390755</v>
      </c>
      <c r="E1002">
        <v>288664</v>
      </c>
      <c r="F1002">
        <v>12.7</v>
      </c>
      <c r="G1002">
        <v>6.2</v>
      </c>
      <c r="H1002">
        <v>11.6</v>
      </c>
      <c r="I1002">
        <v>12.1</v>
      </c>
    </row>
    <row r="1003" spans="1:9" ht="24" customHeight="1">
      <c r="A1003" s="6" t="s">
        <v>2429</v>
      </c>
      <c r="B1003">
        <v>2577</v>
      </c>
      <c r="C1003">
        <v>963</v>
      </c>
      <c r="D1003">
        <v>408542</v>
      </c>
      <c r="E1003">
        <v>279228</v>
      </c>
      <c r="F1003">
        <v>12.7</v>
      </c>
      <c r="G1003">
        <v>3.5</v>
      </c>
      <c r="H1003">
        <v>16.8</v>
      </c>
      <c r="I1003">
        <v>16.899999999999999</v>
      </c>
    </row>
    <row r="1004" spans="1:9" ht="24" customHeight="1">
      <c r="A1004" s="6" t="s">
        <v>2430</v>
      </c>
      <c r="B1004">
        <v>1964</v>
      </c>
      <c r="C1004">
        <v>508</v>
      </c>
      <c r="D1004">
        <v>463810</v>
      </c>
      <c r="E1004">
        <v>368140</v>
      </c>
      <c r="F1004">
        <v>10.5</v>
      </c>
      <c r="G1004">
        <v>3</v>
      </c>
      <c r="H1004">
        <v>21.9</v>
      </c>
      <c r="I1004">
        <v>22.2</v>
      </c>
    </row>
    <row r="1005" spans="1:9" ht="24" customHeight="1">
      <c r="A1005" s="6" t="s">
        <v>2431</v>
      </c>
      <c r="B1005">
        <v>1130</v>
      </c>
      <c r="C1005">
        <v>136</v>
      </c>
      <c r="D1005">
        <v>441120</v>
      </c>
      <c r="E1005">
        <v>323819</v>
      </c>
      <c r="F1005">
        <v>8</v>
      </c>
      <c r="G1005">
        <v>3.9</v>
      </c>
      <c r="H1005">
        <v>26.8</v>
      </c>
      <c r="I1005">
        <v>27.1</v>
      </c>
    </row>
    <row r="1006" spans="1:9" ht="24" customHeight="1">
      <c r="A1006" s="6" t="s">
        <v>2432</v>
      </c>
      <c r="B1006">
        <v>1221</v>
      </c>
      <c r="C1006">
        <v>546</v>
      </c>
      <c r="D1006">
        <v>343427</v>
      </c>
      <c r="E1006">
        <v>270858</v>
      </c>
      <c r="F1006">
        <v>12.8</v>
      </c>
      <c r="G1006">
        <v>4.3</v>
      </c>
      <c r="H1006">
        <v>3.5</v>
      </c>
      <c r="I1006">
        <v>3.3</v>
      </c>
    </row>
    <row r="1007" spans="1:9" ht="24" customHeight="1">
      <c r="A1007" s="6" t="s">
        <v>2433</v>
      </c>
      <c r="B1007">
        <v>2212</v>
      </c>
      <c r="C1007">
        <v>269</v>
      </c>
      <c r="D1007">
        <v>500599</v>
      </c>
      <c r="E1007">
        <v>379308</v>
      </c>
      <c r="F1007">
        <v>6.5</v>
      </c>
      <c r="G1007">
        <v>0.8</v>
      </c>
      <c r="H1007">
        <v>35.6</v>
      </c>
      <c r="I1007">
        <v>34</v>
      </c>
    </row>
    <row r="1008" spans="1:9" ht="24" customHeight="1">
      <c r="A1008" s="6" t="s">
        <v>2434</v>
      </c>
      <c r="B1008">
        <v>3007</v>
      </c>
      <c r="C1008">
        <v>1382</v>
      </c>
      <c r="D1008">
        <v>353766</v>
      </c>
      <c r="E1008">
        <v>291109</v>
      </c>
      <c r="F1008">
        <v>14.6</v>
      </c>
      <c r="G1008">
        <v>8.1</v>
      </c>
      <c r="H1008">
        <v>6.9</v>
      </c>
      <c r="I1008">
        <v>6.5</v>
      </c>
    </row>
    <row r="1009" spans="1:9" ht="24" customHeight="1">
      <c r="A1009" s="6" t="s">
        <v>2435</v>
      </c>
      <c r="B1009">
        <v>18644</v>
      </c>
      <c r="C1009">
        <v>3483</v>
      </c>
      <c r="D1009">
        <v>497811</v>
      </c>
      <c r="E1009">
        <v>351328</v>
      </c>
      <c r="F1009">
        <v>13.4</v>
      </c>
      <c r="G1009">
        <v>7.1</v>
      </c>
      <c r="H1009">
        <v>16.3</v>
      </c>
      <c r="I1009">
        <v>11.9</v>
      </c>
    </row>
    <row r="1010" spans="1:9" ht="24" customHeight="1">
      <c r="A1010" s="6" t="s">
        <v>2436</v>
      </c>
      <c r="B1010">
        <v>617</v>
      </c>
      <c r="C1010">
        <v>178</v>
      </c>
      <c r="D1010">
        <v>268140</v>
      </c>
      <c r="E1010">
        <v>213692</v>
      </c>
      <c r="F1010">
        <v>5.9</v>
      </c>
      <c r="G1010">
        <v>6.7</v>
      </c>
      <c r="H1010">
        <v>0</v>
      </c>
      <c r="I1010">
        <v>0</v>
      </c>
    </row>
    <row r="1011" spans="1:9" ht="24" customHeight="1">
      <c r="A1011" s="6" t="s">
        <v>2437</v>
      </c>
      <c r="B1011">
        <v>1349</v>
      </c>
      <c r="C1011">
        <v>403</v>
      </c>
      <c r="D1011">
        <v>338627</v>
      </c>
      <c r="E1011">
        <v>281119</v>
      </c>
      <c r="F1011">
        <v>17.3</v>
      </c>
      <c r="G1011">
        <v>6.2</v>
      </c>
      <c r="H1011">
        <v>1.4</v>
      </c>
      <c r="I1011">
        <v>1.4</v>
      </c>
    </row>
    <row r="1012" spans="1:9" ht="24" customHeight="1">
      <c r="A1012" s="6" t="s">
        <v>2438</v>
      </c>
      <c r="B1012">
        <v>2149</v>
      </c>
      <c r="C1012">
        <v>495</v>
      </c>
      <c r="D1012">
        <v>476389</v>
      </c>
      <c r="E1012">
        <v>358732</v>
      </c>
      <c r="F1012">
        <v>15.8</v>
      </c>
      <c r="G1012">
        <v>8.1999999999999993</v>
      </c>
      <c r="H1012">
        <v>12.1</v>
      </c>
      <c r="I1012">
        <v>12</v>
      </c>
    </row>
    <row r="1013" spans="1:9" ht="24" customHeight="1">
      <c r="A1013" s="6" t="s">
        <v>2439</v>
      </c>
      <c r="B1013">
        <v>3126</v>
      </c>
      <c r="C1013">
        <v>654</v>
      </c>
      <c r="D1013">
        <v>517600</v>
      </c>
      <c r="E1013">
        <v>348641</v>
      </c>
      <c r="F1013">
        <v>15.6</v>
      </c>
      <c r="G1013">
        <v>8.3000000000000007</v>
      </c>
      <c r="H1013">
        <v>16.7</v>
      </c>
      <c r="I1013">
        <v>16.5</v>
      </c>
    </row>
    <row r="1014" spans="1:9" ht="24" customHeight="1">
      <c r="A1014" s="6" t="s">
        <v>2440</v>
      </c>
      <c r="B1014">
        <v>1381</v>
      </c>
      <c r="C1014">
        <v>197</v>
      </c>
      <c r="D1014">
        <v>511565</v>
      </c>
      <c r="E1014">
        <v>390124</v>
      </c>
      <c r="F1014">
        <v>13.4</v>
      </c>
      <c r="G1014">
        <v>3.5</v>
      </c>
      <c r="H1014">
        <v>21.8</v>
      </c>
      <c r="I1014">
        <v>22</v>
      </c>
    </row>
    <row r="1015" spans="1:9" ht="24" customHeight="1">
      <c r="A1015" s="6" t="s">
        <v>2441</v>
      </c>
      <c r="B1015">
        <v>2419</v>
      </c>
      <c r="C1015">
        <v>206</v>
      </c>
      <c r="D1015">
        <v>556435</v>
      </c>
      <c r="E1015">
        <v>369669</v>
      </c>
      <c r="F1015">
        <v>12.8</v>
      </c>
      <c r="G1015">
        <v>8.3000000000000007</v>
      </c>
      <c r="H1015">
        <v>26.8</v>
      </c>
      <c r="I1015">
        <v>25.9</v>
      </c>
    </row>
    <row r="1016" spans="1:9" ht="24" customHeight="1">
      <c r="A1016" s="6" t="s">
        <v>2442</v>
      </c>
      <c r="B1016">
        <v>1229</v>
      </c>
      <c r="C1016">
        <v>429</v>
      </c>
      <c r="D1016">
        <v>406918</v>
      </c>
      <c r="E1016">
        <v>340733</v>
      </c>
      <c r="F1016">
        <v>20.399999999999999</v>
      </c>
      <c r="G1016">
        <v>10</v>
      </c>
      <c r="H1016">
        <v>3.5</v>
      </c>
      <c r="I1016">
        <v>3.6</v>
      </c>
    </row>
    <row r="1017" spans="1:9" ht="24" customHeight="1">
      <c r="A1017" s="6" t="s">
        <v>2443</v>
      </c>
      <c r="B1017">
        <v>2977</v>
      </c>
      <c r="C1017">
        <v>256</v>
      </c>
      <c r="D1017">
        <v>693961</v>
      </c>
      <c r="E1017">
        <v>481639</v>
      </c>
      <c r="F1017">
        <v>7.5</v>
      </c>
      <c r="G1017">
        <v>5.9</v>
      </c>
      <c r="H1017">
        <v>34.4</v>
      </c>
      <c r="I1017">
        <v>34.1</v>
      </c>
    </row>
    <row r="1018" spans="1:9" ht="24" customHeight="1">
      <c r="A1018" s="6" t="s">
        <v>2444</v>
      </c>
      <c r="B1018">
        <v>3433</v>
      </c>
      <c r="C1018">
        <v>744</v>
      </c>
      <c r="D1018">
        <v>409933</v>
      </c>
      <c r="E1018">
        <v>358503</v>
      </c>
      <c r="F1018">
        <v>12.7</v>
      </c>
      <c r="G1018">
        <v>4.5999999999999996</v>
      </c>
      <c r="H1018">
        <v>6.5</v>
      </c>
      <c r="I1018">
        <v>6.8</v>
      </c>
    </row>
    <row r="1019" spans="1:9" ht="24" customHeight="1">
      <c r="A1019" s="6" t="s">
        <v>2445</v>
      </c>
      <c r="B1019">
        <v>19561</v>
      </c>
      <c r="C1019">
        <v>3063</v>
      </c>
      <c r="D1019">
        <v>521133</v>
      </c>
      <c r="E1019">
        <v>381644</v>
      </c>
      <c r="F1019">
        <v>17.2</v>
      </c>
      <c r="G1019">
        <v>9.4</v>
      </c>
      <c r="H1019">
        <v>16.600000000000001</v>
      </c>
      <c r="I1019">
        <v>15.3</v>
      </c>
    </row>
    <row r="1020" spans="1:9" ht="24" customHeight="1">
      <c r="A1020" s="6" t="s">
        <v>2446</v>
      </c>
      <c r="B1020">
        <v>977</v>
      </c>
      <c r="C1020">
        <v>239</v>
      </c>
      <c r="D1020">
        <v>278290</v>
      </c>
      <c r="E1020">
        <v>224148</v>
      </c>
      <c r="F1020">
        <v>8.3000000000000007</v>
      </c>
      <c r="G1020">
        <v>1.5</v>
      </c>
      <c r="H1020">
        <v>0</v>
      </c>
      <c r="I1020">
        <v>0</v>
      </c>
    </row>
    <row r="1021" spans="1:9" ht="24" customHeight="1">
      <c r="A1021" s="6" t="s">
        <v>2447</v>
      </c>
      <c r="B1021">
        <v>1616</v>
      </c>
      <c r="C1021">
        <v>372</v>
      </c>
      <c r="D1021">
        <v>366394</v>
      </c>
      <c r="E1021">
        <v>338861</v>
      </c>
      <c r="F1021">
        <v>17.399999999999999</v>
      </c>
      <c r="G1021">
        <v>19.8</v>
      </c>
      <c r="H1021">
        <v>1.4</v>
      </c>
      <c r="I1021">
        <v>1.4</v>
      </c>
    </row>
    <row r="1022" spans="1:9" ht="24" customHeight="1">
      <c r="A1022" s="6" t="s">
        <v>2448</v>
      </c>
      <c r="B1022">
        <v>2211</v>
      </c>
      <c r="C1022">
        <v>197</v>
      </c>
      <c r="D1022">
        <v>510138</v>
      </c>
      <c r="E1022">
        <v>384788</v>
      </c>
      <c r="F1022">
        <v>21.3</v>
      </c>
      <c r="G1022">
        <v>6.3</v>
      </c>
      <c r="H1022">
        <v>12.1</v>
      </c>
      <c r="I1022">
        <v>12.5</v>
      </c>
    </row>
    <row r="1023" spans="1:9" ht="24" customHeight="1">
      <c r="A1023" s="6" t="s">
        <v>2449</v>
      </c>
      <c r="B1023">
        <v>3169</v>
      </c>
      <c r="C1023">
        <v>297</v>
      </c>
      <c r="D1023">
        <v>557417</v>
      </c>
      <c r="E1023">
        <v>388061</v>
      </c>
      <c r="F1023">
        <v>22.3</v>
      </c>
      <c r="G1023">
        <v>7.3</v>
      </c>
      <c r="H1023">
        <v>16.7</v>
      </c>
      <c r="I1023">
        <v>16.5</v>
      </c>
    </row>
    <row r="1024" spans="1:9" ht="24" customHeight="1">
      <c r="A1024" s="6" t="s">
        <v>2450</v>
      </c>
      <c r="B1024">
        <v>1518</v>
      </c>
      <c r="C1024">
        <v>116</v>
      </c>
      <c r="D1024">
        <v>590995</v>
      </c>
      <c r="E1024">
        <v>493781</v>
      </c>
      <c r="F1024">
        <v>16.100000000000001</v>
      </c>
      <c r="G1024">
        <v>3.8</v>
      </c>
      <c r="H1024">
        <v>22</v>
      </c>
      <c r="I1024">
        <v>22.4</v>
      </c>
    </row>
    <row r="1025" spans="1:9" ht="24" customHeight="1">
      <c r="A1025" s="6" t="s">
        <v>2451</v>
      </c>
      <c r="B1025">
        <v>1874</v>
      </c>
      <c r="C1025">
        <v>282</v>
      </c>
      <c r="D1025">
        <v>618220</v>
      </c>
      <c r="E1025">
        <v>463012</v>
      </c>
      <c r="F1025">
        <v>11.1</v>
      </c>
      <c r="G1025">
        <v>9.9</v>
      </c>
      <c r="H1025">
        <v>26.9</v>
      </c>
      <c r="I1025">
        <v>26.9</v>
      </c>
    </row>
    <row r="1026" spans="1:9" ht="24" customHeight="1">
      <c r="A1026" s="6" t="s">
        <v>2452</v>
      </c>
      <c r="B1026">
        <v>1446</v>
      </c>
      <c r="C1026">
        <v>499</v>
      </c>
      <c r="D1026">
        <v>423885</v>
      </c>
      <c r="E1026">
        <v>335425</v>
      </c>
      <c r="F1026">
        <v>19</v>
      </c>
      <c r="G1026">
        <v>14</v>
      </c>
      <c r="H1026">
        <v>3.5</v>
      </c>
      <c r="I1026">
        <v>3.5</v>
      </c>
    </row>
    <row r="1027" spans="1:9" ht="24" customHeight="1">
      <c r="A1027" s="6" t="s">
        <v>2453</v>
      </c>
      <c r="B1027">
        <v>3877</v>
      </c>
      <c r="C1027">
        <v>727</v>
      </c>
      <c r="D1027">
        <v>635081</v>
      </c>
      <c r="E1027">
        <v>437813</v>
      </c>
      <c r="F1027">
        <v>12.7</v>
      </c>
      <c r="G1027">
        <v>3.9</v>
      </c>
      <c r="H1027">
        <v>34.6</v>
      </c>
      <c r="I1027">
        <v>35.1</v>
      </c>
    </row>
    <row r="1028" spans="1:9" ht="24" customHeight="1">
      <c r="A1028" s="6" t="s">
        <v>2454</v>
      </c>
      <c r="B1028">
        <v>2903</v>
      </c>
      <c r="C1028">
        <v>378</v>
      </c>
      <c r="D1028">
        <v>452320</v>
      </c>
      <c r="E1028">
        <v>357274</v>
      </c>
      <c r="F1028">
        <v>20.5</v>
      </c>
      <c r="G1028">
        <v>11.9</v>
      </c>
      <c r="H1028">
        <v>6.9</v>
      </c>
      <c r="I1028">
        <v>6.3</v>
      </c>
    </row>
    <row r="1029" spans="1:9" ht="24" customHeight="1">
      <c r="A1029" s="6" t="s">
        <v>483</v>
      </c>
      <c r="B1029">
        <v>313379</v>
      </c>
      <c r="C1029">
        <v>72793</v>
      </c>
      <c r="D1029">
        <v>438744</v>
      </c>
      <c r="E1029">
        <v>321500</v>
      </c>
      <c r="F1029">
        <v>13.6</v>
      </c>
      <c r="G1029">
        <v>6.9</v>
      </c>
      <c r="H1029">
        <v>14.1</v>
      </c>
      <c r="I1029">
        <v>11</v>
      </c>
    </row>
    <row r="1030" spans="1:9" ht="24" customHeight="1">
      <c r="A1030" s="6" t="s">
        <v>484</v>
      </c>
      <c r="B1030">
        <v>35681</v>
      </c>
      <c r="C1030">
        <v>7173</v>
      </c>
      <c r="D1030">
        <v>561110</v>
      </c>
      <c r="E1030">
        <v>423616</v>
      </c>
      <c r="F1030">
        <v>22.8</v>
      </c>
      <c r="G1030">
        <v>12.5</v>
      </c>
      <c r="H1030">
        <v>16.399999999999999</v>
      </c>
      <c r="I1030">
        <v>15.4</v>
      </c>
    </row>
    <row r="1031" spans="1:9" ht="24" customHeight="1">
      <c r="A1031" s="6" t="s">
        <v>485</v>
      </c>
      <c r="B1031">
        <v>1332</v>
      </c>
      <c r="C1031">
        <v>392</v>
      </c>
      <c r="D1031">
        <v>268072</v>
      </c>
      <c r="E1031">
        <v>221783</v>
      </c>
      <c r="F1031">
        <v>13.3</v>
      </c>
      <c r="G1031">
        <v>0.6</v>
      </c>
      <c r="H1031">
        <v>0</v>
      </c>
      <c r="I1031">
        <v>0</v>
      </c>
    </row>
    <row r="1032" spans="1:9" ht="24" customHeight="1">
      <c r="A1032" s="6" t="s">
        <v>2455</v>
      </c>
      <c r="B1032">
        <v>3416</v>
      </c>
      <c r="C1032">
        <v>468</v>
      </c>
      <c r="D1032">
        <v>374423</v>
      </c>
      <c r="E1032">
        <v>330352</v>
      </c>
      <c r="F1032">
        <v>27.3</v>
      </c>
      <c r="G1032">
        <v>8</v>
      </c>
      <c r="H1032">
        <v>1.5</v>
      </c>
      <c r="I1032">
        <v>1.5</v>
      </c>
    </row>
    <row r="1033" spans="1:9" ht="24" customHeight="1">
      <c r="A1033" s="6" t="s">
        <v>2456</v>
      </c>
      <c r="B1033">
        <v>5457</v>
      </c>
      <c r="C1033">
        <v>956</v>
      </c>
      <c r="D1033">
        <v>542016</v>
      </c>
      <c r="E1033">
        <v>422931</v>
      </c>
      <c r="F1033">
        <v>25.8</v>
      </c>
      <c r="G1033">
        <v>14.9</v>
      </c>
      <c r="H1033">
        <v>12.2</v>
      </c>
      <c r="I1033">
        <v>12.1</v>
      </c>
    </row>
    <row r="1034" spans="1:9" ht="24" customHeight="1">
      <c r="A1034" s="6" t="s">
        <v>2457</v>
      </c>
      <c r="B1034">
        <v>3304</v>
      </c>
      <c r="C1034">
        <v>869</v>
      </c>
      <c r="D1034">
        <v>596944</v>
      </c>
      <c r="E1034">
        <v>446548</v>
      </c>
      <c r="F1034">
        <v>18.8</v>
      </c>
      <c r="G1034">
        <v>7.1</v>
      </c>
      <c r="H1034">
        <v>16.8</v>
      </c>
      <c r="I1034">
        <v>16.600000000000001</v>
      </c>
    </row>
    <row r="1035" spans="1:9" ht="24" customHeight="1">
      <c r="A1035" s="6" t="s">
        <v>2458</v>
      </c>
      <c r="B1035">
        <v>2578</v>
      </c>
      <c r="C1035">
        <v>745</v>
      </c>
      <c r="D1035">
        <v>668255</v>
      </c>
      <c r="E1035">
        <v>438379</v>
      </c>
      <c r="F1035">
        <v>18.2</v>
      </c>
      <c r="G1035">
        <v>9.5</v>
      </c>
      <c r="H1035">
        <v>21.9</v>
      </c>
      <c r="I1035">
        <v>21.8</v>
      </c>
    </row>
    <row r="1036" spans="1:9" ht="24" customHeight="1">
      <c r="A1036" s="6" t="s">
        <v>2459</v>
      </c>
      <c r="B1036">
        <v>3386</v>
      </c>
      <c r="C1036">
        <v>651</v>
      </c>
      <c r="D1036">
        <v>736874</v>
      </c>
      <c r="E1036">
        <v>453935</v>
      </c>
      <c r="F1036">
        <v>16</v>
      </c>
      <c r="G1036">
        <v>12.1</v>
      </c>
      <c r="H1036">
        <v>27</v>
      </c>
      <c r="I1036">
        <v>26.6</v>
      </c>
    </row>
    <row r="1037" spans="1:9" ht="24" customHeight="1">
      <c r="A1037" s="6" t="s">
        <v>2460</v>
      </c>
      <c r="B1037">
        <v>2395</v>
      </c>
      <c r="C1037">
        <v>755</v>
      </c>
      <c r="D1037">
        <v>399407</v>
      </c>
      <c r="E1037">
        <v>381067</v>
      </c>
      <c r="F1037">
        <v>29.6</v>
      </c>
      <c r="G1037">
        <v>16.399999999999999</v>
      </c>
      <c r="H1037">
        <v>3.5</v>
      </c>
      <c r="I1037">
        <v>3.6</v>
      </c>
    </row>
    <row r="1038" spans="1:9" ht="24" customHeight="1">
      <c r="A1038" s="6" t="s">
        <v>486</v>
      </c>
      <c r="B1038">
        <v>7678</v>
      </c>
      <c r="C1038">
        <v>1199</v>
      </c>
      <c r="D1038">
        <v>693945</v>
      </c>
      <c r="E1038">
        <v>539956</v>
      </c>
      <c r="F1038">
        <v>18.8</v>
      </c>
      <c r="G1038">
        <v>13.2</v>
      </c>
      <c r="H1038">
        <v>33.9</v>
      </c>
      <c r="I1038">
        <v>34</v>
      </c>
    </row>
    <row r="1039" spans="1:9" ht="24" customHeight="1">
      <c r="A1039" s="6" t="s">
        <v>2461</v>
      </c>
      <c r="B1039">
        <v>6155</v>
      </c>
      <c r="C1039">
        <v>1242</v>
      </c>
      <c r="D1039">
        <v>480943</v>
      </c>
      <c r="E1039">
        <v>388120</v>
      </c>
      <c r="F1039">
        <v>29.7</v>
      </c>
      <c r="G1039">
        <v>17.600000000000001</v>
      </c>
      <c r="H1039">
        <v>7</v>
      </c>
      <c r="I1039">
        <v>6.7</v>
      </c>
    </row>
    <row r="1040" spans="1:9" ht="24" customHeight="1">
      <c r="A1040" s="6" t="s">
        <v>2462</v>
      </c>
      <c r="B1040">
        <v>164653</v>
      </c>
      <c r="C1040">
        <v>38698</v>
      </c>
      <c r="D1040">
        <v>389919</v>
      </c>
      <c r="E1040">
        <v>295358</v>
      </c>
      <c r="F1040">
        <v>10.8</v>
      </c>
      <c r="G1040">
        <v>4.5</v>
      </c>
      <c r="H1040">
        <v>12.8</v>
      </c>
      <c r="I1040">
        <v>10.7</v>
      </c>
    </row>
    <row r="1041" spans="1:9" ht="24" customHeight="1">
      <c r="A1041" s="6" t="s">
        <v>2463</v>
      </c>
      <c r="B1041">
        <v>9668</v>
      </c>
      <c r="C1041">
        <v>3628</v>
      </c>
      <c r="D1041">
        <v>249989</v>
      </c>
      <c r="E1041">
        <v>190079</v>
      </c>
      <c r="F1041">
        <v>7.6</v>
      </c>
      <c r="G1041">
        <v>1.7</v>
      </c>
      <c r="H1041">
        <v>0</v>
      </c>
      <c r="I1041">
        <v>0</v>
      </c>
    </row>
    <row r="1042" spans="1:9" ht="24" customHeight="1">
      <c r="A1042" s="6" t="s">
        <v>2464</v>
      </c>
      <c r="B1042">
        <v>15250</v>
      </c>
      <c r="C1042">
        <v>6087</v>
      </c>
      <c r="D1042">
        <v>327075</v>
      </c>
      <c r="E1042">
        <v>260896</v>
      </c>
      <c r="F1042">
        <v>12.2</v>
      </c>
      <c r="G1042">
        <v>5.4</v>
      </c>
      <c r="H1042">
        <v>1.5</v>
      </c>
      <c r="I1042">
        <v>1.5</v>
      </c>
    </row>
    <row r="1043" spans="1:9" ht="24" customHeight="1">
      <c r="A1043" s="6" t="s">
        <v>2465</v>
      </c>
      <c r="B1043">
        <v>22826</v>
      </c>
      <c r="C1043">
        <v>4705</v>
      </c>
      <c r="D1043">
        <v>397537</v>
      </c>
      <c r="E1043">
        <v>319218</v>
      </c>
      <c r="F1043">
        <v>10.8</v>
      </c>
      <c r="G1043">
        <v>3.4</v>
      </c>
      <c r="H1043">
        <v>11.8</v>
      </c>
      <c r="I1043">
        <v>11.4</v>
      </c>
    </row>
    <row r="1044" spans="1:9" ht="24" customHeight="1">
      <c r="A1044" s="6" t="s">
        <v>2466</v>
      </c>
      <c r="B1044">
        <v>19725</v>
      </c>
      <c r="C1044">
        <v>5549</v>
      </c>
      <c r="D1044">
        <v>409866</v>
      </c>
      <c r="E1044">
        <v>329044</v>
      </c>
      <c r="F1044">
        <v>13.3</v>
      </c>
      <c r="G1044">
        <v>4.7</v>
      </c>
      <c r="H1044">
        <v>16.899999999999999</v>
      </c>
      <c r="I1044">
        <v>16.899999999999999</v>
      </c>
    </row>
    <row r="1045" spans="1:9" ht="24" customHeight="1">
      <c r="A1045" s="6" t="s">
        <v>2467</v>
      </c>
      <c r="B1045">
        <v>16174</v>
      </c>
      <c r="C1045">
        <v>2504</v>
      </c>
      <c r="D1045">
        <v>452999</v>
      </c>
      <c r="E1045">
        <v>355027</v>
      </c>
      <c r="F1045">
        <v>13</v>
      </c>
      <c r="G1045">
        <v>3</v>
      </c>
      <c r="H1045">
        <v>21.6</v>
      </c>
      <c r="I1045">
        <v>21.5</v>
      </c>
    </row>
    <row r="1046" spans="1:9" ht="24" customHeight="1">
      <c r="A1046" s="6" t="s">
        <v>2468</v>
      </c>
      <c r="B1046">
        <v>10490</v>
      </c>
      <c r="C1046">
        <v>1891</v>
      </c>
      <c r="D1046">
        <v>451759</v>
      </c>
      <c r="E1046">
        <v>312239</v>
      </c>
      <c r="F1046">
        <v>7.3</v>
      </c>
      <c r="G1046">
        <v>4.9000000000000004</v>
      </c>
      <c r="H1046">
        <v>27.1</v>
      </c>
      <c r="I1046">
        <v>26.5</v>
      </c>
    </row>
    <row r="1047" spans="1:9" ht="24" customHeight="1">
      <c r="A1047" s="6" t="s">
        <v>2469</v>
      </c>
      <c r="B1047">
        <v>17311</v>
      </c>
      <c r="C1047">
        <v>5323</v>
      </c>
      <c r="D1047">
        <v>356640</v>
      </c>
      <c r="E1047">
        <v>269616</v>
      </c>
      <c r="F1047">
        <v>9.1999999999999993</v>
      </c>
      <c r="G1047">
        <v>6</v>
      </c>
      <c r="H1047">
        <v>3.5</v>
      </c>
      <c r="I1047">
        <v>3.5</v>
      </c>
    </row>
    <row r="1048" spans="1:9" ht="24" customHeight="1">
      <c r="A1048" s="6" t="s">
        <v>2470</v>
      </c>
      <c r="B1048">
        <v>15321</v>
      </c>
      <c r="C1048">
        <v>2924</v>
      </c>
      <c r="D1048">
        <v>432921</v>
      </c>
      <c r="E1048">
        <v>286535</v>
      </c>
      <c r="F1048">
        <v>6.6</v>
      </c>
      <c r="G1048">
        <v>2</v>
      </c>
      <c r="H1048">
        <v>36.299999999999997</v>
      </c>
      <c r="I1048">
        <v>32.1</v>
      </c>
    </row>
    <row r="1049" spans="1:9" ht="24" customHeight="1">
      <c r="A1049" s="6" t="s">
        <v>2471</v>
      </c>
      <c r="B1049">
        <v>39106</v>
      </c>
      <c r="C1049">
        <v>8306</v>
      </c>
      <c r="D1049">
        <v>384328</v>
      </c>
      <c r="E1049">
        <v>291159</v>
      </c>
      <c r="F1049">
        <v>12.1</v>
      </c>
      <c r="G1049">
        <v>4.7</v>
      </c>
      <c r="H1049">
        <v>6.7</v>
      </c>
      <c r="I1049">
        <v>6.7</v>
      </c>
    </row>
    <row r="1050" spans="1:9" ht="24" customHeight="1">
      <c r="A1050" s="6" t="s">
        <v>2472</v>
      </c>
      <c r="B1050">
        <v>70216</v>
      </c>
      <c r="C1050">
        <v>16248</v>
      </c>
      <c r="D1050">
        <v>445782</v>
      </c>
      <c r="E1050">
        <v>323212</v>
      </c>
      <c r="F1050">
        <v>12.6</v>
      </c>
      <c r="G1050">
        <v>7.9</v>
      </c>
      <c r="H1050">
        <v>15.1</v>
      </c>
      <c r="I1050">
        <v>10.3</v>
      </c>
    </row>
    <row r="1051" spans="1:9" ht="24" customHeight="1">
      <c r="A1051" s="6" t="s">
        <v>2473</v>
      </c>
      <c r="B1051">
        <v>2783</v>
      </c>
      <c r="C1051">
        <v>912</v>
      </c>
      <c r="D1051">
        <v>232976</v>
      </c>
      <c r="E1051">
        <v>229718</v>
      </c>
      <c r="F1051">
        <v>6.6</v>
      </c>
      <c r="G1051">
        <v>3</v>
      </c>
      <c r="H1051">
        <v>0</v>
      </c>
      <c r="I1051">
        <v>0</v>
      </c>
    </row>
    <row r="1052" spans="1:9" ht="24" customHeight="1">
      <c r="A1052" s="6" t="s">
        <v>2474</v>
      </c>
      <c r="B1052">
        <v>5277</v>
      </c>
      <c r="C1052">
        <v>2099</v>
      </c>
      <c r="D1052">
        <v>326305</v>
      </c>
      <c r="E1052">
        <v>283299</v>
      </c>
      <c r="F1052">
        <v>15.2</v>
      </c>
      <c r="G1052">
        <v>10.7</v>
      </c>
      <c r="H1052">
        <v>1.5</v>
      </c>
      <c r="I1052">
        <v>1.4</v>
      </c>
    </row>
    <row r="1053" spans="1:9" ht="24" customHeight="1">
      <c r="A1053" s="6" t="s">
        <v>2475</v>
      </c>
      <c r="B1053">
        <v>9412</v>
      </c>
      <c r="C1053">
        <v>2216</v>
      </c>
      <c r="D1053">
        <v>438852</v>
      </c>
      <c r="E1053">
        <v>357704</v>
      </c>
      <c r="F1053">
        <v>15.7</v>
      </c>
      <c r="G1053">
        <v>9.1</v>
      </c>
      <c r="H1053">
        <v>12.2</v>
      </c>
      <c r="I1053">
        <v>11.4</v>
      </c>
    </row>
    <row r="1054" spans="1:9" ht="24" customHeight="1">
      <c r="A1054" s="6" t="s">
        <v>2476</v>
      </c>
      <c r="B1054">
        <v>9646</v>
      </c>
      <c r="C1054">
        <v>1895</v>
      </c>
      <c r="D1054">
        <v>488500</v>
      </c>
      <c r="E1054">
        <v>348428</v>
      </c>
      <c r="F1054">
        <v>12.9</v>
      </c>
      <c r="G1054">
        <v>4</v>
      </c>
      <c r="H1054">
        <v>16.600000000000001</v>
      </c>
      <c r="I1054">
        <v>17</v>
      </c>
    </row>
    <row r="1055" spans="1:9" ht="24" customHeight="1">
      <c r="A1055" s="6" t="s">
        <v>2477</v>
      </c>
      <c r="B1055">
        <v>7042</v>
      </c>
      <c r="C1055">
        <v>1345</v>
      </c>
      <c r="D1055">
        <v>497906</v>
      </c>
      <c r="E1055">
        <v>393292</v>
      </c>
      <c r="F1055">
        <v>10.5</v>
      </c>
      <c r="G1055">
        <v>6</v>
      </c>
      <c r="H1055">
        <v>21.8</v>
      </c>
      <c r="I1055">
        <v>22.6</v>
      </c>
    </row>
    <row r="1056" spans="1:9" ht="24" customHeight="1">
      <c r="A1056" s="6" t="s">
        <v>2478</v>
      </c>
      <c r="B1056">
        <v>5737</v>
      </c>
      <c r="C1056">
        <v>1155</v>
      </c>
      <c r="D1056">
        <v>556531</v>
      </c>
      <c r="E1056">
        <v>404622</v>
      </c>
      <c r="F1056">
        <v>10.4</v>
      </c>
      <c r="G1056">
        <v>7</v>
      </c>
      <c r="H1056">
        <v>26.8</v>
      </c>
      <c r="I1056">
        <v>27</v>
      </c>
    </row>
    <row r="1057" spans="1:9" ht="24" customHeight="1">
      <c r="A1057" s="6" t="s">
        <v>2479</v>
      </c>
      <c r="B1057">
        <v>5794</v>
      </c>
      <c r="C1057">
        <v>3432</v>
      </c>
      <c r="D1057">
        <v>371462</v>
      </c>
      <c r="E1057">
        <v>283715</v>
      </c>
      <c r="F1057">
        <v>13.8</v>
      </c>
      <c r="G1057">
        <v>5.2</v>
      </c>
      <c r="H1057">
        <v>3.5</v>
      </c>
      <c r="I1057">
        <v>3.8</v>
      </c>
    </row>
    <row r="1058" spans="1:9" ht="24" customHeight="1">
      <c r="A1058" s="6" t="s">
        <v>2480</v>
      </c>
      <c r="B1058">
        <v>9815</v>
      </c>
      <c r="C1058">
        <v>508</v>
      </c>
      <c r="D1058">
        <v>566231</v>
      </c>
      <c r="E1058">
        <v>363981</v>
      </c>
      <c r="F1058">
        <v>7.5</v>
      </c>
      <c r="G1058">
        <v>8</v>
      </c>
      <c r="H1058">
        <v>35.4</v>
      </c>
      <c r="I1058">
        <v>34.1</v>
      </c>
    </row>
    <row r="1059" spans="1:9" ht="24" customHeight="1">
      <c r="A1059" s="6" t="s">
        <v>2481</v>
      </c>
      <c r="B1059">
        <v>14763</v>
      </c>
      <c r="C1059">
        <v>3587</v>
      </c>
      <c r="D1059">
        <v>386029</v>
      </c>
      <c r="E1059">
        <v>304572</v>
      </c>
      <c r="F1059">
        <v>15.6</v>
      </c>
      <c r="G1059">
        <v>11.1</v>
      </c>
      <c r="H1059">
        <v>6.8</v>
      </c>
      <c r="I1059">
        <v>6.8</v>
      </c>
    </row>
    <row r="1060" spans="1:9" ht="24" customHeight="1">
      <c r="A1060" s="6" t="s">
        <v>2482</v>
      </c>
      <c r="B1060">
        <v>42829</v>
      </c>
      <c r="C1060">
        <v>10673</v>
      </c>
      <c r="D1060">
        <v>512969</v>
      </c>
      <c r="E1060">
        <v>345052</v>
      </c>
      <c r="F1060">
        <v>18</v>
      </c>
      <c r="G1060">
        <v>10.5</v>
      </c>
      <c r="H1060">
        <v>15.2</v>
      </c>
      <c r="I1060">
        <v>10.5</v>
      </c>
    </row>
    <row r="1061" spans="1:9" ht="24" customHeight="1">
      <c r="A1061" s="6" t="s">
        <v>2483</v>
      </c>
      <c r="B1061">
        <v>1997</v>
      </c>
      <c r="C1061">
        <v>552</v>
      </c>
      <c r="D1061">
        <v>449475</v>
      </c>
      <c r="E1061">
        <v>236182</v>
      </c>
      <c r="F1061">
        <v>3.5</v>
      </c>
      <c r="G1061">
        <v>2.6</v>
      </c>
      <c r="H1061">
        <v>0</v>
      </c>
      <c r="I1061">
        <v>0</v>
      </c>
    </row>
    <row r="1062" spans="1:9" ht="24" customHeight="1">
      <c r="A1062" s="6" t="s">
        <v>2484</v>
      </c>
      <c r="B1062">
        <v>4493</v>
      </c>
      <c r="C1062">
        <v>1010</v>
      </c>
      <c r="D1062">
        <v>464897</v>
      </c>
      <c r="E1062">
        <v>297127</v>
      </c>
      <c r="F1062">
        <v>18.100000000000001</v>
      </c>
      <c r="G1062">
        <v>16.5</v>
      </c>
      <c r="H1062">
        <v>1.5</v>
      </c>
      <c r="I1062">
        <v>1.4</v>
      </c>
    </row>
    <row r="1063" spans="1:9" ht="24" customHeight="1">
      <c r="A1063" s="6" t="s">
        <v>2485</v>
      </c>
      <c r="B1063">
        <v>4473</v>
      </c>
      <c r="C1063">
        <v>692</v>
      </c>
      <c r="D1063">
        <v>506523</v>
      </c>
      <c r="E1063">
        <v>405837</v>
      </c>
      <c r="F1063">
        <v>21.6</v>
      </c>
      <c r="G1063">
        <v>12.9</v>
      </c>
      <c r="H1063">
        <v>12.2</v>
      </c>
      <c r="I1063">
        <v>12.3</v>
      </c>
    </row>
    <row r="1064" spans="1:9" ht="24" customHeight="1">
      <c r="A1064" s="6" t="s">
        <v>2486</v>
      </c>
      <c r="B1064">
        <v>6426</v>
      </c>
      <c r="C1064">
        <v>1114</v>
      </c>
      <c r="D1064">
        <v>529383</v>
      </c>
      <c r="E1064">
        <v>360531</v>
      </c>
      <c r="F1064">
        <v>22.3</v>
      </c>
      <c r="G1064">
        <v>7.1</v>
      </c>
      <c r="H1064">
        <v>16.600000000000001</v>
      </c>
      <c r="I1064">
        <v>16.5</v>
      </c>
    </row>
    <row r="1065" spans="1:9" ht="24" customHeight="1">
      <c r="A1065" s="6" t="s">
        <v>2487</v>
      </c>
      <c r="B1065">
        <v>2858</v>
      </c>
      <c r="C1065">
        <v>253</v>
      </c>
      <c r="D1065">
        <v>542659</v>
      </c>
      <c r="E1065">
        <v>317972</v>
      </c>
      <c r="F1065">
        <v>19.5</v>
      </c>
      <c r="G1065">
        <v>4.3</v>
      </c>
      <c r="H1065">
        <v>21.9</v>
      </c>
      <c r="I1065">
        <v>22</v>
      </c>
    </row>
    <row r="1066" spans="1:9" ht="24" customHeight="1">
      <c r="A1066" s="6" t="s">
        <v>2488</v>
      </c>
      <c r="B1066">
        <v>3511</v>
      </c>
      <c r="C1066">
        <v>575</v>
      </c>
      <c r="D1066">
        <v>590773</v>
      </c>
      <c r="E1066">
        <v>371446</v>
      </c>
      <c r="F1066">
        <v>15.7</v>
      </c>
      <c r="G1066">
        <v>2.5</v>
      </c>
      <c r="H1066">
        <v>26.7</v>
      </c>
      <c r="I1066">
        <v>27</v>
      </c>
    </row>
    <row r="1067" spans="1:9" ht="24" customHeight="1">
      <c r="A1067" s="6" t="s">
        <v>2489</v>
      </c>
      <c r="B1067">
        <v>3800</v>
      </c>
      <c r="C1067">
        <v>1116</v>
      </c>
      <c r="D1067">
        <v>455990</v>
      </c>
      <c r="E1067">
        <v>343020</v>
      </c>
      <c r="F1067">
        <v>22</v>
      </c>
      <c r="G1067">
        <v>19</v>
      </c>
      <c r="H1067">
        <v>3.5</v>
      </c>
      <c r="I1067">
        <v>3.5</v>
      </c>
    </row>
    <row r="1068" spans="1:9" ht="24" customHeight="1">
      <c r="A1068" s="6" t="s">
        <v>2490</v>
      </c>
      <c r="B1068">
        <v>7653</v>
      </c>
      <c r="C1068">
        <v>929</v>
      </c>
      <c r="D1068">
        <v>599765</v>
      </c>
      <c r="E1068">
        <v>403527</v>
      </c>
      <c r="F1068">
        <v>13.1</v>
      </c>
      <c r="G1068">
        <v>9.5</v>
      </c>
      <c r="H1068">
        <v>34.299999999999997</v>
      </c>
      <c r="I1068">
        <v>33.6</v>
      </c>
    </row>
    <row r="1069" spans="1:9" ht="24" customHeight="1">
      <c r="A1069" s="6" t="s">
        <v>2491</v>
      </c>
      <c r="B1069">
        <v>7644</v>
      </c>
      <c r="C1069">
        <v>4443</v>
      </c>
      <c r="D1069">
        <v>441799</v>
      </c>
      <c r="E1069">
        <v>342039</v>
      </c>
      <c r="F1069">
        <v>19.600000000000001</v>
      </c>
      <c r="G1069">
        <v>10.1</v>
      </c>
      <c r="H1069">
        <v>6.7</v>
      </c>
      <c r="I1069">
        <v>6.3</v>
      </c>
    </row>
    <row r="1070" spans="1:9" ht="24" customHeight="1">
      <c r="A1070" s="6" t="s">
        <v>487</v>
      </c>
      <c r="B1070">
        <v>211167</v>
      </c>
      <c r="C1070">
        <v>41543</v>
      </c>
      <c r="D1070">
        <v>530192</v>
      </c>
      <c r="E1070">
        <v>380168</v>
      </c>
      <c r="F1070">
        <v>15.2</v>
      </c>
      <c r="G1070">
        <v>9.8000000000000007</v>
      </c>
      <c r="H1070">
        <v>15.5</v>
      </c>
      <c r="I1070">
        <v>12.9</v>
      </c>
    </row>
    <row r="1071" spans="1:9" ht="24" customHeight="1">
      <c r="A1071" s="6" t="s">
        <v>488</v>
      </c>
      <c r="B1071">
        <v>73383</v>
      </c>
      <c r="C1071">
        <v>13381</v>
      </c>
      <c r="D1071">
        <v>663154</v>
      </c>
      <c r="E1071">
        <v>494212</v>
      </c>
      <c r="F1071">
        <v>15.1</v>
      </c>
      <c r="G1071">
        <v>9.1999999999999993</v>
      </c>
      <c r="H1071">
        <v>17.2</v>
      </c>
      <c r="I1071">
        <v>15.8</v>
      </c>
    </row>
    <row r="1072" spans="1:9" ht="24" customHeight="1">
      <c r="A1072" s="6" t="s">
        <v>489</v>
      </c>
      <c r="B1072">
        <v>2851</v>
      </c>
      <c r="C1072">
        <v>413</v>
      </c>
      <c r="D1072">
        <v>287015</v>
      </c>
      <c r="E1072">
        <v>219536</v>
      </c>
      <c r="F1072">
        <v>9.1</v>
      </c>
      <c r="G1072">
        <v>2</v>
      </c>
      <c r="H1072">
        <v>0</v>
      </c>
      <c r="I1072">
        <v>0</v>
      </c>
    </row>
    <row r="1073" spans="1:9" ht="24" customHeight="1">
      <c r="A1073" s="6" t="s">
        <v>2492</v>
      </c>
      <c r="B1073">
        <v>4256</v>
      </c>
      <c r="C1073">
        <v>865</v>
      </c>
      <c r="D1073">
        <v>418492</v>
      </c>
      <c r="E1073">
        <v>345064</v>
      </c>
      <c r="F1073">
        <v>19.7</v>
      </c>
      <c r="G1073">
        <v>12.1</v>
      </c>
      <c r="H1073">
        <v>1.4</v>
      </c>
      <c r="I1073">
        <v>1.3</v>
      </c>
    </row>
    <row r="1074" spans="1:9" ht="24" customHeight="1">
      <c r="A1074" s="6" t="s">
        <v>2493</v>
      </c>
      <c r="B1074">
        <v>10239</v>
      </c>
      <c r="C1074">
        <v>2039</v>
      </c>
      <c r="D1074">
        <v>615660</v>
      </c>
      <c r="E1074">
        <v>448600</v>
      </c>
      <c r="F1074">
        <v>17.3</v>
      </c>
      <c r="G1074">
        <v>6.3</v>
      </c>
      <c r="H1074">
        <v>12.4</v>
      </c>
      <c r="I1074">
        <v>11.9</v>
      </c>
    </row>
    <row r="1075" spans="1:9" ht="24" customHeight="1">
      <c r="A1075" s="6" t="s">
        <v>2494</v>
      </c>
      <c r="B1075">
        <v>11663</v>
      </c>
      <c r="C1075">
        <v>1971</v>
      </c>
      <c r="D1075">
        <v>687897</v>
      </c>
      <c r="E1075">
        <v>494179</v>
      </c>
      <c r="F1075">
        <v>16.899999999999999</v>
      </c>
      <c r="G1075">
        <v>5.5</v>
      </c>
      <c r="H1075">
        <v>16.399999999999999</v>
      </c>
      <c r="I1075">
        <v>17.3</v>
      </c>
    </row>
    <row r="1076" spans="1:9" ht="24" customHeight="1">
      <c r="A1076" s="6" t="s">
        <v>2495</v>
      </c>
      <c r="B1076">
        <v>5494</v>
      </c>
      <c r="C1076">
        <v>1064</v>
      </c>
      <c r="D1076">
        <v>855116</v>
      </c>
      <c r="E1076">
        <v>652324</v>
      </c>
      <c r="F1076">
        <v>10.7</v>
      </c>
      <c r="G1076">
        <v>6.4</v>
      </c>
      <c r="H1076">
        <v>22.1</v>
      </c>
      <c r="I1076">
        <v>22.4</v>
      </c>
    </row>
    <row r="1077" spans="1:9" ht="24" customHeight="1">
      <c r="A1077" s="6" t="s">
        <v>2496</v>
      </c>
      <c r="B1077">
        <v>6692</v>
      </c>
      <c r="C1077">
        <v>1498</v>
      </c>
      <c r="D1077">
        <v>840304</v>
      </c>
      <c r="E1077">
        <v>557841</v>
      </c>
      <c r="F1077">
        <v>13.3</v>
      </c>
      <c r="G1077">
        <v>6.2</v>
      </c>
      <c r="H1077">
        <v>27</v>
      </c>
      <c r="I1077">
        <v>27.1</v>
      </c>
    </row>
    <row r="1078" spans="1:9" ht="24" customHeight="1">
      <c r="A1078" s="6" t="s">
        <v>2497</v>
      </c>
      <c r="B1078">
        <v>6588</v>
      </c>
      <c r="C1078">
        <v>931</v>
      </c>
      <c r="D1078">
        <v>512996</v>
      </c>
      <c r="E1078">
        <v>413217</v>
      </c>
      <c r="F1078">
        <v>18.600000000000001</v>
      </c>
      <c r="G1078">
        <v>14</v>
      </c>
      <c r="H1078">
        <v>3.7</v>
      </c>
      <c r="I1078">
        <v>3.8</v>
      </c>
    </row>
    <row r="1079" spans="1:9" ht="24" customHeight="1">
      <c r="A1079" s="6" t="s">
        <v>490</v>
      </c>
      <c r="B1079">
        <v>16095</v>
      </c>
      <c r="C1079">
        <v>2121</v>
      </c>
      <c r="D1079">
        <v>809933</v>
      </c>
      <c r="E1079">
        <v>618187</v>
      </c>
      <c r="F1079">
        <v>9.1</v>
      </c>
      <c r="G1079">
        <v>9.1</v>
      </c>
      <c r="H1079">
        <v>34.1</v>
      </c>
      <c r="I1079">
        <v>33.6</v>
      </c>
    </row>
    <row r="1080" spans="1:9" ht="24" customHeight="1">
      <c r="A1080" s="6" t="s">
        <v>2498</v>
      </c>
      <c r="B1080">
        <v>9641</v>
      </c>
      <c r="C1080">
        <v>2873</v>
      </c>
      <c r="D1080">
        <v>526474</v>
      </c>
      <c r="E1080">
        <v>435936</v>
      </c>
      <c r="F1080">
        <v>21.3</v>
      </c>
      <c r="G1080">
        <v>14.1</v>
      </c>
      <c r="H1080">
        <v>6.7</v>
      </c>
      <c r="I1080">
        <v>6.6</v>
      </c>
    </row>
    <row r="1081" spans="1:9" ht="24" customHeight="1">
      <c r="A1081" s="6" t="s">
        <v>2499</v>
      </c>
      <c r="B1081">
        <v>51683</v>
      </c>
      <c r="C1081">
        <v>10387</v>
      </c>
      <c r="D1081">
        <v>409317</v>
      </c>
      <c r="E1081">
        <v>285644</v>
      </c>
      <c r="F1081">
        <v>14.2</v>
      </c>
      <c r="G1081">
        <v>7</v>
      </c>
      <c r="H1081">
        <v>12.8</v>
      </c>
      <c r="I1081">
        <v>10.199999999999999</v>
      </c>
    </row>
    <row r="1082" spans="1:9" ht="24" customHeight="1">
      <c r="A1082" s="6" t="s">
        <v>2500</v>
      </c>
      <c r="B1082">
        <v>2402</v>
      </c>
      <c r="C1082">
        <v>737</v>
      </c>
      <c r="D1082">
        <v>282636</v>
      </c>
      <c r="E1082">
        <v>188086</v>
      </c>
      <c r="F1082">
        <v>12.7</v>
      </c>
      <c r="G1082">
        <v>7.2</v>
      </c>
      <c r="H1082">
        <v>0</v>
      </c>
      <c r="I1082">
        <v>0</v>
      </c>
    </row>
    <row r="1083" spans="1:9" ht="24" customHeight="1">
      <c r="A1083" s="6" t="s">
        <v>2501</v>
      </c>
      <c r="B1083">
        <v>4631</v>
      </c>
      <c r="C1083">
        <v>1637</v>
      </c>
      <c r="D1083">
        <v>320145</v>
      </c>
      <c r="E1083">
        <v>219667</v>
      </c>
      <c r="F1083">
        <v>15.7</v>
      </c>
      <c r="G1083">
        <v>4.5999999999999996</v>
      </c>
      <c r="H1083">
        <v>1.5</v>
      </c>
      <c r="I1083">
        <v>1.5</v>
      </c>
    </row>
    <row r="1084" spans="1:9" ht="24" customHeight="1">
      <c r="A1084" s="6" t="s">
        <v>2502</v>
      </c>
      <c r="B1084">
        <v>8494</v>
      </c>
      <c r="C1084">
        <v>1666</v>
      </c>
      <c r="D1084">
        <v>429994</v>
      </c>
      <c r="E1084">
        <v>273158</v>
      </c>
      <c r="F1084">
        <v>15.2</v>
      </c>
      <c r="G1084">
        <v>6.1</v>
      </c>
      <c r="H1084">
        <v>11.6</v>
      </c>
      <c r="I1084">
        <v>11.5</v>
      </c>
    </row>
    <row r="1085" spans="1:9" ht="24" customHeight="1">
      <c r="A1085" s="6" t="s">
        <v>2503</v>
      </c>
      <c r="B1085">
        <v>7546</v>
      </c>
      <c r="C1085">
        <v>1302</v>
      </c>
      <c r="D1085">
        <v>463300</v>
      </c>
      <c r="E1085">
        <v>302349</v>
      </c>
      <c r="F1085">
        <v>12.4</v>
      </c>
      <c r="G1085">
        <v>3</v>
      </c>
      <c r="H1085">
        <v>16.600000000000001</v>
      </c>
      <c r="I1085">
        <v>16.600000000000001</v>
      </c>
    </row>
    <row r="1086" spans="1:9" ht="24" customHeight="1">
      <c r="A1086" s="6" t="s">
        <v>2504</v>
      </c>
      <c r="B1086">
        <v>5005</v>
      </c>
      <c r="C1086">
        <v>711</v>
      </c>
      <c r="D1086">
        <v>458932</v>
      </c>
      <c r="E1086">
        <v>350907</v>
      </c>
      <c r="F1086">
        <v>13</v>
      </c>
      <c r="G1086">
        <v>5.5</v>
      </c>
      <c r="H1086">
        <v>21.7</v>
      </c>
      <c r="I1086">
        <v>21.2</v>
      </c>
    </row>
    <row r="1087" spans="1:9" ht="24" customHeight="1">
      <c r="A1087" s="6" t="s">
        <v>2505</v>
      </c>
      <c r="B1087">
        <v>3365</v>
      </c>
      <c r="C1087">
        <v>707</v>
      </c>
      <c r="D1087">
        <v>505548</v>
      </c>
      <c r="E1087">
        <v>346354</v>
      </c>
      <c r="F1087">
        <v>11.9</v>
      </c>
      <c r="G1087">
        <v>3</v>
      </c>
      <c r="H1087">
        <v>27.1</v>
      </c>
      <c r="I1087">
        <v>26.8</v>
      </c>
    </row>
    <row r="1088" spans="1:9" ht="24" customHeight="1">
      <c r="A1088" s="6" t="s">
        <v>2506</v>
      </c>
      <c r="B1088">
        <v>5688</v>
      </c>
      <c r="C1088">
        <v>1404</v>
      </c>
      <c r="D1088">
        <v>345806</v>
      </c>
      <c r="E1088">
        <v>272928</v>
      </c>
      <c r="F1088">
        <v>12.9</v>
      </c>
      <c r="G1088">
        <v>10.1</v>
      </c>
      <c r="H1088">
        <v>3.6</v>
      </c>
      <c r="I1088">
        <v>3.4</v>
      </c>
    </row>
    <row r="1089" spans="1:9" ht="24" customHeight="1">
      <c r="A1089" s="6" t="s">
        <v>2507</v>
      </c>
      <c r="B1089">
        <v>4061</v>
      </c>
      <c r="C1089">
        <v>515</v>
      </c>
      <c r="D1089">
        <v>454362</v>
      </c>
      <c r="E1089">
        <v>297438</v>
      </c>
      <c r="F1089">
        <v>10.7</v>
      </c>
      <c r="G1089">
        <v>6.9</v>
      </c>
      <c r="H1089">
        <v>35</v>
      </c>
      <c r="I1089">
        <v>35.700000000000003</v>
      </c>
    </row>
    <row r="1090" spans="1:9" ht="24" customHeight="1">
      <c r="A1090" s="6" t="s">
        <v>2508</v>
      </c>
      <c r="B1090">
        <v>10691</v>
      </c>
      <c r="C1090">
        <v>2914</v>
      </c>
      <c r="D1090">
        <v>382469</v>
      </c>
      <c r="E1090">
        <v>274498</v>
      </c>
      <c r="F1090">
        <v>17.7</v>
      </c>
      <c r="G1090">
        <v>7.9</v>
      </c>
      <c r="H1090">
        <v>7</v>
      </c>
      <c r="I1090">
        <v>6.6</v>
      </c>
    </row>
    <row r="1091" spans="1:9" ht="24" customHeight="1">
      <c r="A1091" s="6" t="s">
        <v>2509</v>
      </c>
      <c r="B1091">
        <v>46480</v>
      </c>
      <c r="C1091">
        <v>11856</v>
      </c>
      <c r="D1091">
        <v>439022</v>
      </c>
      <c r="E1091">
        <v>325646</v>
      </c>
      <c r="F1091">
        <v>15.6</v>
      </c>
      <c r="G1091">
        <v>13.6</v>
      </c>
      <c r="H1091">
        <v>15.5</v>
      </c>
      <c r="I1091">
        <v>11.8</v>
      </c>
    </row>
    <row r="1092" spans="1:9" ht="24" customHeight="1">
      <c r="A1092" s="6" t="s">
        <v>2510</v>
      </c>
      <c r="B1092">
        <v>2654</v>
      </c>
      <c r="C1092">
        <v>839</v>
      </c>
      <c r="D1092">
        <v>256916</v>
      </c>
      <c r="E1092">
        <v>222234</v>
      </c>
      <c r="F1092">
        <v>10.9</v>
      </c>
      <c r="G1092">
        <v>16.399999999999999</v>
      </c>
      <c r="H1092">
        <v>0</v>
      </c>
      <c r="I1092">
        <v>0</v>
      </c>
    </row>
    <row r="1093" spans="1:9" ht="24" customHeight="1">
      <c r="A1093" s="6" t="s">
        <v>2511</v>
      </c>
      <c r="B1093">
        <v>3638</v>
      </c>
      <c r="C1093">
        <v>1195</v>
      </c>
      <c r="D1093">
        <v>331990</v>
      </c>
      <c r="E1093">
        <v>266574</v>
      </c>
      <c r="F1093">
        <v>15.7</v>
      </c>
      <c r="G1093">
        <v>15.5</v>
      </c>
      <c r="H1093">
        <v>1.5</v>
      </c>
      <c r="I1093">
        <v>1.5</v>
      </c>
    </row>
    <row r="1094" spans="1:9" ht="24" customHeight="1">
      <c r="A1094" s="6" t="s">
        <v>2512</v>
      </c>
      <c r="B1094">
        <v>6106</v>
      </c>
      <c r="C1094">
        <v>2056</v>
      </c>
      <c r="D1094">
        <v>437712</v>
      </c>
      <c r="E1094">
        <v>359531</v>
      </c>
      <c r="F1094">
        <v>16.899999999999999</v>
      </c>
      <c r="G1094">
        <v>12.2</v>
      </c>
      <c r="H1094">
        <v>12</v>
      </c>
      <c r="I1094">
        <v>11.8</v>
      </c>
    </row>
    <row r="1095" spans="1:9" ht="24" customHeight="1">
      <c r="A1095" s="6" t="s">
        <v>2513</v>
      </c>
      <c r="B1095">
        <v>7496</v>
      </c>
      <c r="C1095">
        <v>1676</v>
      </c>
      <c r="D1095">
        <v>449638</v>
      </c>
      <c r="E1095">
        <v>329448</v>
      </c>
      <c r="F1095">
        <v>17.3</v>
      </c>
      <c r="G1095">
        <v>7.5</v>
      </c>
      <c r="H1095">
        <v>16.5</v>
      </c>
      <c r="I1095">
        <v>16.7</v>
      </c>
    </row>
    <row r="1096" spans="1:9" ht="24" customHeight="1">
      <c r="A1096" s="6" t="s">
        <v>2514</v>
      </c>
      <c r="B1096">
        <v>3998</v>
      </c>
      <c r="C1096">
        <v>1270</v>
      </c>
      <c r="D1096">
        <v>494999</v>
      </c>
      <c r="E1096">
        <v>355356</v>
      </c>
      <c r="F1096">
        <v>15.4</v>
      </c>
      <c r="G1096">
        <v>11.6</v>
      </c>
      <c r="H1096">
        <v>22</v>
      </c>
      <c r="I1096">
        <v>22.3</v>
      </c>
    </row>
    <row r="1097" spans="1:9" ht="24" customHeight="1">
      <c r="A1097" s="6" t="s">
        <v>2515</v>
      </c>
      <c r="B1097">
        <v>4372</v>
      </c>
      <c r="C1097">
        <v>799</v>
      </c>
      <c r="D1097">
        <v>537228</v>
      </c>
      <c r="E1097">
        <v>354689</v>
      </c>
      <c r="F1097">
        <v>10.3</v>
      </c>
      <c r="G1097">
        <v>12.9</v>
      </c>
      <c r="H1097">
        <v>27.3</v>
      </c>
      <c r="I1097">
        <v>26.4</v>
      </c>
    </row>
    <row r="1098" spans="1:9" ht="24" customHeight="1">
      <c r="A1098" s="6" t="s">
        <v>2516</v>
      </c>
      <c r="B1098">
        <v>3755</v>
      </c>
      <c r="C1098">
        <v>980</v>
      </c>
      <c r="D1098">
        <v>378786</v>
      </c>
      <c r="E1098">
        <v>291590</v>
      </c>
      <c r="F1098">
        <v>23.4</v>
      </c>
      <c r="G1098">
        <v>15.2</v>
      </c>
      <c r="H1098">
        <v>3.5</v>
      </c>
      <c r="I1098">
        <v>3.3</v>
      </c>
    </row>
    <row r="1099" spans="1:9" ht="24" customHeight="1">
      <c r="A1099" s="6" t="s">
        <v>2517</v>
      </c>
      <c r="B1099">
        <v>7304</v>
      </c>
      <c r="C1099">
        <v>464</v>
      </c>
      <c r="D1099">
        <v>550957</v>
      </c>
      <c r="E1099">
        <v>412167</v>
      </c>
      <c r="F1099">
        <v>12.8</v>
      </c>
      <c r="G1099">
        <v>11</v>
      </c>
      <c r="H1099">
        <v>34.200000000000003</v>
      </c>
      <c r="I1099">
        <v>33.9</v>
      </c>
    </row>
    <row r="1100" spans="1:9" ht="24" customHeight="1">
      <c r="A1100" s="6" t="s">
        <v>2518</v>
      </c>
      <c r="B1100">
        <v>7161</v>
      </c>
      <c r="C1100">
        <v>2658</v>
      </c>
      <c r="D1100">
        <v>376955</v>
      </c>
      <c r="E1100">
        <v>326532</v>
      </c>
      <c r="F1100">
        <v>16.600000000000001</v>
      </c>
      <c r="G1100">
        <v>17.399999999999999</v>
      </c>
      <c r="H1100">
        <v>6.7</v>
      </c>
      <c r="I1100">
        <v>7</v>
      </c>
    </row>
    <row r="1101" spans="1:9" ht="24" customHeight="1">
      <c r="A1101" s="6" t="s">
        <v>2519</v>
      </c>
      <c r="B1101">
        <v>39621</v>
      </c>
      <c r="C1101">
        <v>5919</v>
      </c>
      <c r="D1101">
        <v>548561</v>
      </c>
      <c r="E1101">
        <v>397428</v>
      </c>
      <c r="F1101">
        <v>16.2</v>
      </c>
      <c r="G1101">
        <v>8.6</v>
      </c>
      <c r="H1101">
        <v>15.7</v>
      </c>
      <c r="I1101">
        <v>13.4</v>
      </c>
    </row>
    <row r="1102" spans="1:9" ht="24" customHeight="1">
      <c r="A1102" s="6" t="s">
        <v>2520</v>
      </c>
      <c r="B1102">
        <v>2256</v>
      </c>
      <c r="C1102">
        <v>341</v>
      </c>
      <c r="D1102">
        <v>321418</v>
      </c>
      <c r="E1102">
        <v>234693</v>
      </c>
      <c r="F1102">
        <v>13.7</v>
      </c>
      <c r="G1102">
        <v>5.4</v>
      </c>
      <c r="H1102">
        <v>0</v>
      </c>
      <c r="I1102">
        <v>0</v>
      </c>
    </row>
    <row r="1103" spans="1:9" ht="24" customHeight="1">
      <c r="A1103" s="6" t="s">
        <v>2521</v>
      </c>
      <c r="B1103">
        <v>3267</v>
      </c>
      <c r="C1103">
        <v>681</v>
      </c>
      <c r="D1103">
        <v>369046</v>
      </c>
      <c r="E1103">
        <v>302988</v>
      </c>
      <c r="F1103">
        <v>20.6</v>
      </c>
      <c r="G1103">
        <v>9.9</v>
      </c>
      <c r="H1103">
        <v>1.4</v>
      </c>
      <c r="I1103">
        <v>1.3</v>
      </c>
    </row>
    <row r="1104" spans="1:9" ht="24" customHeight="1">
      <c r="A1104" s="6" t="s">
        <v>2522</v>
      </c>
      <c r="B1104">
        <v>4789</v>
      </c>
      <c r="C1104">
        <v>660</v>
      </c>
      <c r="D1104">
        <v>523766</v>
      </c>
      <c r="E1104">
        <v>364283</v>
      </c>
      <c r="F1104">
        <v>20</v>
      </c>
      <c r="G1104">
        <v>4.9000000000000004</v>
      </c>
      <c r="H1104">
        <v>12</v>
      </c>
      <c r="I1104">
        <v>12</v>
      </c>
    </row>
    <row r="1105" spans="1:9" ht="24" customHeight="1">
      <c r="A1105" s="6" t="s">
        <v>2523</v>
      </c>
      <c r="B1105">
        <v>5392</v>
      </c>
      <c r="C1105">
        <v>798</v>
      </c>
      <c r="D1105">
        <v>571269</v>
      </c>
      <c r="E1105">
        <v>427849</v>
      </c>
      <c r="F1105">
        <v>15.4</v>
      </c>
      <c r="G1105">
        <v>10.1</v>
      </c>
      <c r="H1105">
        <v>16.600000000000001</v>
      </c>
      <c r="I1105">
        <v>16.8</v>
      </c>
    </row>
    <row r="1106" spans="1:9" ht="24" customHeight="1">
      <c r="A1106" s="6" t="s">
        <v>2524</v>
      </c>
      <c r="B1106">
        <v>2525</v>
      </c>
      <c r="C1106">
        <v>563</v>
      </c>
      <c r="D1106">
        <v>637347</v>
      </c>
      <c r="E1106">
        <v>462914</v>
      </c>
      <c r="F1106">
        <v>15.9</v>
      </c>
      <c r="G1106">
        <v>14.5</v>
      </c>
      <c r="H1106">
        <v>22.1</v>
      </c>
      <c r="I1106">
        <v>22</v>
      </c>
    </row>
    <row r="1107" spans="1:9" ht="24" customHeight="1">
      <c r="A1107" s="6" t="s">
        <v>2525</v>
      </c>
      <c r="B1107">
        <v>3408</v>
      </c>
      <c r="C1107">
        <v>534</v>
      </c>
      <c r="D1107">
        <v>676496</v>
      </c>
      <c r="E1107">
        <v>473110</v>
      </c>
      <c r="F1107">
        <v>10.9</v>
      </c>
      <c r="G1107">
        <v>5.6</v>
      </c>
      <c r="H1107">
        <v>27.1</v>
      </c>
      <c r="I1107">
        <v>27.1</v>
      </c>
    </row>
    <row r="1108" spans="1:9" ht="24" customHeight="1">
      <c r="A1108" s="6" t="s">
        <v>2526</v>
      </c>
      <c r="B1108">
        <v>4175</v>
      </c>
      <c r="C1108">
        <v>631</v>
      </c>
      <c r="D1108">
        <v>452300</v>
      </c>
      <c r="E1108">
        <v>406042</v>
      </c>
      <c r="F1108">
        <v>21.2</v>
      </c>
      <c r="G1108">
        <v>15.4</v>
      </c>
      <c r="H1108">
        <v>3.6</v>
      </c>
      <c r="I1108">
        <v>3.6</v>
      </c>
    </row>
    <row r="1109" spans="1:9" ht="24" customHeight="1">
      <c r="A1109" s="6" t="s">
        <v>2527</v>
      </c>
      <c r="B1109">
        <v>7870</v>
      </c>
      <c r="C1109">
        <v>692</v>
      </c>
      <c r="D1109">
        <v>683155</v>
      </c>
      <c r="E1109">
        <v>500085</v>
      </c>
      <c r="F1109">
        <v>9.4</v>
      </c>
      <c r="G1109">
        <v>5.3</v>
      </c>
      <c r="H1109">
        <v>34</v>
      </c>
      <c r="I1109">
        <v>33.299999999999997</v>
      </c>
    </row>
    <row r="1110" spans="1:9" ht="24" customHeight="1">
      <c r="A1110" s="6" t="s">
        <v>2528</v>
      </c>
      <c r="B1110">
        <v>5993</v>
      </c>
      <c r="C1110">
        <v>1215</v>
      </c>
      <c r="D1110">
        <v>510876</v>
      </c>
      <c r="E1110">
        <v>359339</v>
      </c>
      <c r="F1110">
        <v>20.9</v>
      </c>
      <c r="G1110">
        <v>5.9</v>
      </c>
      <c r="H1110">
        <v>6.5</v>
      </c>
      <c r="I1110">
        <v>6.3</v>
      </c>
    </row>
    <row r="1111" spans="1:9" ht="24" customHeight="1">
      <c r="A1111" s="6" t="s">
        <v>491</v>
      </c>
      <c r="B1111">
        <v>373508</v>
      </c>
      <c r="C1111">
        <v>68752</v>
      </c>
      <c r="D1111">
        <v>509719</v>
      </c>
      <c r="E1111">
        <v>370985</v>
      </c>
      <c r="F1111">
        <v>15.7</v>
      </c>
      <c r="G1111">
        <v>8.9</v>
      </c>
      <c r="H1111">
        <v>15.4</v>
      </c>
      <c r="I1111">
        <v>11.6</v>
      </c>
    </row>
    <row r="1112" spans="1:9" ht="24" customHeight="1">
      <c r="A1112" s="6" t="s">
        <v>492</v>
      </c>
      <c r="B1112">
        <v>82084</v>
      </c>
      <c r="C1112">
        <v>11582</v>
      </c>
      <c r="D1112">
        <v>686302</v>
      </c>
      <c r="E1112">
        <v>491575</v>
      </c>
      <c r="F1112">
        <v>16.600000000000001</v>
      </c>
      <c r="G1112">
        <v>12.5</v>
      </c>
      <c r="H1112">
        <v>17</v>
      </c>
      <c r="I1112">
        <v>13.8</v>
      </c>
    </row>
    <row r="1113" spans="1:9" ht="24" customHeight="1">
      <c r="A1113" s="6" t="s">
        <v>493</v>
      </c>
      <c r="B1113">
        <v>3170</v>
      </c>
      <c r="C1113">
        <v>968</v>
      </c>
      <c r="D1113">
        <v>374527</v>
      </c>
      <c r="E1113">
        <v>294740</v>
      </c>
      <c r="F1113">
        <v>13.6</v>
      </c>
      <c r="G1113">
        <v>18.3</v>
      </c>
      <c r="H1113">
        <v>0</v>
      </c>
      <c r="I1113">
        <v>0</v>
      </c>
    </row>
    <row r="1114" spans="1:9" ht="24" customHeight="1">
      <c r="A1114" s="6" t="s">
        <v>2529</v>
      </c>
      <c r="B1114">
        <v>6818</v>
      </c>
      <c r="C1114">
        <v>1725</v>
      </c>
      <c r="D1114">
        <v>448187</v>
      </c>
      <c r="E1114">
        <v>380135</v>
      </c>
      <c r="F1114">
        <v>22.6</v>
      </c>
      <c r="G1114">
        <v>16.3</v>
      </c>
      <c r="H1114">
        <v>1.5</v>
      </c>
      <c r="I1114">
        <v>1.3</v>
      </c>
    </row>
    <row r="1115" spans="1:9" ht="24" customHeight="1">
      <c r="A1115" s="6" t="s">
        <v>2530</v>
      </c>
      <c r="B1115">
        <v>10034</v>
      </c>
      <c r="C1115">
        <v>1606</v>
      </c>
      <c r="D1115">
        <v>670037</v>
      </c>
      <c r="E1115">
        <v>507326</v>
      </c>
      <c r="F1115">
        <v>18.600000000000001</v>
      </c>
      <c r="G1115">
        <v>8</v>
      </c>
      <c r="H1115">
        <v>12</v>
      </c>
      <c r="I1115">
        <v>12.3</v>
      </c>
    </row>
    <row r="1116" spans="1:9" ht="24" customHeight="1">
      <c r="A1116" s="6" t="s">
        <v>2531</v>
      </c>
      <c r="B1116">
        <v>14087</v>
      </c>
      <c r="C1116">
        <v>945</v>
      </c>
      <c r="D1116">
        <v>693118</v>
      </c>
      <c r="E1116">
        <v>553848</v>
      </c>
      <c r="F1116">
        <v>16.600000000000001</v>
      </c>
      <c r="G1116">
        <v>10.3</v>
      </c>
      <c r="H1116">
        <v>16.5</v>
      </c>
      <c r="I1116">
        <v>16.3</v>
      </c>
    </row>
    <row r="1117" spans="1:9" ht="24" customHeight="1">
      <c r="A1117" s="6" t="s">
        <v>2532</v>
      </c>
      <c r="B1117">
        <v>5488</v>
      </c>
      <c r="C1117">
        <v>678</v>
      </c>
      <c r="D1117">
        <v>772305</v>
      </c>
      <c r="E1117">
        <v>711802</v>
      </c>
      <c r="F1117">
        <v>18.100000000000001</v>
      </c>
      <c r="G1117">
        <v>12.9</v>
      </c>
      <c r="H1117">
        <v>22.1</v>
      </c>
      <c r="I1117">
        <v>21.6</v>
      </c>
    </row>
    <row r="1118" spans="1:9" ht="24" customHeight="1">
      <c r="A1118" s="6" t="s">
        <v>2533</v>
      </c>
      <c r="B1118">
        <v>8675</v>
      </c>
      <c r="C1118">
        <v>1028</v>
      </c>
      <c r="D1118">
        <v>869043</v>
      </c>
      <c r="E1118">
        <v>617656</v>
      </c>
      <c r="F1118">
        <v>16.899999999999999</v>
      </c>
      <c r="G1118">
        <v>20.100000000000001</v>
      </c>
      <c r="H1118">
        <v>26.9</v>
      </c>
      <c r="I1118">
        <v>26.3</v>
      </c>
    </row>
    <row r="1119" spans="1:9" ht="24" customHeight="1">
      <c r="A1119" s="6" t="s">
        <v>2534</v>
      </c>
      <c r="B1119">
        <v>6109</v>
      </c>
      <c r="C1119">
        <v>1178</v>
      </c>
      <c r="D1119">
        <v>569743</v>
      </c>
      <c r="E1119">
        <v>455272</v>
      </c>
      <c r="F1119">
        <v>18.8</v>
      </c>
      <c r="G1119">
        <v>10.1</v>
      </c>
      <c r="H1119">
        <v>3.6</v>
      </c>
      <c r="I1119">
        <v>3.6</v>
      </c>
    </row>
    <row r="1120" spans="1:9" ht="24" customHeight="1">
      <c r="A1120" s="6" t="s">
        <v>494</v>
      </c>
      <c r="B1120">
        <v>16576</v>
      </c>
      <c r="C1120">
        <v>1963</v>
      </c>
      <c r="D1120">
        <v>830136</v>
      </c>
      <c r="E1120">
        <v>566219</v>
      </c>
      <c r="F1120">
        <v>9.3000000000000007</v>
      </c>
      <c r="G1120">
        <v>8.5</v>
      </c>
      <c r="H1120">
        <v>34.6</v>
      </c>
      <c r="I1120">
        <v>35.5</v>
      </c>
    </row>
    <row r="1121" spans="1:9" ht="24" customHeight="1">
      <c r="A1121" s="6" t="s">
        <v>2535</v>
      </c>
      <c r="B1121">
        <v>11161</v>
      </c>
      <c r="C1121">
        <v>1926</v>
      </c>
      <c r="D1121">
        <v>591711</v>
      </c>
      <c r="E1121">
        <v>433469</v>
      </c>
      <c r="F1121">
        <v>20.8</v>
      </c>
      <c r="G1121">
        <v>10.199999999999999</v>
      </c>
      <c r="H1121">
        <v>7.2</v>
      </c>
      <c r="I1121">
        <v>6.6</v>
      </c>
    </row>
    <row r="1122" spans="1:9" ht="24" customHeight="1">
      <c r="A1122" s="6" t="s">
        <v>2536</v>
      </c>
      <c r="B1122">
        <v>153985</v>
      </c>
      <c r="C1122">
        <v>27765</v>
      </c>
      <c r="D1122">
        <v>422086</v>
      </c>
      <c r="E1122">
        <v>302337</v>
      </c>
      <c r="F1122">
        <v>14</v>
      </c>
      <c r="G1122">
        <v>7.6</v>
      </c>
      <c r="H1122">
        <v>14</v>
      </c>
      <c r="I1122">
        <v>9.9</v>
      </c>
    </row>
    <row r="1123" spans="1:9" ht="24" customHeight="1">
      <c r="A1123" s="6" t="s">
        <v>2537</v>
      </c>
      <c r="B1123">
        <v>10135</v>
      </c>
      <c r="C1123">
        <v>2939</v>
      </c>
      <c r="D1123">
        <v>271978</v>
      </c>
      <c r="E1123">
        <v>217987</v>
      </c>
      <c r="F1123">
        <v>11.7</v>
      </c>
      <c r="G1123">
        <v>5</v>
      </c>
      <c r="H1123">
        <v>0</v>
      </c>
      <c r="I1123">
        <v>0</v>
      </c>
    </row>
    <row r="1124" spans="1:9" ht="24" customHeight="1">
      <c r="A1124" s="6" t="s">
        <v>2538</v>
      </c>
      <c r="B1124">
        <v>14707</v>
      </c>
      <c r="C1124">
        <v>3441</v>
      </c>
      <c r="D1124">
        <v>334055</v>
      </c>
      <c r="E1124">
        <v>251587</v>
      </c>
      <c r="F1124">
        <v>14.6</v>
      </c>
      <c r="G1124">
        <v>5.2</v>
      </c>
      <c r="H1124">
        <v>1.4</v>
      </c>
      <c r="I1124">
        <v>1.4</v>
      </c>
    </row>
    <row r="1125" spans="1:9" ht="24" customHeight="1">
      <c r="A1125" s="6" t="s">
        <v>2539</v>
      </c>
      <c r="B1125">
        <v>16452</v>
      </c>
      <c r="C1125">
        <v>3542</v>
      </c>
      <c r="D1125">
        <v>435592</v>
      </c>
      <c r="E1125">
        <v>340998</v>
      </c>
      <c r="F1125">
        <v>15.8</v>
      </c>
      <c r="G1125">
        <v>12</v>
      </c>
      <c r="H1125">
        <v>11.9</v>
      </c>
      <c r="I1125">
        <v>11.4</v>
      </c>
    </row>
    <row r="1126" spans="1:9" ht="24" customHeight="1">
      <c r="A1126" s="6" t="s">
        <v>2540</v>
      </c>
      <c r="B1126">
        <v>19493</v>
      </c>
      <c r="C1126">
        <v>3318</v>
      </c>
      <c r="D1126">
        <v>454528</v>
      </c>
      <c r="E1126">
        <v>340393</v>
      </c>
      <c r="F1126">
        <v>15.1</v>
      </c>
      <c r="G1126">
        <v>8.6</v>
      </c>
      <c r="H1126">
        <v>17</v>
      </c>
      <c r="I1126">
        <v>17.3</v>
      </c>
    </row>
    <row r="1127" spans="1:9" ht="24" customHeight="1">
      <c r="A1127" s="6" t="s">
        <v>2541</v>
      </c>
      <c r="B1127">
        <v>20067</v>
      </c>
      <c r="C1127">
        <v>1398</v>
      </c>
      <c r="D1127">
        <v>518463</v>
      </c>
      <c r="E1127">
        <v>335811</v>
      </c>
      <c r="F1127">
        <v>13.1</v>
      </c>
      <c r="G1127">
        <v>5.8</v>
      </c>
      <c r="H1127">
        <v>21.6</v>
      </c>
      <c r="I1127">
        <v>21.2</v>
      </c>
    </row>
    <row r="1128" spans="1:9" ht="24" customHeight="1">
      <c r="A1128" s="6" t="s">
        <v>2542</v>
      </c>
      <c r="B1128">
        <v>12745</v>
      </c>
      <c r="C1128">
        <v>829</v>
      </c>
      <c r="D1128">
        <v>508759</v>
      </c>
      <c r="E1128">
        <v>326756</v>
      </c>
      <c r="F1128">
        <v>14.7</v>
      </c>
      <c r="G1128">
        <v>1.4</v>
      </c>
      <c r="H1128">
        <v>26.9</v>
      </c>
      <c r="I1128">
        <v>27</v>
      </c>
    </row>
    <row r="1129" spans="1:9" ht="24" customHeight="1">
      <c r="A1129" s="6" t="s">
        <v>2543</v>
      </c>
      <c r="B1129">
        <v>13134</v>
      </c>
      <c r="C1129">
        <v>4138</v>
      </c>
      <c r="D1129">
        <v>356504</v>
      </c>
      <c r="E1129">
        <v>289654</v>
      </c>
      <c r="F1129">
        <v>16.100000000000001</v>
      </c>
      <c r="G1129">
        <v>7.6</v>
      </c>
      <c r="H1129">
        <v>3.5</v>
      </c>
      <c r="I1129">
        <v>3.6</v>
      </c>
    </row>
    <row r="1130" spans="1:9" ht="24" customHeight="1">
      <c r="A1130" s="6" t="s">
        <v>2544</v>
      </c>
      <c r="B1130">
        <v>15930</v>
      </c>
      <c r="C1130">
        <v>1998</v>
      </c>
      <c r="D1130">
        <v>468105</v>
      </c>
      <c r="E1130">
        <v>306359</v>
      </c>
      <c r="F1130">
        <v>7.7</v>
      </c>
      <c r="G1130">
        <v>3.6</v>
      </c>
      <c r="H1130">
        <v>36</v>
      </c>
      <c r="I1130">
        <v>33.700000000000003</v>
      </c>
    </row>
    <row r="1131" spans="1:9" ht="24" customHeight="1">
      <c r="A1131" s="6" t="s">
        <v>2545</v>
      </c>
      <c r="B1131">
        <v>31789</v>
      </c>
      <c r="C1131">
        <v>7067</v>
      </c>
      <c r="D1131">
        <v>388584</v>
      </c>
      <c r="E1131">
        <v>304214</v>
      </c>
      <c r="F1131">
        <v>15.3</v>
      </c>
      <c r="G1131">
        <v>8.3000000000000007</v>
      </c>
      <c r="H1131">
        <v>6.9</v>
      </c>
      <c r="I1131">
        <v>6.4</v>
      </c>
    </row>
    <row r="1132" spans="1:9" ht="24" customHeight="1">
      <c r="A1132" s="6" t="s">
        <v>2546</v>
      </c>
      <c r="B1132">
        <v>72710</v>
      </c>
      <c r="C1132">
        <v>16045</v>
      </c>
      <c r="D1132">
        <v>479932</v>
      </c>
      <c r="E1132">
        <v>382277</v>
      </c>
      <c r="F1132">
        <v>16.399999999999999</v>
      </c>
      <c r="G1132">
        <v>8.3000000000000007</v>
      </c>
      <c r="H1132">
        <v>15.7</v>
      </c>
      <c r="I1132">
        <v>13.1</v>
      </c>
    </row>
    <row r="1133" spans="1:9" ht="24" customHeight="1">
      <c r="A1133" s="6" t="s">
        <v>2547</v>
      </c>
      <c r="B1133">
        <v>3636</v>
      </c>
      <c r="C1133">
        <v>728</v>
      </c>
      <c r="D1133">
        <v>251303</v>
      </c>
      <c r="E1133">
        <v>228551</v>
      </c>
      <c r="F1133">
        <v>7.5</v>
      </c>
      <c r="G1133">
        <v>3.5</v>
      </c>
      <c r="H1133">
        <v>0</v>
      </c>
      <c r="I1133">
        <v>0</v>
      </c>
    </row>
    <row r="1134" spans="1:9" ht="24" customHeight="1">
      <c r="A1134" s="6" t="s">
        <v>2548</v>
      </c>
      <c r="B1134">
        <v>4796</v>
      </c>
      <c r="C1134">
        <v>1323</v>
      </c>
      <c r="D1134">
        <v>333257</v>
      </c>
      <c r="E1134">
        <v>283332</v>
      </c>
      <c r="F1134">
        <v>18.899999999999999</v>
      </c>
      <c r="G1134">
        <v>6.8</v>
      </c>
      <c r="H1134">
        <v>1.5</v>
      </c>
      <c r="I1134">
        <v>1.3</v>
      </c>
    </row>
    <row r="1135" spans="1:9" ht="24" customHeight="1">
      <c r="A1135" s="6" t="s">
        <v>2549</v>
      </c>
      <c r="B1135">
        <v>9963</v>
      </c>
      <c r="C1135">
        <v>2169</v>
      </c>
      <c r="D1135">
        <v>452479</v>
      </c>
      <c r="E1135">
        <v>396861</v>
      </c>
      <c r="F1135">
        <v>16.8</v>
      </c>
      <c r="G1135">
        <v>8</v>
      </c>
      <c r="H1135">
        <v>11.9</v>
      </c>
      <c r="I1135">
        <v>11.6</v>
      </c>
    </row>
    <row r="1136" spans="1:9" ht="24" customHeight="1">
      <c r="A1136" s="6" t="s">
        <v>2550</v>
      </c>
      <c r="B1136">
        <v>12461</v>
      </c>
      <c r="C1136">
        <v>2113</v>
      </c>
      <c r="D1136">
        <v>518026</v>
      </c>
      <c r="E1136">
        <v>393708</v>
      </c>
      <c r="F1136">
        <v>20.100000000000001</v>
      </c>
      <c r="G1136">
        <v>10.199999999999999</v>
      </c>
      <c r="H1136">
        <v>17</v>
      </c>
      <c r="I1136">
        <v>16.7</v>
      </c>
    </row>
    <row r="1137" spans="1:9" ht="24" customHeight="1">
      <c r="A1137" s="6" t="s">
        <v>2551</v>
      </c>
      <c r="B1137">
        <v>8249</v>
      </c>
      <c r="C1137">
        <v>1322</v>
      </c>
      <c r="D1137">
        <v>562722</v>
      </c>
      <c r="E1137">
        <v>444190</v>
      </c>
      <c r="F1137">
        <v>14.3</v>
      </c>
      <c r="G1137">
        <v>4.7</v>
      </c>
      <c r="H1137">
        <v>22.2</v>
      </c>
      <c r="I1137">
        <v>22.3</v>
      </c>
    </row>
    <row r="1138" spans="1:9" ht="24" customHeight="1">
      <c r="A1138" s="6" t="s">
        <v>2552</v>
      </c>
      <c r="B1138">
        <v>7010</v>
      </c>
      <c r="C1138">
        <v>1054</v>
      </c>
      <c r="D1138">
        <v>522169</v>
      </c>
      <c r="E1138">
        <v>444169</v>
      </c>
      <c r="F1138">
        <v>17.7</v>
      </c>
      <c r="G1138">
        <v>6.2</v>
      </c>
      <c r="H1138">
        <v>26.6</v>
      </c>
      <c r="I1138">
        <v>25.8</v>
      </c>
    </row>
    <row r="1139" spans="1:9" ht="24" customHeight="1">
      <c r="A1139" s="6" t="s">
        <v>2553</v>
      </c>
      <c r="B1139">
        <v>4721</v>
      </c>
      <c r="C1139">
        <v>1539</v>
      </c>
      <c r="D1139">
        <v>402548</v>
      </c>
      <c r="E1139">
        <v>283921</v>
      </c>
      <c r="F1139">
        <v>17.399999999999999</v>
      </c>
      <c r="G1139">
        <v>8.8000000000000007</v>
      </c>
      <c r="H1139">
        <v>3.5</v>
      </c>
      <c r="I1139">
        <v>3.5</v>
      </c>
    </row>
    <row r="1140" spans="1:9" ht="24" customHeight="1">
      <c r="A1140" s="6" t="s">
        <v>2554</v>
      </c>
      <c r="B1140">
        <v>9707</v>
      </c>
      <c r="C1140">
        <v>1942</v>
      </c>
      <c r="D1140">
        <v>596828</v>
      </c>
      <c r="E1140">
        <v>509455</v>
      </c>
      <c r="F1140">
        <v>10.7</v>
      </c>
      <c r="G1140">
        <v>8.6999999999999993</v>
      </c>
      <c r="H1140">
        <v>34.4</v>
      </c>
      <c r="I1140">
        <v>33.1</v>
      </c>
    </row>
    <row r="1141" spans="1:9" ht="24" customHeight="1">
      <c r="A1141" s="6" t="s">
        <v>2555</v>
      </c>
      <c r="B1141">
        <v>12448</v>
      </c>
      <c r="C1141">
        <v>4300</v>
      </c>
      <c r="D1141">
        <v>441213</v>
      </c>
      <c r="E1141">
        <v>366450</v>
      </c>
      <c r="F1141">
        <v>18.5</v>
      </c>
      <c r="G1141">
        <v>9.1</v>
      </c>
      <c r="H1141">
        <v>6.9</v>
      </c>
      <c r="I1141">
        <v>6.7</v>
      </c>
    </row>
    <row r="1142" spans="1:9" ht="24" customHeight="1">
      <c r="A1142" s="6" t="s">
        <v>2556</v>
      </c>
      <c r="B1142">
        <v>64730</v>
      </c>
      <c r="C1142">
        <v>13360</v>
      </c>
      <c r="D1142">
        <v>527721</v>
      </c>
      <c r="E1142">
        <v>395552</v>
      </c>
      <c r="F1142">
        <v>17.600000000000001</v>
      </c>
      <c r="G1142">
        <v>9.5</v>
      </c>
      <c r="H1142">
        <v>16.399999999999999</v>
      </c>
      <c r="I1142">
        <v>11.3</v>
      </c>
    </row>
    <row r="1143" spans="1:9" ht="24" customHeight="1">
      <c r="A1143" s="6" t="s">
        <v>2557</v>
      </c>
      <c r="B1143">
        <v>4638</v>
      </c>
      <c r="C1143">
        <v>1566</v>
      </c>
      <c r="D1143">
        <v>254470</v>
      </c>
      <c r="E1143">
        <v>279422</v>
      </c>
      <c r="F1143">
        <v>7.2</v>
      </c>
      <c r="G1143">
        <v>7.5</v>
      </c>
      <c r="H1143">
        <v>0</v>
      </c>
      <c r="I1143">
        <v>0</v>
      </c>
    </row>
    <row r="1144" spans="1:9" ht="24" customHeight="1">
      <c r="A1144" s="6" t="s">
        <v>2558</v>
      </c>
      <c r="B1144">
        <v>4476</v>
      </c>
      <c r="C1144">
        <v>1659</v>
      </c>
      <c r="D1144">
        <v>369045</v>
      </c>
      <c r="E1144">
        <v>302707</v>
      </c>
      <c r="F1144">
        <v>20.8</v>
      </c>
      <c r="G1144">
        <v>7.1</v>
      </c>
      <c r="H1144">
        <v>1.4</v>
      </c>
      <c r="I1144">
        <v>1.4</v>
      </c>
    </row>
    <row r="1145" spans="1:9" ht="24" customHeight="1">
      <c r="A1145" s="6" t="s">
        <v>2559</v>
      </c>
      <c r="B1145">
        <v>6694</v>
      </c>
      <c r="C1145">
        <v>1175</v>
      </c>
      <c r="D1145">
        <v>512646</v>
      </c>
      <c r="E1145">
        <v>445758</v>
      </c>
      <c r="F1145">
        <v>17.2</v>
      </c>
      <c r="G1145">
        <v>8.1999999999999993</v>
      </c>
      <c r="H1145">
        <v>12</v>
      </c>
      <c r="I1145">
        <v>11.9</v>
      </c>
    </row>
    <row r="1146" spans="1:9" ht="24" customHeight="1">
      <c r="A1146" s="6" t="s">
        <v>2560</v>
      </c>
      <c r="B1146">
        <v>10272</v>
      </c>
      <c r="C1146">
        <v>1884</v>
      </c>
      <c r="D1146">
        <v>606497</v>
      </c>
      <c r="E1146">
        <v>433287</v>
      </c>
      <c r="F1146">
        <v>19.8</v>
      </c>
      <c r="G1146">
        <v>10</v>
      </c>
      <c r="H1146">
        <v>16.899999999999999</v>
      </c>
      <c r="I1146">
        <v>16.5</v>
      </c>
    </row>
    <row r="1147" spans="1:9" ht="24" customHeight="1">
      <c r="A1147" s="6" t="s">
        <v>2561</v>
      </c>
      <c r="B1147">
        <v>5478</v>
      </c>
      <c r="C1147">
        <v>1198</v>
      </c>
      <c r="D1147">
        <v>678493</v>
      </c>
      <c r="E1147">
        <v>543288</v>
      </c>
      <c r="F1147">
        <v>25.8</v>
      </c>
      <c r="G1147">
        <v>7.4</v>
      </c>
      <c r="H1147">
        <v>21.9</v>
      </c>
      <c r="I1147">
        <v>22.4</v>
      </c>
    </row>
    <row r="1148" spans="1:9" ht="24" customHeight="1">
      <c r="A1148" s="6" t="s">
        <v>2562</v>
      </c>
      <c r="B1148">
        <v>5700</v>
      </c>
      <c r="C1148">
        <v>581</v>
      </c>
      <c r="D1148">
        <v>614351</v>
      </c>
      <c r="E1148">
        <v>465440</v>
      </c>
      <c r="F1148">
        <v>12.3</v>
      </c>
      <c r="G1148">
        <v>6.5</v>
      </c>
      <c r="H1148">
        <v>26.7</v>
      </c>
      <c r="I1148">
        <v>26.6</v>
      </c>
    </row>
    <row r="1149" spans="1:9" ht="24" customHeight="1">
      <c r="A1149" s="6" t="s">
        <v>2563</v>
      </c>
      <c r="B1149">
        <v>3941</v>
      </c>
      <c r="C1149">
        <v>1561</v>
      </c>
      <c r="D1149">
        <v>387806</v>
      </c>
      <c r="E1149">
        <v>347122</v>
      </c>
      <c r="F1149">
        <v>18.600000000000001</v>
      </c>
      <c r="G1149">
        <v>12.5</v>
      </c>
      <c r="H1149">
        <v>3.4</v>
      </c>
      <c r="I1149">
        <v>3.6</v>
      </c>
    </row>
    <row r="1150" spans="1:9" ht="24" customHeight="1">
      <c r="A1150" s="6" t="s">
        <v>2564</v>
      </c>
      <c r="B1150">
        <v>12383</v>
      </c>
      <c r="C1150">
        <v>1171</v>
      </c>
      <c r="D1150">
        <v>615959</v>
      </c>
      <c r="E1150">
        <v>475511</v>
      </c>
      <c r="F1150">
        <v>12.6</v>
      </c>
      <c r="G1150">
        <v>12.1</v>
      </c>
      <c r="H1150">
        <v>35.700000000000003</v>
      </c>
      <c r="I1150">
        <v>34.200000000000003</v>
      </c>
    </row>
    <row r="1151" spans="1:9" ht="24" customHeight="1">
      <c r="A1151" s="6" t="s">
        <v>2565</v>
      </c>
      <c r="B1151">
        <v>11198</v>
      </c>
      <c r="C1151">
        <v>2792</v>
      </c>
      <c r="D1151">
        <v>473385</v>
      </c>
      <c r="E1151">
        <v>382647</v>
      </c>
      <c r="F1151">
        <v>22.7</v>
      </c>
      <c r="G1151">
        <v>10.4</v>
      </c>
      <c r="H1151">
        <v>6.8</v>
      </c>
      <c r="I1151">
        <v>6.9</v>
      </c>
    </row>
    <row r="1152" spans="1:9" ht="24" customHeight="1">
      <c r="A1152" s="6" t="s">
        <v>495</v>
      </c>
      <c r="B1152">
        <v>126050</v>
      </c>
      <c r="C1152">
        <v>38407</v>
      </c>
      <c r="D1152">
        <v>537732</v>
      </c>
      <c r="E1152">
        <v>381835</v>
      </c>
      <c r="F1152">
        <v>13.2</v>
      </c>
      <c r="G1152">
        <v>9</v>
      </c>
      <c r="H1152">
        <v>15.9</v>
      </c>
      <c r="I1152">
        <v>13.5</v>
      </c>
    </row>
    <row r="1153" spans="1:9" ht="24" customHeight="1">
      <c r="A1153" s="6" t="s">
        <v>496</v>
      </c>
      <c r="B1153">
        <v>47493</v>
      </c>
      <c r="C1153">
        <v>12792</v>
      </c>
      <c r="D1153">
        <v>639761</v>
      </c>
      <c r="E1153">
        <v>461934</v>
      </c>
      <c r="F1153">
        <v>13.4</v>
      </c>
      <c r="G1153">
        <v>10.3</v>
      </c>
      <c r="H1153">
        <v>18.600000000000001</v>
      </c>
      <c r="I1153">
        <v>16.2</v>
      </c>
    </row>
    <row r="1154" spans="1:9" ht="24" customHeight="1">
      <c r="A1154" s="6" t="s">
        <v>497</v>
      </c>
      <c r="B1154">
        <v>1478</v>
      </c>
      <c r="C1154">
        <v>743</v>
      </c>
      <c r="D1154">
        <v>295711</v>
      </c>
      <c r="E1154">
        <v>258551</v>
      </c>
      <c r="F1154">
        <v>5.6</v>
      </c>
      <c r="G1154">
        <v>4.9000000000000004</v>
      </c>
      <c r="H1154">
        <v>0</v>
      </c>
      <c r="I1154">
        <v>0</v>
      </c>
    </row>
    <row r="1155" spans="1:9" ht="24" customHeight="1">
      <c r="A1155" s="6" t="s">
        <v>2566</v>
      </c>
      <c r="B1155">
        <v>2880</v>
      </c>
      <c r="C1155">
        <v>1473</v>
      </c>
      <c r="D1155">
        <v>405073</v>
      </c>
      <c r="E1155">
        <v>352899</v>
      </c>
      <c r="F1155">
        <v>20.399999999999999</v>
      </c>
      <c r="G1155">
        <v>16.899999999999999</v>
      </c>
      <c r="H1155">
        <v>1.4</v>
      </c>
      <c r="I1155">
        <v>1.4</v>
      </c>
    </row>
    <row r="1156" spans="1:9" ht="24" customHeight="1">
      <c r="A1156" s="6" t="s">
        <v>2567</v>
      </c>
      <c r="B1156">
        <v>6209</v>
      </c>
      <c r="C1156">
        <v>2099</v>
      </c>
      <c r="D1156">
        <v>590011</v>
      </c>
      <c r="E1156">
        <v>474390</v>
      </c>
      <c r="F1156">
        <v>15.4</v>
      </c>
      <c r="G1156">
        <v>8.1999999999999993</v>
      </c>
      <c r="H1156">
        <v>12.4</v>
      </c>
      <c r="I1156">
        <v>12.4</v>
      </c>
    </row>
    <row r="1157" spans="1:9" ht="24" customHeight="1">
      <c r="A1157" s="6" t="s">
        <v>2568</v>
      </c>
      <c r="B1157">
        <v>6922</v>
      </c>
      <c r="C1157">
        <v>1457</v>
      </c>
      <c r="D1157">
        <v>666513</v>
      </c>
      <c r="E1157">
        <v>466579</v>
      </c>
      <c r="F1157">
        <v>15.7</v>
      </c>
      <c r="G1157">
        <v>7.5</v>
      </c>
      <c r="H1157">
        <v>16.600000000000001</v>
      </c>
      <c r="I1157">
        <v>16.600000000000001</v>
      </c>
    </row>
    <row r="1158" spans="1:9" ht="24" customHeight="1">
      <c r="A1158" s="6" t="s">
        <v>2569</v>
      </c>
      <c r="B1158">
        <v>4281</v>
      </c>
      <c r="C1158">
        <v>893</v>
      </c>
      <c r="D1158">
        <v>760810</v>
      </c>
      <c r="E1158">
        <v>549520</v>
      </c>
      <c r="F1158">
        <v>11.5</v>
      </c>
      <c r="G1158">
        <v>8.1999999999999993</v>
      </c>
      <c r="H1158">
        <v>22.1</v>
      </c>
      <c r="I1158">
        <v>22.5</v>
      </c>
    </row>
    <row r="1159" spans="1:9" ht="24" customHeight="1">
      <c r="A1159" s="6" t="s">
        <v>2570</v>
      </c>
      <c r="B1159">
        <v>3967</v>
      </c>
      <c r="C1159">
        <v>742</v>
      </c>
      <c r="D1159">
        <v>737925</v>
      </c>
      <c r="E1159">
        <v>572865</v>
      </c>
      <c r="F1159">
        <v>9.4</v>
      </c>
      <c r="G1159">
        <v>2.2999999999999998</v>
      </c>
      <c r="H1159">
        <v>26.8</v>
      </c>
      <c r="I1159">
        <v>26.8</v>
      </c>
    </row>
    <row r="1160" spans="1:9" ht="24" customHeight="1">
      <c r="A1160" s="6" t="s">
        <v>2571</v>
      </c>
      <c r="B1160">
        <v>3423</v>
      </c>
      <c r="C1160">
        <v>1225</v>
      </c>
      <c r="D1160">
        <v>468224</v>
      </c>
      <c r="E1160">
        <v>395999</v>
      </c>
      <c r="F1160">
        <v>19.600000000000001</v>
      </c>
      <c r="G1160">
        <v>16.600000000000001</v>
      </c>
      <c r="H1160">
        <v>3.5</v>
      </c>
      <c r="I1160">
        <v>3.5</v>
      </c>
    </row>
    <row r="1161" spans="1:9" ht="24" customHeight="1">
      <c r="A1161" s="6" t="s">
        <v>498</v>
      </c>
      <c r="B1161">
        <v>12926</v>
      </c>
      <c r="C1161">
        <v>3106</v>
      </c>
      <c r="D1161">
        <v>751959</v>
      </c>
      <c r="E1161">
        <v>504676</v>
      </c>
      <c r="F1161">
        <v>8</v>
      </c>
      <c r="G1161">
        <v>8.4</v>
      </c>
      <c r="H1161">
        <v>33.700000000000003</v>
      </c>
      <c r="I1161">
        <v>34.5</v>
      </c>
    </row>
    <row r="1162" spans="1:9" ht="24" customHeight="1">
      <c r="A1162" s="6" t="s">
        <v>2572</v>
      </c>
      <c r="B1162">
        <v>5431</v>
      </c>
      <c r="C1162">
        <v>1629</v>
      </c>
      <c r="D1162">
        <v>553166</v>
      </c>
      <c r="E1162">
        <v>475727</v>
      </c>
      <c r="F1162">
        <v>19.8</v>
      </c>
      <c r="G1162">
        <v>11.8</v>
      </c>
      <c r="H1162">
        <v>6.9</v>
      </c>
      <c r="I1162">
        <v>6.8</v>
      </c>
    </row>
    <row r="1163" spans="1:9" ht="24" customHeight="1">
      <c r="A1163" s="6" t="s">
        <v>2573</v>
      </c>
      <c r="B1163">
        <v>26411</v>
      </c>
      <c r="C1163">
        <v>8690</v>
      </c>
      <c r="D1163">
        <v>385356</v>
      </c>
      <c r="E1163">
        <v>277051</v>
      </c>
      <c r="F1163">
        <v>11.7</v>
      </c>
      <c r="G1163">
        <v>5</v>
      </c>
      <c r="H1163">
        <v>11.9</v>
      </c>
      <c r="I1163">
        <v>11</v>
      </c>
    </row>
    <row r="1164" spans="1:9" ht="24" customHeight="1">
      <c r="A1164" s="6" t="s">
        <v>2574</v>
      </c>
      <c r="B1164">
        <v>1481</v>
      </c>
      <c r="C1164">
        <v>782</v>
      </c>
      <c r="D1164">
        <v>277420</v>
      </c>
      <c r="E1164">
        <v>185647</v>
      </c>
      <c r="F1164">
        <v>10.8</v>
      </c>
      <c r="G1164">
        <v>2.4</v>
      </c>
      <c r="H1164">
        <v>0</v>
      </c>
      <c r="I1164">
        <v>0</v>
      </c>
    </row>
    <row r="1165" spans="1:9" ht="24" customHeight="1">
      <c r="A1165" s="6" t="s">
        <v>2575</v>
      </c>
      <c r="B1165">
        <v>2820</v>
      </c>
      <c r="C1165">
        <v>1075</v>
      </c>
      <c r="D1165">
        <v>327920</v>
      </c>
      <c r="E1165">
        <v>252523</v>
      </c>
      <c r="F1165">
        <v>14.1</v>
      </c>
      <c r="G1165">
        <v>5.7</v>
      </c>
      <c r="H1165">
        <v>1.4</v>
      </c>
      <c r="I1165">
        <v>1.5</v>
      </c>
    </row>
    <row r="1166" spans="1:9" ht="24" customHeight="1">
      <c r="A1166" s="6" t="s">
        <v>2576</v>
      </c>
      <c r="B1166">
        <v>4243</v>
      </c>
      <c r="C1166">
        <v>1396</v>
      </c>
      <c r="D1166">
        <v>399103</v>
      </c>
      <c r="E1166">
        <v>276200</v>
      </c>
      <c r="F1166">
        <v>10.1</v>
      </c>
      <c r="G1166">
        <v>5.6</v>
      </c>
      <c r="H1166">
        <v>12</v>
      </c>
      <c r="I1166">
        <v>11.9</v>
      </c>
    </row>
    <row r="1167" spans="1:9" ht="24" customHeight="1">
      <c r="A1167" s="6" t="s">
        <v>2577</v>
      </c>
      <c r="B1167">
        <v>3704</v>
      </c>
      <c r="C1167">
        <v>1503</v>
      </c>
      <c r="D1167">
        <v>387753</v>
      </c>
      <c r="E1167">
        <v>299339</v>
      </c>
      <c r="F1167">
        <v>7.6</v>
      </c>
      <c r="G1167">
        <v>5.0999999999999996</v>
      </c>
      <c r="H1167">
        <v>16.8</v>
      </c>
      <c r="I1167">
        <v>16.5</v>
      </c>
    </row>
    <row r="1168" spans="1:9" ht="24" customHeight="1">
      <c r="A1168" s="6" t="s">
        <v>2578</v>
      </c>
      <c r="B1168">
        <v>1840</v>
      </c>
      <c r="C1168">
        <v>639</v>
      </c>
      <c r="D1168">
        <v>447463</v>
      </c>
      <c r="E1168">
        <v>280407</v>
      </c>
      <c r="F1168">
        <v>14.9</v>
      </c>
      <c r="G1168">
        <v>2.6</v>
      </c>
      <c r="H1168">
        <v>22</v>
      </c>
      <c r="I1168">
        <v>21.3</v>
      </c>
    </row>
    <row r="1169" spans="1:9" ht="24" customHeight="1">
      <c r="A1169" s="6" t="s">
        <v>2579</v>
      </c>
      <c r="B1169">
        <v>1467</v>
      </c>
      <c r="C1169">
        <v>348</v>
      </c>
      <c r="D1169">
        <v>463614</v>
      </c>
      <c r="E1169">
        <v>288905</v>
      </c>
      <c r="F1169">
        <v>11.1</v>
      </c>
      <c r="G1169">
        <v>5</v>
      </c>
      <c r="H1169">
        <v>26.9</v>
      </c>
      <c r="I1169">
        <v>26.6</v>
      </c>
    </row>
    <row r="1170" spans="1:9" ht="24" customHeight="1">
      <c r="A1170" s="6" t="s">
        <v>2580</v>
      </c>
      <c r="B1170">
        <v>2576</v>
      </c>
      <c r="C1170">
        <v>869</v>
      </c>
      <c r="D1170">
        <v>337679</v>
      </c>
      <c r="E1170">
        <v>290658</v>
      </c>
      <c r="F1170">
        <v>13.1</v>
      </c>
      <c r="G1170">
        <v>4.7</v>
      </c>
      <c r="H1170">
        <v>3.4</v>
      </c>
      <c r="I1170">
        <v>3.6</v>
      </c>
    </row>
    <row r="1171" spans="1:9" ht="24" customHeight="1">
      <c r="A1171" s="6" t="s">
        <v>2581</v>
      </c>
      <c r="B1171">
        <v>1925</v>
      </c>
      <c r="C1171">
        <v>487</v>
      </c>
      <c r="D1171">
        <v>456105</v>
      </c>
      <c r="E1171">
        <v>292177</v>
      </c>
      <c r="F1171">
        <v>6.9</v>
      </c>
      <c r="G1171">
        <v>1.5</v>
      </c>
      <c r="H1171">
        <v>34.5</v>
      </c>
      <c r="I1171">
        <v>36.299999999999997</v>
      </c>
    </row>
    <row r="1172" spans="1:9" ht="24" customHeight="1">
      <c r="A1172" s="6" t="s">
        <v>2582</v>
      </c>
      <c r="B1172">
        <v>6400</v>
      </c>
      <c r="C1172">
        <v>2212</v>
      </c>
      <c r="D1172">
        <v>385251</v>
      </c>
      <c r="E1172">
        <v>269686</v>
      </c>
      <c r="F1172">
        <v>14.3</v>
      </c>
      <c r="G1172">
        <v>6.5</v>
      </c>
      <c r="H1172">
        <v>6.7</v>
      </c>
      <c r="I1172">
        <v>6.3</v>
      </c>
    </row>
    <row r="1173" spans="1:9" ht="24" customHeight="1">
      <c r="A1173" s="6" t="s">
        <v>2583</v>
      </c>
      <c r="B1173">
        <v>26538</v>
      </c>
      <c r="C1173">
        <v>8697</v>
      </c>
      <c r="D1173">
        <v>499159</v>
      </c>
      <c r="E1173">
        <v>342437</v>
      </c>
      <c r="F1173">
        <v>13.5</v>
      </c>
      <c r="G1173">
        <v>9</v>
      </c>
      <c r="H1173">
        <v>14.5</v>
      </c>
      <c r="I1173">
        <v>12.3</v>
      </c>
    </row>
    <row r="1174" spans="1:9" ht="24" customHeight="1">
      <c r="A1174" s="6" t="s">
        <v>2584</v>
      </c>
      <c r="B1174">
        <v>1133</v>
      </c>
      <c r="C1174">
        <v>556</v>
      </c>
      <c r="D1174">
        <v>293894</v>
      </c>
      <c r="E1174">
        <v>232670</v>
      </c>
      <c r="F1174">
        <v>6.6</v>
      </c>
      <c r="G1174">
        <v>3.3</v>
      </c>
      <c r="H1174">
        <v>0</v>
      </c>
      <c r="I1174">
        <v>0</v>
      </c>
    </row>
    <row r="1175" spans="1:9" ht="24" customHeight="1">
      <c r="A1175" s="6" t="s">
        <v>2585</v>
      </c>
      <c r="B1175">
        <v>1909</v>
      </c>
      <c r="C1175">
        <v>794</v>
      </c>
      <c r="D1175">
        <v>344539</v>
      </c>
      <c r="E1175">
        <v>279614</v>
      </c>
      <c r="F1175">
        <v>14.3</v>
      </c>
      <c r="G1175">
        <v>9.6999999999999993</v>
      </c>
      <c r="H1175">
        <v>1.4</v>
      </c>
      <c r="I1175">
        <v>1.4</v>
      </c>
    </row>
    <row r="1176" spans="1:9" ht="24" customHeight="1">
      <c r="A1176" s="6" t="s">
        <v>2586</v>
      </c>
      <c r="B1176">
        <v>4576</v>
      </c>
      <c r="C1176">
        <v>1459</v>
      </c>
      <c r="D1176">
        <v>498423</v>
      </c>
      <c r="E1176">
        <v>366402</v>
      </c>
      <c r="F1176">
        <v>13.4</v>
      </c>
      <c r="G1176">
        <v>9.5</v>
      </c>
      <c r="H1176">
        <v>11.9</v>
      </c>
      <c r="I1176">
        <v>12.2</v>
      </c>
    </row>
    <row r="1177" spans="1:9" ht="24" customHeight="1">
      <c r="A1177" s="6" t="s">
        <v>2587</v>
      </c>
      <c r="B1177">
        <v>4827</v>
      </c>
      <c r="C1177">
        <v>1348</v>
      </c>
      <c r="D1177">
        <v>533860</v>
      </c>
      <c r="E1177">
        <v>369748</v>
      </c>
      <c r="F1177">
        <v>12.8</v>
      </c>
      <c r="G1177">
        <v>7.5</v>
      </c>
      <c r="H1177">
        <v>16.899999999999999</v>
      </c>
      <c r="I1177">
        <v>16.600000000000001</v>
      </c>
    </row>
    <row r="1178" spans="1:9" ht="24" customHeight="1">
      <c r="A1178" s="6" t="s">
        <v>2588</v>
      </c>
      <c r="B1178">
        <v>2123</v>
      </c>
      <c r="C1178">
        <v>494</v>
      </c>
      <c r="D1178">
        <v>610738</v>
      </c>
      <c r="E1178">
        <v>355748</v>
      </c>
      <c r="F1178">
        <v>10</v>
      </c>
      <c r="G1178">
        <v>8.1999999999999993</v>
      </c>
      <c r="H1178">
        <v>21.9</v>
      </c>
      <c r="I1178">
        <v>21.5</v>
      </c>
    </row>
    <row r="1179" spans="1:9" ht="24" customHeight="1">
      <c r="A1179" s="6" t="s">
        <v>2589</v>
      </c>
      <c r="B1179">
        <v>2353</v>
      </c>
      <c r="C1179">
        <v>598</v>
      </c>
      <c r="D1179">
        <v>624239</v>
      </c>
      <c r="E1179">
        <v>388868</v>
      </c>
      <c r="F1179">
        <v>9.1999999999999993</v>
      </c>
      <c r="G1179">
        <v>2</v>
      </c>
      <c r="H1179">
        <v>27.1</v>
      </c>
      <c r="I1179">
        <v>26.6</v>
      </c>
    </row>
    <row r="1180" spans="1:9" ht="24" customHeight="1">
      <c r="A1180" s="6" t="s">
        <v>2590</v>
      </c>
      <c r="B1180">
        <v>1858</v>
      </c>
      <c r="C1180">
        <v>1155</v>
      </c>
      <c r="D1180">
        <v>394599</v>
      </c>
      <c r="E1180">
        <v>341961</v>
      </c>
      <c r="F1180">
        <v>23</v>
      </c>
      <c r="G1180">
        <v>10</v>
      </c>
      <c r="H1180">
        <v>3.6</v>
      </c>
      <c r="I1180">
        <v>3.5</v>
      </c>
    </row>
    <row r="1181" spans="1:9" ht="24" customHeight="1">
      <c r="A1181" s="6" t="s">
        <v>2591</v>
      </c>
      <c r="B1181">
        <v>2832</v>
      </c>
      <c r="C1181">
        <v>769</v>
      </c>
      <c r="D1181">
        <v>605467</v>
      </c>
      <c r="E1181">
        <v>411858</v>
      </c>
      <c r="F1181">
        <v>8.1999999999999993</v>
      </c>
      <c r="G1181">
        <v>5.4</v>
      </c>
      <c r="H1181">
        <v>33.700000000000003</v>
      </c>
      <c r="I1181">
        <v>33.4</v>
      </c>
    </row>
    <row r="1182" spans="1:9" ht="24" customHeight="1">
      <c r="A1182" s="6" t="s">
        <v>2592</v>
      </c>
      <c r="B1182">
        <v>4952</v>
      </c>
      <c r="C1182">
        <v>1611</v>
      </c>
      <c r="D1182">
        <v>441809</v>
      </c>
      <c r="E1182">
        <v>308904</v>
      </c>
      <c r="F1182">
        <v>18.5</v>
      </c>
      <c r="G1182">
        <v>14.7</v>
      </c>
      <c r="H1182">
        <v>6.7</v>
      </c>
      <c r="I1182">
        <v>6.8</v>
      </c>
    </row>
    <row r="1183" spans="1:9" ht="24" customHeight="1">
      <c r="A1183" s="6" t="s">
        <v>2593</v>
      </c>
      <c r="B1183">
        <v>25607</v>
      </c>
      <c r="C1183">
        <v>8228</v>
      </c>
      <c r="D1183">
        <v>545641</v>
      </c>
      <c r="E1183">
        <v>409616</v>
      </c>
      <c r="F1183">
        <v>14.1</v>
      </c>
      <c r="G1183">
        <v>11.4</v>
      </c>
      <c r="H1183">
        <v>16.3</v>
      </c>
      <c r="I1183">
        <v>13.3</v>
      </c>
    </row>
    <row r="1184" spans="1:9" ht="24" customHeight="1">
      <c r="A1184" s="6" t="s">
        <v>2594</v>
      </c>
      <c r="B1184">
        <v>720</v>
      </c>
      <c r="C1184">
        <v>436</v>
      </c>
      <c r="D1184">
        <v>240450</v>
      </c>
      <c r="E1184">
        <v>255379</v>
      </c>
      <c r="F1184">
        <v>4.4000000000000004</v>
      </c>
      <c r="G1184">
        <v>1.5</v>
      </c>
      <c r="H1184">
        <v>0</v>
      </c>
      <c r="I1184">
        <v>0</v>
      </c>
    </row>
    <row r="1185" spans="1:9" ht="24" customHeight="1">
      <c r="A1185" s="6" t="s">
        <v>2595</v>
      </c>
      <c r="B1185">
        <v>2455</v>
      </c>
      <c r="C1185">
        <v>844</v>
      </c>
      <c r="D1185">
        <v>346546</v>
      </c>
      <c r="E1185">
        <v>328543</v>
      </c>
      <c r="F1185">
        <v>14</v>
      </c>
      <c r="G1185">
        <v>14.8</v>
      </c>
      <c r="H1185">
        <v>1.5</v>
      </c>
      <c r="I1185">
        <v>1.4</v>
      </c>
    </row>
    <row r="1186" spans="1:9" ht="24" customHeight="1">
      <c r="A1186" s="6" t="s">
        <v>2596</v>
      </c>
      <c r="B1186">
        <v>3132</v>
      </c>
      <c r="C1186">
        <v>1193</v>
      </c>
      <c r="D1186">
        <v>506889</v>
      </c>
      <c r="E1186">
        <v>380890</v>
      </c>
      <c r="F1186">
        <v>15.9</v>
      </c>
      <c r="G1186">
        <v>7</v>
      </c>
      <c r="H1186">
        <v>12.1</v>
      </c>
      <c r="I1186">
        <v>11.5</v>
      </c>
    </row>
    <row r="1187" spans="1:9" ht="24" customHeight="1">
      <c r="A1187" s="6" t="s">
        <v>2597</v>
      </c>
      <c r="B1187">
        <v>3822</v>
      </c>
      <c r="C1187">
        <v>964</v>
      </c>
      <c r="D1187">
        <v>590646</v>
      </c>
      <c r="E1187">
        <v>427742</v>
      </c>
      <c r="F1187">
        <v>17.399999999999999</v>
      </c>
      <c r="G1187">
        <v>9</v>
      </c>
      <c r="H1187">
        <v>16.8</v>
      </c>
      <c r="I1187">
        <v>16.2</v>
      </c>
    </row>
    <row r="1188" spans="1:9" ht="24" customHeight="1">
      <c r="A1188" s="6" t="s">
        <v>2598</v>
      </c>
      <c r="B1188">
        <v>2736</v>
      </c>
      <c r="C1188">
        <v>443</v>
      </c>
      <c r="D1188">
        <v>712208</v>
      </c>
      <c r="E1188">
        <v>499249</v>
      </c>
      <c r="F1188">
        <v>10.6</v>
      </c>
      <c r="G1188">
        <v>20.100000000000001</v>
      </c>
      <c r="H1188">
        <v>21.9</v>
      </c>
      <c r="I1188">
        <v>21.4</v>
      </c>
    </row>
    <row r="1189" spans="1:9" ht="24" customHeight="1">
      <c r="A1189" s="6" t="s">
        <v>2599</v>
      </c>
      <c r="B1189">
        <v>2465</v>
      </c>
      <c r="C1189">
        <v>669</v>
      </c>
      <c r="D1189">
        <v>661519</v>
      </c>
      <c r="E1189">
        <v>550157</v>
      </c>
      <c r="F1189">
        <v>9.5</v>
      </c>
      <c r="G1189">
        <v>19.2</v>
      </c>
      <c r="H1189">
        <v>27</v>
      </c>
      <c r="I1189">
        <v>26.9</v>
      </c>
    </row>
    <row r="1190" spans="1:9" ht="24" customHeight="1">
      <c r="A1190" s="6" t="s">
        <v>2600</v>
      </c>
      <c r="B1190">
        <v>2060</v>
      </c>
      <c r="C1190">
        <v>1063</v>
      </c>
      <c r="D1190">
        <v>421539</v>
      </c>
      <c r="E1190">
        <v>363487</v>
      </c>
      <c r="F1190">
        <v>22.3</v>
      </c>
      <c r="G1190">
        <v>11.6</v>
      </c>
      <c r="H1190">
        <v>3.6</v>
      </c>
      <c r="I1190">
        <v>3.4</v>
      </c>
    </row>
    <row r="1191" spans="1:9" ht="24" customHeight="1">
      <c r="A1191" s="6" t="s">
        <v>2601</v>
      </c>
      <c r="B1191">
        <v>4425</v>
      </c>
      <c r="C1191">
        <v>1136</v>
      </c>
      <c r="D1191">
        <v>654341</v>
      </c>
      <c r="E1191">
        <v>507458</v>
      </c>
      <c r="F1191">
        <v>7.8</v>
      </c>
      <c r="G1191">
        <v>8.1999999999999993</v>
      </c>
      <c r="H1191">
        <v>34.700000000000003</v>
      </c>
      <c r="I1191">
        <v>35</v>
      </c>
    </row>
    <row r="1192" spans="1:9" ht="24" customHeight="1">
      <c r="A1192" s="6" t="s">
        <v>2602</v>
      </c>
      <c r="B1192">
        <v>3793</v>
      </c>
      <c r="C1192">
        <v>1699</v>
      </c>
      <c r="D1192">
        <v>464162</v>
      </c>
      <c r="E1192">
        <v>372320</v>
      </c>
      <c r="F1192">
        <v>19.5</v>
      </c>
      <c r="G1192">
        <v>12.2</v>
      </c>
      <c r="H1192">
        <v>6.7</v>
      </c>
      <c r="I1192">
        <v>6.4</v>
      </c>
    </row>
    <row r="1193" spans="1:9" ht="24" customHeight="1">
      <c r="A1193" s="6" t="s">
        <v>499</v>
      </c>
      <c r="B1193">
        <v>226065</v>
      </c>
      <c r="C1193">
        <v>66599</v>
      </c>
      <c r="D1193">
        <v>532583</v>
      </c>
      <c r="E1193">
        <v>358394</v>
      </c>
      <c r="F1193">
        <v>13.6</v>
      </c>
      <c r="G1193">
        <v>8.8000000000000007</v>
      </c>
      <c r="H1193">
        <v>17</v>
      </c>
      <c r="I1193">
        <v>15.2</v>
      </c>
    </row>
    <row r="1194" spans="1:9" ht="24" customHeight="1">
      <c r="A1194" s="6" t="s">
        <v>500</v>
      </c>
      <c r="B1194">
        <v>114642</v>
      </c>
      <c r="C1194">
        <v>22834</v>
      </c>
      <c r="D1194">
        <v>636176</v>
      </c>
      <c r="E1194">
        <v>442812</v>
      </c>
      <c r="F1194">
        <v>14.8</v>
      </c>
      <c r="G1194">
        <v>9.5</v>
      </c>
      <c r="H1194">
        <v>17.899999999999999</v>
      </c>
      <c r="I1194">
        <v>17.8</v>
      </c>
    </row>
    <row r="1195" spans="1:9" ht="24" customHeight="1">
      <c r="A1195" s="6" t="s">
        <v>501</v>
      </c>
      <c r="B1195">
        <v>5019</v>
      </c>
      <c r="C1195">
        <v>1676</v>
      </c>
      <c r="D1195">
        <v>301545</v>
      </c>
      <c r="E1195">
        <v>277812</v>
      </c>
      <c r="F1195">
        <v>8.1999999999999993</v>
      </c>
      <c r="G1195">
        <v>6.5</v>
      </c>
      <c r="H1195">
        <v>0</v>
      </c>
      <c r="I1195">
        <v>0</v>
      </c>
    </row>
    <row r="1196" spans="1:9" ht="24" customHeight="1">
      <c r="A1196" s="6" t="s">
        <v>2603</v>
      </c>
      <c r="B1196">
        <v>10019</v>
      </c>
      <c r="C1196">
        <v>2167</v>
      </c>
      <c r="D1196">
        <v>411682</v>
      </c>
      <c r="E1196">
        <v>326850</v>
      </c>
      <c r="F1196">
        <v>17.8</v>
      </c>
      <c r="G1196">
        <v>11.4</v>
      </c>
      <c r="H1196">
        <v>1.4</v>
      </c>
      <c r="I1196">
        <v>1.3</v>
      </c>
    </row>
    <row r="1197" spans="1:9" ht="24" customHeight="1">
      <c r="A1197" s="6" t="s">
        <v>2604</v>
      </c>
      <c r="B1197">
        <v>10118</v>
      </c>
      <c r="C1197">
        <v>2153</v>
      </c>
      <c r="D1197">
        <v>605610</v>
      </c>
      <c r="E1197">
        <v>436118</v>
      </c>
      <c r="F1197">
        <v>15.6</v>
      </c>
      <c r="G1197">
        <v>5.6</v>
      </c>
      <c r="H1197">
        <v>12.2</v>
      </c>
      <c r="I1197">
        <v>12.1</v>
      </c>
    </row>
    <row r="1198" spans="1:9" ht="24" customHeight="1">
      <c r="A1198" s="6" t="s">
        <v>2605</v>
      </c>
      <c r="B1198">
        <v>16236</v>
      </c>
      <c r="C1198">
        <v>3094</v>
      </c>
      <c r="D1198">
        <v>689556</v>
      </c>
      <c r="E1198">
        <v>480821</v>
      </c>
      <c r="F1198">
        <v>16.2</v>
      </c>
      <c r="G1198">
        <v>4.9000000000000004</v>
      </c>
      <c r="H1198">
        <v>16.600000000000001</v>
      </c>
      <c r="I1198">
        <v>16.600000000000001</v>
      </c>
    </row>
    <row r="1199" spans="1:9" ht="24" customHeight="1">
      <c r="A1199" s="6" t="s">
        <v>2606</v>
      </c>
      <c r="B1199">
        <v>11052</v>
      </c>
      <c r="C1199">
        <v>1637</v>
      </c>
      <c r="D1199">
        <v>745252</v>
      </c>
      <c r="E1199">
        <v>440667</v>
      </c>
      <c r="F1199">
        <v>14.1</v>
      </c>
      <c r="G1199">
        <v>13.5</v>
      </c>
      <c r="H1199">
        <v>22.2</v>
      </c>
      <c r="I1199">
        <v>22.2</v>
      </c>
    </row>
    <row r="1200" spans="1:9" ht="24" customHeight="1">
      <c r="A1200" s="6" t="s">
        <v>2607</v>
      </c>
      <c r="B1200">
        <v>10005</v>
      </c>
      <c r="C1200">
        <v>2414</v>
      </c>
      <c r="D1200">
        <v>754316</v>
      </c>
      <c r="E1200">
        <v>509011</v>
      </c>
      <c r="F1200">
        <v>11.6</v>
      </c>
      <c r="G1200">
        <v>6</v>
      </c>
      <c r="H1200">
        <v>26.8</v>
      </c>
      <c r="I1200">
        <v>26.9</v>
      </c>
    </row>
    <row r="1201" spans="1:9" ht="24" customHeight="1">
      <c r="A1201" s="6" t="s">
        <v>2608</v>
      </c>
      <c r="B1201">
        <v>8424</v>
      </c>
      <c r="C1201">
        <v>1976</v>
      </c>
      <c r="D1201">
        <v>468642</v>
      </c>
      <c r="E1201">
        <v>365599</v>
      </c>
      <c r="F1201">
        <v>19.399999999999999</v>
      </c>
      <c r="G1201">
        <v>11.9</v>
      </c>
      <c r="H1201">
        <v>3.5</v>
      </c>
      <c r="I1201">
        <v>3.5</v>
      </c>
    </row>
    <row r="1202" spans="1:9" ht="24" customHeight="1">
      <c r="A1202" s="6" t="s">
        <v>502</v>
      </c>
      <c r="B1202">
        <v>29515</v>
      </c>
      <c r="C1202">
        <v>6450</v>
      </c>
      <c r="D1202">
        <v>755886</v>
      </c>
      <c r="E1202">
        <v>499009</v>
      </c>
      <c r="F1202">
        <v>12.4</v>
      </c>
      <c r="G1202">
        <v>10.4</v>
      </c>
      <c r="H1202">
        <v>34.4</v>
      </c>
      <c r="I1202">
        <v>34.799999999999997</v>
      </c>
    </row>
    <row r="1203" spans="1:9" ht="24" customHeight="1">
      <c r="A1203" s="6" t="s">
        <v>2609</v>
      </c>
      <c r="B1203">
        <v>14657</v>
      </c>
      <c r="C1203">
        <v>2710</v>
      </c>
      <c r="D1203">
        <v>554409</v>
      </c>
      <c r="E1203">
        <v>422458</v>
      </c>
      <c r="F1203">
        <v>17.5</v>
      </c>
      <c r="G1203">
        <v>11</v>
      </c>
      <c r="H1203">
        <v>6.5</v>
      </c>
      <c r="I1203">
        <v>6.3</v>
      </c>
    </row>
    <row r="1204" spans="1:9" ht="24" customHeight="1">
      <c r="A1204" s="6" t="s">
        <v>2610</v>
      </c>
      <c r="B1204">
        <v>25845</v>
      </c>
      <c r="C1204">
        <v>13769</v>
      </c>
      <c r="D1204">
        <v>364558</v>
      </c>
      <c r="E1204">
        <v>249544</v>
      </c>
      <c r="F1204">
        <v>11.7</v>
      </c>
      <c r="G1204">
        <v>4.8</v>
      </c>
      <c r="H1204">
        <v>16.2</v>
      </c>
      <c r="I1204">
        <v>13.1</v>
      </c>
    </row>
    <row r="1205" spans="1:9" ht="24" customHeight="1">
      <c r="A1205" s="6" t="s">
        <v>2611</v>
      </c>
      <c r="B1205">
        <v>1184</v>
      </c>
      <c r="C1205">
        <v>847</v>
      </c>
      <c r="D1205">
        <v>237333</v>
      </c>
      <c r="E1205">
        <v>189782</v>
      </c>
      <c r="F1205">
        <v>11.7</v>
      </c>
      <c r="G1205">
        <v>1.9</v>
      </c>
      <c r="H1205">
        <v>0</v>
      </c>
      <c r="I1205">
        <v>0</v>
      </c>
    </row>
    <row r="1206" spans="1:9" ht="24" customHeight="1">
      <c r="A1206" s="6" t="s">
        <v>2612</v>
      </c>
      <c r="B1206">
        <v>1893</v>
      </c>
      <c r="C1206">
        <v>1270</v>
      </c>
      <c r="D1206">
        <v>293708</v>
      </c>
      <c r="E1206">
        <v>229499</v>
      </c>
      <c r="F1206">
        <v>13.6</v>
      </c>
      <c r="G1206">
        <v>3.2</v>
      </c>
      <c r="H1206">
        <v>1.5</v>
      </c>
      <c r="I1206">
        <v>1.4</v>
      </c>
    </row>
    <row r="1207" spans="1:9" ht="24" customHeight="1">
      <c r="A1207" s="6" t="s">
        <v>2613</v>
      </c>
      <c r="B1207">
        <v>2455</v>
      </c>
      <c r="C1207">
        <v>2024</v>
      </c>
      <c r="D1207">
        <v>376127</v>
      </c>
      <c r="E1207">
        <v>244376</v>
      </c>
      <c r="F1207">
        <v>15.1</v>
      </c>
      <c r="G1207">
        <v>2.9</v>
      </c>
      <c r="H1207">
        <v>11.8</v>
      </c>
      <c r="I1207">
        <v>12.2</v>
      </c>
    </row>
    <row r="1208" spans="1:9" ht="24" customHeight="1">
      <c r="A1208" s="6" t="s">
        <v>2614</v>
      </c>
      <c r="B1208">
        <v>4318</v>
      </c>
      <c r="C1208">
        <v>1922</v>
      </c>
      <c r="D1208">
        <v>361833</v>
      </c>
      <c r="E1208">
        <v>259088</v>
      </c>
      <c r="F1208">
        <v>13.3</v>
      </c>
      <c r="G1208">
        <v>5.7</v>
      </c>
      <c r="H1208">
        <v>17</v>
      </c>
      <c r="I1208">
        <v>17</v>
      </c>
    </row>
    <row r="1209" spans="1:9" ht="24" customHeight="1">
      <c r="A1209" s="6" t="s">
        <v>2615</v>
      </c>
      <c r="B1209">
        <v>3132</v>
      </c>
      <c r="C1209">
        <v>1739</v>
      </c>
      <c r="D1209">
        <v>381651</v>
      </c>
      <c r="E1209">
        <v>262470</v>
      </c>
      <c r="F1209">
        <v>10.6</v>
      </c>
      <c r="G1209">
        <v>5.0999999999999996</v>
      </c>
      <c r="H1209">
        <v>21.8</v>
      </c>
      <c r="I1209">
        <v>22.1</v>
      </c>
    </row>
    <row r="1210" spans="1:9" ht="24" customHeight="1">
      <c r="A1210" s="6" t="s">
        <v>2616</v>
      </c>
      <c r="B1210">
        <v>3177</v>
      </c>
      <c r="C1210">
        <v>1023</v>
      </c>
      <c r="D1210">
        <v>410618</v>
      </c>
      <c r="E1210">
        <v>239536</v>
      </c>
      <c r="F1210">
        <v>8.6999999999999993</v>
      </c>
      <c r="G1210">
        <v>3.6</v>
      </c>
      <c r="H1210">
        <v>27</v>
      </c>
      <c r="I1210">
        <v>26.7</v>
      </c>
    </row>
    <row r="1211" spans="1:9" ht="24" customHeight="1">
      <c r="A1211" s="6" t="s">
        <v>2617</v>
      </c>
      <c r="B1211">
        <v>2281</v>
      </c>
      <c r="C1211">
        <v>1466</v>
      </c>
      <c r="D1211">
        <v>302154</v>
      </c>
      <c r="E1211">
        <v>243349</v>
      </c>
      <c r="F1211">
        <v>10.4</v>
      </c>
      <c r="G1211">
        <v>4.8</v>
      </c>
      <c r="H1211">
        <v>3.5</v>
      </c>
      <c r="I1211">
        <v>3.5</v>
      </c>
    </row>
    <row r="1212" spans="1:9" ht="24" customHeight="1">
      <c r="A1212" s="6" t="s">
        <v>2618</v>
      </c>
      <c r="B1212">
        <v>3586</v>
      </c>
      <c r="C1212">
        <v>1000</v>
      </c>
      <c r="D1212">
        <v>441267</v>
      </c>
      <c r="E1212">
        <v>284311</v>
      </c>
      <c r="F1212">
        <v>7.3</v>
      </c>
      <c r="G1212">
        <v>3.9</v>
      </c>
      <c r="H1212">
        <v>35.200000000000003</v>
      </c>
      <c r="I1212">
        <v>35.1</v>
      </c>
    </row>
    <row r="1213" spans="1:9" ht="24" customHeight="1">
      <c r="A1213" s="6" t="s">
        <v>2619</v>
      </c>
      <c r="B1213">
        <v>4047</v>
      </c>
      <c r="C1213">
        <v>3031</v>
      </c>
      <c r="D1213">
        <v>338521</v>
      </c>
      <c r="E1213">
        <v>243126</v>
      </c>
      <c r="F1213">
        <v>14.3</v>
      </c>
      <c r="G1213">
        <v>7.3</v>
      </c>
      <c r="H1213">
        <v>6.8</v>
      </c>
      <c r="I1213">
        <v>6.9</v>
      </c>
    </row>
    <row r="1214" spans="1:9" ht="24" customHeight="1">
      <c r="A1214" s="6" t="s">
        <v>2620</v>
      </c>
      <c r="B1214">
        <v>44407</v>
      </c>
      <c r="C1214">
        <v>17274</v>
      </c>
      <c r="D1214">
        <v>430471</v>
      </c>
      <c r="E1214">
        <v>326419</v>
      </c>
      <c r="F1214">
        <v>11.8</v>
      </c>
      <c r="G1214">
        <v>9.8000000000000007</v>
      </c>
      <c r="H1214">
        <v>14.5</v>
      </c>
      <c r="I1214">
        <v>12.7</v>
      </c>
    </row>
    <row r="1215" spans="1:9" ht="24" customHeight="1">
      <c r="A1215" s="6" t="s">
        <v>2621</v>
      </c>
      <c r="B1215">
        <v>1795</v>
      </c>
      <c r="C1215">
        <v>461</v>
      </c>
      <c r="D1215">
        <v>288891</v>
      </c>
      <c r="E1215">
        <v>209498</v>
      </c>
      <c r="F1215">
        <v>12.9</v>
      </c>
      <c r="G1215">
        <v>5.3</v>
      </c>
      <c r="H1215">
        <v>0</v>
      </c>
      <c r="I1215">
        <v>0</v>
      </c>
    </row>
    <row r="1216" spans="1:9" ht="24" customHeight="1">
      <c r="A1216" s="6" t="s">
        <v>2622</v>
      </c>
      <c r="B1216">
        <v>6053</v>
      </c>
      <c r="C1216">
        <v>2098</v>
      </c>
      <c r="D1216">
        <v>397416</v>
      </c>
      <c r="E1216">
        <v>389258</v>
      </c>
      <c r="F1216">
        <v>10.9</v>
      </c>
      <c r="G1216">
        <v>21.2</v>
      </c>
      <c r="H1216">
        <v>1.4</v>
      </c>
      <c r="I1216">
        <v>1.7</v>
      </c>
    </row>
    <row r="1217" spans="1:9" ht="24" customHeight="1">
      <c r="A1217" s="6" t="s">
        <v>2623</v>
      </c>
      <c r="B1217">
        <v>4834</v>
      </c>
      <c r="C1217">
        <v>2087</v>
      </c>
      <c r="D1217">
        <v>431935</v>
      </c>
      <c r="E1217">
        <v>287898</v>
      </c>
      <c r="F1217">
        <v>13.5</v>
      </c>
      <c r="G1217">
        <v>7</v>
      </c>
      <c r="H1217">
        <v>11.7</v>
      </c>
      <c r="I1217">
        <v>12.4</v>
      </c>
    </row>
    <row r="1218" spans="1:9" ht="24" customHeight="1">
      <c r="A1218" s="6" t="s">
        <v>2624</v>
      </c>
      <c r="B1218">
        <v>6121</v>
      </c>
      <c r="C1218">
        <v>2590</v>
      </c>
      <c r="D1218">
        <v>425223</v>
      </c>
      <c r="E1218">
        <v>312349</v>
      </c>
      <c r="F1218">
        <v>13.8</v>
      </c>
      <c r="G1218">
        <v>6.3</v>
      </c>
      <c r="H1218">
        <v>17</v>
      </c>
      <c r="I1218">
        <v>16.8</v>
      </c>
    </row>
    <row r="1219" spans="1:9" ht="24" customHeight="1">
      <c r="A1219" s="6" t="s">
        <v>2625</v>
      </c>
      <c r="B1219">
        <v>3365</v>
      </c>
      <c r="C1219">
        <v>910</v>
      </c>
      <c r="D1219">
        <v>465348</v>
      </c>
      <c r="E1219">
        <v>305850</v>
      </c>
      <c r="F1219">
        <v>13.9</v>
      </c>
      <c r="G1219">
        <v>12.4</v>
      </c>
      <c r="H1219">
        <v>22.2</v>
      </c>
      <c r="I1219">
        <v>22.2</v>
      </c>
    </row>
    <row r="1220" spans="1:9" ht="24" customHeight="1">
      <c r="A1220" s="6" t="s">
        <v>2626</v>
      </c>
      <c r="B1220">
        <v>3861</v>
      </c>
      <c r="C1220">
        <v>1331</v>
      </c>
      <c r="D1220">
        <v>545066</v>
      </c>
      <c r="E1220">
        <v>432171</v>
      </c>
      <c r="F1220">
        <v>8.4</v>
      </c>
      <c r="G1220">
        <v>8.5</v>
      </c>
      <c r="H1220">
        <v>27.3</v>
      </c>
      <c r="I1220">
        <v>27.5</v>
      </c>
    </row>
    <row r="1221" spans="1:9" ht="24" customHeight="1">
      <c r="A1221" s="6" t="s">
        <v>2627</v>
      </c>
      <c r="B1221">
        <v>5196</v>
      </c>
      <c r="C1221">
        <v>2210</v>
      </c>
      <c r="D1221">
        <v>359020</v>
      </c>
      <c r="E1221">
        <v>274931</v>
      </c>
      <c r="F1221">
        <v>12.1</v>
      </c>
      <c r="G1221">
        <v>6.5</v>
      </c>
      <c r="H1221">
        <v>3.4</v>
      </c>
      <c r="I1221">
        <v>3.8</v>
      </c>
    </row>
    <row r="1222" spans="1:9" ht="24" customHeight="1">
      <c r="A1222" s="6" t="s">
        <v>2628</v>
      </c>
      <c r="B1222">
        <v>6776</v>
      </c>
      <c r="C1222">
        <v>1696</v>
      </c>
      <c r="D1222">
        <v>534409</v>
      </c>
      <c r="E1222">
        <v>394597</v>
      </c>
      <c r="F1222">
        <v>7.4</v>
      </c>
      <c r="G1222">
        <v>6.5</v>
      </c>
      <c r="H1222">
        <v>34.700000000000003</v>
      </c>
      <c r="I1222">
        <v>33</v>
      </c>
    </row>
    <row r="1223" spans="1:9" ht="24" customHeight="1">
      <c r="A1223" s="6" t="s">
        <v>2629</v>
      </c>
      <c r="B1223">
        <v>6473</v>
      </c>
      <c r="C1223">
        <v>4038</v>
      </c>
      <c r="D1223">
        <v>364993</v>
      </c>
      <c r="E1223">
        <v>300927</v>
      </c>
      <c r="F1223">
        <v>14.5</v>
      </c>
      <c r="G1223">
        <v>11</v>
      </c>
      <c r="H1223">
        <v>6.4</v>
      </c>
      <c r="I1223">
        <v>6.5</v>
      </c>
    </row>
    <row r="1224" spans="1:9" ht="24" customHeight="1">
      <c r="A1224" s="6" t="s">
        <v>2630</v>
      </c>
      <c r="B1224">
        <v>41171</v>
      </c>
      <c r="C1224">
        <v>12722</v>
      </c>
      <c r="D1224">
        <v>459737</v>
      </c>
      <c r="E1224">
        <v>368100</v>
      </c>
      <c r="F1224">
        <v>13.5</v>
      </c>
      <c r="G1224">
        <v>10.4</v>
      </c>
      <c r="H1224">
        <v>17.7</v>
      </c>
      <c r="I1224">
        <v>16.2</v>
      </c>
    </row>
    <row r="1225" spans="1:9" ht="24" customHeight="1">
      <c r="A1225" s="6" t="s">
        <v>2631</v>
      </c>
      <c r="B1225">
        <v>1465</v>
      </c>
      <c r="C1225">
        <v>718</v>
      </c>
      <c r="D1225">
        <v>262110</v>
      </c>
      <c r="E1225">
        <v>229887</v>
      </c>
      <c r="F1225">
        <v>11.6</v>
      </c>
      <c r="G1225">
        <v>4.5</v>
      </c>
      <c r="H1225">
        <v>0</v>
      </c>
      <c r="I1225">
        <v>0</v>
      </c>
    </row>
    <row r="1226" spans="1:9" ht="24" customHeight="1">
      <c r="A1226" s="6" t="s">
        <v>2632</v>
      </c>
      <c r="B1226">
        <v>3475</v>
      </c>
      <c r="C1226">
        <v>634</v>
      </c>
      <c r="D1226">
        <v>336501</v>
      </c>
      <c r="E1226">
        <v>276457</v>
      </c>
      <c r="F1226">
        <v>14.7</v>
      </c>
      <c r="G1226">
        <v>5.4</v>
      </c>
      <c r="H1226">
        <v>1.5</v>
      </c>
      <c r="I1226">
        <v>1.2</v>
      </c>
    </row>
    <row r="1227" spans="1:9" ht="24" customHeight="1">
      <c r="A1227" s="6" t="s">
        <v>2633</v>
      </c>
      <c r="B1227">
        <v>4731</v>
      </c>
      <c r="C1227">
        <v>2937</v>
      </c>
      <c r="D1227">
        <v>438934</v>
      </c>
      <c r="E1227">
        <v>400673</v>
      </c>
      <c r="F1227">
        <v>15.8</v>
      </c>
      <c r="G1227">
        <v>15</v>
      </c>
      <c r="H1227">
        <v>12.1</v>
      </c>
      <c r="I1227">
        <v>12.1</v>
      </c>
    </row>
    <row r="1228" spans="1:9" ht="24" customHeight="1">
      <c r="A1228" s="6" t="s">
        <v>2634</v>
      </c>
      <c r="B1228">
        <v>6174</v>
      </c>
      <c r="C1228">
        <v>2086</v>
      </c>
      <c r="D1228">
        <v>488091</v>
      </c>
      <c r="E1228">
        <v>376350</v>
      </c>
      <c r="F1228">
        <v>14.8</v>
      </c>
      <c r="G1228">
        <v>11.2</v>
      </c>
      <c r="H1228">
        <v>16.7</v>
      </c>
      <c r="I1228">
        <v>15.9</v>
      </c>
    </row>
    <row r="1229" spans="1:9" ht="24" customHeight="1">
      <c r="A1229" s="6" t="s">
        <v>2635</v>
      </c>
      <c r="B1229">
        <v>2891</v>
      </c>
      <c r="C1229">
        <v>898</v>
      </c>
      <c r="D1229">
        <v>518111</v>
      </c>
      <c r="E1229">
        <v>405613</v>
      </c>
      <c r="F1229">
        <v>10.4</v>
      </c>
      <c r="G1229">
        <v>8.1</v>
      </c>
      <c r="H1229">
        <v>21.8</v>
      </c>
      <c r="I1229">
        <v>22.3</v>
      </c>
    </row>
    <row r="1230" spans="1:9" ht="24" customHeight="1">
      <c r="A1230" s="6" t="s">
        <v>2636</v>
      </c>
      <c r="B1230">
        <v>3674</v>
      </c>
      <c r="C1230">
        <v>889</v>
      </c>
      <c r="D1230">
        <v>520482</v>
      </c>
      <c r="E1230">
        <v>371360</v>
      </c>
      <c r="F1230">
        <v>11.7</v>
      </c>
      <c r="G1230">
        <v>7.8</v>
      </c>
      <c r="H1230">
        <v>26.8</v>
      </c>
      <c r="I1230">
        <v>26.4</v>
      </c>
    </row>
    <row r="1231" spans="1:9" ht="24" customHeight="1">
      <c r="A1231" s="6" t="s">
        <v>2637</v>
      </c>
      <c r="B1231">
        <v>2844</v>
      </c>
      <c r="C1231">
        <v>651</v>
      </c>
      <c r="D1231">
        <v>372319</v>
      </c>
      <c r="E1231">
        <v>305445</v>
      </c>
      <c r="F1231">
        <v>19.3</v>
      </c>
      <c r="G1231">
        <v>13.2</v>
      </c>
      <c r="H1231">
        <v>3.4</v>
      </c>
      <c r="I1231">
        <v>3.5</v>
      </c>
    </row>
    <row r="1232" spans="1:9" ht="24" customHeight="1">
      <c r="A1232" s="6" t="s">
        <v>2638</v>
      </c>
      <c r="B1232">
        <v>10352</v>
      </c>
      <c r="C1232">
        <v>2489</v>
      </c>
      <c r="D1232">
        <v>537688</v>
      </c>
      <c r="E1232">
        <v>399906</v>
      </c>
      <c r="F1232">
        <v>9.9</v>
      </c>
      <c r="G1232">
        <v>6.5</v>
      </c>
      <c r="H1232">
        <v>34.4</v>
      </c>
      <c r="I1232">
        <v>33.799999999999997</v>
      </c>
    </row>
    <row r="1233" spans="1:9" ht="24" customHeight="1">
      <c r="A1233" s="6" t="s">
        <v>2639</v>
      </c>
      <c r="B1233">
        <v>5607</v>
      </c>
      <c r="C1233">
        <v>1628</v>
      </c>
      <c r="D1233">
        <v>402979</v>
      </c>
      <c r="E1233">
        <v>345402</v>
      </c>
      <c r="F1233">
        <v>16</v>
      </c>
      <c r="G1233">
        <v>12.1</v>
      </c>
      <c r="H1233">
        <v>6.6</v>
      </c>
      <c r="I1233">
        <v>6.8</v>
      </c>
    </row>
    <row r="1234" spans="1:9" ht="24" customHeight="1">
      <c r="A1234" s="6" t="s">
        <v>503</v>
      </c>
      <c r="B1234">
        <v>276506</v>
      </c>
      <c r="C1234">
        <v>83406</v>
      </c>
      <c r="D1234">
        <v>552931</v>
      </c>
      <c r="E1234">
        <v>360940</v>
      </c>
      <c r="F1234">
        <v>13.9</v>
      </c>
      <c r="G1234">
        <v>8.8000000000000007</v>
      </c>
      <c r="H1234">
        <v>16.399999999999999</v>
      </c>
      <c r="I1234">
        <v>14.4</v>
      </c>
    </row>
    <row r="1235" spans="1:9" ht="24" customHeight="1">
      <c r="A1235" s="6" t="s">
        <v>504</v>
      </c>
      <c r="B1235">
        <v>127249</v>
      </c>
      <c r="C1235">
        <v>31069</v>
      </c>
      <c r="D1235">
        <v>663114</v>
      </c>
      <c r="E1235">
        <v>455496</v>
      </c>
      <c r="F1235">
        <v>15.5</v>
      </c>
      <c r="G1235">
        <v>10.7</v>
      </c>
      <c r="H1235">
        <v>17.899999999999999</v>
      </c>
      <c r="I1235">
        <v>17</v>
      </c>
    </row>
    <row r="1236" spans="1:9" ht="24" customHeight="1">
      <c r="A1236" s="6" t="s">
        <v>505</v>
      </c>
      <c r="B1236">
        <v>4693</v>
      </c>
      <c r="C1236">
        <v>2551</v>
      </c>
      <c r="D1236">
        <v>326289</v>
      </c>
      <c r="E1236">
        <v>276998</v>
      </c>
      <c r="F1236">
        <v>6.2</v>
      </c>
      <c r="G1236">
        <v>7.1</v>
      </c>
      <c r="H1236">
        <v>0</v>
      </c>
      <c r="I1236">
        <v>0</v>
      </c>
    </row>
    <row r="1237" spans="1:9" ht="24" customHeight="1">
      <c r="A1237" s="6" t="s">
        <v>2640</v>
      </c>
      <c r="B1237">
        <v>8352</v>
      </c>
      <c r="C1237">
        <v>2671</v>
      </c>
      <c r="D1237">
        <v>410689</v>
      </c>
      <c r="E1237">
        <v>387497</v>
      </c>
      <c r="F1237">
        <v>22.9</v>
      </c>
      <c r="G1237">
        <v>19.399999999999999</v>
      </c>
      <c r="H1237">
        <v>1.4</v>
      </c>
      <c r="I1237">
        <v>1.6</v>
      </c>
    </row>
    <row r="1238" spans="1:9" ht="24" customHeight="1">
      <c r="A1238" s="6" t="s">
        <v>2641</v>
      </c>
      <c r="B1238">
        <v>16628</v>
      </c>
      <c r="C1238">
        <v>3276</v>
      </c>
      <c r="D1238">
        <v>635127</v>
      </c>
      <c r="E1238">
        <v>510836</v>
      </c>
      <c r="F1238">
        <v>19.5</v>
      </c>
      <c r="G1238">
        <v>9.6999999999999993</v>
      </c>
      <c r="H1238">
        <v>12.2</v>
      </c>
      <c r="I1238">
        <v>12.2</v>
      </c>
    </row>
    <row r="1239" spans="1:9" ht="24" customHeight="1">
      <c r="A1239" s="6" t="s">
        <v>2642</v>
      </c>
      <c r="B1239">
        <v>17120</v>
      </c>
      <c r="C1239">
        <v>2524</v>
      </c>
      <c r="D1239">
        <v>680462</v>
      </c>
      <c r="E1239">
        <v>441846</v>
      </c>
      <c r="F1239">
        <v>13.7</v>
      </c>
      <c r="G1239">
        <v>5.3</v>
      </c>
      <c r="H1239">
        <v>16.600000000000001</v>
      </c>
      <c r="I1239">
        <v>16.7</v>
      </c>
    </row>
    <row r="1240" spans="1:9" ht="24" customHeight="1">
      <c r="A1240" s="6" t="s">
        <v>2643</v>
      </c>
      <c r="B1240">
        <v>9397</v>
      </c>
      <c r="C1240">
        <v>1391</v>
      </c>
      <c r="D1240">
        <v>809319</v>
      </c>
      <c r="E1240">
        <v>466709</v>
      </c>
      <c r="F1240">
        <v>9.4</v>
      </c>
      <c r="G1240">
        <v>9.1</v>
      </c>
      <c r="H1240">
        <v>22.2</v>
      </c>
      <c r="I1240">
        <v>21.8</v>
      </c>
    </row>
    <row r="1241" spans="1:9" ht="24" customHeight="1">
      <c r="A1241" s="6" t="s">
        <v>2644</v>
      </c>
      <c r="B1241">
        <v>9336</v>
      </c>
      <c r="C1241">
        <v>2150</v>
      </c>
      <c r="D1241">
        <v>793127</v>
      </c>
      <c r="E1241">
        <v>496776</v>
      </c>
      <c r="F1241">
        <v>14.3</v>
      </c>
      <c r="G1241">
        <v>7.4</v>
      </c>
      <c r="H1241">
        <v>26.8</v>
      </c>
      <c r="I1241">
        <v>27.1</v>
      </c>
    </row>
    <row r="1242" spans="1:9" ht="24" customHeight="1">
      <c r="A1242" s="6" t="s">
        <v>2645</v>
      </c>
      <c r="B1242">
        <v>9019</v>
      </c>
      <c r="C1242">
        <v>4138</v>
      </c>
      <c r="D1242">
        <v>464856</v>
      </c>
      <c r="E1242">
        <v>419077</v>
      </c>
      <c r="F1242">
        <v>22.3</v>
      </c>
      <c r="G1242">
        <v>19.8</v>
      </c>
      <c r="H1242">
        <v>3.5</v>
      </c>
      <c r="I1242">
        <v>3.4</v>
      </c>
    </row>
    <row r="1243" spans="1:9" ht="24" customHeight="1">
      <c r="A1243" s="6" t="s">
        <v>506</v>
      </c>
      <c r="B1243">
        <v>34943</v>
      </c>
      <c r="C1243">
        <v>9591</v>
      </c>
      <c r="D1243">
        <v>795941</v>
      </c>
      <c r="E1243">
        <v>517990</v>
      </c>
      <c r="F1243">
        <v>11.5</v>
      </c>
      <c r="G1243">
        <v>8.6</v>
      </c>
      <c r="H1243">
        <v>33.700000000000003</v>
      </c>
      <c r="I1243">
        <v>33.9</v>
      </c>
    </row>
    <row r="1244" spans="1:9" ht="24" customHeight="1">
      <c r="A1244" s="6" t="s">
        <v>2646</v>
      </c>
      <c r="B1244">
        <v>18085</v>
      </c>
      <c r="C1244">
        <v>3165</v>
      </c>
      <c r="D1244">
        <v>572238</v>
      </c>
      <c r="E1244">
        <v>426842</v>
      </c>
      <c r="F1244">
        <v>20.399999999999999</v>
      </c>
      <c r="G1244">
        <v>8.3000000000000007</v>
      </c>
      <c r="H1244">
        <v>6.9</v>
      </c>
      <c r="I1244">
        <v>6.7</v>
      </c>
    </row>
    <row r="1245" spans="1:9" ht="24" customHeight="1">
      <c r="A1245" s="6" t="s">
        <v>2647</v>
      </c>
      <c r="B1245">
        <v>71383</v>
      </c>
      <c r="C1245">
        <v>23595</v>
      </c>
      <c r="D1245">
        <v>423294</v>
      </c>
      <c r="E1245">
        <v>278582</v>
      </c>
      <c r="F1245">
        <v>12</v>
      </c>
      <c r="G1245">
        <v>6.1</v>
      </c>
      <c r="H1245">
        <v>14.2</v>
      </c>
      <c r="I1245">
        <v>11.6</v>
      </c>
    </row>
    <row r="1246" spans="1:9" ht="24" customHeight="1">
      <c r="A1246" s="6" t="s">
        <v>2648</v>
      </c>
      <c r="B1246">
        <v>2662</v>
      </c>
      <c r="C1246">
        <v>1984</v>
      </c>
      <c r="D1246">
        <v>299561</v>
      </c>
      <c r="E1246">
        <v>225483</v>
      </c>
      <c r="F1246">
        <v>11.5</v>
      </c>
      <c r="G1246">
        <v>6.7</v>
      </c>
      <c r="H1246">
        <v>0</v>
      </c>
      <c r="I1246">
        <v>0</v>
      </c>
    </row>
    <row r="1247" spans="1:9" ht="24" customHeight="1">
      <c r="A1247" s="6" t="s">
        <v>2649</v>
      </c>
      <c r="B1247">
        <v>6565</v>
      </c>
      <c r="C1247">
        <v>3398</v>
      </c>
      <c r="D1247">
        <v>315997</v>
      </c>
      <c r="E1247">
        <v>235959</v>
      </c>
      <c r="F1247">
        <v>13.5</v>
      </c>
      <c r="G1247">
        <v>4.9000000000000004</v>
      </c>
      <c r="H1247">
        <v>1.4</v>
      </c>
      <c r="I1247">
        <v>1.7</v>
      </c>
    </row>
    <row r="1248" spans="1:9" ht="24" customHeight="1">
      <c r="A1248" s="6" t="s">
        <v>2650</v>
      </c>
      <c r="B1248">
        <v>10887</v>
      </c>
      <c r="C1248">
        <v>3592</v>
      </c>
      <c r="D1248">
        <v>421123</v>
      </c>
      <c r="E1248">
        <v>290444</v>
      </c>
      <c r="F1248">
        <v>11.2</v>
      </c>
      <c r="G1248">
        <v>4.9000000000000004</v>
      </c>
      <c r="H1248">
        <v>11.6</v>
      </c>
      <c r="I1248">
        <v>11.5</v>
      </c>
    </row>
    <row r="1249" spans="1:9" ht="24" customHeight="1">
      <c r="A1249" s="6" t="s">
        <v>2651</v>
      </c>
      <c r="B1249">
        <v>9782</v>
      </c>
      <c r="C1249">
        <v>3412</v>
      </c>
      <c r="D1249">
        <v>474719</v>
      </c>
      <c r="E1249">
        <v>220502</v>
      </c>
      <c r="F1249">
        <v>12.1</v>
      </c>
      <c r="G1249">
        <v>3.3</v>
      </c>
      <c r="H1249">
        <v>16.899999999999999</v>
      </c>
      <c r="I1249">
        <v>17</v>
      </c>
    </row>
    <row r="1250" spans="1:9" ht="24" customHeight="1">
      <c r="A1250" s="6" t="s">
        <v>2652</v>
      </c>
      <c r="B1250">
        <v>6149</v>
      </c>
      <c r="C1250">
        <v>2322</v>
      </c>
      <c r="D1250">
        <v>485122</v>
      </c>
      <c r="E1250">
        <v>311610</v>
      </c>
      <c r="F1250">
        <v>10.8</v>
      </c>
      <c r="G1250">
        <v>6.5</v>
      </c>
      <c r="H1250">
        <v>21.6</v>
      </c>
      <c r="I1250">
        <v>21.6</v>
      </c>
    </row>
    <row r="1251" spans="1:9" ht="24" customHeight="1">
      <c r="A1251" s="6" t="s">
        <v>2653</v>
      </c>
      <c r="B1251">
        <v>5589</v>
      </c>
      <c r="C1251">
        <v>1355</v>
      </c>
      <c r="D1251">
        <v>507357</v>
      </c>
      <c r="E1251">
        <v>326067</v>
      </c>
      <c r="F1251">
        <v>10.5</v>
      </c>
      <c r="G1251">
        <v>7.3</v>
      </c>
      <c r="H1251">
        <v>26.7</v>
      </c>
      <c r="I1251">
        <v>26.4</v>
      </c>
    </row>
    <row r="1252" spans="1:9" ht="24" customHeight="1">
      <c r="A1252" s="6" t="s">
        <v>2654</v>
      </c>
      <c r="B1252">
        <v>6922</v>
      </c>
      <c r="C1252">
        <v>4131</v>
      </c>
      <c r="D1252">
        <v>355925</v>
      </c>
      <c r="E1252">
        <v>266484</v>
      </c>
      <c r="F1252">
        <v>16.600000000000001</v>
      </c>
      <c r="G1252">
        <v>5</v>
      </c>
      <c r="H1252">
        <v>3.6</v>
      </c>
      <c r="I1252">
        <v>3.4</v>
      </c>
    </row>
    <row r="1253" spans="1:9" ht="24" customHeight="1">
      <c r="A1253" s="6" t="s">
        <v>2655</v>
      </c>
      <c r="B1253">
        <v>9096</v>
      </c>
      <c r="C1253">
        <v>2224</v>
      </c>
      <c r="D1253">
        <v>507216</v>
      </c>
      <c r="E1253">
        <v>272638</v>
      </c>
      <c r="F1253">
        <v>6.7</v>
      </c>
      <c r="G1253">
        <v>5.4</v>
      </c>
      <c r="H1253">
        <v>34.799999999999997</v>
      </c>
      <c r="I1253">
        <v>35</v>
      </c>
    </row>
    <row r="1254" spans="1:9" ht="24" customHeight="1">
      <c r="A1254" s="6" t="s">
        <v>2656</v>
      </c>
      <c r="B1254">
        <v>14645</v>
      </c>
      <c r="C1254">
        <v>4169</v>
      </c>
      <c r="D1254">
        <v>365407</v>
      </c>
      <c r="E1254">
        <v>252758</v>
      </c>
      <c r="F1254">
        <v>13.3</v>
      </c>
      <c r="G1254">
        <v>7.1</v>
      </c>
      <c r="H1254">
        <v>6.9</v>
      </c>
      <c r="I1254">
        <v>7.1</v>
      </c>
    </row>
    <row r="1255" spans="1:9" ht="24" customHeight="1">
      <c r="A1255" s="6" t="s">
        <v>2657</v>
      </c>
      <c r="B1255">
        <v>38856</v>
      </c>
      <c r="C1255">
        <v>14313</v>
      </c>
      <c r="D1255">
        <v>465771</v>
      </c>
      <c r="E1255">
        <v>318842</v>
      </c>
      <c r="F1255">
        <v>11.4</v>
      </c>
      <c r="G1255">
        <v>8.6</v>
      </c>
      <c r="H1255">
        <v>14.2</v>
      </c>
      <c r="I1255">
        <v>12.9</v>
      </c>
    </row>
    <row r="1256" spans="1:9" ht="24" customHeight="1">
      <c r="A1256" s="6" t="s">
        <v>2658</v>
      </c>
      <c r="B1256">
        <v>2027</v>
      </c>
      <c r="C1256">
        <v>899</v>
      </c>
      <c r="D1256">
        <v>255727</v>
      </c>
      <c r="E1256">
        <v>196539</v>
      </c>
      <c r="F1256">
        <v>7.5</v>
      </c>
      <c r="G1256">
        <v>5.0999999999999996</v>
      </c>
      <c r="H1256">
        <v>0</v>
      </c>
      <c r="I1256">
        <v>0</v>
      </c>
    </row>
    <row r="1257" spans="1:9" ht="24" customHeight="1">
      <c r="A1257" s="6" t="s">
        <v>2659</v>
      </c>
      <c r="B1257">
        <v>3995</v>
      </c>
      <c r="C1257">
        <v>1845</v>
      </c>
      <c r="D1257">
        <v>389681</v>
      </c>
      <c r="E1257">
        <v>279386</v>
      </c>
      <c r="F1257">
        <v>12.6</v>
      </c>
      <c r="G1257">
        <v>12.8</v>
      </c>
      <c r="H1257">
        <v>1.4</v>
      </c>
      <c r="I1257">
        <v>1.3</v>
      </c>
    </row>
    <row r="1258" spans="1:9" ht="24" customHeight="1">
      <c r="A1258" s="6" t="s">
        <v>2660</v>
      </c>
      <c r="B1258">
        <v>4621</v>
      </c>
      <c r="C1258">
        <v>1496</v>
      </c>
      <c r="D1258">
        <v>468720</v>
      </c>
      <c r="E1258">
        <v>306152</v>
      </c>
      <c r="F1258">
        <v>16.5</v>
      </c>
      <c r="G1258">
        <v>7.3</v>
      </c>
      <c r="H1258">
        <v>11.9</v>
      </c>
      <c r="I1258">
        <v>11.8</v>
      </c>
    </row>
    <row r="1259" spans="1:9" ht="24" customHeight="1">
      <c r="A1259" s="6" t="s">
        <v>2661</v>
      </c>
      <c r="B1259">
        <v>5602</v>
      </c>
      <c r="C1259">
        <v>1953</v>
      </c>
      <c r="D1259">
        <v>493704</v>
      </c>
      <c r="E1259">
        <v>341952</v>
      </c>
      <c r="F1259">
        <v>10.9</v>
      </c>
      <c r="G1259">
        <v>7.1</v>
      </c>
      <c r="H1259">
        <v>16.899999999999999</v>
      </c>
      <c r="I1259">
        <v>16.600000000000001</v>
      </c>
    </row>
    <row r="1260" spans="1:9" ht="24" customHeight="1">
      <c r="A1260" s="6" t="s">
        <v>2662</v>
      </c>
      <c r="B1260">
        <v>3463</v>
      </c>
      <c r="C1260">
        <v>789</v>
      </c>
      <c r="D1260">
        <v>544807</v>
      </c>
      <c r="E1260">
        <v>309743</v>
      </c>
      <c r="F1260">
        <v>6.8</v>
      </c>
      <c r="G1260">
        <v>6.7</v>
      </c>
      <c r="H1260">
        <v>22</v>
      </c>
      <c r="I1260">
        <v>22.3</v>
      </c>
    </row>
    <row r="1261" spans="1:9" ht="24" customHeight="1">
      <c r="A1261" s="6" t="s">
        <v>2663</v>
      </c>
      <c r="B1261">
        <v>2899</v>
      </c>
      <c r="C1261">
        <v>812</v>
      </c>
      <c r="D1261">
        <v>590376</v>
      </c>
      <c r="E1261">
        <v>419984</v>
      </c>
      <c r="F1261">
        <v>5.3</v>
      </c>
      <c r="G1261">
        <v>3.8</v>
      </c>
      <c r="H1261">
        <v>26.7</v>
      </c>
      <c r="I1261">
        <v>26.7</v>
      </c>
    </row>
    <row r="1262" spans="1:9" ht="24" customHeight="1">
      <c r="A1262" s="6" t="s">
        <v>2664</v>
      </c>
      <c r="B1262">
        <v>3315</v>
      </c>
      <c r="C1262">
        <v>1668</v>
      </c>
      <c r="D1262">
        <v>417687</v>
      </c>
      <c r="E1262">
        <v>270790</v>
      </c>
      <c r="F1262">
        <v>15.2</v>
      </c>
      <c r="G1262">
        <v>10.7</v>
      </c>
      <c r="H1262">
        <v>3.5</v>
      </c>
      <c r="I1262">
        <v>3.5</v>
      </c>
    </row>
    <row r="1263" spans="1:9" ht="24" customHeight="1">
      <c r="A1263" s="6" t="s">
        <v>2665</v>
      </c>
      <c r="B1263">
        <v>5213</v>
      </c>
      <c r="C1263">
        <v>1868</v>
      </c>
      <c r="D1263">
        <v>543629</v>
      </c>
      <c r="E1263">
        <v>396163</v>
      </c>
      <c r="F1263">
        <v>6.6</v>
      </c>
      <c r="G1263">
        <v>6</v>
      </c>
      <c r="H1263">
        <v>34.4</v>
      </c>
      <c r="I1263">
        <v>35.1</v>
      </c>
    </row>
    <row r="1264" spans="1:9" ht="24" customHeight="1">
      <c r="A1264" s="6" t="s">
        <v>2666</v>
      </c>
      <c r="B1264">
        <v>7820</v>
      </c>
      <c r="C1264">
        <v>3236</v>
      </c>
      <c r="D1264">
        <v>422889</v>
      </c>
      <c r="E1264">
        <v>319439</v>
      </c>
      <c r="F1264">
        <v>15</v>
      </c>
      <c r="G1264">
        <v>10.4</v>
      </c>
      <c r="H1264">
        <v>6.9</v>
      </c>
      <c r="I1264">
        <v>7</v>
      </c>
    </row>
    <row r="1265" spans="1:9" ht="24" customHeight="1">
      <c r="A1265" s="6" t="s">
        <v>2667</v>
      </c>
      <c r="B1265">
        <v>39018</v>
      </c>
      <c r="C1265">
        <v>14429</v>
      </c>
      <c r="D1265">
        <v>517562</v>
      </c>
      <c r="E1265">
        <v>333775</v>
      </c>
      <c r="F1265">
        <v>14.6</v>
      </c>
      <c r="G1265">
        <v>9.3000000000000007</v>
      </c>
      <c r="H1265">
        <v>17.8</v>
      </c>
      <c r="I1265">
        <v>14.8</v>
      </c>
    </row>
    <row r="1266" spans="1:9" ht="24" customHeight="1">
      <c r="A1266" s="6" t="s">
        <v>2668</v>
      </c>
      <c r="B1266">
        <v>1228</v>
      </c>
      <c r="C1266">
        <v>280</v>
      </c>
      <c r="D1266">
        <v>266012</v>
      </c>
      <c r="E1266">
        <v>217974</v>
      </c>
      <c r="F1266">
        <v>6.2</v>
      </c>
      <c r="G1266">
        <v>2.8</v>
      </c>
      <c r="H1266">
        <v>0</v>
      </c>
      <c r="I1266">
        <v>0</v>
      </c>
    </row>
    <row r="1267" spans="1:9" ht="24" customHeight="1">
      <c r="A1267" s="6" t="s">
        <v>2669</v>
      </c>
      <c r="B1267">
        <v>2061</v>
      </c>
      <c r="C1267">
        <v>705</v>
      </c>
      <c r="D1267">
        <v>366381</v>
      </c>
      <c r="E1267">
        <v>266353</v>
      </c>
      <c r="F1267">
        <v>13.1</v>
      </c>
      <c r="G1267">
        <v>9.8000000000000007</v>
      </c>
      <c r="H1267">
        <v>1.6</v>
      </c>
      <c r="I1267">
        <v>1.3</v>
      </c>
    </row>
    <row r="1268" spans="1:9" ht="24" customHeight="1">
      <c r="A1268" s="6" t="s">
        <v>2670</v>
      </c>
      <c r="B1268">
        <v>3607</v>
      </c>
      <c r="C1268">
        <v>906</v>
      </c>
      <c r="D1268">
        <v>495675</v>
      </c>
      <c r="E1268">
        <v>358536</v>
      </c>
      <c r="F1268">
        <v>21.4</v>
      </c>
      <c r="G1268">
        <v>13.9</v>
      </c>
      <c r="H1268">
        <v>11.9</v>
      </c>
      <c r="I1268">
        <v>12.1</v>
      </c>
    </row>
    <row r="1269" spans="1:9" ht="24" customHeight="1">
      <c r="A1269" s="6" t="s">
        <v>2671</v>
      </c>
      <c r="B1269">
        <v>5776</v>
      </c>
      <c r="C1269">
        <v>3359</v>
      </c>
      <c r="D1269">
        <v>554796</v>
      </c>
      <c r="E1269">
        <v>298404</v>
      </c>
      <c r="F1269">
        <v>13.5</v>
      </c>
      <c r="G1269">
        <v>6.9</v>
      </c>
      <c r="H1269">
        <v>16.899999999999999</v>
      </c>
      <c r="I1269">
        <v>16.7</v>
      </c>
    </row>
    <row r="1270" spans="1:9" ht="24" customHeight="1">
      <c r="A1270" s="6" t="s">
        <v>2672</v>
      </c>
      <c r="B1270">
        <v>4515</v>
      </c>
      <c r="C1270">
        <v>894</v>
      </c>
      <c r="D1270">
        <v>553342</v>
      </c>
      <c r="E1270">
        <v>408334</v>
      </c>
      <c r="F1270">
        <v>18.8</v>
      </c>
      <c r="G1270">
        <v>10.199999999999999</v>
      </c>
      <c r="H1270">
        <v>21.4</v>
      </c>
      <c r="I1270">
        <v>22.2</v>
      </c>
    </row>
    <row r="1271" spans="1:9" ht="24" customHeight="1">
      <c r="A1271" s="6" t="s">
        <v>2673</v>
      </c>
      <c r="B1271">
        <v>3872</v>
      </c>
      <c r="C1271">
        <v>1543</v>
      </c>
      <c r="D1271">
        <v>625084</v>
      </c>
      <c r="E1271">
        <v>439140</v>
      </c>
      <c r="F1271">
        <v>14.8</v>
      </c>
      <c r="G1271">
        <v>8.1999999999999993</v>
      </c>
      <c r="H1271">
        <v>26.9</v>
      </c>
      <c r="I1271">
        <v>26.8</v>
      </c>
    </row>
    <row r="1272" spans="1:9" ht="24" customHeight="1">
      <c r="A1272" s="6" t="s">
        <v>2674</v>
      </c>
      <c r="B1272">
        <v>3490</v>
      </c>
      <c r="C1272">
        <v>2240</v>
      </c>
      <c r="D1272">
        <v>404906</v>
      </c>
      <c r="E1272">
        <v>262362</v>
      </c>
      <c r="F1272">
        <v>18.3</v>
      </c>
      <c r="G1272">
        <v>6.7</v>
      </c>
      <c r="H1272">
        <v>3.4</v>
      </c>
      <c r="I1272">
        <v>3.8</v>
      </c>
    </row>
    <row r="1273" spans="1:9" ht="24" customHeight="1">
      <c r="A1273" s="6" t="s">
        <v>2675</v>
      </c>
      <c r="B1273">
        <v>8732</v>
      </c>
      <c r="C1273">
        <v>2039</v>
      </c>
      <c r="D1273">
        <v>634149</v>
      </c>
      <c r="E1273">
        <v>457301</v>
      </c>
      <c r="F1273">
        <v>7.7</v>
      </c>
      <c r="G1273">
        <v>9.6999999999999993</v>
      </c>
      <c r="H1273">
        <v>34.1</v>
      </c>
      <c r="I1273">
        <v>34.1</v>
      </c>
    </row>
    <row r="1274" spans="1:9" ht="24" customHeight="1">
      <c r="A1274" s="6" t="s">
        <v>2676</v>
      </c>
      <c r="B1274">
        <v>5778</v>
      </c>
      <c r="C1274">
        <v>3250</v>
      </c>
      <c r="D1274">
        <v>391335</v>
      </c>
      <c r="E1274">
        <v>265151</v>
      </c>
      <c r="F1274">
        <v>18.600000000000001</v>
      </c>
      <c r="G1274">
        <v>10.3</v>
      </c>
      <c r="H1274">
        <v>7.2</v>
      </c>
      <c r="I1274">
        <v>6.6</v>
      </c>
    </row>
    <row r="1275" spans="1:9" ht="24" customHeight="1">
      <c r="A1275" s="6" t="s">
        <v>507</v>
      </c>
      <c r="B1275">
        <v>87857</v>
      </c>
      <c r="C1275">
        <v>23550</v>
      </c>
      <c r="D1275">
        <v>577667</v>
      </c>
      <c r="E1275">
        <v>398705</v>
      </c>
      <c r="F1275">
        <v>14.3</v>
      </c>
      <c r="G1275">
        <v>9.1</v>
      </c>
      <c r="H1275">
        <v>18</v>
      </c>
      <c r="I1275">
        <v>16.2</v>
      </c>
    </row>
    <row r="1276" spans="1:9" ht="24" customHeight="1">
      <c r="A1276" s="6" t="s">
        <v>508</v>
      </c>
      <c r="B1276">
        <v>43090</v>
      </c>
      <c r="C1276">
        <v>10204</v>
      </c>
      <c r="D1276">
        <v>680115</v>
      </c>
      <c r="E1276">
        <v>508219</v>
      </c>
      <c r="F1276">
        <v>15.9</v>
      </c>
      <c r="G1276">
        <v>10.5</v>
      </c>
      <c r="H1276">
        <v>19.2</v>
      </c>
      <c r="I1276">
        <v>17.899999999999999</v>
      </c>
    </row>
    <row r="1277" spans="1:9" ht="24" customHeight="1">
      <c r="A1277" s="6" t="s">
        <v>509</v>
      </c>
      <c r="B1277">
        <v>1718</v>
      </c>
      <c r="C1277">
        <v>721</v>
      </c>
      <c r="D1277">
        <v>421456</v>
      </c>
      <c r="E1277">
        <v>326812</v>
      </c>
      <c r="F1277">
        <v>12.5</v>
      </c>
      <c r="G1277">
        <v>8.3000000000000007</v>
      </c>
      <c r="H1277">
        <v>0</v>
      </c>
      <c r="I1277">
        <v>0</v>
      </c>
    </row>
    <row r="1278" spans="1:9" ht="24" customHeight="1">
      <c r="A1278" s="6" t="s">
        <v>2677</v>
      </c>
      <c r="B1278">
        <v>2199</v>
      </c>
      <c r="C1278">
        <v>814</v>
      </c>
      <c r="D1278">
        <v>470593</v>
      </c>
      <c r="E1278">
        <v>520247</v>
      </c>
      <c r="F1278">
        <v>17.3</v>
      </c>
      <c r="G1278">
        <v>11.7</v>
      </c>
      <c r="H1278">
        <v>1.5</v>
      </c>
      <c r="I1278">
        <v>1.7</v>
      </c>
    </row>
    <row r="1279" spans="1:9" ht="24" customHeight="1">
      <c r="A1279" s="6" t="s">
        <v>2678</v>
      </c>
      <c r="B1279">
        <v>5125</v>
      </c>
      <c r="C1279">
        <v>1293</v>
      </c>
      <c r="D1279">
        <v>605565</v>
      </c>
      <c r="E1279">
        <v>428218</v>
      </c>
      <c r="F1279">
        <v>20.399999999999999</v>
      </c>
      <c r="G1279">
        <v>7.2</v>
      </c>
      <c r="H1279">
        <v>12.6</v>
      </c>
      <c r="I1279">
        <v>12.8</v>
      </c>
    </row>
    <row r="1280" spans="1:9" ht="24" customHeight="1">
      <c r="A1280" s="6" t="s">
        <v>2679</v>
      </c>
      <c r="B1280">
        <v>6331</v>
      </c>
      <c r="C1280">
        <v>1395</v>
      </c>
      <c r="D1280">
        <v>706584</v>
      </c>
      <c r="E1280">
        <v>500655</v>
      </c>
      <c r="F1280">
        <v>20.5</v>
      </c>
      <c r="G1280">
        <v>8.1999999999999993</v>
      </c>
      <c r="H1280">
        <v>16.7</v>
      </c>
      <c r="I1280">
        <v>16.8</v>
      </c>
    </row>
    <row r="1281" spans="1:9" ht="24" customHeight="1">
      <c r="A1281" s="6" t="s">
        <v>2680</v>
      </c>
      <c r="B1281">
        <v>3898</v>
      </c>
      <c r="C1281">
        <v>564</v>
      </c>
      <c r="D1281">
        <v>828033</v>
      </c>
      <c r="E1281">
        <v>469035</v>
      </c>
      <c r="F1281">
        <v>13.4</v>
      </c>
      <c r="G1281">
        <v>6.5</v>
      </c>
      <c r="H1281">
        <v>22</v>
      </c>
      <c r="I1281">
        <v>21.8</v>
      </c>
    </row>
    <row r="1282" spans="1:9" ht="24" customHeight="1">
      <c r="A1282" s="6" t="s">
        <v>2681</v>
      </c>
      <c r="B1282">
        <v>3853</v>
      </c>
      <c r="C1282">
        <v>762</v>
      </c>
      <c r="D1282">
        <v>789839</v>
      </c>
      <c r="E1282">
        <v>544998</v>
      </c>
      <c r="F1282">
        <v>10.8</v>
      </c>
      <c r="G1282">
        <v>16.399999999999999</v>
      </c>
      <c r="H1282">
        <v>26.6</v>
      </c>
      <c r="I1282">
        <v>27.1</v>
      </c>
    </row>
    <row r="1283" spans="1:9" ht="24" customHeight="1">
      <c r="A1283" s="6" t="s">
        <v>2682</v>
      </c>
      <c r="B1283">
        <v>2491</v>
      </c>
      <c r="C1283">
        <v>827</v>
      </c>
      <c r="D1283">
        <v>506943</v>
      </c>
      <c r="E1283">
        <v>518176</v>
      </c>
      <c r="F1283">
        <v>22.9</v>
      </c>
      <c r="G1283">
        <v>11.5</v>
      </c>
      <c r="H1283">
        <v>3.5</v>
      </c>
      <c r="I1283">
        <v>3.6</v>
      </c>
    </row>
    <row r="1284" spans="1:9" ht="24" customHeight="1">
      <c r="A1284" s="6" t="s">
        <v>510</v>
      </c>
      <c r="B1284">
        <v>12458</v>
      </c>
      <c r="C1284">
        <v>3017</v>
      </c>
      <c r="D1284">
        <v>764268</v>
      </c>
      <c r="E1284">
        <v>557171</v>
      </c>
      <c r="F1284">
        <v>11.2</v>
      </c>
      <c r="G1284">
        <v>12.4</v>
      </c>
      <c r="H1284">
        <v>33.9</v>
      </c>
      <c r="I1284">
        <v>34.4</v>
      </c>
    </row>
    <row r="1285" spans="1:9" ht="24" customHeight="1">
      <c r="A1285" s="6" t="s">
        <v>2683</v>
      </c>
      <c r="B1285">
        <v>5025</v>
      </c>
      <c r="C1285">
        <v>1272</v>
      </c>
      <c r="D1285">
        <v>581480</v>
      </c>
      <c r="E1285">
        <v>501726</v>
      </c>
      <c r="F1285">
        <v>20.399999999999999</v>
      </c>
      <c r="G1285">
        <v>7.2</v>
      </c>
      <c r="H1285">
        <v>6.8</v>
      </c>
      <c r="I1285">
        <v>7.1</v>
      </c>
    </row>
    <row r="1286" spans="1:9" ht="24" customHeight="1">
      <c r="A1286" s="6" t="s">
        <v>2684</v>
      </c>
      <c r="B1286">
        <v>8632</v>
      </c>
      <c r="C1286">
        <v>4110</v>
      </c>
      <c r="D1286">
        <v>406876</v>
      </c>
      <c r="E1286">
        <v>258089</v>
      </c>
      <c r="F1286">
        <v>9.8000000000000007</v>
      </c>
      <c r="G1286">
        <v>6.1</v>
      </c>
      <c r="H1286">
        <v>15.1</v>
      </c>
      <c r="I1286">
        <v>12.5</v>
      </c>
    </row>
    <row r="1287" spans="1:9" ht="24" customHeight="1">
      <c r="A1287" s="6" t="s">
        <v>2685</v>
      </c>
      <c r="B1287">
        <v>353</v>
      </c>
      <c r="C1287">
        <v>351</v>
      </c>
      <c r="D1287">
        <v>250600</v>
      </c>
      <c r="E1287">
        <v>212450</v>
      </c>
      <c r="F1287">
        <v>6.5</v>
      </c>
      <c r="G1287">
        <v>4.9000000000000004</v>
      </c>
      <c r="H1287">
        <v>0</v>
      </c>
      <c r="I1287">
        <v>0</v>
      </c>
    </row>
    <row r="1288" spans="1:9" ht="24" customHeight="1">
      <c r="A1288" s="6" t="s">
        <v>2686</v>
      </c>
      <c r="B1288">
        <v>887</v>
      </c>
      <c r="C1288">
        <v>526</v>
      </c>
      <c r="D1288">
        <v>344238</v>
      </c>
      <c r="E1288">
        <v>232319</v>
      </c>
      <c r="F1288">
        <v>11.4</v>
      </c>
      <c r="G1288">
        <v>3.8</v>
      </c>
      <c r="H1288">
        <v>1.6</v>
      </c>
      <c r="I1288">
        <v>1.3</v>
      </c>
    </row>
    <row r="1289" spans="1:9" ht="24" customHeight="1">
      <c r="A1289" s="6" t="s">
        <v>2687</v>
      </c>
      <c r="B1289">
        <v>1166</v>
      </c>
      <c r="C1289">
        <v>475</v>
      </c>
      <c r="D1289">
        <v>396991</v>
      </c>
      <c r="E1289">
        <v>279414</v>
      </c>
      <c r="F1289">
        <v>11.5</v>
      </c>
      <c r="G1289">
        <v>9.8000000000000007</v>
      </c>
      <c r="H1289">
        <v>12</v>
      </c>
      <c r="I1289">
        <v>11.7</v>
      </c>
    </row>
    <row r="1290" spans="1:9" ht="24" customHeight="1">
      <c r="A1290" s="6" t="s">
        <v>2688</v>
      </c>
      <c r="B1290">
        <v>1131</v>
      </c>
      <c r="C1290">
        <v>502</v>
      </c>
      <c r="D1290">
        <v>409887</v>
      </c>
      <c r="E1290">
        <v>271383</v>
      </c>
      <c r="F1290">
        <v>12.3</v>
      </c>
      <c r="G1290">
        <v>7.1</v>
      </c>
      <c r="H1290">
        <v>16.8</v>
      </c>
      <c r="I1290">
        <v>16.7</v>
      </c>
    </row>
    <row r="1291" spans="1:9" ht="24" customHeight="1">
      <c r="A1291" s="6" t="s">
        <v>2689</v>
      </c>
      <c r="B1291">
        <v>848</v>
      </c>
      <c r="C1291">
        <v>540</v>
      </c>
      <c r="D1291">
        <v>505402</v>
      </c>
      <c r="E1291">
        <v>293895</v>
      </c>
      <c r="F1291">
        <v>4.9000000000000004</v>
      </c>
      <c r="G1291">
        <v>7</v>
      </c>
      <c r="H1291">
        <v>21.7</v>
      </c>
      <c r="I1291">
        <v>22.2</v>
      </c>
    </row>
    <row r="1292" spans="1:9" ht="24" customHeight="1">
      <c r="A1292" s="6" t="s">
        <v>2690</v>
      </c>
      <c r="B1292">
        <v>913</v>
      </c>
      <c r="C1292">
        <v>222</v>
      </c>
      <c r="D1292">
        <v>458451</v>
      </c>
      <c r="E1292">
        <v>225505</v>
      </c>
      <c r="F1292">
        <v>8.4</v>
      </c>
      <c r="G1292">
        <v>7.2</v>
      </c>
      <c r="H1292">
        <v>26.2</v>
      </c>
      <c r="I1292">
        <v>26.8</v>
      </c>
    </row>
    <row r="1293" spans="1:9" ht="24" customHeight="1">
      <c r="A1293" s="6" t="s">
        <v>2691</v>
      </c>
      <c r="B1293">
        <v>781</v>
      </c>
      <c r="C1293">
        <v>315</v>
      </c>
      <c r="D1293">
        <v>367325</v>
      </c>
      <c r="E1293">
        <v>236543</v>
      </c>
      <c r="F1293">
        <v>12.2</v>
      </c>
      <c r="G1293">
        <v>6.2</v>
      </c>
      <c r="H1293">
        <v>3.6</v>
      </c>
      <c r="I1293">
        <v>3.6</v>
      </c>
    </row>
    <row r="1294" spans="1:9" ht="24" customHeight="1">
      <c r="A1294" s="6" t="s">
        <v>2692</v>
      </c>
      <c r="B1294">
        <v>1147</v>
      </c>
      <c r="C1294">
        <v>364</v>
      </c>
      <c r="D1294">
        <v>469985</v>
      </c>
      <c r="E1294">
        <v>261269</v>
      </c>
      <c r="F1294">
        <v>8.6999999999999993</v>
      </c>
      <c r="G1294">
        <v>2.6</v>
      </c>
      <c r="H1294">
        <v>35.700000000000003</v>
      </c>
      <c r="I1294">
        <v>34.299999999999997</v>
      </c>
    </row>
    <row r="1295" spans="1:9" ht="24" customHeight="1">
      <c r="A1295" s="6" t="s">
        <v>2693</v>
      </c>
      <c r="B1295">
        <v>1407</v>
      </c>
      <c r="C1295">
        <v>955</v>
      </c>
      <c r="D1295">
        <v>369039</v>
      </c>
      <c r="E1295">
        <v>255966</v>
      </c>
      <c r="F1295">
        <v>9.4</v>
      </c>
      <c r="G1295">
        <v>5</v>
      </c>
      <c r="H1295">
        <v>6.7</v>
      </c>
      <c r="I1295">
        <v>7</v>
      </c>
    </row>
    <row r="1296" spans="1:9" ht="24" customHeight="1">
      <c r="A1296" s="6" t="s">
        <v>2694</v>
      </c>
      <c r="B1296">
        <v>16062</v>
      </c>
      <c r="C1296">
        <v>4417</v>
      </c>
      <c r="D1296">
        <v>443616</v>
      </c>
      <c r="E1296">
        <v>312903</v>
      </c>
      <c r="F1296">
        <v>12.2</v>
      </c>
      <c r="G1296">
        <v>8.1</v>
      </c>
      <c r="H1296">
        <v>16</v>
      </c>
      <c r="I1296">
        <v>13.8</v>
      </c>
    </row>
    <row r="1297" spans="1:9" ht="24" customHeight="1">
      <c r="A1297" s="6" t="s">
        <v>2695</v>
      </c>
      <c r="B1297">
        <v>690</v>
      </c>
      <c r="C1297">
        <v>256</v>
      </c>
      <c r="D1297">
        <v>247541</v>
      </c>
      <c r="E1297">
        <v>200754</v>
      </c>
      <c r="F1297">
        <v>6.4</v>
      </c>
      <c r="G1297">
        <v>0.7</v>
      </c>
      <c r="H1297">
        <v>0</v>
      </c>
      <c r="I1297">
        <v>0</v>
      </c>
    </row>
    <row r="1298" spans="1:9" ht="24" customHeight="1">
      <c r="A1298" s="6" t="s">
        <v>2696</v>
      </c>
      <c r="B1298">
        <v>976</v>
      </c>
      <c r="C1298">
        <v>486</v>
      </c>
      <c r="D1298">
        <v>283897</v>
      </c>
      <c r="E1298">
        <v>246482</v>
      </c>
      <c r="F1298">
        <v>11.5</v>
      </c>
      <c r="G1298">
        <v>4.5999999999999996</v>
      </c>
      <c r="H1298">
        <v>1.4</v>
      </c>
      <c r="I1298">
        <v>1.5</v>
      </c>
    </row>
    <row r="1299" spans="1:9" ht="24" customHeight="1">
      <c r="A1299" s="6" t="s">
        <v>2697</v>
      </c>
      <c r="B1299">
        <v>2594</v>
      </c>
      <c r="C1299">
        <v>711</v>
      </c>
      <c r="D1299">
        <v>406573</v>
      </c>
      <c r="E1299">
        <v>322010</v>
      </c>
      <c r="F1299">
        <v>11.7</v>
      </c>
      <c r="G1299">
        <v>10.3</v>
      </c>
      <c r="H1299">
        <v>11.7</v>
      </c>
      <c r="I1299">
        <v>12.3</v>
      </c>
    </row>
    <row r="1300" spans="1:9" ht="24" customHeight="1">
      <c r="A1300" s="6" t="s">
        <v>2698</v>
      </c>
      <c r="B1300">
        <v>2852</v>
      </c>
      <c r="C1300">
        <v>671</v>
      </c>
      <c r="D1300">
        <v>456695</v>
      </c>
      <c r="E1300">
        <v>354385</v>
      </c>
      <c r="F1300">
        <v>12.6</v>
      </c>
      <c r="G1300">
        <v>7.4</v>
      </c>
      <c r="H1300">
        <v>16.7</v>
      </c>
      <c r="I1300">
        <v>16.600000000000001</v>
      </c>
    </row>
    <row r="1301" spans="1:9" ht="24" customHeight="1">
      <c r="A1301" s="6" t="s">
        <v>2699</v>
      </c>
      <c r="B1301">
        <v>1520</v>
      </c>
      <c r="C1301">
        <v>383</v>
      </c>
      <c r="D1301">
        <v>506762</v>
      </c>
      <c r="E1301">
        <v>322670</v>
      </c>
      <c r="F1301">
        <v>14.8</v>
      </c>
      <c r="G1301">
        <v>8.1999999999999993</v>
      </c>
      <c r="H1301">
        <v>21.7</v>
      </c>
      <c r="I1301">
        <v>21.6</v>
      </c>
    </row>
    <row r="1302" spans="1:9" ht="24" customHeight="1">
      <c r="A1302" s="6" t="s">
        <v>2700</v>
      </c>
      <c r="B1302">
        <v>1178</v>
      </c>
      <c r="C1302">
        <v>227</v>
      </c>
      <c r="D1302">
        <v>550813</v>
      </c>
      <c r="E1302">
        <v>310947</v>
      </c>
      <c r="F1302">
        <v>7.8</v>
      </c>
      <c r="G1302">
        <v>5.6</v>
      </c>
      <c r="H1302">
        <v>26.4</v>
      </c>
      <c r="I1302">
        <v>26.5</v>
      </c>
    </row>
    <row r="1303" spans="1:9" ht="24" customHeight="1">
      <c r="A1303" s="6" t="s">
        <v>2701</v>
      </c>
      <c r="B1303">
        <v>1089</v>
      </c>
      <c r="C1303">
        <v>294</v>
      </c>
      <c r="D1303">
        <v>360785</v>
      </c>
      <c r="E1303">
        <v>245584</v>
      </c>
      <c r="F1303">
        <v>13.3</v>
      </c>
      <c r="G1303">
        <v>5.8</v>
      </c>
      <c r="H1303">
        <v>3.5</v>
      </c>
      <c r="I1303">
        <v>3.5</v>
      </c>
    </row>
    <row r="1304" spans="1:9" ht="24" customHeight="1">
      <c r="A1304" s="6" t="s">
        <v>2702</v>
      </c>
      <c r="B1304">
        <v>2762</v>
      </c>
      <c r="C1304">
        <v>593</v>
      </c>
      <c r="D1304">
        <v>583827</v>
      </c>
      <c r="E1304">
        <v>412077</v>
      </c>
      <c r="F1304">
        <v>11.7</v>
      </c>
      <c r="G1304">
        <v>12.9</v>
      </c>
      <c r="H1304">
        <v>33.799999999999997</v>
      </c>
      <c r="I1304">
        <v>33.9</v>
      </c>
    </row>
    <row r="1305" spans="1:9" ht="24" customHeight="1">
      <c r="A1305" s="6" t="s">
        <v>2703</v>
      </c>
      <c r="B1305">
        <v>2452</v>
      </c>
      <c r="C1305">
        <v>956</v>
      </c>
      <c r="D1305">
        <v>371358</v>
      </c>
      <c r="E1305">
        <v>292472</v>
      </c>
      <c r="F1305">
        <v>14.3</v>
      </c>
      <c r="G1305">
        <v>7.8</v>
      </c>
      <c r="H1305">
        <v>7</v>
      </c>
      <c r="I1305">
        <v>7</v>
      </c>
    </row>
    <row r="1306" spans="1:9" ht="24" customHeight="1">
      <c r="A1306" s="6" t="s">
        <v>2704</v>
      </c>
      <c r="B1306">
        <v>20073</v>
      </c>
      <c r="C1306">
        <v>4819</v>
      </c>
      <c r="D1306">
        <v>538455</v>
      </c>
      <c r="E1306">
        <v>365364</v>
      </c>
      <c r="F1306">
        <v>14.4</v>
      </c>
      <c r="G1306">
        <v>9.9</v>
      </c>
      <c r="H1306">
        <v>18.100000000000001</v>
      </c>
      <c r="I1306">
        <v>17.899999999999999</v>
      </c>
    </row>
    <row r="1307" spans="1:9" ht="24" customHeight="1">
      <c r="A1307" s="6" t="s">
        <v>2705</v>
      </c>
      <c r="B1307">
        <v>796</v>
      </c>
      <c r="C1307">
        <v>290</v>
      </c>
      <c r="D1307">
        <v>268856</v>
      </c>
      <c r="E1307">
        <v>252328</v>
      </c>
      <c r="F1307">
        <v>5.2</v>
      </c>
      <c r="G1307">
        <v>8.4</v>
      </c>
      <c r="H1307">
        <v>0</v>
      </c>
      <c r="I1307">
        <v>0</v>
      </c>
    </row>
    <row r="1308" spans="1:9" ht="24" customHeight="1">
      <c r="A1308" s="6" t="s">
        <v>2706</v>
      </c>
      <c r="B1308">
        <v>1577</v>
      </c>
      <c r="C1308">
        <v>368</v>
      </c>
      <c r="D1308">
        <v>413966</v>
      </c>
      <c r="E1308">
        <v>294286</v>
      </c>
      <c r="F1308">
        <v>32.200000000000003</v>
      </c>
      <c r="G1308">
        <v>15.6</v>
      </c>
      <c r="H1308">
        <v>1.7</v>
      </c>
      <c r="I1308">
        <v>1.5</v>
      </c>
    </row>
    <row r="1309" spans="1:9" ht="24" customHeight="1">
      <c r="A1309" s="6" t="s">
        <v>2707</v>
      </c>
      <c r="B1309">
        <v>3250</v>
      </c>
      <c r="C1309">
        <v>1216</v>
      </c>
      <c r="D1309">
        <v>468719</v>
      </c>
      <c r="E1309">
        <v>339995</v>
      </c>
      <c r="F1309">
        <v>19.600000000000001</v>
      </c>
      <c r="G1309">
        <v>4.4000000000000004</v>
      </c>
      <c r="H1309">
        <v>12.5</v>
      </c>
      <c r="I1309">
        <v>12</v>
      </c>
    </row>
    <row r="1310" spans="1:9" ht="24" customHeight="1">
      <c r="A1310" s="6" t="s">
        <v>2708</v>
      </c>
      <c r="B1310">
        <v>2271</v>
      </c>
      <c r="C1310">
        <v>586</v>
      </c>
      <c r="D1310">
        <v>469052</v>
      </c>
      <c r="E1310">
        <v>368984</v>
      </c>
      <c r="F1310">
        <v>11.3</v>
      </c>
      <c r="G1310">
        <v>6.7</v>
      </c>
      <c r="H1310">
        <v>16.399999999999999</v>
      </c>
      <c r="I1310">
        <v>16.399999999999999</v>
      </c>
    </row>
    <row r="1311" spans="1:9" ht="24" customHeight="1">
      <c r="A1311" s="6" t="s">
        <v>2709</v>
      </c>
      <c r="B1311">
        <v>1209</v>
      </c>
      <c r="C1311">
        <v>221</v>
      </c>
      <c r="D1311">
        <v>595093</v>
      </c>
      <c r="E1311">
        <v>442887</v>
      </c>
      <c r="F1311">
        <v>10.8</v>
      </c>
      <c r="G1311">
        <v>12.7</v>
      </c>
      <c r="H1311">
        <v>22.4</v>
      </c>
      <c r="I1311">
        <v>21.2</v>
      </c>
    </row>
    <row r="1312" spans="1:9" ht="24" customHeight="1">
      <c r="A1312" s="6" t="s">
        <v>2710</v>
      </c>
      <c r="B1312">
        <v>1555</v>
      </c>
      <c r="C1312">
        <v>694</v>
      </c>
      <c r="D1312">
        <v>651777</v>
      </c>
      <c r="E1312">
        <v>413603</v>
      </c>
      <c r="F1312">
        <v>9.9</v>
      </c>
      <c r="G1312">
        <v>11.3</v>
      </c>
      <c r="H1312">
        <v>26.7</v>
      </c>
      <c r="I1312">
        <v>26.2</v>
      </c>
    </row>
    <row r="1313" spans="1:9" ht="24" customHeight="1">
      <c r="A1313" s="6" t="s">
        <v>2711</v>
      </c>
      <c r="B1313">
        <v>814</v>
      </c>
      <c r="C1313">
        <v>361</v>
      </c>
      <c r="D1313">
        <v>385367</v>
      </c>
      <c r="E1313">
        <v>340748</v>
      </c>
      <c r="F1313">
        <v>21</v>
      </c>
      <c r="G1313">
        <v>18.899999999999999</v>
      </c>
      <c r="H1313">
        <v>3.4</v>
      </c>
      <c r="I1313">
        <v>3.4</v>
      </c>
    </row>
    <row r="1314" spans="1:9" ht="24" customHeight="1">
      <c r="A1314" s="6" t="s">
        <v>2712</v>
      </c>
      <c r="B1314">
        <v>6020</v>
      </c>
      <c r="C1314">
        <v>1210</v>
      </c>
      <c r="D1314">
        <v>705801</v>
      </c>
      <c r="E1314">
        <v>422014</v>
      </c>
      <c r="F1314">
        <v>6.3</v>
      </c>
      <c r="G1314">
        <v>7.9</v>
      </c>
      <c r="H1314">
        <v>34.4</v>
      </c>
      <c r="I1314">
        <v>34.700000000000003</v>
      </c>
    </row>
    <row r="1315" spans="1:9" ht="24" customHeight="1">
      <c r="A1315" s="6" t="s">
        <v>2713</v>
      </c>
      <c r="B1315">
        <v>3030</v>
      </c>
      <c r="C1315">
        <v>570</v>
      </c>
      <c r="D1315">
        <v>440899</v>
      </c>
      <c r="E1315">
        <v>348586</v>
      </c>
      <c r="F1315">
        <v>20.399999999999999</v>
      </c>
      <c r="G1315">
        <v>7.2</v>
      </c>
      <c r="H1315">
        <v>6.4</v>
      </c>
      <c r="I1315">
        <v>7</v>
      </c>
    </row>
    <row r="1316" spans="1:9" ht="24" customHeight="1">
      <c r="A1316" s="6" t="s">
        <v>511</v>
      </c>
      <c r="B1316">
        <v>607789</v>
      </c>
      <c r="C1316">
        <v>107510</v>
      </c>
      <c r="D1316">
        <v>522956</v>
      </c>
      <c r="E1316">
        <v>359920</v>
      </c>
      <c r="F1316">
        <v>19.2</v>
      </c>
      <c r="G1316">
        <v>8.5</v>
      </c>
      <c r="H1316">
        <v>16.5</v>
      </c>
      <c r="I1316">
        <v>11.7</v>
      </c>
    </row>
    <row r="1317" spans="1:9" ht="24" customHeight="1">
      <c r="A1317" s="6" t="s">
        <v>512</v>
      </c>
      <c r="B1317">
        <v>296839</v>
      </c>
      <c r="C1317">
        <v>39859</v>
      </c>
      <c r="D1317">
        <v>613637</v>
      </c>
      <c r="E1317">
        <v>453146</v>
      </c>
      <c r="F1317">
        <v>20.9</v>
      </c>
      <c r="G1317">
        <v>13.1</v>
      </c>
      <c r="H1317">
        <v>18.5</v>
      </c>
      <c r="I1317">
        <v>13.7</v>
      </c>
    </row>
    <row r="1318" spans="1:9" ht="24" customHeight="1">
      <c r="A1318" s="6" t="s">
        <v>513</v>
      </c>
      <c r="B1318">
        <v>8460</v>
      </c>
      <c r="C1318">
        <v>2857</v>
      </c>
      <c r="D1318">
        <v>303053</v>
      </c>
      <c r="E1318">
        <v>268633</v>
      </c>
      <c r="F1318">
        <v>15.7</v>
      </c>
      <c r="G1318">
        <v>15.6</v>
      </c>
      <c r="H1318">
        <v>0</v>
      </c>
      <c r="I1318">
        <v>0</v>
      </c>
    </row>
    <row r="1319" spans="1:9" ht="24" customHeight="1">
      <c r="A1319" s="6" t="s">
        <v>2714</v>
      </c>
      <c r="B1319">
        <v>15711</v>
      </c>
      <c r="C1319">
        <v>2924</v>
      </c>
      <c r="D1319">
        <v>362227</v>
      </c>
      <c r="E1319">
        <v>370163</v>
      </c>
      <c r="F1319">
        <v>22.3</v>
      </c>
      <c r="G1319">
        <v>16.100000000000001</v>
      </c>
      <c r="H1319">
        <v>1.4</v>
      </c>
      <c r="I1319">
        <v>1.5</v>
      </c>
    </row>
    <row r="1320" spans="1:9" ht="24" customHeight="1">
      <c r="A1320" s="6" t="s">
        <v>2715</v>
      </c>
      <c r="B1320">
        <v>31865</v>
      </c>
      <c r="C1320">
        <v>4028</v>
      </c>
      <c r="D1320">
        <v>567528</v>
      </c>
      <c r="E1320">
        <v>426136</v>
      </c>
      <c r="F1320">
        <v>25.3</v>
      </c>
      <c r="G1320">
        <v>5.8</v>
      </c>
      <c r="H1320">
        <v>12.3</v>
      </c>
      <c r="I1320">
        <v>11.9</v>
      </c>
    </row>
    <row r="1321" spans="1:9" ht="24" customHeight="1">
      <c r="A1321" s="6" t="s">
        <v>2716</v>
      </c>
      <c r="B1321">
        <v>50616</v>
      </c>
      <c r="C1321">
        <v>6248</v>
      </c>
      <c r="D1321">
        <v>625969</v>
      </c>
      <c r="E1321">
        <v>545746</v>
      </c>
      <c r="F1321">
        <v>21.9</v>
      </c>
      <c r="G1321">
        <v>15.6</v>
      </c>
      <c r="H1321">
        <v>16.7</v>
      </c>
      <c r="I1321">
        <v>16.8</v>
      </c>
    </row>
    <row r="1322" spans="1:9" ht="24" customHeight="1">
      <c r="A1322" s="6" t="s">
        <v>2717</v>
      </c>
      <c r="B1322">
        <v>22942</v>
      </c>
      <c r="C1322">
        <v>3020</v>
      </c>
      <c r="D1322">
        <v>722739</v>
      </c>
      <c r="E1322">
        <v>520473</v>
      </c>
      <c r="F1322">
        <v>19.8</v>
      </c>
      <c r="G1322">
        <v>13</v>
      </c>
      <c r="H1322">
        <v>22.1</v>
      </c>
      <c r="I1322">
        <v>22.6</v>
      </c>
    </row>
    <row r="1323" spans="1:9" ht="24" customHeight="1">
      <c r="A1323" s="6" t="s">
        <v>2718</v>
      </c>
      <c r="B1323">
        <v>22755</v>
      </c>
      <c r="C1323">
        <v>2467</v>
      </c>
      <c r="D1323">
        <v>744387</v>
      </c>
      <c r="E1323">
        <v>503131</v>
      </c>
      <c r="F1323">
        <v>18.600000000000001</v>
      </c>
      <c r="G1323">
        <v>8.8000000000000007</v>
      </c>
      <c r="H1323">
        <v>26.7</v>
      </c>
      <c r="I1323">
        <v>26</v>
      </c>
    </row>
    <row r="1324" spans="1:9" ht="24" customHeight="1">
      <c r="A1324" s="6" t="s">
        <v>2719</v>
      </c>
      <c r="B1324">
        <v>23540</v>
      </c>
      <c r="C1324">
        <v>3871</v>
      </c>
      <c r="D1324">
        <v>439545</v>
      </c>
      <c r="E1324">
        <v>407122</v>
      </c>
      <c r="F1324">
        <v>28.2</v>
      </c>
      <c r="G1324">
        <v>14.5</v>
      </c>
      <c r="H1324">
        <v>3.6</v>
      </c>
      <c r="I1324">
        <v>3.5</v>
      </c>
    </row>
    <row r="1325" spans="1:9" ht="24" customHeight="1">
      <c r="A1325" s="6" t="s">
        <v>514</v>
      </c>
      <c r="B1325">
        <v>79298</v>
      </c>
      <c r="C1325">
        <v>5725</v>
      </c>
      <c r="D1325">
        <v>753662</v>
      </c>
      <c r="E1325">
        <v>528810</v>
      </c>
      <c r="F1325">
        <v>15.5</v>
      </c>
      <c r="G1325">
        <v>9.5</v>
      </c>
      <c r="H1325">
        <v>34.6</v>
      </c>
      <c r="I1325">
        <v>34.4</v>
      </c>
    </row>
    <row r="1326" spans="1:9" ht="24" customHeight="1">
      <c r="A1326" s="6" t="s">
        <v>2720</v>
      </c>
      <c r="B1326">
        <v>42551</v>
      </c>
      <c r="C1326">
        <v>9878</v>
      </c>
      <c r="D1326">
        <v>488597</v>
      </c>
      <c r="E1326">
        <v>409033</v>
      </c>
      <c r="F1326">
        <v>24.4</v>
      </c>
      <c r="G1326">
        <v>14.2</v>
      </c>
      <c r="H1326">
        <v>7</v>
      </c>
      <c r="I1326">
        <v>6.8</v>
      </c>
    </row>
    <row r="1327" spans="1:9" ht="24" customHeight="1">
      <c r="A1327" s="6" t="s">
        <v>2721</v>
      </c>
      <c r="B1327">
        <v>90192</v>
      </c>
      <c r="C1327">
        <v>15653</v>
      </c>
      <c r="D1327">
        <v>392695</v>
      </c>
      <c r="E1327">
        <v>261359</v>
      </c>
      <c r="F1327">
        <v>15.1</v>
      </c>
      <c r="G1327">
        <v>4.5</v>
      </c>
      <c r="H1327">
        <v>14.5</v>
      </c>
      <c r="I1327">
        <v>10.1</v>
      </c>
    </row>
    <row r="1328" spans="1:9" ht="24" customHeight="1">
      <c r="A1328" s="6" t="s">
        <v>2722</v>
      </c>
      <c r="B1328">
        <v>4701</v>
      </c>
      <c r="C1328">
        <v>1598</v>
      </c>
      <c r="D1328">
        <v>278716</v>
      </c>
      <c r="E1328">
        <v>198383</v>
      </c>
      <c r="F1328">
        <v>8.8000000000000007</v>
      </c>
      <c r="G1328">
        <v>4.5999999999999996</v>
      </c>
      <c r="H1328">
        <v>0</v>
      </c>
      <c r="I1328">
        <v>0</v>
      </c>
    </row>
    <row r="1329" spans="1:9" ht="24" customHeight="1">
      <c r="A1329" s="6" t="s">
        <v>2723</v>
      </c>
      <c r="B1329">
        <v>6953</v>
      </c>
      <c r="C1329">
        <v>1919</v>
      </c>
      <c r="D1329">
        <v>304568</v>
      </c>
      <c r="E1329">
        <v>225326</v>
      </c>
      <c r="F1329">
        <v>15.7</v>
      </c>
      <c r="G1329">
        <v>6</v>
      </c>
      <c r="H1329">
        <v>1.4</v>
      </c>
      <c r="I1329">
        <v>1.5</v>
      </c>
    </row>
    <row r="1330" spans="1:9" ht="24" customHeight="1">
      <c r="A1330" s="6" t="s">
        <v>2724</v>
      </c>
      <c r="B1330">
        <v>12461</v>
      </c>
      <c r="C1330">
        <v>2275</v>
      </c>
      <c r="D1330">
        <v>380334</v>
      </c>
      <c r="E1330">
        <v>287116</v>
      </c>
      <c r="F1330">
        <v>18.5</v>
      </c>
      <c r="G1330">
        <v>9.5</v>
      </c>
      <c r="H1330">
        <v>11.8</v>
      </c>
      <c r="I1330">
        <v>11.7</v>
      </c>
    </row>
    <row r="1331" spans="1:9" ht="24" customHeight="1">
      <c r="A1331" s="6" t="s">
        <v>2725</v>
      </c>
      <c r="B1331">
        <v>16726</v>
      </c>
      <c r="C1331">
        <v>2485</v>
      </c>
      <c r="D1331">
        <v>432897</v>
      </c>
      <c r="E1331">
        <v>295631</v>
      </c>
      <c r="F1331">
        <v>13.8</v>
      </c>
      <c r="G1331">
        <v>2.8</v>
      </c>
      <c r="H1331">
        <v>17.100000000000001</v>
      </c>
      <c r="I1331">
        <v>17</v>
      </c>
    </row>
    <row r="1332" spans="1:9" ht="24" customHeight="1">
      <c r="A1332" s="6" t="s">
        <v>2726</v>
      </c>
      <c r="B1332">
        <v>7900</v>
      </c>
      <c r="C1332">
        <v>1315</v>
      </c>
      <c r="D1332">
        <v>437805</v>
      </c>
      <c r="E1332">
        <v>290667</v>
      </c>
      <c r="F1332">
        <v>14.8</v>
      </c>
      <c r="G1332">
        <v>6.6</v>
      </c>
      <c r="H1332">
        <v>21.6</v>
      </c>
      <c r="I1332">
        <v>21.3</v>
      </c>
    </row>
    <row r="1333" spans="1:9" ht="24" customHeight="1">
      <c r="A1333" s="6" t="s">
        <v>2727</v>
      </c>
      <c r="B1333">
        <v>7771</v>
      </c>
      <c r="C1333">
        <v>585</v>
      </c>
      <c r="D1333">
        <v>472870</v>
      </c>
      <c r="E1333">
        <v>261369</v>
      </c>
      <c r="F1333">
        <v>14.6</v>
      </c>
      <c r="G1333">
        <v>3</v>
      </c>
      <c r="H1333">
        <v>26.9</v>
      </c>
      <c r="I1333">
        <v>26.2</v>
      </c>
    </row>
    <row r="1334" spans="1:9" ht="24" customHeight="1">
      <c r="A1334" s="6" t="s">
        <v>2728</v>
      </c>
      <c r="B1334">
        <v>6670</v>
      </c>
      <c r="C1334">
        <v>1968</v>
      </c>
      <c r="D1334">
        <v>327566</v>
      </c>
      <c r="E1334">
        <v>231468</v>
      </c>
      <c r="F1334">
        <v>14.9</v>
      </c>
      <c r="G1334">
        <v>1.8</v>
      </c>
      <c r="H1334">
        <v>3.5</v>
      </c>
      <c r="I1334">
        <v>3.6</v>
      </c>
    </row>
    <row r="1335" spans="1:9" ht="24" customHeight="1">
      <c r="A1335" s="6" t="s">
        <v>2729</v>
      </c>
      <c r="B1335">
        <v>9190</v>
      </c>
      <c r="C1335">
        <v>493</v>
      </c>
      <c r="D1335">
        <v>470984</v>
      </c>
      <c r="E1335">
        <v>214030</v>
      </c>
      <c r="F1335">
        <v>13.9</v>
      </c>
      <c r="G1335">
        <v>1.7</v>
      </c>
      <c r="H1335">
        <v>36.9</v>
      </c>
      <c r="I1335">
        <v>37.4</v>
      </c>
    </row>
    <row r="1336" spans="1:9" ht="24" customHeight="1">
      <c r="A1336" s="6" t="s">
        <v>2730</v>
      </c>
      <c r="B1336">
        <v>18648</v>
      </c>
      <c r="C1336">
        <v>4274</v>
      </c>
      <c r="D1336">
        <v>348601</v>
      </c>
      <c r="E1336">
        <v>252692</v>
      </c>
      <c r="F1336">
        <v>16.100000000000001</v>
      </c>
      <c r="G1336">
        <v>2.8</v>
      </c>
      <c r="H1336">
        <v>7.1</v>
      </c>
      <c r="I1336">
        <v>7</v>
      </c>
    </row>
    <row r="1337" spans="1:9" ht="24" customHeight="1">
      <c r="A1337" s="6" t="s">
        <v>2731</v>
      </c>
      <c r="B1337">
        <v>85110</v>
      </c>
      <c r="C1337">
        <v>32918</v>
      </c>
      <c r="D1337">
        <v>392400</v>
      </c>
      <c r="E1337">
        <v>297376</v>
      </c>
      <c r="F1337">
        <v>16</v>
      </c>
      <c r="G1337">
        <v>3.9</v>
      </c>
      <c r="H1337">
        <v>12.2</v>
      </c>
      <c r="I1337">
        <v>9.1</v>
      </c>
    </row>
    <row r="1338" spans="1:9" ht="24" customHeight="1">
      <c r="A1338" s="6" t="s">
        <v>2732</v>
      </c>
      <c r="B1338">
        <v>8149</v>
      </c>
      <c r="C1338">
        <v>944</v>
      </c>
      <c r="D1338">
        <v>230859</v>
      </c>
      <c r="E1338">
        <v>220905</v>
      </c>
      <c r="F1338">
        <v>3.6</v>
      </c>
      <c r="G1338">
        <v>5.2</v>
      </c>
      <c r="H1338">
        <v>0</v>
      </c>
      <c r="I1338">
        <v>0</v>
      </c>
    </row>
    <row r="1339" spans="1:9" ht="24" customHeight="1">
      <c r="A1339" s="6" t="s">
        <v>2733</v>
      </c>
      <c r="B1339">
        <v>7404</v>
      </c>
      <c r="C1339">
        <v>10673</v>
      </c>
      <c r="D1339">
        <v>314126</v>
      </c>
      <c r="E1339">
        <v>236080</v>
      </c>
      <c r="F1339">
        <v>20.6</v>
      </c>
      <c r="G1339">
        <v>1.1000000000000001</v>
      </c>
      <c r="H1339">
        <v>1.7</v>
      </c>
      <c r="I1339">
        <v>1.7</v>
      </c>
    </row>
    <row r="1340" spans="1:9" ht="24" customHeight="1">
      <c r="A1340" s="6" t="s">
        <v>2734</v>
      </c>
      <c r="B1340">
        <v>14173</v>
      </c>
      <c r="C1340">
        <v>3863</v>
      </c>
      <c r="D1340">
        <v>387010</v>
      </c>
      <c r="E1340">
        <v>332025</v>
      </c>
      <c r="F1340">
        <v>14.3</v>
      </c>
      <c r="G1340">
        <v>3</v>
      </c>
      <c r="H1340">
        <v>11.7</v>
      </c>
      <c r="I1340">
        <v>12.7</v>
      </c>
    </row>
    <row r="1341" spans="1:9" ht="24" customHeight="1">
      <c r="A1341" s="6" t="s">
        <v>2735</v>
      </c>
      <c r="B1341">
        <v>13992</v>
      </c>
      <c r="C1341">
        <v>3559</v>
      </c>
      <c r="D1341">
        <v>454014</v>
      </c>
      <c r="E1341">
        <v>381177</v>
      </c>
      <c r="F1341">
        <v>20.100000000000001</v>
      </c>
      <c r="G1341">
        <v>4.4000000000000004</v>
      </c>
      <c r="H1341">
        <v>16.8</v>
      </c>
      <c r="I1341">
        <v>16.100000000000001</v>
      </c>
    </row>
    <row r="1342" spans="1:9" ht="24" customHeight="1">
      <c r="A1342" s="6" t="s">
        <v>2736</v>
      </c>
      <c r="B1342">
        <v>6764</v>
      </c>
      <c r="C1342">
        <v>3695</v>
      </c>
      <c r="D1342">
        <v>461561</v>
      </c>
      <c r="E1342">
        <v>310643</v>
      </c>
      <c r="F1342">
        <v>10.9</v>
      </c>
      <c r="G1342">
        <v>2.6</v>
      </c>
      <c r="H1342">
        <v>21.2</v>
      </c>
      <c r="I1342">
        <v>22.7</v>
      </c>
    </row>
    <row r="1343" spans="1:9" ht="24" customHeight="1">
      <c r="A1343" s="6" t="s">
        <v>2737</v>
      </c>
      <c r="B1343">
        <v>4362</v>
      </c>
      <c r="C1343">
        <v>572</v>
      </c>
      <c r="D1343">
        <v>490454</v>
      </c>
      <c r="E1343">
        <v>328124</v>
      </c>
      <c r="F1343">
        <v>12.3</v>
      </c>
      <c r="G1343">
        <v>5.2</v>
      </c>
      <c r="H1343">
        <v>27</v>
      </c>
      <c r="I1343">
        <v>27.3</v>
      </c>
    </row>
    <row r="1344" spans="1:9" ht="24" customHeight="1">
      <c r="A1344" s="6" t="s">
        <v>2738</v>
      </c>
      <c r="B1344">
        <v>4930</v>
      </c>
      <c r="C1344">
        <v>4127</v>
      </c>
      <c r="D1344">
        <v>327609</v>
      </c>
      <c r="E1344">
        <v>272333</v>
      </c>
      <c r="F1344">
        <v>21.7</v>
      </c>
      <c r="G1344">
        <v>9.1999999999999993</v>
      </c>
      <c r="H1344">
        <v>3.5</v>
      </c>
      <c r="I1344">
        <v>3.3</v>
      </c>
    </row>
    <row r="1345" spans="1:9" ht="24" customHeight="1">
      <c r="A1345" s="6" t="s">
        <v>2739</v>
      </c>
      <c r="B1345">
        <v>6137</v>
      </c>
      <c r="C1345">
        <v>819</v>
      </c>
      <c r="D1345">
        <v>555508</v>
      </c>
      <c r="E1345">
        <v>408646</v>
      </c>
      <c r="F1345">
        <v>11.9</v>
      </c>
      <c r="G1345">
        <v>12.5</v>
      </c>
      <c r="H1345">
        <v>35.200000000000003</v>
      </c>
      <c r="I1345">
        <v>33.299999999999997</v>
      </c>
    </row>
    <row r="1346" spans="1:9" ht="24" customHeight="1">
      <c r="A1346" s="6" t="s">
        <v>2740</v>
      </c>
      <c r="B1346">
        <v>19308</v>
      </c>
      <c r="C1346">
        <v>7363</v>
      </c>
      <c r="D1346">
        <v>367287</v>
      </c>
      <c r="E1346">
        <v>282399</v>
      </c>
      <c r="F1346">
        <v>20.399999999999999</v>
      </c>
      <c r="G1346">
        <v>3.4</v>
      </c>
      <c r="H1346">
        <v>6.7</v>
      </c>
      <c r="I1346">
        <v>5.9</v>
      </c>
    </row>
    <row r="1347" spans="1:9" ht="24" customHeight="1">
      <c r="A1347" s="6" t="s">
        <v>2741</v>
      </c>
      <c r="B1347">
        <v>135648</v>
      </c>
      <c r="C1347">
        <v>19081</v>
      </c>
      <c r="D1347">
        <v>493044</v>
      </c>
      <c r="E1347">
        <v>353928</v>
      </c>
      <c r="F1347">
        <v>20.3</v>
      </c>
      <c r="G1347">
        <v>10.3</v>
      </c>
      <c r="H1347">
        <v>16.2</v>
      </c>
      <c r="I1347">
        <v>13.2</v>
      </c>
    </row>
    <row r="1348" spans="1:9" ht="24" customHeight="1">
      <c r="A1348" s="6" t="s">
        <v>2742</v>
      </c>
      <c r="B1348">
        <v>5076</v>
      </c>
      <c r="C1348">
        <v>1534</v>
      </c>
      <c r="D1348">
        <v>250350</v>
      </c>
      <c r="E1348">
        <v>202650</v>
      </c>
      <c r="F1348">
        <v>13.7</v>
      </c>
      <c r="G1348">
        <v>3.8</v>
      </c>
      <c r="H1348">
        <v>0</v>
      </c>
      <c r="I1348">
        <v>0</v>
      </c>
    </row>
    <row r="1349" spans="1:9" ht="24" customHeight="1">
      <c r="A1349" s="6" t="s">
        <v>2743</v>
      </c>
      <c r="B1349">
        <v>6954</v>
      </c>
      <c r="C1349">
        <v>2435</v>
      </c>
      <c r="D1349">
        <v>312708</v>
      </c>
      <c r="E1349">
        <v>289693</v>
      </c>
      <c r="F1349">
        <v>16.100000000000001</v>
      </c>
      <c r="G1349">
        <v>8.4</v>
      </c>
      <c r="H1349">
        <v>1.5</v>
      </c>
      <c r="I1349">
        <v>1.3</v>
      </c>
    </row>
    <row r="1350" spans="1:9" ht="24" customHeight="1">
      <c r="A1350" s="6" t="s">
        <v>2744</v>
      </c>
      <c r="B1350">
        <v>11511</v>
      </c>
      <c r="C1350">
        <v>2138</v>
      </c>
      <c r="D1350">
        <v>470224</v>
      </c>
      <c r="E1350">
        <v>369815</v>
      </c>
      <c r="F1350">
        <v>25.8</v>
      </c>
      <c r="G1350">
        <v>13.2</v>
      </c>
      <c r="H1350">
        <v>12.1</v>
      </c>
      <c r="I1350">
        <v>12.2</v>
      </c>
    </row>
    <row r="1351" spans="1:9" ht="24" customHeight="1">
      <c r="A1351" s="6" t="s">
        <v>2745</v>
      </c>
      <c r="B1351">
        <v>41108</v>
      </c>
      <c r="C1351">
        <v>3896</v>
      </c>
      <c r="D1351">
        <v>547651</v>
      </c>
      <c r="E1351">
        <v>377051</v>
      </c>
      <c r="F1351">
        <v>22.6</v>
      </c>
      <c r="G1351">
        <v>9.6999999999999993</v>
      </c>
      <c r="H1351">
        <v>17.3</v>
      </c>
      <c r="I1351">
        <v>16.7</v>
      </c>
    </row>
    <row r="1352" spans="1:9" ht="24" customHeight="1">
      <c r="A1352" s="6" t="s">
        <v>2746</v>
      </c>
      <c r="B1352">
        <v>12460</v>
      </c>
      <c r="C1352">
        <v>961</v>
      </c>
      <c r="D1352">
        <v>557412</v>
      </c>
      <c r="E1352">
        <v>363005</v>
      </c>
      <c r="F1352">
        <v>17.2</v>
      </c>
      <c r="G1352">
        <v>5.3</v>
      </c>
      <c r="H1352">
        <v>22</v>
      </c>
      <c r="I1352">
        <v>21.7</v>
      </c>
    </row>
    <row r="1353" spans="1:9" ht="24" customHeight="1">
      <c r="A1353" s="6" t="s">
        <v>2747</v>
      </c>
      <c r="B1353">
        <v>10912</v>
      </c>
      <c r="C1353">
        <v>1190</v>
      </c>
      <c r="D1353">
        <v>559018</v>
      </c>
      <c r="E1353">
        <v>446299</v>
      </c>
      <c r="F1353">
        <v>17.5</v>
      </c>
      <c r="G1353">
        <v>4.5999999999999996</v>
      </c>
      <c r="H1353">
        <v>27.1</v>
      </c>
      <c r="I1353">
        <v>26.8</v>
      </c>
    </row>
    <row r="1354" spans="1:9" ht="24" customHeight="1">
      <c r="A1354" s="6" t="s">
        <v>2748</v>
      </c>
      <c r="B1354">
        <v>9230</v>
      </c>
      <c r="C1354">
        <v>2146</v>
      </c>
      <c r="D1354">
        <v>368508</v>
      </c>
      <c r="E1354">
        <v>317484</v>
      </c>
      <c r="F1354">
        <v>22.1</v>
      </c>
      <c r="G1354">
        <v>10.7</v>
      </c>
      <c r="H1354">
        <v>3.6</v>
      </c>
      <c r="I1354">
        <v>3.4</v>
      </c>
    </row>
    <row r="1355" spans="1:9" ht="24" customHeight="1">
      <c r="A1355" s="6" t="s">
        <v>2749</v>
      </c>
      <c r="B1355">
        <v>17061</v>
      </c>
      <c r="C1355">
        <v>2922</v>
      </c>
      <c r="D1355">
        <v>591873</v>
      </c>
      <c r="E1355">
        <v>406455</v>
      </c>
      <c r="F1355">
        <v>12.6</v>
      </c>
      <c r="G1355">
        <v>11.5</v>
      </c>
      <c r="H1355">
        <v>34.799999999999997</v>
      </c>
      <c r="I1355">
        <v>32.4</v>
      </c>
    </row>
    <row r="1356" spans="1:9" ht="24" customHeight="1">
      <c r="A1356" s="6" t="s">
        <v>2750</v>
      </c>
      <c r="B1356">
        <v>21381</v>
      </c>
      <c r="C1356">
        <v>2875</v>
      </c>
      <c r="D1356">
        <v>419974</v>
      </c>
      <c r="E1356">
        <v>344259</v>
      </c>
      <c r="F1356">
        <v>24.3</v>
      </c>
      <c r="G1356">
        <v>14.5</v>
      </c>
      <c r="H1356">
        <v>6.7</v>
      </c>
      <c r="I1356">
        <v>6.1</v>
      </c>
    </row>
    <row r="1357" spans="1:9" ht="24" customHeight="1">
      <c r="A1357" s="6" t="s">
        <v>515</v>
      </c>
      <c r="B1357">
        <v>76349</v>
      </c>
      <c r="C1357">
        <v>30605</v>
      </c>
      <c r="D1357">
        <v>486482</v>
      </c>
      <c r="E1357">
        <v>344439</v>
      </c>
      <c r="F1357">
        <v>12</v>
      </c>
      <c r="G1357">
        <v>8.3000000000000007</v>
      </c>
      <c r="H1357">
        <v>15.4</v>
      </c>
      <c r="I1357">
        <v>11.8</v>
      </c>
    </row>
    <row r="1358" spans="1:9" ht="24" customHeight="1">
      <c r="A1358" s="6" t="s">
        <v>516</v>
      </c>
      <c r="B1358">
        <v>15687</v>
      </c>
      <c r="C1358">
        <v>4231</v>
      </c>
      <c r="D1358">
        <v>646084</v>
      </c>
      <c r="E1358">
        <v>493300</v>
      </c>
      <c r="F1358">
        <v>18</v>
      </c>
      <c r="G1358">
        <v>15.5</v>
      </c>
      <c r="H1358">
        <v>16.7</v>
      </c>
      <c r="I1358">
        <v>13.9</v>
      </c>
    </row>
    <row r="1359" spans="1:9" ht="24" customHeight="1">
      <c r="A1359" s="6" t="s">
        <v>517</v>
      </c>
      <c r="B1359">
        <v>529</v>
      </c>
      <c r="C1359">
        <v>245</v>
      </c>
      <c r="D1359">
        <v>309136</v>
      </c>
      <c r="E1359">
        <v>294057</v>
      </c>
      <c r="F1359">
        <v>11.8</v>
      </c>
      <c r="G1359">
        <v>13.1</v>
      </c>
      <c r="H1359">
        <v>0</v>
      </c>
      <c r="I1359">
        <v>0</v>
      </c>
    </row>
    <row r="1360" spans="1:9" ht="24" customHeight="1">
      <c r="A1360" s="6" t="s">
        <v>2751</v>
      </c>
      <c r="B1360">
        <v>1060</v>
      </c>
      <c r="C1360">
        <v>386</v>
      </c>
      <c r="D1360">
        <v>403332</v>
      </c>
      <c r="E1360">
        <v>397083</v>
      </c>
      <c r="F1360">
        <v>35.799999999999997</v>
      </c>
      <c r="G1360">
        <v>29.8</v>
      </c>
      <c r="H1360">
        <v>1.3</v>
      </c>
      <c r="I1360">
        <v>1.4</v>
      </c>
    </row>
    <row r="1361" spans="1:9" ht="24" customHeight="1">
      <c r="A1361" s="6" t="s">
        <v>2752</v>
      </c>
      <c r="B1361">
        <v>2530</v>
      </c>
      <c r="C1361">
        <v>605</v>
      </c>
      <c r="D1361">
        <v>574750</v>
      </c>
      <c r="E1361">
        <v>434495</v>
      </c>
      <c r="F1361">
        <v>23</v>
      </c>
      <c r="G1361">
        <v>12.4</v>
      </c>
      <c r="H1361">
        <v>12.3</v>
      </c>
      <c r="I1361">
        <v>12.5</v>
      </c>
    </row>
    <row r="1362" spans="1:9" ht="24" customHeight="1">
      <c r="A1362" s="6" t="s">
        <v>2753</v>
      </c>
      <c r="B1362">
        <v>2088</v>
      </c>
      <c r="C1362">
        <v>524</v>
      </c>
      <c r="D1362">
        <v>705511</v>
      </c>
      <c r="E1362">
        <v>509870</v>
      </c>
      <c r="F1362">
        <v>17.3</v>
      </c>
      <c r="G1362">
        <v>8.1999999999999993</v>
      </c>
      <c r="H1362">
        <v>16.5</v>
      </c>
      <c r="I1362">
        <v>17.100000000000001</v>
      </c>
    </row>
    <row r="1363" spans="1:9" ht="24" customHeight="1">
      <c r="A1363" s="6" t="s">
        <v>2754</v>
      </c>
      <c r="B1363">
        <v>1422</v>
      </c>
      <c r="C1363">
        <v>317</v>
      </c>
      <c r="D1363">
        <v>836448</v>
      </c>
      <c r="E1363">
        <v>631596</v>
      </c>
      <c r="F1363">
        <v>15.8</v>
      </c>
      <c r="G1363">
        <v>10.9</v>
      </c>
      <c r="H1363">
        <v>22.4</v>
      </c>
      <c r="I1363">
        <v>22.2</v>
      </c>
    </row>
    <row r="1364" spans="1:9" ht="24" customHeight="1">
      <c r="A1364" s="6" t="s">
        <v>2755</v>
      </c>
      <c r="B1364">
        <v>1263</v>
      </c>
      <c r="C1364">
        <v>343</v>
      </c>
      <c r="D1364">
        <v>903869</v>
      </c>
      <c r="E1364">
        <v>619520</v>
      </c>
      <c r="F1364">
        <v>14.3</v>
      </c>
      <c r="G1364">
        <v>8.1</v>
      </c>
      <c r="H1364">
        <v>26.9</v>
      </c>
      <c r="I1364">
        <v>26.1</v>
      </c>
    </row>
    <row r="1365" spans="1:9" ht="24" customHeight="1">
      <c r="A1365" s="6" t="s">
        <v>2756</v>
      </c>
      <c r="B1365">
        <v>1211</v>
      </c>
      <c r="C1365">
        <v>588</v>
      </c>
      <c r="D1365">
        <v>550089</v>
      </c>
      <c r="E1365">
        <v>505617</v>
      </c>
      <c r="F1365">
        <v>25.1</v>
      </c>
      <c r="G1365">
        <v>20.9</v>
      </c>
      <c r="H1365">
        <v>3.5</v>
      </c>
      <c r="I1365">
        <v>3.7</v>
      </c>
    </row>
    <row r="1366" spans="1:9" ht="24" customHeight="1">
      <c r="A1366" s="6" t="s">
        <v>518</v>
      </c>
      <c r="B1366">
        <v>3244</v>
      </c>
      <c r="C1366">
        <v>588</v>
      </c>
      <c r="D1366">
        <v>761809</v>
      </c>
      <c r="E1366">
        <v>561170</v>
      </c>
      <c r="F1366">
        <v>7.3</v>
      </c>
      <c r="G1366">
        <v>11.8</v>
      </c>
      <c r="H1366">
        <v>33.700000000000003</v>
      </c>
      <c r="I1366">
        <v>34</v>
      </c>
    </row>
    <row r="1367" spans="1:9" ht="24" customHeight="1">
      <c r="A1367" s="6" t="s">
        <v>2757</v>
      </c>
      <c r="B1367">
        <v>2365</v>
      </c>
      <c r="C1367">
        <v>778</v>
      </c>
      <c r="D1367">
        <v>491535</v>
      </c>
      <c r="E1367">
        <v>467047</v>
      </c>
      <c r="F1367">
        <v>21.3</v>
      </c>
      <c r="G1367">
        <v>18.3</v>
      </c>
      <c r="H1367">
        <v>6.6</v>
      </c>
      <c r="I1367">
        <v>6.6</v>
      </c>
    </row>
    <row r="1368" spans="1:9" ht="24" customHeight="1">
      <c r="A1368" s="6" t="s">
        <v>2758</v>
      </c>
      <c r="B1368">
        <v>26113</v>
      </c>
      <c r="C1368">
        <v>14121</v>
      </c>
      <c r="D1368">
        <v>399767</v>
      </c>
      <c r="E1368">
        <v>293349</v>
      </c>
      <c r="F1368">
        <v>9.3000000000000007</v>
      </c>
      <c r="G1368">
        <v>7.1</v>
      </c>
      <c r="H1368">
        <v>13.3</v>
      </c>
      <c r="I1368">
        <v>10.5</v>
      </c>
    </row>
    <row r="1369" spans="1:9" ht="24" customHeight="1">
      <c r="A1369" s="6" t="s">
        <v>2759</v>
      </c>
      <c r="B1369">
        <v>1601</v>
      </c>
      <c r="C1369">
        <v>1096</v>
      </c>
      <c r="D1369">
        <v>246708</v>
      </c>
      <c r="E1369">
        <v>197012</v>
      </c>
      <c r="F1369">
        <v>6.8</v>
      </c>
      <c r="G1369">
        <v>2.9</v>
      </c>
      <c r="H1369">
        <v>0</v>
      </c>
      <c r="I1369">
        <v>0</v>
      </c>
    </row>
    <row r="1370" spans="1:9" ht="24" customHeight="1">
      <c r="A1370" s="6" t="s">
        <v>2760</v>
      </c>
      <c r="B1370">
        <v>2524</v>
      </c>
      <c r="C1370">
        <v>1874</v>
      </c>
      <c r="D1370">
        <v>295837</v>
      </c>
      <c r="E1370">
        <v>257659</v>
      </c>
      <c r="F1370">
        <v>8.9</v>
      </c>
      <c r="G1370">
        <v>4.4000000000000004</v>
      </c>
      <c r="H1370">
        <v>1.5</v>
      </c>
      <c r="I1370">
        <v>1.3</v>
      </c>
    </row>
    <row r="1371" spans="1:9" ht="24" customHeight="1">
      <c r="A1371" s="6" t="s">
        <v>2761</v>
      </c>
      <c r="B1371">
        <v>4319</v>
      </c>
      <c r="C1371">
        <v>2783</v>
      </c>
      <c r="D1371">
        <v>404728</v>
      </c>
      <c r="E1371">
        <v>326444</v>
      </c>
      <c r="F1371">
        <v>9.9</v>
      </c>
      <c r="G1371">
        <v>8.6</v>
      </c>
      <c r="H1371">
        <v>11.7</v>
      </c>
      <c r="I1371">
        <v>11.7</v>
      </c>
    </row>
    <row r="1372" spans="1:9" ht="24" customHeight="1">
      <c r="A1372" s="6" t="s">
        <v>2762</v>
      </c>
      <c r="B1372">
        <v>3727</v>
      </c>
      <c r="C1372">
        <v>1667</v>
      </c>
      <c r="D1372">
        <v>449055</v>
      </c>
      <c r="E1372">
        <v>350640</v>
      </c>
      <c r="F1372">
        <v>11.3</v>
      </c>
      <c r="G1372">
        <v>11.4</v>
      </c>
      <c r="H1372">
        <v>16.8</v>
      </c>
      <c r="I1372">
        <v>16.5</v>
      </c>
    </row>
    <row r="1373" spans="1:9" ht="24" customHeight="1">
      <c r="A1373" s="6" t="s">
        <v>2763</v>
      </c>
      <c r="B1373">
        <v>1964</v>
      </c>
      <c r="C1373">
        <v>1073</v>
      </c>
      <c r="D1373">
        <v>490811</v>
      </c>
      <c r="E1373">
        <v>295999</v>
      </c>
      <c r="F1373">
        <v>8.6</v>
      </c>
      <c r="G1373">
        <v>9.9</v>
      </c>
      <c r="H1373">
        <v>21.6</v>
      </c>
      <c r="I1373">
        <v>21.4</v>
      </c>
    </row>
    <row r="1374" spans="1:9" ht="24" customHeight="1">
      <c r="A1374" s="6" t="s">
        <v>2764</v>
      </c>
      <c r="B1374">
        <v>1735</v>
      </c>
      <c r="C1374">
        <v>341</v>
      </c>
      <c r="D1374">
        <v>464493</v>
      </c>
      <c r="E1374">
        <v>313502</v>
      </c>
      <c r="F1374">
        <v>7.5</v>
      </c>
      <c r="G1374">
        <v>0.4</v>
      </c>
      <c r="H1374">
        <v>26.8</v>
      </c>
      <c r="I1374">
        <v>26.2</v>
      </c>
    </row>
    <row r="1375" spans="1:9" ht="24" customHeight="1">
      <c r="A1375" s="6" t="s">
        <v>2765</v>
      </c>
      <c r="B1375">
        <v>2326</v>
      </c>
      <c r="C1375">
        <v>1337</v>
      </c>
      <c r="D1375">
        <v>332510</v>
      </c>
      <c r="E1375">
        <v>261972</v>
      </c>
      <c r="F1375">
        <v>13.6</v>
      </c>
      <c r="G1375">
        <v>4.8</v>
      </c>
      <c r="H1375">
        <v>3.6</v>
      </c>
      <c r="I1375">
        <v>3.5</v>
      </c>
    </row>
    <row r="1376" spans="1:9" ht="24" customHeight="1">
      <c r="A1376" s="6" t="s">
        <v>2766</v>
      </c>
      <c r="B1376">
        <v>2842</v>
      </c>
      <c r="C1376">
        <v>778</v>
      </c>
      <c r="D1376">
        <v>529755</v>
      </c>
      <c r="E1376">
        <v>338378</v>
      </c>
      <c r="F1376">
        <v>4</v>
      </c>
      <c r="G1376">
        <v>1.3</v>
      </c>
      <c r="H1376">
        <v>35.4</v>
      </c>
      <c r="I1376">
        <v>36</v>
      </c>
    </row>
    <row r="1377" spans="1:9" ht="24" customHeight="1">
      <c r="A1377" s="6" t="s">
        <v>2767</v>
      </c>
      <c r="B1377">
        <v>5232</v>
      </c>
      <c r="C1377">
        <v>3617</v>
      </c>
      <c r="D1377">
        <v>356356</v>
      </c>
      <c r="E1377">
        <v>275291</v>
      </c>
      <c r="F1377">
        <v>9.6999999999999993</v>
      </c>
      <c r="G1377">
        <v>7.7</v>
      </c>
      <c r="H1377">
        <v>6.9</v>
      </c>
      <c r="I1377">
        <v>6.9</v>
      </c>
    </row>
    <row r="1378" spans="1:9" ht="24" customHeight="1">
      <c r="A1378" s="6" t="s">
        <v>2768</v>
      </c>
      <c r="B1378">
        <v>23251</v>
      </c>
      <c r="C1378">
        <v>9813</v>
      </c>
      <c r="D1378">
        <v>473095</v>
      </c>
      <c r="E1378">
        <v>348401</v>
      </c>
      <c r="F1378">
        <v>10.6</v>
      </c>
      <c r="G1378">
        <v>7</v>
      </c>
      <c r="H1378">
        <v>15.2</v>
      </c>
      <c r="I1378">
        <v>11.8</v>
      </c>
    </row>
    <row r="1379" spans="1:9" ht="24" customHeight="1">
      <c r="A1379" s="6" t="s">
        <v>2769</v>
      </c>
      <c r="B1379">
        <v>1268</v>
      </c>
      <c r="C1379">
        <v>1024</v>
      </c>
      <c r="D1379">
        <v>252389</v>
      </c>
      <c r="E1379">
        <v>236957</v>
      </c>
      <c r="F1379">
        <v>2.7</v>
      </c>
      <c r="G1379">
        <v>2.4</v>
      </c>
      <c r="H1379">
        <v>0</v>
      </c>
      <c r="I1379">
        <v>0</v>
      </c>
    </row>
    <row r="1380" spans="1:9" ht="24" customHeight="1">
      <c r="A1380" s="6" t="s">
        <v>2770</v>
      </c>
      <c r="B1380">
        <v>1627</v>
      </c>
      <c r="C1380">
        <v>1432</v>
      </c>
      <c r="D1380">
        <v>334646</v>
      </c>
      <c r="E1380">
        <v>308977</v>
      </c>
      <c r="F1380">
        <v>11.6</v>
      </c>
      <c r="G1380">
        <v>11.3</v>
      </c>
      <c r="H1380">
        <v>1.5</v>
      </c>
      <c r="I1380">
        <v>1.5</v>
      </c>
    </row>
    <row r="1381" spans="1:9" ht="24" customHeight="1">
      <c r="A1381" s="6" t="s">
        <v>2771</v>
      </c>
      <c r="B1381">
        <v>3257</v>
      </c>
      <c r="C1381">
        <v>1215</v>
      </c>
      <c r="D1381">
        <v>459979</v>
      </c>
      <c r="E1381">
        <v>362063</v>
      </c>
      <c r="F1381">
        <v>15.3</v>
      </c>
      <c r="G1381">
        <v>8.6999999999999993</v>
      </c>
      <c r="H1381">
        <v>11.8</v>
      </c>
      <c r="I1381">
        <v>11.4</v>
      </c>
    </row>
    <row r="1382" spans="1:9" ht="24" customHeight="1">
      <c r="A1382" s="6" t="s">
        <v>2772</v>
      </c>
      <c r="B1382">
        <v>3033</v>
      </c>
      <c r="C1382">
        <v>1049</v>
      </c>
      <c r="D1382">
        <v>534920</v>
      </c>
      <c r="E1382">
        <v>342487</v>
      </c>
      <c r="F1382">
        <v>11.6</v>
      </c>
      <c r="G1382">
        <v>4.7</v>
      </c>
      <c r="H1382">
        <v>16.899999999999999</v>
      </c>
      <c r="I1382">
        <v>17.3</v>
      </c>
    </row>
    <row r="1383" spans="1:9" ht="24" customHeight="1">
      <c r="A1383" s="6" t="s">
        <v>2773</v>
      </c>
      <c r="B1383">
        <v>2040</v>
      </c>
      <c r="C1383">
        <v>561</v>
      </c>
      <c r="D1383">
        <v>540286</v>
      </c>
      <c r="E1383">
        <v>488718</v>
      </c>
      <c r="F1383">
        <v>18.8</v>
      </c>
      <c r="G1383">
        <v>2.2000000000000002</v>
      </c>
      <c r="H1383">
        <v>22.2</v>
      </c>
      <c r="I1383">
        <v>22.4</v>
      </c>
    </row>
    <row r="1384" spans="1:9" ht="24" customHeight="1">
      <c r="A1384" s="6" t="s">
        <v>2774</v>
      </c>
      <c r="B1384">
        <v>2112</v>
      </c>
      <c r="C1384">
        <v>551</v>
      </c>
      <c r="D1384">
        <v>602224</v>
      </c>
      <c r="E1384">
        <v>391628</v>
      </c>
      <c r="F1384">
        <v>8.9</v>
      </c>
      <c r="G1384">
        <v>7</v>
      </c>
      <c r="H1384">
        <v>27.1</v>
      </c>
      <c r="I1384">
        <v>26.5</v>
      </c>
    </row>
    <row r="1385" spans="1:9" ht="24" customHeight="1">
      <c r="A1385" s="6" t="s">
        <v>2775</v>
      </c>
      <c r="B1385">
        <v>2065</v>
      </c>
      <c r="C1385">
        <v>1125</v>
      </c>
      <c r="D1385">
        <v>354599</v>
      </c>
      <c r="E1385">
        <v>315813</v>
      </c>
      <c r="F1385">
        <v>10.3</v>
      </c>
      <c r="G1385">
        <v>10.5</v>
      </c>
      <c r="H1385">
        <v>3.5</v>
      </c>
      <c r="I1385">
        <v>3.6</v>
      </c>
    </row>
    <row r="1386" spans="1:9" ht="24" customHeight="1">
      <c r="A1386" s="6" t="s">
        <v>2776</v>
      </c>
      <c r="B1386">
        <v>3555</v>
      </c>
      <c r="C1386">
        <v>1219</v>
      </c>
      <c r="D1386">
        <v>569333</v>
      </c>
      <c r="E1386">
        <v>465624</v>
      </c>
      <c r="F1386">
        <v>4.0999999999999996</v>
      </c>
      <c r="G1386">
        <v>3.5</v>
      </c>
      <c r="H1386">
        <v>34.200000000000003</v>
      </c>
      <c r="I1386">
        <v>32.799999999999997</v>
      </c>
    </row>
    <row r="1387" spans="1:9" ht="24" customHeight="1">
      <c r="A1387" s="6" t="s">
        <v>2777</v>
      </c>
      <c r="B1387">
        <v>4340</v>
      </c>
      <c r="C1387">
        <v>1789</v>
      </c>
      <c r="D1387">
        <v>436380</v>
      </c>
      <c r="E1387">
        <v>314711</v>
      </c>
      <c r="F1387">
        <v>10.7</v>
      </c>
      <c r="G1387">
        <v>7.4</v>
      </c>
      <c r="H1387">
        <v>7</v>
      </c>
      <c r="I1387">
        <v>6.7</v>
      </c>
    </row>
    <row r="1388" spans="1:9" ht="24" customHeight="1">
      <c r="A1388" s="6" t="s">
        <v>2778</v>
      </c>
      <c r="B1388">
        <v>11298</v>
      </c>
      <c r="C1388">
        <v>2439</v>
      </c>
      <c r="D1388">
        <v>492849</v>
      </c>
      <c r="E1388">
        <v>366065</v>
      </c>
      <c r="F1388">
        <v>12.6</v>
      </c>
      <c r="G1388">
        <v>7.9</v>
      </c>
      <c r="H1388">
        <v>18.7</v>
      </c>
      <c r="I1388">
        <v>16.2</v>
      </c>
    </row>
    <row r="1389" spans="1:9" ht="24" customHeight="1">
      <c r="A1389" s="6" t="s">
        <v>2779</v>
      </c>
      <c r="B1389">
        <v>510</v>
      </c>
      <c r="C1389">
        <v>117</v>
      </c>
      <c r="D1389">
        <v>275952</v>
      </c>
      <c r="E1389">
        <v>247015</v>
      </c>
      <c r="F1389">
        <v>13.1</v>
      </c>
      <c r="G1389">
        <v>1.7</v>
      </c>
      <c r="H1389">
        <v>0</v>
      </c>
      <c r="I1389">
        <v>0</v>
      </c>
    </row>
    <row r="1390" spans="1:9" ht="24" customHeight="1">
      <c r="A1390" s="6" t="s">
        <v>2780</v>
      </c>
      <c r="B1390">
        <v>862</v>
      </c>
      <c r="C1390">
        <v>274</v>
      </c>
      <c r="D1390">
        <v>327727</v>
      </c>
      <c r="E1390">
        <v>325573</v>
      </c>
      <c r="F1390">
        <v>5.7</v>
      </c>
      <c r="G1390">
        <v>7.6</v>
      </c>
      <c r="H1390">
        <v>1.4</v>
      </c>
      <c r="I1390">
        <v>1.7</v>
      </c>
    </row>
    <row r="1391" spans="1:9" ht="24" customHeight="1">
      <c r="A1391" s="6" t="s">
        <v>2781</v>
      </c>
      <c r="B1391">
        <v>1049</v>
      </c>
      <c r="C1391">
        <v>279</v>
      </c>
      <c r="D1391">
        <v>440879</v>
      </c>
      <c r="E1391">
        <v>312899</v>
      </c>
      <c r="F1391">
        <v>12.5</v>
      </c>
      <c r="G1391">
        <v>7.8</v>
      </c>
      <c r="H1391">
        <v>12.2</v>
      </c>
      <c r="I1391">
        <v>12.3</v>
      </c>
    </row>
    <row r="1392" spans="1:9" ht="24" customHeight="1">
      <c r="A1392" s="6" t="s">
        <v>2782</v>
      </c>
      <c r="B1392">
        <v>1407</v>
      </c>
      <c r="C1392">
        <v>203</v>
      </c>
      <c r="D1392">
        <v>488295</v>
      </c>
      <c r="E1392">
        <v>351992</v>
      </c>
      <c r="F1392">
        <v>13</v>
      </c>
      <c r="G1392">
        <v>3.9</v>
      </c>
      <c r="H1392">
        <v>16.5</v>
      </c>
      <c r="I1392">
        <v>16.100000000000001</v>
      </c>
    </row>
    <row r="1393" spans="1:9" ht="24" customHeight="1">
      <c r="A1393" s="6" t="s">
        <v>2783</v>
      </c>
      <c r="B1393">
        <v>733</v>
      </c>
      <c r="C1393">
        <v>103</v>
      </c>
      <c r="D1393">
        <v>540354</v>
      </c>
      <c r="E1393">
        <v>397886</v>
      </c>
      <c r="F1393">
        <v>7</v>
      </c>
      <c r="G1393">
        <v>18.3</v>
      </c>
      <c r="H1393">
        <v>22.1</v>
      </c>
      <c r="I1393">
        <v>22.8</v>
      </c>
    </row>
    <row r="1394" spans="1:9" ht="24" customHeight="1">
      <c r="A1394" s="6" t="s">
        <v>2784</v>
      </c>
      <c r="B1394">
        <v>1605</v>
      </c>
      <c r="C1394">
        <v>274</v>
      </c>
      <c r="D1394">
        <v>601306</v>
      </c>
      <c r="E1394">
        <v>438197</v>
      </c>
      <c r="F1394">
        <v>19.399999999999999</v>
      </c>
      <c r="G1394">
        <v>13</v>
      </c>
      <c r="H1394">
        <v>26.8</v>
      </c>
      <c r="I1394">
        <v>26.7</v>
      </c>
    </row>
    <row r="1395" spans="1:9" ht="24" customHeight="1">
      <c r="A1395" s="6" t="s">
        <v>2785</v>
      </c>
      <c r="B1395">
        <v>760</v>
      </c>
      <c r="C1395">
        <v>102</v>
      </c>
      <c r="D1395">
        <v>342122</v>
      </c>
      <c r="E1395">
        <v>299444</v>
      </c>
      <c r="F1395">
        <v>11.5</v>
      </c>
      <c r="G1395">
        <v>7.5</v>
      </c>
      <c r="H1395">
        <v>3.3</v>
      </c>
      <c r="I1395">
        <v>3.1</v>
      </c>
    </row>
    <row r="1396" spans="1:9" ht="24" customHeight="1">
      <c r="A1396" s="6" t="s">
        <v>2786</v>
      </c>
      <c r="B1396">
        <v>3088</v>
      </c>
      <c r="C1396">
        <v>557</v>
      </c>
      <c r="D1396">
        <v>600029</v>
      </c>
      <c r="E1396">
        <v>461423</v>
      </c>
      <c r="F1396">
        <v>11.4</v>
      </c>
      <c r="G1396">
        <v>4.8</v>
      </c>
      <c r="H1396">
        <v>33.6</v>
      </c>
      <c r="I1396">
        <v>34.799999999999997</v>
      </c>
    </row>
    <row r="1397" spans="1:9" ht="24" customHeight="1">
      <c r="A1397" s="6" t="s">
        <v>2787</v>
      </c>
      <c r="B1397">
        <v>1308</v>
      </c>
      <c r="C1397">
        <v>648</v>
      </c>
      <c r="D1397">
        <v>404708</v>
      </c>
      <c r="E1397">
        <v>305294</v>
      </c>
      <c r="F1397">
        <v>15</v>
      </c>
      <c r="G1397">
        <v>8.1999999999999993</v>
      </c>
      <c r="H1397">
        <v>6.9</v>
      </c>
      <c r="I1397">
        <v>6.7</v>
      </c>
    </row>
    <row r="1398" spans="1:9" ht="24" customHeight="1">
      <c r="A1398" s="6" t="s">
        <v>519</v>
      </c>
      <c r="B1398">
        <v>110970</v>
      </c>
      <c r="C1398">
        <v>17250</v>
      </c>
      <c r="D1398">
        <v>620879</v>
      </c>
      <c r="E1398">
        <v>503188</v>
      </c>
      <c r="F1398">
        <v>15.8</v>
      </c>
      <c r="G1398">
        <v>12.6</v>
      </c>
      <c r="H1398">
        <v>19.399999999999999</v>
      </c>
      <c r="I1398">
        <v>17.100000000000001</v>
      </c>
    </row>
    <row r="1399" spans="1:9" ht="24" customHeight="1">
      <c r="A1399" s="6" t="s">
        <v>520</v>
      </c>
      <c r="B1399">
        <v>937960</v>
      </c>
      <c r="C1399">
        <v>365148</v>
      </c>
      <c r="D1399">
        <v>553270</v>
      </c>
      <c r="E1399">
        <v>428603</v>
      </c>
      <c r="F1399">
        <v>10.9</v>
      </c>
      <c r="G1399">
        <v>9.5</v>
      </c>
      <c r="H1399">
        <v>12.9</v>
      </c>
      <c r="I1399">
        <v>9</v>
      </c>
    </row>
    <row r="1400" spans="1:9" ht="24" customHeight="1">
      <c r="A1400" s="6" t="s">
        <v>521</v>
      </c>
      <c r="B1400">
        <v>1662781</v>
      </c>
      <c r="C1400">
        <v>251221</v>
      </c>
      <c r="D1400">
        <v>433321</v>
      </c>
      <c r="E1400">
        <v>345541</v>
      </c>
      <c r="F1400">
        <v>27.8</v>
      </c>
      <c r="G1400">
        <v>14.5</v>
      </c>
      <c r="H1400">
        <v>13.1</v>
      </c>
      <c r="I1400">
        <v>10</v>
      </c>
    </row>
    <row r="1401" spans="1:9" ht="24" customHeight="1">
      <c r="A1401" s="6" t="s">
        <v>522</v>
      </c>
      <c r="B1401">
        <v>2954628</v>
      </c>
      <c r="C1401">
        <v>1250263</v>
      </c>
      <c r="D1401">
        <v>490708</v>
      </c>
      <c r="E1401">
        <v>361791</v>
      </c>
      <c r="F1401">
        <v>10.9</v>
      </c>
      <c r="G1401">
        <v>8.1</v>
      </c>
      <c r="H1401">
        <v>14.1</v>
      </c>
      <c r="I1401">
        <v>10</v>
      </c>
    </row>
    <row r="1402" spans="1:9" ht="24" customHeight="1">
      <c r="A1402" s="6" t="s">
        <v>523</v>
      </c>
      <c r="B1402">
        <v>428550</v>
      </c>
      <c r="C1402">
        <v>506995</v>
      </c>
      <c r="D1402">
        <v>734560</v>
      </c>
      <c r="E1402">
        <v>424703</v>
      </c>
      <c r="F1402">
        <v>12.9</v>
      </c>
      <c r="G1402">
        <v>9.4</v>
      </c>
      <c r="H1402">
        <v>15.5</v>
      </c>
      <c r="I1402">
        <v>12.2</v>
      </c>
    </row>
    <row r="1403" spans="1:9" ht="24" customHeight="1">
      <c r="A1403" s="6" t="s">
        <v>524</v>
      </c>
      <c r="B1403">
        <v>288533</v>
      </c>
      <c r="C1403">
        <v>153144</v>
      </c>
      <c r="D1403">
        <v>562648</v>
      </c>
      <c r="E1403">
        <v>401145</v>
      </c>
      <c r="F1403">
        <v>11.3</v>
      </c>
      <c r="G1403">
        <v>8.5</v>
      </c>
      <c r="H1403">
        <v>11.1</v>
      </c>
      <c r="I1403">
        <v>8.6999999999999993</v>
      </c>
    </row>
    <row r="1404" spans="1:9" ht="24" customHeight="1">
      <c r="A1404" s="6" t="s">
        <v>525</v>
      </c>
      <c r="B1404">
        <v>766001</v>
      </c>
      <c r="C1404">
        <v>296429</v>
      </c>
      <c r="D1404">
        <v>607486</v>
      </c>
      <c r="E1404">
        <v>430916</v>
      </c>
      <c r="F1404">
        <v>12.8</v>
      </c>
      <c r="G1404">
        <v>10.1</v>
      </c>
      <c r="H1404">
        <v>12.7</v>
      </c>
      <c r="I1404">
        <v>8.8000000000000007</v>
      </c>
    </row>
    <row r="1405" spans="1:9" ht="24" customHeight="1">
      <c r="A1405" s="6" t="s">
        <v>526</v>
      </c>
      <c r="B1405">
        <v>346103</v>
      </c>
      <c r="C1405">
        <v>196851</v>
      </c>
      <c r="D1405">
        <v>380961</v>
      </c>
      <c r="E1405">
        <v>301743</v>
      </c>
      <c r="F1405">
        <v>15</v>
      </c>
      <c r="G1405">
        <v>12.2</v>
      </c>
      <c r="H1405">
        <v>11.2</v>
      </c>
      <c r="I1405">
        <v>8.3000000000000007</v>
      </c>
    </row>
    <row r="1406" spans="1:9" ht="24" customHeight="1">
      <c r="A1406" s="6" t="s">
        <v>527</v>
      </c>
      <c r="B1406">
        <v>257462</v>
      </c>
      <c r="C1406">
        <v>169920</v>
      </c>
      <c r="D1406">
        <v>418397</v>
      </c>
      <c r="E1406">
        <v>311997</v>
      </c>
      <c r="F1406">
        <v>9.6</v>
      </c>
      <c r="G1406">
        <v>7.6</v>
      </c>
      <c r="H1406">
        <v>12.7</v>
      </c>
      <c r="I1406">
        <v>8.9</v>
      </c>
    </row>
    <row r="1407" spans="1:9" ht="24" customHeight="1">
      <c r="A1407" s="6" t="s">
        <v>528</v>
      </c>
      <c r="B1407">
        <v>309388</v>
      </c>
      <c r="C1407">
        <v>289267</v>
      </c>
      <c r="D1407">
        <v>613494</v>
      </c>
      <c r="E1407">
        <v>438029</v>
      </c>
      <c r="F1407">
        <v>7</v>
      </c>
      <c r="G1407">
        <v>5</v>
      </c>
      <c r="H1407">
        <v>14.5</v>
      </c>
      <c r="I1407">
        <v>10.9</v>
      </c>
    </row>
    <row r="1408" spans="1:9" ht="24" customHeight="1">
      <c r="A1408" s="6" t="s">
        <v>529</v>
      </c>
      <c r="B1408">
        <v>1201274</v>
      </c>
      <c r="C1408">
        <v>2667572</v>
      </c>
      <c r="D1408">
        <v>466630</v>
      </c>
      <c r="E1408">
        <v>364943</v>
      </c>
      <c r="F1408">
        <v>7.3</v>
      </c>
      <c r="G1408">
        <v>5.5</v>
      </c>
      <c r="H1408">
        <v>9.6999999999999993</v>
      </c>
      <c r="I1408">
        <v>8.9</v>
      </c>
    </row>
    <row r="1409" spans="1:9" ht="24" customHeight="1">
      <c r="A1409" s="6" t="s">
        <v>530</v>
      </c>
      <c r="B1409">
        <v>131306</v>
      </c>
      <c r="C1409">
        <v>57441</v>
      </c>
      <c r="D1409">
        <v>499291</v>
      </c>
      <c r="E1409">
        <v>377952</v>
      </c>
      <c r="F1409">
        <v>10.4</v>
      </c>
      <c r="G1409">
        <v>5.7</v>
      </c>
      <c r="H1409">
        <v>19</v>
      </c>
      <c r="I1409">
        <v>14</v>
      </c>
    </row>
    <row r="1410" spans="1:9" ht="24" customHeight="1">
      <c r="A1410" s="6" t="s">
        <v>531</v>
      </c>
      <c r="B1410">
        <v>1281165</v>
      </c>
      <c r="C1410">
        <v>459485</v>
      </c>
      <c r="D1410">
        <v>455571</v>
      </c>
      <c r="E1410">
        <v>351563</v>
      </c>
      <c r="F1410">
        <v>14.8</v>
      </c>
      <c r="G1410">
        <v>9.1999999999999993</v>
      </c>
      <c r="H1410">
        <v>12.3</v>
      </c>
      <c r="I1410">
        <v>9.5</v>
      </c>
    </row>
    <row r="1411" spans="1:9" ht="24" customHeight="1">
      <c r="A1411" s="6" t="s">
        <v>532</v>
      </c>
      <c r="B1411">
        <v>1560</v>
      </c>
      <c r="C1411">
        <v>518</v>
      </c>
      <c r="D1411">
        <v>863537</v>
      </c>
      <c r="E1411">
        <v>586738</v>
      </c>
      <c r="F1411">
        <v>13.7</v>
      </c>
      <c r="G1411">
        <v>11.4</v>
      </c>
      <c r="H1411">
        <v>15.8</v>
      </c>
      <c r="I1411">
        <v>9.6999999999999993</v>
      </c>
    </row>
    <row r="1412" spans="1:9" ht="24" customHeight="1">
      <c r="A1412" s="6" t="s">
        <v>533</v>
      </c>
      <c r="B1412">
        <v>98</v>
      </c>
      <c r="C1412">
        <v>13</v>
      </c>
      <c r="D1412">
        <v>508940</v>
      </c>
      <c r="E1412">
        <v>281900</v>
      </c>
      <c r="F1412">
        <v>16.600000000000001</v>
      </c>
      <c r="G1412">
        <v>0</v>
      </c>
      <c r="H1412">
        <v>0</v>
      </c>
      <c r="I1412">
        <v>0</v>
      </c>
    </row>
    <row r="1413" spans="1:9" ht="24" customHeight="1">
      <c r="A1413" s="6" t="s">
        <v>2788</v>
      </c>
      <c r="B1413">
        <v>113</v>
      </c>
      <c r="C1413">
        <v>51</v>
      </c>
      <c r="D1413">
        <v>494667</v>
      </c>
      <c r="E1413">
        <v>432082</v>
      </c>
      <c r="F1413">
        <v>29.3</v>
      </c>
      <c r="G1413">
        <v>13.9</v>
      </c>
      <c r="H1413">
        <v>1.6</v>
      </c>
      <c r="I1413">
        <v>1.5</v>
      </c>
    </row>
    <row r="1414" spans="1:9" ht="24" customHeight="1">
      <c r="A1414" s="6" t="s">
        <v>2789</v>
      </c>
      <c r="B1414">
        <v>214</v>
      </c>
      <c r="C1414">
        <v>107</v>
      </c>
      <c r="D1414">
        <v>808083</v>
      </c>
      <c r="E1414">
        <v>691862</v>
      </c>
      <c r="F1414">
        <v>13.6</v>
      </c>
      <c r="G1414">
        <v>9.5</v>
      </c>
      <c r="H1414">
        <v>12.2</v>
      </c>
      <c r="I1414">
        <v>12.3</v>
      </c>
    </row>
    <row r="1415" spans="1:9" ht="24" customHeight="1">
      <c r="A1415" s="6" t="s">
        <v>2790</v>
      </c>
      <c r="B1415">
        <v>198</v>
      </c>
      <c r="C1415">
        <v>47</v>
      </c>
      <c r="D1415">
        <v>944804</v>
      </c>
      <c r="E1415">
        <v>680576</v>
      </c>
      <c r="F1415">
        <v>9</v>
      </c>
      <c r="G1415">
        <v>8.5</v>
      </c>
      <c r="H1415">
        <v>16.7</v>
      </c>
      <c r="I1415">
        <v>18</v>
      </c>
    </row>
    <row r="1416" spans="1:9" ht="24" customHeight="1">
      <c r="A1416" s="6" t="s">
        <v>2791</v>
      </c>
      <c r="B1416">
        <v>93</v>
      </c>
      <c r="C1416">
        <v>16</v>
      </c>
      <c r="D1416">
        <v>1172623</v>
      </c>
      <c r="E1416">
        <v>723044</v>
      </c>
      <c r="F1416">
        <v>7.2</v>
      </c>
      <c r="G1416">
        <v>18</v>
      </c>
      <c r="H1416">
        <v>22.1</v>
      </c>
      <c r="I1416">
        <v>22.5</v>
      </c>
    </row>
    <row r="1417" spans="1:9" ht="24" customHeight="1">
      <c r="A1417" s="6" t="s">
        <v>2792</v>
      </c>
      <c r="B1417">
        <v>135</v>
      </c>
      <c r="C1417">
        <v>27</v>
      </c>
      <c r="D1417">
        <v>1117718</v>
      </c>
      <c r="E1417">
        <v>654831</v>
      </c>
      <c r="F1417">
        <v>5.7</v>
      </c>
      <c r="G1417">
        <v>14.4</v>
      </c>
      <c r="H1417">
        <v>27</v>
      </c>
      <c r="I1417">
        <v>25.5</v>
      </c>
    </row>
    <row r="1418" spans="1:9" ht="24" customHeight="1">
      <c r="A1418" s="6" t="s">
        <v>2793</v>
      </c>
      <c r="B1418">
        <v>111</v>
      </c>
      <c r="C1418">
        <v>150</v>
      </c>
      <c r="D1418">
        <v>610946</v>
      </c>
      <c r="E1418">
        <v>568901</v>
      </c>
      <c r="F1418">
        <v>22.6</v>
      </c>
      <c r="G1418">
        <v>12.4</v>
      </c>
      <c r="H1418">
        <v>3.4</v>
      </c>
      <c r="I1418">
        <v>3.1</v>
      </c>
    </row>
    <row r="1419" spans="1:9" ht="24" customHeight="1">
      <c r="A1419" s="6" t="s">
        <v>534</v>
      </c>
      <c r="B1419">
        <v>299</v>
      </c>
      <c r="C1419">
        <v>21</v>
      </c>
      <c r="D1419">
        <v>1063168</v>
      </c>
      <c r="E1419">
        <v>732026</v>
      </c>
      <c r="F1419">
        <v>7.3</v>
      </c>
      <c r="G1419">
        <v>7.9</v>
      </c>
      <c r="H1419">
        <v>34.4</v>
      </c>
      <c r="I1419">
        <v>36.700000000000003</v>
      </c>
    </row>
    <row r="1420" spans="1:9" ht="24" customHeight="1">
      <c r="A1420" s="6" t="s">
        <v>2794</v>
      </c>
      <c r="B1420">
        <v>298</v>
      </c>
      <c r="C1420">
        <v>85</v>
      </c>
      <c r="D1420">
        <v>788440</v>
      </c>
      <c r="E1420">
        <v>492106</v>
      </c>
      <c r="F1420">
        <v>18.600000000000001</v>
      </c>
      <c r="G1420">
        <v>13</v>
      </c>
      <c r="H1420">
        <v>7.1</v>
      </c>
      <c r="I1420">
        <v>6.2</v>
      </c>
    </row>
    <row r="1421" spans="1:9" ht="24" customHeight="1">
      <c r="A1421" s="6" t="s">
        <v>2795</v>
      </c>
      <c r="B1421">
        <v>4697</v>
      </c>
      <c r="C1421">
        <v>665</v>
      </c>
      <c r="D1421">
        <v>389421</v>
      </c>
      <c r="E1421">
        <v>284590</v>
      </c>
      <c r="F1421">
        <v>13.6</v>
      </c>
      <c r="G1421">
        <v>4.2</v>
      </c>
      <c r="H1421">
        <v>12.6</v>
      </c>
      <c r="I1421">
        <v>10.3</v>
      </c>
    </row>
    <row r="1422" spans="1:9" ht="24" customHeight="1">
      <c r="A1422" s="6" t="s">
        <v>2796</v>
      </c>
      <c r="B1422">
        <v>341</v>
      </c>
      <c r="C1422">
        <v>65</v>
      </c>
      <c r="D1422">
        <v>274204</v>
      </c>
      <c r="E1422">
        <v>234002</v>
      </c>
      <c r="F1422">
        <v>12.3</v>
      </c>
      <c r="G1422">
        <v>2.2999999999999998</v>
      </c>
      <c r="H1422">
        <v>0</v>
      </c>
      <c r="I1422">
        <v>0</v>
      </c>
    </row>
    <row r="1423" spans="1:9" ht="24" customHeight="1">
      <c r="A1423" s="6" t="s">
        <v>2797</v>
      </c>
      <c r="B1423">
        <v>580</v>
      </c>
      <c r="C1423">
        <v>91</v>
      </c>
      <c r="D1423">
        <v>337398</v>
      </c>
      <c r="E1423">
        <v>237233</v>
      </c>
      <c r="F1423">
        <v>14.3</v>
      </c>
      <c r="G1423">
        <v>3.3</v>
      </c>
      <c r="H1423">
        <v>1.5</v>
      </c>
      <c r="I1423">
        <v>1.4</v>
      </c>
    </row>
    <row r="1424" spans="1:9" ht="24" customHeight="1">
      <c r="A1424" s="6" t="s">
        <v>2798</v>
      </c>
      <c r="B1424">
        <v>712</v>
      </c>
      <c r="C1424">
        <v>98</v>
      </c>
      <c r="D1424">
        <v>414682</v>
      </c>
      <c r="E1424">
        <v>279793</v>
      </c>
      <c r="F1424">
        <v>13.4</v>
      </c>
      <c r="G1424">
        <v>4.4000000000000004</v>
      </c>
      <c r="H1424">
        <v>11.8</v>
      </c>
      <c r="I1424">
        <v>11.6</v>
      </c>
    </row>
    <row r="1425" spans="1:9" ht="24" customHeight="1">
      <c r="A1425" s="6" t="s">
        <v>2799</v>
      </c>
      <c r="B1425">
        <v>361</v>
      </c>
      <c r="C1425">
        <v>43</v>
      </c>
      <c r="D1425">
        <v>436645</v>
      </c>
      <c r="E1425">
        <v>338510</v>
      </c>
      <c r="F1425">
        <v>12.5</v>
      </c>
      <c r="G1425">
        <v>5.6</v>
      </c>
      <c r="H1425">
        <v>17</v>
      </c>
      <c r="I1425">
        <v>17.2</v>
      </c>
    </row>
    <row r="1426" spans="1:9" ht="24" customHeight="1">
      <c r="A1426" s="6" t="s">
        <v>2800</v>
      </c>
      <c r="B1426">
        <v>291</v>
      </c>
      <c r="C1426">
        <v>20</v>
      </c>
      <c r="D1426">
        <v>414837</v>
      </c>
      <c r="E1426">
        <v>340455</v>
      </c>
      <c r="F1426">
        <v>14.2</v>
      </c>
      <c r="G1426">
        <v>7.8</v>
      </c>
      <c r="H1426">
        <v>22.3</v>
      </c>
      <c r="I1426">
        <v>21.8</v>
      </c>
    </row>
    <row r="1427" spans="1:9" ht="24" customHeight="1">
      <c r="A1427" s="6" t="s">
        <v>2801</v>
      </c>
      <c r="B1427">
        <v>321</v>
      </c>
      <c r="C1427">
        <v>57</v>
      </c>
      <c r="D1427">
        <v>444940</v>
      </c>
      <c r="E1427">
        <v>359473</v>
      </c>
      <c r="F1427">
        <v>15.2</v>
      </c>
      <c r="G1427">
        <v>1.8</v>
      </c>
      <c r="H1427">
        <v>27</v>
      </c>
      <c r="I1427">
        <v>27.5</v>
      </c>
    </row>
    <row r="1428" spans="1:9" ht="24" customHeight="1">
      <c r="A1428" s="6" t="s">
        <v>2802</v>
      </c>
      <c r="B1428">
        <v>579</v>
      </c>
      <c r="C1428">
        <v>104</v>
      </c>
      <c r="D1428">
        <v>364626</v>
      </c>
      <c r="E1428">
        <v>256507</v>
      </c>
      <c r="F1428">
        <v>15.6</v>
      </c>
      <c r="G1428">
        <v>4.5999999999999996</v>
      </c>
      <c r="H1428">
        <v>3.5</v>
      </c>
      <c r="I1428">
        <v>3.7</v>
      </c>
    </row>
    <row r="1429" spans="1:9" ht="24" customHeight="1">
      <c r="A1429" s="6" t="s">
        <v>2803</v>
      </c>
      <c r="B1429">
        <v>545</v>
      </c>
      <c r="C1429">
        <v>47</v>
      </c>
      <c r="D1429">
        <v>420334</v>
      </c>
      <c r="E1429">
        <v>307241</v>
      </c>
      <c r="F1429">
        <v>9.9</v>
      </c>
      <c r="G1429">
        <v>4.5999999999999996</v>
      </c>
      <c r="H1429">
        <v>36.4</v>
      </c>
      <c r="I1429">
        <v>35.9</v>
      </c>
    </row>
    <row r="1430" spans="1:9" ht="24" customHeight="1">
      <c r="A1430" s="6" t="s">
        <v>2804</v>
      </c>
      <c r="B1430">
        <v>1016</v>
      </c>
      <c r="C1430">
        <v>149</v>
      </c>
      <c r="D1430">
        <v>385821</v>
      </c>
      <c r="E1430">
        <v>286260</v>
      </c>
      <c r="F1430">
        <v>14</v>
      </c>
      <c r="G1430">
        <v>4.8</v>
      </c>
      <c r="H1430">
        <v>7</v>
      </c>
      <c r="I1430">
        <v>6.6</v>
      </c>
    </row>
    <row r="1431" spans="1:9" ht="24" customHeight="1">
      <c r="A1431" s="6" t="s">
        <v>2805</v>
      </c>
      <c r="B1431">
        <v>1097</v>
      </c>
      <c r="C1431">
        <v>105</v>
      </c>
      <c r="D1431">
        <v>485940</v>
      </c>
      <c r="E1431">
        <v>388505</v>
      </c>
      <c r="F1431">
        <v>10.5</v>
      </c>
      <c r="G1431">
        <v>4.2</v>
      </c>
      <c r="H1431">
        <v>16.399999999999999</v>
      </c>
      <c r="I1431">
        <v>12</v>
      </c>
    </row>
    <row r="1432" spans="1:9" ht="24" customHeight="1">
      <c r="A1432" s="6" t="s">
        <v>2806</v>
      </c>
      <c r="B1432">
        <v>61</v>
      </c>
      <c r="C1432">
        <v>6</v>
      </c>
      <c r="D1432">
        <v>310144</v>
      </c>
      <c r="E1432">
        <v>258782</v>
      </c>
      <c r="F1432">
        <v>9.1</v>
      </c>
      <c r="G1432">
        <v>1</v>
      </c>
      <c r="H1432">
        <v>0</v>
      </c>
      <c r="I1432">
        <v>0</v>
      </c>
    </row>
    <row r="1433" spans="1:9" ht="24" customHeight="1">
      <c r="A1433" s="6" t="s">
        <v>2807</v>
      </c>
      <c r="B1433">
        <v>81</v>
      </c>
      <c r="C1433">
        <v>13</v>
      </c>
      <c r="D1433">
        <v>360436</v>
      </c>
      <c r="E1433">
        <v>257653</v>
      </c>
      <c r="F1433">
        <v>12.3</v>
      </c>
      <c r="G1433">
        <v>4</v>
      </c>
      <c r="H1433">
        <v>1.5</v>
      </c>
      <c r="I1433">
        <v>1.2</v>
      </c>
    </row>
    <row r="1434" spans="1:9" ht="24" customHeight="1">
      <c r="A1434" s="6" t="s">
        <v>2808</v>
      </c>
      <c r="B1434">
        <v>121</v>
      </c>
      <c r="C1434">
        <v>17</v>
      </c>
      <c r="D1434">
        <v>449252</v>
      </c>
      <c r="E1434">
        <v>345230</v>
      </c>
      <c r="F1434">
        <v>11.7</v>
      </c>
      <c r="G1434">
        <v>7.7</v>
      </c>
      <c r="H1434">
        <v>12.1</v>
      </c>
      <c r="I1434">
        <v>11.6</v>
      </c>
    </row>
    <row r="1435" spans="1:9" ht="24" customHeight="1">
      <c r="A1435" s="6" t="s">
        <v>2809</v>
      </c>
      <c r="B1435">
        <v>135</v>
      </c>
      <c r="C1435">
        <v>5</v>
      </c>
      <c r="D1435">
        <v>547152</v>
      </c>
      <c r="E1435">
        <v>478903</v>
      </c>
      <c r="F1435">
        <v>8.6</v>
      </c>
      <c r="G1435">
        <v>0</v>
      </c>
      <c r="H1435">
        <v>16.399999999999999</v>
      </c>
      <c r="I1435">
        <v>16</v>
      </c>
    </row>
    <row r="1436" spans="1:9" ht="24" customHeight="1">
      <c r="A1436" s="6" t="s">
        <v>2810</v>
      </c>
      <c r="B1436">
        <v>154</v>
      </c>
      <c r="C1436">
        <v>1</v>
      </c>
      <c r="D1436">
        <v>538387</v>
      </c>
      <c r="E1436">
        <v>410964</v>
      </c>
      <c r="F1436">
        <v>10.1</v>
      </c>
      <c r="G1436">
        <v>0</v>
      </c>
      <c r="H1436">
        <v>21.8</v>
      </c>
      <c r="I1436">
        <v>23</v>
      </c>
    </row>
    <row r="1437" spans="1:9" ht="24" customHeight="1">
      <c r="A1437" s="6" t="s">
        <v>2811</v>
      </c>
      <c r="B1437">
        <v>112</v>
      </c>
      <c r="C1437">
        <v>12</v>
      </c>
      <c r="D1437">
        <v>525869</v>
      </c>
      <c r="E1437">
        <v>518970</v>
      </c>
      <c r="F1437">
        <v>7.5</v>
      </c>
      <c r="G1437">
        <v>4.7</v>
      </c>
      <c r="H1437">
        <v>26.8</v>
      </c>
      <c r="I1437">
        <v>27.2</v>
      </c>
    </row>
    <row r="1438" spans="1:9" ht="24" customHeight="1">
      <c r="A1438" s="6" t="s">
        <v>2812</v>
      </c>
      <c r="B1438">
        <v>98</v>
      </c>
      <c r="C1438">
        <v>11</v>
      </c>
      <c r="D1438">
        <v>424110</v>
      </c>
      <c r="E1438">
        <v>419837</v>
      </c>
      <c r="F1438">
        <v>14.7</v>
      </c>
      <c r="G1438">
        <v>3.1</v>
      </c>
      <c r="H1438">
        <v>3.5</v>
      </c>
      <c r="I1438">
        <v>3.6</v>
      </c>
    </row>
    <row r="1439" spans="1:9" ht="24" customHeight="1">
      <c r="A1439" s="6" t="s">
        <v>2813</v>
      </c>
      <c r="B1439">
        <v>177</v>
      </c>
      <c r="C1439">
        <v>13</v>
      </c>
      <c r="D1439">
        <v>616576</v>
      </c>
      <c r="E1439">
        <v>544043</v>
      </c>
      <c r="F1439">
        <v>6.3</v>
      </c>
      <c r="G1439">
        <v>3.6</v>
      </c>
      <c r="H1439">
        <v>35.4</v>
      </c>
      <c r="I1439">
        <v>30.5</v>
      </c>
    </row>
    <row r="1440" spans="1:9" ht="24" customHeight="1">
      <c r="A1440" s="6" t="s">
        <v>2814</v>
      </c>
      <c r="B1440">
        <v>158</v>
      </c>
      <c r="C1440">
        <v>30</v>
      </c>
      <c r="D1440">
        <v>407174</v>
      </c>
      <c r="E1440">
        <v>349350</v>
      </c>
      <c r="F1440">
        <v>15.6</v>
      </c>
      <c r="G1440">
        <v>3.7</v>
      </c>
      <c r="H1440">
        <v>7.5</v>
      </c>
      <c r="I1440">
        <v>6.5</v>
      </c>
    </row>
    <row r="1441" spans="1:9" ht="24" customHeight="1">
      <c r="A1441" s="6" t="s">
        <v>2815</v>
      </c>
      <c r="B1441">
        <v>1160</v>
      </c>
      <c r="C1441">
        <v>272</v>
      </c>
      <c r="D1441">
        <v>794337</v>
      </c>
      <c r="E1441">
        <v>550028</v>
      </c>
      <c r="F1441">
        <v>9.6</v>
      </c>
      <c r="G1441">
        <v>10.8</v>
      </c>
      <c r="H1441">
        <v>14.9</v>
      </c>
      <c r="I1441">
        <v>10</v>
      </c>
    </row>
    <row r="1442" spans="1:9" ht="24" customHeight="1">
      <c r="A1442" s="6" t="s">
        <v>2816</v>
      </c>
      <c r="B1442">
        <v>87</v>
      </c>
      <c r="C1442">
        <v>12</v>
      </c>
      <c r="D1442">
        <v>419781</v>
      </c>
      <c r="E1442">
        <v>511105</v>
      </c>
      <c r="F1442">
        <v>18.399999999999999</v>
      </c>
      <c r="G1442">
        <v>7</v>
      </c>
      <c r="H1442">
        <v>0</v>
      </c>
      <c r="I1442">
        <v>0</v>
      </c>
    </row>
    <row r="1443" spans="1:9" ht="24" customHeight="1">
      <c r="A1443" s="6" t="s">
        <v>2817</v>
      </c>
      <c r="B1443">
        <v>60</v>
      </c>
      <c r="C1443">
        <v>98</v>
      </c>
      <c r="D1443">
        <v>365728</v>
      </c>
      <c r="E1443">
        <v>429393</v>
      </c>
      <c r="F1443">
        <v>16.3</v>
      </c>
      <c r="G1443">
        <v>16.5</v>
      </c>
      <c r="H1443">
        <v>1.4</v>
      </c>
      <c r="I1443">
        <v>1.4</v>
      </c>
    </row>
    <row r="1444" spans="1:9" ht="24" customHeight="1">
      <c r="A1444" s="6" t="s">
        <v>2818</v>
      </c>
      <c r="B1444">
        <v>214</v>
      </c>
      <c r="C1444">
        <v>41</v>
      </c>
      <c r="D1444">
        <v>724214</v>
      </c>
      <c r="E1444">
        <v>668040</v>
      </c>
      <c r="F1444">
        <v>10.6</v>
      </c>
      <c r="G1444">
        <v>9.8000000000000007</v>
      </c>
      <c r="H1444">
        <v>11.6</v>
      </c>
      <c r="I1444">
        <v>12.5</v>
      </c>
    </row>
    <row r="1445" spans="1:9" ht="24" customHeight="1">
      <c r="A1445" s="6" t="s">
        <v>2819</v>
      </c>
      <c r="B1445">
        <v>182</v>
      </c>
      <c r="C1445">
        <v>28</v>
      </c>
      <c r="D1445">
        <v>985711</v>
      </c>
      <c r="E1445">
        <v>731113</v>
      </c>
      <c r="F1445">
        <v>5.8</v>
      </c>
      <c r="G1445">
        <v>2.2999999999999998</v>
      </c>
      <c r="H1445">
        <v>16.2</v>
      </c>
      <c r="I1445">
        <v>16.7</v>
      </c>
    </row>
    <row r="1446" spans="1:9" ht="24" customHeight="1">
      <c r="A1446" s="6" t="s">
        <v>2820</v>
      </c>
      <c r="B1446">
        <v>80</v>
      </c>
      <c r="C1446">
        <v>16</v>
      </c>
      <c r="D1446">
        <v>959731</v>
      </c>
      <c r="E1446">
        <v>616854</v>
      </c>
      <c r="F1446">
        <v>6.5</v>
      </c>
      <c r="G1446">
        <v>11</v>
      </c>
      <c r="H1446">
        <v>21.8</v>
      </c>
      <c r="I1446">
        <v>21.8</v>
      </c>
    </row>
    <row r="1447" spans="1:9" ht="24" customHeight="1">
      <c r="A1447" s="6" t="s">
        <v>2821</v>
      </c>
      <c r="B1447">
        <v>61</v>
      </c>
      <c r="C1447">
        <v>14</v>
      </c>
      <c r="D1447">
        <v>865166</v>
      </c>
      <c r="E1447">
        <v>1404846</v>
      </c>
      <c r="F1447">
        <v>4.7</v>
      </c>
      <c r="G1447">
        <v>0</v>
      </c>
      <c r="H1447">
        <v>27</v>
      </c>
      <c r="I1447">
        <v>28.9</v>
      </c>
    </row>
    <row r="1448" spans="1:9" ht="24" customHeight="1">
      <c r="A1448" s="6" t="s">
        <v>2822</v>
      </c>
      <c r="B1448">
        <v>81</v>
      </c>
      <c r="C1448">
        <v>26</v>
      </c>
      <c r="D1448">
        <v>545013</v>
      </c>
      <c r="E1448">
        <v>300681</v>
      </c>
      <c r="F1448">
        <v>10.199999999999999</v>
      </c>
      <c r="G1448">
        <v>9.1999999999999993</v>
      </c>
      <c r="H1448">
        <v>3.6</v>
      </c>
      <c r="I1448">
        <v>3.8</v>
      </c>
    </row>
    <row r="1449" spans="1:9" ht="24" customHeight="1">
      <c r="A1449" s="6" t="s">
        <v>2823</v>
      </c>
      <c r="B1449">
        <v>204</v>
      </c>
      <c r="C1449">
        <v>18</v>
      </c>
      <c r="D1449">
        <v>1150066</v>
      </c>
      <c r="E1449">
        <v>581345</v>
      </c>
      <c r="F1449">
        <v>2.7</v>
      </c>
      <c r="G1449">
        <v>3.9</v>
      </c>
      <c r="H1449">
        <v>33.1</v>
      </c>
      <c r="I1449">
        <v>37.1</v>
      </c>
    </row>
    <row r="1450" spans="1:9" ht="24" customHeight="1">
      <c r="A1450" s="6" t="s">
        <v>2824</v>
      </c>
      <c r="B1450">
        <v>190</v>
      </c>
      <c r="C1450">
        <v>24</v>
      </c>
      <c r="D1450">
        <v>628747</v>
      </c>
      <c r="E1450">
        <v>321771</v>
      </c>
      <c r="F1450">
        <v>15.8</v>
      </c>
      <c r="G1450">
        <v>14.3</v>
      </c>
      <c r="H1450">
        <v>7</v>
      </c>
      <c r="I1450">
        <v>7.1</v>
      </c>
    </row>
    <row r="1451" spans="1:9" ht="24" customHeight="1">
      <c r="A1451" s="6" t="s">
        <v>535</v>
      </c>
      <c r="B1451">
        <v>244485</v>
      </c>
      <c r="C1451">
        <v>46065</v>
      </c>
      <c r="D1451">
        <v>751838</v>
      </c>
      <c r="E1451">
        <v>503698</v>
      </c>
      <c r="F1451">
        <v>20.8</v>
      </c>
      <c r="G1451">
        <v>18.7</v>
      </c>
      <c r="H1451">
        <v>17.3</v>
      </c>
      <c r="I1451">
        <v>12.6</v>
      </c>
    </row>
    <row r="1452" spans="1:9" ht="24" customHeight="1">
      <c r="A1452" s="6" t="s">
        <v>536</v>
      </c>
      <c r="B1452">
        <v>7660</v>
      </c>
      <c r="C1452">
        <v>4437</v>
      </c>
      <c r="D1452">
        <v>307231</v>
      </c>
      <c r="E1452">
        <v>295465</v>
      </c>
      <c r="F1452">
        <v>15.1</v>
      </c>
      <c r="G1452">
        <v>8.8000000000000007</v>
      </c>
      <c r="H1452">
        <v>0</v>
      </c>
      <c r="I1452">
        <v>0</v>
      </c>
    </row>
    <row r="1453" spans="1:9" ht="24" customHeight="1">
      <c r="A1453" s="6" t="s">
        <v>2825</v>
      </c>
      <c r="B1453">
        <v>19352</v>
      </c>
      <c r="C1453">
        <v>6364</v>
      </c>
      <c r="D1453">
        <v>454098</v>
      </c>
      <c r="E1453">
        <v>405260</v>
      </c>
      <c r="F1453">
        <v>28.5</v>
      </c>
      <c r="G1453">
        <v>25.6</v>
      </c>
      <c r="H1453">
        <v>1.6</v>
      </c>
      <c r="I1453">
        <v>1.4</v>
      </c>
    </row>
    <row r="1454" spans="1:9" ht="24" customHeight="1">
      <c r="A1454" s="6" t="s">
        <v>2826</v>
      </c>
      <c r="B1454">
        <v>26428</v>
      </c>
      <c r="C1454">
        <v>4305</v>
      </c>
      <c r="D1454">
        <v>655786</v>
      </c>
      <c r="E1454">
        <v>546582</v>
      </c>
      <c r="F1454">
        <v>29.1</v>
      </c>
      <c r="G1454">
        <v>9.5</v>
      </c>
      <c r="H1454">
        <v>11.8</v>
      </c>
      <c r="I1454">
        <v>12</v>
      </c>
    </row>
    <row r="1455" spans="1:9" ht="24" customHeight="1">
      <c r="A1455" s="6" t="s">
        <v>2827</v>
      </c>
      <c r="B1455">
        <v>27175</v>
      </c>
      <c r="C1455">
        <v>3291</v>
      </c>
      <c r="D1455">
        <v>797272</v>
      </c>
      <c r="E1455">
        <v>524084</v>
      </c>
      <c r="F1455">
        <v>24.8</v>
      </c>
      <c r="G1455">
        <v>16.899999999999999</v>
      </c>
      <c r="H1455">
        <v>16.7</v>
      </c>
      <c r="I1455">
        <v>16.7</v>
      </c>
    </row>
    <row r="1456" spans="1:9" ht="24" customHeight="1">
      <c r="A1456" s="6" t="s">
        <v>2828</v>
      </c>
      <c r="B1456">
        <v>20737</v>
      </c>
      <c r="C1456">
        <v>2905</v>
      </c>
      <c r="D1456">
        <v>889853</v>
      </c>
      <c r="E1456">
        <v>517058</v>
      </c>
      <c r="F1456">
        <v>15.2</v>
      </c>
      <c r="G1456">
        <v>8.1999999999999993</v>
      </c>
      <c r="H1456">
        <v>22</v>
      </c>
      <c r="I1456">
        <v>22.6</v>
      </c>
    </row>
    <row r="1457" spans="1:9" ht="24" customHeight="1">
      <c r="A1457" s="6" t="s">
        <v>2829</v>
      </c>
      <c r="B1457">
        <v>26411</v>
      </c>
      <c r="C1457">
        <v>3678</v>
      </c>
      <c r="D1457">
        <v>897746</v>
      </c>
      <c r="E1457">
        <v>595523</v>
      </c>
      <c r="F1457">
        <v>10.8</v>
      </c>
      <c r="G1457">
        <v>15.3</v>
      </c>
      <c r="H1457">
        <v>27.3</v>
      </c>
      <c r="I1457">
        <v>27</v>
      </c>
    </row>
    <row r="1458" spans="1:9" ht="24" customHeight="1">
      <c r="A1458" s="6" t="s">
        <v>2830</v>
      </c>
      <c r="B1458">
        <v>17599</v>
      </c>
      <c r="C1458">
        <v>5201</v>
      </c>
      <c r="D1458">
        <v>518171</v>
      </c>
      <c r="E1458">
        <v>468506</v>
      </c>
      <c r="F1458">
        <v>33.200000000000003</v>
      </c>
      <c r="G1458">
        <v>26</v>
      </c>
      <c r="H1458">
        <v>3.4</v>
      </c>
      <c r="I1458">
        <v>3.4</v>
      </c>
    </row>
    <row r="1459" spans="1:9" ht="24" customHeight="1">
      <c r="A1459" s="6" t="s">
        <v>537</v>
      </c>
      <c r="B1459">
        <v>56881</v>
      </c>
      <c r="C1459">
        <v>7805</v>
      </c>
      <c r="D1459">
        <v>992445</v>
      </c>
      <c r="E1459">
        <v>621998</v>
      </c>
      <c r="F1459">
        <v>7</v>
      </c>
      <c r="G1459">
        <v>13.8</v>
      </c>
      <c r="H1459">
        <v>33.700000000000003</v>
      </c>
      <c r="I1459">
        <v>33.200000000000003</v>
      </c>
    </row>
    <row r="1460" spans="1:9" ht="24" customHeight="1">
      <c r="A1460" s="6" t="s">
        <v>2831</v>
      </c>
      <c r="B1460">
        <v>43595</v>
      </c>
      <c r="C1460">
        <v>10618</v>
      </c>
      <c r="D1460">
        <v>611221</v>
      </c>
      <c r="E1460">
        <v>503984</v>
      </c>
      <c r="F1460">
        <v>32.4</v>
      </c>
      <c r="G1460">
        <v>23.9</v>
      </c>
      <c r="H1460">
        <v>6.9</v>
      </c>
      <c r="I1460">
        <v>6.6</v>
      </c>
    </row>
    <row r="1461" spans="1:9" ht="24" customHeight="1">
      <c r="A1461" s="6" t="s">
        <v>2832</v>
      </c>
      <c r="B1461">
        <v>822682</v>
      </c>
      <c r="C1461">
        <v>142051</v>
      </c>
      <c r="D1461">
        <v>429108</v>
      </c>
      <c r="E1461">
        <v>309447</v>
      </c>
      <c r="F1461">
        <v>11.1</v>
      </c>
      <c r="G1461">
        <v>4.5</v>
      </c>
      <c r="H1461">
        <v>12.5</v>
      </c>
      <c r="I1461">
        <v>9.6999999999999993</v>
      </c>
    </row>
    <row r="1462" spans="1:9" ht="24" customHeight="1">
      <c r="A1462" s="6" t="s">
        <v>2833</v>
      </c>
      <c r="B1462">
        <v>62858</v>
      </c>
      <c r="C1462">
        <v>13192</v>
      </c>
      <c r="D1462">
        <v>298769</v>
      </c>
      <c r="E1462">
        <v>224899</v>
      </c>
      <c r="F1462">
        <v>9.5</v>
      </c>
      <c r="G1462">
        <v>5.2</v>
      </c>
      <c r="H1462">
        <v>0</v>
      </c>
      <c r="I1462">
        <v>0</v>
      </c>
    </row>
    <row r="1463" spans="1:9" ht="24" customHeight="1">
      <c r="A1463" s="6" t="s">
        <v>2834</v>
      </c>
      <c r="B1463">
        <v>100061</v>
      </c>
      <c r="C1463">
        <v>24973</v>
      </c>
      <c r="D1463">
        <v>348775</v>
      </c>
      <c r="E1463">
        <v>268427</v>
      </c>
      <c r="F1463">
        <v>12.2</v>
      </c>
      <c r="G1463">
        <v>4.2</v>
      </c>
      <c r="H1463">
        <v>1.5</v>
      </c>
      <c r="I1463">
        <v>1.5</v>
      </c>
    </row>
    <row r="1464" spans="1:9" ht="24" customHeight="1">
      <c r="A1464" s="6" t="s">
        <v>2835</v>
      </c>
      <c r="B1464">
        <v>130201</v>
      </c>
      <c r="C1464">
        <v>17941</v>
      </c>
      <c r="D1464">
        <v>439427</v>
      </c>
      <c r="E1464">
        <v>335704</v>
      </c>
      <c r="F1464">
        <v>10.199999999999999</v>
      </c>
      <c r="G1464">
        <v>2.8</v>
      </c>
      <c r="H1464">
        <v>11.7</v>
      </c>
      <c r="I1464">
        <v>11.9</v>
      </c>
    </row>
    <row r="1465" spans="1:9" ht="24" customHeight="1">
      <c r="A1465" s="6" t="s">
        <v>2836</v>
      </c>
      <c r="B1465">
        <v>86551</v>
      </c>
      <c r="C1465">
        <v>12023</v>
      </c>
      <c r="D1465">
        <v>472030</v>
      </c>
      <c r="E1465">
        <v>335918</v>
      </c>
      <c r="F1465">
        <v>12.2</v>
      </c>
      <c r="G1465">
        <v>3.5</v>
      </c>
      <c r="H1465">
        <v>16.7</v>
      </c>
      <c r="I1465">
        <v>17</v>
      </c>
    </row>
    <row r="1466" spans="1:9" ht="24" customHeight="1">
      <c r="A1466" s="6" t="s">
        <v>2837</v>
      </c>
      <c r="B1466">
        <v>74330</v>
      </c>
      <c r="C1466">
        <v>9080</v>
      </c>
      <c r="D1466">
        <v>498037</v>
      </c>
      <c r="E1466">
        <v>347921</v>
      </c>
      <c r="F1466">
        <v>9.6999999999999993</v>
      </c>
      <c r="G1466">
        <v>2.2000000000000002</v>
      </c>
      <c r="H1466">
        <v>21.8</v>
      </c>
      <c r="I1466">
        <v>21.5</v>
      </c>
    </row>
    <row r="1467" spans="1:9" ht="24" customHeight="1">
      <c r="A1467" s="6" t="s">
        <v>2838</v>
      </c>
      <c r="B1467">
        <v>60491</v>
      </c>
      <c r="C1467">
        <v>6541</v>
      </c>
      <c r="D1467">
        <v>526558</v>
      </c>
      <c r="E1467">
        <v>316355</v>
      </c>
      <c r="F1467">
        <v>9.4</v>
      </c>
      <c r="G1467">
        <v>1.1000000000000001</v>
      </c>
      <c r="H1467">
        <v>26.9</v>
      </c>
      <c r="I1467">
        <v>27</v>
      </c>
    </row>
    <row r="1468" spans="1:9" ht="24" customHeight="1">
      <c r="A1468" s="6" t="s">
        <v>2839</v>
      </c>
      <c r="B1468">
        <v>90394</v>
      </c>
      <c r="C1468">
        <v>21509</v>
      </c>
      <c r="D1468">
        <v>373964</v>
      </c>
      <c r="E1468">
        <v>303782</v>
      </c>
      <c r="F1468">
        <v>12.3</v>
      </c>
      <c r="G1468">
        <v>7.2</v>
      </c>
      <c r="H1468">
        <v>3.4</v>
      </c>
      <c r="I1468">
        <v>3.6</v>
      </c>
    </row>
    <row r="1469" spans="1:9" ht="24" customHeight="1">
      <c r="A1469" s="6" t="s">
        <v>2840</v>
      </c>
      <c r="B1469">
        <v>73330</v>
      </c>
      <c r="C1469">
        <v>9818</v>
      </c>
      <c r="D1469">
        <v>487430</v>
      </c>
      <c r="E1469">
        <v>359309</v>
      </c>
      <c r="F1469">
        <v>6.7</v>
      </c>
      <c r="G1469">
        <v>3.7</v>
      </c>
      <c r="H1469">
        <v>36.9</v>
      </c>
      <c r="I1469">
        <v>35.5</v>
      </c>
    </row>
    <row r="1470" spans="1:9" ht="24" customHeight="1">
      <c r="A1470" s="6" t="s">
        <v>2841</v>
      </c>
      <c r="B1470">
        <v>157586</v>
      </c>
      <c r="C1470">
        <v>37442</v>
      </c>
      <c r="D1470">
        <v>413390</v>
      </c>
      <c r="E1470">
        <v>308445</v>
      </c>
      <c r="F1470">
        <v>12.9</v>
      </c>
      <c r="G1470">
        <v>5.0999999999999996</v>
      </c>
      <c r="H1470">
        <v>6.9</v>
      </c>
      <c r="I1470">
        <v>6.7</v>
      </c>
    </row>
    <row r="1471" spans="1:9" ht="24" customHeight="1">
      <c r="A1471" s="6" t="s">
        <v>2842</v>
      </c>
      <c r="B1471">
        <v>134116</v>
      </c>
      <c r="C1471">
        <v>26611</v>
      </c>
      <c r="D1471">
        <v>503663</v>
      </c>
      <c r="E1471">
        <v>362172</v>
      </c>
      <c r="F1471">
        <v>15.4</v>
      </c>
      <c r="G1471">
        <v>7.9</v>
      </c>
      <c r="H1471">
        <v>13.6</v>
      </c>
      <c r="I1471">
        <v>11</v>
      </c>
    </row>
    <row r="1472" spans="1:9" ht="24" customHeight="1">
      <c r="A1472" s="6" t="s">
        <v>2843</v>
      </c>
      <c r="B1472">
        <v>8181</v>
      </c>
      <c r="C1472">
        <v>2391</v>
      </c>
      <c r="D1472">
        <v>303595</v>
      </c>
      <c r="E1472">
        <v>242522</v>
      </c>
      <c r="F1472">
        <v>8.6999999999999993</v>
      </c>
      <c r="G1472">
        <v>3.3</v>
      </c>
      <c r="H1472">
        <v>0</v>
      </c>
      <c r="I1472">
        <v>0</v>
      </c>
    </row>
    <row r="1473" spans="1:9" ht="24" customHeight="1">
      <c r="A1473" s="6" t="s">
        <v>2844</v>
      </c>
      <c r="B1473">
        <v>13729</v>
      </c>
      <c r="C1473">
        <v>4003</v>
      </c>
      <c r="D1473">
        <v>359309</v>
      </c>
      <c r="E1473">
        <v>314660</v>
      </c>
      <c r="F1473">
        <v>16.2</v>
      </c>
      <c r="G1473">
        <v>11.3</v>
      </c>
      <c r="H1473">
        <v>1.4</v>
      </c>
      <c r="I1473">
        <v>1.3</v>
      </c>
    </row>
    <row r="1474" spans="1:9" ht="24" customHeight="1">
      <c r="A1474" s="6" t="s">
        <v>2845</v>
      </c>
      <c r="B1474">
        <v>19685</v>
      </c>
      <c r="C1474">
        <v>3042</v>
      </c>
      <c r="D1474">
        <v>517114</v>
      </c>
      <c r="E1474">
        <v>356403</v>
      </c>
      <c r="F1474">
        <v>17</v>
      </c>
      <c r="G1474">
        <v>5.6</v>
      </c>
      <c r="H1474">
        <v>12</v>
      </c>
      <c r="I1474">
        <v>11.8</v>
      </c>
    </row>
    <row r="1475" spans="1:9" ht="24" customHeight="1">
      <c r="A1475" s="6" t="s">
        <v>2846</v>
      </c>
      <c r="B1475">
        <v>16016</v>
      </c>
      <c r="C1475">
        <v>3395</v>
      </c>
      <c r="D1475">
        <v>560279</v>
      </c>
      <c r="E1475">
        <v>421289</v>
      </c>
      <c r="F1475">
        <v>15.6</v>
      </c>
      <c r="G1475">
        <v>6.3</v>
      </c>
      <c r="H1475">
        <v>16.8</v>
      </c>
      <c r="I1475">
        <v>16.5</v>
      </c>
    </row>
    <row r="1476" spans="1:9" ht="24" customHeight="1">
      <c r="A1476" s="6" t="s">
        <v>2847</v>
      </c>
      <c r="B1476">
        <v>9161</v>
      </c>
      <c r="C1476">
        <v>1416</v>
      </c>
      <c r="D1476">
        <v>586509</v>
      </c>
      <c r="E1476">
        <v>428217</v>
      </c>
      <c r="F1476">
        <v>12</v>
      </c>
      <c r="G1476">
        <v>3.7</v>
      </c>
      <c r="H1476">
        <v>22</v>
      </c>
      <c r="I1476">
        <v>22</v>
      </c>
    </row>
    <row r="1477" spans="1:9" ht="24" customHeight="1">
      <c r="A1477" s="6" t="s">
        <v>2848</v>
      </c>
      <c r="B1477">
        <v>11528</v>
      </c>
      <c r="C1477">
        <v>1675</v>
      </c>
      <c r="D1477">
        <v>624754</v>
      </c>
      <c r="E1477">
        <v>410446</v>
      </c>
      <c r="F1477">
        <v>11.9</v>
      </c>
      <c r="G1477">
        <v>4.5</v>
      </c>
      <c r="H1477">
        <v>27.1</v>
      </c>
      <c r="I1477">
        <v>27.1</v>
      </c>
    </row>
    <row r="1478" spans="1:9" ht="24" customHeight="1">
      <c r="A1478" s="6" t="s">
        <v>2849</v>
      </c>
      <c r="B1478">
        <v>12740</v>
      </c>
      <c r="C1478">
        <v>3261</v>
      </c>
      <c r="D1478">
        <v>415063</v>
      </c>
      <c r="E1478">
        <v>312999</v>
      </c>
      <c r="F1478">
        <v>21.1</v>
      </c>
      <c r="G1478">
        <v>12.7</v>
      </c>
      <c r="H1478">
        <v>3.5</v>
      </c>
      <c r="I1478">
        <v>3.5</v>
      </c>
    </row>
    <row r="1479" spans="1:9" ht="24" customHeight="1">
      <c r="A1479" s="6" t="s">
        <v>2850</v>
      </c>
      <c r="B1479">
        <v>16003</v>
      </c>
      <c r="C1479">
        <v>2036</v>
      </c>
      <c r="D1479">
        <v>643799</v>
      </c>
      <c r="E1479">
        <v>455938</v>
      </c>
      <c r="F1479">
        <v>8</v>
      </c>
      <c r="G1479">
        <v>6.1</v>
      </c>
      <c r="H1479">
        <v>35.299999999999997</v>
      </c>
      <c r="I1479">
        <v>33.9</v>
      </c>
    </row>
    <row r="1480" spans="1:9" ht="24" customHeight="1">
      <c r="A1480" s="6" t="s">
        <v>2851</v>
      </c>
      <c r="B1480">
        <v>27084</v>
      </c>
      <c r="C1480">
        <v>5594</v>
      </c>
      <c r="D1480">
        <v>473282</v>
      </c>
      <c r="E1480">
        <v>373230</v>
      </c>
      <c r="F1480">
        <v>20.100000000000001</v>
      </c>
      <c r="G1480">
        <v>9.4</v>
      </c>
      <c r="H1480">
        <v>6.7</v>
      </c>
      <c r="I1480">
        <v>7.1</v>
      </c>
    </row>
    <row r="1481" spans="1:9" ht="24" customHeight="1">
      <c r="A1481" s="6" t="s">
        <v>2852</v>
      </c>
      <c r="B1481">
        <v>162668</v>
      </c>
      <c r="C1481">
        <v>35485</v>
      </c>
      <c r="D1481">
        <v>571054</v>
      </c>
      <c r="E1481">
        <v>405766</v>
      </c>
      <c r="F1481">
        <v>17.899999999999999</v>
      </c>
      <c r="G1481">
        <v>15</v>
      </c>
      <c r="H1481">
        <v>14.4</v>
      </c>
      <c r="I1481">
        <v>9.4</v>
      </c>
    </row>
    <row r="1482" spans="1:9" ht="24" customHeight="1">
      <c r="A1482" s="6" t="s">
        <v>2853</v>
      </c>
      <c r="B1482">
        <v>9827</v>
      </c>
      <c r="C1482">
        <v>4113</v>
      </c>
      <c r="D1482">
        <v>300839</v>
      </c>
      <c r="E1482">
        <v>259660</v>
      </c>
      <c r="F1482">
        <v>6</v>
      </c>
      <c r="G1482">
        <v>1.3</v>
      </c>
      <c r="H1482">
        <v>0</v>
      </c>
      <c r="I1482">
        <v>0</v>
      </c>
    </row>
    <row r="1483" spans="1:9" ht="24" customHeight="1">
      <c r="A1483" s="6" t="s">
        <v>2854</v>
      </c>
      <c r="B1483">
        <v>17433</v>
      </c>
      <c r="C1483">
        <v>6567</v>
      </c>
      <c r="D1483">
        <v>435984</v>
      </c>
      <c r="E1483">
        <v>383777</v>
      </c>
      <c r="F1483">
        <v>23.8</v>
      </c>
      <c r="G1483">
        <v>24.4</v>
      </c>
      <c r="H1483">
        <v>1.5</v>
      </c>
      <c r="I1483">
        <v>1.5</v>
      </c>
    </row>
    <row r="1484" spans="1:9" ht="24" customHeight="1">
      <c r="A1484" s="6" t="s">
        <v>2855</v>
      </c>
      <c r="B1484">
        <v>19777</v>
      </c>
      <c r="C1484">
        <v>4508</v>
      </c>
      <c r="D1484">
        <v>576986</v>
      </c>
      <c r="E1484">
        <v>447849</v>
      </c>
      <c r="F1484">
        <v>22.4</v>
      </c>
      <c r="G1484">
        <v>20.100000000000001</v>
      </c>
      <c r="H1484">
        <v>11.8</v>
      </c>
      <c r="I1484">
        <v>11.7</v>
      </c>
    </row>
    <row r="1485" spans="1:9" ht="24" customHeight="1">
      <c r="A1485" s="6" t="s">
        <v>2856</v>
      </c>
      <c r="B1485">
        <v>22129</v>
      </c>
      <c r="C1485">
        <v>3461</v>
      </c>
      <c r="D1485">
        <v>632579</v>
      </c>
      <c r="E1485">
        <v>471821</v>
      </c>
      <c r="F1485">
        <v>23.6</v>
      </c>
      <c r="G1485">
        <v>17.5</v>
      </c>
      <c r="H1485">
        <v>16.7</v>
      </c>
      <c r="I1485">
        <v>16.5</v>
      </c>
    </row>
    <row r="1486" spans="1:9" ht="24" customHeight="1">
      <c r="A1486" s="6" t="s">
        <v>2857</v>
      </c>
      <c r="B1486">
        <v>9927</v>
      </c>
      <c r="C1486">
        <v>1596</v>
      </c>
      <c r="D1486">
        <v>669155</v>
      </c>
      <c r="E1486">
        <v>440851</v>
      </c>
      <c r="F1486">
        <v>15.2</v>
      </c>
      <c r="G1486">
        <v>13.4</v>
      </c>
      <c r="H1486">
        <v>22</v>
      </c>
      <c r="I1486">
        <v>21.6</v>
      </c>
    </row>
    <row r="1487" spans="1:9" ht="24" customHeight="1">
      <c r="A1487" s="6" t="s">
        <v>2858</v>
      </c>
      <c r="B1487">
        <v>16715</v>
      </c>
      <c r="C1487">
        <v>2142</v>
      </c>
      <c r="D1487">
        <v>696572</v>
      </c>
      <c r="E1487">
        <v>503537</v>
      </c>
      <c r="F1487">
        <v>9.4</v>
      </c>
      <c r="G1487">
        <v>12</v>
      </c>
      <c r="H1487">
        <v>27.2</v>
      </c>
      <c r="I1487">
        <v>26.7</v>
      </c>
    </row>
    <row r="1488" spans="1:9" ht="24" customHeight="1">
      <c r="A1488" s="6" t="s">
        <v>2859</v>
      </c>
      <c r="B1488">
        <v>15438</v>
      </c>
      <c r="C1488">
        <v>4784</v>
      </c>
      <c r="D1488">
        <v>465965</v>
      </c>
      <c r="E1488">
        <v>375895</v>
      </c>
      <c r="F1488">
        <v>26.3</v>
      </c>
      <c r="G1488">
        <v>12.4</v>
      </c>
      <c r="H1488">
        <v>3.4</v>
      </c>
      <c r="I1488">
        <v>3.5</v>
      </c>
    </row>
    <row r="1489" spans="1:9" ht="24" customHeight="1">
      <c r="A1489" s="6" t="s">
        <v>2860</v>
      </c>
      <c r="B1489">
        <v>23532</v>
      </c>
      <c r="C1489">
        <v>1950</v>
      </c>
      <c r="D1489">
        <v>707545</v>
      </c>
      <c r="E1489">
        <v>496609</v>
      </c>
      <c r="F1489">
        <v>8.1999999999999993</v>
      </c>
      <c r="G1489">
        <v>7.1</v>
      </c>
      <c r="H1489">
        <v>34</v>
      </c>
      <c r="I1489">
        <v>33.6</v>
      </c>
    </row>
    <row r="1490" spans="1:9" ht="24" customHeight="1">
      <c r="A1490" s="6" t="s">
        <v>2861</v>
      </c>
      <c r="B1490">
        <v>28279</v>
      </c>
      <c r="C1490">
        <v>7571</v>
      </c>
      <c r="D1490">
        <v>527627</v>
      </c>
      <c r="E1490">
        <v>383434</v>
      </c>
      <c r="F1490">
        <v>20</v>
      </c>
      <c r="G1490">
        <v>12.5</v>
      </c>
      <c r="H1490">
        <v>6.9</v>
      </c>
      <c r="I1490">
        <v>6.5</v>
      </c>
    </row>
    <row r="1491" spans="1:9" ht="24" customHeight="1">
      <c r="A1491" s="6" t="s">
        <v>538</v>
      </c>
      <c r="B1491">
        <v>1393083</v>
      </c>
      <c r="C1491">
        <v>301857</v>
      </c>
      <c r="D1491">
        <v>616916</v>
      </c>
      <c r="E1491">
        <v>433277</v>
      </c>
      <c r="F1491">
        <v>17.7</v>
      </c>
      <c r="G1491">
        <v>12.7</v>
      </c>
      <c r="H1491">
        <v>17.600000000000001</v>
      </c>
      <c r="I1491">
        <v>13.6</v>
      </c>
    </row>
    <row r="1492" spans="1:9" ht="24" customHeight="1">
      <c r="A1492" s="6" t="s">
        <v>539</v>
      </c>
      <c r="B1492">
        <v>49499</v>
      </c>
      <c r="C1492">
        <v>25100</v>
      </c>
      <c r="D1492">
        <v>302900</v>
      </c>
      <c r="E1492">
        <v>250906</v>
      </c>
      <c r="F1492">
        <v>10.199999999999999</v>
      </c>
      <c r="G1492">
        <v>6.4</v>
      </c>
      <c r="H1492">
        <v>0</v>
      </c>
      <c r="I1492">
        <v>0</v>
      </c>
    </row>
    <row r="1493" spans="1:9" ht="24" customHeight="1">
      <c r="A1493" s="6" t="s">
        <v>2862</v>
      </c>
      <c r="B1493">
        <v>89566</v>
      </c>
      <c r="C1493">
        <v>41669</v>
      </c>
      <c r="D1493">
        <v>399766</v>
      </c>
      <c r="E1493">
        <v>326605</v>
      </c>
      <c r="F1493">
        <v>20.7</v>
      </c>
      <c r="G1493">
        <v>18.399999999999999</v>
      </c>
      <c r="H1493">
        <v>1.5</v>
      </c>
      <c r="I1493">
        <v>1.5</v>
      </c>
    </row>
    <row r="1494" spans="1:9" ht="24" customHeight="1">
      <c r="A1494" s="6" t="s">
        <v>2863</v>
      </c>
      <c r="B1494">
        <v>181417</v>
      </c>
      <c r="C1494">
        <v>35050</v>
      </c>
      <c r="D1494">
        <v>563108</v>
      </c>
      <c r="E1494">
        <v>450174</v>
      </c>
      <c r="F1494">
        <v>21</v>
      </c>
      <c r="G1494">
        <v>9.9</v>
      </c>
      <c r="H1494">
        <v>12.2</v>
      </c>
      <c r="I1494">
        <v>12.3</v>
      </c>
    </row>
    <row r="1495" spans="1:9" ht="24" customHeight="1">
      <c r="A1495" s="6" t="s">
        <v>2864</v>
      </c>
      <c r="B1495">
        <v>212715</v>
      </c>
      <c r="C1495">
        <v>34586</v>
      </c>
      <c r="D1495">
        <v>641723</v>
      </c>
      <c r="E1495">
        <v>479743</v>
      </c>
      <c r="F1495">
        <v>18.399999999999999</v>
      </c>
      <c r="G1495">
        <v>9.5</v>
      </c>
      <c r="H1495">
        <v>16.7</v>
      </c>
      <c r="I1495">
        <v>16.7</v>
      </c>
    </row>
    <row r="1496" spans="1:9" ht="24" customHeight="1">
      <c r="A1496" s="6" t="s">
        <v>2865</v>
      </c>
      <c r="B1496">
        <v>113235</v>
      </c>
      <c r="C1496">
        <v>19252</v>
      </c>
      <c r="D1496">
        <v>736546</v>
      </c>
      <c r="E1496">
        <v>515097</v>
      </c>
      <c r="F1496">
        <v>16.7</v>
      </c>
      <c r="G1496">
        <v>10.3</v>
      </c>
      <c r="H1496">
        <v>22.1</v>
      </c>
      <c r="I1496">
        <v>21.8</v>
      </c>
    </row>
    <row r="1497" spans="1:9" ht="24" customHeight="1">
      <c r="A1497" s="6" t="s">
        <v>2866</v>
      </c>
      <c r="B1497">
        <v>123272</v>
      </c>
      <c r="C1497">
        <v>19882</v>
      </c>
      <c r="D1497">
        <v>750213</v>
      </c>
      <c r="E1497">
        <v>533247</v>
      </c>
      <c r="F1497">
        <v>15.1</v>
      </c>
      <c r="G1497">
        <v>8.6999999999999993</v>
      </c>
      <c r="H1497">
        <v>26.8</v>
      </c>
      <c r="I1497">
        <v>26.7</v>
      </c>
    </row>
    <row r="1498" spans="1:9" ht="24" customHeight="1">
      <c r="A1498" s="6" t="s">
        <v>2867</v>
      </c>
      <c r="B1498">
        <v>105920</v>
      </c>
      <c r="C1498">
        <v>33928</v>
      </c>
      <c r="D1498">
        <v>456979</v>
      </c>
      <c r="E1498">
        <v>382683</v>
      </c>
      <c r="F1498">
        <v>22.7</v>
      </c>
      <c r="G1498">
        <v>16</v>
      </c>
      <c r="H1498">
        <v>3.5</v>
      </c>
      <c r="I1498">
        <v>3.5</v>
      </c>
    </row>
    <row r="1499" spans="1:9" ht="24" customHeight="1">
      <c r="A1499" s="6" t="s">
        <v>540</v>
      </c>
      <c r="B1499">
        <v>328495</v>
      </c>
      <c r="C1499">
        <v>51960</v>
      </c>
      <c r="D1499">
        <v>760069</v>
      </c>
      <c r="E1499">
        <v>531999</v>
      </c>
      <c r="F1499">
        <v>12.7</v>
      </c>
      <c r="G1499">
        <v>10.5</v>
      </c>
      <c r="H1499">
        <v>34.200000000000003</v>
      </c>
      <c r="I1499">
        <v>33.9</v>
      </c>
    </row>
    <row r="1500" spans="1:9" ht="24" customHeight="1">
      <c r="A1500" s="6" t="s">
        <v>2868</v>
      </c>
      <c r="B1500">
        <v>191639</v>
      </c>
      <c r="C1500">
        <v>48802</v>
      </c>
      <c r="D1500">
        <v>506942</v>
      </c>
      <c r="E1500">
        <v>415459</v>
      </c>
      <c r="F1500">
        <v>22</v>
      </c>
      <c r="G1500">
        <v>16</v>
      </c>
      <c r="H1500">
        <v>6.8</v>
      </c>
      <c r="I1500">
        <v>6.7</v>
      </c>
    </row>
    <row r="1501" spans="1:9" ht="24" customHeight="1">
      <c r="A1501" s="6" t="s">
        <v>2869</v>
      </c>
      <c r="B1501">
        <v>1177735</v>
      </c>
      <c r="C1501">
        <v>390466</v>
      </c>
      <c r="D1501">
        <v>391446</v>
      </c>
      <c r="E1501">
        <v>270944</v>
      </c>
      <c r="F1501">
        <v>11.9</v>
      </c>
      <c r="G1501">
        <v>6</v>
      </c>
      <c r="H1501">
        <v>13.4</v>
      </c>
      <c r="I1501">
        <v>11</v>
      </c>
    </row>
    <row r="1502" spans="1:9" ht="24" customHeight="1">
      <c r="A1502" s="6" t="s">
        <v>2870</v>
      </c>
      <c r="B1502">
        <v>68024</v>
      </c>
      <c r="C1502">
        <v>32341</v>
      </c>
      <c r="D1502">
        <v>263374</v>
      </c>
      <c r="E1502">
        <v>203203</v>
      </c>
      <c r="F1502">
        <v>10.3</v>
      </c>
      <c r="G1502">
        <v>4.4000000000000004</v>
      </c>
      <c r="H1502">
        <v>0</v>
      </c>
      <c r="I1502">
        <v>0</v>
      </c>
    </row>
    <row r="1503" spans="1:9" ht="24" customHeight="1">
      <c r="A1503" s="6" t="s">
        <v>2871</v>
      </c>
      <c r="B1503">
        <v>112103</v>
      </c>
      <c r="C1503">
        <v>47669</v>
      </c>
      <c r="D1503">
        <v>315635</v>
      </c>
      <c r="E1503">
        <v>236387</v>
      </c>
      <c r="F1503">
        <v>13.1</v>
      </c>
      <c r="G1503">
        <v>5.4</v>
      </c>
      <c r="H1503">
        <v>1.5</v>
      </c>
      <c r="I1503">
        <v>1.4</v>
      </c>
    </row>
    <row r="1504" spans="1:9" ht="24" customHeight="1">
      <c r="A1504" s="6" t="s">
        <v>2872</v>
      </c>
      <c r="B1504">
        <v>164447</v>
      </c>
      <c r="C1504">
        <v>60692</v>
      </c>
      <c r="D1504">
        <v>397854</v>
      </c>
      <c r="E1504">
        <v>278954</v>
      </c>
      <c r="F1504">
        <v>12.4</v>
      </c>
      <c r="G1504">
        <v>6.2</v>
      </c>
      <c r="H1504">
        <v>11.8</v>
      </c>
      <c r="I1504">
        <v>11.7</v>
      </c>
    </row>
    <row r="1505" spans="1:9" ht="24" customHeight="1">
      <c r="A1505" s="6" t="s">
        <v>2873</v>
      </c>
      <c r="B1505">
        <v>159554</v>
      </c>
      <c r="C1505">
        <v>51362</v>
      </c>
      <c r="D1505">
        <v>429446</v>
      </c>
      <c r="E1505">
        <v>289203</v>
      </c>
      <c r="F1505">
        <v>12.6</v>
      </c>
      <c r="G1505">
        <v>5.6</v>
      </c>
      <c r="H1505">
        <v>16.899999999999999</v>
      </c>
      <c r="I1505">
        <v>16.899999999999999</v>
      </c>
    </row>
    <row r="1506" spans="1:9" ht="24" customHeight="1">
      <c r="A1506" s="6" t="s">
        <v>2874</v>
      </c>
      <c r="B1506">
        <v>118620</v>
      </c>
      <c r="C1506">
        <v>30622</v>
      </c>
      <c r="D1506">
        <v>461023</v>
      </c>
      <c r="E1506">
        <v>295504</v>
      </c>
      <c r="F1506">
        <v>11.8</v>
      </c>
      <c r="G1506">
        <v>5.3</v>
      </c>
      <c r="H1506">
        <v>21.7</v>
      </c>
      <c r="I1506">
        <v>21.6</v>
      </c>
    </row>
    <row r="1507" spans="1:9" ht="24" customHeight="1">
      <c r="A1507" s="6" t="s">
        <v>2875</v>
      </c>
      <c r="B1507">
        <v>85926</v>
      </c>
      <c r="C1507">
        <v>21720</v>
      </c>
      <c r="D1507">
        <v>462484</v>
      </c>
      <c r="E1507">
        <v>305569</v>
      </c>
      <c r="F1507">
        <v>10.4</v>
      </c>
      <c r="G1507">
        <v>5.5</v>
      </c>
      <c r="H1507">
        <v>26.9</v>
      </c>
      <c r="I1507">
        <v>26.7</v>
      </c>
    </row>
    <row r="1508" spans="1:9" ht="24" customHeight="1">
      <c r="A1508" s="6" t="s">
        <v>2876</v>
      </c>
      <c r="B1508">
        <v>115693</v>
      </c>
      <c r="C1508">
        <v>52811</v>
      </c>
      <c r="D1508">
        <v>340243</v>
      </c>
      <c r="E1508">
        <v>252815</v>
      </c>
      <c r="F1508">
        <v>12.7</v>
      </c>
      <c r="G1508">
        <v>6.5</v>
      </c>
      <c r="H1508">
        <v>3.5</v>
      </c>
      <c r="I1508">
        <v>3.5</v>
      </c>
    </row>
    <row r="1509" spans="1:9" ht="24" customHeight="1">
      <c r="A1509" s="6" t="s">
        <v>2877</v>
      </c>
      <c r="B1509">
        <v>112946</v>
      </c>
      <c r="C1509">
        <v>25280</v>
      </c>
      <c r="D1509">
        <v>452229</v>
      </c>
      <c r="E1509">
        <v>283367</v>
      </c>
      <c r="F1509">
        <v>7.3</v>
      </c>
      <c r="G1509">
        <v>4.5</v>
      </c>
      <c r="H1509">
        <v>35.6</v>
      </c>
      <c r="I1509">
        <v>34.4</v>
      </c>
    </row>
    <row r="1510" spans="1:9" ht="24" customHeight="1">
      <c r="A1510" s="6" t="s">
        <v>2878</v>
      </c>
      <c r="B1510">
        <v>246341</v>
      </c>
      <c r="C1510">
        <v>89356</v>
      </c>
      <c r="D1510">
        <v>365293</v>
      </c>
      <c r="E1510">
        <v>262799</v>
      </c>
      <c r="F1510">
        <v>13</v>
      </c>
      <c r="G1510">
        <v>6.4</v>
      </c>
      <c r="H1510">
        <v>6.9</v>
      </c>
      <c r="I1510">
        <v>6.7</v>
      </c>
    </row>
    <row r="1511" spans="1:9" ht="24" customHeight="1">
      <c r="A1511" s="6" t="s">
        <v>2879</v>
      </c>
      <c r="B1511">
        <v>810981</v>
      </c>
      <c r="C1511">
        <v>266729</v>
      </c>
      <c r="D1511">
        <v>441807</v>
      </c>
      <c r="E1511">
        <v>315163</v>
      </c>
      <c r="F1511">
        <v>14.4</v>
      </c>
      <c r="G1511">
        <v>9.3000000000000007</v>
      </c>
      <c r="H1511">
        <v>14.7</v>
      </c>
      <c r="I1511">
        <v>11.6</v>
      </c>
    </row>
    <row r="1512" spans="1:9" ht="24" customHeight="1">
      <c r="A1512" s="6" t="s">
        <v>2880</v>
      </c>
      <c r="B1512">
        <v>44603</v>
      </c>
      <c r="C1512">
        <v>16361</v>
      </c>
      <c r="D1512">
        <v>254644</v>
      </c>
      <c r="E1512">
        <v>214499</v>
      </c>
      <c r="F1512">
        <v>8.3000000000000007</v>
      </c>
      <c r="G1512">
        <v>6</v>
      </c>
      <c r="H1512">
        <v>0</v>
      </c>
      <c r="I1512">
        <v>0</v>
      </c>
    </row>
    <row r="1513" spans="1:9" ht="24" customHeight="1">
      <c r="A1513" s="6" t="s">
        <v>2881</v>
      </c>
      <c r="B1513">
        <v>69149</v>
      </c>
      <c r="C1513">
        <v>39248</v>
      </c>
      <c r="D1513">
        <v>339620</v>
      </c>
      <c r="E1513">
        <v>264838</v>
      </c>
      <c r="F1513">
        <v>16</v>
      </c>
      <c r="G1513">
        <v>9.1999999999999993</v>
      </c>
      <c r="H1513">
        <v>1.5</v>
      </c>
      <c r="I1513">
        <v>1.5</v>
      </c>
    </row>
    <row r="1514" spans="1:9" ht="24" customHeight="1">
      <c r="A1514" s="6" t="s">
        <v>2882</v>
      </c>
      <c r="B1514">
        <v>107772</v>
      </c>
      <c r="C1514">
        <v>34399</v>
      </c>
      <c r="D1514">
        <v>429077</v>
      </c>
      <c r="E1514">
        <v>320728</v>
      </c>
      <c r="F1514">
        <v>15.7</v>
      </c>
      <c r="G1514">
        <v>8.9</v>
      </c>
      <c r="H1514">
        <v>11.9</v>
      </c>
      <c r="I1514">
        <v>12</v>
      </c>
    </row>
    <row r="1515" spans="1:9" ht="24" customHeight="1">
      <c r="A1515" s="6" t="s">
        <v>2883</v>
      </c>
      <c r="B1515">
        <v>124794</v>
      </c>
      <c r="C1515">
        <v>34340</v>
      </c>
      <c r="D1515">
        <v>473662</v>
      </c>
      <c r="E1515">
        <v>339680</v>
      </c>
      <c r="F1515">
        <v>16.100000000000001</v>
      </c>
      <c r="G1515">
        <v>8</v>
      </c>
      <c r="H1515">
        <v>16.8</v>
      </c>
      <c r="I1515">
        <v>16.8</v>
      </c>
    </row>
    <row r="1516" spans="1:9" ht="24" customHeight="1">
      <c r="A1516" s="6" t="s">
        <v>2884</v>
      </c>
      <c r="B1516">
        <v>79326</v>
      </c>
      <c r="C1516">
        <v>22042</v>
      </c>
      <c r="D1516">
        <v>512430</v>
      </c>
      <c r="E1516">
        <v>344546</v>
      </c>
      <c r="F1516">
        <v>12.3</v>
      </c>
      <c r="G1516">
        <v>8.3000000000000007</v>
      </c>
      <c r="H1516">
        <v>21.8</v>
      </c>
      <c r="I1516">
        <v>22.2</v>
      </c>
    </row>
    <row r="1517" spans="1:9" ht="24" customHeight="1">
      <c r="A1517" s="6" t="s">
        <v>2885</v>
      </c>
      <c r="B1517">
        <v>73135</v>
      </c>
      <c r="C1517">
        <v>15500</v>
      </c>
      <c r="D1517">
        <v>539327</v>
      </c>
      <c r="E1517">
        <v>379844</v>
      </c>
      <c r="F1517">
        <v>10.9</v>
      </c>
      <c r="G1517">
        <v>8.1999999999999993</v>
      </c>
      <c r="H1517">
        <v>26.9</v>
      </c>
      <c r="I1517">
        <v>26.9</v>
      </c>
    </row>
    <row r="1518" spans="1:9" ht="24" customHeight="1">
      <c r="A1518" s="6" t="s">
        <v>2886</v>
      </c>
      <c r="B1518">
        <v>64683</v>
      </c>
      <c r="C1518">
        <v>33911</v>
      </c>
      <c r="D1518">
        <v>364891</v>
      </c>
      <c r="E1518">
        <v>284745</v>
      </c>
      <c r="F1518">
        <v>18</v>
      </c>
      <c r="G1518">
        <v>10.9</v>
      </c>
      <c r="H1518">
        <v>3.5</v>
      </c>
      <c r="I1518">
        <v>3.6</v>
      </c>
    </row>
    <row r="1519" spans="1:9" ht="24" customHeight="1">
      <c r="A1519" s="6" t="s">
        <v>2887</v>
      </c>
      <c r="B1519">
        <v>100736</v>
      </c>
      <c r="C1519">
        <v>20364</v>
      </c>
      <c r="D1519">
        <v>561966</v>
      </c>
      <c r="E1519">
        <v>408641</v>
      </c>
      <c r="F1519">
        <v>9.4</v>
      </c>
      <c r="G1519">
        <v>8.1</v>
      </c>
      <c r="H1519">
        <v>34.6</v>
      </c>
      <c r="I1519">
        <v>33.799999999999997</v>
      </c>
    </row>
    <row r="1520" spans="1:9" ht="24" customHeight="1">
      <c r="A1520" s="6" t="s">
        <v>2888</v>
      </c>
      <c r="B1520">
        <v>148488</v>
      </c>
      <c r="C1520">
        <v>58561</v>
      </c>
      <c r="D1520">
        <v>392043</v>
      </c>
      <c r="E1520">
        <v>302034</v>
      </c>
      <c r="F1520">
        <v>17.600000000000001</v>
      </c>
      <c r="G1520">
        <v>10.3</v>
      </c>
      <c r="H1520">
        <v>6.8</v>
      </c>
      <c r="I1520">
        <v>6.6</v>
      </c>
    </row>
    <row r="1521" spans="1:9" ht="24" customHeight="1">
      <c r="A1521" s="6" t="s">
        <v>2889</v>
      </c>
      <c r="B1521">
        <v>790550</v>
      </c>
      <c r="C1521">
        <v>188787</v>
      </c>
      <c r="D1521">
        <v>506318</v>
      </c>
      <c r="E1521">
        <v>366772</v>
      </c>
      <c r="F1521">
        <v>16.8</v>
      </c>
      <c r="G1521">
        <v>10.6</v>
      </c>
      <c r="H1521">
        <v>16.3</v>
      </c>
      <c r="I1521">
        <v>12.9</v>
      </c>
    </row>
    <row r="1522" spans="1:9" ht="24" customHeight="1">
      <c r="A1522" s="6" t="s">
        <v>2890</v>
      </c>
      <c r="B1522">
        <v>35551</v>
      </c>
      <c r="C1522">
        <v>12919</v>
      </c>
      <c r="D1522">
        <v>275455</v>
      </c>
      <c r="E1522">
        <v>233050</v>
      </c>
      <c r="F1522">
        <v>9.8000000000000007</v>
      </c>
      <c r="G1522">
        <v>6.6</v>
      </c>
      <c r="H1522">
        <v>0</v>
      </c>
      <c r="I1522">
        <v>0</v>
      </c>
    </row>
    <row r="1523" spans="1:9" ht="24" customHeight="1">
      <c r="A1523" s="6" t="s">
        <v>2891</v>
      </c>
      <c r="B1523">
        <v>59618</v>
      </c>
      <c r="C1523">
        <v>21316</v>
      </c>
      <c r="D1523">
        <v>362775</v>
      </c>
      <c r="E1523">
        <v>300014</v>
      </c>
      <c r="F1523">
        <v>17.100000000000001</v>
      </c>
      <c r="G1523">
        <v>13.4</v>
      </c>
      <c r="H1523">
        <v>1.5</v>
      </c>
      <c r="I1523">
        <v>1.4</v>
      </c>
    </row>
    <row r="1524" spans="1:9" ht="24" customHeight="1">
      <c r="A1524" s="6" t="s">
        <v>2892</v>
      </c>
      <c r="B1524">
        <v>88710</v>
      </c>
      <c r="C1524">
        <v>22362</v>
      </c>
      <c r="D1524">
        <v>485990</v>
      </c>
      <c r="E1524">
        <v>373641</v>
      </c>
      <c r="F1524">
        <v>21.5</v>
      </c>
      <c r="G1524">
        <v>10.5</v>
      </c>
      <c r="H1524">
        <v>12.1</v>
      </c>
      <c r="I1524">
        <v>12</v>
      </c>
    </row>
    <row r="1525" spans="1:9" ht="24" customHeight="1">
      <c r="A1525" s="6" t="s">
        <v>2893</v>
      </c>
      <c r="B1525">
        <v>137341</v>
      </c>
      <c r="C1525">
        <v>26154</v>
      </c>
      <c r="D1525">
        <v>541197</v>
      </c>
      <c r="E1525">
        <v>374629</v>
      </c>
      <c r="F1525">
        <v>19.600000000000001</v>
      </c>
      <c r="G1525">
        <v>9.6999999999999993</v>
      </c>
      <c r="H1525">
        <v>16.899999999999999</v>
      </c>
      <c r="I1525">
        <v>16.600000000000001</v>
      </c>
    </row>
    <row r="1526" spans="1:9" ht="24" customHeight="1">
      <c r="A1526" s="6" t="s">
        <v>2894</v>
      </c>
      <c r="B1526">
        <v>65993</v>
      </c>
      <c r="C1526">
        <v>12607</v>
      </c>
      <c r="D1526">
        <v>590513</v>
      </c>
      <c r="E1526">
        <v>459287</v>
      </c>
      <c r="F1526">
        <v>16.5</v>
      </c>
      <c r="G1526">
        <v>8.8000000000000007</v>
      </c>
      <c r="H1526">
        <v>21.9</v>
      </c>
      <c r="I1526">
        <v>21.8</v>
      </c>
    </row>
    <row r="1527" spans="1:9" ht="24" customHeight="1">
      <c r="A1527" s="6" t="s">
        <v>2895</v>
      </c>
      <c r="B1527">
        <v>72353</v>
      </c>
      <c r="C1527">
        <v>14384</v>
      </c>
      <c r="D1527">
        <v>606584</v>
      </c>
      <c r="E1527">
        <v>440308</v>
      </c>
      <c r="F1527">
        <v>13.8</v>
      </c>
      <c r="G1527">
        <v>9</v>
      </c>
      <c r="H1527">
        <v>27</v>
      </c>
      <c r="I1527">
        <v>26.8</v>
      </c>
    </row>
    <row r="1528" spans="1:9" ht="24" customHeight="1">
      <c r="A1528" s="6" t="s">
        <v>2896</v>
      </c>
      <c r="B1528">
        <v>65330</v>
      </c>
      <c r="C1528">
        <v>22667</v>
      </c>
      <c r="D1528">
        <v>392873</v>
      </c>
      <c r="E1528">
        <v>328226</v>
      </c>
      <c r="F1528">
        <v>19.3</v>
      </c>
      <c r="G1528">
        <v>12.2</v>
      </c>
      <c r="H1528">
        <v>3.5</v>
      </c>
      <c r="I1528">
        <v>3.5</v>
      </c>
    </row>
    <row r="1529" spans="1:9" ht="24" customHeight="1">
      <c r="A1529" s="6" t="s">
        <v>2897</v>
      </c>
      <c r="B1529">
        <v>143705</v>
      </c>
      <c r="C1529">
        <v>23211</v>
      </c>
      <c r="D1529">
        <v>625553</v>
      </c>
      <c r="E1529">
        <v>455234</v>
      </c>
      <c r="F1529">
        <v>10.199999999999999</v>
      </c>
      <c r="G1529">
        <v>8.6999999999999993</v>
      </c>
      <c r="H1529">
        <v>34.4</v>
      </c>
      <c r="I1529">
        <v>34</v>
      </c>
    </row>
    <row r="1530" spans="1:9" ht="24" customHeight="1">
      <c r="A1530" s="6" t="s">
        <v>2898</v>
      </c>
      <c r="B1530">
        <v>123291</v>
      </c>
      <c r="C1530">
        <v>38522</v>
      </c>
      <c r="D1530">
        <v>434746</v>
      </c>
      <c r="E1530">
        <v>340540</v>
      </c>
      <c r="F1530">
        <v>20.399999999999999</v>
      </c>
      <c r="G1530">
        <v>11.3</v>
      </c>
      <c r="H1530">
        <v>6.8</v>
      </c>
      <c r="I1530">
        <v>6.5</v>
      </c>
    </row>
    <row r="1531" spans="1:9" ht="24" customHeight="1">
      <c r="A1531" s="6" t="s">
        <v>541</v>
      </c>
      <c r="B1531">
        <v>84907</v>
      </c>
      <c r="C1531">
        <v>13205</v>
      </c>
      <c r="D1531">
        <v>649050</v>
      </c>
      <c r="E1531">
        <v>529479</v>
      </c>
      <c r="F1531">
        <v>17.899999999999999</v>
      </c>
      <c r="G1531">
        <v>14.3</v>
      </c>
      <c r="H1531">
        <v>20.399999999999999</v>
      </c>
      <c r="I1531">
        <v>18.3</v>
      </c>
    </row>
    <row r="1532" spans="1:9" ht="24" customHeight="1">
      <c r="A1532" s="6" t="s">
        <v>542</v>
      </c>
      <c r="B1532">
        <v>2011</v>
      </c>
      <c r="C1532">
        <v>565</v>
      </c>
      <c r="D1532">
        <v>305215</v>
      </c>
      <c r="E1532">
        <v>273179</v>
      </c>
      <c r="F1532">
        <v>10.199999999999999</v>
      </c>
      <c r="G1532">
        <v>9.9</v>
      </c>
      <c r="H1532">
        <v>0</v>
      </c>
      <c r="I1532">
        <v>0</v>
      </c>
    </row>
    <row r="1533" spans="1:9" ht="24" customHeight="1">
      <c r="A1533" s="6" t="s">
        <v>2899</v>
      </c>
      <c r="B1533">
        <v>6297</v>
      </c>
      <c r="C1533">
        <v>1435</v>
      </c>
      <c r="D1533">
        <v>376399</v>
      </c>
      <c r="E1533">
        <v>341789</v>
      </c>
      <c r="F1533">
        <v>20.8</v>
      </c>
      <c r="G1533">
        <v>18.600000000000001</v>
      </c>
      <c r="H1533">
        <v>1.5</v>
      </c>
      <c r="I1533">
        <v>1.5</v>
      </c>
    </row>
    <row r="1534" spans="1:9" ht="24" customHeight="1">
      <c r="A1534" s="6" t="s">
        <v>2900</v>
      </c>
      <c r="B1534">
        <v>11527</v>
      </c>
      <c r="C1534">
        <v>1338</v>
      </c>
      <c r="D1534">
        <v>586319</v>
      </c>
      <c r="E1534">
        <v>516903</v>
      </c>
      <c r="F1534">
        <v>22.1</v>
      </c>
      <c r="G1534">
        <v>10.4</v>
      </c>
      <c r="H1534">
        <v>12.1</v>
      </c>
      <c r="I1534">
        <v>12.1</v>
      </c>
    </row>
    <row r="1535" spans="1:9" ht="24" customHeight="1">
      <c r="A1535" s="6" t="s">
        <v>2901</v>
      </c>
      <c r="B1535">
        <v>6327</v>
      </c>
      <c r="C1535">
        <v>1076</v>
      </c>
      <c r="D1535">
        <v>672012</v>
      </c>
      <c r="E1535">
        <v>552182</v>
      </c>
      <c r="F1535">
        <v>21.8</v>
      </c>
      <c r="G1535">
        <v>10.9</v>
      </c>
      <c r="H1535">
        <v>16.600000000000001</v>
      </c>
      <c r="I1535">
        <v>16.3</v>
      </c>
    </row>
    <row r="1536" spans="1:9" ht="24" customHeight="1">
      <c r="A1536" s="6" t="s">
        <v>2902</v>
      </c>
      <c r="B1536">
        <v>5278</v>
      </c>
      <c r="C1536">
        <v>957</v>
      </c>
      <c r="D1536">
        <v>761709</v>
      </c>
      <c r="E1536">
        <v>616530</v>
      </c>
      <c r="F1536">
        <v>18.899999999999999</v>
      </c>
      <c r="G1536">
        <v>14.4</v>
      </c>
      <c r="H1536">
        <v>22.4</v>
      </c>
      <c r="I1536">
        <v>22</v>
      </c>
    </row>
    <row r="1537" spans="1:9" ht="24" customHeight="1">
      <c r="A1537" s="6" t="s">
        <v>2903</v>
      </c>
      <c r="B1537">
        <v>12551</v>
      </c>
      <c r="C1537">
        <v>1766</v>
      </c>
      <c r="D1537">
        <v>768115</v>
      </c>
      <c r="E1537">
        <v>623890</v>
      </c>
      <c r="F1537">
        <v>16.3</v>
      </c>
      <c r="G1537">
        <v>14.2</v>
      </c>
      <c r="H1537">
        <v>27.2</v>
      </c>
      <c r="I1537">
        <v>27.4</v>
      </c>
    </row>
    <row r="1538" spans="1:9" ht="24" customHeight="1">
      <c r="A1538" s="6" t="s">
        <v>2904</v>
      </c>
      <c r="B1538">
        <v>4625</v>
      </c>
      <c r="C1538">
        <v>978</v>
      </c>
      <c r="D1538">
        <v>419725</v>
      </c>
      <c r="E1538">
        <v>384952</v>
      </c>
      <c r="F1538">
        <v>24</v>
      </c>
      <c r="G1538">
        <v>18.399999999999999</v>
      </c>
      <c r="H1538">
        <v>3.4</v>
      </c>
      <c r="I1538">
        <v>3.4</v>
      </c>
    </row>
    <row r="1539" spans="1:9" ht="24" customHeight="1">
      <c r="A1539" s="6" t="s">
        <v>543</v>
      </c>
      <c r="B1539">
        <v>27076</v>
      </c>
      <c r="C1539">
        <v>3615</v>
      </c>
      <c r="D1539">
        <v>778056</v>
      </c>
      <c r="E1539">
        <v>638343</v>
      </c>
      <c r="F1539">
        <v>12.6</v>
      </c>
      <c r="G1539">
        <v>12.3</v>
      </c>
      <c r="H1539">
        <v>34.700000000000003</v>
      </c>
      <c r="I1539">
        <v>34.200000000000003</v>
      </c>
    </row>
    <row r="1540" spans="1:9" ht="24" customHeight="1">
      <c r="A1540" s="6" t="s">
        <v>2905</v>
      </c>
      <c r="B1540">
        <v>9219</v>
      </c>
      <c r="C1540">
        <v>1607</v>
      </c>
      <c r="D1540">
        <v>482378</v>
      </c>
      <c r="E1540">
        <v>460876</v>
      </c>
      <c r="F1540">
        <v>23.3</v>
      </c>
      <c r="G1540">
        <v>18.600000000000001</v>
      </c>
      <c r="H1540">
        <v>7</v>
      </c>
      <c r="I1540">
        <v>6.6</v>
      </c>
    </row>
    <row r="1541" spans="1:9" ht="24" customHeight="1">
      <c r="A1541" s="6" t="s">
        <v>2906</v>
      </c>
      <c r="B1541">
        <v>10965</v>
      </c>
      <c r="C1541">
        <v>1733</v>
      </c>
      <c r="D1541">
        <v>509765</v>
      </c>
      <c r="E1541">
        <v>383037</v>
      </c>
      <c r="F1541">
        <v>8</v>
      </c>
      <c r="G1541">
        <v>5.0999999999999996</v>
      </c>
      <c r="H1541">
        <v>17.2</v>
      </c>
      <c r="I1541">
        <v>12.8</v>
      </c>
    </row>
    <row r="1542" spans="1:9" ht="24" customHeight="1">
      <c r="A1542" s="6" t="s">
        <v>2907</v>
      </c>
      <c r="B1542">
        <v>541</v>
      </c>
      <c r="C1542">
        <v>104</v>
      </c>
      <c r="D1542">
        <v>297037</v>
      </c>
      <c r="E1542">
        <v>211345</v>
      </c>
      <c r="F1542">
        <v>4.4000000000000004</v>
      </c>
      <c r="G1542">
        <v>2.5</v>
      </c>
      <c r="H1542">
        <v>0</v>
      </c>
      <c r="I1542">
        <v>0</v>
      </c>
    </row>
    <row r="1543" spans="1:9" ht="24" customHeight="1">
      <c r="A1543" s="6" t="s">
        <v>2908</v>
      </c>
      <c r="B1543">
        <v>1099</v>
      </c>
      <c r="C1543">
        <v>265</v>
      </c>
      <c r="D1543">
        <v>395914</v>
      </c>
      <c r="E1543">
        <v>335956</v>
      </c>
      <c r="F1543">
        <v>6.6</v>
      </c>
      <c r="G1543">
        <v>5.6</v>
      </c>
      <c r="H1543">
        <v>1.5</v>
      </c>
      <c r="I1543">
        <v>1.6</v>
      </c>
    </row>
    <row r="1544" spans="1:9" ht="24" customHeight="1">
      <c r="A1544" s="6" t="s">
        <v>2909</v>
      </c>
      <c r="B1544">
        <v>977</v>
      </c>
      <c r="C1544">
        <v>229</v>
      </c>
      <c r="D1544">
        <v>446739</v>
      </c>
      <c r="E1544">
        <v>363426</v>
      </c>
      <c r="F1544">
        <v>11.1</v>
      </c>
      <c r="G1544">
        <v>3.8</v>
      </c>
      <c r="H1544">
        <v>11.8</v>
      </c>
      <c r="I1544">
        <v>11.8</v>
      </c>
    </row>
    <row r="1545" spans="1:9" ht="24" customHeight="1">
      <c r="A1545" s="6" t="s">
        <v>2910</v>
      </c>
      <c r="B1545">
        <v>801</v>
      </c>
      <c r="C1545">
        <v>149</v>
      </c>
      <c r="D1545">
        <v>478851</v>
      </c>
      <c r="E1545">
        <v>384301</v>
      </c>
      <c r="F1545">
        <v>8.6999999999999993</v>
      </c>
      <c r="G1545">
        <v>6.6</v>
      </c>
      <c r="H1545">
        <v>16.8</v>
      </c>
      <c r="I1545">
        <v>17.100000000000001</v>
      </c>
    </row>
    <row r="1546" spans="1:9" ht="24" customHeight="1">
      <c r="A1546" s="6" t="s">
        <v>2911</v>
      </c>
      <c r="B1546">
        <v>959</v>
      </c>
      <c r="C1546">
        <v>126</v>
      </c>
      <c r="D1546">
        <v>528726</v>
      </c>
      <c r="E1546">
        <v>463998</v>
      </c>
      <c r="F1546">
        <v>7.2</v>
      </c>
      <c r="G1546">
        <v>6.7</v>
      </c>
      <c r="H1546">
        <v>22</v>
      </c>
      <c r="I1546">
        <v>22.1</v>
      </c>
    </row>
    <row r="1547" spans="1:9" ht="24" customHeight="1">
      <c r="A1547" s="6" t="s">
        <v>2912</v>
      </c>
      <c r="B1547">
        <v>1362</v>
      </c>
      <c r="C1547">
        <v>134</v>
      </c>
      <c r="D1547">
        <v>600379</v>
      </c>
      <c r="E1547">
        <v>474645</v>
      </c>
      <c r="F1547">
        <v>7.5</v>
      </c>
      <c r="G1547">
        <v>2.8</v>
      </c>
      <c r="H1547">
        <v>27.2</v>
      </c>
      <c r="I1547">
        <v>27.2</v>
      </c>
    </row>
    <row r="1548" spans="1:9" ht="24" customHeight="1">
      <c r="A1548" s="6" t="s">
        <v>2913</v>
      </c>
      <c r="B1548">
        <v>1015</v>
      </c>
      <c r="C1548">
        <v>244</v>
      </c>
      <c r="D1548">
        <v>406957</v>
      </c>
      <c r="E1548">
        <v>324893</v>
      </c>
      <c r="F1548">
        <v>8.3000000000000007</v>
      </c>
      <c r="G1548">
        <v>4.7</v>
      </c>
      <c r="H1548">
        <v>3.4</v>
      </c>
      <c r="I1548">
        <v>3.5</v>
      </c>
    </row>
    <row r="1549" spans="1:9" ht="24" customHeight="1">
      <c r="A1549" s="6" t="s">
        <v>2914</v>
      </c>
      <c r="B1549">
        <v>2569</v>
      </c>
      <c r="C1549">
        <v>215</v>
      </c>
      <c r="D1549">
        <v>676144</v>
      </c>
      <c r="E1549">
        <v>517671</v>
      </c>
      <c r="F1549">
        <v>7.7</v>
      </c>
      <c r="G1549">
        <v>5.6</v>
      </c>
      <c r="H1549">
        <v>34.6</v>
      </c>
      <c r="I1549">
        <v>34.4</v>
      </c>
    </row>
    <row r="1550" spans="1:9" ht="24" customHeight="1">
      <c r="A1550" s="6" t="s">
        <v>2915</v>
      </c>
      <c r="B1550">
        <v>1678</v>
      </c>
      <c r="C1550">
        <v>349</v>
      </c>
      <c r="D1550">
        <v>424354</v>
      </c>
      <c r="E1550">
        <v>342117</v>
      </c>
      <c r="F1550">
        <v>9.1999999999999993</v>
      </c>
      <c r="G1550">
        <v>5.4</v>
      </c>
      <c r="H1550">
        <v>6.7</v>
      </c>
      <c r="I1550">
        <v>7</v>
      </c>
    </row>
    <row r="1551" spans="1:9" ht="24" customHeight="1">
      <c r="A1551" s="6" t="s">
        <v>2916</v>
      </c>
      <c r="B1551">
        <v>6293</v>
      </c>
      <c r="C1551">
        <v>903</v>
      </c>
      <c r="D1551">
        <v>532360</v>
      </c>
      <c r="E1551">
        <v>451716</v>
      </c>
      <c r="F1551">
        <v>9.1999999999999993</v>
      </c>
      <c r="G1551">
        <v>7.1</v>
      </c>
      <c r="H1551">
        <v>14.6</v>
      </c>
      <c r="I1551">
        <v>10.7</v>
      </c>
    </row>
    <row r="1552" spans="1:9" ht="24" customHeight="1">
      <c r="A1552" s="6" t="s">
        <v>2917</v>
      </c>
      <c r="B1552">
        <v>396</v>
      </c>
      <c r="C1552">
        <v>103</v>
      </c>
      <c r="D1552">
        <v>350674</v>
      </c>
      <c r="E1552">
        <v>279785</v>
      </c>
      <c r="F1552">
        <v>5.9</v>
      </c>
      <c r="G1552">
        <v>7.8</v>
      </c>
      <c r="H1552">
        <v>0</v>
      </c>
      <c r="I1552">
        <v>0</v>
      </c>
    </row>
    <row r="1553" spans="1:9" ht="24" customHeight="1">
      <c r="A1553" s="6" t="s">
        <v>2918</v>
      </c>
      <c r="B1553">
        <v>848</v>
      </c>
      <c r="C1553">
        <v>161</v>
      </c>
      <c r="D1553">
        <v>432638</v>
      </c>
      <c r="E1553">
        <v>493529</v>
      </c>
      <c r="F1553">
        <v>10.5</v>
      </c>
      <c r="G1553">
        <v>11.4</v>
      </c>
      <c r="H1553">
        <v>1.5</v>
      </c>
      <c r="I1553">
        <v>1.5</v>
      </c>
    </row>
    <row r="1554" spans="1:9" ht="24" customHeight="1">
      <c r="A1554" s="6" t="s">
        <v>2919</v>
      </c>
      <c r="B1554">
        <v>700</v>
      </c>
      <c r="C1554">
        <v>119</v>
      </c>
      <c r="D1554">
        <v>486909</v>
      </c>
      <c r="E1554">
        <v>386316</v>
      </c>
      <c r="F1554">
        <v>13.7</v>
      </c>
      <c r="G1554">
        <v>8.3000000000000007</v>
      </c>
      <c r="H1554">
        <v>11.9</v>
      </c>
      <c r="I1554">
        <v>11.7</v>
      </c>
    </row>
    <row r="1555" spans="1:9" ht="24" customHeight="1">
      <c r="A1555" s="6" t="s">
        <v>2920</v>
      </c>
      <c r="B1555">
        <v>490</v>
      </c>
      <c r="C1555">
        <v>76</v>
      </c>
      <c r="D1555">
        <v>549276</v>
      </c>
      <c r="E1555">
        <v>383129</v>
      </c>
      <c r="F1555">
        <v>7.8</v>
      </c>
      <c r="G1555">
        <v>2.4</v>
      </c>
      <c r="H1555">
        <v>16.5</v>
      </c>
      <c r="I1555">
        <v>16.5</v>
      </c>
    </row>
    <row r="1556" spans="1:9" ht="24" customHeight="1">
      <c r="A1556" s="6" t="s">
        <v>2921</v>
      </c>
      <c r="B1556">
        <v>445</v>
      </c>
      <c r="C1556">
        <v>33</v>
      </c>
      <c r="D1556">
        <v>556199</v>
      </c>
      <c r="E1556">
        <v>483309</v>
      </c>
      <c r="F1556">
        <v>5.3</v>
      </c>
      <c r="G1556">
        <v>2.2000000000000002</v>
      </c>
      <c r="H1556">
        <v>22</v>
      </c>
      <c r="I1556">
        <v>21.8</v>
      </c>
    </row>
    <row r="1557" spans="1:9" ht="24" customHeight="1">
      <c r="A1557" s="6" t="s">
        <v>2922</v>
      </c>
      <c r="B1557">
        <v>697</v>
      </c>
      <c r="C1557">
        <v>79</v>
      </c>
      <c r="D1557">
        <v>679858</v>
      </c>
      <c r="E1557">
        <v>576800</v>
      </c>
      <c r="F1557">
        <v>8.1</v>
      </c>
      <c r="G1557">
        <v>6.4</v>
      </c>
      <c r="H1557">
        <v>27.2</v>
      </c>
      <c r="I1557">
        <v>26.9</v>
      </c>
    </row>
    <row r="1558" spans="1:9" ht="24" customHeight="1">
      <c r="A1558" s="6" t="s">
        <v>2923</v>
      </c>
      <c r="B1558">
        <v>622</v>
      </c>
      <c r="C1558">
        <v>85</v>
      </c>
      <c r="D1558">
        <v>410812</v>
      </c>
      <c r="E1558">
        <v>556985</v>
      </c>
      <c r="F1558">
        <v>10.1</v>
      </c>
      <c r="G1558">
        <v>3.7</v>
      </c>
      <c r="H1558">
        <v>3.5</v>
      </c>
      <c r="I1558">
        <v>3.5</v>
      </c>
    </row>
    <row r="1559" spans="1:9" ht="24" customHeight="1">
      <c r="A1559" s="6" t="s">
        <v>2924</v>
      </c>
      <c r="B1559">
        <v>1091</v>
      </c>
      <c r="C1559">
        <v>73</v>
      </c>
      <c r="D1559">
        <v>752536</v>
      </c>
      <c r="E1559">
        <v>580281</v>
      </c>
      <c r="F1559">
        <v>6.8</v>
      </c>
      <c r="G1559">
        <v>7.8</v>
      </c>
      <c r="H1559">
        <v>33.6</v>
      </c>
      <c r="I1559">
        <v>34.299999999999997</v>
      </c>
    </row>
    <row r="1560" spans="1:9" ht="24" customHeight="1">
      <c r="A1560" s="6" t="s">
        <v>2925</v>
      </c>
      <c r="B1560">
        <v>1014</v>
      </c>
      <c r="C1560">
        <v>189</v>
      </c>
      <c r="D1560">
        <v>436714</v>
      </c>
      <c r="E1560">
        <v>415637</v>
      </c>
      <c r="F1560">
        <v>11.8</v>
      </c>
      <c r="G1560">
        <v>6</v>
      </c>
      <c r="H1560">
        <v>6.8</v>
      </c>
      <c r="I1560">
        <v>7</v>
      </c>
    </row>
    <row r="1561" spans="1:9" ht="24" customHeight="1">
      <c r="A1561" s="6" t="s">
        <v>2926</v>
      </c>
      <c r="B1561">
        <v>8805</v>
      </c>
      <c r="C1561">
        <v>1409</v>
      </c>
      <c r="D1561">
        <v>550862</v>
      </c>
      <c r="E1561">
        <v>437572</v>
      </c>
      <c r="F1561">
        <v>10.4</v>
      </c>
      <c r="G1561">
        <v>9.3000000000000007</v>
      </c>
      <c r="H1561">
        <v>16.100000000000001</v>
      </c>
      <c r="I1561">
        <v>15.2</v>
      </c>
    </row>
    <row r="1562" spans="1:9" ht="24" customHeight="1">
      <c r="A1562" s="6" t="s">
        <v>2927</v>
      </c>
      <c r="B1562">
        <v>469</v>
      </c>
      <c r="C1562">
        <v>81</v>
      </c>
      <c r="D1562">
        <v>248295</v>
      </c>
      <c r="E1562">
        <v>205739</v>
      </c>
      <c r="F1562">
        <v>4.2</v>
      </c>
      <c r="G1562">
        <v>0.7</v>
      </c>
      <c r="H1562">
        <v>0</v>
      </c>
      <c r="I1562">
        <v>0</v>
      </c>
    </row>
    <row r="1563" spans="1:9" ht="24" customHeight="1">
      <c r="A1563" s="6" t="s">
        <v>2928</v>
      </c>
      <c r="B1563">
        <v>709</v>
      </c>
      <c r="C1563">
        <v>182</v>
      </c>
      <c r="D1563">
        <v>344357</v>
      </c>
      <c r="E1563">
        <v>320281</v>
      </c>
      <c r="F1563">
        <v>12.3</v>
      </c>
      <c r="G1563">
        <v>10.6</v>
      </c>
      <c r="H1563">
        <v>1.5</v>
      </c>
      <c r="I1563">
        <v>1.7</v>
      </c>
    </row>
    <row r="1564" spans="1:9" ht="24" customHeight="1">
      <c r="A1564" s="6" t="s">
        <v>2929</v>
      </c>
      <c r="B1564">
        <v>896</v>
      </c>
      <c r="C1564">
        <v>181</v>
      </c>
      <c r="D1564">
        <v>529926</v>
      </c>
      <c r="E1564">
        <v>435553</v>
      </c>
      <c r="F1564">
        <v>14.8</v>
      </c>
      <c r="G1564">
        <v>10</v>
      </c>
      <c r="H1564">
        <v>11.7</v>
      </c>
      <c r="I1564">
        <v>11.7</v>
      </c>
    </row>
    <row r="1565" spans="1:9" ht="24" customHeight="1">
      <c r="A1565" s="6" t="s">
        <v>2930</v>
      </c>
      <c r="B1565">
        <v>808</v>
      </c>
      <c r="C1565">
        <v>104</v>
      </c>
      <c r="D1565">
        <v>555458</v>
      </c>
      <c r="E1565">
        <v>461071</v>
      </c>
      <c r="F1565">
        <v>10.8</v>
      </c>
      <c r="G1565">
        <v>7.2</v>
      </c>
      <c r="H1565">
        <v>16.899999999999999</v>
      </c>
      <c r="I1565">
        <v>17.7</v>
      </c>
    </row>
    <row r="1566" spans="1:9" ht="24" customHeight="1">
      <c r="A1566" s="6" t="s">
        <v>2931</v>
      </c>
      <c r="B1566">
        <v>586</v>
      </c>
      <c r="C1566">
        <v>166</v>
      </c>
      <c r="D1566">
        <v>613339</v>
      </c>
      <c r="E1566">
        <v>487070</v>
      </c>
      <c r="F1566">
        <v>8.3000000000000007</v>
      </c>
      <c r="G1566">
        <v>10.7</v>
      </c>
      <c r="H1566">
        <v>22.2</v>
      </c>
      <c r="I1566">
        <v>22.3</v>
      </c>
    </row>
    <row r="1567" spans="1:9" ht="24" customHeight="1">
      <c r="A1567" s="6" t="s">
        <v>2932</v>
      </c>
      <c r="B1567">
        <v>1167</v>
      </c>
      <c r="C1567">
        <v>118</v>
      </c>
      <c r="D1567">
        <v>698391</v>
      </c>
      <c r="E1567">
        <v>574060</v>
      </c>
      <c r="F1567">
        <v>9.5</v>
      </c>
      <c r="G1567">
        <v>10.1</v>
      </c>
      <c r="H1567">
        <v>27.3</v>
      </c>
      <c r="I1567">
        <v>27.2</v>
      </c>
    </row>
    <row r="1568" spans="1:9" ht="24" customHeight="1">
      <c r="A1568" s="6" t="s">
        <v>2933</v>
      </c>
      <c r="B1568">
        <v>655</v>
      </c>
      <c r="C1568">
        <v>163</v>
      </c>
      <c r="D1568">
        <v>396441</v>
      </c>
      <c r="E1568">
        <v>354693</v>
      </c>
      <c r="F1568">
        <v>13.5</v>
      </c>
      <c r="G1568">
        <v>10.1</v>
      </c>
      <c r="H1568">
        <v>3.4</v>
      </c>
      <c r="I1568">
        <v>3.4</v>
      </c>
    </row>
    <row r="1569" spans="1:9" ht="24" customHeight="1">
      <c r="A1569" s="6" t="s">
        <v>2934</v>
      </c>
      <c r="B1569">
        <v>1681</v>
      </c>
      <c r="C1569">
        <v>262</v>
      </c>
      <c r="D1569">
        <v>733233</v>
      </c>
      <c r="E1569">
        <v>566626</v>
      </c>
      <c r="F1569">
        <v>7.3</v>
      </c>
      <c r="G1569">
        <v>9.3000000000000007</v>
      </c>
      <c r="H1569">
        <v>34</v>
      </c>
      <c r="I1569">
        <v>34.4</v>
      </c>
    </row>
    <row r="1570" spans="1:9" ht="24" customHeight="1">
      <c r="A1570" s="6" t="s">
        <v>2935</v>
      </c>
      <c r="B1570">
        <v>1837</v>
      </c>
      <c r="C1570">
        <v>204</v>
      </c>
      <c r="D1570">
        <v>490647</v>
      </c>
      <c r="E1570">
        <v>384609</v>
      </c>
      <c r="F1570">
        <v>11.7</v>
      </c>
      <c r="G1570">
        <v>8.1</v>
      </c>
      <c r="H1570">
        <v>6.5</v>
      </c>
      <c r="I1570">
        <v>6.8</v>
      </c>
    </row>
    <row r="1571" spans="1:9" ht="24" customHeight="1">
      <c r="A1571" s="6" t="s">
        <v>544</v>
      </c>
      <c r="B1571">
        <v>335203</v>
      </c>
      <c r="C1571">
        <v>132647</v>
      </c>
      <c r="D1571">
        <v>641876</v>
      </c>
      <c r="E1571">
        <v>452386</v>
      </c>
      <c r="F1571">
        <v>13.5</v>
      </c>
      <c r="G1571">
        <v>10</v>
      </c>
      <c r="H1571">
        <v>15.1</v>
      </c>
      <c r="I1571">
        <v>8.9</v>
      </c>
    </row>
    <row r="1572" spans="1:9" ht="24" customHeight="1">
      <c r="A1572" s="6" t="s">
        <v>545</v>
      </c>
      <c r="B1572">
        <v>20733</v>
      </c>
      <c r="C1572">
        <v>21742</v>
      </c>
      <c r="D1572">
        <v>422051</v>
      </c>
      <c r="E1572">
        <v>271883</v>
      </c>
      <c r="F1572">
        <v>4.9000000000000004</v>
      </c>
      <c r="G1572">
        <v>4.7</v>
      </c>
      <c r="H1572">
        <v>0</v>
      </c>
      <c r="I1572">
        <v>0</v>
      </c>
    </row>
    <row r="1573" spans="1:9" ht="24" customHeight="1">
      <c r="A1573" s="6" t="s">
        <v>2936</v>
      </c>
      <c r="B1573">
        <v>39178</v>
      </c>
      <c r="C1573">
        <v>23946</v>
      </c>
      <c r="D1573">
        <v>449076</v>
      </c>
      <c r="E1573">
        <v>388754</v>
      </c>
      <c r="F1573">
        <v>14.2</v>
      </c>
      <c r="G1573">
        <v>10.1</v>
      </c>
      <c r="H1573">
        <v>1.5</v>
      </c>
      <c r="I1573">
        <v>1.3</v>
      </c>
    </row>
    <row r="1574" spans="1:9" ht="24" customHeight="1">
      <c r="A1574" s="6" t="s">
        <v>2937</v>
      </c>
      <c r="B1574">
        <v>30342</v>
      </c>
      <c r="C1574">
        <v>8494</v>
      </c>
      <c r="D1574">
        <v>635023</v>
      </c>
      <c r="E1574">
        <v>543654</v>
      </c>
      <c r="F1574">
        <v>19.3</v>
      </c>
      <c r="G1574">
        <v>11.9</v>
      </c>
      <c r="H1574">
        <v>12.1</v>
      </c>
      <c r="I1574">
        <v>11.9</v>
      </c>
    </row>
    <row r="1575" spans="1:9" ht="24" customHeight="1">
      <c r="A1575" s="6" t="s">
        <v>2938</v>
      </c>
      <c r="B1575">
        <v>45445</v>
      </c>
      <c r="C1575">
        <v>10814</v>
      </c>
      <c r="D1575">
        <v>717780</v>
      </c>
      <c r="E1575">
        <v>539708</v>
      </c>
      <c r="F1575">
        <v>14.9</v>
      </c>
      <c r="G1575">
        <v>10</v>
      </c>
      <c r="H1575">
        <v>16.8</v>
      </c>
      <c r="I1575">
        <v>16.5</v>
      </c>
    </row>
    <row r="1576" spans="1:9" ht="24" customHeight="1">
      <c r="A1576" s="6" t="s">
        <v>2939</v>
      </c>
      <c r="B1576">
        <v>37469</v>
      </c>
      <c r="C1576">
        <v>7843</v>
      </c>
      <c r="D1576">
        <v>782054</v>
      </c>
      <c r="E1576">
        <v>645345</v>
      </c>
      <c r="F1576">
        <v>11.4</v>
      </c>
      <c r="G1576">
        <v>10</v>
      </c>
      <c r="H1576">
        <v>21.9</v>
      </c>
      <c r="I1576">
        <v>22.1</v>
      </c>
    </row>
    <row r="1577" spans="1:9" ht="24" customHeight="1">
      <c r="A1577" s="6" t="s">
        <v>2940</v>
      </c>
      <c r="B1577">
        <v>25136</v>
      </c>
      <c r="C1577">
        <v>6103</v>
      </c>
      <c r="D1577">
        <v>813052</v>
      </c>
      <c r="E1577">
        <v>630419</v>
      </c>
      <c r="F1577">
        <v>13.2</v>
      </c>
      <c r="G1577">
        <v>9.5</v>
      </c>
      <c r="H1577">
        <v>26.7</v>
      </c>
      <c r="I1577">
        <v>26.8</v>
      </c>
    </row>
    <row r="1578" spans="1:9" ht="24" customHeight="1">
      <c r="A1578" s="6" t="s">
        <v>2941</v>
      </c>
      <c r="B1578">
        <v>33233</v>
      </c>
      <c r="C1578">
        <v>17793</v>
      </c>
      <c r="D1578">
        <v>501378</v>
      </c>
      <c r="E1578">
        <v>408757</v>
      </c>
      <c r="F1578">
        <v>13.7</v>
      </c>
      <c r="G1578">
        <v>11</v>
      </c>
      <c r="H1578">
        <v>3.5</v>
      </c>
      <c r="I1578">
        <v>3.5</v>
      </c>
    </row>
    <row r="1579" spans="1:9" ht="24" customHeight="1">
      <c r="A1579" s="6" t="s">
        <v>546</v>
      </c>
      <c r="B1579">
        <v>57423</v>
      </c>
      <c r="C1579">
        <v>9655</v>
      </c>
      <c r="D1579">
        <v>796958</v>
      </c>
      <c r="E1579">
        <v>659236</v>
      </c>
      <c r="F1579">
        <v>10</v>
      </c>
      <c r="G1579">
        <v>8.8000000000000007</v>
      </c>
      <c r="H1579">
        <v>33.700000000000003</v>
      </c>
      <c r="I1579">
        <v>33.799999999999997</v>
      </c>
    </row>
    <row r="1580" spans="1:9" ht="24" customHeight="1">
      <c r="A1580" s="6" t="s">
        <v>2942</v>
      </c>
      <c r="B1580">
        <v>46489</v>
      </c>
      <c r="C1580">
        <v>29078</v>
      </c>
      <c r="D1580">
        <v>535513</v>
      </c>
      <c r="E1580">
        <v>450450</v>
      </c>
      <c r="F1580">
        <v>17.399999999999999</v>
      </c>
      <c r="G1580">
        <v>12.6</v>
      </c>
      <c r="H1580">
        <v>7</v>
      </c>
      <c r="I1580">
        <v>6.6</v>
      </c>
    </row>
    <row r="1581" spans="1:9" ht="24" customHeight="1">
      <c r="A1581" s="6" t="s">
        <v>2943</v>
      </c>
      <c r="B1581">
        <v>234154</v>
      </c>
      <c r="C1581">
        <v>85641</v>
      </c>
      <c r="D1581">
        <v>454242</v>
      </c>
      <c r="E1581">
        <v>362238</v>
      </c>
      <c r="F1581">
        <v>6.6</v>
      </c>
      <c r="G1581">
        <v>5.8</v>
      </c>
      <c r="H1581">
        <v>11.1</v>
      </c>
      <c r="I1581">
        <v>8.6</v>
      </c>
    </row>
    <row r="1582" spans="1:9" ht="24" customHeight="1">
      <c r="A1582" s="6" t="s">
        <v>2944</v>
      </c>
      <c r="B1582">
        <v>14944</v>
      </c>
      <c r="C1582">
        <v>8837</v>
      </c>
      <c r="D1582">
        <v>333852</v>
      </c>
      <c r="E1582">
        <v>288493</v>
      </c>
      <c r="F1582">
        <v>3.2</v>
      </c>
      <c r="G1582">
        <v>5.8</v>
      </c>
      <c r="H1582">
        <v>0</v>
      </c>
      <c r="I1582">
        <v>0</v>
      </c>
    </row>
    <row r="1583" spans="1:9" ht="24" customHeight="1">
      <c r="A1583" s="6" t="s">
        <v>2945</v>
      </c>
      <c r="B1583">
        <v>27256</v>
      </c>
      <c r="C1583">
        <v>15322</v>
      </c>
      <c r="D1583">
        <v>383463</v>
      </c>
      <c r="E1583">
        <v>318369</v>
      </c>
      <c r="F1583">
        <v>6.9</v>
      </c>
      <c r="G1583">
        <v>4.4000000000000004</v>
      </c>
      <c r="H1583">
        <v>1.5</v>
      </c>
      <c r="I1583">
        <v>1.4</v>
      </c>
    </row>
    <row r="1584" spans="1:9" ht="24" customHeight="1">
      <c r="A1584" s="6" t="s">
        <v>2946</v>
      </c>
      <c r="B1584">
        <v>31631</v>
      </c>
      <c r="C1584">
        <v>11325</v>
      </c>
      <c r="D1584">
        <v>488918</v>
      </c>
      <c r="E1584">
        <v>389575</v>
      </c>
      <c r="F1584">
        <v>5.6</v>
      </c>
      <c r="G1584">
        <v>3.5</v>
      </c>
      <c r="H1584">
        <v>11.8</v>
      </c>
      <c r="I1584">
        <v>11.9</v>
      </c>
    </row>
    <row r="1585" spans="1:9" ht="24" customHeight="1">
      <c r="A1585" s="6" t="s">
        <v>2947</v>
      </c>
      <c r="B1585">
        <v>27374</v>
      </c>
      <c r="C1585">
        <v>5532</v>
      </c>
      <c r="D1585">
        <v>550019</v>
      </c>
      <c r="E1585">
        <v>450467</v>
      </c>
      <c r="F1585">
        <v>9.1</v>
      </c>
      <c r="G1585">
        <v>5</v>
      </c>
      <c r="H1585">
        <v>16.8</v>
      </c>
      <c r="I1585">
        <v>16.5</v>
      </c>
    </row>
    <row r="1586" spans="1:9" ht="24" customHeight="1">
      <c r="A1586" s="6" t="s">
        <v>2948</v>
      </c>
      <c r="B1586">
        <v>16740</v>
      </c>
      <c r="C1586">
        <v>2747</v>
      </c>
      <c r="D1586">
        <v>509765</v>
      </c>
      <c r="E1586">
        <v>439883</v>
      </c>
      <c r="F1586">
        <v>5.9</v>
      </c>
      <c r="G1586">
        <v>6.3</v>
      </c>
      <c r="H1586">
        <v>21.5</v>
      </c>
      <c r="I1586">
        <v>22.2</v>
      </c>
    </row>
    <row r="1587" spans="1:9" ht="24" customHeight="1">
      <c r="A1587" s="6" t="s">
        <v>2949</v>
      </c>
      <c r="B1587">
        <v>14854</v>
      </c>
      <c r="C1587">
        <v>3350</v>
      </c>
      <c r="D1587">
        <v>502648</v>
      </c>
      <c r="E1587">
        <v>517741</v>
      </c>
      <c r="F1587">
        <v>6.8</v>
      </c>
      <c r="G1587">
        <v>5</v>
      </c>
      <c r="H1587">
        <v>26.4</v>
      </c>
      <c r="I1587">
        <v>26.4</v>
      </c>
    </row>
    <row r="1588" spans="1:9" ht="24" customHeight="1">
      <c r="A1588" s="6" t="s">
        <v>2950</v>
      </c>
      <c r="B1588">
        <v>32167</v>
      </c>
      <c r="C1588">
        <v>18142</v>
      </c>
      <c r="D1588">
        <v>415700</v>
      </c>
      <c r="E1588">
        <v>331775</v>
      </c>
      <c r="F1588">
        <v>7.1</v>
      </c>
      <c r="G1588">
        <v>6.6</v>
      </c>
      <c r="H1588">
        <v>3.5</v>
      </c>
      <c r="I1588">
        <v>3.5</v>
      </c>
    </row>
    <row r="1589" spans="1:9" ht="24" customHeight="1">
      <c r="A1589" s="6" t="s">
        <v>2951</v>
      </c>
      <c r="B1589">
        <v>13686</v>
      </c>
      <c r="C1589">
        <v>5083</v>
      </c>
      <c r="D1589">
        <v>456501</v>
      </c>
      <c r="E1589">
        <v>432556</v>
      </c>
      <c r="F1589">
        <v>2.1</v>
      </c>
      <c r="G1589">
        <v>1.7</v>
      </c>
      <c r="H1589">
        <v>36</v>
      </c>
      <c r="I1589">
        <v>36.5</v>
      </c>
    </row>
    <row r="1590" spans="1:9" ht="24" customHeight="1">
      <c r="A1590" s="6" t="s">
        <v>2952</v>
      </c>
      <c r="B1590">
        <v>56028</v>
      </c>
      <c r="C1590">
        <v>18229</v>
      </c>
      <c r="D1590">
        <v>447098</v>
      </c>
      <c r="E1590">
        <v>342425</v>
      </c>
      <c r="F1590">
        <v>7.8</v>
      </c>
      <c r="G1590">
        <v>8.3000000000000007</v>
      </c>
      <c r="H1590">
        <v>6.9</v>
      </c>
      <c r="I1590">
        <v>6.5</v>
      </c>
    </row>
    <row r="1591" spans="1:9" ht="24" customHeight="1">
      <c r="A1591" s="6" t="s">
        <v>2953</v>
      </c>
      <c r="B1591">
        <v>195308</v>
      </c>
      <c r="C1591">
        <v>83344</v>
      </c>
      <c r="D1591">
        <v>518003</v>
      </c>
      <c r="E1591">
        <v>432965</v>
      </c>
      <c r="F1591">
        <v>10.199999999999999</v>
      </c>
      <c r="G1591">
        <v>9.6</v>
      </c>
      <c r="H1591">
        <v>10.9</v>
      </c>
      <c r="I1591">
        <v>9.1999999999999993</v>
      </c>
    </row>
    <row r="1592" spans="1:9" ht="24" customHeight="1">
      <c r="A1592" s="6" t="s">
        <v>2954</v>
      </c>
      <c r="B1592">
        <v>17188</v>
      </c>
      <c r="C1592">
        <v>7505</v>
      </c>
      <c r="D1592">
        <v>337934</v>
      </c>
      <c r="E1592">
        <v>283102</v>
      </c>
      <c r="F1592">
        <v>4.5</v>
      </c>
      <c r="G1592">
        <v>6.8</v>
      </c>
      <c r="H1592">
        <v>0</v>
      </c>
      <c r="I1592">
        <v>0</v>
      </c>
    </row>
    <row r="1593" spans="1:9" ht="24" customHeight="1">
      <c r="A1593" s="6" t="s">
        <v>2955</v>
      </c>
      <c r="B1593">
        <v>28891</v>
      </c>
      <c r="C1593">
        <v>16058</v>
      </c>
      <c r="D1593">
        <v>431741</v>
      </c>
      <c r="E1593">
        <v>368064</v>
      </c>
      <c r="F1593">
        <v>10.199999999999999</v>
      </c>
      <c r="G1593">
        <v>10.8</v>
      </c>
      <c r="H1593">
        <v>1.5</v>
      </c>
      <c r="I1593">
        <v>1.5</v>
      </c>
    </row>
    <row r="1594" spans="1:9" ht="24" customHeight="1">
      <c r="A1594" s="6" t="s">
        <v>2956</v>
      </c>
      <c r="B1594">
        <v>24692</v>
      </c>
      <c r="C1594">
        <v>10430</v>
      </c>
      <c r="D1594">
        <v>567338</v>
      </c>
      <c r="E1594">
        <v>457406</v>
      </c>
      <c r="F1594">
        <v>13.5</v>
      </c>
      <c r="G1594">
        <v>10.199999999999999</v>
      </c>
      <c r="H1594">
        <v>11.8</v>
      </c>
      <c r="I1594">
        <v>12</v>
      </c>
    </row>
    <row r="1595" spans="1:9" ht="24" customHeight="1">
      <c r="A1595" s="6" t="s">
        <v>2957</v>
      </c>
      <c r="B1595">
        <v>22875</v>
      </c>
      <c r="C1595">
        <v>7765</v>
      </c>
      <c r="D1595">
        <v>575497</v>
      </c>
      <c r="E1595">
        <v>477668</v>
      </c>
      <c r="F1595">
        <v>13.7</v>
      </c>
      <c r="G1595">
        <v>6.9</v>
      </c>
      <c r="H1595">
        <v>16.899999999999999</v>
      </c>
      <c r="I1595">
        <v>16.8</v>
      </c>
    </row>
    <row r="1596" spans="1:9" ht="24" customHeight="1">
      <c r="A1596" s="6" t="s">
        <v>2958</v>
      </c>
      <c r="B1596">
        <v>16860</v>
      </c>
      <c r="C1596">
        <v>5104</v>
      </c>
      <c r="D1596">
        <v>601047</v>
      </c>
      <c r="E1596">
        <v>509209</v>
      </c>
      <c r="F1596">
        <v>6.5</v>
      </c>
      <c r="G1596">
        <v>10</v>
      </c>
      <c r="H1596">
        <v>21.8</v>
      </c>
      <c r="I1596">
        <v>21.8</v>
      </c>
    </row>
    <row r="1597" spans="1:9" ht="24" customHeight="1">
      <c r="A1597" s="6" t="s">
        <v>2959</v>
      </c>
      <c r="B1597">
        <v>9386</v>
      </c>
      <c r="C1597">
        <v>4578</v>
      </c>
      <c r="D1597">
        <v>627801</v>
      </c>
      <c r="E1597">
        <v>511587</v>
      </c>
      <c r="F1597">
        <v>5.3</v>
      </c>
      <c r="G1597">
        <v>3.6</v>
      </c>
      <c r="H1597">
        <v>27</v>
      </c>
      <c r="I1597">
        <v>26</v>
      </c>
    </row>
    <row r="1598" spans="1:9" ht="24" customHeight="1">
      <c r="A1598" s="6" t="s">
        <v>2960</v>
      </c>
      <c r="B1598">
        <v>24902</v>
      </c>
      <c r="C1598">
        <v>13486</v>
      </c>
      <c r="D1598">
        <v>474282</v>
      </c>
      <c r="E1598">
        <v>411467</v>
      </c>
      <c r="F1598">
        <v>11.4</v>
      </c>
      <c r="G1598">
        <v>10.7</v>
      </c>
      <c r="H1598">
        <v>3.5</v>
      </c>
      <c r="I1598">
        <v>3.5</v>
      </c>
    </row>
    <row r="1599" spans="1:9" ht="24" customHeight="1">
      <c r="A1599" s="6" t="s">
        <v>2961</v>
      </c>
      <c r="B1599">
        <v>13379</v>
      </c>
      <c r="C1599">
        <v>3904</v>
      </c>
      <c r="D1599">
        <v>662513</v>
      </c>
      <c r="E1599">
        <v>604499</v>
      </c>
      <c r="F1599">
        <v>5.2</v>
      </c>
      <c r="G1599">
        <v>8.1</v>
      </c>
      <c r="H1599">
        <v>33.799999999999997</v>
      </c>
      <c r="I1599">
        <v>32.5</v>
      </c>
    </row>
    <row r="1600" spans="1:9" ht="24" customHeight="1">
      <c r="A1600" s="6" t="s">
        <v>2962</v>
      </c>
      <c r="B1600">
        <v>37218</v>
      </c>
      <c r="C1600">
        <v>17618</v>
      </c>
      <c r="D1600">
        <v>511542</v>
      </c>
      <c r="E1600">
        <v>436906</v>
      </c>
      <c r="F1600">
        <v>12.6</v>
      </c>
      <c r="G1600">
        <v>10.1</v>
      </c>
      <c r="H1600">
        <v>6.7</v>
      </c>
      <c r="I1600">
        <v>6.7</v>
      </c>
    </row>
    <row r="1601" spans="1:9" ht="24" customHeight="1">
      <c r="A1601" s="6" t="s">
        <v>2963</v>
      </c>
      <c r="B1601">
        <v>173295</v>
      </c>
      <c r="C1601">
        <v>63517</v>
      </c>
      <c r="D1601">
        <v>555430</v>
      </c>
      <c r="E1601">
        <v>462692</v>
      </c>
      <c r="F1601">
        <v>12.3</v>
      </c>
      <c r="G1601">
        <v>13.4</v>
      </c>
      <c r="H1601">
        <v>13.3</v>
      </c>
      <c r="I1601">
        <v>9.3000000000000007</v>
      </c>
    </row>
    <row r="1602" spans="1:9" ht="24" customHeight="1">
      <c r="A1602" s="6" t="s">
        <v>2964</v>
      </c>
      <c r="B1602">
        <v>12018</v>
      </c>
      <c r="C1602">
        <v>7264</v>
      </c>
      <c r="D1602">
        <v>309792</v>
      </c>
      <c r="E1602">
        <v>300415</v>
      </c>
      <c r="F1602">
        <v>6.2</v>
      </c>
      <c r="G1602">
        <v>5.4</v>
      </c>
      <c r="H1602">
        <v>0</v>
      </c>
      <c r="I1602">
        <v>0</v>
      </c>
    </row>
    <row r="1603" spans="1:9" ht="24" customHeight="1">
      <c r="A1603" s="6" t="s">
        <v>2965</v>
      </c>
      <c r="B1603">
        <v>16581</v>
      </c>
      <c r="C1603">
        <v>12364</v>
      </c>
      <c r="D1603">
        <v>418436</v>
      </c>
      <c r="E1603">
        <v>369741</v>
      </c>
      <c r="F1603">
        <v>22.9</v>
      </c>
      <c r="G1603">
        <v>18.3</v>
      </c>
      <c r="H1603">
        <v>1.5</v>
      </c>
      <c r="I1603">
        <v>1.3</v>
      </c>
    </row>
    <row r="1604" spans="1:9" ht="24" customHeight="1">
      <c r="A1604" s="6" t="s">
        <v>2966</v>
      </c>
      <c r="B1604">
        <v>19738</v>
      </c>
      <c r="C1604">
        <v>5486</v>
      </c>
      <c r="D1604">
        <v>564627</v>
      </c>
      <c r="E1604">
        <v>537828</v>
      </c>
      <c r="F1604">
        <v>13.1</v>
      </c>
      <c r="G1604">
        <v>10.5</v>
      </c>
      <c r="H1604">
        <v>12.1</v>
      </c>
      <c r="I1604">
        <v>12.4</v>
      </c>
    </row>
    <row r="1605" spans="1:9" ht="24" customHeight="1">
      <c r="A1605" s="6" t="s">
        <v>2967</v>
      </c>
      <c r="B1605">
        <v>23959</v>
      </c>
      <c r="C1605">
        <v>8521</v>
      </c>
      <c r="D1605">
        <v>625794</v>
      </c>
      <c r="E1605">
        <v>576580</v>
      </c>
      <c r="F1605">
        <v>11.1</v>
      </c>
      <c r="G1605">
        <v>15.2</v>
      </c>
      <c r="H1605">
        <v>16.5</v>
      </c>
      <c r="I1605">
        <v>17.100000000000001</v>
      </c>
    </row>
    <row r="1606" spans="1:9" ht="24" customHeight="1">
      <c r="A1606" s="6" t="s">
        <v>2968</v>
      </c>
      <c r="B1606">
        <v>18964</v>
      </c>
      <c r="C1606">
        <v>3517</v>
      </c>
      <c r="D1606">
        <v>675720</v>
      </c>
      <c r="E1606">
        <v>665108</v>
      </c>
      <c r="F1606">
        <v>10.199999999999999</v>
      </c>
      <c r="G1606">
        <v>7.3</v>
      </c>
      <c r="H1606">
        <v>21.9</v>
      </c>
      <c r="I1606">
        <v>21.8</v>
      </c>
    </row>
    <row r="1607" spans="1:9" ht="24" customHeight="1">
      <c r="A1607" s="6" t="s">
        <v>2969</v>
      </c>
      <c r="B1607">
        <v>10692</v>
      </c>
      <c r="C1607">
        <v>2072</v>
      </c>
      <c r="D1607">
        <v>707179</v>
      </c>
      <c r="E1607">
        <v>634261</v>
      </c>
      <c r="F1607">
        <v>11.3</v>
      </c>
      <c r="G1607">
        <v>15.4</v>
      </c>
      <c r="H1607">
        <v>26.7</v>
      </c>
      <c r="I1607">
        <v>27</v>
      </c>
    </row>
    <row r="1608" spans="1:9" ht="24" customHeight="1">
      <c r="A1608" s="6" t="s">
        <v>2970</v>
      </c>
      <c r="B1608">
        <v>22156</v>
      </c>
      <c r="C1608">
        <v>11286</v>
      </c>
      <c r="D1608">
        <v>449436</v>
      </c>
      <c r="E1608">
        <v>378818</v>
      </c>
      <c r="F1608">
        <v>12.6</v>
      </c>
      <c r="G1608">
        <v>12.4</v>
      </c>
      <c r="H1608">
        <v>3.5</v>
      </c>
      <c r="I1608">
        <v>3.5</v>
      </c>
    </row>
    <row r="1609" spans="1:9" ht="24" customHeight="1">
      <c r="A1609" s="6" t="s">
        <v>2971</v>
      </c>
      <c r="B1609">
        <v>20479</v>
      </c>
      <c r="C1609">
        <v>3908</v>
      </c>
      <c r="D1609">
        <v>730853</v>
      </c>
      <c r="E1609">
        <v>540394</v>
      </c>
      <c r="F1609">
        <v>7.5</v>
      </c>
      <c r="G1609">
        <v>9.1999999999999993</v>
      </c>
      <c r="H1609">
        <v>33.200000000000003</v>
      </c>
      <c r="I1609">
        <v>35.5</v>
      </c>
    </row>
    <row r="1610" spans="1:9" ht="24" customHeight="1">
      <c r="A1610" s="6" t="s">
        <v>2972</v>
      </c>
      <c r="B1610">
        <v>28799</v>
      </c>
      <c r="C1610">
        <v>11030</v>
      </c>
      <c r="D1610">
        <v>493334</v>
      </c>
      <c r="E1610">
        <v>491448</v>
      </c>
      <c r="F1610">
        <v>14.2</v>
      </c>
      <c r="G1610">
        <v>16.399999999999999</v>
      </c>
      <c r="H1610">
        <v>6.6</v>
      </c>
      <c r="I1610">
        <v>6.7</v>
      </c>
    </row>
    <row r="1611" spans="1:9" ht="24" customHeight="1">
      <c r="A1611" s="6" t="s">
        <v>547</v>
      </c>
      <c r="B1611">
        <v>526141</v>
      </c>
      <c r="C1611">
        <v>80261</v>
      </c>
      <c r="D1611">
        <v>503280</v>
      </c>
      <c r="E1611">
        <v>392663</v>
      </c>
      <c r="F1611">
        <v>30.3</v>
      </c>
      <c r="G1611">
        <v>17.2</v>
      </c>
      <c r="H1611">
        <v>15.8</v>
      </c>
      <c r="I1611">
        <v>11.6</v>
      </c>
    </row>
    <row r="1612" spans="1:9" ht="24" customHeight="1">
      <c r="A1612" s="6" t="s">
        <v>548</v>
      </c>
      <c r="B1612">
        <v>17600</v>
      </c>
      <c r="C1612">
        <v>3592</v>
      </c>
      <c r="D1612">
        <v>285620</v>
      </c>
      <c r="E1612">
        <v>258381</v>
      </c>
      <c r="F1612">
        <v>24.3</v>
      </c>
      <c r="G1612">
        <v>8</v>
      </c>
      <c r="H1612">
        <v>0</v>
      </c>
      <c r="I1612">
        <v>0</v>
      </c>
    </row>
    <row r="1613" spans="1:9" ht="24" customHeight="1">
      <c r="A1613" s="6" t="s">
        <v>2973</v>
      </c>
      <c r="B1613">
        <v>34245</v>
      </c>
      <c r="C1613">
        <v>9613</v>
      </c>
      <c r="D1613">
        <v>350022</v>
      </c>
      <c r="E1613">
        <v>314094</v>
      </c>
      <c r="F1613">
        <v>36.1</v>
      </c>
      <c r="G1613">
        <v>17</v>
      </c>
      <c r="H1613">
        <v>1.5</v>
      </c>
      <c r="I1613">
        <v>1.6</v>
      </c>
    </row>
    <row r="1614" spans="1:9" ht="24" customHeight="1">
      <c r="A1614" s="6" t="s">
        <v>2974</v>
      </c>
      <c r="B1614">
        <v>74170</v>
      </c>
      <c r="C1614">
        <v>12055</v>
      </c>
      <c r="D1614">
        <v>486265</v>
      </c>
      <c r="E1614">
        <v>399965</v>
      </c>
      <c r="F1614">
        <v>31.9</v>
      </c>
      <c r="G1614">
        <v>18</v>
      </c>
      <c r="H1614">
        <v>12</v>
      </c>
      <c r="I1614">
        <v>11.9</v>
      </c>
    </row>
    <row r="1615" spans="1:9" ht="24" customHeight="1">
      <c r="A1615" s="6" t="s">
        <v>2975</v>
      </c>
      <c r="B1615">
        <v>90424</v>
      </c>
      <c r="C1615">
        <v>12165</v>
      </c>
      <c r="D1615">
        <v>520947</v>
      </c>
      <c r="E1615">
        <v>402758</v>
      </c>
      <c r="F1615">
        <v>32</v>
      </c>
      <c r="G1615">
        <v>16.899999999999999</v>
      </c>
      <c r="H1615">
        <v>16.8</v>
      </c>
      <c r="I1615">
        <v>16.7</v>
      </c>
    </row>
    <row r="1616" spans="1:9" ht="24" customHeight="1">
      <c r="A1616" s="6" t="s">
        <v>2976</v>
      </c>
      <c r="B1616">
        <v>53624</v>
      </c>
      <c r="C1616">
        <v>6806</v>
      </c>
      <c r="D1616">
        <v>582344</v>
      </c>
      <c r="E1616">
        <v>462733</v>
      </c>
      <c r="F1616">
        <v>30</v>
      </c>
      <c r="G1616">
        <v>20</v>
      </c>
      <c r="H1616">
        <v>21.8</v>
      </c>
      <c r="I1616">
        <v>22</v>
      </c>
    </row>
    <row r="1617" spans="1:9" ht="24" customHeight="1">
      <c r="A1617" s="6" t="s">
        <v>2977</v>
      </c>
      <c r="B1617">
        <v>46845</v>
      </c>
      <c r="C1617">
        <v>2871</v>
      </c>
      <c r="D1617">
        <v>613659</v>
      </c>
      <c r="E1617">
        <v>518776</v>
      </c>
      <c r="F1617">
        <v>26.9</v>
      </c>
      <c r="G1617">
        <v>12.6</v>
      </c>
      <c r="H1617">
        <v>27</v>
      </c>
      <c r="I1617">
        <v>27</v>
      </c>
    </row>
    <row r="1618" spans="1:9" ht="24" customHeight="1">
      <c r="A1618" s="6" t="s">
        <v>2978</v>
      </c>
      <c r="B1618">
        <v>46467</v>
      </c>
      <c r="C1618">
        <v>11568</v>
      </c>
      <c r="D1618">
        <v>393417</v>
      </c>
      <c r="E1618">
        <v>320422</v>
      </c>
      <c r="F1618">
        <v>33.4</v>
      </c>
      <c r="G1618">
        <v>15.6</v>
      </c>
      <c r="H1618">
        <v>3.5</v>
      </c>
      <c r="I1618">
        <v>3.5</v>
      </c>
    </row>
    <row r="1619" spans="1:9" ht="24" customHeight="1">
      <c r="A1619" s="6" t="s">
        <v>549</v>
      </c>
      <c r="B1619">
        <v>79301</v>
      </c>
      <c r="C1619">
        <v>6208</v>
      </c>
      <c r="D1619">
        <v>636905</v>
      </c>
      <c r="E1619">
        <v>545270</v>
      </c>
      <c r="F1619">
        <v>23.1</v>
      </c>
      <c r="G1619">
        <v>10.4</v>
      </c>
      <c r="H1619">
        <v>34.200000000000003</v>
      </c>
      <c r="I1619">
        <v>33.299999999999997</v>
      </c>
    </row>
    <row r="1620" spans="1:9" ht="24" customHeight="1">
      <c r="A1620" s="6" t="s">
        <v>2979</v>
      </c>
      <c r="B1620">
        <v>85716</v>
      </c>
      <c r="C1620">
        <v>19446</v>
      </c>
      <c r="D1620">
        <v>428095</v>
      </c>
      <c r="E1620">
        <v>354987</v>
      </c>
      <c r="F1620">
        <v>33</v>
      </c>
      <c r="G1620">
        <v>18.2</v>
      </c>
      <c r="H1620">
        <v>6.9</v>
      </c>
      <c r="I1620">
        <v>6.9</v>
      </c>
    </row>
    <row r="1621" spans="1:9" ht="24" customHeight="1">
      <c r="A1621" s="6" t="s">
        <v>2980</v>
      </c>
      <c r="B1621">
        <v>557012</v>
      </c>
      <c r="C1621">
        <v>59855</v>
      </c>
      <c r="D1621">
        <v>369765</v>
      </c>
      <c r="E1621">
        <v>287610</v>
      </c>
      <c r="F1621">
        <v>24.7</v>
      </c>
      <c r="G1621">
        <v>9.6</v>
      </c>
      <c r="H1621">
        <v>11.1</v>
      </c>
      <c r="I1621">
        <v>8.8000000000000007</v>
      </c>
    </row>
    <row r="1622" spans="1:9" ht="24" customHeight="1">
      <c r="A1622" s="6" t="s">
        <v>2981</v>
      </c>
      <c r="B1622">
        <v>34712</v>
      </c>
      <c r="C1622">
        <v>5704</v>
      </c>
      <c r="D1622">
        <v>307383</v>
      </c>
      <c r="E1622">
        <v>237577</v>
      </c>
      <c r="F1622">
        <v>24.8</v>
      </c>
      <c r="G1622">
        <v>8</v>
      </c>
      <c r="H1622">
        <v>0</v>
      </c>
      <c r="I1622">
        <v>0</v>
      </c>
    </row>
    <row r="1623" spans="1:9" ht="24" customHeight="1">
      <c r="A1623" s="6" t="s">
        <v>2982</v>
      </c>
      <c r="B1623">
        <v>70997</v>
      </c>
      <c r="C1623">
        <v>10693</v>
      </c>
      <c r="D1623">
        <v>332030</v>
      </c>
      <c r="E1623">
        <v>258840</v>
      </c>
      <c r="F1623">
        <v>25.5</v>
      </c>
      <c r="G1623">
        <v>12.3</v>
      </c>
      <c r="H1623">
        <v>1.5</v>
      </c>
      <c r="I1623">
        <v>1.4</v>
      </c>
    </row>
    <row r="1624" spans="1:9" ht="24" customHeight="1">
      <c r="A1624" s="6" t="s">
        <v>2983</v>
      </c>
      <c r="B1624">
        <v>87331</v>
      </c>
      <c r="C1624">
        <v>8740</v>
      </c>
      <c r="D1624">
        <v>364767</v>
      </c>
      <c r="E1624">
        <v>310277</v>
      </c>
      <c r="F1624">
        <v>23.2</v>
      </c>
      <c r="G1624">
        <v>8</v>
      </c>
      <c r="H1624">
        <v>11.8</v>
      </c>
      <c r="I1624">
        <v>11.8</v>
      </c>
    </row>
    <row r="1625" spans="1:9" ht="24" customHeight="1">
      <c r="A1625" s="6" t="s">
        <v>2984</v>
      </c>
      <c r="B1625">
        <v>75208</v>
      </c>
      <c r="C1625">
        <v>6505</v>
      </c>
      <c r="D1625">
        <v>388102</v>
      </c>
      <c r="E1625">
        <v>300211</v>
      </c>
      <c r="F1625">
        <v>25.1</v>
      </c>
      <c r="G1625">
        <v>6.8</v>
      </c>
      <c r="H1625">
        <v>16.899999999999999</v>
      </c>
      <c r="I1625">
        <v>16.8</v>
      </c>
    </row>
    <row r="1626" spans="1:9" ht="24" customHeight="1">
      <c r="A1626" s="6" t="s">
        <v>2985</v>
      </c>
      <c r="B1626">
        <v>42599</v>
      </c>
      <c r="C1626">
        <v>2627</v>
      </c>
      <c r="D1626">
        <v>393947</v>
      </c>
      <c r="E1626">
        <v>329635</v>
      </c>
      <c r="F1626">
        <v>23.6</v>
      </c>
      <c r="G1626">
        <v>4.9000000000000004</v>
      </c>
      <c r="H1626">
        <v>21.8</v>
      </c>
      <c r="I1626">
        <v>21.4</v>
      </c>
    </row>
    <row r="1627" spans="1:9" ht="24" customHeight="1">
      <c r="A1627" s="6" t="s">
        <v>2986</v>
      </c>
      <c r="B1627">
        <v>26404</v>
      </c>
      <c r="C1627">
        <v>2244</v>
      </c>
      <c r="D1627">
        <v>435343</v>
      </c>
      <c r="E1627">
        <v>330592</v>
      </c>
      <c r="F1627">
        <v>22.4</v>
      </c>
      <c r="G1627">
        <v>6.3</v>
      </c>
      <c r="H1627">
        <v>26.8</v>
      </c>
      <c r="I1627">
        <v>26.4</v>
      </c>
    </row>
    <row r="1628" spans="1:9" ht="24" customHeight="1">
      <c r="A1628" s="6" t="s">
        <v>2987</v>
      </c>
      <c r="B1628">
        <v>64777</v>
      </c>
      <c r="C1628">
        <v>8586</v>
      </c>
      <c r="D1628">
        <v>355885</v>
      </c>
      <c r="E1628">
        <v>253933</v>
      </c>
      <c r="F1628">
        <v>28</v>
      </c>
      <c r="G1628">
        <v>7.7</v>
      </c>
      <c r="H1628">
        <v>3.5</v>
      </c>
      <c r="I1628">
        <v>3.4</v>
      </c>
    </row>
    <row r="1629" spans="1:9" ht="24" customHeight="1">
      <c r="A1629" s="6" t="s">
        <v>2988</v>
      </c>
      <c r="B1629">
        <v>31675</v>
      </c>
      <c r="C1629">
        <v>1988</v>
      </c>
      <c r="D1629">
        <v>417751</v>
      </c>
      <c r="E1629">
        <v>338014</v>
      </c>
      <c r="F1629">
        <v>23.6</v>
      </c>
      <c r="G1629">
        <v>10.199999999999999</v>
      </c>
      <c r="H1629">
        <v>35.299999999999997</v>
      </c>
      <c r="I1629">
        <v>37</v>
      </c>
    </row>
    <row r="1630" spans="1:9" ht="24" customHeight="1">
      <c r="A1630" s="6" t="s">
        <v>2989</v>
      </c>
      <c r="B1630">
        <v>129947</v>
      </c>
      <c r="C1630">
        <v>16919</v>
      </c>
      <c r="D1630">
        <v>365709</v>
      </c>
      <c r="E1630">
        <v>275027</v>
      </c>
      <c r="F1630">
        <v>23.4</v>
      </c>
      <c r="G1630">
        <v>10.6</v>
      </c>
      <c r="H1630">
        <v>6.9</v>
      </c>
      <c r="I1630">
        <v>6.8</v>
      </c>
    </row>
    <row r="1631" spans="1:9" ht="24" customHeight="1">
      <c r="A1631" s="6" t="s">
        <v>2990</v>
      </c>
      <c r="B1631">
        <v>341190</v>
      </c>
      <c r="C1631">
        <v>51399</v>
      </c>
      <c r="D1631">
        <v>409550</v>
      </c>
      <c r="E1631">
        <v>307526</v>
      </c>
      <c r="F1631">
        <v>27.1</v>
      </c>
      <c r="G1631">
        <v>14.6</v>
      </c>
      <c r="H1631">
        <v>12.6</v>
      </c>
      <c r="I1631">
        <v>9.9</v>
      </c>
    </row>
    <row r="1632" spans="1:9" ht="24" customHeight="1">
      <c r="A1632" s="6" t="s">
        <v>2991</v>
      </c>
      <c r="B1632">
        <v>15592</v>
      </c>
      <c r="C1632">
        <v>3198</v>
      </c>
      <c r="D1632">
        <v>313770</v>
      </c>
      <c r="E1632">
        <v>226269</v>
      </c>
      <c r="F1632">
        <v>23</v>
      </c>
      <c r="G1632">
        <v>11.1</v>
      </c>
      <c r="H1632">
        <v>0</v>
      </c>
      <c r="I1632">
        <v>0</v>
      </c>
    </row>
    <row r="1633" spans="1:9" ht="24" customHeight="1">
      <c r="A1633" s="6" t="s">
        <v>2992</v>
      </c>
      <c r="B1633">
        <v>41419</v>
      </c>
      <c r="C1633">
        <v>9764</v>
      </c>
      <c r="D1633">
        <v>339779</v>
      </c>
      <c r="E1633">
        <v>272294</v>
      </c>
      <c r="F1633">
        <v>28.6</v>
      </c>
      <c r="G1633">
        <v>14.8</v>
      </c>
      <c r="H1633">
        <v>1.5</v>
      </c>
      <c r="I1633">
        <v>1.6</v>
      </c>
    </row>
    <row r="1634" spans="1:9" ht="24" customHeight="1">
      <c r="A1634" s="6" t="s">
        <v>2993</v>
      </c>
      <c r="B1634">
        <v>57072</v>
      </c>
      <c r="C1634">
        <v>7295</v>
      </c>
      <c r="D1634">
        <v>403831</v>
      </c>
      <c r="E1634">
        <v>311911</v>
      </c>
      <c r="F1634">
        <v>26.1</v>
      </c>
      <c r="G1634">
        <v>15.1</v>
      </c>
      <c r="H1634">
        <v>11.8</v>
      </c>
      <c r="I1634">
        <v>11.9</v>
      </c>
    </row>
    <row r="1635" spans="1:9" ht="24" customHeight="1">
      <c r="A1635" s="6" t="s">
        <v>2994</v>
      </c>
      <c r="B1635">
        <v>47305</v>
      </c>
      <c r="C1635">
        <v>5580</v>
      </c>
      <c r="D1635">
        <v>437934</v>
      </c>
      <c r="E1635">
        <v>321584</v>
      </c>
      <c r="F1635">
        <v>28.6</v>
      </c>
      <c r="G1635">
        <v>17.600000000000001</v>
      </c>
      <c r="H1635">
        <v>16.8</v>
      </c>
      <c r="I1635">
        <v>16.7</v>
      </c>
    </row>
    <row r="1636" spans="1:9" ht="24" customHeight="1">
      <c r="A1636" s="6" t="s">
        <v>2995</v>
      </c>
      <c r="B1636">
        <v>29009</v>
      </c>
      <c r="C1636">
        <v>2779</v>
      </c>
      <c r="D1636">
        <v>445130</v>
      </c>
      <c r="E1636">
        <v>370009</v>
      </c>
      <c r="F1636">
        <v>25.1</v>
      </c>
      <c r="G1636">
        <v>6.3</v>
      </c>
      <c r="H1636">
        <v>21.6</v>
      </c>
      <c r="I1636">
        <v>21.5</v>
      </c>
    </row>
    <row r="1637" spans="1:9" ht="24" customHeight="1">
      <c r="A1637" s="6" t="s">
        <v>2996</v>
      </c>
      <c r="B1637">
        <v>18209</v>
      </c>
      <c r="C1637">
        <v>2547</v>
      </c>
      <c r="D1637">
        <v>510347</v>
      </c>
      <c r="E1637">
        <v>346074</v>
      </c>
      <c r="F1637">
        <v>25.3</v>
      </c>
      <c r="G1637">
        <v>12.5</v>
      </c>
      <c r="H1637">
        <v>26.9</v>
      </c>
      <c r="I1637">
        <v>27</v>
      </c>
    </row>
    <row r="1638" spans="1:9" ht="24" customHeight="1">
      <c r="A1638" s="6" t="s">
        <v>2997</v>
      </c>
      <c r="B1638">
        <v>31227</v>
      </c>
      <c r="C1638">
        <v>8027</v>
      </c>
      <c r="D1638">
        <v>365387</v>
      </c>
      <c r="E1638">
        <v>291959</v>
      </c>
      <c r="F1638">
        <v>27.4</v>
      </c>
      <c r="G1638">
        <v>14.6</v>
      </c>
      <c r="H1638">
        <v>3.5</v>
      </c>
      <c r="I1638">
        <v>3.4</v>
      </c>
    </row>
    <row r="1639" spans="1:9" ht="24" customHeight="1">
      <c r="A1639" s="6" t="s">
        <v>2998</v>
      </c>
      <c r="B1639">
        <v>31095</v>
      </c>
      <c r="C1639">
        <v>2957</v>
      </c>
      <c r="D1639">
        <v>527198</v>
      </c>
      <c r="E1639">
        <v>428013</v>
      </c>
      <c r="F1639">
        <v>21.7</v>
      </c>
      <c r="G1639">
        <v>10.6</v>
      </c>
      <c r="H1639">
        <v>34.299999999999997</v>
      </c>
      <c r="I1639">
        <v>34.1</v>
      </c>
    </row>
    <row r="1640" spans="1:9" ht="24" customHeight="1">
      <c r="A1640" s="6" t="s">
        <v>2999</v>
      </c>
      <c r="B1640">
        <v>72278</v>
      </c>
      <c r="C1640">
        <v>10527</v>
      </c>
      <c r="D1640">
        <v>378146</v>
      </c>
      <c r="E1640">
        <v>298511</v>
      </c>
      <c r="F1640">
        <v>30</v>
      </c>
      <c r="G1640">
        <v>15.8</v>
      </c>
      <c r="H1640">
        <v>6.9</v>
      </c>
      <c r="I1640">
        <v>6.8</v>
      </c>
    </row>
    <row r="1641" spans="1:9" ht="24" customHeight="1">
      <c r="A1641" s="6" t="s">
        <v>3000</v>
      </c>
      <c r="B1641">
        <v>238437</v>
      </c>
      <c r="C1641">
        <v>59705</v>
      </c>
      <c r="D1641">
        <v>461438</v>
      </c>
      <c r="E1641">
        <v>373000</v>
      </c>
      <c r="F1641">
        <v>30.7</v>
      </c>
      <c r="G1641">
        <v>15.6</v>
      </c>
      <c r="H1641">
        <v>12.7</v>
      </c>
      <c r="I1641">
        <v>9.1999999999999993</v>
      </c>
    </row>
    <row r="1642" spans="1:9" ht="24" customHeight="1">
      <c r="A1642" s="6" t="s">
        <v>3001</v>
      </c>
      <c r="B1642">
        <v>16990</v>
      </c>
      <c r="C1642">
        <v>7309</v>
      </c>
      <c r="D1642">
        <v>348745</v>
      </c>
      <c r="E1642">
        <v>269264</v>
      </c>
      <c r="F1642">
        <v>37</v>
      </c>
      <c r="G1642">
        <v>9.6999999999999993</v>
      </c>
      <c r="H1642">
        <v>0</v>
      </c>
      <c r="I1642">
        <v>0</v>
      </c>
    </row>
    <row r="1643" spans="1:9" ht="24" customHeight="1">
      <c r="A1643" s="6" t="s">
        <v>3002</v>
      </c>
      <c r="B1643">
        <v>21031</v>
      </c>
      <c r="C1643">
        <v>6442</v>
      </c>
      <c r="D1643">
        <v>368245</v>
      </c>
      <c r="E1643">
        <v>300694</v>
      </c>
      <c r="F1643">
        <v>29.3</v>
      </c>
      <c r="G1643">
        <v>15</v>
      </c>
      <c r="H1643">
        <v>1.5</v>
      </c>
      <c r="I1643">
        <v>1.4</v>
      </c>
    </row>
    <row r="1644" spans="1:9" ht="24" customHeight="1">
      <c r="A1644" s="6" t="s">
        <v>3003</v>
      </c>
      <c r="B1644">
        <v>29657</v>
      </c>
      <c r="C1644">
        <v>5328</v>
      </c>
      <c r="D1644">
        <v>436360</v>
      </c>
      <c r="E1644">
        <v>375918</v>
      </c>
      <c r="F1644">
        <v>29.1</v>
      </c>
      <c r="G1644">
        <v>12</v>
      </c>
      <c r="H1644">
        <v>11.8</v>
      </c>
      <c r="I1644">
        <v>11.9</v>
      </c>
    </row>
    <row r="1645" spans="1:9" ht="24" customHeight="1">
      <c r="A1645" s="6" t="s">
        <v>3004</v>
      </c>
      <c r="B1645">
        <v>36252</v>
      </c>
      <c r="C1645">
        <v>7123</v>
      </c>
      <c r="D1645">
        <v>518104</v>
      </c>
      <c r="E1645">
        <v>446787</v>
      </c>
      <c r="F1645">
        <v>30.4</v>
      </c>
      <c r="G1645">
        <v>11.9</v>
      </c>
      <c r="H1645">
        <v>16.8</v>
      </c>
      <c r="I1645">
        <v>16.399999999999999</v>
      </c>
    </row>
    <row r="1646" spans="1:9" ht="24" customHeight="1">
      <c r="A1646" s="6" t="s">
        <v>3005</v>
      </c>
      <c r="B1646">
        <v>20254</v>
      </c>
      <c r="C1646">
        <v>2353</v>
      </c>
      <c r="D1646">
        <v>531714</v>
      </c>
      <c r="E1646">
        <v>441723</v>
      </c>
      <c r="F1646">
        <v>32.200000000000003</v>
      </c>
      <c r="G1646">
        <v>13.4</v>
      </c>
      <c r="H1646">
        <v>21.7</v>
      </c>
      <c r="I1646">
        <v>21.4</v>
      </c>
    </row>
    <row r="1647" spans="1:9" ht="24" customHeight="1">
      <c r="A1647" s="6" t="s">
        <v>3006</v>
      </c>
      <c r="B1647">
        <v>15661</v>
      </c>
      <c r="C1647">
        <v>1388</v>
      </c>
      <c r="D1647">
        <v>540613</v>
      </c>
      <c r="E1647">
        <v>576188</v>
      </c>
      <c r="F1647">
        <v>20.8</v>
      </c>
      <c r="G1647">
        <v>11.6</v>
      </c>
      <c r="H1647">
        <v>26.8</v>
      </c>
      <c r="I1647">
        <v>26.7</v>
      </c>
    </row>
    <row r="1648" spans="1:9" ht="24" customHeight="1">
      <c r="A1648" s="6" t="s">
        <v>3007</v>
      </c>
      <c r="B1648">
        <v>23088</v>
      </c>
      <c r="C1648">
        <v>11863</v>
      </c>
      <c r="D1648">
        <v>390254</v>
      </c>
      <c r="E1648">
        <v>350746</v>
      </c>
      <c r="F1648">
        <v>30.4</v>
      </c>
      <c r="G1648">
        <v>21.4</v>
      </c>
      <c r="H1648">
        <v>3.4</v>
      </c>
      <c r="I1648">
        <v>3.5</v>
      </c>
    </row>
    <row r="1649" spans="1:9" ht="24" customHeight="1">
      <c r="A1649" s="6" t="s">
        <v>3008</v>
      </c>
      <c r="B1649">
        <v>21360</v>
      </c>
      <c r="C1649">
        <v>4134</v>
      </c>
      <c r="D1649">
        <v>568944</v>
      </c>
      <c r="E1649">
        <v>546489</v>
      </c>
      <c r="F1649">
        <v>22</v>
      </c>
      <c r="G1649">
        <v>14.5</v>
      </c>
      <c r="H1649">
        <v>33.9</v>
      </c>
      <c r="I1649">
        <v>34.1</v>
      </c>
    </row>
    <row r="1650" spans="1:9" ht="24" customHeight="1">
      <c r="A1650" s="6" t="s">
        <v>3009</v>
      </c>
      <c r="B1650">
        <v>54577</v>
      </c>
      <c r="C1650">
        <v>14194</v>
      </c>
      <c r="D1650">
        <v>446030</v>
      </c>
      <c r="E1650">
        <v>353745</v>
      </c>
      <c r="F1650">
        <v>35.799999999999997</v>
      </c>
      <c r="G1650">
        <v>18.3</v>
      </c>
      <c r="H1650">
        <v>6.8</v>
      </c>
      <c r="I1650">
        <v>6.7</v>
      </c>
    </row>
    <row r="1651" spans="1:9" ht="24" customHeight="1">
      <c r="A1651" s="6" t="s">
        <v>550</v>
      </c>
      <c r="B1651">
        <v>1144543</v>
      </c>
      <c r="C1651">
        <v>412291</v>
      </c>
      <c r="D1651">
        <v>510066</v>
      </c>
      <c r="E1651">
        <v>391433</v>
      </c>
      <c r="F1651">
        <v>13</v>
      </c>
      <c r="G1651">
        <v>11.2</v>
      </c>
      <c r="H1651">
        <v>14.4</v>
      </c>
      <c r="I1651">
        <v>10</v>
      </c>
    </row>
    <row r="1652" spans="1:9" ht="24" customHeight="1">
      <c r="A1652" s="6" t="s">
        <v>551</v>
      </c>
      <c r="B1652">
        <v>61674</v>
      </c>
      <c r="C1652">
        <v>49085</v>
      </c>
      <c r="D1652">
        <v>316711</v>
      </c>
      <c r="E1652">
        <v>268505</v>
      </c>
      <c r="F1652">
        <v>12.6</v>
      </c>
      <c r="G1652">
        <v>10.3</v>
      </c>
      <c r="H1652">
        <v>0</v>
      </c>
      <c r="I1652">
        <v>0</v>
      </c>
    </row>
    <row r="1653" spans="1:9" ht="24" customHeight="1">
      <c r="A1653" s="6" t="s">
        <v>3010</v>
      </c>
      <c r="B1653">
        <v>122708</v>
      </c>
      <c r="C1653">
        <v>64787</v>
      </c>
      <c r="D1653">
        <v>414346</v>
      </c>
      <c r="E1653">
        <v>327698</v>
      </c>
      <c r="F1653">
        <v>9.5</v>
      </c>
      <c r="G1653">
        <v>12.1</v>
      </c>
      <c r="H1653">
        <v>1.5</v>
      </c>
      <c r="I1653">
        <v>1.5</v>
      </c>
    </row>
    <row r="1654" spans="1:9" ht="24" customHeight="1">
      <c r="A1654" s="6" t="s">
        <v>3011</v>
      </c>
      <c r="B1654">
        <v>99841</v>
      </c>
      <c r="C1654">
        <v>39859</v>
      </c>
      <c r="D1654">
        <v>514085</v>
      </c>
      <c r="E1654">
        <v>427621</v>
      </c>
      <c r="F1654">
        <v>18</v>
      </c>
      <c r="G1654">
        <v>10.6</v>
      </c>
      <c r="H1654">
        <v>11.9</v>
      </c>
      <c r="I1654">
        <v>11.9</v>
      </c>
    </row>
    <row r="1655" spans="1:9" ht="24" customHeight="1">
      <c r="A1655" s="6" t="s">
        <v>3012</v>
      </c>
      <c r="B1655">
        <v>143940</v>
      </c>
      <c r="C1655">
        <v>49599</v>
      </c>
      <c r="D1655">
        <v>546041</v>
      </c>
      <c r="E1655">
        <v>445342</v>
      </c>
      <c r="F1655">
        <v>14.8</v>
      </c>
      <c r="G1655">
        <v>6.5</v>
      </c>
      <c r="H1655">
        <v>17</v>
      </c>
      <c r="I1655">
        <v>16.8</v>
      </c>
    </row>
    <row r="1656" spans="1:9" ht="24" customHeight="1">
      <c r="A1656" s="6" t="s">
        <v>3013</v>
      </c>
      <c r="B1656">
        <v>119950</v>
      </c>
      <c r="C1656">
        <v>28816</v>
      </c>
      <c r="D1656">
        <v>585226</v>
      </c>
      <c r="E1656">
        <v>446239</v>
      </c>
      <c r="F1656">
        <v>9.6</v>
      </c>
      <c r="G1656">
        <v>8.6</v>
      </c>
      <c r="H1656">
        <v>22</v>
      </c>
      <c r="I1656">
        <v>21.4</v>
      </c>
    </row>
    <row r="1657" spans="1:9" ht="24" customHeight="1">
      <c r="A1657" s="6" t="s">
        <v>3014</v>
      </c>
      <c r="B1657">
        <v>98767</v>
      </c>
      <c r="C1657">
        <v>20084</v>
      </c>
      <c r="D1657">
        <v>647876</v>
      </c>
      <c r="E1657">
        <v>524517</v>
      </c>
      <c r="F1657">
        <v>14.5</v>
      </c>
      <c r="G1657">
        <v>9.5</v>
      </c>
      <c r="H1657">
        <v>26.8</v>
      </c>
      <c r="I1657">
        <v>27.1</v>
      </c>
    </row>
    <row r="1658" spans="1:9" ht="24" customHeight="1">
      <c r="A1658" s="6" t="s">
        <v>3015</v>
      </c>
      <c r="B1658">
        <v>125014</v>
      </c>
      <c r="C1658">
        <v>63648</v>
      </c>
      <c r="D1658">
        <v>386836</v>
      </c>
      <c r="E1658">
        <v>339445</v>
      </c>
      <c r="F1658">
        <v>17.399999999999999</v>
      </c>
      <c r="G1658">
        <v>9.1999999999999993</v>
      </c>
      <c r="H1658">
        <v>3.5</v>
      </c>
      <c r="I1658">
        <v>3.5</v>
      </c>
    </row>
    <row r="1659" spans="1:9" ht="24" customHeight="1">
      <c r="A1659" s="6" t="s">
        <v>552</v>
      </c>
      <c r="B1659">
        <v>162023</v>
      </c>
      <c r="C1659">
        <v>29671</v>
      </c>
      <c r="D1659">
        <v>686364</v>
      </c>
      <c r="E1659">
        <v>537510</v>
      </c>
      <c r="F1659">
        <v>8.4</v>
      </c>
      <c r="G1659">
        <v>10</v>
      </c>
      <c r="H1659">
        <v>34</v>
      </c>
      <c r="I1659">
        <v>33.5</v>
      </c>
    </row>
    <row r="1660" spans="1:9" ht="24" customHeight="1">
      <c r="A1660" s="6" t="s">
        <v>3016</v>
      </c>
      <c r="B1660">
        <v>211443</v>
      </c>
      <c r="C1660">
        <v>81377</v>
      </c>
      <c r="D1660">
        <v>426152</v>
      </c>
      <c r="E1660">
        <v>388317</v>
      </c>
      <c r="F1660">
        <v>13.5</v>
      </c>
      <c r="G1660">
        <v>16.100000000000001</v>
      </c>
      <c r="H1660">
        <v>6.8</v>
      </c>
      <c r="I1660">
        <v>6.6</v>
      </c>
    </row>
    <row r="1661" spans="1:9" ht="24" customHeight="1">
      <c r="A1661" s="6" t="s">
        <v>3017</v>
      </c>
      <c r="B1661">
        <v>723235</v>
      </c>
      <c r="C1661">
        <v>355551</v>
      </c>
      <c r="D1661">
        <v>423303</v>
      </c>
      <c r="E1661">
        <v>321189</v>
      </c>
      <c r="F1661">
        <v>7.2</v>
      </c>
      <c r="G1661">
        <v>5.6</v>
      </c>
      <c r="H1661">
        <v>13</v>
      </c>
      <c r="I1661">
        <v>10.199999999999999</v>
      </c>
    </row>
    <row r="1662" spans="1:9" ht="24" customHeight="1">
      <c r="A1662" s="6" t="s">
        <v>3018</v>
      </c>
      <c r="B1662">
        <v>41508</v>
      </c>
      <c r="C1662">
        <v>29815</v>
      </c>
      <c r="D1662">
        <v>291796</v>
      </c>
      <c r="E1662">
        <v>226508</v>
      </c>
      <c r="F1662">
        <v>6.4</v>
      </c>
      <c r="G1662">
        <v>3.7</v>
      </c>
      <c r="H1662">
        <v>0</v>
      </c>
      <c r="I1662">
        <v>0</v>
      </c>
    </row>
    <row r="1663" spans="1:9" ht="24" customHeight="1">
      <c r="A1663" s="6" t="s">
        <v>3019</v>
      </c>
      <c r="B1663">
        <v>83957</v>
      </c>
      <c r="C1663">
        <v>48389</v>
      </c>
      <c r="D1663">
        <v>331663</v>
      </c>
      <c r="E1663">
        <v>269424</v>
      </c>
      <c r="F1663">
        <v>8.1999999999999993</v>
      </c>
      <c r="G1663">
        <v>5</v>
      </c>
      <c r="H1663">
        <v>1.5</v>
      </c>
      <c r="I1663">
        <v>1.6</v>
      </c>
    </row>
    <row r="1664" spans="1:9" ht="24" customHeight="1">
      <c r="A1664" s="6" t="s">
        <v>3020</v>
      </c>
      <c r="B1664">
        <v>98266</v>
      </c>
      <c r="C1664">
        <v>56719</v>
      </c>
      <c r="D1664">
        <v>431970</v>
      </c>
      <c r="E1664">
        <v>322327</v>
      </c>
      <c r="F1664">
        <v>7.7</v>
      </c>
      <c r="G1664">
        <v>4.9000000000000004</v>
      </c>
      <c r="H1664">
        <v>11.7</v>
      </c>
      <c r="I1664">
        <v>11.9</v>
      </c>
    </row>
    <row r="1665" spans="1:9" ht="24" customHeight="1">
      <c r="A1665" s="6" t="s">
        <v>3021</v>
      </c>
      <c r="B1665">
        <v>93874</v>
      </c>
      <c r="C1665">
        <v>47682</v>
      </c>
      <c r="D1665">
        <v>477190</v>
      </c>
      <c r="E1665">
        <v>359513</v>
      </c>
      <c r="F1665">
        <v>6.5</v>
      </c>
      <c r="G1665">
        <v>4.5</v>
      </c>
      <c r="H1665">
        <v>16.8</v>
      </c>
      <c r="I1665">
        <v>16.7</v>
      </c>
    </row>
    <row r="1666" spans="1:9" ht="24" customHeight="1">
      <c r="A1666" s="6" t="s">
        <v>3022</v>
      </c>
      <c r="B1666">
        <v>64890</v>
      </c>
      <c r="C1666">
        <v>25891</v>
      </c>
      <c r="D1666">
        <v>473370</v>
      </c>
      <c r="E1666">
        <v>370443</v>
      </c>
      <c r="F1666">
        <v>6.2</v>
      </c>
      <c r="G1666">
        <v>6.4</v>
      </c>
      <c r="H1666">
        <v>21.9</v>
      </c>
      <c r="I1666">
        <v>21.7</v>
      </c>
    </row>
    <row r="1667" spans="1:9" ht="24" customHeight="1">
      <c r="A1667" s="6" t="s">
        <v>3023</v>
      </c>
      <c r="B1667">
        <v>52750</v>
      </c>
      <c r="C1667">
        <v>15695</v>
      </c>
      <c r="D1667">
        <v>505160</v>
      </c>
      <c r="E1667">
        <v>369598</v>
      </c>
      <c r="F1667">
        <v>5.9</v>
      </c>
      <c r="G1667">
        <v>6.4</v>
      </c>
      <c r="H1667">
        <v>27</v>
      </c>
      <c r="I1667">
        <v>26.7</v>
      </c>
    </row>
    <row r="1668" spans="1:9" ht="24" customHeight="1">
      <c r="A1668" s="6" t="s">
        <v>3024</v>
      </c>
      <c r="B1668">
        <v>76451</v>
      </c>
      <c r="C1668">
        <v>48077</v>
      </c>
      <c r="D1668">
        <v>379361</v>
      </c>
      <c r="E1668">
        <v>297069</v>
      </c>
      <c r="F1668">
        <v>8.9</v>
      </c>
      <c r="G1668">
        <v>7.2</v>
      </c>
      <c r="H1668">
        <v>3.5</v>
      </c>
      <c r="I1668">
        <v>3.5</v>
      </c>
    </row>
    <row r="1669" spans="1:9" ht="24" customHeight="1">
      <c r="A1669" s="6" t="s">
        <v>3025</v>
      </c>
      <c r="B1669">
        <v>71425</v>
      </c>
      <c r="C1669">
        <v>17497</v>
      </c>
      <c r="D1669">
        <v>498734</v>
      </c>
      <c r="E1669">
        <v>370916</v>
      </c>
      <c r="F1669">
        <v>5</v>
      </c>
      <c r="G1669">
        <v>2.8</v>
      </c>
      <c r="H1669">
        <v>34.9</v>
      </c>
      <c r="I1669">
        <v>34.9</v>
      </c>
    </row>
    <row r="1670" spans="1:9" ht="24" customHeight="1">
      <c r="A1670" s="6" t="s">
        <v>3026</v>
      </c>
      <c r="B1670">
        <v>146895</v>
      </c>
      <c r="C1670">
        <v>93746</v>
      </c>
      <c r="D1670">
        <v>395120</v>
      </c>
      <c r="E1670">
        <v>299534</v>
      </c>
      <c r="F1670">
        <v>8.1</v>
      </c>
      <c r="G1670">
        <v>5.8</v>
      </c>
      <c r="H1670">
        <v>6.9</v>
      </c>
      <c r="I1670">
        <v>6.6</v>
      </c>
    </row>
    <row r="1671" spans="1:9" ht="24" customHeight="1">
      <c r="A1671" s="6" t="s">
        <v>3027</v>
      </c>
      <c r="B1671">
        <v>467406</v>
      </c>
      <c r="C1671">
        <v>211581</v>
      </c>
      <c r="D1671">
        <v>491788</v>
      </c>
      <c r="E1671">
        <v>367312</v>
      </c>
      <c r="F1671">
        <v>9.3000000000000007</v>
      </c>
      <c r="G1671">
        <v>6.5</v>
      </c>
      <c r="H1671">
        <v>14.3</v>
      </c>
      <c r="I1671">
        <v>10.1</v>
      </c>
    </row>
    <row r="1672" spans="1:9" ht="24" customHeight="1">
      <c r="A1672" s="6" t="s">
        <v>3028</v>
      </c>
      <c r="B1672">
        <v>32094</v>
      </c>
      <c r="C1672">
        <v>20254</v>
      </c>
      <c r="D1672">
        <v>309181</v>
      </c>
      <c r="E1672">
        <v>269115</v>
      </c>
      <c r="F1672">
        <v>7.3</v>
      </c>
      <c r="G1672">
        <v>3.1</v>
      </c>
      <c r="H1672">
        <v>0</v>
      </c>
      <c r="I1672">
        <v>0</v>
      </c>
    </row>
    <row r="1673" spans="1:9" ht="24" customHeight="1">
      <c r="A1673" s="6" t="s">
        <v>3029</v>
      </c>
      <c r="B1673">
        <v>45077</v>
      </c>
      <c r="C1673">
        <v>33087</v>
      </c>
      <c r="D1673">
        <v>366678</v>
      </c>
      <c r="E1673">
        <v>339268</v>
      </c>
      <c r="F1673">
        <v>12.4</v>
      </c>
      <c r="G1673">
        <v>8</v>
      </c>
      <c r="H1673">
        <v>1.5</v>
      </c>
      <c r="I1673">
        <v>1.5</v>
      </c>
    </row>
    <row r="1674" spans="1:9" ht="24" customHeight="1">
      <c r="A1674" s="6" t="s">
        <v>3030</v>
      </c>
      <c r="B1674">
        <v>55237</v>
      </c>
      <c r="C1674">
        <v>28310</v>
      </c>
      <c r="D1674">
        <v>497519</v>
      </c>
      <c r="E1674">
        <v>376049</v>
      </c>
      <c r="F1674">
        <v>9.6</v>
      </c>
      <c r="G1674">
        <v>5.8</v>
      </c>
      <c r="H1674">
        <v>12.1</v>
      </c>
      <c r="I1674">
        <v>12</v>
      </c>
    </row>
    <row r="1675" spans="1:9" ht="24" customHeight="1">
      <c r="A1675" s="6" t="s">
        <v>3031</v>
      </c>
      <c r="B1675">
        <v>61488</v>
      </c>
      <c r="C1675">
        <v>21482</v>
      </c>
      <c r="D1675">
        <v>547195</v>
      </c>
      <c r="E1675">
        <v>403998</v>
      </c>
      <c r="F1675">
        <v>8.6</v>
      </c>
      <c r="G1675">
        <v>5.0999999999999996</v>
      </c>
      <c r="H1675">
        <v>16.899999999999999</v>
      </c>
      <c r="I1675">
        <v>16.899999999999999</v>
      </c>
    </row>
    <row r="1676" spans="1:9" ht="24" customHeight="1">
      <c r="A1676" s="6" t="s">
        <v>3032</v>
      </c>
      <c r="B1676">
        <v>42907</v>
      </c>
      <c r="C1676">
        <v>15051</v>
      </c>
      <c r="D1676">
        <v>566791</v>
      </c>
      <c r="E1676">
        <v>414348</v>
      </c>
      <c r="F1676">
        <v>6.9</v>
      </c>
      <c r="G1676">
        <v>4.4000000000000004</v>
      </c>
      <c r="H1676">
        <v>21.9</v>
      </c>
      <c r="I1676">
        <v>21.5</v>
      </c>
    </row>
    <row r="1677" spans="1:9" ht="24" customHeight="1">
      <c r="A1677" s="6" t="s">
        <v>3033</v>
      </c>
      <c r="B1677">
        <v>44816</v>
      </c>
      <c r="C1677">
        <v>10990</v>
      </c>
      <c r="D1677">
        <v>601395</v>
      </c>
      <c r="E1677">
        <v>446416</v>
      </c>
      <c r="F1677">
        <v>6.6</v>
      </c>
      <c r="G1677">
        <v>11.2</v>
      </c>
      <c r="H1677">
        <v>26.8</v>
      </c>
      <c r="I1677">
        <v>26.9</v>
      </c>
    </row>
    <row r="1678" spans="1:9" ht="24" customHeight="1">
      <c r="A1678" s="6" t="s">
        <v>3034</v>
      </c>
      <c r="B1678">
        <v>42843</v>
      </c>
      <c r="C1678">
        <v>28713</v>
      </c>
      <c r="D1678">
        <v>417460</v>
      </c>
      <c r="E1678">
        <v>339577</v>
      </c>
      <c r="F1678">
        <v>11.5</v>
      </c>
      <c r="G1678">
        <v>7.8</v>
      </c>
      <c r="H1678">
        <v>3.5</v>
      </c>
      <c r="I1678">
        <v>3.5</v>
      </c>
    </row>
    <row r="1679" spans="1:9" ht="24" customHeight="1">
      <c r="A1679" s="6" t="s">
        <v>3035</v>
      </c>
      <c r="B1679">
        <v>61117</v>
      </c>
      <c r="C1679">
        <v>12966</v>
      </c>
      <c r="D1679">
        <v>604488</v>
      </c>
      <c r="E1679">
        <v>449206</v>
      </c>
      <c r="F1679">
        <v>5.9</v>
      </c>
      <c r="G1679">
        <v>7.2</v>
      </c>
      <c r="H1679">
        <v>33.9</v>
      </c>
      <c r="I1679">
        <v>33.799999999999997</v>
      </c>
    </row>
    <row r="1680" spans="1:9" ht="24" customHeight="1">
      <c r="A1680" s="6" t="s">
        <v>3036</v>
      </c>
      <c r="B1680">
        <v>84010</v>
      </c>
      <c r="C1680">
        <v>48977</v>
      </c>
      <c r="D1680">
        <v>438631</v>
      </c>
      <c r="E1680">
        <v>349998</v>
      </c>
      <c r="F1680">
        <v>12.8</v>
      </c>
      <c r="G1680">
        <v>6.3</v>
      </c>
      <c r="H1680">
        <v>6.9</v>
      </c>
      <c r="I1680">
        <v>6.8</v>
      </c>
    </row>
    <row r="1681" spans="1:9" ht="24" customHeight="1">
      <c r="A1681" s="6" t="s">
        <v>3037</v>
      </c>
      <c r="B1681">
        <v>619446</v>
      </c>
      <c r="C1681">
        <v>270839</v>
      </c>
      <c r="D1681">
        <v>532824</v>
      </c>
      <c r="E1681">
        <v>365655</v>
      </c>
      <c r="F1681">
        <v>12.7</v>
      </c>
      <c r="G1681">
        <v>8.1</v>
      </c>
      <c r="H1681">
        <v>14.6</v>
      </c>
      <c r="I1681">
        <v>9.6</v>
      </c>
    </row>
    <row r="1682" spans="1:9" ht="24" customHeight="1">
      <c r="A1682" s="6" t="s">
        <v>3038</v>
      </c>
      <c r="B1682">
        <v>35235</v>
      </c>
      <c r="C1682">
        <v>27776</v>
      </c>
      <c r="D1682">
        <v>330510</v>
      </c>
      <c r="E1682">
        <v>255080</v>
      </c>
      <c r="F1682">
        <v>5.8</v>
      </c>
      <c r="G1682">
        <v>4</v>
      </c>
      <c r="H1682">
        <v>0</v>
      </c>
      <c r="I1682">
        <v>0</v>
      </c>
    </row>
    <row r="1683" spans="1:9" ht="24" customHeight="1">
      <c r="A1683" s="6" t="s">
        <v>3039</v>
      </c>
      <c r="B1683">
        <v>53845</v>
      </c>
      <c r="C1683">
        <v>49146</v>
      </c>
      <c r="D1683">
        <v>365679</v>
      </c>
      <c r="E1683">
        <v>321090</v>
      </c>
      <c r="F1683">
        <v>14.7</v>
      </c>
      <c r="G1683">
        <v>7.6</v>
      </c>
      <c r="H1683">
        <v>1.4</v>
      </c>
      <c r="I1683">
        <v>1.4</v>
      </c>
    </row>
    <row r="1684" spans="1:9" ht="24" customHeight="1">
      <c r="A1684" s="6" t="s">
        <v>3040</v>
      </c>
      <c r="B1684">
        <v>76635</v>
      </c>
      <c r="C1684">
        <v>30819</v>
      </c>
      <c r="D1684">
        <v>544605</v>
      </c>
      <c r="E1684">
        <v>371961</v>
      </c>
      <c r="F1684">
        <v>14.8</v>
      </c>
      <c r="G1684">
        <v>7</v>
      </c>
      <c r="H1684">
        <v>12.1</v>
      </c>
      <c r="I1684">
        <v>11.9</v>
      </c>
    </row>
    <row r="1685" spans="1:9" ht="24" customHeight="1">
      <c r="A1685" s="6" t="s">
        <v>3041</v>
      </c>
      <c r="B1685">
        <v>94640</v>
      </c>
      <c r="C1685">
        <v>31069</v>
      </c>
      <c r="D1685">
        <v>594000</v>
      </c>
      <c r="E1685">
        <v>436353</v>
      </c>
      <c r="F1685">
        <v>12.9</v>
      </c>
      <c r="G1685">
        <v>5.6</v>
      </c>
      <c r="H1685">
        <v>16.8</v>
      </c>
      <c r="I1685">
        <v>16.600000000000001</v>
      </c>
    </row>
    <row r="1686" spans="1:9" ht="24" customHeight="1">
      <c r="A1686" s="6" t="s">
        <v>3042</v>
      </c>
      <c r="B1686">
        <v>54087</v>
      </c>
      <c r="C1686">
        <v>14173</v>
      </c>
      <c r="D1686">
        <v>618660</v>
      </c>
      <c r="E1686">
        <v>414588</v>
      </c>
      <c r="F1686">
        <v>13.7</v>
      </c>
      <c r="G1686">
        <v>9.1999999999999993</v>
      </c>
      <c r="H1686">
        <v>21.8</v>
      </c>
      <c r="I1686">
        <v>21.7</v>
      </c>
    </row>
    <row r="1687" spans="1:9" ht="24" customHeight="1">
      <c r="A1687" s="6" t="s">
        <v>3043</v>
      </c>
      <c r="B1687">
        <v>63760</v>
      </c>
      <c r="C1687">
        <v>14376</v>
      </c>
      <c r="D1687">
        <v>649561</v>
      </c>
      <c r="E1687">
        <v>441905</v>
      </c>
      <c r="F1687">
        <v>10.199999999999999</v>
      </c>
      <c r="G1687">
        <v>7.9</v>
      </c>
      <c r="H1687">
        <v>27</v>
      </c>
      <c r="I1687">
        <v>26.9</v>
      </c>
    </row>
    <row r="1688" spans="1:9" ht="24" customHeight="1">
      <c r="A1688" s="6" t="s">
        <v>3044</v>
      </c>
      <c r="B1688">
        <v>64796</v>
      </c>
      <c r="C1688">
        <v>37911</v>
      </c>
      <c r="D1688">
        <v>446853</v>
      </c>
      <c r="E1688">
        <v>337109</v>
      </c>
      <c r="F1688">
        <v>14.8</v>
      </c>
      <c r="G1688">
        <v>9.3000000000000007</v>
      </c>
      <c r="H1688">
        <v>3.5</v>
      </c>
      <c r="I1688">
        <v>3.5</v>
      </c>
    </row>
    <row r="1689" spans="1:9" ht="24" customHeight="1">
      <c r="A1689" s="6" t="s">
        <v>3045</v>
      </c>
      <c r="B1689">
        <v>78168</v>
      </c>
      <c r="C1689">
        <v>15629</v>
      </c>
      <c r="D1689">
        <v>631345</v>
      </c>
      <c r="E1689">
        <v>493811</v>
      </c>
      <c r="F1689">
        <v>8.4</v>
      </c>
      <c r="G1689">
        <v>9.3000000000000007</v>
      </c>
      <c r="H1689">
        <v>33.799999999999997</v>
      </c>
      <c r="I1689">
        <v>33.4</v>
      </c>
    </row>
    <row r="1690" spans="1:9" ht="24" customHeight="1">
      <c r="A1690" s="6" t="s">
        <v>3046</v>
      </c>
      <c r="B1690">
        <v>98649</v>
      </c>
      <c r="C1690">
        <v>60059</v>
      </c>
      <c r="D1690">
        <v>483731</v>
      </c>
      <c r="E1690">
        <v>354998</v>
      </c>
      <c r="F1690">
        <v>15.3</v>
      </c>
      <c r="G1690">
        <v>9.6</v>
      </c>
      <c r="H1690">
        <v>7</v>
      </c>
      <c r="I1690">
        <v>6.9</v>
      </c>
    </row>
    <row r="1691" spans="1:9" ht="24" customHeight="1">
      <c r="A1691" s="6" t="s">
        <v>553</v>
      </c>
      <c r="B1691">
        <v>284464</v>
      </c>
      <c r="C1691">
        <v>398676</v>
      </c>
      <c r="D1691">
        <v>787009</v>
      </c>
      <c r="E1691">
        <v>422362</v>
      </c>
      <c r="F1691">
        <v>15.2</v>
      </c>
      <c r="G1691">
        <v>9.6999999999999993</v>
      </c>
      <c r="H1691">
        <v>16.2</v>
      </c>
      <c r="I1691">
        <v>12.6</v>
      </c>
    </row>
    <row r="1692" spans="1:9" ht="24" customHeight="1">
      <c r="A1692" s="6" t="s">
        <v>554</v>
      </c>
      <c r="B1692">
        <v>14003</v>
      </c>
      <c r="C1692">
        <v>29959</v>
      </c>
      <c r="D1692">
        <v>362626</v>
      </c>
      <c r="E1692">
        <v>230392</v>
      </c>
      <c r="F1692">
        <v>8.1999999999999993</v>
      </c>
      <c r="G1692">
        <v>2.2999999999999998</v>
      </c>
      <c r="H1692">
        <v>0</v>
      </c>
      <c r="I1692">
        <v>0</v>
      </c>
    </row>
    <row r="1693" spans="1:9" ht="24" customHeight="1">
      <c r="A1693" s="6" t="s">
        <v>3047</v>
      </c>
      <c r="B1693">
        <v>22370</v>
      </c>
      <c r="C1693">
        <v>50034</v>
      </c>
      <c r="D1693">
        <v>477841</v>
      </c>
      <c r="E1693">
        <v>289859</v>
      </c>
      <c r="F1693">
        <v>23</v>
      </c>
      <c r="G1693">
        <v>7.3</v>
      </c>
      <c r="H1693">
        <v>1.5</v>
      </c>
      <c r="I1693">
        <v>1.5</v>
      </c>
    </row>
    <row r="1694" spans="1:9" ht="24" customHeight="1">
      <c r="A1694" s="6" t="s">
        <v>3048</v>
      </c>
      <c r="B1694">
        <v>35145</v>
      </c>
      <c r="C1694">
        <v>68278</v>
      </c>
      <c r="D1694">
        <v>816899</v>
      </c>
      <c r="E1694">
        <v>417324</v>
      </c>
      <c r="F1694">
        <v>21.2</v>
      </c>
      <c r="G1694">
        <v>8.9</v>
      </c>
      <c r="H1694">
        <v>12.3</v>
      </c>
      <c r="I1694">
        <v>12.3</v>
      </c>
    </row>
    <row r="1695" spans="1:9" ht="24" customHeight="1">
      <c r="A1695" s="6" t="s">
        <v>3049</v>
      </c>
      <c r="B1695">
        <v>44333</v>
      </c>
      <c r="C1695">
        <v>61826</v>
      </c>
      <c r="D1695">
        <v>938086</v>
      </c>
      <c r="E1695">
        <v>478500</v>
      </c>
      <c r="F1695">
        <v>13.7</v>
      </c>
      <c r="G1695">
        <v>9.3000000000000007</v>
      </c>
      <c r="H1695">
        <v>16.7</v>
      </c>
      <c r="I1695">
        <v>16.600000000000001</v>
      </c>
    </row>
    <row r="1696" spans="1:9" ht="24" customHeight="1">
      <c r="A1696" s="6" t="s">
        <v>3050</v>
      </c>
      <c r="B1696">
        <v>27760</v>
      </c>
      <c r="C1696">
        <v>29559</v>
      </c>
      <c r="D1696">
        <v>958767</v>
      </c>
      <c r="E1696">
        <v>530079</v>
      </c>
      <c r="F1696">
        <v>8.3000000000000007</v>
      </c>
      <c r="G1696">
        <v>8.9</v>
      </c>
      <c r="H1696">
        <v>22</v>
      </c>
      <c r="I1696">
        <v>21.9</v>
      </c>
    </row>
    <row r="1697" spans="1:9" ht="24" customHeight="1">
      <c r="A1697" s="6" t="s">
        <v>3051</v>
      </c>
      <c r="B1697">
        <v>28404</v>
      </c>
      <c r="C1697">
        <v>24216</v>
      </c>
      <c r="D1697">
        <v>997905</v>
      </c>
      <c r="E1697">
        <v>595285</v>
      </c>
      <c r="F1697">
        <v>6.6</v>
      </c>
      <c r="G1697">
        <v>10</v>
      </c>
      <c r="H1697">
        <v>27.1</v>
      </c>
      <c r="I1697">
        <v>26.8</v>
      </c>
    </row>
    <row r="1698" spans="1:9" ht="24" customHeight="1">
      <c r="A1698" s="6" t="s">
        <v>3052</v>
      </c>
      <c r="B1698">
        <v>19836</v>
      </c>
      <c r="C1698">
        <v>39322</v>
      </c>
      <c r="D1698">
        <v>557351</v>
      </c>
      <c r="E1698">
        <v>313294</v>
      </c>
      <c r="F1698">
        <v>27.1</v>
      </c>
      <c r="G1698">
        <v>8.1</v>
      </c>
      <c r="H1698">
        <v>3.5</v>
      </c>
      <c r="I1698">
        <v>3.5</v>
      </c>
    </row>
    <row r="1699" spans="1:9" ht="24" customHeight="1">
      <c r="A1699" s="6" t="s">
        <v>555</v>
      </c>
      <c r="B1699">
        <v>50069</v>
      </c>
      <c r="C1699">
        <v>47540</v>
      </c>
      <c r="D1699">
        <v>865738</v>
      </c>
      <c r="E1699">
        <v>520987</v>
      </c>
      <c r="F1699">
        <v>8.5</v>
      </c>
      <c r="G1699">
        <v>10.6</v>
      </c>
      <c r="H1699">
        <v>33.299999999999997</v>
      </c>
      <c r="I1699">
        <v>34.299999999999997</v>
      </c>
    </row>
    <row r="1700" spans="1:9" ht="24" customHeight="1">
      <c r="A1700" s="6" t="s">
        <v>3053</v>
      </c>
      <c r="B1700">
        <v>42934</v>
      </c>
      <c r="C1700">
        <v>83978</v>
      </c>
      <c r="D1700">
        <v>666651</v>
      </c>
      <c r="E1700">
        <v>378724</v>
      </c>
      <c r="F1700">
        <v>22.4</v>
      </c>
      <c r="G1700">
        <v>12.1</v>
      </c>
      <c r="H1700">
        <v>6.7</v>
      </c>
      <c r="I1700">
        <v>6.8</v>
      </c>
    </row>
    <row r="1701" spans="1:9" ht="24" customHeight="1">
      <c r="A1701" s="6" t="s">
        <v>3054</v>
      </c>
      <c r="B1701">
        <v>37453</v>
      </c>
      <c r="C1701">
        <v>27760</v>
      </c>
      <c r="D1701">
        <v>679315</v>
      </c>
      <c r="E1701">
        <v>452134</v>
      </c>
      <c r="F1701">
        <v>5.9</v>
      </c>
      <c r="G1701">
        <v>5.2</v>
      </c>
      <c r="H1701">
        <v>12.1</v>
      </c>
      <c r="I1701">
        <v>10.8</v>
      </c>
    </row>
    <row r="1702" spans="1:9" ht="24" customHeight="1">
      <c r="A1702" s="6" t="s">
        <v>3055</v>
      </c>
      <c r="B1702">
        <v>2989</v>
      </c>
      <c r="C1702">
        <v>2503</v>
      </c>
      <c r="D1702">
        <v>479747</v>
      </c>
      <c r="E1702">
        <v>377696</v>
      </c>
      <c r="F1702">
        <v>5.5</v>
      </c>
      <c r="G1702">
        <v>4.3</v>
      </c>
      <c r="H1702">
        <v>0</v>
      </c>
      <c r="I1702">
        <v>0</v>
      </c>
    </row>
    <row r="1703" spans="1:9" ht="24" customHeight="1">
      <c r="A1703" s="6" t="s">
        <v>3056</v>
      </c>
      <c r="B1703">
        <v>5240</v>
      </c>
      <c r="C1703">
        <v>4142</v>
      </c>
      <c r="D1703">
        <v>585545</v>
      </c>
      <c r="E1703">
        <v>384541</v>
      </c>
      <c r="F1703">
        <v>6.7</v>
      </c>
      <c r="G1703">
        <v>4.3</v>
      </c>
      <c r="H1703">
        <v>1.5</v>
      </c>
      <c r="I1703">
        <v>1.4</v>
      </c>
    </row>
    <row r="1704" spans="1:9" ht="24" customHeight="1">
      <c r="A1704" s="6" t="s">
        <v>3057</v>
      </c>
      <c r="B1704">
        <v>5240</v>
      </c>
      <c r="C1704">
        <v>4482</v>
      </c>
      <c r="D1704">
        <v>647813</v>
      </c>
      <c r="E1704">
        <v>441649</v>
      </c>
      <c r="F1704">
        <v>6.1</v>
      </c>
      <c r="G1704">
        <v>4</v>
      </c>
      <c r="H1704">
        <v>12.1</v>
      </c>
      <c r="I1704">
        <v>12.2</v>
      </c>
    </row>
    <row r="1705" spans="1:9" ht="24" customHeight="1">
      <c r="A1705" s="6" t="s">
        <v>3058</v>
      </c>
      <c r="B1705">
        <v>3809</v>
      </c>
      <c r="C1705">
        <v>2991</v>
      </c>
      <c r="D1705">
        <v>795656</v>
      </c>
      <c r="E1705">
        <v>516193</v>
      </c>
      <c r="F1705">
        <v>5.9</v>
      </c>
      <c r="G1705">
        <v>5.0999999999999996</v>
      </c>
      <c r="H1705">
        <v>16.8</v>
      </c>
      <c r="I1705">
        <v>16.600000000000001</v>
      </c>
    </row>
    <row r="1706" spans="1:9" ht="24" customHeight="1">
      <c r="A1706" s="6" t="s">
        <v>3059</v>
      </c>
      <c r="B1706">
        <v>3022</v>
      </c>
      <c r="C1706">
        <v>2151</v>
      </c>
      <c r="D1706">
        <v>780742</v>
      </c>
      <c r="E1706">
        <v>492298</v>
      </c>
      <c r="F1706">
        <v>4.3</v>
      </c>
      <c r="G1706">
        <v>4.4000000000000004</v>
      </c>
      <c r="H1706">
        <v>21.9</v>
      </c>
      <c r="I1706">
        <v>21.9</v>
      </c>
    </row>
    <row r="1707" spans="1:9" ht="24" customHeight="1">
      <c r="A1707" s="6" t="s">
        <v>3060</v>
      </c>
      <c r="B1707">
        <v>2568</v>
      </c>
      <c r="C1707">
        <v>1486</v>
      </c>
      <c r="D1707">
        <v>706887</v>
      </c>
      <c r="E1707">
        <v>531536</v>
      </c>
      <c r="F1707">
        <v>3.9</v>
      </c>
      <c r="G1707">
        <v>5</v>
      </c>
      <c r="H1707">
        <v>27.3</v>
      </c>
      <c r="I1707">
        <v>26.3</v>
      </c>
    </row>
    <row r="1708" spans="1:9" ht="24" customHeight="1">
      <c r="A1708" s="6" t="s">
        <v>3061</v>
      </c>
      <c r="B1708">
        <v>4261</v>
      </c>
      <c r="C1708">
        <v>3959</v>
      </c>
      <c r="D1708">
        <v>719161</v>
      </c>
      <c r="E1708">
        <v>407079</v>
      </c>
      <c r="F1708">
        <v>7.7</v>
      </c>
      <c r="G1708">
        <v>5.7</v>
      </c>
      <c r="H1708">
        <v>3.5</v>
      </c>
      <c r="I1708">
        <v>3.5</v>
      </c>
    </row>
    <row r="1709" spans="1:9" ht="24" customHeight="1">
      <c r="A1709" s="6" t="s">
        <v>3062</v>
      </c>
      <c r="B1709">
        <v>3569</v>
      </c>
      <c r="C1709">
        <v>2138</v>
      </c>
      <c r="D1709">
        <v>668613</v>
      </c>
      <c r="E1709">
        <v>521695</v>
      </c>
      <c r="F1709">
        <v>1.8</v>
      </c>
      <c r="G1709">
        <v>3.9</v>
      </c>
      <c r="H1709">
        <v>33.9</v>
      </c>
      <c r="I1709">
        <v>33</v>
      </c>
    </row>
    <row r="1710" spans="1:9" ht="24" customHeight="1">
      <c r="A1710" s="6" t="s">
        <v>3063</v>
      </c>
      <c r="B1710">
        <v>6897</v>
      </c>
      <c r="C1710">
        <v>5905</v>
      </c>
      <c r="D1710">
        <v>713567</v>
      </c>
      <c r="E1710">
        <v>417648</v>
      </c>
      <c r="F1710">
        <v>7.4</v>
      </c>
      <c r="G1710">
        <v>6.6</v>
      </c>
      <c r="H1710">
        <v>6.8</v>
      </c>
      <c r="I1710">
        <v>6.7</v>
      </c>
    </row>
    <row r="1711" spans="1:9" ht="24" customHeight="1">
      <c r="A1711" s="6" t="s">
        <v>3064</v>
      </c>
      <c r="B1711">
        <v>38389</v>
      </c>
      <c r="C1711">
        <v>25733</v>
      </c>
      <c r="D1711">
        <v>589944</v>
      </c>
      <c r="E1711">
        <v>416487</v>
      </c>
      <c r="F1711">
        <v>7.2</v>
      </c>
      <c r="G1711">
        <v>7.4</v>
      </c>
      <c r="H1711">
        <v>14.4</v>
      </c>
      <c r="I1711">
        <v>11</v>
      </c>
    </row>
    <row r="1712" spans="1:9" ht="24" customHeight="1">
      <c r="A1712" s="6" t="s">
        <v>3065</v>
      </c>
      <c r="B1712">
        <v>2010</v>
      </c>
      <c r="C1712">
        <v>2336</v>
      </c>
      <c r="D1712">
        <v>417022</v>
      </c>
      <c r="E1712">
        <v>253451</v>
      </c>
      <c r="F1712">
        <v>4.5</v>
      </c>
      <c r="G1712">
        <v>5.0999999999999996</v>
      </c>
      <c r="H1712">
        <v>0</v>
      </c>
      <c r="I1712">
        <v>0</v>
      </c>
    </row>
    <row r="1713" spans="1:9" ht="24" customHeight="1">
      <c r="A1713" s="6" t="s">
        <v>3066</v>
      </c>
      <c r="B1713">
        <v>4515</v>
      </c>
      <c r="C1713">
        <v>3358</v>
      </c>
      <c r="D1713">
        <v>507215</v>
      </c>
      <c r="E1713">
        <v>323391</v>
      </c>
      <c r="F1713">
        <v>8.8000000000000007</v>
      </c>
      <c r="G1713">
        <v>8.4</v>
      </c>
      <c r="H1713">
        <v>1.4</v>
      </c>
      <c r="I1713">
        <v>1.5</v>
      </c>
    </row>
    <row r="1714" spans="1:9" ht="24" customHeight="1">
      <c r="A1714" s="6" t="s">
        <v>3067</v>
      </c>
      <c r="B1714">
        <v>5191</v>
      </c>
      <c r="C1714">
        <v>3477</v>
      </c>
      <c r="D1714">
        <v>607077</v>
      </c>
      <c r="E1714">
        <v>405637</v>
      </c>
      <c r="F1714">
        <v>7.8</v>
      </c>
      <c r="G1714">
        <v>6.7</v>
      </c>
      <c r="H1714">
        <v>11.8</v>
      </c>
      <c r="I1714">
        <v>12.2</v>
      </c>
    </row>
    <row r="1715" spans="1:9" ht="24" customHeight="1">
      <c r="A1715" s="6" t="s">
        <v>3068</v>
      </c>
      <c r="B1715">
        <v>3868</v>
      </c>
      <c r="C1715">
        <v>3076</v>
      </c>
      <c r="D1715">
        <v>617882</v>
      </c>
      <c r="E1715">
        <v>430016</v>
      </c>
      <c r="F1715">
        <v>8.4</v>
      </c>
      <c r="G1715">
        <v>7.6</v>
      </c>
      <c r="H1715">
        <v>16.600000000000001</v>
      </c>
      <c r="I1715">
        <v>16.600000000000001</v>
      </c>
    </row>
    <row r="1716" spans="1:9" ht="24" customHeight="1">
      <c r="A1716" s="6" t="s">
        <v>3069</v>
      </c>
      <c r="B1716">
        <v>3649</v>
      </c>
      <c r="C1716">
        <v>1879</v>
      </c>
      <c r="D1716">
        <v>673462</v>
      </c>
      <c r="E1716">
        <v>512987</v>
      </c>
      <c r="F1716">
        <v>4.5</v>
      </c>
      <c r="G1716">
        <v>5.9</v>
      </c>
      <c r="H1716">
        <v>21.8</v>
      </c>
      <c r="I1716">
        <v>21.6</v>
      </c>
    </row>
    <row r="1717" spans="1:9" ht="24" customHeight="1">
      <c r="A1717" s="6" t="s">
        <v>3070</v>
      </c>
      <c r="B1717">
        <v>2777</v>
      </c>
      <c r="C1717">
        <v>1215</v>
      </c>
      <c r="D1717">
        <v>651691</v>
      </c>
      <c r="E1717">
        <v>507203</v>
      </c>
      <c r="F1717">
        <v>2.5</v>
      </c>
      <c r="G1717">
        <v>3.7</v>
      </c>
      <c r="H1717">
        <v>27.2</v>
      </c>
      <c r="I1717">
        <v>26.9</v>
      </c>
    </row>
    <row r="1718" spans="1:9" ht="24" customHeight="1">
      <c r="A1718" s="6" t="s">
        <v>3071</v>
      </c>
      <c r="B1718">
        <v>3936</v>
      </c>
      <c r="C1718">
        <v>3156</v>
      </c>
      <c r="D1718">
        <v>597721</v>
      </c>
      <c r="E1718">
        <v>398961</v>
      </c>
      <c r="F1718">
        <v>11.2</v>
      </c>
      <c r="G1718">
        <v>8.5</v>
      </c>
      <c r="H1718">
        <v>3.4</v>
      </c>
      <c r="I1718">
        <v>3.5</v>
      </c>
    </row>
    <row r="1719" spans="1:9" ht="24" customHeight="1">
      <c r="A1719" s="6" t="s">
        <v>3072</v>
      </c>
      <c r="B1719">
        <v>6202</v>
      </c>
      <c r="C1719">
        <v>2293</v>
      </c>
      <c r="D1719">
        <v>668923</v>
      </c>
      <c r="E1719">
        <v>525563</v>
      </c>
      <c r="F1719">
        <v>2.2999999999999998</v>
      </c>
      <c r="G1719">
        <v>5.6</v>
      </c>
      <c r="H1719">
        <v>33.9</v>
      </c>
      <c r="I1719">
        <v>34.1</v>
      </c>
    </row>
    <row r="1720" spans="1:9" ht="24" customHeight="1">
      <c r="A1720" s="6" t="s">
        <v>3073</v>
      </c>
      <c r="B1720">
        <v>6297</v>
      </c>
      <c r="C1720">
        <v>6320</v>
      </c>
      <c r="D1720">
        <v>511878</v>
      </c>
      <c r="E1720">
        <v>419696</v>
      </c>
      <c r="F1720">
        <v>11.4</v>
      </c>
      <c r="G1720">
        <v>8.1999999999999993</v>
      </c>
      <c r="H1720">
        <v>6.8</v>
      </c>
      <c r="I1720">
        <v>6.8</v>
      </c>
    </row>
    <row r="1721" spans="1:9" ht="24" customHeight="1">
      <c r="A1721" s="6" t="s">
        <v>3074</v>
      </c>
      <c r="B1721">
        <v>68244</v>
      </c>
      <c r="C1721">
        <v>54826</v>
      </c>
      <c r="D1721">
        <v>627607</v>
      </c>
      <c r="E1721">
        <v>431692</v>
      </c>
      <c r="F1721">
        <v>10.6</v>
      </c>
      <c r="G1721">
        <v>9.6</v>
      </c>
      <c r="H1721">
        <v>15.3</v>
      </c>
      <c r="I1721">
        <v>10.199999999999999</v>
      </c>
    </row>
    <row r="1722" spans="1:9" ht="24" customHeight="1">
      <c r="A1722" s="6" t="s">
        <v>3075</v>
      </c>
      <c r="B1722">
        <v>4126</v>
      </c>
      <c r="C1722">
        <v>5619</v>
      </c>
      <c r="D1722">
        <v>363109</v>
      </c>
      <c r="E1722">
        <v>279016</v>
      </c>
      <c r="F1722">
        <v>5.9</v>
      </c>
      <c r="G1722">
        <v>5.8</v>
      </c>
      <c r="H1722">
        <v>0</v>
      </c>
      <c r="I1722">
        <v>0</v>
      </c>
    </row>
    <row r="1723" spans="1:9" ht="24" customHeight="1">
      <c r="A1723" s="6" t="s">
        <v>3076</v>
      </c>
      <c r="B1723">
        <v>6694</v>
      </c>
      <c r="C1723">
        <v>9097</v>
      </c>
      <c r="D1723">
        <v>445771</v>
      </c>
      <c r="E1723">
        <v>350745</v>
      </c>
      <c r="F1723">
        <v>14.6</v>
      </c>
      <c r="G1723">
        <v>9.6999999999999993</v>
      </c>
      <c r="H1723">
        <v>1.5</v>
      </c>
      <c r="I1723">
        <v>1.5</v>
      </c>
    </row>
    <row r="1724" spans="1:9" ht="24" customHeight="1">
      <c r="A1724" s="6" t="s">
        <v>3077</v>
      </c>
      <c r="B1724">
        <v>8098</v>
      </c>
      <c r="C1724">
        <v>7219</v>
      </c>
      <c r="D1724">
        <v>676165</v>
      </c>
      <c r="E1724">
        <v>507060</v>
      </c>
      <c r="F1724">
        <v>13.5</v>
      </c>
      <c r="G1724">
        <v>8.6999999999999993</v>
      </c>
      <c r="H1724">
        <v>12.3</v>
      </c>
      <c r="I1724">
        <v>11.8</v>
      </c>
    </row>
    <row r="1725" spans="1:9" ht="24" customHeight="1">
      <c r="A1725" s="6" t="s">
        <v>3078</v>
      </c>
      <c r="B1725">
        <v>8217</v>
      </c>
      <c r="C1725">
        <v>5283</v>
      </c>
      <c r="D1725">
        <v>730175</v>
      </c>
      <c r="E1725">
        <v>479472</v>
      </c>
      <c r="F1725">
        <v>11.5</v>
      </c>
      <c r="G1725">
        <v>9.9</v>
      </c>
      <c r="H1725">
        <v>16.7</v>
      </c>
      <c r="I1725">
        <v>16.7</v>
      </c>
    </row>
    <row r="1726" spans="1:9" ht="24" customHeight="1">
      <c r="A1726" s="6" t="s">
        <v>3079</v>
      </c>
      <c r="B1726">
        <v>5739</v>
      </c>
      <c r="C1726">
        <v>2935</v>
      </c>
      <c r="D1726">
        <v>771930</v>
      </c>
      <c r="E1726">
        <v>478032</v>
      </c>
      <c r="F1726">
        <v>6.6</v>
      </c>
      <c r="G1726">
        <v>9.9</v>
      </c>
      <c r="H1726">
        <v>22</v>
      </c>
      <c r="I1726">
        <v>21.7</v>
      </c>
    </row>
    <row r="1727" spans="1:9" ht="24" customHeight="1">
      <c r="A1727" s="6" t="s">
        <v>3080</v>
      </c>
      <c r="B1727">
        <v>6573</v>
      </c>
      <c r="C1727">
        <v>2292</v>
      </c>
      <c r="D1727">
        <v>718889</v>
      </c>
      <c r="E1727">
        <v>506699</v>
      </c>
      <c r="F1727">
        <v>3.8</v>
      </c>
      <c r="G1727">
        <v>8.6</v>
      </c>
      <c r="H1727">
        <v>27.1</v>
      </c>
      <c r="I1727">
        <v>27</v>
      </c>
    </row>
    <row r="1728" spans="1:9" ht="24" customHeight="1">
      <c r="A1728" s="6" t="s">
        <v>3081</v>
      </c>
      <c r="B1728">
        <v>6276</v>
      </c>
      <c r="C1728">
        <v>7849</v>
      </c>
      <c r="D1728">
        <v>570626</v>
      </c>
      <c r="E1728">
        <v>394989</v>
      </c>
      <c r="F1728">
        <v>17.7</v>
      </c>
      <c r="G1728">
        <v>11.2</v>
      </c>
      <c r="H1728">
        <v>3.5</v>
      </c>
      <c r="I1728">
        <v>3.4</v>
      </c>
    </row>
    <row r="1729" spans="1:9" ht="24" customHeight="1">
      <c r="A1729" s="6" t="s">
        <v>3082</v>
      </c>
      <c r="B1729">
        <v>11352</v>
      </c>
      <c r="C1729">
        <v>4736</v>
      </c>
      <c r="D1729">
        <v>668134</v>
      </c>
      <c r="E1729">
        <v>549691</v>
      </c>
      <c r="F1729">
        <v>5</v>
      </c>
      <c r="G1729">
        <v>5.7</v>
      </c>
      <c r="H1729">
        <v>35</v>
      </c>
      <c r="I1729">
        <v>34</v>
      </c>
    </row>
    <row r="1730" spans="1:9" ht="24" customHeight="1">
      <c r="A1730" s="6" t="s">
        <v>3083</v>
      </c>
      <c r="B1730">
        <v>11339</v>
      </c>
      <c r="C1730">
        <v>11754</v>
      </c>
      <c r="D1730">
        <v>582433</v>
      </c>
      <c r="E1730">
        <v>422963</v>
      </c>
      <c r="F1730">
        <v>14.5</v>
      </c>
      <c r="G1730">
        <v>11.2</v>
      </c>
      <c r="H1730">
        <v>6.8</v>
      </c>
      <c r="I1730">
        <v>6.8</v>
      </c>
    </row>
    <row r="1731" spans="1:9" ht="24" customHeight="1">
      <c r="A1731" s="6" t="s">
        <v>556</v>
      </c>
      <c r="B1731">
        <v>96679</v>
      </c>
      <c r="C1731">
        <v>50932</v>
      </c>
      <c r="D1731">
        <v>640924</v>
      </c>
      <c r="E1731">
        <v>457682</v>
      </c>
      <c r="F1731">
        <v>14.5</v>
      </c>
      <c r="G1731">
        <v>11.3</v>
      </c>
      <c r="H1731">
        <v>12.3</v>
      </c>
      <c r="I1731">
        <v>9.6</v>
      </c>
    </row>
    <row r="1732" spans="1:9" ht="24" customHeight="1">
      <c r="A1732" s="6" t="s">
        <v>557</v>
      </c>
      <c r="B1732">
        <v>6847</v>
      </c>
      <c r="C1732">
        <v>5300</v>
      </c>
      <c r="D1732">
        <v>291256</v>
      </c>
      <c r="E1732">
        <v>261019</v>
      </c>
      <c r="F1732">
        <v>8</v>
      </c>
      <c r="G1732">
        <v>6.7</v>
      </c>
      <c r="H1732">
        <v>0</v>
      </c>
      <c r="I1732">
        <v>0</v>
      </c>
    </row>
    <row r="1733" spans="1:9" ht="24" customHeight="1">
      <c r="A1733" s="6" t="s">
        <v>3084</v>
      </c>
      <c r="B1733">
        <v>10937</v>
      </c>
      <c r="C1733">
        <v>7685</v>
      </c>
      <c r="D1733">
        <v>418055</v>
      </c>
      <c r="E1733">
        <v>340914</v>
      </c>
      <c r="F1733">
        <v>18.2</v>
      </c>
      <c r="G1733">
        <v>12.2</v>
      </c>
      <c r="H1733">
        <v>1.5</v>
      </c>
      <c r="I1733">
        <v>1.5</v>
      </c>
    </row>
    <row r="1734" spans="1:9" ht="24" customHeight="1">
      <c r="A1734" s="6" t="s">
        <v>3085</v>
      </c>
      <c r="B1734">
        <v>11142</v>
      </c>
      <c r="C1734">
        <v>4552</v>
      </c>
      <c r="D1734">
        <v>678342</v>
      </c>
      <c r="E1734">
        <v>414040</v>
      </c>
      <c r="F1734">
        <v>15.9</v>
      </c>
      <c r="G1734">
        <v>9.4</v>
      </c>
      <c r="H1734">
        <v>11.9</v>
      </c>
      <c r="I1734">
        <v>12</v>
      </c>
    </row>
    <row r="1735" spans="1:9" ht="24" customHeight="1">
      <c r="A1735" s="6" t="s">
        <v>3086</v>
      </c>
      <c r="B1735">
        <v>14226</v>
      </c>
      <c r="C1735">
        <v>6836</v>
      </c>
      <c r="D1735">
        <v>774030</v>
      </c>
      <c r="E1735">
        <v>504588</v>
      </c>
      <c r="F1735">
        <v>13.9</v>
      </c>
      <c r="G1735">
        <v>9.4</v>
      </c>
      <c r="H1735">
        <v>16.5</v>
      </c>
      <c r="I1735">
        <v>16.7</v>
      </c>
    </row>
    <row r="1736" spans="1:9" ht="24" customHeight="1">
      <c r="A1736" s="6" t="s">
        <v>3087</v>
      </c>
      <c r="B1736">
        <v>8336</v>
      </c>
      <c r="C1736">
        <v>3561</v>
      </c>
      <c r="D1736">
        <v>766790</v>
      </c>
      <c r="E1736">
        <v>661342</v>
      </c>
      <c r="F1736">
        <v>7.6</v>
      </c>
      <c r="G1736">
        <v>12.1</v>
      </c>
      <c r="H1736">
        <v>21.6</v>
      </c>
      <c r="I1736">
        <v>21.8</v>
      </c>
    </row>
    <row r="1737" spans="1:9" ht="24" customHeight="1">
      <c r="A1737" s="6" t="s">
        <v>3088</v>
      </c>
      <c r="B1737">
        <v>7323</v>
      </c>
      <c r="C1737">
        <v>2843</v>
      </c>
      <c r="D1737">
        <v>848382</v>
      </c>
      <c r="E1737">
        <v>725835</v>
      </c>
      <c r="F1737">
        <v>7.6</v>
      </c>
      <c r="G1737">
        <v>11.2</v>
      </c>
      <c r="H1737">
        <v>26.8</v>
      </c>
      <c r="I1737">
        <v>26.2</v>
      </c>
    </row>
    <row r="1738" spans="1:9" ht="24" customHeight="1">
      <c r="A1738" s="6" t="s">
        <v>3089</v>
      </c>
      <c r="B1738">
        <v>11610</v>
      </c>
      <c r="C1738">
        <v>7881</v>
      </c>
      <c r="D1738">
        <v>522926</v>
      </c>
      <c r="E1738">
        <v>376325</v>
      </c>
      <c r="F1738">
        <v>19.899999999999999</v>
      </c>
      <c r="G1738">
        <v>13.3</v>
      </c>
      <c r="H1738">
        <v>3.4</v>
      </c>
      <c r="I1738">
        <v>3.5</v>
      </c>
    </row>
    <row r="1739" spans="1:9" ht="24" customHeight="1">
      <c r="A1739" s="6" t="s">
        <v>558</v>
      </c>
      <c r="B1739">
        <v>7936</v>
      </c>
      <c r="C1739">
        <v>2159</v>
      </c>
      <c r="D1739">
        <v>974190</v>
      </c>
      <c r="E1739">
        <v>858874</v>
      </c>
      <c r="F1739">
        <v>6.7</v>
      </c>
      <c r="G1739">
        <v>8.3000000000000007</v>
      </c>
      <c r="H1739">
        <v>33.5</v>
      </c>
      <c r="I1739">
        <v>34</v>
      </c>
    </row>
    <row r="1740" spans="1:9" ht="24" customHeight="1">
      <c r="A1740" s="6" t="s">
        <v>3090</v>
      </c>
      <c r="B1740">
        <v>18500</v>
      </c>
      <c r="C1740">
        <v>12716</v>
      </c>
      <c r="D1740">
        <v>565129</v>
      </c>
      <c r="E1740">
        <v>431673</v>
      </c>
      <c r="F1740">
        <v>19.899999999999999</v>
      </c>
      <c r="G1740">
        <v>12.1</v>
      </c>
      <c r="H1740">
        <v>6.9</v>
      </c>
      <c r="I1740">
        <v>6.7</v>
      </c>
    </row>
    <row r="1741" spans="1:9" ht="24" customHeight="1">
      <c r="A1741" s="6" t="s">
        <v>3091</v>
      </c>
      <c r="B1741">
        <v>96627</v>
      </c>
      <c r="C1741">
        <v>54330</v>
      </c>
      <c r="D1741">
        <v>492398</v>
      </c>
      <c r="E1741">
        <v>348478</v>
      </c>
      <c r="F1741">
        <v>6.4</v>
      </c>
      <c r="G1741">
        <v>4.2</v>
      </c>
      <c r="H1741">
        <v>9.4</v>
      </c>
      <c r="I1741">
        <v>8.1</v>
      </c>
    </row>
    <row r="1742" spans="1:9" ht="24" customHeight="1">
      <c r="A1742" s="6" t="s">
        <v>3092</v>
      </c>
      <c r="B1742">
        <v>8030</v>
      </c>
      <c r="C1742">
        <v>5030</v>
      </c>
      <c r="D1742">
        <v>319399</v>
      </c>
      <c r="E1742">
        <v>248784</v>
      </c>
      <c r="F1742">
        <v>5.2</v>
      </c>
      <c r="G1742">
        <v>2.7</v>
      </c>
      <c r="H1742">
        <v>0</v>
      </c>
      <c r="I1742">
        <v>0</v>
      </c>
    </row>
    <row r="1743" spans="1:9" ht="24" customHeight="1">
      <c r="A1743" s="6" t="s">
        <v>3093</v>
      </c>
      <c r="B1743">
        <v>13413</v>
      </c>
      <c r="C1743">
        <v>10200</v>
      </c>
      <c r="D1743">
        <v>375202</v>
      </c>
      <c r="E1743">
        <v>274181</v>
      </c>
      <c r="F1743">
        <v>6.7</v>
      </c>
      <c r="G1743">
        <v>3.7</v>
      </c>
      <c r="H1743">
        <v>1.4</v>
      </c>
      <c r="I1743">
        <v>1.5</v>
      </c>
    </row>
    <row r="1744" spans="1:9" ht="24" customHeight="1">
      <c r="A1744" s="6" t="s">
        <v>3094</v>
      </c>
      <c r="B1744">
        <v>12544</v>
      </c>
      <c r="C1744">
        <v>7371</v>
      </c>
      <c r="D1744">
        <v>613392</v>
      </c>
      <c r="E1744">
        <v>419563</v>
      </c>
      <c r="F1744">
        <v>6.7</v>
      </c>
      <c r="G1744">
        <v>3</v>
      </c>
      <c r="H1744">
        <v>11.7</v>
      </c>
      <c r="I1744">
        <v>11.2</v>
      </c>
    </row>
    <row r="1745" spans="1:9" ht="24" customHeight="1">
      <c r="A1745" s="6" t="s">
        <v>3095</v>
      </c>
      <c r="B1745">
        <v>11335</v>
      </c>
      <c r="C1745">
        <v>5066</v>
      </c>
      <c r="D1745">
        <v>609486</v>
      </c>
      <c r="E1745">
        <v>419032</v>
      </c>
      <c r="F1745">
        <v>5.6</v>
      </c>
      <c r="G1745">
        <v>2.7</v>
      </c>
      <c r="H1745">
        <v>16.600000000000001</v>
      </c>
      <c r="I1745">
        <v>17</v>
      </c>
    </row>
    <row r="1746" spans="1:9" ht="24" customHeight="1">
      <c r="A1746" s="6" t="s">
        <v>3096</v>
      </c>
      <c r="B1746">
        <v>4779</v>
      </c>
      <c r="C1746">
        <v>2177</v>
      </c>
      <c r="D1746">
        <v>586553</v>
      </c>
      <c r="E1746">
        <v>432289</v>
      </c>
      <c r="F1746">
        <v>6.3</v>
      </c>
      <c r="G1746">
        <v>5.4</v>
      </c>
      <c r="H1746">
        <v>21.9</v>
      </c>
      <c r="I1746">
        <v>21.9</v>
      </c>
    </row>
    <row r="1747" spans="1:9" ht="24" customHeight="1">
      <c r="A1747" s="6" t="s">
        <v>3097</v>
      </c>
      <c r="B1747">
        <v>3538</v>
      </c>
      <c r="C1747">
        <v>1639</v>
      </c>
      <c r="D1747">
        <v>609262</v>
      </c>
      <c r="E1747">
        <v>425559</v>
      </c>
      <c r="F1747">
        <v>6.4</v>
      </c>
      <c r="G1747">
        <v>4.4000000000000004</v>
      </c>
      <c r="H1747">
        <v>27</v>
      </c>
      <c r="I1747">
        <v>26.7</v>
      </c>
    </row>
    <row r="1748" spans="1:9" ht="24" customHeight="1">
      <c r="A1748" s="6" t="s">
        <v>3098</v>
      </c>
      <c r="B1748">
        <v>13453</v>
      </c>
      <c r="C1748">
        <v>8969</v>
      </c>
      <c r="D1748">
        <v>418385</v>
      </c>
      <c r="E1748">
        <v>313350</v>
      </c>
      <c r="F1748">
        <v>6.1</v>
      </c>
      <c r="G1748">
        <v>4.5</v>
      </c>
      <c r="H1748">
        <v>3.4</v>
      </c>
      <c r="I1748">
        <v>3.5</v>
      </c>
    </row>
    <row r="1749" spans="1:9" ht="24" customHeight="1">
      <c r="A1749" s="6" t="s">
        <v>3099</v>
      </c>
      <c r="B1749">
        <v>4085</v>
      </c>
      <c r="C1749">
        <v>1572</v>
      </c>
      <c r="D1749">
        <v>570843</v>
      </c>
      <c r="E1749">
        <v>476057</v>
      </c>
      <c r="F1749">
        <v>9.8000000000000007</v>
      </c>
      <c r="G1749">
        <v>6</v>
      </c>
      <c r="H1749">
        <v>34</v>
      </c>
      <c r="I1749">
        <v>33.299999999999997</v>
      </c>
    </row>
    <row r="1750" spans="1:9" ht="24" customHeight="1">
      <c r="A1750" s="6" t="s">
        <v>3100</v>
      </c>
      <c r="B1750">
        <v>26304</v>
      </c>
      <c r="C1750">
        <v>14446</v>
      </c>
      <c r="D1750">
        <v>479430</v>
      </c>
      <c r="E1750">
        <v>345796</v>
      </c>
      <c r="F1750">
        <v>6.2</v>
      </c>
      <c r="G1750">
        <v>5.4</v>
      </c>
      <c r="H1750">
        <v>6.6</v>
      </c>
      <c r="I1750">
        <v>6.9</v>
      </c>
    </row>
    <row r="1751" spans="1:9" ht="24" customHeight="1">
      <c r="A1751" s="6" t="s">
        <v>3101</v>
      </c>
      <c r="B1751">
        <v>44727</v>
      </c>
      <c r="C1751">
        <v>21797</v>
      </c>
      <c r="D1751">
        <v>516039</v>
      </c>
      <c r="E1751">
        <v>370978</v>
      </c>
      <c r="F1751">
        <v>10.4</v>
      </c>
      <c r="G1751">
        <v>7.7</v>
      </c>
      <c r="H1751">
        <v>10.5</v>
      </c>
      <c r="I1751">
        <v>7.6</v>
      </c>
    </row>
    <row r="1752" spans="1:9" ht="24" customHeight="1">
      <c r="A1752" s="6" t="s">
        <v>3102</v>
      </c>
      <c r="B1752">
        <v>5795</v>
      </c>
      <c r="C1752">
        <v>2764</v>
      </c>
      <c r="D1752">
        <v>321592</v>
      </c>
      <c r="E1752">
        <v>273026</v>
      </c>
      <c r="F1752">
        <v>8.8000000000000007</v>
      </c>
      <c r="G1752">
        <v>4.5</v>
      </c>
      <c r="H1752">
        <v>0</v>
      </c>
      <c r="I1752">
        <v>0</v>
      </c>
    </row>
    <row r="1753" spans="1:9" ht="24" customHeight="1">
      <c r="A1753" s="6" t="s">
        <v>3103</v>
      </c>
      <c r="B1753">
        <v>6879</v>
      </c>
      <c r="C1753">
        <v>3802</v>
      </c>
      <c r="D1753">
        <v>400478</v>
      </c>
      <c r="E1753">
        <v>315853</v>
      </c>
      <c r="F1753">
        <v>11.2</v>
      </c>
      <c r="G1753">
        <v>8</v>
      </c>
      <c r="H1753">
        <v>1.4</v>
      </c>
      <c r="I1753">
        <v>1.5</v>
      </c>
    </row>
    <row r="1754" spans="1:9" ht="24" customHeight="1">
      <c r="A1754" s="6" t="s">
        <v>3104</v>
      </c>
      <c r="B1754">
        <v>5378</v>
      </c>
      <c r="C1754">
        <v>2751</v>
      </c>
      <c r="D1754">
        <v>559599</v>
      </c>
      <c r="E1754">
        <v>407459</v>
      </c>
      <c r="F1754">
        <v>12.5</v>
      </c>
      <c r="G1754">
        <v>6.2</v>
      </c>
      <c r="H1754">
        <v>11.9</v>
      </c>
      <c r="I1754">
        <v>11.7</v>
      </c>
    </row>
    <row r="1755" spans="1:9" ht="24" customHeight="1">
      <c r="A1755" s="6" t="s">
        <v>3105</v>
      </c>
      <c r="B1755">
        <v>4707</v>
      </c>
      <c r="C1755">
        <v>1664</v>
      </c>
      <c r="D1755">
        <v>608889</v>
      </c>
      <c r="E1755">
        <v>459155</v>
      </c>
      <c r="F1755">
        <v>8.9</v>
      </c>
      <c r="G1755">
        <v>10.199999999999999</v>
      </c>
      <c r="H1755">
        <v>16.8</v>
      </c>
      <c r="I1755">
        <v>16.8</v>
      </c>
    </row>
    <row r="1756" spans="1:9" ht="24" customHeight="1">
      <c r="A1756" s="6" t="s">
        <v>3106</v>
      </c>
      <c r="B1756">
        <v>2730</v>
      </c>
      <c r="C1756">
        <v>859</v>
      </c>
      <c r="D1756">
        <v>666685</v>
      </c>
      <c r="E1756">
        <v>498454</v>
      </c>
      <c r="F1756">
        <v>6.3</v>
      </c>
      <c r="G1756">
        <v>8.6999999999999993</v>
      </c>
      <c r="H1756">
        <v>21.7</v>
      </c>
      <c r="I1756">
        <v>21.6</v>
      </c>
    </row>
    <row r="1757" spans="1:9" ht="24" customHeight="1">
      <c r="A1757" s="6" t="s">
        <v>3107</v>
      </c>
      <c r="B1757">
        <v>2515</v>
      </c>
      <c r="C1757">
        <v>626</v>
      </c>
      <c r="D1757">
        <v>694587</v>
      </c>
      <c r="E1757">
        <v>446891</v>
      </c>
      <c r="F1757">
        <v>6.1</v>
      </c>
      <c r="G1757">
        <v>7.2</v>
      </c>
      <c r="H1757">
        <v>26.8</v>
      </c>
      <c r="I1757">
        <v>26.8</v>
      </c>
    </row>
    <row r="1758" spans="1:9" ht="24" customHeight="1">
      <c r="A1758" s="6" t="s">
        <v>3108</v>
      </c>
      <c r="B1758">
        <v>4637</v>
      </c>
      <c r="C1758">
        <v>3778</v>
      </c>
      <c r="D1758">
        <v>433373</v>
      </c>
      <c r="E1758">
        <v>338825</v>
      </c>
      <c r="F1758">
        <v>11.8</v>
      </c>
      <c r="G1758">
        <v>6.9</v>
      </c>
      <c r="H1758">
        <v>3.4</v>
      </c>
      <c r="I1758">
        <v>3.5</v>
      </c>
    </row>
    <row r="1759" spans="1:9" ht="24" customHeight="1">
      <c r="A1759" s="6" t="s">
        <v>3109</v>
      </c>
      <c r="B1759">
        <v>3555</v>
      </c>
      <c r="C1759">
        <v>676</v>
      </c>
      <c r="D1759">
        <v>773057</v>
      </c>
      <c r="E1759">
        <v>560321</v>
      </c>
      <c r="F1759">
        <v>4.7</v>
      </c>
      <c r="G1759">
        <v>6</v>
      </c>
      <c r="H1759">
        <v>32.799999999999997</v>
      </c>
      <c r="I1759">
        <v>33.299999999999997</v>
      </c>
    </row>
    <row r="1760" spans="1:9" ht="24" customHeight="1">
      <c r="A1760" s="6" t="s">
        <v>3110</v>
      </c>
      <c r="B1760">
        <v>8577</v>
      </c>
      <c r="C1760">
        <v>5394</v>
      </c>
      <c r="D1760">
        <v>498478</v>
      </c>
      <c r="E1760">
        <v>375581</v>
      </c>
      <c r="F1760">
        <v>14.3</v>
      </c>
      <c r="G1760">
        <v>9.4</v>
      </c>
      <c r="H1760">
        <v>6.9</v>
      </c>
      <c r="I1760">
        <v>6.5</v>
      </c>
    </row>
    <row r="1761" spans="1:9" ht="24" customHeight="1">
      <c r="A1761" s="6" t="s">
        <v>3111</v>
      </c>
      <c r="B1761">
        <v>50499</v>
      </c>
      <c r="C1761">
        <v>26085</v>
      </c>
      <c r="D1761">
        <v>588494</v>
      </c>
      <c r="E1761">
        <v>425660</v>
      </c>
      <c r="F1761">
        <v>15.3</v>
      </c>
      <c r="G1761">
        <v>12.8</v>
      </c>
      <c r="H1761">
        <v>12.6</v>
      </c>
      <c r="I1761">
        <v>9.1</v>
      </c>
    </row>
    <row r="1762" spans="1:9" ht="24" customHeight="1">
      <c r="A1762" s="6" t="s">
        <v>3112</v>
      </c>
      <c r="B1762">
        <v>3694</v>
      </c>
      <c r="C1762">
        <v>2451</v>
      </c>
      <c r="D1762">
        <v>360216</v>
      </c>
      <c r="E1762">
        <v>305125</v>
      </c>
      <c r="F1762">
        <v>15</v>
      </c>
      <c r="G1762">
        <v>13.6</v>
      </c>
      <c r="H1762">
        <v>0</v>
      </c>
      <c r="I1762">
        <v>0</v>
      </c>
    </row>
    <row r="1763" spans="1:9" ht="24" customHeight="1">
      <c r="A1763" s="6" t="s">
        <v>3113</v>
      </c>
      <c r="B1763">
        <v>5138</v>
      </c>
      <c r="C1763">
        <v>4029</v>
      </c>
      <c r="D1763">
        <v>454707</v>
      </c>
      <c r="E1763">
        <v>354195</v>
      </c>
      <c r="F1763">
        <v>21.9</v>
      </c>
      <c r="G1763">
        <v>17.399999999999999</v>
      </c>
      <c r="H1763">
        <v>1.5</v>
      </c>
      <c r="I1763">
        <v>1.4</v>
      </c>
    </row>
    <row r="1764" spans="1:9" ht="24" customHeight="1">
      <c r="A1764" s="6" t="s">
        <v>3114</v>
      </c>
      <c r="B1764">
        <v>8033</v>
      </c>
      <c r="C1764">
        <v>3996</v>
      </c>
      <c r="D1764">
        <v>609552</v>
      </c>
      <c r="E1764">
        <v>461584</v>
      </c>
      <c r="F1764">
        <v>12.2</v>
      </c>
      <c r="G1764">
        <v>10</v>
      </c>
      <c r="H1764">
        <v>12.5</v>
      </c>
      <c r="I1764">
        <v>12.1</v>
      </c>
    </row>
    <row r="1765" spans="1:9" ht="24" customHeight="1">
      <c r="A1765" s="6" t="s">
        <v>3115</v>
      </c>
      <c r="B1765">
        <v>7466</v>
      </c>
      <c r="C1765">
        <v>3256</v>
      </c>
      <c r="D1765">
        <v>660429</v>
      </c>
      <c r="E1765">
        <v>502616</v>
      </c>
      <c r="F1765">
        <v>10.8</v>
      </c>
      <c r="G1765">
        <v>10.7</v>
      </c>
      <c r="H1765">
        <v>16.5</v>
      </c>
      <c r="I1765">
        <v>16.399999999999999</v>
      </c>
    </row>
    <row r="1766" spans="1:9" ht="24" customHeight="1">
      <c r="A1766" s="6" t="s">
        <v>3116</v>
      </c>
      <c r="B1766">
        <v>3722</v>
      </c>
      <c r="C1766">
        <v>1216</v>
      </c>
      <c r="D1766">
        <v>763301</v>
      </c>
      <c r="E1766">
        <v>625909</v>
      </c>
      <c r="F1766">
        <v>9</v>
      </c>
      <c r="G1766">
        <v>10.3</v>
      </c>
      <c r="H1766">
        <v>21.8</v>
      </c>
      <c r="I1766">
        <v>21.8</v>
      </c>
    </row>
    <row r="1767" spans="1:9" ht="24" customHeight="1">
      <c r="A1767" s="6" t="s">
        <v>3117</v>
      </c>
      <c r="B1767">
        <v>3331</v>
      </c>
      <c r="C1767">
        <v>984</v>
      </c>
      <c r="D1767">
        <v>709650</v>
      </c>
      <c r="E1767">
        <v>553721</v>
      </c>
      <c r="F1767">
        <v>9.5</v>
      </c>
      <c r="G1767">
        <v>8.6999999999999993</v>
      </c>
      <c r="H1767">
        <v>26.9</v>
      </c>
      <c r="I1767">
        <v>26.5</v>
      </c>
    </row>
    <row r="1768" spans="1:9" ht="24" customHeight="1">
      <c r="A1768" s="6" t="s">
        <v>3118</v>
      </c>
      <c r="B1768">
        <v>6198</v>
      </c>
      <c r="C1768">
        <v>4397</v>
      </c>
      <c r="D1768">
        <v>493858</v>
      </c>
      <c r="E1768">
        <v>385700</v>
      </c>
      <c r="F1768">
        <v>23.8</v>
      </c>
      <c r="G1768">
        <v>13.6</v>
      </c>
      <c r="H1768">
        <v>3.6</v>
      </c>
      <c r="I1768">
        <v>3.5</v>
      </c>
    </row>
    <row r="1769" spans="1:9" ht="24" customHeight="1">
      <c r="A1769" s="6" t="s">
        <v>3119</v>
      </c>
      <c r="B1769">
        <v>4673</v>
      </c>
      <c r="C1769">
        <v>1043</v>
      </c>
      <c r="D1769">
        <v>760833</v>
      </c>
      <c r="E1769">
        <v>593764</v>
      </c>
      <c r="F1769">
        <v>10.3</v>
      </c>
      <c r="G1769">
        <v>8.5</v>
      </c>
      <c r="H1769">
        <v>33.5</v>
      </c>
      <c r="I1769">
        <v>33.299999999999997</v>
      </c>
    </row>
    <row r="1770" spans="1:9" ht="24" customHeight="1">
      <c r="A1770" s="6" t="s">
        <v>3120</v>
      </c>
      <c r="B1770">
        <v>8307</v>
      </c>
      <c r="C1770">
        <v>6277</v>
      </c>
      <c r="D1770">
        <v>531186</v>
      </c>
      <c r="E1770">
        <v>371684</v>
      </c>
      <c r="F1770">
        <v>20.100000000000001</v>
      </c>
      <c r="G1770">
        <v>11.5</v>
      </c>
      <c r="H1770">
        <v>6.8</v>
      </c>
      <c r="I1770">
        <v>6.8</v>
      </c>
    </row>
    <row r="1771" spans="1:9" ht="24" customHeight="1">
      <c r="A1771" s="6" t="s">
        <v>559</v>
      </c>
      <c r="B1771">
        <v>279062</v>
      </c>
      <c r="C1771">
        <v>66508</v>
      </c>
      <c r="D1771">
        <v>711564</v>
      </c>
      <c r="E1771">
        <v>539675</v>
      </c>
      <c r="F1771">
        <v>15.7</v>
      </c>
      <c r="G1771">
        <v>13.5</v>
      </c>
      <c r="H1771">
        <v>15.4</v>
      </c>
      <c r="I1771">
        <v>11.3</v>
      </c>
    </row>
    <row r="1772" spans="1:9" ht="24" customHeight="1">
      <c r="A1772" s="6" t="s">
        <v>560</v>
      </c>
      <c r="B1772">
        <v>14193</v>
      </c>
      <c r="C1772">
        <v>4593</v>
      </c>
      <c r="D1772">
        <v>391690</v>
      </c>
      <c r="E1772">
        <v>373351</v>
      </c>
      <c r="F1772">
        <v>14.2</v>
      </c>
      <c r="G1772">
        <v>12.5</v>
      </c>
      <c r="H1772">
        <v>0</v>
      </c>
      <c r="I1772">
        <v>0</v>
      </c>
    </row>
    <row r="1773" spans="1:9" ht="24" customHeight="1">
      <c r="A1773" s="6" t="s">
        <v>3121</v>
      </c>
      <c r="B1773">
        <v>25826</v>
      </c>
      <c r="C1773">
        <v>10662</v>
      </c>
      <c r="D1773">
        <v>509759</v>
      </c>
      <c r="E1773">
        <v>446216</v>
      </c>
      <c r="F1773">
        <v>21</v>
      </c>
      <c r="G1773">
        <v>18.399999999999999</v>
      </c>
      <c r="H1773">
        <v>1.5</v>
      </c>
      <c r="I1773">
        <v>1.4</v>
      </c>
    </row>
    <row r="1774" spans="1:9" ht="24" customHeight="1">
      <c r="A1774" s="6" t="s">
        <v>3122</v>
      </c>
      <c r="B1774">
        <v>36023</v>
      </c>
      <c r="C1774">
        <v>8654</v>
      </c>
      <c r="D1774">
        <v>703366</v>
      </c>
      <c r="E1774">
        <v>551184</v>
      </c>
      <c r="F1774">
        <v>17.399999999999999</v>
      </c>
      <c r="G1774">
        <v>10.5</v>
      </c>
      <c r="H1774">
        <v>12.1</v>
      </c>
      <c r="I1774">
        <v>12.1</v>
      </c>
    </row>
    <row r="1775" spans="1:9" ht="24" customHeight="1">
      <c r="A1775" s="6" t="s">
        <v>3123</v>
      </c>
      <c r="B1775">
        <v>39402</v>
      </c>
      <c r="C1775">
        <v>5959</v>
      </c>
      <c r="D1775">
        <v>781733</v>
      </c>
      <c r="E1775">
        <v>583802</v>
      </c>
      <c r="F1775">
        <v>17.8</v>
      </c>
      <c r="G1775">
        <v>8.8000000000000007</v>
      </c>
      <c r="H1775">
        <v>16.899999999999999</v>
      </c>
      <c r="I1775">
        <v>16.5</v>
      </c>
    </row>
    <row r="1776" spans="1:9" ht="24" customHeight="1">
      <c r="A1776" s="6" t="s">
        <v>3124</v>
      </c>
      <c r="B1776">
        <v>25708</v>
      </c>
      <c r="C1776">
        <v>3495</v>
      </c>
      <c r="D1776">
        <v>860073</v>
      </c>
      <c r="E1776">
        <v>662293</v>
      </c>
      <c r="F1776">
        <v>14</v>
      </c>
      <c r="G1776">
        <v>9.1999999999999993</v>
      </c>
      <c r="H1776">
        <v>22</v>
      </c>
      <c r="I1776">
        <v>21.7</v>
      </c>
    </row>
    <row r="1777" spans="1:9" ht="24" customHeight="1">
      <c r="A1777" s="6" t="s">
        <v>3125</v>
      </c>
      <c r="B1777">
        <v>26138</v>
      </c>
      <c r="C1777">
        <v>3935</v>
      </c>
      <c r="D1777">
        <v>876387</v>
      </c>
      <c r="E1777">
        <v>590817</v>
      </c>
      <c r="F1777">
        <v>9.5</v>
      </c>
      <c r="G1777">
        <v>8.3000000000000007</v>
      </c>
      <c r="H1777">
        <v>26.9</v>
      </c>
      <c r="I1777">
        <v>27.3</v>
      </c>
    </row>
    <row r="1778" spans="1:9" ht="24" customHeight="1">
      <c r="A1778" s="6" t="s">
        <v>3126</v>
      </c>
      <c r="B1778">
        <v>23883</v>
      </c>
      <c r="C1778">
        <v>8750</v>
      </c>
      <c r="D1778">
        <v>559538</v>
      </c>
      <c r="E1778">
        <v>470817</v>
      </c>
      <c r="F1778">
        <v>20</v>
      </c>
      <c r="G1778">
        <v>20.3</v>
      </c>
      <c r="H1778">
        <v>3.5</v>
      </c>
      <c r="I1778">
        <v>3.5</v>
      </c>
    </row>
    <row r="1779" spans="1:9" ht="24" customHeight="1">
      <c r="A1779" s="6" t="s">
        <v>561</v>
      </c>
      <c r="B1779">
        <v>45141</v>
      </c>
      <c r="C1779">
        <v>7759</v>
      </c>
      <c r="D1779">
        <v>872261</v>
      </c>
      <c r="E1779">
        <v>703648</v>
      </c>
      <c r="F1779">
        <v>8.8000000000000007</v>
      </c>
      <c r="G1779">
        <v>8.9</v>
      </c>
      <c r="H1779">
        <v>33.700000000000003</v>
      </c>
      <c r="I1779">
        <v>33.5</v>
      </c>
    </row>
    <row r="1780" spans="1:9" ht="24" customHeight="1">
      <c r="A1780" s="6" t="s">
        <v>3127</v>
      </c>
      <c r="B1780">
        <v>42840</v>
      </c>
      <c r="C1780">
        <v>15079</v>
      </c>
      <c r="D1780">
        <v>606830</v>
      </c>
      <c r="E1780">
        <v>535061</v>
      </c>
      <c r="F1780">
        <v>19</v>
      </c>
      <c r="G1780">
        <v>13.4</v>
      </c>
      <c r="H1780">
        <v>6.8</v>
      </c>
      <c r="I1780">
        <v>6.5</v>
      </c>
    </row>
    <row r="1781" spans="1:9" ht="24" customHeight="1">
      <c r="A1781" s="6" t="s">
        <v>3128</v>
      </c>
      <c r="B1781">
        <v>261869</v>
      </c>
      <c r="C1781">
        <v>145797</v>
      </c>
      <c r="D1781">
        <v>517506</v>
      </c>
      <c r="E1781">
        <v>378402</v>
      </c>
      <c r="F1781">
        <v>8.8000000000000007</v>
      </c>
      <c r="G1781">
        <v>8.6999999999999993</v>
      </c>
      <c r="H1781">
        <v>10.1</v>
      </c>
      <c r="I1781">
        <v>7.5</v>
      </c>
    </row>
    <row r="1782" spans="1:9" ht="24" customHeight="1">
      <c r="A1782" s="6" t="s">
        <v>3129</v>
      </c>
      <c r="B1782">
        <v>22864</v>
      </c>
      <c r="C1782">
        <v>20249</v>
      </c>
      <c r="D1782">
        <v>336487</v>
      </c>
      <c r="E1782">
        <v>261364</v>
      </c>
      <c r="F1782">
        <v>7.5</v>
      </c>
      <c r="G1782">
        <v>6</v>
      </c>
      <c r="H1782">
        <v>0</v>
      </c>
      <c r="I1782">
        <v>0</v>
      </c>
    </row>
    <row r="1783" spans="1:9" ht="24" customHeight="1">
      <c r="A1783" s="6" t="s">
        <v>3130</v>
      </c>
      <c r="B1783">
        <v>45336</v>
      </c>
      <c r="C1783">
        <v>35383</v>
      </c>
      <c r="D1783">
        <v>469937</v>
      </c>
      <c r="E1783">
        <v>348953</v>
      </c>
      <c r="F1783">
        <v>7.8</v>
      </c>
      <c r="G1783">
        <v>8.9</v>
      </c>
      <c r="H1783">
        <v>1.6</v>
      </c>
      <c r="I1783">
        <v>1.5</v>
      </c>
    </row>
    <row r="1784" spans="1:9" ht="24" customHeight="1">
      <c r="A1784" s="6" t="s">
        <v>3131</v>
      </c>
      <c r="B1784">
        <v>30701</v>
      </c>
      <c r="C1784">
        <v>15257</v>
      </c>
      <c r="D1784">
        <v>509859</v>
      </c>
      <c r="E1784">
        <v>393271</v>
      </c>
      <c r="F1784">
        <v>10.7</v>
      </c>
      <c r="G1784">
        <v>10.5</v>
      </c>
      <c r="H1784">
        <v>11.6</v>
      </c>
      <c r="I1784">
        <v>11.8</v>
      </c>
    </row>
    <row r="1785" spans="1:9" ht="24" customHeight="1">
      <c r="A1785" s="6" t="s">
        <v>3132</v>
      </c>
      <c r="B1785">
        <v>23632</v>
      </c>
      <c r="C1785">
        <v>11823</v>
      </c>
      <c r="D1785">
        <v>554613</v>
      </c>
      <c r="E1785">
        <v>423603</v>
      </c>
      <c r="F1785">
        <v>10.3</v>
      </c>
      <c r="G1785">
        <v>6.6</v>
      </c>
      <c r="H1785">
        <v>16.7</v>
      </c>
      <c r="I1785">
        <v>16.600000000000001</v>
      </c>
    </row>
    <row r="1786" spans="1:9" ht="24" customHeight="1">
      <c r="A1786" s="6" t="s">
        <v>3133</v>
      </c>
      <c r="B1786">
        <v>13520</v>
      </c>
      <c r="C1786">
        <v>6660</v>
      </c>
      <c r="D1786">
        <v>580722</v>
      </c>
      <c r="E1786">
        <v>449451</v>
      </c>
      <c r="F1786">
        <v>9.6</v>
      </c>
      <c r="G1786">
        <v>7.9</v>
      </c>
      <c r="H1786">
        <v>21.9</v>
      </c>
      <c r="I1786">
        <v>21.8</v>
      </c>
    </row>
    <row r="1787" spans="1:9" ht="24" customHeight="1">
      <c r="A1787" s="6" t="s">
        <v>3134</v>
      </c>
      <c r="B1787">
        <v>13545</v>
      </c>
      <c r="C1787">
        <v>3674</v>
      </c>
      <c r="D1787">
        <v>593132</v>
      </c>
      <c r="E1787">
        <v>441113</v>
      </c>
      <c r="F1787">
        <v>8.9</v>
      </c>
      <c r="G1787">
        <v>4.3</v>
      </c>
      <c r="H1787">
        <v>26.8</v>
      </c>
      <c r="I1787">
        <v>26.8</v>
      </c>
    </row>
    <row r="1788" spans="1:9" ht="24" customHeight="1">
      <c r="A1788" s="6" t="s">
        <v>3135</v>
      </c>
      <c r="B1788">
        <v>36643</v>
      </c>
      <c r="C1788">
        <v>20120</v>
      </c>
      <c r="D1788">
        <v>439048</v>
      </c>
      <c r="E1788">
        <v>318360</v>
      </c>
      <c r="F1788">
        <v>7.6</v>
      </c>
      <c r="G1788">
        <v>7.1</v>
      </c>
      <c r="H1788">
        <v>3.5</v>
      </c>
      <c r="I1788">
        <v>3.5</v>
      </c>
    </row>
    <row r="1789" spans="1:9" ht="24" customHeight="1">
      <c r="A1789" s="6" t="s">
        <v>3136</v>
      </c>
      <c r="B1789">
        <v>18114</v>
      </c>
      <c r="C1789">
        <v>4247</v>
      </c>
      <c r="D1789">
        <v>582572</v>
      </c>
      <c r="E1789">
        <v>433849</v>
      </c>
      <c r="F1789">
        <v>6.2</v>
      </c>
      <c r="G1789">
        <v>6.2</v>
      </c>
      <c r="H1789">
        <v>35.4</v>
      </c>
      <c r="I1789">
        <v>34.299999999999997</v>
      </c>
    </row>
    <row r="1790" spans="1:9" ht="24" customHeight="1">
      <c r="A1790" s="6" t="s">
        <v>3137</v>
      </c>
      <c r="B1790">
        <v>62335</v>
      </c>
      <c r="C1790">
        <v>42897</v>
      </c>
      <c r="D1790">
        <v>585759</v>
      </c>
      <c r="E1790">
        <v>402624</v>
      </c>
      <c r="F1790">
        <v>9.1999999999999993</v>
      </c>
      <c r="G1790">
        <v>9.5</v>
      </c>
      <c r="H1790">
        <v>7</v>
      </c>
      <c r="I1790">
        <v>6.5</v>
      </c>
    </row>
    <row r="1791" spans="1:9" ht="24" customHeight="1">
      <c r="A1791" s="6" t="s">
        <v>3138</v>
      </c>
      <c r="B1791">
        <v>115319</v>
      </c>
      <c r="C1791">
        <v>55099</v>
      </c>
      <c r="D1791">
        <v>585941</v>
      </c>
      <c r="E1791">
        <v>436484</v>
      </c>
      <c r="F1791">
        <v>11</v>
      </c>
      <c r="G1791">
        <v>6.6</v>
      </c>
      <c r="H1791">
        <v>11.5</v>
      </c>
      <c r="I1791">
        <v>8.6</v>
      </c>
    </row>
    <row r="1792" spans="1:9" ht="24" customHeight="1">
      <c r="A1792" s="6" t="s">
        <v>3139</v>
      </c>
      <c r="B1792">
        <v>8467</v>
      </c>
      <c r="C1792">
        <v>5811</v>
      </c>
      <c r="D1792">
        <v>397790</v>
      </c>
      <c r="E1792">
        <v>304539</v>
      </c>
      <c r="F1792">
        <v>9.1999999999999993</v>
      </c>
      <c r="G1792">
        <v>2.8</v>
      </c>
      <c r="H1792">
        <v>0</v>
      </c>
      <c r="I1792">
        <v>0</v>
      </c>
    </row>
    <row r="1793" spans="1:9" ht="24" customHeight="1">
      <c r="A1793" s="6" t="s">
        <v>3140</v>
      </c>
      <c r="B1793">
        <v>17914</v>
      </c>
      <c r="C1793">
        <v>10236</v>
      </c>
      <c r="D1793">
        <v>495288</v>
      </c>
      <c r="E1793">
        <v>375261</v>
      </c>
      <c r="F1793">
        <v>13.3</v>
      </c>
      <c r="G1793">
        <v>7.3</v>
      </c>
      <c r="H1793">
        <v>1.5</v>
      </c>
      <c r="I1793">
        <v>1.4</v>
      </c>
    </row>
    <row r="1794" spans="1:9" ht="24" customHeight="1">
      <c r="A1794" s="6" t="s">
        <v>3141</v>
      </c>
      <c r="B1794">
        <v>13829</v>
      </c>
      <c r="C1794">
        <v>6403</v>
      </c>
      <c r="D1794">
        <v>599946</v>
      </c>
      <c r="E1794">
        <v>438537</v>
      </c>
      <c r="F1794">
        <v>11.3</v>
      </c>
      <c r="G1794">
        <v>5.7</v>
      </c>
      <c r="H1794">
        <v>12</v>
      </c>
      <c r="I1794">
        <v>12</v>
      </c>
    </row>
    <row r="1795" spans="1:9" ht="24" customHeight="1">
      <c r="A1795" s="6" t="s">
        <v>3142</v>
      </c>
      <c r="B1795">
        <v>12460</v>
      </c>
      <c r="C1795">
        <v>5325</v>
      </c>
      <c r="D1795">
        <v>660028</v>
      </c>
      <c r="E1795">
        <v>459008</v>
      </c>
      <c r="F1795">
        <v>10.8</v>
      </c>
      <c r="G1795">
        <v>7.3</v>
      </c>
      <c r="H1795">
        <v>16.8</v>
      </c>
      <c r="I1795">
        <v>16.5</v>
      </c>
    </row>
    <row r="1796" spans="1:9" ht="24" customHeight="1">
      <c r="A1796" s="6" t="s">
        <v>3143</v>
      </c>
      <c r="B1796">
        <v>6400</v>
      </c>
      <c r="C1796">
        <v>3508</v>
      </c>
      <c r="D1796">
        <v>702369</v>
      </c>
      <c r="E1796">
        <v>577892</v>
      </c>
      <c r="F1796">
        <v>7.2</v>
      </c>
      <c r="G1796">
        <v>3.5</v>
      </c>
      <c r="H1796">
        <v>22</v>
      </c>
      <c r="I1796">
        <v>22</v>
      </c>
    </row>
    <row r="1797" spans="1:9" ht="24" customHeight="1">
      <c r="A1797" s="6" t="s">
        <v>3144</v>
      </c>
      <c r="B1797">
        <v>9433</v>
      </c>
      <c r="C1797">
        <v>2074</v>
      </c>
      <c r="D1797">
        <v>753333</v>
      </c>
      <c r="E1797">
        <v>563016</v>
      </c>
      <c r="F1797">
        <v>3.9</v>
      </c>
      <c r="G1797">
        <v>2.4</v>
      </c>
      <c r="H1797">
        <v>27.3</v>
      </c>
      <c r="I1797">
        <v>27.4</v>
      </c>
    </row>
    <row r="1798" spans="1:9" ht="24" customHeight="1">
      <c r="A1798" s="6" t="s">
        <v>3145</v>
      </c>
      <c r="B1798">
        <v>12513</v>
      </c>
      <c r="C1798">
        <v>9116</v>
      </c>
      <c r="D1798">
        <v>515913</v>
      </c>
      <c r="E1798">
        <v>408621</v>
      </c>
      <c r="F1798">
        <v>13</v>
      </c>
      <c r="G1798">
        <v>9</v>
      </c>
      <c r="H1798">
        <v>3.5</v>
      </c>
      <c r="I1798">
        <v>3.5</v>
      </c>
    </row>
    <row r="1799" spans="1:9" ht="24" customHeight="1">
      <c r="A1799" s="6" t="s">
        <v>3146</v>
      </c>
      <c r="B1799">
        <v>9454</v>
      </c>
      <c r="C1799">
        <v>2182</v>
      </c>
      <c r="D1799">
        <v>750983</v>
      </c>
      <c r="E1799">
        <v>593022</v>
      </c>
      <c r="F1799">
        <v>5.3</v>
      </c>
      <c r="G1799">
        <v>4.2</v>
      </c>
      <c r="H1799">
        <v>33.700000000000003</v>
      </c>
      <c r="I1799">
        <v>33</v>
      </c>
    </row>
    <row r="1800" spans="1:9" ht="24" customHeight="1">
      <c r="A1800" s="6" t="s">
        <v>3147</v>
      </c>
      <c r="B1800">
        <v>24956</v>
      </c>
      <c r="C1800">
        <v>13344</v>
      </c>
      <c r="D1800">
        <v>548289</v>
      </c>
      <c r="E1800">
        <v>437793</v>
      </c>
      <c r="F1800">
        <v>14.7</v>
      </c>
      <c r="G1800">
        <v>7.6</v>
      </c>
      <c r="H1800">
        <v>6.8</v>
      </c>
      <c r="I1800">
        <v>6.5</v>
      </c>
    </row>
    <row r="1801" spans="1:9" ht="24" customHeight="1">
      <c r="A1801" s="6" t="s">
        <v>3148</v>
      </c>
      <c r="B1801">
        <v>109751</v>
      </c>
      <c r="C1801">
        <v>29025</v>
      </c>
      <c r="D1801">
        <v>580180</v>
      </c>
      <c r="E1801">
        <v>434920</v>
      </c>
      <c r="F1801">
        <v>17.2</v>
      </c>
      <c r="G1801">
        <v>16.3</v>
      </c>
      <c r="H1801">
        <v>13</v>
      </c>
      <c r="I1801">
        <v>9.6</v>
      </c>
    </row>
    <row r="1802" spans="1:9" ht="24" customHeight="1">
      <c r="A1802" s="6" t="s">
        <v>3149</v>
      </c>
      <c r="B1802">
        <v>8115</v>
      </c>
      <c r="C1802">
        <v>2638</v>
      </c>
      <c r="D1802">
        <v>324748</v>
      </c>
      <c r="E1802">
        <v>284852</v>
      </c>
      <c r="F1802">
        <v>6.1</v>
      </c>
      <c r="G1802">
        <v>10.5</v>
      </c>
      <c r="H1802">
        <v>0</v>
      </c>
      <c r="I1802">
        <v>0</v>
      </c>
    </row>
    <row r="1803" spans="1:9" ht="24" customHeight="1">
      <c r="A1803" s="6" t="s">
        <v>3150</v>
      </c>
      <c r="B1803">
        <v>14227</v>
      </c>
      <c r="C1803">
        <v>3634</v>
      </c>
      <c r="D1803">
        <v>413506</v>
      </c>
      <c r="E1803">
        <v>356202</v>
      </c>
      <c r="F1803">
        <v>16.2</v>
      </c>
      <c r="G1803">
        <v>20</v>
      </c>
      <c r="H1803">
        <v>1.5</v>
      </c>
      <c r="I1803">
        <v>1.6</v>
      </c>
    </row>
    <row r="1804" spans="1:9" ht="24" customHeight="1">
      <c r="A1804" s="6" t="s">
        <v>3151</v>
      </c>
      <c r="B1804">
        <v>13952</v>
      </c>
      <c r="C1804">
        <v>3603</v>
      </c>
      <c r="D1804">
        <v>556879</v>
      </c>
      <c r="E1804">
        <v>468020</v>
      </c>
      <c r="F1804">
        <v>22.3</v>
      </c>
      <c r="G1804">
        <v>12.6</v>
      </c>
      <c r="H1804">
        <v>12</v>
      </c>
      <c r="I1804">
        <v>11.7</v>
      </c>
    </row>
    <row r="1805" spans="1:9" ht="24" customHeight="1">
      <c r="A1805" s="6" t="s">
        <v>3152</v>
      </c>
      <c r="B1805">
        <v>14807</v>
      </c>
      <c r="C1805">
        <v>3061</v>
      </c>
      <c r="D1805">
        <v>631624</v>
      </c>
      <c r="E1805">
        <v>517629</v>
      </c>
      <c r="F1805">
        <v>21.1</v>
      </c>
      <c r="G1805">
        <v>15.9</v>
      </c>
      <c r="H1805">
        <v>16.8</v>
      </c>
      <c r="I1805">
        <v>16.899999999999999</v>
      </c>
    </row>
    <row r="1806" spans="1:9" ht="24" customHeight="1">
      <c r="A1806" s="6" t="s">
        <v>3153</v>
      </c>
      <c r="B1806">
        <v>8758</v>
      </c>
      <c r="C1806">
        <v>1546</v>
      </c>
      <c r="D1806">
        <v>679306</v>
      </c>
      <c r="E1806">
        <v>503107</v>
      </c>
      <c r="F1806">
        <v>17.600000000000001</v>
      </c>
      <c r="G1806">
        <v>10.6</v>
      </c>
      <c r="H1806">
        <v>21.8</v>
      </c>
      <c r="I1806">
        <v>21.4</v>
      </c>
    </row>
    <row r="1807" spans="1:9" ht="24" customHeight="1">
      <c r="A1807" s="6" t="s">
        <v>3154</v>
      </c>
      <c r="B1807">
        <v>6938</v>
      </c>
      <c r="C1807">
        <v>1704</v>
      </c>
      <c r="D1807">
        <v>748343</v>
      </c>
      <c r="E1807">
        <v>533960</v>
      </c>
      <c r="F1807">
        <v>11</v>
      </c>
      <c r="G1807">
        <v>15.8</v>
      </c>
      <c r="H1807">
        <v>27.1</v>
      </c>
      <c r="I1807">
        <v>26.7</v>
      </c>
    </row>
    <row r="1808" spans="1:9" ht="24" customHeight="1">
      <c r="A1808" s="6" t="s">
        <v>3155</v>
      </c>
      <c r="B1808">
        <v>10114</v>
      </c>
      <c r="C1808">
        <v>4141</v>
      </c>
      <c r="D1808">
        <v>643026</v>
      </c>
      <c r="E1808">
        <v>423916</v>
      </c>
      <c r="F1808">
        <v>17.8</v>
      </c>
      <c r="G1808">
        <v>15.8</v>
      </c>
      <c r="H1808">
        <v>3.5</v>
      </c>
      <c r="I1808">
        <v>3.4</v>
      </c>
    </row>
    <row r="1809" spans="1:9" ht="24" customHeight="1">
      <c r="A1809" s="6" t="s">
        <v>3156</v>
      </c>
      <c r="B1809">
        <v>12667</v>
      </c>
      <c r="C1809">
        <v>1261</v>
      </c>
      <c r="D1809">
        <v>739818</v>
      </c>
      <c r="E1809">
        <v>532683</v>
      </c>
      <c r="F1809">
        <v>11.7</v>
      </c>
      <c r="G1809">
        <v>14.4</v>
      </c>
      <c r="H1809">
        <v>34</v>
      </c>
      <c r="I1809">
        <v>33.200000000000003</v>
      </c>
    </row>
    <row r="1810" spans="1:9" ht="24" customHeight="1">
      <c r="A1810" s="6" t="s">
        <v>3157</v>
      </c>
      <c r="B1810">
        <v>20291</v>
      </c>
      <c r="C1810">
        <v>8722</v>
      </c>
      <c r="D1810">
        <v>545371</v>
      </c>
      <c r="E1810">
        <v>417509</v>
      </c>
      <c r="F1810">
        <v>21</v>
      </c>
      <c r="G1810">
        <v>18.3</v>
      </c>
      <c r="H1810">
        <v>6.9</v>
      </c>
      <c r="I1810">
        <v>6.6</v>
      </c>
    </row>
    <row r="1811" spans="1:9" ht="24" customHeight="1">
      <c r="A1811" s="6" t="s">
        <v>562</v>
      </c>
      <c r="B1811">
        <v>106476</v>
      </c>
      <c r="C1811">
        <v>67817</v>
      </c>
      <c r="D1811">
        <v>451820</v>
      </c>
      <c r="E1811">
        <v>352993</v>
      </c>
      <c r="F1811">
        <v>18.8</v>
      </c>
      <c r="G1811">
        <v>16.100000000000001</v>
      </c>
      <c r="H1811">
        <v>12.6</v>
      </c>
      <c r="I1811">
        <v>8.1999999999999993</v>
      </c>
    </row>
    <row r="1812" spans="1:9" ht="24" customHeight="1">
      <c r="A1812" s="6" t="s">
        <v>563</v>
      </c>
      <c r="B1812">
        <v>7853</v>
      </c>
      <c r="C1812">
        <v>8153</v>
      </c>
      <c r="D1812">
        <v>313612</v>
      </c>
      <c r="E1812">
        <v>250137</v>
      </c>
      <c r="F1812">
        <v>12.6</v>
      </c>
      <c r="G1812">
        <v>8.1</v>
      </c>
      <c r="H1812">
        <v>0</v>
      </c>
      <c r="I1812">
        <v>0</v>
      </c>
    </row>
    <row r="1813" spans="1:9" ht="24" customHeight="1">
      <c r="A1813" s="6" t="s">
        <v>3158</v>
      </c>
      <c r="B1813">
        <v>9510</v>
      </c>
      <c r="C1813">
        <v>11540</v>
      </c>
      <c r="D1813">
        <v>349312</v>
      </c>
      <c r="E1813">
        <v>303018</v>
      </c>
      <c r="F1813">
        <v>24.2</v>
      </c>
      <c r="G1813">
        <v>20.3</v>
      </c>
      <c r="H1813">
        <v>1.5</v>
      </c>
      <c r="I1813">
        <v>1.5</v>
      </c>
    </row>
    <row r="1814" spans="1:9" ht="24" customHeight="1">
      <c r="A1814" s="6" t="s">
        <v>3159</v>
      </c>
      <c r="B1814">
        <v>14091</v>
      </c>
      <c r="C1814">
        <v>8120</v>
      </c>
      <c r="D1814">
        <v>463684</v>
      </c>
      <c r="E1814">
        <v>362060</v>
      </c>
      <c r="F1814">
        <v>17.399999999999999</v>
      </c>
      <c r="G1814">
        <v>17.7</v>
      </c>
      <c r="H1814">
        <v>12</v>
      </c>
      <c r="I1814">
        <v>11.8</v>
      </c>
    </row>
    <row r="1815" spans="1:9" ht="24" customHeight="1">
      <c r="A1815" s="6" t="s">
        <v>3160</v>
      </c>
      <c r="B1815">
        <v>14330</v>
      </c>
      <c r="C1815">
        <v>7685</v>
      </c>
      <c r="D1815">
        <v>502424</v>
      </c>
      <c r="E1815">
        <v>402127</v>
      </c>
      <c r="F1815">
        <v>19.399999999999999</v>
      </c>
      <c r="G1815">
        <v>13.6</v>
      </c>
      <c r="H1815">
        <v>16.899999999999999</v>
      </c>
      <c r="I1815">
        <v>16.600000000000001</v>
      </c>
    </row>
    <row r="1816" spans="1:9" ht="24" customHeight="1">
      <c r="A1816" s="6" t="s">
        <v>3161</v>
      </c>
      <c r="B1816">
        <v>11460</v>
      </c>
      <c r="C1816">
        <v>3995</v>
      </c>
      <c r="D1816">
        <v>553801</v>
      </c>
      <c r="E1816">
        <v>475878</v>
      </c>
      <c r="F1816">
        <v>20.7</v>
      </c>
      <c r="G1816">
        <v>17.2</v>
      </c>
      <c r="H1816">
        <v>22</v>
      </c>
      <c r="I1816">
        <v>21.8</v>
      </c>
    </row>
    <row r="1817" spans="1:9" ht="24" customHeight="1">
      <c r="A1817" s="6" t="s">
        <v>3162</v>
      </c>
      <c r="B1817">
        <v>7661</v>
      </c>
      <c r="C1817">
        <v>2030</v>
      </c>
      <c r="D1817">
        <v>557013</v>
      </c>
      <c r="E1817">
        <v>480003</v>
      </c>
      <c r="F1817">
        <v>17.2</v>
      </c>
      <c r="G1817">
        <v>18.3</v>
      </c>
      <c r="H1817">
        <v>26.7</v>
      </c>
      <c r="I1817">
        <v>26.6</v>
      </c>
    </row>
    <row r="1818" spans="1:9" ht="24" customHeight="1">
      <c r="A1818" s="6" t="s">
        <v>3163</v>
      </c>
      <c r="B1818">
        <v>11012</v>
      </c>
      <c r="C1818">
        <v>10853</v>
      </c>
      <c r="D1818">
        <v>381350</v>
      </c>
      <c r="E1818">
        <v>330746</v>
      </c>
      <c r="F1818">
        <v>17.7</v>
      </c>
      <c r="G1818">
        <v>14</v>
      </c>
      <c r="H1818">
        <v>3.6</v>
      </c>
      <c r="I1818">
        <v>3.4</v>
      </c>
    </row>
    <row r="1819" spans="1:9" ht="24" customHeight="1">
      <c r="A1819" s="6" t="s">
        <v>564</v>
      </c>
      <c r="B1819">
        <v>7620</v>
      </c>
      <c r="C1819">
        <v>1557</v>
      </c>
      <c r="D1819">
        <v>551275</v>
      </c>
      <c r="E1819">
        <v>465839</v>
      </c>
      <c r="F1819">
        <v>16.399999999999999</v>
      </c>
      <c r="G1819">
        <v>10.7</v>
      </c>
      <c r="H1819">
        <v>34.1</v>
      </c>
      <c r="I1819">
        <v>32.700000000000003</v>
      </c>
    </row>
    <row r="1820" spans="1:9" ht="24" customHeight="1">
      <c r="A1820" s="6" t="s">
        <v>3164</v>
      </c>
      <c r="B1820">
        <v>23171</v>
      </c>
      <c r="C1820">
        <v>15855</v>
      </c>
      <c r="D1820">
        <v>415735</v>
      </c>
      <c r="E1820">
        <v>358776</v>
      </c>
      <c r="F1820">
        <v>20.100000000000001</v>
      </c>
      <c r="G1820">
        <v>17.5</v>
      </c>
      <c r="H1820">
        <v>7</v>
      </c>
      <c r="I1820">
        <v>6.8</v>
      </c>
    </row>
    <row r="1821" spans="1:9" ht="24" customHeight="1">
      <c r="A1821" s="6" t="s">
        <v>3165</v>
      </c>
      <c r="B1821">
        <v>134168</v>
      </c>
      <c r="C1821">
        <v>72975</v>
      </c>
      <c r="D1821">
        <v>331108</v>
      </c>
      <c r="E1821">
        <v>257257</v>
      </c>
      <c r="F1821">
        <v>11.4</v>
      </c>
      <c r="G1821">
        <v>7.7</v>
      </c>
      <c r="H1821">
        <v>10.1</v>
      </c>
      <c r="I1821">
        <v>8.6999999999999993</v>
      </c>
    </row>
    <row r="1822" spans="1:9" ht="24" customHeight="1">
      <c r="A1822" s="6" t="s">
        <v>3166</v>
      </c>
      <c r="B1822">
        <v>11729</v>
      </c>
      <c r="C1822">
        <v>10243</v>
      </c>
      <c r="D1822">
        <v>270841</v>
      </c>
      <c r="E1822">
        <v>212892</v>
      </c>
      <c r="F1822">
        <v>11</v>
      </c>
      <c r="G1822">
        <v>6.1</v>
      </c>
      <c r="H1822">
        <v>0</v>
      </c>
      <c r="I1822">
        <v>0</v>
      </c>
    </row>
    <row r="1823" spans="1:9" ht="24" customHeight="1">
      <c r="A1823" s="6" t="s">
        <v>3167</v>
      </c>
      <c r="B1823">
        <v>17367</v>
      </c>
      <c r="C1823">
        <v>13040</v>
      </c>
      <c r="D1823">
        <v>282060</v>
      </c>
      <c r="E1823">
        <v>221222</v>
      </c>
      <c r="F1823">
        <v>13.7</v>
      </c>
      <c r="G1823">
        <v>6.8</v>
      </c>
      <c r="H1823">
        <v>1.4</v>
      </c>
      <c r="I1823">
        <v>1.4</v>
      </c>
    </row>
    <row r="1824" spans="1:9" ht="24" customHeight="1">
      <c r="A1824" s="6" t="s">
        <v>3168</v>
      </c>
      <c r="B1824">
        <v>23648</v>
      </c>
      <c r="C1824">
        <v>10332</v>
      </c>
      <c r="D1824">
        <v>337420</v>
      </c>
      <c r="E1824">
        <v>252768</v>
      </c>
      <c r="F1824">
        <v>11.4</v>
      </c>
      <c r="G1824">
        <v>7</v>
      </c>
      <c r="H1824">
        <v>11.6</v>
      </c>
      <c r="I1824">
        <v>11.8</v>
      </c>
    </row>
    <row r="1825" spans="1:9" ht="24" customHeight="1">
      <c r="A1825" s="6" t="s">
        <v>3169</v>
      </c>
      <c r="B1825">
        <v>14354</v>
      </c>
      <c r="C1825">
        <v>7030</v>
      </c>
      <c r="D1825">
        <v>359342</v>
      </c>
      <c r="E1825">
        <v>252243</v>
      </c>
      <c r="F1825">
        <v>10.4</v>
      </c>
      <c r="G1825">
        <v>5.4</v>
      </c>
      <c r="H1825">
        <v>16.8</v>
      </c>
      <c r="I1825">
        <v>16.5</v>
      </c>
    </row>
    <row r="1826" spans="1:9" ht="24" customHeight="1">
      <c r="A1826" s="6" t="s">
        <v>3170</v>
      </c>
      <c r="B1826">
        <v>9457</v>
      </c>
      <c r="C1826">
        <v>4417</v>
      </c>
      <c r="D1826">
        <v>384212</v>
      </c>
      <c r="E1826">
        <v>265237</v>
      </c>
      <c r="F1826">
        <v>11.3</v>
      </c>
      <c r="G1826">
        <v>5.6</v>
      </c>
      <c r="H1826">
        <v>21.5</v>
      </c>
      <c r="I1826">
        <v>21.7</v>
      </c>
    </row>
    <row r="1827" spans="1:9" ht="24" customHeight="1">
      <c r="A1827" s="6" t="s">
        <v>3171</v>
      </c>
      <c r="B1827">
        <v>5982</v>
      </c>
      <c r="C1827">
        <v>3319</v>
      </c>
      <c r="D1827">
        <v>404567</v>
      </c>
      <c r="E1827">
        <v>282952</v>
      </c>
      <c r="F1827">
        <v>7.4</v>
      </c>
      <c r="G1827">
        <v>3.5</v>
      </c>
      <c r="H1827">
        <v>26.6</v>
      </c>
      <c r="I1827">
        <v>26.5</v>
      </c>
    </row>
    <row r="1828" spans="1:9" ht="24" customHeight="1">
      <c r="A1828" s="6" t="s">
        <v>3172</v>
      </c>
      <c r="B1828">
        <v>17319</v>
      </c>
      <c r="C1828">
        <v>12006</v>
      </c>
      <c r="D1828">
        <v>302651</v>
      </c>
      <c r="E1828">
        <v>256611</v>
      </c>
      <c r="F1828">
        <v>12.1</v>
      </c>
      <c r="G1828">
        <v>8.6999999999999993</v>
      </c>
      <c r="H1828">
        <v>3.5</v>
      </c>
      <c r="I1828">
        <v>3.5</v>
      </c>
    </row>
    <row r="1829" spans="1:9" ht="24" customHeight="1">
      <c r="A1829" s="6" t="s">
        <v>3173</v>
      </c>
      <c r="B1829">
        <v>5559</v>
      </c>
      <c r="C1829">
        <v>2886</v>
      </c>
      <c r="D1829">
        <v>393074</v>
      </c>
      <c r="E1829">
        <v>320680</v>
      </c>
      <c r="F1829">
        <v>8.1</v>
      </c>
      <c r="G1829">
        <v>6</v>
      </c>
      <c r="H1829">
        <v>37.799999999999997</v>
      </c>
      <c r="I1829">
        <v>38</v>
      </c>
    </row>
    <row r="1830" spans="1:9" ht="24" customHeight="1">
      <c r="A1830" s="6" t="s">
        <v>3174</v>
      </c>
      <c r="B1830">
        <v>32357</v>
      </c>
      <c r="C1830">
        <v>16873</v>
      </c>
      <c r="D1830">
        <v>319671</v>
      </c>
      <c r="E1830">
        <v>247693</v>
      </c>
      <c r="F1830">
        <v>10.8</v>
      </c>
      <c r="G1830">
        <v>8.6</v>
      </c>
      <c r="H1830">
        <v>6.7</v>
      </c>
      <c r="I1830">
        <v>6.7</v>
      </c>
    </row>
    <row r="1831" spans="1:9" ht="24" customHeight="1">
      <c r="A1831" s="6" t="s">
        <v>3175</v>
      </c>
      <c r="B1831">
        <v>55572</v>
      </c>
      <c r="C1831">
        <v>30645</v>
      </c>
      <c r="D1831">
        <v>353618</v>
      </c>
      <c r="E1831">
        <v>289835</v>
      </c>
      <c r="F1831">
        <v>15.5</v>
      </c>
      <c r="G1831">
        <v>11.9</v>
      </c>
      <c r="H1831">
        <v>10.8</v>
      </c>
      <c r="I1831">
        <v>7.7</v>
      </c>
    </row>
    <row r="1832" spans="1:9" ht="24" customHeight="1">
      <c r="A1832" s="6" t="s">
        <v>3176</v>
      </c>
      <c r="B1832">
        <v>5105</v>
      </c>
      <c r="C1832">
        <v>3762</v>
      </c>
      <c r="D1832">
        <v>265666</v>
      </c>
      <c r="E1832">
        <v>227992</v>
      </c>
      <c r="F1832">
        <v>18.399999999999999</v>
      </c>
      <c r="G1832">
        <v>5.4</v>
      </c>
      <c r="H1832">
        <v>0</v>
      </c>
      <c r="I1832">
        <v>0</v>
      </c>
    </row>
    <row r="1833" spans="1:9" ht="24" customHeight="1">
      <c r="A1833" s="6" t="s">
        <v>3177</v>
      </c>
      <c r="B1833">
        <v>7000</v>
      </c>
      <c r="C1833">
        <v>5680</v>
      </c>
      <c r="D1833">
        <v>296295</v>
      </c>
      <c r="E1833">
        <v>265490</v>
      </c>
      <c r="F1833">
        <v>14.5</v>
      </c>
      <c r="G1833">
        <v>15.2</v>
      </c>
      <c r="H1833">
        <v>1.4</v>
      </c>
      <c r="I1833">
        <v>1.4</v>
      </c>
    </row>
    <row r="1834" spans="1:9" ht="24" customHeight="1">
      <c r="A1834" s="6" t="s">
        <v>3178</v>
      </c>
      <c r="B1834">
        <v>6672</v>
      </c>
      <c r="C1834">
        <v>3765</v>
      </c>
      <c r="D1834">
        <v>372994</v>
      </c>
      <c r="E1834">
        <v>294962</v>
      </c>
      <c r="F1834">
        <v>13.4</v>
      </c>
      <c r="G1834">
        <v>11.8</v>
      </c>
      <c r="H1834">
        <v>12</v>
      </c>
      <c r="I1834">
        <v>11.8</v>
      </c>
    </row>
    <row r="1835" spans="1:9" ht="24" customHeight="1">
      <c r="A1835" s="6" t="s">
        <v>3179</v>
      </c>
      <c r="B1835">
        <v>6695</v>
      </c>
      <c r="C1835">
        <v>2520</v>
      </c>
      <c r="D1835">
        <v>382229</v>
      </c>
      <c r="E1835">
        <v>323172</v>
      </c>
      <c r="F1835">
        <v>14.1</v>
      </c>
      <c r="G1835">
        <v>10.3</v>
      </c>
      <c r="H1835">
        <v>17</v>
      </c>
      <c r="I1835">
        <v>16.5</v>
      </c>
    </row>
    <row r="1836" spans="1:9" ht="24" customHeight="1">
      <c r="A1836" s="6" t="s">
        <v>3180</v>
      </c>
      <c r="B1836">
        <v>4506</v>
      </c>
      <c r="C1836">
        <v>1346</v>
      </c>
      <c r="D1836">
        <v>419127</v>
      </c>
      <c r="E1836">
        <v>356540</v>
      </c>
      <c r="F1836">
        <v>20.3</v>
      </c>
      <c r="G1836">
        <v>12.5</v>
      </c>
      <c r="H1836">
        <v>21.2</v>
      </c>
      <c r="I1836">
        <v>21.4</v>
      </c>
    </row>
    <row r="1837" spans="1:9" ht="24" customHeight="1">
      <c r="A1837" s="6" t="s">
        <v>3181</v>
      </c>
      <c r="B1837">
        <v>2887</v>
      </c>
      <c r="C1837">
        <v>915</v>
      </c>
      <c r="D1837">
        <v>411595</v>
      </c>
      <c r="E1837">
        <v>368009</v>
      </c>
      <c r="F1837">
        <v>12.1</v>
      </c>
      <c r="G1837">
        <v>6.8</v>
      </c>
      <c r="H1837">
        <v>26.6</v>
      </c>
      <c r="I1837">
        <v>26.8</v>
      </c>
    </row>
    <row r="1838" spans="1:9" ht="24" customHeight="1">
      <c r="A1838" s="6" t="s">
        <v>3182</v>
      </c>
      <c r="B1838">
        <v>7051</v>
      </c>
      <c r="C1838">
        <v>4850</v>
      </c>
      <c r="D1838">
        <v>328246</v>
      </c>
      <c r="E1838">
        <v>279730</v>
      </c>
      <c r="F1838">
        <v>17.7</v>
      </c>
      <c r="G1838">
        <v>12.3</v>
      </c>
      <c r="H1838">
        <v>3.5</v>
      </c>
      <c r="I1838">
        <v>3.4</v>
      </c>
    </row>
    <row r="1839" spans="1:9" ht="24" customHeight="1">
      <c r="A1839" s="6" t="s">
        <v>3183</v>
      </c>
      <c r="B1839">
        <v>3443</v>
      </c>
      <c r="C1839">
        <v>750</v>
      </c>
      <c r="D1839">
        <v>460442</v>
      </c>
      <c r="E1839">
        <v>354560</v>
      </c>
      <c r="F1839">
        <v>12.8</v>
      </c>
      <c r="G1839">
        <v>13.6</v>
      </c>
      <c r="H1839">
        <v>34.4</v>
      </c>
      <c r="I1839">
        <v>33.5</v>
      </c>
    </row>
    <row r="1840" spans="1:9" ht="24" customHeight="1">
      <c r="A1840" s="6" t="s">
        <v>3184</v>
      </c>
      <c r="B1840">
        <v>12619</v>
      </c>
      <c r="C1840">
        <v>7555</v>
      </c>
      <c r="D1840">
        <v>341691</v>
      </c>
      <c r="E1840">
        <v>296816</v>
      </c>
      <c r="F1840">
        <v>14.6</v>
      </c>
      <c r="G1840">
        <v>12.5</v>
      </c>
      <c r="H1840">
        <v>6.8</v>
      </c>
      <c r="I1840">
        <v>6.7</v>
      </c>
    </row>
    <row r="1841" spans="1:9" ht="24" customHeight="1">
      <c r="A1841" s="6" t="s">
        <v>3185</v>
      </c>
      <c r="B1841">
        <v>49887</v>
      </c>
      <c r="C1841">
        <v>25414</v>
      </c>
      <c r="D1841">
        <v>394259</v>
      </c>
      <c r="E1841">
        <v>307083</v>
      </c>
      <c r="F1841">
        <v>16.100000000000001</v>
      </c>
      <c r="G1841">
        <v>15.2</v>
      </c>
      <c r="H1841">
        <v>11.6</v>
      </c>
      <c r="I1841">
        <v>8</v>
      </c>
    </row>
    <row r="1842" spans="1:9" ht="24" customHeight="1">
      <c r="A1842" s="6" t="s">
        <v>3186</v>
      </c>
      <c r="B1842">
        <v>4374</v>
      </c>
      <c r="C1842">
        <v>3518</v>
      </c>
      <c r="D1842">
        <v>309214</v>
      </c>
      <c r="E1842">
        <v>221592</v>
      </c>
      <c r="F1842">
        <v>13</v>
      </c>
      <c r="G1842">
        <v>9.4</v>
      </c>
      <c r="H1842">
        <v>0</v>
      </c>
      <c r="I1842">
        <v>0</v>
      </c>
    </row>
    <row r="1843" spans="1:9" ht="24" customHeight="1">
      <c r="A1843" s="6" t="s">
        <v>3187</v>
      </c>
      <c r="B1843">
        <v>4572</v>
      </c>
      <c r="C1843">
        <v>3958</v>
      </c>
      <c r="D1843">
        <v>308277</v>
      </c>
      <c r="E1843">
        <v>265129</v>
      </c>
      <c r="F1843">
        <v>17</v>
      </c>
      <c r="G1843">
        <v>13.1</v>
      </c>
      <c r="H1843">
        <v>1.3</v>
      </c>
      <c r="I1843">
        <v>1.4</v>
      </c>
    </row>
    <row r="1844" spans="1:9" ht="24" customHeight="1">
      <c r="A1844" s="6" t="s">
        <v>3188</v>
      </c>
      <c r="B1844">
        <v>7695</v>
      </c>
      <c r="C1844">
        <v>2687</v>
      </c>
      <c r="D1844">
        <v>403816</v>
      </c>
      <c r="E1844">
        <v>331756</v>
      </c>
      <c r="F1844">
        <v>13.6</v>
      </c>
      <c r="G1844">
        <v>14</v>
      </c>
      <c r="H1844">
        <v>11.7</v>
      </c>
      <c r="I1844">
        <v>12</v>
      </c>
    </row>
    <row r="1845" spans="1:9" ht="24" customHeight="1">
      <c r="A1845" s="6" t="s">
        <v>3189</v>
      </c>
      <c r="B1845">
        <v>5100</v>
      </c>
      <c r="C1845">
        <v>2674</v>
      </c>
      <c r="D1845">
        <v>423108</v>
      </c>
      <c r="E1845">
        <v>369964</v>
      </c>
      <c r="F1845">
        <v>13.8</v>
      </c>
      <c r="G1845">
        <v>28.8</v>
      </c>
      <c r="H1845">
        <v>16.7</v>
      </c>
      <c r="I1845">
        <v>16.3</v>
      </c>
    </row>
    <row r="1846" spans="1:9" ht="24" customHeight="1">
      <c r="A1846" s="6" t="s">
        <v>3190</v>
      </c>
      <c r="B1846">
        <v>3942</v>
      </c>
      <c r="C1846">
        <v>1423</v>
      </c>
      <c r="D1846">
        <v>469323</v>
      </c>
      <c r="E1846">
        <v>388449</v>
      </c>
      <c r="F1846">
        <v>19.8</v>
      </c>
      <c r="G1846">
        <v>7.1</v>
      </c>
      <c r="H1846">
        <v>22.2</v>
      </c>
      <c r="I1846">
        <v>21.7</v>
      </c>
    </row>
    <row r="1847" spans="1:9" ht="24" customHeight="1">
      <c r="A1847" s="6" t="s">
        <v>3191</v>
      </c>
      <c r="B1847">
        <v>2711</v>
      </c>
      <c r="C1847">
        <v>1050</v>
      </c>
      <c r="D1847">
        <v>492889</v>
      </c>
      <c r="E1847">
        <v>471926</v>
      </c>
      <c r="F1847">
        <v>13.2</v>
      </c>
      <c r="G1847">
        <v>19.899999999999999</v>
      </c>
      <c r="H1847">
        <v>26.7</v>
      </c>
      <c r="I1847">
        <v>27.1</v>
      </c>
    </row>
    <row r="1848" spans="1:9" ht="24" customHeight="1">
      <c r="A1848" s="6" t="s">
        <v>3192</v>
      </c>
      <c r="B1848">
        <v>6245</v>
      </c>
      <c r="C1848">
        <v>4063</v>
      </c>
      <c r="D1848">
        <v>335635</v>
      </c>
      <c r="E1848">
        <v>279268</v>
      </c>
      <c r="F1848">
        <v>17.100000000000001</v>
      </c>
      <c r="G1848">
        <v>16.8</v>
      </c>
      <c r="H1848">
        <v>3.5</v>
      </c>
      <c r="I1848">
        <v>3.5</v>
      </c>
    </row>
    <row r="1849" spans="1:9" ht="24" customHeight="1">
      <c r="A1849" s="6" t="s">
        <v>3193</v>
      </c>
      <c r="B1849">
        <v>4129</v>
      </c>
      <c r="C1849">
        <v>376</v>
      </c>
      <c r="D1849">
        <v>547887</v>
      </c>
      <c r="E1849">
        <v>387738</v>
      </c>
      <c r="F1849">
        <v>11.9</v>
      </c>
      <c r="G1849">
        <v>9.6</v>
      </c>
      <c r="H1849">
        <v>33.700000000000003</v>
      </c>
      <c r="I1849">
        <v>32.799999999999997</v>
      </c>
    </row>
    <row r="1850" spans="1:9" ht="24" customHeight="1">
      <c r="A1850" s="6" t="s">
        <v>3194</v>
      </c>
      <c r="B1850">
        <v>11167</v>
      </c>
      <c r="C1850">
        <v>5998</v>
      </c>
      <c r="D1850">
        <v>368100</v>
      </c>
      <c r="E1850">
        <v>308177</v>
      </c>
      <c r="F1850">
        <v>19.899999999999999</v>
      </c>
      <c r="G1850">
        <v>14.2</v>
      </c>
      <c r="H1850">
        <v>6.8</v>
      </c>
      <c r="I1850">
        <v>6.5</v>
      </c>
    </row>
    <row r="1851" spans="1:9" ht="24" customHeight="1">
      <c r="A1851" s="6" t="s">
        <v>565</v>
      </c>
      <c r="B1851">
        <v>65212</v>
      </c>
      <c r="C1851">
        <v>44407</v>
      </c>
      <c r="D1851">
        <v>485933</v>
      </c>
      <c r="E1851">
        <v>344533</v>
      </c>
      <c r="F1851">
        <v>12</v>
      </c>
      <c r="G1851">
        <v>11.8</v>
      </c>
      <c r="H1851">
        <v>14</v>
      </c>
      <c r="I1851">
        <v>8.9</v>
      </c>
    </row>
    <row r="1852" spans="1:9" ht="24" customHeight="1">
      <c r="A1852" s="6" t="s">
        <v>566</v>
      </c>
      <c r="B1852">
        <v>3034</v>
      </c>
      <c r="C1852">
        <v>5151</v>
      </c>
      <c r="D1852">
        <v>318966</v>
      </c>
      <c r="E1852">
        <v>252464</v>
      </c>
      <c r="F1852">
        <v>8.5</v>
      </c>
      <c r="G1852">
        <v>7.7</v>
      </c>
      <c r="H1852">
        <v>0</v>
      </c>
      <c r="I1852">
        <v>0</v>
      </c>
    </row>
    <row r="1853" spans="1:9" ht="24" customHeight="1">
      <c r="A1853" s="6" t="s">
        <v>3195</v>
      </c>
      <c r="B1853">
        <v>4213</v>
      </c>
      <c r="C1853">
        <v>5243</v>
      </c>
      <c r="D1853">
        <v>322584</v>
      </c>
      <c r="E1853">
        <v>284807</v>
      </c>
      <c r="F1853">
        <v>14.8</v>
      </c>
      <c r="G1853">
        <v>9.5</v>
      </c>
      <c r="H1853">
        <v>1.5</v>
      </c>
      <c r="I1853">
        <v>1.5</v>
      </c>
    </row>
    <row r="1854" spans="1:9" ht="24" customHeight="1">
      <c r="A1854" s="6" t="s">
        <v>3196</v>
      </c>
      <c r="B1854">
        <v>9043</v>
      </c>
      <c r="C1854">
        <v>6281</v>
      </c>
      <c r="D1854">
        <v>459334</v>
      </c>
      <c r="E1854">
        <v>337687</v>
      </c>
      <c r="F1854">
        <v>10.4</v>
      </c>
      <c r="G1854">
        <v>11</v>
      </c>
      <c r="H1854">
        <v>12</v>
      </c>
      <c r="I1854">
        <v>11.7</v>
      </c>
    </row>
    <row r="1855" spans="1:9" ht="24" customHeight="1">
      <c r="A1855" s="6" t="s">
        <v>3197</v>
      </c>
      <c r="B1855">
        <v>12649</v>
      </c>
      <c r="C1855">
        <v>6429</v>
      </c>
      <c r="D1855">
        <v>521201</v>
      </c>
      <c r="E1855">
        <v>378352</v>
      </c>
      <c r="F1855">
        <v>10.7</v>
      </c>
      <c r="G1855">
        <v>11.7</v>
      </c>
      <c r="H1855">
        <v>17</v>
      </c>
      <c r="I1855">
        <v>16.7</v>
      </c>
    </row>
    <row r="1856" spans="1:9" ht="24" customHeight="1">
      <c r="A1856" s="6" t="s">
        <v>3198</v>
      </c>
      <c r="B1856">
        <v>6879</v>
      </c>
      <c r="C1856">
        <v>2378</v>
      </c>
      <c r="D1856">
        <v>601688</v>
      </c>
      <c r="E1856">
        <v>435155</v>
      </c>
      <c r="F1856">
        <v>13.2</v>
      </c>
      <c r="G1856">
        <v>12.8</v>
      </c>
      <c r="H1856">
        <v>21.7</v>
      </c>
      <c r="I1856">
        <v>21.9</v>
      </c>
    </row>
    <row r="1857" spans="1:9" ht="24" customHeight="1">
      <c r="A1857" s="6" t="s">
        <v>3199</v>
      </c>
      <c r="B1857">
        <v>3988</v>
      </c>
      <c r="C1857">
        <v>1498</v>
      </c>
      <c r="D1857">
        <v>635565</v>
      </c>
      <c r="E1857">
        <v>435659</v>
      </c>
      <c r="F1857">
        <v>9.4</v>
      </c>
      <c r="G1857">
        <v>9.8000000000000007</v>
      </c>
      <c r="H1857">
        <v>26.7</v>
      </c>
      <c r="I1857">
        <v>26.5</v>
      </c>
    </row>
    <row r="1858" spans="1:9" ht="24" customHeight="1">
      <c r="A1858" s="6" t="s">
        <v>3200</v>
      </c>
      <c r="B1858">
        <v>5472</v>
      </c>
      <c r="C1858">
        <v>8056</v>
      </c>
      <c r="D1858">
        <v>383945</v>
      </c>
      <c r="E1858">
        <v>331074</v>
      </c>
      <c r="F1858">
        <v>14.7</v>
      </c>
      <c r="G1858">
        <v>14.6</v>
      </c>
      <c r="H1858">
        <v>3.5</v>
      </c>
      <c r="I1858">
        <v>3.4</v>
      </c>
    </row>
    <row r="1859" spans="1:9" ht="24" customHeight="1">
      <c r="A1859" s="6" t="s">
        <v>567</v>
      </c>
      <c r="B1859">
        <v>6559</v>
      </c>
      <c r="C1859">
        <v>1455</v>
      </c>
      <c r="D1859">
        <v>708256</v>
      </c>
      <c r="E1859">
        <v>541491</v>
      </c>
      <c r="F1859">
        <v>13.9</v>
      </c>
      <c r="G1859">
        <v>9.4</v>
      </c>
      <c r="H1859">
        <v>33</v>
      </c>
      <c r="I1859">
        <v>33.200000000000003</v>
      </c>
    </row>
    <row r="1860" spans="1:9" ht="24" customHeight="1">
      <c r="A1860" s="6" t="s">
        <v>3201</v>
      </c>
      <c r="B1860">
        <v>13467</v>
      </c>
      <c r="C1860">
        <v>10592</v>
      </c>
      <c r="D1860">
        <v>387993</v>
      </c>
      <c r="E1860">
        <v>325971</v>
      </c>
      <c r="F1860">
        <v>12.3</v>
      </c>
      <c r="G1860">
        <v>12.4</v>
      </c>
      <c r="H1860">
        <v>6.8</v>
      </c>
      <c r="I1860">
        <v>6.9</v>
      </c>
    </row>
    <row r="1861" spans="1:9" ht="24" customHeight="1">
      <c r="A1861" s="6" t="s">
        <v>3202</v>
      </c>
      <c r="B1861">
        <v>96911</v>
      </c>
      <c r="C1861">
        <v>71649</v>
      </c>
      <c r="D1861">
        <v>384220</v>
      </c>
      <c r="E1861">
        <v>291136</v>
      </c>
      <c r="F1861">
        <v>7.4</v>
      </c>
      <c r="G1861">
        <v>5.6</v>
      </c>
      <c r="H1861">
        <v>11.7</v>
      </c>
      <c r="I1861">
        <v>8.6999999999999993</v>
      </c>
    </row>
    <row r="1862" spans="1:9" ht="24" customHeight="1">
      <c r="A1862" s="6" t="s">
        <v>3203</v>
      </c>
      <c r="B1862">
        <v>6069</v>
      </c>
      <c r="C1862">
        <v>7685</v>
      </c>
      <c r="D1862">
        <v>270220</v>
      </c>
      <c r="E1862">
        <v>206244</v>
      </c>
      <c r="F1862">
        <v>6.6</v>
      </c>
      <c r="G1862">
        <v>3.9</v>
      </c>
      <c r="H1862">
        <v>0</v>
      </c>
      <c r="I1862">
        <v>0</v>
      </c>
    </row>
    <row r="1863" spans="1:9" ht="24" customHeight="1">
      <c r="A1863" s="6" t="s">
        <v>3204</v>
      </c>
      <c r="B1863">
        <v>10830</v>
      </c>
      <c r="C1863">
        <v>11894</v>
      </c>
      <c r="D1863">
        <v>324013</v>
      </c>
      <c r="E1863">
        <v>245441</v>
      </c>
      <c r="F1863">
        <v>6.3</v>
      </c>
      <c r="G1863">
        <v>4.9000000000000004</v>
      </c>
      <c r="H1863">
        <v>1.5</v>
      </c>
      <c r="I1863">
        <v>1.5</v>
      </c>
    </row>
    <row r="1864" spans="1:9" ht="24" customHeight="1">
      <c r="A1864" s="6" t="s">
        <v>3205</v>
      </c>
      <c r="B1864">
        <v>14626</v>
      </c>
      <c r="C1864">
        <v>11217</v>
      </c>
      <c r="D1864">
        <v>404078</v>
      </c>
      <c r="E1864">
        <v>309652</v>
      </c>
      <c r="F1864">
        <v>8.5</v>
      </c>
      <c r="G1864">
        <v>6.4</v>
      </c>
      <c r="H1864">
        <v>11.8</v>
      </c>
      <c r="I1864">
        <v>11.7</v>
      </c>
    </row>
    <row r="1865" spans="1:9" ht="24" customHeight="1">
      <c r="A1865" s="6" t="s">
        <v>3206</v>
      </c>
      <c r="B1865">
        <v>12473</v>
      </c>
      <c r="C1865">
        <v>7546</v>
      </c>
      <c r="D1865">
        <v>426533</v>
      </c>
      <c r="E1865">
        <v>332895</v>
      </c>
      <c r="F1865">
        <v>7.7</v>
      </c>
      <c r="G1865">
        <v>5.5</v>
      </c>
      <c r="H1865">
        <v>16.7</v>
      </c>
      <c r="I1865">
        <v>16.8</v>
      </c>
    </row>
    <row r="1866" spans="1:9" ht="24" customHeight="1">
      <c r="A1866" s="6" t="s">
        <v>3207</v>
      </c>
      <c r="B1866">
        <v>8380</v>
      </c>
      <c r="C1866">
        <v>3814</v>
      </c>
      <c r="D1866">
        <v>448199</v>
      </c>
      <c r="E1866">
        <v>355951</v>
      </c>
      <c r="F1866">
        <v>7.2</v>
      </c>
      <c r="G1866">
        <v>5.6</v>
      </c>
      <c r="H1866">
        <v>21.7</v>
      </c>
      <c r="I1866">
        <v>21.7</v>
      </c>
    </row>
    <row r="1867" spans="1:9" ht="24" customHeight="1">
      <c r="A1867" s="6" t="s">
        <v>3208</v>
      </c>
      <c r="B1867">
        <v>5418</v>
      </c>
      <c r="C1867">
        <v>2499</v>
      </c>
      <c r="D1867">
        <v>453326</v>
      </c>
      <c r="E1867">
        <v>383302</v>
      </c>
      <c r="F1867">
        <v>6.7</v>
      </c>
      <c r="G1867">
        <v>4.4000000000000004</v>
      </c>
      <c r="H1867">
        <v>26.8</v>
      </c>
      <c r="I1867">
        <v>26.9</v>
      </c>
    </row>
    <row r="1868" spans="1:9" ht="24" customHeight="1">
      <c r="A1868" s="6" t="s">
        <v>3209</v>
      </c>
      <c r="B1868">
        <v>11244</v>
      </c>
      <c r="C1868">
        <v>11297</v>
      </c>
      <c r="D1868">
        <v>327323</v>
      </c>
      <c r="E1868">
        <v>263775</v>
      </c>
      <c r="F1868">
        <v>7.4</v>
      </c>
      <c r="G1868">
        <v>5.9</v>
      </c>
      <c r="H1868">
        <v>3.4</v>
      </c>
      <c r="I1868">
        <v>3.5</v>
      </c>
    </row>
    <row r="1869" spans="1:9" ht="24" customHeight="1">
      <c r="A1869" s="6" t="s">
        <v>3210</v>
      </c>
      <c r="B1869">
        <v>6843</v>
      </c>
      <c r="C1869">
        <v>2811</v>
      </c>
      <c r="D1869">
        <v>476829</v>
      </c>
      <c r="E1869">
        <v>303583</v>
      </c>
      <c r="F1869">
        <v>4.5999999999999996</v>
      </c>
      <c r="G1869">
        <v>2.1</v>
      </c>
      <c r="H1869">
        <v>34.200000000000003</v>
      </c>
      <c r="I1869">
        <v>35.700000000000003</v>
      </c>
    </row>
    <row r="1870" spans="1:9" ht="24" customHeight="1">
      <c r="A1870" s="6" t="s">
        <v>3211</v>
      </c>
      <c r="B1870">
        <v>22456</v>
      </c>
      <c r="C1870">
        <v>17706</v>
      </c>
      <c r="D1870">
        <v>352731</v>
      </c>
      <c r="E1870">
        <v>283429</v>
      </c>
      <c r="F1870">
        <v>7.8</v>
      </c>
      <c r="G1870">
        <v>5.8</v>
      </c>
      <c r="H1870">
        <v>7</v>
      </c>
      <c r="I1870">
        <v>6.7</v>
      </c>
    </row>
    <row r="1871" spans="1:9" ht="24" customHeight="1">
      <c r="A1871" s="6" t="s">
        <v>3212</v>
      </c>
      <c r="B1871">
        <v>52620</v>
      </c>
      <c r="C1871">
        <v>31493</v>
      </c>
      <c r="D1871">
        <v>388035</v>
      </c>
      <c r="E1871">
        <v>289989</v>
      </c>
      <c r="F1871">
        <v>11.2</v>
      </c>
      <c r="G1871">
        <v>6.2</v>
      </c>
      <c r="H1871">
        <v>11.4</v>
      </c>
      <c r="I1871">
        <v>8.4</v>
      </c>
    </row>
    <row r="1872" spans="1:9" ht="24" customHeight="1">
      <c r="A1872" s="6" t="s">
        <v>3213</v>
      </c>
      <c r="B1872">
        <v>3311</v>
      </c>
      <c r="C1872">
        <v>4280</v>
      </c>
      <c r="D1872">
        <v>251099</v>
      </c>
      <c r="E1872">
        <v>218956</v>
      </c>
      <c r="F1872">
        <v>8.1</v>
      </c>
      <c r="G1872">
        <v>4.9000000000000004</v>
      </c>
      <c r="H1872">
        <v>0</v>
      </c>
      <c r="I1872">
        <v>0</v>
      </c>
    </row>
    <row r="1873" spans="1:9" ht="24" customHeight="1">
      <c r="A1873" s="6" t="s">
        <v>3214</v>
      </c>
      <c r="B1873">
        <v>6158</v>
      </c>
      <c r="C1873">
        <v>5149</v>
      </c>
      <c r="D1873">
        <v>300141</v>
      </c>
      <c r="E1873">
        <v>246581</v>
      </c>
      <c r="F1873">
        <v>10.199999999999999</v>
      </c>
      <c r="G1873">
        <v>5.2</v>
      </c>
      <c r="H1873">
        <v>1.5</v>
      </c>
      <c r="I1873">
        <v>1.4</v>
      </c>
    </row>
    <row r="1874" spans="1:9" ht="24" customHeight="1">
      <c r="A1874" s="6" t="s">
        <v>3215</v>
      </c>
      <c r="B1874">
        <v>8119</v>
      </c>
      <c r="C1874">
        <v>4144</v>
      </c>
      <c r="D1874">
        <v>402515</v>
      </c>
      <c r="E1874">
        <v>307362</v>
      </c>
      <c r="F1874">
        <v>10.8</v>
      </c>
      <c r="G1874">
        <v>6.4</v>
      </c>
      <c r="H1874">
        <v>11.7</v>
      </c>
      <c r="I1874">
        <v>11.8</v>
      </c>
    </row>
    <row r="1875" spans="1:9" ht="24" customHeight="1">
      <c r="A1875" s="6" t="s">
        <v>3216</v>
      </c>
      <c r="B1875">
        <v>7294</v>
      </c>
      <c r="C1875">
        <v>3159</v>
      </c>
      <c r="D1875">
        <v>435320</v>
      </c>
      <c r="E1875">
        <v>319969</v>
      </c>
      <c r="F1875">
        <v>8</v>
      </c>
      <c r="G1875">
        <v>6.4</v>
      </c>
      <c r="H1875">
        <v>16.899999999999999</v>
      </c>
      <c r="I1875">
        <v>16.7</v>
      </c>
    </row>
    <row r="1876" spans="1:9" ht="24" customHeight="1">
      <c r="A1876" s="6" t="s">
        <v>3217</v>
      </c>
      <c r="B1876">
        <v>5002</v>
      </c>
      <c r="C1876">
        <v>1736</v>
      </c>
      <c r="D1876">
        <v>471998</v>
      </c>
      <c r="E1876">
        <v>379591</v>
      </c>
      <c r="F1876">
        <v>7.7</v>
      </c>
      <c r="G1876">
        <v>6.4</v>
      </c>
      <c r="H1876">
        <v>21.8</v>
      </c>
      <c r="I1876">
        <v>21.6</v>
      </c>
    </row>
    <row r="1877" spans="1:9" ht="24" customHeight="1">
      <c r="A1877" s="6" t="s">
        <v>3218</v>
      </c>
      <c r="B1877">
        <v>2523</v>
      </c>
      <c r="C1877">
        <v>1173</v>
      </c>
      <c r="D1877">
        <v>515350</v>
      </c>
      <c r="E1877">
        <v>375847</v>
      </c>
      <c r="F1877">
        <v>10.3</v>
      </c>
      <c r="G1877">
        <v>5.9</v>
      </c>
      <c r="H1877">
        <v>26.9</v>
      </c>
      <c r="I1877">
        <v>26.7</v>
      </c>
    </row>
    <row r="1878" spans="1:9" ht="24" customHeight="1">
      <c r="A1878" s="6" t="s">
        <v>3219</v>
      </c>
      <c r="B1878">
        <v>6724</v>
      </c>
      <c r="C1878">
        <v>4887</v>
      </c>
      <c r="D1878">
        <v>348423</v>
      </c>
      <c r="E1878">
        <v>275410</v>
      </c>
      <c r="F1878">
        <v>18</v>
      </c>
      <c r="G1878">
        <v>6.1</v>
      </c>
      <c r="H1878">
        <v>3.5</v>
      </c>
      <c r="I1878">
        <v>3.5</v>
      </c>
    </row>
    <row r="1879" spans="1:9" ht="24" customHeight="1">
      <c r="A1879" s="6" t="s">
        <v>3220</v>
      </c>
      <c r="B1879">
        <v>3344</v>
      </c>
      <c r="C1879">
        <v>1169</v>
      </c>
      <c r="D1879">
        <v>526906</v>
      </c>
      <c r="E1879">
        <v>434304</v>
      </c>
      <c r="F1879">
        <v>6.2</v>
      </c>
      <c r="G1879">
        <v>9.8000000000000007</v>
      </c>
      <c r="H1879">
        <v>33.5</v>
      </c>
      <c r="I1879">
        <v>32.9</v>
      </c>
    </row>
    <row r="1880" spans="1:9" ht="24" customHeight="1">
      <c r="A1880" s="6" t="s">
        <v>3221</v>
      </c>
      <c r="B1880">
        <v>11149</v>
      </c>
      <c r="C1880">
        <v>7339</v>
      </c>
      <c r="D1880">
        <v>368755</v>
      </c>
      <c r="E1880">
        <v>293691</v>
      </c>
      <c r="F1880">
        <v>13.4</v>
      </c>
      <c r="G1880">
        <v>6.2</v>
      </c>
      <c r="H1880">
        <v>6.9</v>
      </c>
      <c r="I1880">
        <v>6.7</v>
      </c>
    </row>
    <row r="1881" spans="1:9" ht="24" customHeight="1">
      <c r="A1881" s="6" t="s">
        <v>3222</v>
      </c>
      <c r="B1881">
        <v>42720</v>
      </c>
      <c r="C1881">
        <v>22372</v>
      </c>
      <c r="D1881">
        <v>430233</v>
      </c>
      <c r="E1881">
        <v>345210</v>
      </c>
      <c r="F1881">
        <v>8.9</v>
      </c>
      <c r="G1881">
        <v>7.8</v>
      </c>
      <c r="H1881">
        <v>14.5</v>
      </c>
      <c r="I1881">
        <v>10.5</v>
      </c>
    </row>
    <row r="1882" spans="1:9" ht="24" customHeight="1">
      <c r="A1882" s="6" t="s">
        <v>3223</v>
      </c>
      <c r="B1882">
        <v>2036</v>
      </c>
      <c r="C1882">
        <v>2331</v>
      </c>
      <c r="D1882">
        <v>265447</v>
      </c>
      <c r="E1882">
        <v>232791</v>
      </c>
      <c r="F1882">
        <v>5.6</v>
      </c>
      <c r="G1882">
        <v>6.7</v>
      </c>
      <c r="H1882">
        <v>0</v>
      </c>
      <c r="I1882">
        <v>0</v>
      </c>
    </row>
    <row r="1883" spans="1:9" ht="24" customHeight="1">
      <c r="A1883" s="6" t="s">
        <v>3224</v>
      </c>
      <c r="B1883">
        <v>3211</v>
      </c>
      <c r="C1883">
        <v>2756</v>
      </c>
      <c r="D1883">
        <v>316908</v>
      </c>
      <c r="E1883">
        <v>278671</v>
      </c>
      <c r="F1883">
        <v>8.6</v>
      </c>
      <c r="G1883">
        <v>6.3</v>
      </c>
      <c r="H1883">
        <v>1.5</v>
      </c>
      <c r="I1883">
        <v>1.4</v>
      </c>
    </row>
    <row r="1884" spans="1:9" ht="24" customHeight="1">
      <c r="A1884" s="6" t="s">
        <v>3225</v>
      </c>
      <c r="B1884">
        <v>6017</v>
      </c>
      <c r="C1884">
        <v>3107</v>
      </c>
      <c r="D1884">
        <v>407698</v>
      </c>
      <c r="E1884">
        <v>367374</v>
      </c>
      <c r="F1884">
        <v>10.199999999999999</v>
      </c>
      <c r="G1884">
        <v>8.4</v>
      </c>
      <c r="H1884">
        <v>12</v>
      </c>
      <c r="I1884">
        <v>12.2</v>
      </c>
    </row>
    <row r="1885" spans="1:9" ht="24" customHeight="1">
      <c r="A1885" s="6" t="s">
        <v>3226</v>
      </c>
      <c r="B1885">
        <v>7816</v>
      </c>
      <c r="C1885">
        <v>2327</v>
      </c>
      <c r="D1885">
        <v>463006</v>
      </c>
      <c r="E1885">
        <v>377465</v>
      </c>
      <c r="F1885">
        <v>7.3</v>
      </c>
      <c r="G1885">
        <v>7.4</v>
      </c>
      <c r="H1885">
        <v>16.899999999999999</v>
      </c>
      <c r="I1885">
        <v>16.8</v>
      </c>
    </row>
    <row r="1886" spans="1:9" ht="24" customHeight="1">
      <c r="A1886" s="6" t="s">
        <v>3227</v>
      </c>
      <c r="B1886">
        <v>4194</v>
      </c>
      <c r="C1886">
        <v>2283</v>
      </c>
      <c r="D1886">
        <v>498536</v>
      </c>
      <c r="E1886">
        <v>420604</v>
      </c>
      <c r="F1886">
        <v>8.6</v>
      </c>
      <c r="G1886">
        <v>10.1</v>
      </c>
      <c r="H1886">
        <v>21.8</v>
      </c>
      <c r="I1886">
        <v>21.4</v>
      </c>
    </row>
    <row r="1887" spans="1:9" ht="24" customHeight="1">
      <c r="A1887" s="6" t="s">
        <v>3228</v>
      </c>
      <c r="B1887">
        <v>3098</v>
      </c>
      <c r="C1887">
        <v>907</v>
      </c>
      <c r="D1887">
        <v>551420</v>
      </c>
      <c r="E1887">
        <v>461832</v>
      </c>
      <c r="F1887">
        <v>7.8</v>
      </c>
      <c r="G1887">
        <v>6.5</v>
      </c>
      <c r="H1887">
        <v>27.1</v>
      </c>
      <c r="I1887">
        <v>26.6</v>
      </c>
    </row>
    <row r="1888" spans="1:9" ht="24" customHeight="1">
      <c r="A1888" s="6" t="s">
        <v>3229</v>
      </c>
      <c r="B1888">
        <v>3783</v>
      </c>
      <c r="C1888">
        <v>3113</v>
      </c>
      <c r="D1888">
        <v>355032</v>
      </c>
      <c r="E1888">
        <v>307850</v>
      </c>
      <c r="F1888">
        <v>12.6</v>
      </c>
      <c r="G1888">
        <v>5.8</v>
      </c>
      <c r="H1888">
        <v>3.5</v>
      </c>
      <c r="I1888">
        <v>3.5</v>
      </c>
    </row>
    <row r="1889" spans="1:9" ht="24" customHeight="1">
      <c r="A1889" s="6" t="s">
        <v>3230</v>
      </c>
      <c r="B1889">
        <v>5081</v>
      </c>
      <c r="C1889">
        <v>1322</v>
      </c>
      <c r="D1889">
        <v>540833</v>
      </c>
      <c r="E1889">
        <v>494367</v>
      </c>
      <c r="F1889">
        <v>6.1</v>
      </c>
      <c r="G1889">
        <v>11.9</v>
      </c>
      <c r="H1889">
        <v>34</v>
      </c>
      <c r="I1889">
        <v>33.5</v>
      </c>
    </row>
    <row r="1890" spans="1:9" ht="24" customHeight="1">
      <c r="A1890" s="6" t="s">
        <v>3231</v>
      </c>
      <c r="B1890">
        <v>7777</v>
      </c>
      <c r="C1890">
        <v>4855</v>
      </c>
      <c r="D1890">
        <v>379611</v>
      </c>
      <c r="E1890">
        <v>324105</v>
      </c>
      <c r="F1890">
        <v>10.9</v>
      </c>
      <c r="G1890">
        <v>7.3</v>
      </c>
      <c r="H1890">
        <v>7</v>
      </c>
      <c r="I1890">
        <v>6.7</v>
      </c>
    </row>
    <row r="1891" spans="1:9" ht="24" customHeight="1">
      <c r="A1891" s="6" t="s">
        <v>568</v>
      </c>
      <c r="B1891">
        <v>126178</v>
      </c>
      <c r="C1891">
        <v>65120</v>
      </c>
      <c r="D1891">
        <v>713466</v>
      </c>
      <c r="E1891">
        <v>573873</v>
      </c>
      <c r="F1891">
        <v>6.7</v>
      </c>
      <c r="G1891">
        <v>8.1999999999999993</v>
      </c>
      <c r="H1891">
        <v>15.5</v>
      </c>
      <c r="I1891">
        <v>13</v>
      </c>
    </row>
    <row r="1892" spans="1:9" ht="24" customHeight="1">
      <c r="A1892" s="6" t="s">
        <v>569</v>
      </c>
      <c r="B1892">
        <v>6482</v>
      </c>
      <c r="C1892">
        <v>4540</v>
      </c>
      <c r="D1892">
        <v>359908</v>
      </c>
      <c r="E1892">
        <v>338133</v>
      </c>
      <c r="F1892">
        <v>6</v>
      </c>
      <c r="G1892">
        <v>8.8000000000000007</v>
      </c>
      <c r="H1892">
        <v>0</v>
      </c>
      <c r="I1892">
        <v>0</v>
      </c>
    </row>
    <row r="1893" spans="1:9" ht="24" customHeight="1">
      <c r="A1893" s="6" t="s">
        <v>3232</v>
      </c>
      <c r="B1893">
        <v>10165</v>
      </c>
      <c r="C1893">
        <v>7074</v>
      </c>
      <c r="D1893">
        <v>530179</v>
      </c>
      <c r="E1893">
        <v>433091</v>
      </c>
      <c r="F1893">
        <v>9.6</v>
      </c>
      <c r="G1893">
        <v>9.8000000000000007</v>
      </c>
      <c r="H1893">
        <v>1.5</v>
      </c>
      <c r="I1893">
        <v>1.4</v>
      </c>
    </row>
    <row r="1894" spans="1:9" ht="24" customHeight="1">
      <c r="A1894" s="6" t="s">
        <v>3233</v>
      </c>
      <c r="B1894">
        <v>19271</v>
      </c>
      <c r="C1894">
        <v>9470</v>
      </c>
      <c r="D1894">
        <v>740540</v>
      </c>
      <c r="E1894">
        <v>574050</v>
      </c>
      <c r="F1894">
        <v>7.6</v>
      </c>
      <c r="G1894">
        <v>7.3</v>
      </c>
      <c r="H1894">
        <v>12</v>
      </c>
      <c r="I1894">
        <v>11.8</v>
      </c>
    </row>
    <row r="1895" spans="1:9" ht="24" customHeight="1">
      <c r="A1895" s="6" t="s">
        <v>3234</v>
      </c>
      <c r="B1895">
        <v>16755</v>
      </c>
      <c r="C1895">
        <v>8024</v>
      </c>
      <c r="D1895">
        <v>783679</v>
      </c>
      <c r="E1895">
        <v>651438</v>
      </c>
      <c r="F1895">
        <v>6.3</v>
      </c>
      <c r="G1895">
        <v>6.9</v>
      </c>
      <c r="H1895">
        <v>17</v>
      </c>
      <c r="I1895">
        <v>17</v>
      </c>
    </row>
    <row r="1896" spans="1:9" ht="24" customHeight="1">
      <c r="A1896" s="6" t="s">
        <v>3235</v>
      </c>
      <c r="B1896">
        <v>11639</v>
      </c>
      <c r="C1896">
        <v>4271</v>
      </c>
      <c r="D1896">
        <v>796032</v>
      </c>
      <c r="E1896">
        <v>696993</v>
      </c>
      <c r="F1896">
        <v>4.5</v>
      </c>
      <c r="G1896">
        <v>6.8</v>
      </c>
      <c r="H1896">
        <v>22</v>
      </c>
      <c r="I1896">
        <v>22.1</v>
      </c>
    </row>
    <row r="1897" spans="1:9" ht="24" customHeight="1">
      <c r="A1897" s="6" t="s">
        <v>3236</v>
      </c>
      <c r="B1897">
        <v>11987</v>
      </c>
      <c r="C1897">
        <v>5180</v>
      </c>
      <c r="D1897">
        <v>828872</v>
      </c>
      <c r="E1897">
        <v>708031</v>
      </c>
      <c r="F1897">
        <v>4.4000000000000004</v>
      </c>
      <c r="G1897">
        <v>6.2</v>
      </c>
      <c r="H1897">
        <v>27</v>
      </c>
      <c r="I1897">
        <v>27</v>
      </c>
    </row>
    <row r="1898" spans="1:9" ht="24" customHeight="1">
      <c r="A1898" s="6" t="s">
        <v>3237</v>
      </c>
      <c r="B1898">
        <v>9577</v>
      </c>
      <c r="C1898">
        <v>6872</v>
      </c>
      <c r="D1898">
        <v>578429</v>
      </c>
      <c r="E1898">
        <v>475873</v>
      </c>
      <c r="F1898">
        <v>8.6999999999999993</v>
      </c>
      <c r="G1898">
        <v>9.3000000000000007</v>
      </c>
      <c r="H1898">
        <v>3.5</v>
      </c>
      <c r="I1898">
        <v>3.5</v>
      </c>
    </row>
    <row r="1899" spans="1:9" ht="24" customHeight="1">
      <c r="A1899" s="6" t="s">
        <v>570</v>
      </c>
      <c r="B1899">
        <v>19959</v>
      </c>
      <c r="C1899">
        <v>7552</v>
      </c>
      <c r="D1899">
        <v>845607</v>
      </c>
      <c r="E1899">
        <v>729178</v>
      </c>
      <c r="F1899">
        <v>5.7</v>
      </c>
      <c r="G1899">
        <v>6.9</v>
      </c>
      <c r="H1899">
        <v>33.6</v>
      </c>
      <c r="I1899">
        <v>34.1</v>
      </c>
    </row>
    <row r="1900" spans="1:9" ht="24" customHeight="1">
      <c r="A1900" s="6" t="s">
        <v>3238</v>
      </c>
      <c r="B1900">
        <v>20471</v>
      </c>
      <c r="C1900">
        <v>13694</v>
      </c>
      <c r="D1900">
        <v>651636</v>
      </c>
      <c r="E1900">
        <v>521675</v>
      </c>
      <c r="F1900">
        <v>7.4</v>
      </c>
      <c r="G1900">
        <v>9.1</v>
      </c>
      <c r="H1900">
        <v>6.8</v>
      </c>
      <c r="I1900">
        <v>6.8</v>
      </c>
    </row>
    <row r="1901" spans="1:9" ht="24" customHeight="1">
      <c r="A1901" s="6" t="s">
        <v>3239</v>
      </c>
      <c r="B1901">
        <v>65925</v>
      </c>
      <c r="C1901">
        <v>133578</v>
      </c>
      <c r="D1901">
        <v>436139</v>
      </c>
      <c r="E1901">
        <v>346087</v>
      </c>
      <c r="F1901">
        <v>10.3</v>
      </c>
      <c r="G1901">
        <v>3.8</v>
      </c>
      <c r="H1901">
        <v>12.7</v>
      </c>
      <c r="I1901">
        <v>9.3000000000000007</v>
      </c>
    </row>
    <row r="1902" spans="1:9" ht="24" customHeight="1">
      <c r="A1902" s="6" t="s">
        <v>3240</v>
      </c>
      <c r="B1902">
        <v>4111</v>
      </c>
      <c r="C1902">
        <v>13140</v>
      </c>
      <c r="D1902">
        <v>276721</v>
      </c>
      <c r="E1902">
        <v>231519</v>
      </c>
      <c r="F1902">
        <v>7.1</v>
      </c>
      <c r="G1902">
        <v>3.2</v>
      </c>
      <c r="H1902">
        <v>0</v>
      </c>
      <c r="I1902">
        <v>0</v>
      </c>
    </row>
    <row r="1903" spans="1:9" ht="24" customHeight="1">
      <c r="A1903" s="6" t="s">
        <v>3241</v>
      </c>
      <c r="B1903">
        <v>8522</v>
      </c>
      <c r="C1903">
        <v>23588</v>
      </c>
      <c r="D1903">
        <v>331601</v>
      </c>
      <c r="E1903">
        <v>285987</v>
      </c>
      <c r="F1903">
        <v>10.199999999999999</v>
      </c>
      <c r="G1903">
        <v>3.9</v>
      </c>
      <c r="H1903">
        <v>1.5</v>
      </c>
      <c r="I1903">
        <v>1.5</v>
      </c>
    </row>
    <row r="1904" spans="1:9" ht="24" customHeight="1">
      <c r="A1904" s="6" t="s">
        <v>3242</v>
      </c>
      <c r="B1904">
        <v>9021</v>
      </c>
      <c r="C1904">
        <v>17638</v>
      </c>
      <c r="D1904">
        <v>450134</v>
      </c>
      <c r="E1904">
        <v>361425</v>
      </c>
      <c r="F1904">
        <v>10.5</v>
      </c>
      <c r="G1904">
        <v>4</v>
      </c>
      <c r="H1904">
        <v>11.8</v>
      </c>
      <c r="I1904">
        <v>11.8</v>
      </c>
    </row>
    <row r="1905" spans="1:9" ht="24" customHeight="1">
      <c r="A1905" s="6" t="s">
        <v>3243</v>
      </c>
      <c r="B1905">
        <v>7737</v>
      </c>
      <c r="C1905">
        <v>12132</v>
      </c>
      <c r="D1905">
        <v>496150</v>
      </c>
      <c r="E1905">
        <v>400629</v>
      </c>
      <c r="F1905">
        <v>11.6</v>
      </c>
      <c r="G1905">
        <v>4.0999999999999996</v>
      </c>
      <c r="H1905">
        <v>17</v>
      </c>
      <c r="I1905">
        <v>16.8</v>
      </c>
    </row>
    <row r="1906" spans="1:9" ht="24" customHeight="1">
      <c r="A1906" s="6" t="s">
        <v>3244</v>
      </c>
      <c r="B1906">
        <v>5497</v>
      </c>
      <c r="C1906">
        <v>7971</v>
      </c>
      <c r="D1906">
        <v>533265</v>
      </c>
      <c r="E1906">
        <v>433503</v>
      </c>
      <c r="F1906">
        <v>9.1999999999999993</v>
      </c>
      <c r="G1906">
        <v>3.4</v>
      </c>
      <c r="H1906">
        <v>21.7</v>
      </c>
      <c r="I1906">
        <v>21.8</v>
      </c>
    </row>
    <row r="1907" spans="1:9" ht="24" customHeight="1">
      <c r="A1907" s="6" t="s">
        <v>3245</v>
      </c>
      <c r="B1907">
        <v>4340</v>
      </c>
      <c r="C1907">
        <v>5006</v>
      </c>
      <c r="D1907">
        <v>537797</v>
      </c>
      <c r="E1907">
        <v>458367</v>
      </c>
      <c r="F1907">
        <v>10.5</v>
      </c>
      <c r="G1907">
        <v>3.7</v>
      </c>
      <c r="H1907">
        <v>26.8</v>
      </c>
      <c r="I1907">
        <v>26.6</v>
      </c>
    </row>
    <row r="1908" spans="1:9" ht="24" customHeight="1">
      <c r="A1908" s="6" t="s">
        <v>3246</v>
      </c>
      <c r="B1908">
        <v>7498</v>
      </c>
      <c r="C1908">
        <v>19371</v>
      </c>
      <c r="D1908">
        <v>373412</v>
      </c>
      <c r="E1908">
        <v>311291</v>
      </c>
      <c r="F1908">
        <v>10.4</v>
      </c>
      <c r="G1908">
        <v>3.9</v>
      </c>
      <c r="H1908">
        <v>3.5</v>
      </c>
      <c r="I1908">
        <v>3.5</v>
      </c>
    </row>
    <row r="1909" spans="1:9" ht="24" customHeight="1">
      <c r="A1909" s="6" t="s">
        <v>3247</v>
      </c>
      <c r="B1909">
        <v>7100</v>
      </c>
      <c r="C1909">
        <v>6848</v>
      </c>
      <c r="D1909">
        <v>541892</v>
      </c>
      <c r="E1909">
        <v>510691</v>
      </c>
      <c r="F1909">
        <v>8.1</v>
      </c>
      <c r="G1909">
        <v>2.9</v>
      </c>
      <c r="H1909">
        <v>35.200000000000003</v>
      </c>
      <c r="I1909">
        <v>35.9</v>
      </c>
    </row>
    <row r="1910" spans="1:9" ht="24" customHeight="1">
      <c r="A1910" s="6" t="s">
        <v>3248</v>
      </c>
      <c r="B1910">
        <v>13600</v>
      </c>
      <c r="C1910">
        <v>33367</v>
      </c>
      <c r="D1910">
        <v>388781</v>
      </c>
      <c r="E1910">
        <v>329809</v>
      </c>
      <c r="F1910">
        <v>10.8</v>
      </c>
      <c r="G1910">
        <v>3.5</v>
      </c>
      <c r="H1910">
        <v>6.8</v>
      </c>
      <c r="I1910">
        <v>6.8</v>
      </c>
    </row>
    <row r="1911" spans="1:9" ht="24" customHeight="1">
      <c r="A1911" s="6" t="s">
        <v>3249</v>
      </c>
      <c r="B1911">
        <v>60218</v>
      </c>
      <c r="C1911">
        <v>47722</v>
      </c>
      <c r="D1911">
        <v>573344</v>
      </c>
      <c r="E1911">
        <v>431361</v>
      </c>
      <c r="F1911">
        <v>6.2</v>
      </c>
      <c r="G1911">
        <v>4</v>
      </c>
      <c r="H1911">
        <v>14.4</v>
      </c>
      <c r="I1911">
        <v>11.2</v>
      </c>
    </row>
    <row r="1912" spans="1:9" ht="24" customHeight="1">
      <c r="A1912" s="6" t="s">
        <v>3250</v>
      </c>
      <c r="B1912">
        <v>1964</v>
      </c>
      <c r="C1912">
        <v>3419</v>
      </c>
      <c r="D1912">
        <v>337866</v>
      </c>
      <c r="E1912">
        <v>258781</v>
      </c>
      <c r="F1912">
        <v>4.0999999999999996</v>
      </c>
      <c r="G1912">
        <v>2.9</v>
      </c>
      <c r="H1912">
        <v>0</v>
      </c>
      <c r="I1912">
        <v>0</v>
      </c>
    </row>
    <row r="1913" spans="1:9" ht="24" customHeight="1">
      <c r="A1913" s="6" t="s">
        <v>3251</v>
      </c>
      <c r="B1913">
        <v>5993</v>
      </c>
      <c r="C1913">
        <v>6609</v>
      </c>
      <c r="D1913">
        <v>425158</v>
      </c>
      <c r="E1913">
        <v>317227</v>
      </c>
      <c r="F1913">
        <v>8.6</v>
      </c>
      <c r="G1913">
        <v>4.9000000000000004</v>
      </c>
      <c r="H1913">
        <v>1.5</v>
      </c>
      <c r="I1913">
        <v>1.5</v>
      </c>
    </row>
    <row r="1914" spans="1:9" ht="24" customHeight="1">
      <c r="A1914" s="6" t="s">
        <v>3252</v>
      </c>
      <c r="B1914">
        <v>8230</v>
      </c>
      <c r="C1914">
        <v>6386</v>
      </c>
      <c r="D1914">
        <v>594289</v>
      </c>
      <c r="E1914">
        <v>458642</v>
      </c>
      <c r="F1914">
        <v>6.3</v>
      </c>
      <c r="G1914">
        <v>3.3</v>
      </c>
      <c r="H1914">
        <v>11.9</v>
      </c>
      <c r="I1914">
        <v>12</v>
      </c>
    </row>
    <row r="1915" spans="1:9" ht="24" customHeight="1">
      <c r="A1915" s="6" t="s">
        <v>3253</v>
      </c>
      <c r="B1915">
        <v>7821</v>
      </c>
      <c r="C1915">
        <v>5565</v>
      </c>
      <c r="D1915">
        <v>624393</v>
      </c>
      <c r="E1915">
        <v>503173</v>
      </c>
      <c r="F1915">
        <v>6</v>
      </c>
      <c r="G1915">
        <v>3.5</v>
      </c>
      <c r="H1915">
        <v>16.8</v>
      </c>
      <c r="I1915">
        <v>17.100000000000001</v>
      </c>
    </row>
    <row r="1916" spans="1:9" ht="24" customHeight="1">
      <c r="A1916" s="6" t="s">
        <v>3254</v>
      </c>
      <c r="B1916">
        <v>5693</v>
      </c>
      <c r="C1916">
        <v>3485</v>
      </c>
      <c r="D1916">
        <v>660638</v>
      </c>
      <c r="E1916">
        <v>541387</v>
      </c>
      <c r="F1916">
        <v>6.4</v>
      </c>
      <c r="G1916">
        <v>2.2999999999999998</v>
      </c>
      <c r="H1916">
        <v>22</v>
      </c>
      <c r="I1916">
        <v>22.1</v>
      </c>
    </row>
    <row r="1917" spans="1:9" ht="24" customHeight="1">
      <c r="A1917" s="6" t="s">
        <v>3255</v>
      </c>
      <c r="B1917">
        <v>5388</v>
      </c>
      <c r="C1917">
        <v>2145</v>
      </c>
      <c r="D1917">
        <v>681409</v>
      </c>
      <c r="E1917">
        <v>567564</v>
      </c>
      <c r="F1917">
        <v>4.5999999999999996</v>
      </c>
      <c r="G1917">
        <v>3.3</v>
      </c>
      <c r="H1917">
        <v>26.7</v>
      </c>
      <c r="I1917">
        <v>27.2</v>
      </c>
    </row>
    <row r="1918" spans="1:9" ht="24" customHeight="1">
      <c r="A1918" s="6" t="s">
        <v>3256</v>
      </c>
      <c r="B1918">
        <v>6071</v>
      </c>
      <c r="C1918">
        <v>6492</v>
      </c>
      <c r="D1918">
        <v>470225</v>
      </c>
      <c r="E1918">
        <v>350998</v>
      </c>
      <c r="F1918">
        <v>7.6</v>
      </c>
      <c r="G1918">
        <v>5.0999999999999996</v>
      </c>
      <c r="H1918">
        <v>3.4</v>
      </c>
      <c r="I1918">
        <v>3.5</v>
      </c>
    </row>
    <row r="1919" spans="1:9" ht="24" customHeight="1">
      <c r="A1919" s="6" t="s">
        <v>3257</v>
      </c>
      <c r="B1919">
        <v>7723</v>
      </c>
      <c r="C1919">
        <v>3898</v>
      </c>
      <c r="D1919">
        <v>734865</v>
      </c>
      <c r="E1919">
        <v>665431</v>
      </c>
      <c r="F1919">
        <v>4.5</v>
      </c>
      <c r="G1919">
        <v>2.8</v>
      </c>
      <c r="H1919">
        <v>34.200000000000003</v>
      </c>
      <c r="I1919">
        <v>34.4</v>
      </c>
    </row>
    <row r="1920" spans="1:9" ht="24" customHeight="1">
      <c r="A1920" s="6" t="s">
        <v>3258</v>
      </c>
      <c r="B1920">
        <v>11791</v>
      </c>
      <c r="C1920">
        <v>10857</v>
      </c>
      <c r="D1920">
        <v>490143</v>
      </c>
      <c r="E1920">
        <v>394263</v>
      </c>
      <c r="F1920">
        <v>6.1</v>
      </c>
      <c r="G1920">
        <v>4.5999999999999996</v>
      </c>
      <c r="H1920">
        <v>6.9</v>
      </c>
      <c r="I1920">
        <v>6.8</v>
      </c>
    </row>
    <row r="1921" spans="1:9" ht="24" customHeight="1">
      <c r="A1921" s="6" t="s">
        <v>3259</v>
      </c>
      <c r="B1921">
        <v>57066</v>
      </c>
      <c r="C1921">
        <v>42846</v>
      </c>
      <c r="D1921">
        <v>639705</v>
      </c>
      <c r="E1921">
        <v>525635</v>
      </c>
      <c r="F1921">
        <v>4.5999999999999996</v>
      </c>
      <c r="G1921">
        <v>5.4</v>
      </c>
      <c r="H1921">
        <v>14.4</v>
      </c>
      <c r="I1921">
        <v>12.1</v>
      </c>
    </row>
    <row r="1922" spans="1:9" ht="24" customHeight="1">
      <c r="A1922" s="6" t="s">
        <v>3260</v>
      </c>
      <c r="B1922">
        <v>2278</v>
      </c>
      <c r="C1922">
        <v>2671</v>
      </c>
      <c r="D1922">
        <v>409599</v>
      </c>
      <c r="E1922">
        <v>357437</v>
      </c>
      <c r="F1922">
        <v>3.1</v>
      </c>
      <c r="G1922">
        <v>4.3</v>
      </c>
      <c r="H1922">
        <v>0</v>
      </c>
      <c r="I1922">
        <v>0</v>
      </c>
    </row>
    <row r="1923" spans="1:9" ht="24" customHeight="1">
      <c r="A1923" s="6" t="s">
        <v>3261</v>
      </c>
      <c r="B1923">
        <v>5549</v>
      </c>
      <c r="C1923">
        <v>4999</v>
      </c>
      <c r="D1923">
        <v>495796</v>
      </c>
      <c r="E1923">
        <v>383934</v>
      </c>
      <c r="F1923">
        <v>5.4</v>
      </c>
      <c r="G1923">
        <v>6.9</v>
      </c>
      <c r="H1923">
        <v>1.5</v>
      </c>
      <c r="I1923">
        <v>1.4</v>
      </c>
    </row>
    <row r="1924" spans="1:9" ht="24" customHeight="1">
      <c r="A1924" s="6" t="s">
        <v>3262</v>
      </c>
      <c r="B1924">
        <v>8310</v>
      </c>
      <c r="C1924">
        <v>6334</v>
      </c>
      <c r="D1924">
        <v>663207</v>
      </c>
      <c r="E1924">
        <v>521837</v>
      </c>
      <c r="F1924">
        <v>5.7</v>
      </c>
      <c r="G1924">
        <v>6.2</v>
      </c>
      <c r="H1924">
        <v>12</v>
      </c>
      <c r="I1924">
        <v>11.9</v>
      </c>
    </row>
    <row r="1925" spans="1:9" ht="24" customHeight="1">
      <c r="A1925" s="6" t="s">
        <v>3263</v>
      </c>
      <c r="B1925">
        <v>7375</v>
      </c>
      <c r="C1925">
        <v>4912</v>
      </c>
      <c r="D1925">
        <v>695563</v>
      </c>
      <c r="E1925">
        <v>620784</v>
      </c>
      <c r="F1925">
        <v>4.5</v>
      </c>
      <c r="G1925">
        <v>5.4</v>
      </c>
      <c r="H1925">
        <v>16.899999999999999</v>
      </c>
      <c r="I1925">
        <v>16.899999999999999</v>
      </c>
    </row>
    <row r="1926" spans="1:9" ht="24" customHeight="1">
      <c r="A1926" s="6" t="s">
        <v>3264</v>
      </c>
      <c r="B1926">
        <v>5846</v>
      </c>
      <c r="C1926">
        <v>3276</v>
      </c>
      <c r="D1926">
        <v>722708</v>
      </c>
      <c r="E1926">
        <v>662728</v>
      </c>
      <c r="F1926">
        <v>5.6</v>
      </c>
      <c r="G1926">
        <v>3.7</v>
      </c>
      <c r="H1926">
        <v>21.9</v>
      </c>
      <c r="I1926">
        <v>21.7</v>
      </c>
    </row>
    <row r="1927" spans="1:9" ht="24" customHeight="1">
      <c r="A1927" s="6" t="s">
        <v>3265</v>
      </c>
      <c r="B1927">
        <v>3878</v>
      </c>
      <c r="C1927">
        <v>2771</v>
      </c>
      <c r="D1927">
        <v>764152</v>
      </c>
      <c r="E1927">
        <v>649893</v>
      </c>
      <c r="F1927">
        <v>4</v>
      </c>
      <c r="G1927">
        <v>5.3</v>
      </c>
      <c r="H1927">
        <v>27</v>
      </c>
      <c r="I1927">
        <v>27.1</v>
      </c>
    </row>
    <row r="1928" spans="1:9" ht="24" customHeight="1">
      <c r="A1928" s="6" t="s">
        <v>3266</v>
      </c>
      <c r="B1928">
        <v>5732</v>
      </c>
      <c r="C1928">
        <v>5632</v>
      </c>
      <c r="D1928">
        <v>531974</v>
      </c>
      <c r="E1928">
        <v>462318</v>
      </c>
      <c r="F1928">
        <v>5.6</v>
      </c>
      <c r="G1928">
        <v>4.9000000000000004</v>
      </c>
      <c r="H1928">
        <v>3.5</v>
      </c>
      <c r="I1928">
        <v>3.5</v>
      </c>
    </row>
    <row r="1929" spans="1:9" ht="24" customHeight="1">
      <c r="A1929" s="6" t="s">
        <v>3267</v>
      </c>
      <c r="B1929">
        <v>7743</v>
      </c>
      <c r="C1929">
        <v>3752</v>
      </c>
      <c r="D1929">
        <v>771829</v>
      </c>
      <c r="E1929">
        <v>706521</v>
      </c>
      <c r="F1929">
        <v>2.4</v>
      </c>
      <c r="G1929">
        <v>3.6</v>
      </c>
      <c r="H1929">
        <v>34.5</v>
      </c>
      <c r="I1929">
        <v>34.4</v>
      </c>
    </row>
    <row r="1930" spans="1:9" ht="24" customHeight="1">
      <c r="A1930" s="6" t="s">
        <v>3268</v>
      </c>
      <c r="B1930">
        <v>10817</v>
      </c>
      <c r="C1930">
        <v>9327</v>
      </c>
      <c r="D1930">
        <v>581500</v>
      </c>
      <c r="E1930">
        <v>478252</v>
      </c>
      <c r="F1930">
        <v>4.2</v>
      </c>
      <c r="G1930">
        <v>5.4</v>
      </c>
      <c r="H1930">
        <v>7.1</v>
      </c>
      <c r="I1930">
        <v>7</v>
      </c>
    </row>
    <row r="1931" spans="1:9" ht="24" customHeight="1">
      <c r="A1931" s="6" t="s">
        <v>571</v>
      </c>
      <c r="B1931">
        <v>258090</v>
      </c>
      <c r="C1931">
        <v>570910</v>
      </c>
      <c r="D1931">
        <v>598111</v>
      </c>
      <c r="E1931">
        <v>425822</v>
      </c>
      <c r="F1931">
        <v>13.5</v>
      </c>
      <c r="G1931">
        <v>8.1999999999999993</v>
      </c>
      <c r="H1931">
        <v>10.199999999999999</v>
      </c>
      <c r="I1931">
        <v>9.1999999999999993</v>
      </c>
    </row>
    <row r="1932" spans="1:9" ht="24" customHeight="1">
      <c r="A1932" s="6" t="s">
        <v>572</v>
      </c>
      <c r="B1932">
        <v>22521</v>
      </c>
      <c r="C1932">
        <v>61333</v>
      </c>
      <c r="D1932">
        <v>455225</v>
      </c>
      <c r="E1932">
        <v>290824</v>
      </c>
      <c r="F1932">
        <v>15.2</v>
      </c>
      <c r="G1932">
        <v>6.4</v>
      </c>
      <c r="H1932">
        <v>0</v>
      </c>
      <c r="I1932">
        <v>0</v>
      </c>
    </row>
    <row r="1933" spans="1:9" ht="24" customHeight="1">
      <c r="A1933" s="6" t="s">
        <v>3269</v>
      </c>
      <c r="B1933">
        <v>35906</v>
      </c>
      <c r="C1933">
        <v>103992</v>
      </c>
      <c r="D1933">
        <v>521138</v>
      </c>
      <c r="E1933">
        <v>376735</v>
      </c>
      <c r="F1933">
        <v>13.4</v>
      </c>
      <c r="G1933">
        <v>8.1</v>
      </c>
      <c r="H1933">
        <v>1.5</v>
      </c>
      <c r="I1933">
        <v>1.5</v>
      </c>
    </row>
    <row r="1934" spans="1:9" ht="24" customHeight="1">
      <c r="A1934" s="6" t="s">
        <v>3270</v>
      </c>
      <c r="B1934">
        <v>38576</v>
      </c>
      <c r="C1934">
        <v>79382</v>
      </c>
      <c r="D1934">
        <v>670768</v>
      </c>
      <c r="E1934">
        <v>445782</v>
      </c>
      <c r="F1934">
        <v>14</v>
      </c>
      <c r="G1934">
        <v>8.3000000000000007</v>
      </c>
      <c r="H1934">
        <v>11.6</v>
      </c>
      <c r="I1934">
        <v>11.7</v>
      </c>
    </row>
    <row r="1935" spans="1:9" ht="24" customHeight="1">
      <c r="A1935" s="6" t="s">
        <v>3271</v>
      </c>
      <c r="B1935">
        <v>30861</v>
      </c>
      <c r="C1935">
        <v>47401</v>
      </c>
      <c r="D1935">
        <v>662607</v>
      </c>
      <c r="E1935">
        <v>470721</v>
      </c>
      <c r="F1935">
        <v>12.8</v>
      </c>
      <c r="G1935">
        <v>9.1999999999999993</v>
      </c>
      <c r="H1935">
        <v>16.600000000000001</v>
      </c>
      <c r="I1935">
        <v>16.8</v>
      </c>
    </row>
    <row r="1936" spans="1:9" ht="24" customHeight="1">
      <c r="A1936" s="6" t="s">
        <v>3272</v>
      </c>
      <c r="B1936">
        <v>15418</v>
      </c>
      <c r="C1936">
        <v>31941</v>
      </c>
      <c r="D1936">
        <v>768419</v>
      </c>
      <c r="E1936">
        <v>517588</v>
      </c>
      <c r="F1936">
        <v>12.2</v>
      </c>
      <c r="G1936">
        <v>7.7</v>
      </c>
      <c r="H1936">
        <v>21.8</v>
      </c>
      <c r="I1936">
        <v>21.8</v>
      </c>
    </row>
    <row r="1937" spans="1:9" ht="24" customHeight="1">
      <c r="A1937" s="6" t="s">
        <v>3273</v>
      </c>
      <c r="B1937">
        <v>9515</v>
      </c>
      <c r="C1937">
        <v>24806</v>
      </c>
      <c r="D1937">
        <v>776711</v>
      </c>
      <c r="E1937">
        <v>577791</v>
      </c>
      <c r="F1937">
        <v>11.4</v>
      </c>
      <c r="G1937">
        <v>8</v>
      </c>
      <c r="H1937">
        <v>26.7</v>
      </c>
      <c r="I1937">
        <v>26.9</v>
      </c>
    </row>
    <row r="1938" spans="1:9" ht="24" customHeight="1">
      <c r="A1938" s="6" t="s">
        <v>3274</v>
      </c>
      <c r="B1938">
        <v>29322</v>
      </c>
      <c r="C1938">
        <v>77834</v>
      </c>
      <c r="D1938">
        <v>522979</v>
      </c>
      <c r="E1938">
        <v>402410</v>
      </c>
      <c r="F1938">
        <v>14.4</v>
      </c>
      <c r="G1938">
        <v>8.3000000000000007</v>
      </c>
      <c r="H1938">
        <v>3.4</v>
      </c>
      <c r="I1938">
        <v>3.4</v>
      </c>
    </row>
    <row r="1939" spans="1:9" ht="24" customHeight="1">
      <c r="A1939" s="6" t="s">
        <v>573</v>
      </c>
      <c r="B1939">
        <v>14319</v>
      </c>
      <c r="C1939">
        <v>28389</v>
      </c>
      <c r="D1939">
        <v>744024</v>
      </c>
      <c r="E1939">
        <v>625681</v>
      </c>
      <c r="F1939">
        <v>8.6999999999999993</v>
      </c>
      <c r="G1939">
        <v>9.8000000000000007</v>
      </c>
      <c r="H1939">
        <v>34</v>
      </c>
      <c r="I1939">
        <v>33.799999999999997</v>
      </c>
    </row>
    <row r="1940" spans="1:9" ht="24" customHeight="1">
      <c r="A1940" s="6" t="s">
        <v>3275</v>
      </c>
      <c r="B1940">
        <v>62751</v>
      </c>
      <c r="C1940">
        <v>127090</v>
      </c>
      <c r="D1940">
        <v>551196</v>
      </c>
      <c r="E1940">
        <v>411099</v>
      </c>
      <c r="F1940">
        <v>14.1</v>
      </c>
      <c r="G1940">
        <v>7.9</v>
      </c>
      <c r="H1940">
        <v>7</v>
      </c>
      <c r="I1940">
        <v>6.9</v>
      </c>
    </row>
    <row r="1941" spans="1:9" ht="24" customHeight="1">
      <c r="A1941" s="6" t="s">
        <v>3276</v>
      </c>
      <c r="B1941">
        <v>316883</v>
      </c>
      <c r="C1941">
        <v>870096</v>
      </c>
      <c r="D1941">
        <v>416364</v>
      </c>
      <c r="E1941">
        <v>333934</v>
      </c>
      <c r="F1941">
        <v>6</v>
      </c>
      <c r="G1941">
        <v>5.3</v>
      </c>
      <c r="H1941">
        <v>8.9</v>
      </c>
      <c r="I1941">
        <v>8.3000000000000007</v>
      </c>
    </row>
    <row r="1942" spans="1:9" ht="24" customHeight="1">
      <c r="A1942" s="6" t="s">
        <v>3277</v>
      </c>
      <c r="B1942">
        <v>26730</v>
      </c>
      <c r="C1942">
        <v>83435</v>
      </c>
      <c r="D1942">
        <v>306799</v>
      </c>
      <c r="E1942">
        <v>244394</v>
      </c>
      <c r="F1942">
        <v>5.2</v>
      </c>
      <c r="G1942">
        <v>3.8</v>
      </c>
      <c r="H1942">
        <v>0</v>
      </c>
      <c r="I1942">
        <v>0</v>
      </c>
    </row>
    <row r="1943" spans="1:9" ht="24" customHeight="1">
      <c r="A1943" s="6" t="s">
        <v>3278</v>
      </c>
      <c r="B1943">
        <v>58338</v>
      </c>
      <c r="C1943">
        <v>160867</v>
      </c>
      <c r="D1943">
        <v>340391</v>
      </c>
      <c r="E1943">
        <v>290129</v>
      </c>
      <c r="F1943">
        <v>6.3</v>
      </c>
      <c r="G1943">
        <v>5.3</v>
      </c>
      <c r="H1943">
        <v>1.5</v>
      </c>
      <c r="I1943">
        <v>1.5</v>
      </c>
    </row>
    <row r="1944" spans="1:9" ht="24" customHeight="1">
      <c r="A1944" s="6" t="s">
        <v>3279</v>
      </c>
      <c r="B1944">
        <v>52047</v>
      </c>
      <c r="C1944">
        <v>126353</v>
      </c>
      <c r="D1944">
        <v>453944</v>
      </c>
      <c r="E1944">
        <v>349304</v>
      </c>
      <c r="F1944">
        <v>6.2</v>
      </c>
      <c r="G1944">
        <v>5.4</v>
      </c>
      <c r="H1944">
        <v>11.7</v>
      </c>
      <c r="I1944">
        <v>11.7</v>
      </c>
    </row>
    <row r="1945" spans="1:9" ht="24" customHeight="1">
      <c r="A1945" s="6" t="s">
        <v>3280</v>
      </c>
      <c r="B1945">
        <v>31077</v>
      </c>
      <c r="C1945">
        <v>76611</v>
      </c>
      <c r="D1945">
        <v>469554</v>
      </c>
      <c r="E1945">
        <v>383145</v>
      </c>
      <c r="F1945">
        <v>5.3</v>
      </c>
      <c r="G1945">
        <v>4.9000000000000004</v>
      </c>
      <c r="H1945">
        <v>16.899999999999999</v>
      </c>
      <c r="I1945">
        <v>16.7</v>
      </c>
    </row>
    <row r="1946" spans="1:9" ht="24" customHeight="1">
      <c r="A1946" s="6" t="s">
        <v>3281</v>
      </c>
      <c r="B1946">
        <v>16091</v>
      </c>
      <c r="C1946">
        <v>43129</v>
      </c>
      <c r="D1946">
        <v>538074</v>
      </c>
      <c r="E1946">
        <v>394081</v>
      </c>
      <c r="F1946">
        <v>4.8</v>
      </c>
      <c r="G1946">
        <v>5.6</v>
      </c>
      <c r="H1946">
        <v>21.6</v>
      </c>
      <c r="I1946">
        <v>21.7</v>
      </c>
    </row>
    <row r="1947" spans="1:9" ht="24" customHeight="1">
      <c r="A1947" s="6" t="s">
        <v>3282</v>
      </c>
      <c r="B1947">
        <v>9201</v>
      </c>
      <c r="C1947">
        <v>20575</v>
      </c>
      <c r="D1947">
        <v>620301</v>
      </c>
      <c r="E1947">
        <v>436132</v>
      </c>
      <c r="F1947">
        <v>7.2</v>
      </c>
      <c r="G1947">
        <v>7.7</v>
      </c>
      <c r="H1947">
        <v>26.8</v>
      </c>
      <c r="I1947">
        <v>26.7</v>
      </c>
    </row>
    <row r="1948" spans="1:9" ht="24" customHeight="1">
      <c r="A1948" s="6" t="s">
        <v>3283</v>
      </c>
      <c r="B1948">
        <v>41481</v>
      </c>
      <c r="C1948">
        <v>132793</v>
      </c>
      <c r="D1948">
        <v>369326</v>
      </c>
      <c r="E1948">
        <v>317055</v>
      </c>
      <c r="F1948">
        <v>6.3</v>
      </c>
      <c r="G1948">
        <v>4.7</v>
      </c>
      <c r="H1948">
        <v>3.5</v>
      </c>
      <c r="I1948">
        <v>3.5</v>
      </c>
    </row>
    <row r="1949" spans="1:9" ht="24" customHeight="1">
      <c r="A1949" s="6" t="s">
        <v>3284</v>
      </c>
      <c r="B1949">
        <v>10128</v>
      </c>
      <c r="C1949">
        <v>25477</v>
      </c>
      <c r="D1949">
        <v>632545</v>
      </c>
      <c r="E1949">
        <v>483218</v>
      </c>
      <c r="F1949">
        <v>3</v>
      </c>
      <c r="G1949">
        <v>4.4000000000000004</v>
      </c>
      <c r="H1949">
        <v>34.799999999999997</v>
      </c>
      <c r="I1949">
        <v>35.299999999999997</v>
      </c>
    </row>
    <row r="1950" spans="1:9" ht="24" customHeight="1">
      <c r="A1950" s="6" t="s">
        <v>3285</v>
      </c>
      <c r="B1950">
        <v>75609</v>
      </c>
      <c r="C1950">
        <v>231477</v>
      </c>
      <c r="D1950">
        <v>398946</v>
      </c>
      <c r="E1950">
        <v>329169</v>
      </c>
      <c r="F1950">
        <v>6.5</v>
      </c>
      <c r="G1950">
        <v>5.6</v>
      </c>
      <c r="H1950">
        <v>7</v>
      </c>
      <c r="I1950">
        <v>6.9</v>
      </c>
    </row>
    <row r="1951" spans="1:9" ht="24" customHeight="1">
      <c r="A1951" s="6" t="s">
        <v>3286</v>
      </c>
      <c r="B1951">
        <v>319920</v>
      </c>
      <c r="C1951">
        <v>657677</v>
      </c>
      <c r="D1951">
        <v>421135</v>
      </c>
      <c r="E1951">
        <v>348582</v>
      </c>
      <c r="F1951">
        <v>4.5</v>
      </c>
      <c r="G1951">
        <v>4.3</v>
      </c>
      <c r="H1951">
        <v>9.9</v>
      </c>
      <c r="I1951">
        <v>9.3000000000000007</v>
      </c>
    </row>
    <row r="1952" spans="1:9" ht="24" customHeight="1">
      <c r="A1952" s="6" t="s">
        <v>3287</v>
      </c>
      <c r="B1952">
        <v>25239</v>
      </c>
      <c r="C1952">
        <v>62268</v>
      </c>
      <c r="D1952">
        <v>337422</v>
      </c>
      <c r="E1952">
        <v>255296</v>
      </c>
      <c r="F1952">
        <v>2.9</v>
      </c>
      <c r="G1952">
        <v>2.6</v>
      </c>
      <c r="H1952">
        <v>0</v>
      </c>
      <c r="I1952">
        <v>0</v>
      </c>
    </row>
    <row r="1953" spans="1:9" ht="24" customHeight="1">
      <c r="A1953" s="6" t="s">
        <v>3288</v>
      </c>
      <c r="B1953">
        <v>50344</v>
      </c>
      <c r="C1953">
        <v>103746</v>
      </c>
      <c r="D1953">
        <v>356047</v>
      </c>
      <c r="E1953">
        <v>307518</v>
      </c>
      <c r="F1953">
        <v>4.3</v>
      </c>
      <c r="G1953">
        <v>3.5</v>
      </c>
      <c r="H1953">
        <v>1.5</v>
      </c>
      <c r="I1953">
        <v>1.5</v>
      </c>
    </row>
    <row r="1954" spans="1:9" ht="24" customHeight="1">
      <c r="A1954" s="6" t="s">
        <v>3289</v>
      </c>
      <c r="B1954">
        <v>49925</v>
      </c>
      <c r="C1954">
        <v>99126</v>
      </c>
      <c r="D1954">
        <v>435527</v>
      </c>
      <c r="E1954">
        <v>362900</v>
      </c>
      <c r="F1954">
        <v>5</v>
      </c>
      <c r="G1954">
        <v>4.4000000000000004</v>
      </c>
      <c r="H1954">
        <v>11.9</v>
      </c>
      <c r="I1954">
        <v>11.9</v>
      </c>
    </row>
    <row r="1955" spans="1:9" ht="24" customHeight="1">
      <c r="A1955" s="6" t="s">
        <v>3290</v>
      </c>
      <c r="B1955">
        <v>36927</v>
      </c>
      <c r="C1955">
        <v>69351</v>
      </c>
      <c r="D1955">
        <v>463658</v>
      </c>
      <c r="E1955">
        <v>390769</v>
      </c>
      <c r="F1955">
        <v>4.2</v>
      </c>
      <c r="G1955">
        <v>4.9000000000000004</v>
      </c>
      <c r="H1955">
        <v>17.2</v>
      </c>
      <c r="I1955">
        <v>16.7</v>
      </c>
    </row>
    <row r="1956" spans="1:9" ht="24" customHeight="1">
      <c r="A1956" s="6" t="s">
        <v>3291</v>
      </c>
      <c r="B1956">
        <v>19377</v>
      </c>
      <c r="C1956">
        <v>41877</v>
      </c>
      <c r="D1956">
        <v>525567</v>
      </c>
      <c r="E1956">
        <v>405022</v>
      </c>
      <c r="F1956">
        <v>4.5</v>
      </c>
      <c r="G1956">
        <v>4.8</v>
      </c>
      <c r="H1956">
        <v>21.8</v>
      </c>
      <c r="I1956">
        <v>21.7</v>
      </c>
    </row>
    <row r="1957" spans="1:9" ht="24" customHeight="1">
      <c r="A1957" s="6" t="s">
        <v>3292</v>
      </c>
      <c r="B1957">
        <v>13141</v>
      </c>
      <c r="C1957">
        <v>27598</v>
      </c>
      <c r="D1957">
        <v>617074</v>
      </c>
      <c r="E1957">
        <v>449513</v>
      </c>
      <c r="F1957">
        <v>4.4000000000000004</v>
      </c>
      <c r="G1957">
        <v>5.0999999999999996</v>
      </c>
      <c r="H1957">
        <v>26.4</v>
      </c>
      <c r="I1957">
        <v>26.7</v>
      </c>
    </row>
    <row r="1958" spans="1:9" ht="24" customHeight="1">
      <c r="A1958" s="6" t="s">
        <v>3293</v>
      </c>
      <c r="B1958">
        <v>37107</v>
      </c>
      <c r="C1958">
        <v>87526</v>
      </c>
      <c r="D1958">
        <v>395117</v>
      </c>
      <c r="E1958">
        <v>318292</v>
      </c>
      <c r="F1958">
        <v>5.9</v>
      </c>
      <c r="G1958">
        <v>4.2</v>
      </c>
      <c r="H1958">
        <v>3.5</v>
      </c>
      <c r="I1958">
        <v>3.5</v>
      </c>
    </row>
    <row r="1959" spans="1:9" ht="24" customHeight="1">
      <c r="A1959" s="6" t="s">
        <v>3294</v>
      </c>
      <c r="B1959">
        <v>12327</v>
      </c>
      <c r="C1959">
        <v>19933</v>
      </c>
      <c r="D1959">
        <v>543479</v>
      </c>
      <c r="E1959">
        <v>505822</v>
      </c>
      <c r="F1959">
        <v>3.2</v>
      </c>
      <c r="G1959">
        <v>3.7</v>
      </c>
      <c r="H1959">
        <v>34.299999999999997</v>
      </c>
      <c r="I1959">
        <v>34.299999999999997</v>
      </c>
    </row>
    <row r="1960" spans="1:9" ht="24" customHeight="1">
      <c r="A1960" s="6" t="s">
        <v>3295</v>
      </c>
      <c r="B1960">
        <v>77398</v>
      </c>
      <c r="C1960">
        <v>156095</v>
      </c>
      <c r="D1960">
        <v>394516</v>
      </c>
      <c r="E1960">
        <v>342570</v>
      </c>
      <c r="F1960">
        <v>4.5</v>
      </c>
      <c r="G1960">
        <v>4.7</v>
      </c>
      <c r="H1960">
        <v>6.9</v>
      </c>
      <c r="I1960">
        <v>6.7</v>
      </c>
    </row>
    <row r="1961" spans="1:9" ht="24" customHeight="1">
      <c r="A1961" s="6" t="s">
        <v>3296</v>
      </c>
      <c r="B1961">
        <v>306381</v>
      </c>
      <c r="C1961">
        <v>568889</v>
      </c>
      <c r="D1961">
        <v>455368</v>
      </c>
      <c r="E1961">
        <v>370188</v>
      </c>
      <c r="F1961">
        <v>6.2</v>
      </c>
      <c r="G1961">
        <v>4.7</v>
      </c>
      <c r="H1961">
        <v>9.9</v>
      </c>
      <c r="I1961">
        <v>9.1</v>
      </c>
    </row>
    <row r="1962" spans="1:9" ht="24" customHeight="1">
      <c r="A1962" s="6" t="s">
        <v>3297</v>
      </c>
      <c r="B1962">
        <v>22540</v>
      </c>
      <c r="C1962">
        <v>50476</v>
      </c>
      <c r="D1962">
        <v>382295</v>
      </c>
      <c r="E1962">
        <v>267191</v>
      </c>
      <c r="F1962">
        <v>3.8</v>
      </c>
      <c r="G1962">
        <v>3</v>
      </c>
      <c r="H1962">
        <v>0</v>
      </c>
      <c r="I1962">
        <v>0</v>
      </c>
    </row>
    <row r="1963" spans="1:9" ht="24" customHeight="1">
      <c r="A1963" s="6" t="s">
        <v>3298</v>
      </c>
      <c r="B1963">
        <v>44376</v>
      </c>
      <c r="C1963">
        <v>96157</v>
      </c>
      <c r="D1963">
        <v>415443</v>
      </c>
      <c r="E1963">
        <v>331018</v>
      </c>
      <c r="F1963">
        <v>5.3</v>
      </c>
      <c r="G1963">
        <v>4.5</v>
      </c>
      <c r="H1963">
        <v>1.4</v>
      </c>
      <c r="I1963">
        <v>1.5</v>
      </c>
    </row>
    <row r="1964" spans="1:9" ht="24" customHeight="1">
      <c r="A1964" s="6" t="s">
        <v>3299</v>
      </c>
      <c r="B1964">
        <v>51432</v>
      </c>
      <c r="C1964">
        <v>90199</v>
      </c>
      <c r="D1964">
        <v>450083</v>
      </c>
      <c r="E1964">
        <v>377162</v>
      </c>
      <c r="F1964">
        <v>6.8</v>
      </c>
      <c r="G1964">
        <v>4.9000000000000004</v>
      </c>
      <c r="H1964">
        <v>12</v>
      </c>
      <c r="I1964">
        <v>11.8</v>
      </c>
    </row>
    <row r="1965" spans="1:9" ht="24" customHeight="1">
      <c r="A1965" s="6" t="s">
        <v>3300</v>
      </c>
      <c r="B1965">
        <v>34246</v>
      </c>
      <c r="C1965">
        <v>61254</v>
      </c>
      <c r="D1965">
        <v>487058</v>
      </c>
      <c r="E1965">
        <v>409741</v>
      </c>
      <c r="F1965">
        <v>6.2</v>
      </c>
      <c r="G1965">
        <v>4.3</v>
      </c>
      <c r="H1965">
        <v>16.600000000000001</v>
      </c>
      <c r="I1965">
        <v>16.899999999999999</v>
      </c>
    </row>
    <row r="1966" spans="1:9" ht="24" customHeight="1">
      <c r="A1966" s="6" t="s">
        <v>3301</v>
      </c>
      <c r="B1966">
        <v>22065</v>
      </c>
      <c r="C1966">
        <v>33671</v>
      </c>
      <c r="D1966">
        <v>546670</v>
      </c>
      <c r="E1966">
        <v>436584</v>
      </c>
      <c r="F1966">
        <v>5.2</v>
      </c>
      <c r="G1966">
        <v>4.2</v>
      </c>
      <c r="H1966">
        <v>21.4</v>
      </c>
      <c r="I1966">
        <v>21.6</v>
      </c>
    </row>
    <row r="1967" spans="1:9" ht="24" customHeight="1">
      <c r="A1967" s="6" t="s">
        <v>3302</v>
      </c>
      <c r="B1967">
        <v>10405</v>
      </c>
      <c r="C1967">
        <v>18881</v>
      </c>
      <c r="D1967">
        <v>556880</v>
      </c>
      <c r="E1967">
        <v>496569</v>
      </c>
      <c r="F1967">
        <v>5.3</v>
      </c>
      <c r="G1967">
        <v>4.9000000000000004</v>
      </c>
      <c r="H1967">
        <v>26.9</v>
      </c>
      <c r="I1967">
        <v>26.9</v>
      </c>
    </row>
    <row r="1968" spans="1:9" ht="24" customHeight="1">
      <c r="A1968" s="6" t="s">
        <v>3303</v>
      </c>
      <c r="B1968">
        <v>42124</v>
      </c>
      <c r="C1968">
        <v>80926</v>
      </c>
      <c r="D1968">
        <v>443922</v>
      </c>
      <c r="E1968">
        <v>354154</v>
      </c>
      <c r="F1968">
        <v>7.8</v>
      </c>
      <c r="G1968">
        <v>5.8</v>
      </c>
      <c r="H1968">
        <v>3.5</v>
      </c>
      <c r="I1968">
        <v>3.5</v>
      </c>
    </row>
    <row r="1969" spans="1:9" ht="24" customHeight="1">
      <c r="A1969" s="6" t="s">
        <v>3304</v>
      </c>
      <c r="B1969">
        <v>12045</v>
      </c>
      <c r="C1969">
        <v>19819</v>
      </c>
      <c r="D1969">
        <v>701108</v>
      </c>
      <c r="E1969">
        <v>527832</v>
      </c>
      <c r="F1969">
        <v>6</v>
      </c>
      <c r="G1969">
        <v>6.8</v>
      </c>
      <c r="H1969">
        <v>33.6</v>
      </c>
      <c r="I1969">
        <v>33.4</v>
      </c>
    </row>
    <row r="1970" spans="1:9" ht="24" customHeight="1">
      <c r="A1970" s="6" t="s">
        <v>3305</v>
      </c>
      <c r="B1970">
        <v>67882</v>
      </c>
      <c r="C1970">
        <v>129361</v>
      </c>
      <c r="D1970">
        <v>414166</v>
      </c>
      <c r="E1970">
        <v>358621</v>
      </c>
      <c r="F1970">
        <v>6.8</v>
      </c>
      <c r="G1970">
        <v>4.3</v>
      </c>
      <c r="H1970">
        <v>6.9</v>
      </c>
      <c r="I1970">
        <v>6.8</v>
      </c>
    </row>
    <row r="1971" spans="1:9" ht="24" customHeight="1">
      <c r="A1971" s="6" t="s">
        <v>574</v>
      </c>
      <c r="B1971">
        <v>86360</v>
      </c>
      <c r="C1971">
        <v>27972</v>
      </c>
      <c r="D1971">
        <v>527327</v>
      </c>
      <c r="E1971">
        <v>408233</v>
      </c>
      <c r="F1971">
        <v>12.7</v>
      </c>
      <c r="G1971">
        <v>7.5</v>
      </c>
      <c r="H1971">
        <v>19.5</v>
      </c>
      <c r="I1971">
        <v>14</v>
      </c>
    </row>
    <row r="1972" spans="1:9" ht="24" customHeight="1">
      <c r="A1972" s="6" t="s">
        <v>575</v>
      </c>
      <c r="B1972">
        <v>1722</v>
      </c>
      <c r="C1972">
        <v>1104</v>
      </c>
      <c r="D1972">
        <v>257593</v>
      </c>
      <c r="E1972">
        <v>205703</v>
      </c>
      <c r="F1972">
        <v>11.8</v>
      </c>
      <c r="G1972">
        <v>2.7</v>
      </c>
      <c r="H1972">
        <v>0</v>
      </c>
      <c r="I1972">
        <v>0</v>
      </c>
    </row>
    <row r="1973" spans="1:9" ht="24" customHeight="1">
      <c r="A1973" s="6" t="s">
        <v>3306</v>
      </c>
      <c r="B1973">
        <v>3253</v>
      </c>
      <c r="C1973">
        <v>2414</v>
      </c>
      <c r="D1973">
        <v>312737</v>
      </c>
      <c r="E1973">
        <v>285646</v>
      </c>
      <c r="F1973">
        <v>12.8</v>
      </c>
      <c r="G1973">
        <v>8.1999999999999993</v>
      </c>
      <c r="H1973">
        <v>1.5</v>
      </c>
      <c r="I1973">
        <v>1.5</v>
      </c>
    </row>
    <row r="1974" spans="1:9" ht="24" customHeight="1">
      <c r="A1974" s="6" t="s">
        <v>3307</v>
      </c>
      <c r="B1974">
        <v>12641</v>
      </c>
      <c r="C1974">
        <v>5292</v>
      </c>
      <c r="D1974">
        <v>503945</v>
      </c>
      <c r="E1974">
        <v>420968</v>
      </c>
      <c r="F1974">
        <v>16.2</v>
      </c>
      <c r="G1974">
        <v>9.6999999999999993</v>
      </c>
      <c r="H1974">
        <v>12.4</v>
      </c>
      <c r="I1974">
        <v>12.1</v>
      </c>
    </row>
    <row r="1975" spans="1:9" ht="24" customHeight="1">
      <c r="A1975" s="6" t="s">
        <v>3308</v>
      </c>
      <c r="B1975">
        <v>9726</v>
      </c>
      <c r="C1975">
        <v>3300</v>
      </c>
      <c r="D1975">
        <v>538699</v>
      </c>
      <c r="E1975">
        <v>446903</v>
      </c>
      <c r="F1975">
        <v>14.4</v>
      </c>
      <c r="G1975">
        <v>7.2</v>
      </c>
      <c r="H1975">
        <v>16.399999999999999</v>
      </c>
      <c r="I1975">
        <v>16.399999999999999</v>
      </c>
    </row>
    <row r="1976" spans="1:9" ht="24" customHeight="1">
      <c r="A1976" s="6" t="s">
        <v>3309</v>
      </c>
      <c r="B1976">
        <v>9337</v>
      </c>
      <c r="C1976">
        <v>2288</v>
      </c>
      <c r="D1976">
        <v>593375</v>
      </c>
      <c r="E1976">
        <v>490290</v>
      </c>
      <c r="F1976">
        <v>14.2</v>
      </c>
      <c r="G1976">
        <v>7.9</v>
      </c>
      <c r="H1976">
        <v>22.1</v>
      </c>
      <c r="I1976">
        <v>22.2</v>
      </c>
    </row>
    <row r="1977" spans="1:9" ht="24" customHeight="1">
      <c r="A1977" s="6" t="s">
        <v>3310</v>
      </c>
      <c r="B1977">
        <v>10386</v>
      </c>
      <c r="C1977">
        <v>2200</v>
      </c>
      <c r="D1977">
        <v>619418</v>
      </c>
      <c r="E1977">
        <v>510936</v>
      </c>
      <c r="F1977">
        <v>10.7</v>
      </c>
      <c r="G1977">
        <v>5.0999999999999996</v>
      </c>
      <c r="H1977">
        <v>26.9</v>
      </c>
      <c r="I1977">
        <v>26.7</v>
      </c>
    </row>
    <row r="1978" spans="1:9" ht="24" customHeight="1">
      <c r="A1978" s="6" t="s">
        <v>3311</v>
      </c>
      <c r="B1978">
        <v>5287</v>
      </c>
      <c r="C1978">
        <v>2846</v>
      </c>
      <c r="D1978">
        <v>333827</v>
      </c>
      <c r="E1978">
        <v>311666</v>
      </c>
      <c r="F1978">
        <v>15.6</v>
      </c>
      <c r="G1978">
        <v>7.6</v>
      </c>
      <c r="H1978">
        <v>3.5</v>
      </c>
      <c r="I1978">
        <v>3.5</v>
      </c>
    </row>
    <row r="1979" spans="1:9" ht="24" customHeight="1">
      <c r="A1979" s="6" t="s">
        <v>576</v>
      </c>
      <c r="B1979">
        <v>22691</v>
      </c>
      <c r="C1979">
        <v>3611</v>
      </c>
      <c r="D1979">
        <v>632645</v>
      </c>
      <c r="E1979">
        <v>535725</v>
      </c>
      <c r="F1979">
        <v>8.1</v>
      </c>
      <c r="G1979">
        <v>4.0999999999999996</v>
      </c>
      <c r="H1979">
        <v>34.6</v>
      </c>
      <c r="I1979">
        <v>34</v>
      </c>
    </row>
    <row r="1980" spans="1:9" ht="24" customHeight="1">
      <c r="A1980" s="6" t="s">
        <v>3312</v>
      </c>
      <c r="B1980">
        <v>11471</v>
      </c>
      <c r="C1980">
        <v>5556</v>
      </c>
      <c r="D1980">
        <v>385168</v>
      </c>
      <c r="E1980">
        <v>349350</v>
      </c>
      <c r="F1980">
        <v>16.100000000000001</v>
      </c>
      <c r="G1980">
        <v>9.4</v>
      </c>
      <c r="H1980">
        <v>6.7</v>
      </c>
      <c r="I1980">
        <v>6.9</v>
      </c>
    </row>
    <row r="1981" spans="1:9" ht="24" customHeight="1">
      <c r="A1981" s="6" t="s">
        <v>3313</v>
      </c>
      <c r="B1981">
        <v>8384</v>
      </c>
      <c r="C1981">
        <v>4776</v>
      </c>
      <c r="D1981">
        <v>445439</v>
      </c>
      <c r="E1981">
        <v>328112</v>
      </c>
      <c r="F1981">
        <v>12.4</v>
      </c>
      <c r="G1981">
        <v>3.7</v>
      </c>
      <c r="H1981">
        <v>17.399999999999999</v>
      </c>
      <c r="I1981">
        <v>12.6</v>
      </c>
    </row>
    <row r="1982" spans="1:9" ht="24" customHeight="1">
      <c r="A1982" s="6" t="s">
        <v>3314</v>
      </c>
      <c r="B1982">
        <v>442</v>
      </c>
      <c r="C1982">
        <v>222</v>
      </c>
      <c r="D1982">
        <v>207446</v>
      </c>
      <c r="E1982">
        <v>191965</v>
      </c>
      <c r="F1982">
        <v>12.9</v>
      </c>
      <c r="G1982">
        <v>0.2</v>
      </c>
      <c r="H1982">
        <v>0</v>
      </c>
      <c r="I1982">
        <v>0</v>
      </c>
    </row>
    <row r="1983" spans="1:9" ht="24" customHeight="1">
      <c r="A1983" s="6" t="s">
        <v>3315</v>
      </c>
      <c r="B1983">
        <v>238</v>
      </c>
      <c r="C1983">
        <v>554</v>
      </c>
      <c r="D1983">
        <v>305039</v>
      </c>
      <c r="E1983">
        <v>259860</v>
      </c>
      <c r="F1983">
        <v>10.7</v>
      </c>
      <c r="G1983">
        <v>3</v>
      </c>
      <c r="H1983">
        <v>1.6</v>
      </c>
      <c r="I1983">
        <v>1.3</v>
      </c>
    </row>
    <row r="1984" spans="1:9" ht="24" customHeight="1">
      <c r="A1984" s="6" t="s">
        <v>3316</v>
      </c>
      <c r="B1984">
        <v>1178</v>
      </c>
      <c r="C1984">
        <v>605</v>
      </c>
      <c r="D1984">
        <v>413838</v>
      </c>
      <c r="E1984">
        <v>319719</v>
      </c>
      <c r="F1984">
        <v>21.2</v>
      </c>
      <c r="G1984">
        <v>6.6</v>
      </c>
      <c r="H1984">
        <v>12</v>
      </c>
      <c r="I1984">
        <v>11.8</v>
      </c>
    </row>
    <row r="1985" spans="1:9" ht="24" customHeight="1">
      <c r="A1985" s="6" t="s">
        <v>3317</v>
      </c>
      <c r="B1985">
        <v>813</v>
      </c>
      <c r="C1985">
        <v>561</v>
      </c>
      <c r="D1985">
        <v>447478</v>
      </c>
      <c r="E1985">
        <v>331252</v>
      </c>
      <c r="F1985">
        <v>12.2</v>
      </c>
      <c r="G1985">
        <v>1.5</v>
      </c>
      <c r="H1985">
        <v>17.399999999999999</v>
      </c>
      <c r="I1985">
        <v>17.399999999999999</v>
      </c>
    </row>
    <row r="1986" spans="1:9" ht="24" customHeight="1">
      <c r="A1986" s="6" t="s">
        <v>3318</v>
      </c>
      <c r="B1986">
        <v>811</v>
      </c>
      <c r="C1986">
        <v>300</v>
      </c>
      <c r="D1986">
        <v>526870</v>
      </c>
      <c r="E1986">
        <v>407141</v>
      </c>
      <c r="F1986">
        <v>9.1999999999999993</v>
      </c>
      <c r="G1986">
        <v>2.5</v>
      </c>
      <c r="H1986">
        <v>22.3</v>
      </c>
      <c r="I1986">
        <v>21.8</v>
      </c>
    </row>
    <row r="1987" spans="1:9" ht="24" customHeight="1">
      <c r="A1987" s="6" t="s">
        <v>3319</v>
      </c>
      <c r="B1987">
        <v>861</v>
      </c>
      <c r="C1987">
        <v>341</v>
      </c>
      <c r="D1987">
        <v>541169</v>
      </c>
      <c r="E1987">
        <v>427943</v>
      </c>
      <c r="F1987">
        <v>8.1999999999999993</v>
      </c>
      <c r="G1987">
        <v>4</v>
      </c>
      <c r="H1987">
        <v>26.7</v>
      </c>
      <c r="I1987">
        <v>26.4</v>
      </c>
    </row>
    <row r="1988" spans="1:9" ht="24" customHeight="1">
      <c r="A1988" s="6" t="s">
        <v>3320</v>
      </c>
      <c r="B1988">
        <v>853</v>
      </c>
      <c r="C1988">
        <v>670</v>
      </c>
      <c r="D1988">
        <v>333490</v>
      </c>
      <c r="E1988">
        <v>254637</v>
      </c>
      <c r="F1988">
        <v>15</v>
      </c>
      <c r="G1988">
        <v>7.3</v>
      </c>
      <c r="H1988">
        <v>3.6</v>
      </c>
      <c r="I1988">
        <v>3.6</v>
      </c>
    </row>
    <row r="1989" spans="1:9" ht="24" customHeight="1">
      <c r="A1989" s="6" t="s">
        <v>3321</v>
      </c>
      <c r="B1989">
        <v>1908</v>
      </c>
      <c r="C1989">
        <v>511</v>
      </c>
      <c r="D1989">
        <v>569919</v>
      </c>
      <c r="E1989">
        <v>483040</v>
      </c>
      <c r="F1989">
        <v>8.9</v>
      </c>
      <c r="G1989">
        <v>1.4</v>
      </c>
      <c r="H1989">
        <v>33.700000000000003</v>
      </c>
      <c r="I1989">
        <v>34.9</v>
      </c>
    </row>
    <row r="1990" spans="1:9" ht="24" customHeight="1">
      <c r="A1990" s="6" t="s">
        <v>3322</v>
      </c>
      <c r="B1990">
        <v>1280</v>
      </c>
      <c r="C1990">
        <v>1043</v>
      </c>
      <c r="D1990">
        <v>354443</v>
      </c>
      <c r="E1990">
        <v>308776</v>
      </c>
      <c r="F1990">
        <v>13</v>
      </c>
      <c r="G1990">
        <v>3.5</v>
      </c>
      <c r="H1990">
        <v>6.8</v>
      </c>
      <c r="I1990">
        <v>6.6</v>
      </c>
    </row>
    <row r="1991" spans="1:9" ht="24" customHeight="1">
      <c r="A1991" s="6" t="s">
        <v>3323</v>
      </c>
      <c r="B1991">
        <v>12237</v>
      </c>
      <c r="C1991">
        <v>7383</v>
      </c>
      <c r="D1991">
        <v>439858</v>
      </c>
      <c r="E1991">
        <v>354132</v>
      </c>
      <c r="F1991">
        <v>5</v>
      </c>
      <c r="G1991">
        <v>3.3</v>
      </c>
      <c r="H1991">
        <v>17.7</v>
      </c>
      <c r="I1991">
        <v>15</v>
      </c>
    </row>
    <row r="1992" spans="1:9" ht="24" customHeight="1">
      <c r="A1992" s="6" t="s">
        <v>3324</v>
      </c>
      <c r="B1992">
        <v>282</v>
      </c>
      <c r="C1992">
        <v>284</v>
      </c>
      <c r="D1992">
        <v>214305</v>
      </c>
      <c r="E1992">
        <v>211734</v>
      </c>
      <c r="F1992">
        <v>3</v>
      </c>
      <c r="G1992">
        <v>4.3</v>
      </c>
      <c r="H1992">
        <v>0</v>
      </c>
      <c r="I1992">
        <v>0</v>
      </c>
    </row>
    <row r="1993" spans="1:9" ht="24" customHeight="1">
      <c r="A1993" s="6" t="s">
        <v>3325</v>
      </c>
      <c r="B1993">
        <v>851</v>
      </c>
      <c r="C1993">
        <v>864</v>
      </c>
      <c r="D1993">
        <v>290167</v>
      </c>
      <c r="E1993">
        <v>265209</v>
      </c>
      <c r="F1993">
        <v>8.1999999999999993</v>
      </c>
      <c r="G1993">
        <v>3.2</v>
      </c>
      <c r="H1993">
        <v>1.5</v>
      </c>
      <c r="I1993">
        <v>1.4</v>
      </c>
    </row>
    <row r="1994" spans="1:9" ht="24" customHeight="1">
      <c r="A1994" s="6" t="s">
        <v>3326</v>
      </c>
      <c r="B1994">
        <v>1539</v>
      </c>
      <c r="C1994">
        <v>1018</v>
      </c>
      <c r="D1994">
        <v>396148</v>
      </c>
      <c r="E1994">
        <v>338905</v>
      </c>
      <c r="F1994">
        <v>6.7</v>
      </c>
      <c r="G1994">
        <v>3.7</v>
      </c>
      <c r="H1994">
        <v>11.8</v>
      </c>
      <c r="I1994">
        <v>12.1</v>
      </c>
    </row>
    <row r="1995" spans="1:9" ht="24" customHeight="1">
      <c r="A1995" s="6" t="s">
        <v>3327</v>
      </c>
      <c r="B1995">
        <v>1621</v>
      </c>
      <c r="C1995">
        <v>816</v>
      </c>
      <c r="D1995">
        <v>441881</v>
      </c>
      <c r="E1995">
        <v>371849</v>
      </c>
      <c r="F1995">
        <v>6.2</v>
      </c>
      <c r="G1995">
        <v>2.2999999999999998</v>
      </c>
      <c r="H1995">
        <v>16.8</v>
      </c>
      <c r="I1995">
        <v>16.899999999999999</v>
      </c>
    </row>
    <row r="1996" spans="1:9" ht="24" customHeight="1">
      <c r="A1996" s="6" t="s">
        <v>3328</v>
      </c>
      <c r="B1996">
        <v>1274</v>
      </c>
      <c r="C1996">
        <v>387</v>
      </c>
      <c r="D1996">
        <v>476051</v>
      </c>
      <c r="E1996">
        <v>408228</v>
      </c>
      <c r="F1996">
        <v>2.9</v>
      </c>
      <c r="G1996">
        <v>4.7</v>
      </c>
      <c r="H1996">
        <v>22.4</v>
      </c>
      <c r="I1996">
        <v>21.9</v>
      </c>
    </row>
    <row r="1997" spans="1:9" ht="24" customHeight="1">
      <c r="A1997" s="6" t="s">
        <v>3329</v>
      </c>
      <c r="B1997">
        <v>1286</v>
      </c>
      <c r="C1997">
        <v>956</v>
      </c>
      <c r="D1997">
        <v>535759</v>
      </c>
      <c r="E1997">
        <v>437170</v>
      </c>
      <c r="F1997">
        <v>1.7</v>
      </c>
      <c r="G1997">
        <v>1.8</v>
      </c>
      <c r="H1997">
        <v>27.2</v>
      </c>
      <c r="I1997">
        <v>27.2</v>
      </c>
    </row>
    <row r="1998" spans="1:9" ht="24" customHeight="1">
      <c r="A1998" s="6" t="s">
        <v>3330</v>
      </c>
      <c r="B1998">
        <v>690</v>
      </c>
      <c r="C1998">
        <v>601</v>
      </c>
      <c r="D1998">
        <v>309658</v>
      </c>
      <c r="E1998">
        <v>293332</v>
      </c>
      <c r="F1998">
        <v>9.6</v>
      </c>
      <c r="G1998">
        <v>4.7</v>
      </c>
      <c r="H1998">
        <v>3.5</v>
      </c>
      <c r="I1998">
        <v>3.6</v>
      </c>
    </row>
    <row r="1999" spans="1:9" ht="24" customHeight="1">
      <c r="A1999" s="6" t="s">
        <v>3331</v>
      </c>
      <c r="B1999">
        <v>2674</v>
      </c>
      <c r="C1999">
        <v>1145</v>
      </c>
      <c r="D1999">
        <v>561336</v>
      </c>
      <c r="E1999">
        <v>465672</v>
      </c>
      <c r="F1999">
        <v>1.2</v>
      </c>
      <c r="G1999">
        <v>2</v>
      </c>
      <c r="H1999">
        <v>33.700000000000003</v>
      </c>
      <c r="I1999">
        <v>33.799999999999997</v>
      </c>
    </row>
    <row r="2000" spans="1:9" ht="24" customHeight="1">
      <c r="A2000" s="6" t="s">
        <v>3332</v>
      </c>
      <c r="B2000">
        <v>2019</v>
      </c>
      <c r="C2000">
        <v>1347</v>
      </c>
      <c r="D2000">
        <v>365885</v>
      </c>
      <c r="E2000">
        <v>296688</v>
      </c>
      <c r="F2000">
        <v>8.8000000000000007</v>
      </c>
      <c r="G2000">
        <v>4.5</v>
      </c>
      <c r="H2000">
        <v>6.9</v>
      </c>
      <c r="I2000">
        <v>6.7</v>
      </c>
    </row>
    <row r="2001" spans="1:9" ht="24" customHeight="1">
      <c r="A2001" s="6" t="s">
        <v>3333</v>
      </c>
      <c r="B2001">
        <v>24324</v>
      </c>
      <c r="C2001">
        <v>17310</v>
      </c>
      <c r="D2001">
        <v>448211</v>
      </c>
      <c r="E2001">
        <v>352930</v>
      </c>
      <c r="F2001">
        <v>4.3</v>
      </c>
      <c r="G2001">
        <v>4.3</v>
      </c>
      <c r="H2001">
        <v>18.600000000000001</v>
      </c>
      <c r="I2001">
        <v>13.9</v>
      </c>
    </row>
    <row r="2002" spans="1:9" ht="24" customHeight="1">
      <c r="A2002" s="6" t="s">
        <v>3334</v>
      </c>
      <c r="B2002">
        <v>725</v>
      </c>
      <c r="C2002">
        <v>1108</v>
      </c>
      <c r="D2002">
        <v>201548</v>
      </c>
      <c r="E2002">
        <v>195801</v>
      </c>
      <c r="F2002">
        <v>1.9</v>
      </c>
      <c r="G2002">
        <v>3</v>
      </c>
      <c r="H2002">
        <v>0</v>
      </c>
      <c r="I2002">
        <v>0</v>
      </c>
    </row>
    <row r="2003" spans="1:9" ht="24" customHeight="1">
      <c r="A2003" s="6" t="s">
        <v>3335</v>
      </c>
      <c r="B2003">
        <v>1163</v>
      </c>
      <c r="C2003">
        <v>2009</v>
      </c>
      <c r="D2003">
        <v>285125</v>
      </c>
      <c r="E2003">
        <v>262742</v>
      </c>
      <c r="F2003">
        <v>9</v>
      </c>
      <c r="G2003">
        <v>6.7</v>
      </c>
      <c r="H2003">
        <v>1.5</v>
      </c>
      <c r="I2003">
        <v>1.5</v>
      </c>
    </row>
    <row r="2004" spans="1:9" ht="24" customHeight="1">
      <c r="A2004" s="6" t="s">
        <v>3336</v>
      </c>
      <c r="B2004">
        <v>3510</v>
      </c>
      <c r="C2004">
        <v>3047</v>
      </c>
      <c r="D2004">
        <v>397316</v>
      </c>
      <c r="E2004">
        <v>337321</v>
      </c>
      <c r="F2004">
        <v>5.9</v>
      </c>
      <c r="G2004">
        <v>4.5</v>
      </c>
      <c r="H2004">
        <v>12.1</v>
      </c>
      <c r="I2004">
        <v>12.1</v>
      </c>
    </row>
    <row r="2005" spans="1:9" ht="24" customHeight="1">
      <c r="A2005" s="6" t="s">
        <v>3337</v>
      </c>
      <c r="B2005">
        <v>3166</v>
      </c>
      <c r="C2005">
        <v>1888</v>
      </c>
      <c r="D2005">
        <v>457678</v>
      </c>
      <c r="E2005">
        <v>366462</v>
      </c>
      <c r="F2005">
        <v>4.3</v>
      </c>
      <c r="G2005">
        <v>3</v>
      </c>
      <c r="H2005">
        <v>16.8</v>
      </c>
      <c r="I2005">
        <v>16.600000000000001</v>
      </c>
    </row>
    <row r="2006" spans="1:9" ht="24" customHeight="1">
      <c r="A2006" s="6" t="s">
        <v>3338</v>
      </c>
      <c r="B2006">
        <v>2794</v>
      </c>
      <c r="C2006">
        <v>1347</v>
      </c>
      <c r="D2006">
        <v>507169</v>
      </c>
      <c r="E2006">
        <v>423313</v>
      </c>
      <c r="F2006">
        <v>4.3</v>
      </c>
      <c r="G2006">
        <v>4.2</v>
      </c>
      <c r="H2006">
        <v>22</v>
      </c>
      <c r="I2006">
        <v>22.1</v>
      </c>
    </row>
    <row r="2007" spans="1:9" ht="24" customHeight="1">
      <c r="A2007" s="6" t="s">
        <v>3339</v>
      </c>
      <c r="B2007">
        <v>3132</v>
      </c>
      <c r="C2007">
        <v>1564</v>
      </c>
      <c r="D2007">
        <v>535014</v>
      </c>
      <c r="E2007">
        <v>459218</v>
      </c>
      <c r="F2007">
        <v>1.7</v>
      </c>
      <c r="G2007">
        <v>3.3</v>
      </c>
      <c r="H2007">
        <v>27.1</v>
      </c>
      <c r="I2007">
        <v>27.4</v>
      </c>
    </row>
    <row r="2008" spans="1:9" ht="24" customHeight="1">
      <c r="A2008" s="6" t="s">
        <v>3340</v>
      </c>
      <c r="B2008">
        <v>1218</v>
      </c>
      <c r="C2008">
        <v>1820</v>
      </c>
      <c r="D2008">
        <v>309133</v>
      </c>
      <c r="E2008">
        <v>288217</v>
      </c>
      <c r="F2008">
        <v>7.9</v>
      </c>
      <c r="G2008">
        <v>3.9</v>
      </c>
      <c r="H2008">
        <v>3.6</v>
      </c>
      <c r="I2008">
        <v>3.5</v>
      </c>
    </row>
    <row r="2009" spans="1:9" ht="24" customHeight="1">
      <c r="A2009" s="6" t="s">
        <v>3341</v>
      </c>
      <c r="B2009">
        <v>5292</v>
      </c>
      <c r="C2009">
        <v>2301</v>
      </c>
      <c r="D2009">
        <v>564454</v>
      </c>
      <c r="E2009">
        <v>493601</v>
      </c>
      <c r="F2009">
        <v>1.9</v>
      </c>
      <c r="G2009">
        <v>2.2000000000000002</v>
      </c>
      <c r="H2009">
        <v>34.1</v>
      </c>
      <c r="I2009">
        <v>33.700000000000003</v>
      </c>
    </row>
    <row r="2010" spans="1:9" ht="24" customHeight="1">
      <c r="A2010" s="6" t="s">
        <v>3342</v>
      </c>
      <c r="B2010">
        <v>3334</v>
      </c>
      <c r="C2010">
        <v>2599</v>
      </c>
      <c r="D2010">
        <v>338796</v>
      </c>
      <c r="E2010">
        <v>303444</v>
      </c>
      <c r="F2010">
        <v>6.1</v>
      </c>
      <c r="G2010">
        <v>6.2</v>
      </c>
      <c r="H2010">
        <v>6.9</v>
      </c>
      <c r="I2010">
        <v>6.8</v>
      </c>
    </row>
    <row r="2011" spans="1:9" ht="24" customHeight="1">
      <c r="A2011" s="6" t="s">
        <v>577</v>
      </c>
      <c r="B2011">
        <v>507976</v>
      </c>
      <c r="C2011">
        <v>180845</v>
      </c>
      <c r="D2011">
        <v>533678</v>
      </c>
      <c r="E2011">
        <v>370189</v>
      </c>
      <c r="F2011">
        <v>16.7</v>
      </c>
      <c r="G2011">
        <v>10.7</v>
      </c>
      <c r="H2011">
        <v>13.6</v>
      </c>
      <c r="I2011">
        <v>9.4</v>
      </c>
    </row>
    <row r="2012" spans="1:9" ht="24" customHeight="1">
      <c r="A2012" s="6" t="s">
        <v>578</v>
      </c>
      <c r="B2012">
        <v>37092</v>
      </c>
      <c r="C2012">
        <v>23493</v>
      </c>
      <c r="D2012">
        <v>280164</v>
      </c>
      <c r="E2012">
        <v>252508</v>
      </c>
      <c r="F2012">
        <v>9</v>
      </c>
      <c r="G2012">
        <v>8.1</v>
      </c>
      <c r="H2012">
        <v>0</v>
      </c>
      <c r="I2012">
        <v>0</v>
      </c>
    </row>
    <row r="2013" spans="1:9" ht="24" customHeight="1">
      <c r="A2013" s="6" t="s">
        <v>3343</v>
      </c>
      <c r="B2013">
        <v>55291</v>
      </c>
      <c r="C2013">
        <v>25316</v>
      </c>
      <c r="D2013">
        <v>363143</v>
      </c>
      <c r="E2013">
        <v>288975</v>
      </c>
      <c r="F2013">
        <v>18.399999999999999</v>
      </c>
      <c r="G2013">
        <v>12.1</v>
      </c>
      <c r="H2013">
        <v>1.3</v>
      </c>
      <c r="I2013">
        <v>1.4</v>
      </c>
    </row>
    <row r="2014" spans="1:9" ht="24" customHeight="1">
      <c r="A2014" s="6" t="s">
        <v>3344</v>
      </c>
      <c r="B2014">
        <v>65428</v>
      </c>
      <c r="C2014">
        <v>19967</v>
      </c>
      <c r="D2014">
        <v>551381</v>
      </c>
      <c r="E2014">
        <v>386663</v>
      </c>
      <c r="F2014">
        <v>16</v>
      </c>
      <c r="G2014">
        <v>11.2</v>
      </c>
      <c r="H2014">
        <v>12</v>
      </c>
      <c r="I2014">
        <v>11.8</v>
      </c>
    </row>
    <row r="2015" spans="1:9" ht="24" customHeight="1">
      <c r="A2015" s="6" t="s">
        <v>3345</v>
      </c>
      <c r="B2015">
        <v>66542</v>
      </c>
      <c r="C2015">
        <v>22222</v>
      </c>
      <c r="D2015">
        <v>607974</v>
      </c>
      <c r="E2015">
        <v>445226</v>
      </c>
      <c r="F2015">
        <v>18.2</v>
      </c>
      <c r="G2015">
        <v>8.6</v>
      </c>
      <c r="H2015">
        <v>17</v>
      </c>
      <c r="I2015">
        <v>16.899999999999999</v>
      </c>
    </row>
    <row r="2016" spans="1:9" ht="24" customHeight="1">
      <c r="A2016" s="6" t="s">
        <v>3346</v>
      </c>
      <c r="B2016">
        <v>42998</v>
      </c>
      <c r="C2016">
        <v>9359</v>
      </c>
      <c r="D2016">
        <v>659630</v>
      </c>
      <c r="E2016">
        <v>412686</v>
      </c>
      <c r="F2016">
        <v>16.5</v>
      </c>
      <c r="G2016">
        <v>8.3000000000000007</v>
      </c>
      <c r="H2016">
        <v>21.8</v>
      </c>
      <c r="I2016">
        <v>21.6</v>
      </c>
    </row>
    <row r="2017" spans="1:9" ht="24" customHeight="1">
      <c r="A2017" s="6" t="s">
        <v>3347</v>
      </c>
      <c r="B2017">
        <v>35778</v>
      </c>
      <c r="C2017">
        <v>7817</v>
      </c>
      <c r="D2017">
        <v>690809</v>
      </c>
      <c r="E2017">
        <v>603665</v>
      </c>
      <c r="F2017">
        <v>15.1</v>
      </c>
      <c r="G2017">
        <v>6.1</v>
      </c>
      <c r="H2017">
        <v>26.8</v>
      </c>
      <c r="I2017">
        <v>26.9</v>
      </c>
    </row>
    <row r="2018" spans="1:9" ht="24" customHeight="1">
      <c r="A2018" s="6" t="s">
        <v>3348</v>
      </c>
      <c r="B2018">
        <v>46822</v>
      </c>
      <c r="C2018">
        <v>27635</v>
      </c>
      <c r="D2018">
        <v>402337</v>
      </c>
      <c r="E2018">
        <v>327457</v>
      </c>
      <c r="F2018">
        <v>18</v>
      </c>
      <c r="G2018">
        <v>11</v>
      </c>
      <c r="H2018">
        <v>3.5</v>
      </c>
      <c r="I2018">
        <v>3.5</v>
      </c>
    </row>
    <row r="2019" spans="1:9" ht="24" customHeight="1">
      <c r="A2019" s="6" t="s">
        <v>579</v>
      </c>
      <c r="B2019">
        <v>64503</v>
      </c>
      <c r="C2019">
        <v>9646</v>
      </c>
      <c r="D2019">
        <v>766174</v>
      </c>
      <c r="E2019">
        <v>605028</v>
      </c>
      <c r="F2019">
        <v>12.8</v>
      </c>
      <c r="G2019">
        <v>10.8</v>
      </c>
      <c r="H2019">
        <v>34.200000000000003</v>
      </c>
      <c r="I2019">
        <v>34.9</v>
      </c>
    </row>
    <row r="2020" spans="1:9" ht="24" customHeight="1">
      <c r="A2020" s="6" t="s">
        <v>3349</v>
      </c>
      <c r="B2020">
        <v>94402</v>
      </c>
      <c r="C2020">
        <v>40819</v>
      </c>
      <c r="D2020">
        <v>455503</v>
      </c>
      <c r="E2020">
        <v>345753</v>
      </c>
      <c r="F2020">
        <v>20.7</v>
      </c>
      <c r="G2020">
        <v>12.5</v>
      </c>
      <c r="H2020">
        <v>6.9</v>
      </c>
      <c r="I2020">
        <v>6.7</v>
      </c>
    </row>
    <row r="2021" spans="1:9" ht="24" customHeight="1">
      <c r="A2021" s="6" t="s">
        <v>3350</v>
      </c>
      <c r="B2021">
        <v>374029</v>
      </c>
      <c r="C2021">
        <v>127299</v>
      </c>
      <c r="D2021">
        <v>386561</v>
      </c>
      <c r="E2021">
        <v>324081</v>
      </c>
      <c r="F2021">
        <v>11.2</v>
      </c>
      <c r="G2021">
        <v>6.4</v>
      </c>
      <c r="H2021">
        <v>10.9</v>
      </c>
      <c r="I2021">
        <v>9.8000000000000007</v>
      </c>
    </row>
    <row r="2022" spans="1:9" ht="24" customHeight="1">
      <c r="A2022" s="6" t="s">
        <v>3351</v>
      </c>
      <c r="B2022">
        <v>26907</v>
      </c>
      <c r="C2022">
        <v>11032</v>
      </c>
      <c r="D2022">
        <v>274841</v>
      </c>
      <c r="E2022">
        <v>225035</v>
      </c>
      <c r="F2022">
        <v>8.9</v>
      </c>
      <c r="G2022">
        <v>3.8</v>
      </c>
      <c r="H2022">
        <v>0</v>
      </c>
      <c r="I2022">
        <v>0</v>
      </c>
    </row>
    <row r="2023" spans="1:9" ht="24" customHeight="1">
      <c r="A2023" s="6" t="s">
        <v>3352</v>
      </c>
      <c r="B2023">
        <v>50003</v>
      </c>
      <c r="C2023">
        <v>20098</v>
      </c>
      <c r="D2023">
        <v>310692</v>
      </c>
      <c r="E2023">
        <v>268233</v>
      </c>
      <c r="F2023">
        <v>11.4</v>
      </c>
      <c r="G2023">
        <v>6.8</v>
      </c>
      <c r="H2023">
        <v>1.5</v>
      </c>
      <c r="I2023">
        <v>1.5</v>
      </c>
    </row>
    <row r="2024" spans="1:9" ht="24" customHeight="1">
      <c r="A2024" s="6" t="s">
        <v>3353</v>
      </c>
      <c r="B2024">
        <v>57247</v>
      </c>
      <c r="C2024">
        <v>18114</v>
      </c>
      <c r="D2024">
        <v>383895</v>
      </c>
      <c r="E2024">
        <v>317966</v>
      </c>
      <c r="F2024">
        <v>12.4</v>
      </c>
      <c r="G2024">
        <v>5</v>
      </c>
      <c r="H2024">
        <v>11.9</v>
      </c>
      <c r="I2024">
        <v>11.9</v>
      </c>
    </row>
    <row r="2025" spans="1:9" ht="24" customHeight="1">
      <c r="A2025" s="6" t="s">
        <v>3354</v>
      </c>
      <c r="B2025">
        <v>43403</v>
      </c>
      <c r="C2025">
        <v>14468</v>
      </c>
      <c r="D2025">
        <v>442946</v>
      </c>
      <c r="E2025">
        <v>345635</v>
      </c>
      <c r="F2025">
        <v>10.1</v>
      </c>
      <c r="G2025">
        <v>5.6</v>
      </c>
      <c r="H2025">
        <v>16.8</v>
      </c>
      <c r="I2025">
        <v>16.7</v>
      </c>
    </row>
    <row r="2026" spans="1:9" ht="24" customHeight="1">
      <c r="A2026" s="6" t="s">
        <v>3355</v>
      </c>
      <c r="B2026">
        <v>28625</v>
      </c>
      <c r="C2026">
        <v>9934</v>
      </c>
      <c r="D2026">
        <v>446305</v>
      </c>
      <c r="E2026">
        <v>392779</v>
      </c>
      <c r="F2026">
        <v>9.6</v>
      </c>
      <c r="G2026">
        <v>5.8</v>
      </c>
      <c r="H2026">
        <v>21.8</v>
      </c>
      <c r="I2026">
        <v>21.8</v>
      </c>
    </row>
    <row r="2027" spans="1:9" ht="24" customHeight="1">
      <c r="A2027" s="6" t="s">
        <v>3356</v>
      </c>
      <c r="B2027">
        <v>20111</v>
      </c>
      <c r="C2027">
        <v>5100</v>
      </c>
      <c r="D2027">
        <v>491857</v>
      </c>
      <c r="E2027">
        <v>433780</v>
      </c>
      <c r="F2027">
        <v>8.8000000000000007</v>
      </c>
      <c r="G2027">
        <v>5.7</v>
      </c>
      <c r="H2027">
        <v>26.9</v>
      </c>
      <c r="I2027">
        <v>26.7</v>
      </c>
    </row>
    <row r="2028" spans="1:9" ht="24" customHeight="1">
      <c r="A2028" s="6" t="s">
        <v>3357</v>
      </c>
      <c r="B2028">
        <v>47725</v>
      </c>
      <c r="C2028">
        <v>18953</v>
      </c>
      <c r="D2028">
        <v>353427</v>
      </c>
      <c r="E2028">
        <v>282531</v>
      </c>
      <c r="F2028">
        <v>12.2</v>
      </c>
      <c r="G2028">
        <v>7.1</v>
      </c>
      <c r="H2028">
        <v>3.5</v>
      </c>
      <c r="I2028">
        <v>3.5</v>
      </c>
    </row>
    <row r="2029" spans="1:9" ht="24" customHeight="1">
      <c r="A2029" s="6" t="s">
        <v>3358</v>
      </c>
      <c r="B2029">
        <v>22061</v>
      </c>
      <c r="C2029">
        <v>5889</v>
      </c>
      <c r="D2029">
        <v>509887</v>
      </c>
      <c r="E2029">
        <v>440598</v>
      </c>
      <c r="F2029">
        <v>5.4</v>
      </c>
      <c r="G2029">
        <v>3.6</v>
      </c>
      <c r="H2029">
        <v>34.9</v>
      </c>
      <c r="I2029">
        <v>34.4</v>
      </c>
    </row>
    <row r="2030" spans="1:9" ht="24" customHeight="1">
      <c r="A2030" s="6" t="s">
        <v>3359</v>
      </c>
      <c r="B2030">
        <v>86780</v>
      </c>
      <c r="C2030">
        <v>32201</v>
      </c>
      <c r="D2030">
        <v>358794</v>
      </c>
      <c r="E2030">
        <v>305514</v>
      </c>
      <c r="F2030">
        <v>12.8</v>
      </c>
      <c r="G2030">
        <v>6.9</v>
      </c>
      <c r="H2030">
        <v>6.8</v>
      </c>
      <c r="I2030">
        <v>6.8</v>
      </c>
    </row>
    <row r="2031" spans="1:9" ht="24" customHeight="1">
      <c r="A2031" s="6" t="s">
        <v>3360</v>
      </c>
      <c r="B2031">
        <v>216798</v>
      </c>
      <c r="C2031">
        <v>72810</v>
      </c>
      <c r="D2031">
        <v>409607</v>
      </c>
      <c r="E2031">
        <v>351003</v>
      </c>
      <c r="F2031">
        <v>13.4</v>
      </c>
      <c r="G2031">
        <v>9.9</v>
      </c>
      <c r="H2031">
        <v>11.5</v>
      </c>
      <c r="I2031">
        <v>9.9</v>
      </c>
    </row>
    <row r="2032" spans="1:9" ht="24" customHeight="1">
      <c r="A2032" s="6" t="s">
        <v>3361</v>
      </c>
      <c r="B2032">
        <v>15963</v>
      </c>
      <c r="C2032">
        <v>6365</v>
      </c>
      <c r="D2032">
        <v>281218</v>
      </c>
      <c r="E2032">
        <v>232945</v>
      </c>
      <c r="F2032">
        <v>13.3</v>
      </c>
      <c r="G2032">
        <v>8.6</v>
      </c>
      <c r="H2032">
        <v>0</v>
      </c>
      <c r="I2032">
        <v>0</v>
      </c>
    </row>
    <row r="2033" spans="1:9" ht="24" customHeight="1">
      <c r="A2033" s="6" t="s">
        <v>3362</v>
      </c>
      <c r="B2033">
        <v>27820</v>
      </c>
      <c r="C2033">
        <v>9130</v>
      </c>
      <c r="D2033">
        <v>320238</v>
      </c>
      <c r="E2033">
        <v>284628</v>
      </c>
      <c r="F2033">
        <v>16.399999999999999</v>
      </c>
      <c r="G2033">
        <v>10.7</v>
      </c>
      <c r="H2033">
        <v>1.5</v>
      </c>
      <c r="I2033">
        <v>1.4</v>
      </c>
    </row>
    <row r="2034" spans="1:9" ht="24" customHeight="1">
      <c r="A2034" s="6" t="s">
        <v>3363</v>
      </c>
      <c r="B2034">
        <v>30372</v>
      </c>
      <c r="C2034">
        <v>11219</v>
      </c>
      <c r="D2034">
        <v>412113</v>
      </c>
      <c r="E2034">
        <v>362704</v>
      </c>
      <c r="F2034">
        <v>14.4</v>
      </c>
      <c r="G2034">
        <v>8.5</v>
      </c>
      <c r="H2034">
        <v>12</v>
      </c>
      <c r="I2034">
        <v>11.8</v>
      </c>
    </row>
    <row r="2035" spans="1:9" ht="24" customHeight="1">
      <c r="A2035" s="6" t="s">
        <v>3364</v>
      </c>
      <c r="B2035">
        <v>27160</v>
      </c>
      <c r="C2035">
        <v>7445</v>
      </c>
      <c r="D2035">
        <v>468887</v>
      </c>
      <c r="E2035">
        <v>373836</v>
      </c>
      <c r="F2035">
        <v>13.3</v>
      </c>
      <c r="G2035">
        <v>10.4</v>
      </c>
      <c r="H2035">
        <v>16.7</v>
      </c>
      <c r="I2035">
        <v>16.600000000000001</v>
      </c>
    </row>
    <row r="2036" spans="1:9" ht="24" customHeight="1">
      <c r="A2036" s="6" t="s">
        <v>3365</v>
      </c>
      <c r="B2036">
        <v>17036</v>
      </c>
      <c r="C2036">
        <v>5166</v>
      </c>
      <c r="D2036">
        <v>484990</v>
      </c>
      <c r="E2036">
        <v>411460</v>
      </c>
      <c r="F2036">
        <v>10.5</v>
      </c>
      <c r="G2036">
        <v>7</v>
      </c>
      <c r="H2036">
        <v>22</v>
      </c>
      <c r="I2036">
        <v>21.4</v>
      </c>
    </row>
    <row r="2037" spans="1:9" ht="24" customHeight="1">
      <c r="A2037" s="6" t="s">
        <v>3366</v>
      </c>
      <c r="B2037">
        <v>14714</v>
      </c>
      <c r="C2037">
        <v>1761</v>
      </c>
      <c r="D2037">
        <v>518150</v>
      </c>
      <c r="E2037">
        <v>483898</v>
      </c>
      <c r="F2037">
        <v>8.8000000000000007</v>
      </c>
      <c r="G2037">
        <v>7.6</v>
      </c>
      <c r="H2037">
        <v>26.7</v>
      </c>
      <c r="I2037">
        <v>27</v>
      </c>
    </row>
    <row r="2038" spans="1:9" ht="24" customHeight="1">
      <c r="A2038" s="6" t="s">
        <v>3367</v>
      </c>
      <c r="B2038">
        <v>27652</v>
      </c>
      <c r="C2038">
        <v>12036</v>
      </c>
      <c r="D2038">
        <v>361226</v>
      </c>
      <c r="E2038">
        <v>304824</v>
      </c>
      <c r="F2038">
        <v>16.100000000000001</v>
      </c>
      <c r="G2038">
        <v>11.1</v>
      </c>
      <c r="H2038">
        <v>3.4</v>
      </c>
      <c r="I2038">
        <v>3.5</v>
      </c>
    </row>
    <row r="2039" spans="1:9" ht="24" customHeight="1">
      <c r="A2039" s="6" t="s">
        <v>3368</v>
      </c>
      <c r="B2039">
        <v>14560</v>
      </c>
      <c r="C2039">
        <v>4879</v>
      </c>
      <c r="D2039">
        <v>555326</v>
      </c>
      <c r="E2039">
        <v>584492</v>
      </c>
      <c r="F2039">
        <v>6</v>
      </c>
      <c r="G2039">
        <v>17.100000000000001</v>
      </c>
      <c r="H2039">
        <v>33.4</v>
      </c>
      <c r="I2039">
        <v>32.9</v>
      </c>
    </row>
    <row r="2040" spans="1:9" ht="24" customHeight="1">
      <c r="A2040" s="6" t="s">
        <v>3369</v>
      </c>
      <c r="B2040">
        <v>43599</v>
      </c>
      <c r="C2040">
        <v>17148</v>
      </c>
      <c r="D2040">
        <v>380040</v>
      </c>
      <c r="E2040">
        <v>330676</v>
      </c>
      <c r="F2040">
        <v>14.2</v>
      </c>
      <c r="G2040">
        <v>7.9</v>
      </c>
      <c r="H2040">
        <v>6.8</v>
      </c>
      <c r="I2040">
        <v>6.8</v>
      </c>
    </row>
    <row r="2041" spans="1:9" ht="24" customHeight="1">
      <c r="A2041" s="6" t="s">
        <v>3370</v>
      </c>
      <c r="B2041">
        <v>182361</v>
      </c>
      <c r="C2041">
        <v>78531</v>
      </c>
      <c r="D2041">
        <v>434183</v>
      </c>
      <c r="E2041">
        <v>353738</v>
      </c>
      <c r="F2041">
        <v>18.399999999999999</v>
      </c>
      <c r="G2041">
        <v>9.6999999999999993</v>
      </c>
      <c r="H2041">
        <v>12.3</v>
      </c>
      <c r="I2041">
        <v>8.6</v>
      </c>
    </row>
    <row r="2042" spans="1:9" ht="24" customHeight="1">
      <c r="A2042" s="6" t="s">
        <v>3371</v>
      </c>
      <c r="B2042">
        <v>13572</v>
      </c>
      <c r="C2042">
        <v>9438</v>
      </c>
      <c r="D2042">
        <v>278412</v>
      </c>
      <c r="E2042">
        <v>222802</v>
      </c>
      <c r="F2042">
        <v>10.4</v>
      </c>
      <c r="G2042">
        <v>8.1999999999999993</v>
      </c>
      <c r="H2042">
        <v>0</v>
      </c>
      <c r="I2042">
        <v>0</v>
      </c>
    </row>
    <row r="2043" spans="1:9" ht="24" customHeight="1">
      <c r="A2043" s="6" t="s">
        <v>3372</v>
      </c>
      <c r="B2043">
        <v>21222</v>
      </c>
      <c r="C2043">
        <v>13016</v>
      </c>
      <c r="D2043">
        <v>352257</v>
      </c>
      <c r="E2043">
        <v>306895</v>
      </c>
      <c r="F2043">
        <v>20.3</v>
      </c>
      <c r="G2043">
        <v>12.3</v>
      </c>
      <c r="H2043">
        <v>1.5</v>
      </c>
      <c r="I2043">
        <v>1.5</v>
      </c>
    </row>
    <row r="2044" spans="1:9" ht="24" customHeight="1">
      <c r="A2044" s="6" t="s">
        <v>3373</v>
      </c>
      <c r="B2044">
        <v>24431</v>
      </c>
      <c r="C2044">
        <v>8940</v>
      </c>
      <c r="D2044">
        <v>423488</v>
      </c>
      <c r="E2044">
        <v>360854</v>
      </c>
      <c r="F2044">
        <v>21.3</v>
      </c>
      <c r="G2044">
        <v>9.4</v>
      </c>
      <c r="H2044">
        <v>12.2</v>
      </c>
      <c r="I2044">
        <v>11.9</v>
      </c>
    </row>
    <row r="2045" spans="1:9" ht="24" customHeight="1">
      <c r="A2045" s="6" t="s">
        <v>3374</v>
      </c>
      <c r="B2045">
        <v>26342</v>
      </c>
      <c r="C2045">
        <v>9862</v>
      </c>
      <c r="D2045">
        <v>473108</v>
      </c>
      <c r="E2045">
        <v>421068</v>
      </c>
      <c r="F2045">
        <v>20.7</v>
      </c>
      <c r="G2045">
        <v>9</v>
      </c>
      <c r="H2045">
        <v>16.899999999999999</v>
      </c>
      <c r="I2045">
        <v>16.5</v>
      </c>
    </row>
    <row r="2046" spans="1:9" ht="24" customHeight="1">
      <c r="A2046" s="6" t="s">
        <v>3375</v>
      </c>
      <c r="B2046">
        <v>13369</v>
      </c>
      <c r="C2046">
        <v>3392</v>
      </c>
      <c r="D2046">
        <v>512568</v>
      </c>
      <c r="E2046">
        <v>399107</v>
      </c>
      <c r="F2046">
        <v>16.3</v>
      </c>
      <c r="G2046">
        <v>11.6</v>
      </c>
      <c r="H2046">
        <v>21.9</v>
      </c>
      <c r="I2046">
        <v>21.9</v>
      </c>
    </row>
    <row r="2047" spans="1:9" ht="24" customHeight="1">
      <c r="A2047" s="6" t="s">
        <v>3376</v>
      </c>
      <c r="B2047">
        <v>10990</v>
      </c>
      <c r="C2047">
        <v>2332</v>
      </c>
      <c r="D2047">
        <v>579800</v>
      </c>
      <c r="E2047">
        <v>481853</v>
      </c>
      <c r="F2047">
        <v>14.4</v>
      </c>
      <c r="G2047">
        <v>9.1</v>
      </c>
      <c r="H2047">
        <v>26.9</v>
      </c>
      <c r="I2047">
        <v>26.7</v>
      </c>
    </row>
    <row r="2048" spans="1:9" ht="24" customHeight="1">
      <c r="A2048" s="6" t="s">
        <v>3377</v>
      </c>
      <c r="B2048">
        <v>24650</v>
      </c>
      <c r="C2048">
        <v>13365</v>
      </c>
      <c r="D2048">
        <v>376840</v>
      </c>
      <c r="E2048">
        <v>325399</v>
      </c>
      <c r="F2048">
        <v>21.8</v>
      </c>
      <c r="G2048">
        <v>9.3000000000000007</v>
      </c>
      <c r="H2048">
        <v>3.5</v>
      </c>
      <c r="I2048">
        <v>3.5</v>
      </c>
    </row>
    <row r="2049" spans="1:9" ht="24" customHeight="1">
      <c r="A2049" s="6" t="s">
        <v>3378</v>
      </c>
      <c r="B2049">
        <v>16713</v>
      </c>
      <c r="C2049">
        <v>3029</v>
      </c>
      <c r="D2049">
        <v>602783</v>
      </c>
      <c r="E2049">
        <v>555464</v>
      </c>
      <c r="F2049">
        <v>11.8</v>
      </c>
      <c r="G2049">
        <v>7.8</v>
      </c>
      <c r="H2049">
        <v>34.5</v>
      </c>
      <c r="I2049">
        <v>33</v>
      </c>
    </row>
    <row r="2050" spans="1:9" ht="24" customHeight="1">
      <c r="A2050" s="6" t="s">
        <v>3379</v>
      </c>
      <c r="B2050">
        <v>32503</v>
      </c>
      <c r="C2050">
        <v>18478</v>
      </c>
      <c r="D2050">
        <v>394446</v>
      </c>
      <c r="E2050">
        <v>346167</v>
      </c>
      <c r="F2050">
        <v>19.100000000000001</v>
      </c>
      <c r="G2050">
        <v>8.8000000000000007</v>
      </c>
      <c r="H2050">
        <v>6.8</v>
      </c>
      <c r="I2050">
        <v>6.6</v>
      </c>
    </row>
    <row r="2051" spans="1:9" ht="24" customHeight="1">
      <c r="A2051" s="6" t="s">
        <v>580</v>
      </c>
      <c r="B2051">
        <v>23409</v>
      </c>
      <c r="C2051">
        <v>20951</v>
      </c>
      <c r="D2051">
        <v>249116</v>
      </c>
      <c r="E2051">
        <v>203429</v>
      </c>
      <c r="F2051">
        <v>9.6999999999999993</v>
      </c>
      <c r="G2051">
        <v>5.2</v>
      </c>
      <c r="H2051">
        <v>0</v>
      </c>
      <c r="I2051">
        <v>0</v>
      </c>
    </row>
    <row r="2052" spans="1:9" ht="24" customHeight="1">
      <c r="A2052" s="6" t="s">
        <v>3380</v>
      </c>
      <c r="B2052">
        <v>33038</v>
      </c>
      <c r="C2052">
        <v>36057</v>
      </c>
      <c r="D2052">
        <v>323547</v>
      </c>
      <c r="E2052">
        <v>251126</v>
      </c>
      <c r="F2052">
        <v>16.2</v>
      </c>
      <c r="G2052">
        <v>16.899999999999999</v>
      </c>
      <c r="H2052">
        <v>1.6</v>
      </c>
      <c r="I2052">
        <v>1.5</v>
      </c>
    </row>
    <row r="2053" spans="1:9" ht="24" customHeight="1">
      <c r="A2053" s="6" t="s">
        <v>3381</v>
      </c>
      <c r="B2053">
        <v>70553</v>
      </c>
      <c r="C2053">
        <v>25973</v>
      </c>
      <c r="D2053">
        <v>413525</v>
      </c>
      <c r="E2053">
        <v>300442</v>
      </c>
      <c r="F2053">
        <v>19.8</v>
      </c>
      <c r="G2053">
        <v>10.3</v>
      </c>
      <c r="H2053">
        <v>12</v>
      </c>
      <c r="I2053">
        <v>12.2</v>
      </c>
    </row>
    <row r="2054" spans="1:9" ht="24" customHeight="1">
      <c r="A2054" s="6" t="s">
        <v>3382</v>
      </c>
      <c r="B2054">
        <v>62882</v>
      </c>
      <c r="C2054">
        <v>21940</v>
      </c>
      <c r="D2054">
        <v>474608</v>
      </c>
      <c r="E2054">
        <v>321483</v>
      </c>
      <c r="F2054">
        <v>17.8</v>
      </c>
      <c r="G2054">
        <v>10.6</v>
      </c>
      <c r="H2054">
        <v>16.8</v>
      </c>
      <c r="I2054">
        <v>16.7</v>
      </c>
    </row>
    <row r="2055" spans="1:9" ht="24" customHeight="1">
      <c r="A2055" s="6" t="s">
        <v>3383</v>
      </c>
      <c r="B2055">
        <v>41024</v>
      </c>
      <c r="C2055">
        <v>13372</v>
      </c>
      <c r="D2055">
        <v>540675</v>
      </c>
      <c r="E2055">
        <v>377000</v>
      </c>
      <c r="F2055">
        <v>18.3</v>
      </c>
      <c r="G2055">
        <v>9.8000000000000007</v>
      </c>
      <c r="H2055">
        <v>21.9</v>
      </c>
      <c r="I2055">
        <v>21.3</v>
      </c>
    </row>
    <row r="2056" spans="1:9" ht="24" customHeight="1">
      <c r="A2056" s="6" t="s">
        <v>3384</v>
      </c>
      <c r="B2056">
        <v>36393</v>
      </c>
      <c r="C2056">
        <v>8251</v>
      </c>
      <c r="D2056">
        <v>569704</v>
      </c>
      <c r="E2056">
        <v>425277</v>
      </c>
      <c r="F2056">
        <v>11.2</v>
      </c>
      <c r="G2056">
        <v>9.6999999999999993</v>
      </c>
      <c r="H2056">
        <v>26.9</v>
      </c>
      <c r="I2056">
        <v>26.9</v>
      </c>
    </row>
    <row r="2057" spans="1:9" ht="24" customHeight="1">
      <c r="A2057" s="6" t="s">
        <v>3385</v>
      </c>
      <c r="B2057">
        <v>37706</v>
      </c>
      <c r="C2057">
        <v>29245</v>
      </c>
      <c r="D2057">
        <v>326044</v>
      </c>
      <c r="E2057">
        <v>270166</v>
      </c>
      <c r="F2057">
        <v>17.399999999999999</v>
      </c>
      <c r="G2057">
        <v>13.2</v>
      </c>
      <c r="H2057">
        <v>3.4</v>
      </c>
      <c r="I2057">
        <v>3.5</v>
      </c>
    </row>
    <row r="2058" spans="1:9" ht="24" customHeight="1">
      <c r="A2058" s="6" t="s">
        <v>581</v>
      </c>
      <c r="B2058">
        <v>52549</v>
      </c>
      <c r="C2058">
        <v>10699</v>
      </c>
      <c r="D2058">
        <v>637355</v>
      </c>
      <c r="E2058">
        <v>397578</v>
      </c>
      <c r="F2058">
        <v>8.8000000000000007</v>
      </c>
      <c r="G2058">
        <v>13.4</v>
      </c>
      <c r="H2058">
        <v>33.9</v>
      </c>
      <c r="I2058">
        <v>32.4</v>
      </c>
    </row>
    <row r="2059" spans="1:9" ht="24" customHeight="1">
      <c r="A2059" s="6" t="s">
        <v>3386</v>
      </c>
      <c r="B2059">
        <v>70271</v>
      </c>
      <c r="C2059">
        <v>38895</v>
      </c>
      <c r="D2059">
        <v>367717</v>
      </c>
      <c r="E2059">
        <v>290880</v>
      </c>
      <c r="F2059">
        <v>17.899999999999999</v>
      </c>
      <c r="G2059">
        <v>15.8</v>
      </c>
      <c r="H2059">
        <v>7</v>
      </c>
      <c r="I2059">
        <v>6.6</v>
      </c>
    </row>
    <row r="2060" spans="1:9" ht="24" customHeight="1">
      <c r="A2060" s="6" t="s">
        <v>582</v>
      </c>
      <c r="B2060">
        <v>2608</v>
      </c>
      <c r="C2060">
        <v>1235</v>
      </c>
      <c r="D2060">
        <v>241717</v>
      </c>
      <c r="E2060">
        <v>208253</v>
      </c>
      <c r="F2060">
        <v>7.7</v>
      </c>
      <c r="G2060">
        <v>6.7</v>
      </c>
      <c r="H2060">
        <v>0</v>
      </c>
      <c r="I2060">
        <v>0</v>
      </c>
    </row>
    <row r="2061" spans="1:9" ht="24" customHeight="1">
      <c r="A2061" s="6" t="s">
        <v>3387</v>
      </c>
      <c r="B2061">
        <v>4850</v>
      </c>
      <c r="C2061">
        <v>1871</v>
      </c>
      <c r="D2061">
        <v>322265</v>
      </c>
      <c r="E2061">
        <v>286416</v>
      </c>
      <c r="F2061">
        <v>15.2</v>
      </c>
      <c r="G2061">
        <v>12</v>
      </c>
      <c r="H2061">
        <v>1.5</v>
      </c>
      <c r="I2061">
        <v>1.5</v>
      </c>
    </row>
    <row r="2062" spans="1:9" ht="24" customHeight="1">
      <c r="A2062" s="6" t="s">
        <v>3388</v>
      </c>
      <c r="B2062">
        <v>7989</v>
      </c>
      <c r="C2062">
        <v>2226</v>
      </c>
      <c r="D2062">
        <v>460797</v>
      </c>
      <c r="E2062">
        <v>337277</v>
      </c>
      <c r="F2062">
        <v>16.5</v>
      </c>
      <c r="G2062">
        <v>7.6</v>
      </c>
      <c r="H2062">
        <v>12</v>
      </c>
      <c r="I2062">
        <v>12.1</v>
      </c>
    </row>
    <row r="2063" spans="1:9" ht="24" customHeight="1">
      <c r="A2063" s="6" t="s">
        <v>3389</v>
      </c>
      <c r="B2063">
        <v>7942</v>
      </c>
      <c r="C2063">
        <v>2068</v>
      </c>
      <c r="D2063">
        <v>503472</v>
      </c>
      <c r="E2063">
        <v>373866</v>
      </c>
      <c r="F2063">
        <v>14.6</v>
      </c>
      <c r="G2063">
        <v>8.5</v>
      </c>
      <c r="H2063">
        <v>17</v>
      </c>
      <c r="I2063">
        <v>16.899999999999999</v>
      </c>
    </row>
    <row r="2064" spans="1:9" ht="24" customHeight="1">
      <c r="A2064" s="6" t="s">
        <v>3390</v>
      </c>
      <c r="B2064">
        <v>5757</v>
      </c>
      <c r="C2064">
        <v>1211</v>
      </c>
      <c r="D2064">
        <v>535875</v>
      </c>
      <c r="E2064">
        <v>386849</v>
      </c>
      <c r="F2064">
        <v>13.6</v>
      </c>
      <c r="G2064">
        <v>7.2</v>
      </c>
      <c r="H2064">
        <v>21.7</v>
      </c>
      <c r="I2064">
        <v>21.6</v>
      </c>
    </row>
    <row r="2065" spans="1:9" ht="24" customHeight="1">
      <c r="A2065" s="6" t="s">
        <v>3391</v>
      </c>
      <c r="B2065">
        <v>5473</v>
      </c>
      <c r="C2065">
        <v>1347</v>
      </c>
      <c r="D2065">
        <v>579408</v>
      </c>
      <c r="E2065">
        <v>384371</v>
      </c>
      <c r="F2065">
        <v>11.1</v>
      </c>
      <c r="G2065">
        <v>6.7</v>
      </c>
      <c r="H2065">
        <v>27</v>
      </c>
      <c r="I2065">
        <v>27</v>
      </c>
    </row>
    <row r="2066" spans="1:9" ht="24" customHeight="1">
      <c r="A2066" s="6" t="s">
        <v>3392</v>
      </c>
      <c r="B2066">
        <v>5392</v>
      </c>
      <c r="C2066">
        <v>2324</v>
      </c>
      <c r="D2066">
        <v>359811</v>
      </c>
      <c r="E2066">
        <v>312116</v>
      </c>
      <c r="F2066">
        <v>15.4</v>
      </c>
      <c r="G2066">
        <v>12.6</v>
      </c>
      <c r="H2066">
        <v>3.5</v>
      </c>
      <c r="I2066">
        <v>3.5</v>
      </c>
    </row>
    <row r="2067" spans="1:9" ht="24" customHeight="1">
      <c r="A2067" s="6" t="s">
        <v>583</v>
      </c>
      <c r="B2067">
        <v>7562</v>
      </c>
      <c r="C2067">
        <v>1303</v>
      </c>
      <c r="D2067">
        <v>590360</v>
      </c>
      <c r="E2067">
        <v>494681</v>
      </c>
      <c r="F2067">
        <v>7</v>
      </c>
      <c r="G2067">
        <v>7.6</v>
      </c>
      <c r="H2067">
        <v>34.299999999999997</v>
      </c>
      <c r="I2067">
        <v>33.799999999999997</v>
      </c>
    </row>
    <row r="2068" spans="1:9" ht="24" customHeight="1">
      <c r="A2068" s="6" t="s">
        <v>3393</v>
      </c>
      <c r="B2068">
        <v>9841</v>
      </c>
      <c r="C2068">
        <v>3257</v>
      </c>
      <c r="D2068">
        <v>409148</v>
      </c>
      <c r="E2068">
        <v>295389</v>
      </c>
      <c r="F2068">
        <v>15.9</v>
      </c>
      <c r="G2068">
        <v>10.199999999999999</v>
      </c>
      <c r="H2068">
        <v>6.7</v>
      </c>
      <c r="I2068">
        <v>6.6</v>
      </c>
    </row>
    <row r="2069" spans="1:9" ht="24" customHeight="1">
      <c r="A2069" s="6" t="s">
        <v>584</v>
      </c>
      <c r="B2069">
        <v>4227</v>
      </c>
      <c r="C2069">
        <v>4655</v>
      </c>
      <c r="D2069">
        <v>234415</v>
      </c>
      <c r="E2069">
        <v>183500</v>
      </c>
      <c r="F2069">
        <v>6.7</v>
      </c>
      <c r="G2069">
        <v>4.0999999999999996</v>
      </c>
      <c r="H2069">
        <v>0</v>
      </c>
      <c r="I2069">
        <v>0</v>
      </c>
    </row>
    <row r="2070" spans="1:9" ht="24" customHeight="1">
      <c r="A2070" s="6" t="s">
        <v>3394</v>
      </c>
      <c r="B2070">
        <v>6468</v>
      </c>
      <c r="C2070">
        <v>6730</v>
      </c>
      <c r="D2070">
        <v>299275</v>
      </c>
      <c r="E2070">
        <v>214227</v>
      </c>
      <c r="F2070">
        <v>9</v>
      </c>
      <c r="G2070">
        <v>5.7</v>
      </c>
      <c r="H2070">
        <v>1.6</v>
      </c>
      <c r="I2070">
        <v>1.5</v>
      </c>
    </row>
    <row r="2071" spans="1:9" ht="24" customHeight="1">
      <c r="A2071" s="6" t="s">
        <v>3395</v>
      </c>
      <c r="B2071">
        <v>10091</v>
      </c>
      <c r="C2071">
        <v>10674</v>
      </c>
      <c r="D2071">
        <v>402188</v>
      </c>
      <c r="E2071">
        <v>234628</v>
      </c>
      <c r="F2071">
        <v>11.2</v>
      </c>
      <c r="G2071">
        <v>6</v>
      </c>
      <c r="H2071">
        <v>11.9</v>
      </c>
      <c r="I2071">
        <v>11.9</v>
      </c>
    </row>
    <row r="2072" spans="1:9" ht="24" customHeight="1">
      <c r="A2072" s="6" t="s">
        <v>3396</v>
      </c>
      <c r="B2072">
        <v>9499</v>
      </c>
      <c r="C2072">
        <v>9588</v>
      </c>
      <c r="D2072">
        <v>415261</v>
      </c>
      <c r="E2072">
        <v>251869</v>
      </c>
      <c r="F2072">
        <v>9.6</v>
      </c>
      <c r="G2072">
        <v>4.5999999999999996</v>
      </c>
      <c r="H2072">
        <v>16.8</v>
      </c>
      <c r="I2072">
        <v>16.7</v>
      </c>
    </row>
    <row r="2073" spans="1:9" ht="24" customHeight="1">
      <c r="A2073" s="6" t="s">
        <v>3397</v>
      </c>
      <c r="B2073">
        <v>5783</v>
      </c>
      <c r="C2073">
        <v>6487</v>
      </c>
      <c r="D2073">
        <v>466714</v>
      </c>
      <c r="E2073">
        <v>264467</v>
      </c>
      <c r="F2073">
        <v>10.9</v>
      </c>
      <c r="G2073">
        <v>7.9</v>
      </c>
      <c r="H2073">
        <v>21.9</v>
      </c>
      <c r="I2073">
        <v>21.9</v>
      </c>
    </row>
    <row r="2074" spans="1:9" ht="24" customHeight="1">
      <c r="A2074" s="6" t="s">
        <v>3398</v>
      </c>
      <c r="B2074">
        <v>5645</v>
      </c>
      <c r="C2074">
        <v>6565</v>
      </c>
      <c r="D2074">
        <v>470222</v>
      </c>
      <c r="E2074">
        <v>268044</v>
      </c>
      <c r="F2074">
        <v>8.5</v>
      </c>
      <c r="G2074">
        <v>3.5</v>
      </c>
      <c r="H2074">
        <v>26.8</v>
      </c>
      <c r="I2074">
        <v>26.8</v>
      </c>
    </row>
    <row r="2075" spans="1:9" ht="24" customHeight="1">
      <c r="A2075" s="6" t="s">
        <v>3399</v>
      </c>
      <c r="B2075">
        <v>6450</v>
      </c>
      <c r="C2075">
        <v>6170</v>
      </c>
      <c r="D2075">
        <v>310023</v>
      </c>
      <c r="E2075">
        <v>222875</v>
      </c>
      <c r="F2075">
        <v>10.6</v>
      </c>
      <c r="G2075">
        <v>6</v>
      </c>
      <c r="H2075">
        <v>3.4</v>
      </c>
      <c r="I2075">
        <v>3.4</v>
      </c>
    </row>
    <row r="2076" spans="1:9" ht="24" customHeight="1">
      <c r="A2076" s="6" t="s">
        <v>585</v>
      </c>
      <c r="B2076">
        <v>10436</v>
      </c>
      <c r="C2076">
        <v>7425</v>
      </c>
      <c r="D2076">
        <v>502574</v>
      </c>
      <c r="E2076">
        <v>274713</v>
      </c>
      <c r="F2076">
        <v>5.8</v>
      </c>
      <c r="G2076">
        <v>6.2</v>
      </c>
      <c r="H2076">
        <v>35</v>
      </c>
      <c r="I2076">
        <v>34.700000000000003</v>
      </c>
    </row>
    <row r="2077" spans="1:9" ht="24" customHeight="1">
      <c r="A2077" s="6" t="s">
        <v>3400</v>
      </c>
      <c r="B2077">
        <v>14087</v>
      </c>
      <c r="C2077">
        <v>15388</v>
      </c>
      <c r="D2077">
        <v>347027</v>
      </c>
      <c r="E2077">
        <v>225638</v>
      </c>
      <c r="F2077">
        <v>12.6</v>
      </c>
      <c r="G2077">
        <v>5.6</v>
      </c>
      <c r="H2077">
        <v>6.9</v>
      </c>
      <c r="I2077">
        <v>6.9</v>
      </c>
    </row>
    <row r="2078" spans="1:9" ht="24" customHeight="1">
      <c r="A2078" s="6" t="s">
        <v>586</v>
      </c>
      <c r="B2078">
        <v>2896</v>
      </c>
      <c r="C2078">
        <v>944</v>
      </c>
      <c r="D2078">
        <v>243475</v>
      </c>
      <c r="E2078">
        <v>214920</v>
      </c>
      <c r="F2078">
        <v>12.4</v>
      </c>
      <c r="G2078">
        <v>3.1</v>
      </c>
      <c r="H2078">
        <v>0</v>
      </c>
      <c r="I2078">
        <v>0</v>
      </c>
    </row>
    <row r="2079" spans="1:9" ht="24" customHeight="1">
      <c r="A2079" s="6" t="s">
        <v>3401</v>
      </c>
      <c r="B2079">
        <v>5293</v>
      </c>
      <c r="C2079">
        <v>1161</v>
      </c>
      <c r="D2079">
        <v>305138</v>
      </c>
      <c r="E2079">
        <v>262017</v>
      </c>
      <c r="F2079">
        <v>15</v>
      </c>
      <c r="G2079">
        <v>8.4</v>
      </c>
      <c r="H2079">
        <v>1.5</v>
      </c>
      <c r="I2079">
        <v>1.4</v>
      </c>
    </row>
    <row r="2080" spans="1:9" ht="24" customHeight="1">
      <c r="A2080" s="6" t="s">
        <v>3402</v>
      </c>
      <c r="B2080">
        <v>7009</v>
      </c>
      <c r="C2080">
        <v>1670</v>
      </c>
      <c r="D2080">
        <v>393376</v>
      </c>
      <c r="E2080">
        <v>293420</v>
      </c>
      <c r="F2080">
        <v>13.7</v>
      </c>
      <c r="G2080">
        <v>3.6</v>
      </c>
      <c r="H2080">
        <v>11.8</v>
      </c>
      <c r="I2080">
        <v>11.5</v>
      </c>
    </row>
    <row r="2081" spans="1:9" ht="24" customHeight="1">
      <c r="A2081" s="6" t="s">
        <v>3403</v>
      </c>
      <c r="B2081">
        <v>6399</v>
      </c>
      <c r="C2081">
        <v>1347</v>
      </c>
      <c r="D2081">
        <v>423328</v>
      </c>
      <c r="E2081">
        <v>287503</v>
      </c>
      <c r="F2081">
        <v>14.3</v>
      </c>
      <c r="G2081">
        <v>5.7</v>
      </c>
      <c r="H2081">
        <v>16.8</v>
      </c>
      <c r="I2081">
        <v>16.600000000000001</v>
      </c>
    </row>
    <row r="2082" spans="1:9" ht="24" customHeight="1">
      <c r="A2082" s="6" t="s">
        <v>3404</v>
      </c>
      <c r="B2082">
        <v>4451</v>
      </c>
      <c r="C2082">
        <v>663</v>
      </c>
      <c r="D2082">
        <v>470878</v>
      </c>
      <c r="E2082">
        <v>294963</v>
      </c>
      <c r="F2082">
        <v>10.1</v>
      </c>
      <c r="G2082">
        <v>4.9000000000000004</v>
      </c>
      <c r="H2082">
        <v>21.8</v>
      </c>
      <c r="I2082">
        <v>21.4</v>
      </c>
    </row>
    <row r="2083" spans="1:9" ht="24" customHeight="1">
      <c r="A2083" s="6" t="s">
        <v>3405</v>
      </c>
      <c r="B2083">
        <v>3878</v>
      </c>
      <c r="C2083">
        <v>519</v>
      </c>
      <c r="D2083">
        <v>485953</v>
      </c>
      <c r="E2083">
        <v>314868</v>
      </c>
      <c r="F2083">
        <v>9.9</v>
      </c>
      <c r="G2083">
        <v>5.6</v>
      </c>
      <c r="H2083">
        <v>26.8</v>
      </c>
      <c r="I2083">
        <v>26.7</v>
      </c>
    </row>
    <row r="2084" spans="1:9" ht="24" customHeight="1">
      <c r="A2084" s="6" t="s">
        <v>3406</v>
      </c>
      <c r="B2084">
        <v>4523</v>
      </c>
      <c r="C2084">
        <v>1335</v>
      </c>
      <c r="D2084">
        <v>333243</v>
      </c>
      <c r="E2084">
        <v>277500</v>
      </c>
      <c r="F2084">
        <v>14.8</v>
      </c>
      <c r="G2084">
        <v>6.3</v>
      </c>
      <c r="H2084">
        <v>3.5</v>
      </c>
      <c r="I2084">
        <v>3.4</v>
      </c>
    </row>
    <row r="2085" spans="1:9" ht="24" customHeight="1">
      <c r="A2085" s="6" t="s">
        <v>587</v>
      </c>
      <c r="B2085">
        <v>4032</v>
      </c>
      <c r="C2085">
        <v>946</v>
      </c>
      <c r="D2085">
        <v>508315</v>
      </c>
      <c r="E2085">
        <v>301036</v>
      </c>
      <c r="F2085">
        <v>9.9</v>
      </c>
      <c r="G2085">
        <v>4.7</v>
      </c>
      <c r="H2085">
        <v>35.4</v>
      </c>
      <c r="I2085">
        <v>35.799999999999997</v>
      </c>
    </row>
    <row r="2086" spans="1:9" ht="24" customHeight="1">
      <c r="A2086" s="6" t="s">
        <v>3407</v>
      </c>
      <c r="B2086">
        <v>10032</v>
      </c>
      <c r="C2086">
        <v>2120</v>
      </c>
      <c r="D2086">
        <v>358512</v>
      </c>
      <c r="E2086">
        <v>290687</v>
      </c>
      <c r="F2086">
        <v>15.5</v>
      </c>
      <c r="G2086">
        <v>8</v>
      </c>
      <c r="H2086">
        <v>7.1</v>
      </c>
      <c r="I2086">
        <v>6.5</v>
      </c>
    </row>
    <row r="2087" spans="1:9" ht="24" customHeight="1">
      <c r="A2087" s="6" t="s">
        <v>588</v>
      </c>
      <c r="B2087">
        <v>2171</v>
      </c>
      <c r="C2087">
        <v>826</v>
      </c>
      <c r="D2087">
        <v>251602</v>
      </c>
      <c r="E2087">
        <v>218492</v>
      </c>
      <c r="F2087">
        <v>9.9</v>
      </c>
      <c r="G2087">
        <v>4.0999999999999996</v>
      </c>
      <c r="H2087">
        <v>0</v>
      </c>
      <c r="I2087">
        <v>0</v>
      </c>
    </row>
    <row r="2088" spans="1:9" ht="24" customHeight="1">
      <c r="A2088" s="6" t="s">
        <v>3408</v>
      </c>
      <c r="B2088">
        <v>4444</v>
      </c>
      <c r="C2088">
        <v>1635</v>
      </c>
      <c r="D2088">
        <v>312053</v>
      </c>
      <c r="E2088">
        <v>258878</v>
      </c>
      <c r="F2088">
        <v>14.2</v>
      </c>
      <c r="G2088">
        <v>7.8</v>
      </c>
      <c r="H2088">
        <v>1.5</v>
      </c>
      <c r="I2088">
        <v>1.5</v>
      </c>
    </row>
    <row r="2089" spans="1:9" ht="24" customHeight="1">
      <c r="A2089" s="6" t="s">
        <v>3409</v>
      </c>
      <c r="B2089">
        <v>4687</v>
      </c>
      <c r="C2089">
        <v>1418</v>
      </c>
      <c r="D2089">
        <v>400915</v>
      </c>
      <c r="E2089">
        <v>304303</v>
      </c>
      <c r="F2089">
        <v>12.7</v>
      </c>
      <c r="G2089">
        <v>9.6999999999999993</v>
      </c>
      <c r="H2089">
        <v>11.7</v>
      </c>
      <c r="I2089">
        <v>11.6</v>
      </c>
    </row>
    <row r="2090" spans="1:9" ht="24" customHeight="1">
      <c r="A2090" s="6" t="s">
        <v>3410</v>
      </c>
      <c r="B2090">
        <v>4629</v>
      </c>
      <c r="C2090">
        <v>1365</v>
      </c>
      <c r="D2090">
        <v>428611</v>
      </c>
      <c r="E2090">
        <v>348000</v>
      </c>
      <c r="F2090">
        <v>11.5</v>
      </c>
      <c r="G2090">
        <v>8.6</v>
      </c>
      <c r="H2090">
        <v>16.8</v>
      </c>
      <c r="I2090">
        <v>16.8</v>
      </c>
    </row>
    <row r="2091" spans="1:9" ht="24" customHeight="1">
      <c r="A2091" s="6" t="s">
        <v>3411</v>
      </c>
      <c r="B2091">
        <v>3691</v>
      </c>
      <c r="C2091">
        <v>967</v>
      </c>
      <c r="D2091">
        <v>476758</v>
      </c>
      <c r="E2091">
        <v>340436</v>
      </c>
      <c r="F2091">
        <v>11.8</v>
      </c>
      <c r="G2091">
        <v>9.3000000000000007</v>
      </c>
      <c r="H2091">
        <v>21.7</v>
      </c>
      <c r="I2091">
        <v>21.7</v>
      </c>
    </row>
    <row r="2092" spans="1:9" ht="24" customHeight="1">
      <c r="A2092" s="6" t="s">
        <v>3412</v>
      </c>
      <c r="B2092">
        <v>3983</v>
      </c>
      <c r="C2092">
        <v>887</v>
      </c>
      <c r="D2092">
        <v>483441</v>
      </c>
      <c r="E2092">
        <v>376575</v>
      </c>
      <c r="F2092">
        <v>12.1</v>
      </c>
      <c r="G2092">
        <v>5.9</v>
      </c>
      <c r="H2092">
        <v>26.8</v>
      </c>
      <c r="I2092">
        <v>26.8</v>
      </c>
    </row>
    <row r="2093" spans="1:9" ht="24" customHeight="1">
      <c r="A2093" s="6" t="s">
        <v>3413</v>
      </c>
      <c r="B2093">
        <v>3204</v>
      </c>
      <c r="C2093">
        <v>1243</v>
      </c>
      <c r="D2093">
        <v>317566</v>
      </c>
      <c r="E2093">
        <v>257297</v>
      </c>
      <c r="F2093">
        <v>12.1</v>
      </c>
      <c r="G2093">
        <v>6.1</v>
      </c>
      <c r="H2093">
        <v>3.4</v>
      </c>
      <c r="I2093">
        <v>3.6</v>
      </c>
    </row>
    <row r="2094" spans="1:9" ht="24" customHeight="1">
      <c r="A2094" s="6" t="s">
        <v>589</v>
      </c>
      <c r="B2094">
        <v>7643</v>
      </c>
      <c r="C2094">
        <v>1021</v>
      </c>
      <c r="D2094">
        <v>505437</v>
      </c>
      <c r="E2094">
        <v>425712</v>
      </c>
      <c r="F2094">
        <v>9</v>
      </c>
      <c r="G2094">
        <v>8.1</v>
      </c>
      <c r="H2094">
        <v>35.1</v>
      </c>
      <c r="I2094">
        <v>33.5</v>
      </c>
    </row>
    <row r="2095" spans="1:9" ht="24" customHeight="1">
      <c r="A2095" s="6" t="s">
        <v>3414</v>
      </c>
      <c r="B2095">
        <v>7580</v>
      </c>
      <c r="C2095">
        <v>2628</v>
      </c>
      <c r="D2095">
        <v>356115</v>
      </c>
      <c r="E2095">
        <v>294838</v>
      </c>
      <c r="F2095">
        <v>13.9</v>
      </c>
      <c r="G2095">
        <v>7.9</v>
      </c>
      <c r="H2095">
        <v>7</v>
      </c>
      <c r="I2095">
        <v>6.7</v>
      </c>
    </row>
    <row r="2096" spans="1:9" ht="24" customHeight="1">
      <c r="A2096" s="6" t="s">
        <v>590</v>
      </c>
      <c r="B2096">
        <v>4326</v>
      </c>
      <c r="C2096">
        <v>1914</v>
      </c>
      <c r="D2096">
        <v>241239</v>
      </c>
      <c r="E2096">
        <v>197737</v>
      </c>
      <c r="F2096">
        <v>5.9</v>
      </c>
      <c r="G2096">
        <v>1.5</v>
      </c>
      <c r="H2096">
        <v>0</v>
      </c>
      <c r="I2096">
        <v>0</v>
      </c>
    </row>
    <row r="2097" spans="1:9" ht="24" customHeight="1">
      <c r="A2097" s="6" t="s">
        <v>3415</v>
      </c>
      <c r="B2097">
        <v>8098</v>
      </c>
      <c r="C2097">
        <v>2988</v>
      </c>
      <c r="D2097">
        <v>305729</v>
      </c>
      <c r="E2097">
        <v>236940</v>
      </c>
      <c r="F2097">
        <v>13.4</v>
      </c>
      <c r="G2097">
        <v>5.4</v>
      </c>
      <c r="H2097">
        <v>1.4</v>
      </c>
      <c r="I2097">
        <v>1.3</v>
      </c>
    </row>
    <row r="2098" spans="1:9" ht="24" customHeight="1">
      <c r="A2098" s="6" t="s">
        <v>3416</v>
      </c>
      <c r="B2098">
        <v>13112</v>
      </c>
      <c r="C2098">
        <v>3125</v>
      </c>
      <c r="D2098">
        <v>417742</v>
      </c>
      <c r="E2098">
        <v>292775</v>
      </c>
      <c r="F2098">
        <v>14.7</v>
      </c>
      <c r="G2098">
        <v>4.8</v>
      </c>
      <c r="H2098">
        <v>12.1</v>
      </c>
      <c r="I2098">
        <v>12.1</v>
      </c>
    </row>
    <row r="2099" spans="1:9" ht="24" customHeight="1">
      <c r="A2099" s="6" t="s">
        <v>3417</v>
      </c>
      <c r="B2099">
        <v>13288</v>
      </c>
      <c r="C2099">
        <v>3648</v>
      </c>
      <c r="D2099">
        <v>445646</v>
      </c>
      <c r="E2099">
        <v>311376</v>
      </c>
      <c r="F2099">
        <v>13.2</v>
      </c>
      <c r="G2099">
        <v>5.2</v>
      </c>
      <c r="H2099">
        <v>16.899999999999999</v>
      </c>
      <c r="I2099">
        <v>17.2</v>
      </c>
    </row>
    <row r="2100" spans="1:9" ht="24" customHeight="1">
      <c r="A2100" s="6" t="s">
        <v>3418</v>
      </c>
      <c r="B2100">
        <v>9328</v>
      </c>
      <c r="C2100">
        <v>2030</v>
      </c>
      <c r="D2100">
        <v>472540</v>
      </c>
      <c r="E2100">
        <v>287231</v>
      </c>
      <c r="F2100">
        <v>11.3</v>
      </c>
      <c r="G2100">
        <v>3.7</v>
      </c>
      <c r="H2100">
        <v>21.7</v>
      </c>
      <c r="I2100">
        <v>22</v>
      </c>
    </row>
    <row r="2101" spans="1:9" ht="24" customHeight="1">
      <c r="A2101" s="6" t="s">
        <v>3419</v>
      </c>
      <c r="B2101">
        <v>9583</v>
      </c>
      <c r="C2101">
        <v>1656</v>
      </c>
      <c r="D2101">
        <v>515243</v>
      </c>
      <c r="E2101">
        <v>364628</v>
      </c>
      <c r="F2101">
        <v>12.8</v>
      </c>
      <c r="G2101">
        <v>5.8</v>
      </c>
      <c r="H2101">
        <v>26.9</v>
      </c>
      <c r="I2101">
        <v>26.8</v>
      </c>
    </row>
    <row r="2102" spans="1:9" ht="24" customHeight="1">
      <c r="A2102" s="6" t="s">
        <v>3420</v>
      </c>
      <c r="B2102">
        <v>11441</v>
      </c>
      <c r="C2102">
        <v>3697</v>
      </c>
      <c r="D2102">
        <v>363634</v>
      </c>
      <c r="E2102">
        <v>271444</v>
      </c>
      <c r="F2102">
        <v>12</v>
      </c>
      <c r="G2102">
        <v>7</v>
      </c>
      <c r="H2102">
        <v>3.4</v>
      </c>
      <c r="I2102">
        <v>3.5</v>
      </c>
    </row>
    <row r="2103" spans="1:9" ht="24" customHeight="1">
      <c r="A2103" s="6" t="s">
        <v>591</v>
      </c>
      <c r="B2103">
        <v>17655</v>
      </c>
      <c r="C2103">
        <v>1942</v>
      </c>
      <c r="D2103">
        <v>559862</v>
      </c>
      <c r="E2103">
        <v>386912</v>
      </c>
      <c r="F2103">
        <v>11.8</v>
      </c>
      <c r="G2103">
        <v>6.5</v>
      </c>
      <c r="H2103">
        <v>34.6</v>
      </c>
      <c r="I2103">
        <v>33.6</v>
      </c>
    </row>
    <row r="2104" spans="1:9" ht="24" customHeight="1">
      <c r="A2104" s="6" t="s">
        <v>3421</v>
      </c>
      <c r="B2104">
        <v>18551</v>
      </c>
      <c r="C2104">
        <v>4921</v>
      </c>
      <c r="D2104">
        <v>374429</v>
      </c>
      <c r="E2104">
        <v>268875</v>
      </c>
      <c r="F2104">
        <v>13.1</v>
      </c>
      <c r="G2104">
        <v>6.2</v>
      </c>
      <c r="H2104">
        <v>7</v>
      </c>
      <c r="I2104">
        <v>6.9</v>
      </c>
    </row>
    <row r="2105" spans="1:9" ht="24" customHeight="1">
      <c r="A2105" s="6" t="s">
        <v>592</v>
      </c>
      <c r="B2105">
        <v>5197</v>
      </c>
      <c r="C2105">
        <v>3529</v>
      </c>
      <c r="D2105">
        <v>265055</v>
      </c>
      <c r="E2105">
        <v>221844</v>
      </c>
      <c r="F2105">
        <v>12.7</v>
      </c>
      <c r="G2105">
        <v>9.5</v>
      </c>
      <c r="H2105">
        <v>0</v>
      </c>
      <c r="I2105">
        <v>0</v>
      </c>
    </row>
    <row r="2106" spans="1:9" ht="24" customHeight="1">
      <c r="A2106" s="6" t="s">
        <v>3422</v>
      </c>
      <c r="B2106">
        <v>7784</v>
      </c>
      <c r="C2106">
        <v>4963</v>
      </c>
      <c r="D2106">
        <v>338976</v>
      </c>
      <c r="E2106">
        <v>267888</v>
      </c>
      <c r="F2106">
        <v>19.3</v>
      </c>
      <c r="G2106">
        <v>12.3</v>
      </c>
      <c r="H2106">
        <v>1.4</v>
      </c>
      <c r="I2106">
        <v>1.5</v>
      </c>
    </row>
    <row r="2107" spans="1:9" ht="24" customHeight="1">
      <c r="A2107" s="6" t="s">
        <v>3423</v>
      </c>
      <c r="B2107">
        <v>14079</v>
      </c>
      <c r="C2107">
        <v>5409</v>
      </c>
      <c r="D2107">
        <v>398358</v>
      </c>
      <c r="E2107">
        <v>314899</v>
      </c>
      <c r="F2107">
        <v>14.5</v>
      </c>
      <c r="G2107">
        <v>11.5</v>
      </c>
      <c r="H2107">
        <v>12</v>
      </c>
      <c r="I2107">
        <v>11.8</v>
      </c>
    </row>
    <row r="2108" spans="1:9" ht="24" customHeight="1">
      <c r="A2108" s="6" t="s">
        <v>3424</v>
      </c>
      <c r="B2108">
        <v>17022</v>
      </c>
      <c r="C2108">
        <v>6838</v>
      </c>
      <c r="D2108">
        <v>464946</v>
      </c>
      <c r="E2108">
        <v>322180</v>
      </c>
      <c r="F2108">
        <v>18.399999999999999</v>
      </c>
      <c r="G2108">
        <v>8.8000000000000007</v>
      </c>
      <c r="H2108">
        <v>16.8</v>
      </c>
      <c r="I2108">
        <v>16.7</v>
      </c>
    </row>
    <row r="2109" spans="1:9" ht="24" customHeight="1">
      <c r="A2109" s="6" t="s">
        <v>3425</v>
      </c>
      <c r="B2109">
        <v>16208</v>
      </c>
      <c r="C2109">
        <v>4276</v>
      </c>
      <c r="D2109">
        <v>497631</v>
      </c>
      <c r="E2109">
        <v>354242</v>
      </c>
      <c r="F2109">
        <v>16.7</v>
      </c>
      <c r="G2109">
        <v>11.4</v>
      </c>
      <c r="H2109">
        <v>21.9</v>
      </c>
      <c r="I2109">
        <v>21.8</v>
      </c>
    </row>
    <row r="2110" spans="1:9" ht="24" customHeight="1">
      <c r="A2110" s="6" t="s">
        <v>3426</v>
      </c>
      <c r="B2110">
        <v>18701</v>
      </c>
      <c r="C2110">
        <v>3117</v>
      </c>
      <c r="D2110">
        <v>528311</v>
      </c>
      <c r="E2110">
        <v>342749</v>
      </c>
      <c r="F2110">
        <v>16.100000000000001</v>
      </c>
      <c r="G2110">
        <v>7.1</v>
      </c>
      <c r="H2110">
        <v>26.8</v>
      </c>
      <c r="I2110">
        <v>26.5</v>
      </c>
    </row>
    <row r="2111" spans="1:9" ht="24" customHeight="1">
      <c r="A2111" s="6" t="s">
        <v>3427</v>
      </c>
      <c r="B2111">
        <v>9663</v>
      </c>
      <c r="C2111">
        <v>6733</v>
      </c>
      <c r="D2111">
        <v>343026</v>
      </c>
      <c r="E2111">
        <v>287391</v>
      </c>
      <c r="F2111">
        <v>18.5</v>
      </c>
      <c r="G2111">
        <v>15.5</v>
      </c>
      <c r="H2111">
        <v>3.6</v>
      </c>
      <c r="I2111">
        <v>3.6</v>
      </c>
    </row>
    <row r="2112" spans="1:9" ht="24" customHeight="1">
      <c r="A2112" s="6" t="s">
        <v>593</v>
      </c>
      <c r="B2112">
        <v>24996</v>
      </c>
      <c r="C2112">
        <v>4904</v>
      </c>
      <c r="D2112">
        <v>527387</v>
      </c>
      <c r="E2112">
        <v>387606</v>
      </c>
      <c r="F2112">
        <v>13.3</v>
      </c>
      <c r="G2112">
        <v>9.4</v>
      </c>
      <c r="H2112">
        <v>34.299999999999997</v>
      </c>
      <c r="I2112">
        <v>33.1</v>
      </c>
    </row>
    <row r="2113" spans="1:9" ht="24" customHeight="1">
      <c r="A2113" s="6" t="s">
        <v>3428</v>
      </c>
      <c r="B2113">
        <v>19101</v>
      </c>
      <c r="C2113">
        <v>8453</v>
      </c>
      <c r="D2113">
        <v>388705</v>
      </c>
      <c r="E2113">
        <v>300304</v>
      </c>
      <c r="F2113">
        <v>17.5</v>
      </c>
      <c r="G2113">
        <v>12.4</v>
      </c>
      <c r="H2113">
        <v>6.8</v>
      </c>
      <c r="I2113">
        <v>6.6</v>
      </c>
    </row>
    <row r="2114" spans="1:9" ht="24" customHeight="1">
      <c r="A2114" s="6" t="s">
        <v>594</v>
      </c>
      <c r="B2114">
        <v>14590</v>
      </c>
      <c r="C2114">
        <v>6093</v>
      </c>
      <c r="D2114">
        <v>320956</v>
      </c>
      <c r="E2114">
        <v>287872</v>
      </c>
      <c r="F2114">
        <v>9.1999999999999993</v>
      </c>
      <c r="G2114">
        <v>4.5</v>
      </c>
      <c r="H2114">
        <v>0</v>
      </c>
      <c r="I2114">
        <v>0</v>
      </c>
    </row>
    <row r="2115" spans="1:9" ht="24" customHeight="1">
      <c r="A2115" s="6" t="s">
        <v>3429</v>
      </c>
      <c r="B2115">
        <v>25467</v>
      </c>
      <c r="C2115">
        <v>12955</v>
      </c>
      <c r="D2115">
        <v>428147</v>
      </c>
      <c r="E2115">
        <v>364436</v>
      </c>
      <c r="F2115">
        <v>14.7</v>
      </c>
      <c r="G2115">
        <v>12.5</v>
      </c>
      <c r="H2115">
        <v>1.5</v>
      </c>
      <c r="I2115">
        <v>1.5</v>
      </c>
    </row>
    <row r="2116" spans="1:9" ht="24" customHeight="1">
      <c r="A2116" s="6" t="s">
        <v>3430</v>
      </c>
      <c r="B2116">
        <v>34860</v>
      </c>
      <c r="C2116">
        <v>10240</v>
      </c>
      <c r="D2116">
        <v>558809</v>
      </c>
      <c r="E2116">
        <v>468078</v>
      </c>
      <c r="F2116">
        <v>15</v>
      </c>
      <c r="G2116">
        <v>8.5</v>
      </c>
      <c r="H2116">
        <v>12</v>
      </c>
      <c r="I2116">
        <v>11.8</v>
      </c>
    </row>
    <row r="2117" spans="1:9" ht="24" customHeight="1">
      <c r="A2117" s="6" t="s">
        <v>3431</v>
      </c>
      <c r="B2117">
        <v>36723</v>
      </c>
      <c r="C2117">
        <v>7900</v>
      </c>
      <c r="D2117">
        <v>657117</v>
      </c>
      <c r="E2117">
        <v>537561</v>
      </c>
      <c r="F2117">
        <v>13.1</v>
      </c>
      <c r="G2117">
        <v>9.4</v>
      </c>
      <c r="H2117">
        <v>16.600000000000001</v>
      </c>
      <c r="I2117">
        <v>16.899999999999999</v>
      </c>
    </row>
    <row r="2118" spans="1:9" ht="24" customHeight="1">
      <c r="A2118" s="6" t="s">
        <v>3432</v>
      </c>
      <c r="B2118">
        <v>22136</v>
      </c>
      <c r="C2118">
        <v>5255</v>
      </c>
      <c r="D2118">
        <v>732363</v>
      </c>
      <c r="E2118">
        <v>573862</v>
      </c>
      <c r="F2118">
        <v>9.6999999999999993</v>
      </c>
      <c r="G2118">
        <v>4</v>
      </c>
      <c r="H2118">
        <v>21.9</v>
      </c>
      <c r="I2118">
        <v>22</v>
      </c>
    </row>
    <row r="2119" spans="1:9" ht="24" customHeight="1">
      <c r="A2119" s="6" t="s">
        <v>3433</v>
      </c>
      <c r="B2119">
        <v>25000</v>
      </c>
      <c r="C2119">
        <v>5536</v>
      </c>
      <c r="D2119">
        <v>739988</v>
      </c>
      <c r="E2119">
        <v>561297</v>
      </c>
      <c r="F2119">
        <v>8.9</v>
      </c>
      <c r="G2119">
        <v>10</v>
      </c>
      <c r="H2119">
        <v>26.8</v>
      </c>
      <c r="I2119">
        <v>26.9</v>
      </c>
    </row>
    <row r="2120" spans="1:9" ht="24" customHeight="1">
      <c r="A2120" s="6" t="s">
        <v>3434</v>
      </c>
      <c r="B2120">
        <v>24077</v>
      </c>
      <c r="C2120">
        <v>10718</v>
      </c>
      <c r="D2120">
        <v>454149</v>
      </c>
      <c r="E2120">
        <v>387023</v>
      </c>
      <c r="F2120">
        <v>14.9</v>
      </c>
      <c r="G2120">
        <v>9.1</v>
      </c>
      <c r="H2120">
        <v>3.5</v>
      </c>
      <c r="I2120">
        <v>3.5</v>
      </c>
    </row>
    <row r="2121" spans="1:9" ht="24" customHeight="1">
      <c r="A2121" s="6" t="s">
        <v>595</v>
      </c>
      <c r="B2121">
        <v>48693</v>
      </c>
      <c r="C2121">
        <v>9947</v>
      </c>
      <c r="D2121">
        <v>763036</v>
      </c>
      <c r="E2121">
        <v>604291</v>
      </c>
      <c r="F2121">
        <v>8.9</v>
      </c>
      <c r="G2121">
        <v>7.9</v>
      </c>
      <c r="H2121">
        <v>34.200000000000003</v>
      </c>
      <c r="I2121">
        <v>33.799999999999997</v>
      </c>
    </row>
    <row r="2122" spans="1:9" ht="24" customHeight="1">
      <c r="A2122" s="6" t="s">
        <v>3435</v>
      </c>
      <c r="B2122">
        <v>46032</v>
      </c>
      <c r="C2122">
        <v>15367</v>
      </c>
      <c r="D2122">
        <v>504710</v>
      </c>
      <c r="E2122">
        <v>443533</v>
      </c>
      <c r="F2122">
        <v>15.5</v>
      </c>
      <c r="G2122">
        <v>11.6</v>
      </c>
      <c r="H2122">
        <v>6.8</v>
      </c>
      <c r="I2122">
        <v>6.6</v>
      </c>
    </row>
    <row r="2123" spans="1:9" ht="24" customHeight="1">
      <c r="A2123" s="6" t="s">
        <v>596</v>
      </c>
      <c r="B2123">
        <v>382</v>
      </c>
      <c r="C2123">
        <v>112</v>
      </c>
      <c r="D2123">
        <v>266779</v>
      </c>
      <c r="E2123">
        <v>266834</v>
      </c>
      <c r="F2123">
        <v>13.5</v>
      </c>
      <c r="G2123">
        <v>3.2</v>
      </c>
      <c r="H2123">
        <v>0</v>
      </c>
      <c r="I2123">
        <v>0</v>
      </c>
    </row>
    <row r="2124" spans="1:9" ht="24" customHeight="1">
      <c r="A2124" s="6" t="s">
        <v>3436</v>
      </c>
      <c r="B2124">
        <v>827</v>
      </c>
      <c r="C2124">
        <v>297</v>
      </c>
      <c r="D2124">
        <v>440277</v>
      </c>
      <c r="E2124">
        <v>358150</v>
      </c>
      <c r="F2124">
        <v>29.9</v>
      </c>
      <c r="G2124">
        <v>18.8</v>
      </c>
      <c r="H2124">
        <v>1.7</v>
      </c>
      <c r="I2124">
        <v>1.3</v>
      </c>
    </row>
    <row r="2125" spans="1:9" ht="24" customHeight="1">
      <c r="A2125" s="6" t="s">
        <v>3437</v>
      </c>
      <c r="B2125">
        <v>1874</v>
      </c>
      <c r="C2125">
        <v>104</v>
      </c>
      <c r="D2125">
        <v>558877</v>
      </c>
      <c r="E2125">
        <v>477734</v>
      </c>
      <c r="F2125">
        <v>23.5</v>
      </c>
      <c r="G2125">
        <v>12.3</v>
      </c>
      <c r="H2125">
        <v>11.9</v>
      </c>
      <c r="I2125">
        <v>13.5</v>
      </c>
    </row>
    <row r="2126" spans="1:9" ht="24" customHeight="1">
      <c r="A2126" s="6" t="s">
        <v>3438</v>
      </c>
      <c r="B2126">
        <v>1011</v>
      </c>
      <c r="C2126">
        <v>146</v>
      </c>
      <c r="D2126">
        <v>646607</v>
      </c>
      <c r="E2126">
        <v>357688</v>
      </c>
      <c r="F2126">
        <v>20.8</v>
      </c>
      <c r="G2126">
        <v>5.2</v>
      </c>
      <c r="H2126">
        <v>16.899999999999999</v>
      </c>
      <c r="I2126">
        <v>15.8</v>
      </c>
    </row>
    <row r="2127" spans="1:9" ht="24" customHeight="1">
      <c r="A2127" s="6" t="s">
        <v>3439</v>
      </c>
      <c r="B2127">
        <v>853</v>
      </c>
      <c r="C2127">
        <v>75</v>
      </c>
      <c r="D2127">
        <v>708090</v>
      </c>
      <c r="E2127">
        <v>606548</v>
      </c>
      <c r="F2127">
        <v>22.8</v>
      </c>
      <c r="G2127">
        <v>11.5</v>
      </c>
      <c r="H2127">
        <v>21.6</v>
      </c>
      <c r="I2127">
        <v>22.9</v>
      </c>
    </row>
    <row r="2128" spans="1:9" ht="24" customHeight="1">
      <c r="A2128" s="6" t="s">
        <v>3440</v>
      </c>
      <c r="B2128">
        <v>726</v>
      </c>
      <c r="C2128">
        <v>69</v>
      </c>
      <c r="D2128">
        <v>775305</v>
      </c>
      <c r="E2128">
        <v>555979</v>
      </c>
      <c r="F2128">
        <v>12.8</v>
      </c>
      <c r="G2128">
        <v>11.6</v>
      </c>
      <c r="H2128">
        <v>27.2</v>
      </c>
      <c r="I2128">
        <v>26.6</v>
      </c>
    </row>
    <row r="2129" spans="1:9" ht="24" customHeight="1">
      <c r="A2129" s="6" t="s">
        <v>3441</v>
      </c>
      <c r="B2129">
        <v>882</v>
      </c>
      <c r="C2129">
        <v>258</v>
      </c>
      <c r="D2129">
        <v>454059</v>
      </c>
      <c r="E2129">
        <v>374489</v>
      </c>
      <c r="F2129">
        <v>24.7</v>
      </c>
      <c r="G2129">
        <v>14.7</v>
      </c>
      <c r="H2129">
        <v>3.7</v>
      </c>
      <c r="I2129">
        <v>3.3</v>
      </c>
    </row>
    <row r="2130" spans="1:9" ht="24" customHeight="1">
      <c r="A2130" s="6" t="s">
        <v>597</v>
      </c>
      <c r="B2130">
        <v>1227</v>
      </c>
      <c r="C2130">
        <v>253</v>
      </c>
      <c r="D2130">
        <v>751763</v>
      </c>
      <c r="E2130">
        <v>501981</v>
      </c>
      <c r="F2130">
        <v>17.2</v>
      </c>
      <c r="G2130">
        <v>21.6</v>
      </c>
      <c r="H2130">
        <v>35.299999999999997</v>
      </c>
      <c r="I2130">
        <v>38.1</v>
      </c>
    </row>
    <row r="2131" spans="1:9" ht="24" customHeight="1">
      <c r="A2131" s="6" t="s">
        <v>3442</v>
      </c>
      <c r="B2131">
        <v>2024</v>
      </c>
      <c r="C2131">
        <v>297</v>
      </c>
      <c r="D2131">
        <v>491980</v>
      </c>
      <c r="E2131">
        <v>307121</v>
      </c>
      <c r="F2131">
        <v>24.1</v>
      </c>
      <c r="G2131">
        <v>7.3</v>
      </c>
      <c r="H2131">
        <v>6.7</v>
      </c>
      <c r="I2131">
        <v>6.5</v>
      </c>
    </row>
    <row r="2132" spans="1:9" ht="24" customHeight="1">
      <c r="A2132" s="6" t="s">
        <v>598</v>
      </c>
      <c r="B2132">
        <v>10502</v>
      </c>
      <c r="C2132">
        <v>4565</v>
      </c>
      <c r="D2132">
        <v>258591</v>
      </c>
      <c r="E2132">
        <v>213496</v>
      </c>
      <c r="F2132">
        <v>10.3</v>
      </c>
      <c r="G2132">
        <v>6.6</v>
      </c>
      <c r="H2132">
        <v>0</v>
      </c>
      <c r="I2132">
        <v>0</v>
      </c>
    </row>
    <row r="2133" spans="1:9" ht="24" customHeight="1">
      <c r="A2133" s="6" t="s">
        <v>3443</v>
      </c>
      <c r="B2133">
        <v>18813</v>
      </c>
      <c r="C2133">
        <v>7403</v>
      </c>
      <c r="D2133">
        <v>313265</v>
      </c>
      <c r="E2133">
        <v>261762</v>
      </c>
      <c r="F2133">
        <v>14.7</v>
      </c>
      <c r="G2133">
        <v>11</v>
      </c>
      <c r="H2133">
        <v>1.5</v>
      </c>
      <c r="I2133">
        <v>1.5</v>
      </c>
    </row>
    <row r="2134" spans="1:9" ht="24" customHeight="1">
      <c r="A2134" s="6" t="s">
        <v>3444</v>
      </c>
      <c r="B2134">
        <v>28155</v>
      </c>
      <c r="C2134">
        <v>10858</v>
      </c>
      <c r="D2134">
        <v>421956</v>
      </c>
      <c r="E2134">
        <v>298884</v>
      </c>
      <c r="F2134">
        <v>15.6</v>
      </c>
      <c r="G2134">
        <v>8.1</v>
      </c>
      <c r="H2134">
        <v>11.9</v>
      </c>
      <c r="I2134">
        <v>11.7</v>
      </c>
    </row>
    <row r="2135" spans="1:9" ht="24" customHeight="1">
      <c r="A2135" s="6" t="s">
        <v>3445</v>
      </c>
      <c r="B2135">
        <v>39159</v>
      </c>
      <c r="C2135">
        <v>8031</v>
      </c>
      <c r="D2135">
        <v>463836</v>
      </c>
      <c r="E2135">
        <v>316996</v>
      </c>
      <c r="F2135">
        <v>15.1</v>
      </c>
      <c r="G2135">
        <v>7.1</v>
      </c>
      <c r="H2135">
        <v>16.899999999999999</v>
      </c>
      <c r="I2135">
        <v>16.899999999999999</v>
      </c>
    </row>
    <row r="2136" spans="1:9" ht="24" customHeight="1">
      <c r="A2136" s="6" t="s">
        <v>3446</v>
      </c>
      <c r="B2136">
        <v>24015</v>
      </c>
      <c r="C2136">
        <v>5199</v>
      </c>
      <c r="D2136">
        <v>503263</v>
      </c>
      <c r="E2136">
        <v>322240</v>
      </c>
      <c r="F2136">
        <v>12.3</v>
      </c>
      <c r="G2136">
        <v>8.4</v>
      </c>
      <c r="H2136">
        <v>22</v>
      </c>
      <c r="I2136">
        <v>21.7</v>
      </c>
    </row>
    <row r="2137" spans="1:9" ht="24" customHeight="1">
      <c r="A2137" s="6" t="s">
        <v>3447</v>
      </c>
      <c r="B2137">
        <v>19633</v>
      </c>
      <c r="C2137">
        <v>4665</v>
      </c>
      <c r="D2137">
        <v>529928</v>
      </c>
      <c r="E2137">
        <v>363339</v>
      </c>
      <c r="F2137">
        <v>11.8</v>
      </c>
      <c r="G2137">
        <v>10.7</v>
      </c>
      <c r="H2137">
        <v>26.9</v>
      </c>
      <c r="I2137">
        <v>27</v>
      </c>
    </row>
    <row r="2138" spans="1:9" ht="24" customHeight="1">
      <c r="A2138" s="6" t="s">
        <v>3448</v>
      </c>
      <c r="B2138">
        <v>22580</v>
      </c>
      <c r="C2138">
        <v>8652</v>
      </c>
      <c r="D2138">
        <v>370280</v>
      </c>
      <c r="E2138">
        <v>273582</v>
      </c>
      <c r="F2138">
        <v>18.5</v>
      </c>
      <c r="G2138">
        <v>10.9</v>
      </c>
      <c r="H2138">
        <v>3.5</v>
      </c>
      <c r="I2138">
        <v>3.6</v>
      </c>
    </row>
    <row r="2139" spans="1:9" ht="24" customHeight="1">
      <c r="A2139" s="6" t="s">
        <v>599</v>
      </c>
      <c r="B2139">
        <v>28218</v>
      </c>
      <c r="C2139">
        <v>4805</v>
      </c>
      <c r="D2139">
        <v>563732</v>
      </c>
      <c r="E2139">
        <v>375539</v>
      </c>
      <c r="F2139">
        <v>9.4</v>
      </c>
      <c r="G2139">
        <v>8.1</v>
      </c>
      <c r="H2139">
        <v>34.200000000000003</v>
      </c>
      <c r="I2139">
        <v>34.9</v>
      </c>
    </row>
    <row r="2140" spans="1:9" ht="24" customHeight="1">
      <c r="A2140" s="6" t="s">
        <v>3449</v>
      </c>
      <c r="B2140">
        <v>39766</v>
      </c>
      <c r="C2140">
        <v>15873</v>
      </c>
      <c r="D2140">
        <v>369602</v>
      </c>
      <c r="E2140">
        <v>280545</v>
      </c>
      <c r="F2140">
        <v>16.100000000000001</v>
      </c>
      <c r="G2140">
        <v>8.1999999999999993</v>
      </c>
      <c r="H2140">
        <v>6.9</v>
      </c>
      <c r="I2140">
        <v>6.4</v>
      </c>
    </row>
    <row r="2141" spans="1:9" ht="24" customHeight="1">
      <c r="A2141" s="6" t="s">
        <v>600</v>
      </c>
      <c r="B2141">
        <v>2879</v>
      </c>
      <c r="C2141">
        <v>699</v>
      </c>
      <c r="D2141">
        <v>260021</v>
      </c>
      <c r="E2141">
        <v>216923</v>
      </c>
      <c r="F2141">
        <v>11.6</v>
      </c>
      <c r="G2141">
        <v>8.3000000000000007</v>
      </c>
      <c r="H2141">
        <v>0</v>
      </c>
      <c r="I2141">
        <v>0</v>
      </c>
    </row>
    <row r="2142" spans="1:9" ht="24" customHeight="1">
      <c r="A2142" s="6" t="s">
        <v>3450</v>
      </c>
      <c r="B2142">
        <v>4642</v>
      </c>
      <c r="C2142">
        <v>1800</v>
      </c>
      <c r="D2142">
        <v>339069</v>
      </c>
      <c r="E2142">
        <v>259776</v>
      </c>
      <c r="F2142">
        <v>17.899999999999999</v>
      </c>
      <c r="G2142">
        <v>9.6999999999999993</v>
      </c>
      <c r="H2142">
        <v>1.4</v>
      </c>
      <c r="I2142">
        <v>1.4</v>
      </c>
    </row>
    <row r="2143" spans="1:9" ht="24" customHeight="1">
      <c r="A2143" s="6" t="s">
        <v>3451</v>
      </c>
      <c r="B2143">
        <v>11304</v>
      </c>
      <c r="C2143">
        <v>2981</v>
      </c>
      <c r="D2143">
        <v>486721</v>
      </c>
      <c r="E2143">
        <v>349534</v>
      </c>
      <c r="F2143">
        <v>18.7</v>
      </c>
      <c r="G2143">
        <v>9</v>
      </c>
      <c r="H2143">
        <v>12.2</v>
      </c>
      <c r="I2143">
        <v>11.9</v>
      </c>
    </row>
    <row r="2144" spans="1:9" ht="24" customHeight="1">
      <c r="A2144" s="6" t="s">
        <v>3452</v>
      </c>
      <c r="B2144">
        <v>13486</v>
      </c>
      <c r="C2144">
        <v>2405</v>
      </c>
      <c r="D2144">
        <v>548886</v>
      </c>
      <c r="E2144">
        <v>368971</v>
      </c>
      <c r="F2144">
        <v>17</v>
      </c>
      <c r="G2144">
        <v>6.5</v>
      </c>
      <c r="H2144">
        <v>16.7</v>
      </c>
      <c r="I2144">
        <v>16.7</v>
      </c>
    </row>
    <row r="2145" spans="1:9" ht="24" customHeight="1">
      <c r="A2145" s="6" t="s">
        <v>3453</v>
      </c>
      <c r="B2145">
        <v>5697</v>
      </c>
      <c r="C2145">
        <v>1322</v>
      </c>
      <c r="D2145">
        <v>608176</v>
      </c>
      <c r="E2145">
        <v>331354</v>
      </c>
      <c r="F2145">
        <v>15.3</v>
      </c>
      <c r="G2145">
        <v>6.4</v>
      </c>
      <c r="H2145">
        <v>21.6</v>
      </c>
      <c r="I2145">
        <v>22</v>
      </c>
    </row>
    <row r="2146" spans="1:9" ht="24" customHeight="1">
      <c r="A2146" s="6" t="s">
        <v>3454</v>
      </c>
      <c r="B2146">
        <v>4883</v>
      </c>
      <c r="C2146">
        <v>1022</v>
      </c>
      <c r="D2146">
        <v>614303</v>
      </c>
      <c r="E2146">
        <v>395567</v>
      </c>
      <c r="F2146">
        <v>15.4</v>
      </c>
      <c r="G2146">
        <v>8.1</v>
      </c>
      <c r="H2146">
        <v>26.8</v>
      </c>
      <c r="I2146">
        <v>26.8</v>
      </c>
    </row>
    <row r="2147" spans="1:9" ht="24" customHeight="1">
      <c r="A2147" s="6" t="s">
        <v>3455</v>
      </c>
      <c r="B2147">
        <v>6335</v>
      </c>
      <c r="C2147">
        <v>1926</v>
      </c>
      <c r="D2147">
        <v>379994</v>
      </c>
      <c r="E2147">
        <v>301478</v>
      </c>
      <c r="F2147">
        <v>20.6</v>
      </c>
      <c r="G2147">
        <v>11.1</v>
      </c>
      <c r="H2147">
        <v>3.5</v>
      </c>
      <c r="I2147">
        <v>3.5</v>
      </c>
    </row>
    <row r="2148" spans="1:9" ht="24" customHeight="1">
      <c r="A2148" s="6" t="s">
        <v>601</v>
      </c>
      <c r="B2148">
        <v>10630</v>
      </c>
      <c r="C2148">
        <v>1791</v>
      </c>
      <c r="D2148">
        <v>623194</v>
      </c>
      <c r="E2148">
        <v>407303</v>
      </c>
      <c r="F2148">
        <v>11.8</v>
      </c>
      <c r="G2148">
        <v>9.6</v>
      </c>
      <c r="H2148">
        <v>34</v>
      </c>
      <c r="I2148">
        <v>34.9</v>
      </c>
    </row>
    <row r="2149" spans="1:9" ht="24" customHeight="1">
      <c r="A2149" s="6" t="s">
        <v>3456</v>
      </c>
      <c r="B2149">
        <v>11204</v>
      </c>
      <c r="C2149">
        <v>4232</v>
      </c>
      <c r="D2149">
        <v>403897</v>
      </c>
      <c r="E2149">
        <v>304239</v>
      </c>
      <c r="F2149">
        <v>19.399999999999999</v>
      </c>
      <c r="G2149">
        <v>9.1999999999999993</v>
      </c>
      <c r="H2149">
        <v>6.8</v>
      </c>
      <c r="I2149">
        <v>6.8</v>
      </c>
    </row>
    <row r="2150" spans="1:9" ht="24" customHeight="1">
      <c r="A2150" s="6" t="s">
        <v>602</v>
      </c>
      <c r="B2150">
        <v>307</v>
      </c>
      <c r="C2150">
        <v>254</v>
      </c>
      <c r="D2150">
        <v>225333</v>
      </c>
      <c r="E2150">
        <v>211692</v>
      </c>
      <c r="F2150">
        <v>2.8</v>
      </c>
      <c r="G2150">
        <v>4.4000000000000004</v>
      </c>
      <c r="H2150">
        <v>0</v>
      </c>
      <c r="I2150">
        <v>0</v>
      </c>
    </row>
    <row r="2151" spans="1:9" ht="24" customHeight="1">
      <c r="A2151" s="6" t="s">
        <v>3457</v>
      </c>
      <c r="B2151">
        <v>291</v>
      </c>
      <c r="C2151">
        <v>191</v>
      </c>
      <c r="D2151">
        <v>265978</v>
      </c>
      <c r="E2151">
        <v>213471</v>
      </c>
      <c r="F2151">
        <v>5.9</v>
      </c>
      <c r="G2151">
        <v>5.2</v>
      </c>
      <c r="H2151">
        <v>1.3</v>
      </c>
      <c r="I2151">
        <v>1.4</v>
      </c>
    </row>
    <row r="2152" spans="1:9" ht="24" customHeight="1">
      <c r="A2152" s="6" t="s">
        <v>3458</v>
      </c>
      <c r="B2152">
        <v>1107</v>
      </c>
      <c r="C2152">
        <v>733</v>
      </c>
      <c r="D2152">
        <v>363803</v>
      </c>
      <c r="E2152">
        <v>251044</v>
      </c>
      <c r="F2152">
        <v>5.5</v>
      </c>
      <c r="G2152">
        <v>1.4</v>
      </c>
      <c r="H2152">
        <v>12.2</v>
      </c>
      <c r="I2152">
        <v>12.1</v>
      </c>
    </row>
    <row r="2153" spans="1:9" ht="24" customHeight="1">
      <c r="A2153" s="6" t="s">
        <v>3459</v>
      </c>
      <c r="B2153">
        <v>924</v>
      </c>
      <c r="C2153">
        <v>424</v>
      </c>
      <c r="D2153">
        <v>399508</v>
      </c>
      <c r="E2153">
        <v>284503</v>
      </c>
      <c r="F2153">
        <v>4.8</v>
      </c>
      <c r="G2153">
        <v>6.3</v>
      </c>
      <c r="H2153">
        <v>16.100000000000001</v>
      </c>
      <c r="I2153">
        <v>16.8</v>
      </c>
    </row>
    <row r="2154" spans="1:9" ht="24" customHeight="1">
      <c r="A2154" s="6" t="s">
        <v>3460</v>
      </c>
      <c r="B2154">
        <v>477</v>
      </c>
      <c r="C2154">
        <v>523</v>
      </c>
      <c r="D2154">
        <v>430489</v>
      </c>
      <c r="E2154">
        <v>301611</v>
      </c>
      <c r="F2154">
        <v>2.8</v>
      </c>
      <c r="G2154">
        <v>2.1</v>
      </c>
      <c r="H2154">
        <v>22.1</v>
      </c>
      <c r="I2154">
        <v>21.4</v>
      </c>
    </row>
    <row r="2155" spans="1:9" ht="24" customHeight="1">
      <c r="A2155" s="6" t="s">
        <v>3461</v>
      </c>
      <c r="B2155">
        <v>218</v>
      </c>
      <c r="C2155">
        <v>356</v>
      </c>
      <c r="D2155">
        <v>431181</v>
      </c>
      <c r="E2155">
        <v>252386</v>
      </c>
      <c r="F2155">
        <v>2.8</v>
      </c>
      <c r="G2155">
        <v>0.9</v>
      </c>
      <c r="H2155">
        <v>27.2</v>
      </c>
      <c r="I2155">
        <v>26.7</v>
      </c>
    </row>
    <row r="2156" spans="1:9" ht="24" customHeight="1">
      <c r="A2156" s="6" t="s">
        <v>3462</v>
      </c>
      <c r="B2156">
        <v>451</v>
      </c>
      <c r="C2156">
        <v>768</v>
      </c>
      <c r="D2156">
        <v>296746</v>
      </c>
      <c r="E2156">
        <v>244574</v>
      </c>
      <c r="F2156">
        <v>6.8</v>
      </c>
      <c r="G2156">
        <v>2</v>
      </c>
      <c r="H2156">
        <v>3.7</v>
      </c>
      <c r="I2156">
        <v>3.4</v>
      </c>
    </row>
    <row r="2157" spans="1:9" ht="24" customHeight="1">
      <c r="A2157" s="6" t="s">
        <v>603</v>
      </c>
      <c r="B2157">
        <v>565</v>
      </c>
      <c r="C2157">
        <v>312</v>
      </c>
      <c r="D2157">
        <v>341480</v>
      </c>
      <c r="E2157">
        <v>222218</v>
      </c>
      <c r="F2157">
        <v>1.6</v>
      </c>
      <c r="G2157">
        <v>2.4</v>
      </c>
      <c r="H2157">
        <v>33.299999999999997</v>
      </c>
      <c r="I2157">
        <v>32.5</v>
      </c>
    </row>
    <row r="2158" spans="1:9" ht="24" customHeight="1">
      <c r="A2158" s="6" t="s">
        <v>3463</v>
      </c>
      <c r="B2158">
        <v>1509</v>
      </c>
      <c r="C2158">
        <v>901</v>
      </c>
      <c r="D2158">
        <v>313484</v>
      </c>
      <c r="E2158">
        <v>243192</v>
      </c>
      <c r="F2158">
        <v>5.2</v>
      </c>
      <c r="G2158">
        <v>3</v>
      </c>
      <c r="H2158">
        <v>7.5</v>
      </c>
      <c r="I2158">
        <v>6.7</v>
      </c>
    </row>
    <row r="2159" spans="1:9" ht="24" customHeight="1">
      <c r="A2159" s="6" t="s">
        <v>604</v>
      </c>
      <c r="B2159">
        <v>7490</v>
      </c>
      <c r="C2159">
        <v>1640</v>
      </c>
      <c r="D2159">
        <v>286388</v>
      </c>
      <c r="E2159">
        <v>242873</v>
      </c>
      <c r="F2159">
        <v>13.1</v>
      </c>
      <c r="G2159">
        <v>4.5999999999999996</v>
      </c>
      <c r="H2159">
        <v>0</v>
      </c>
      <c r="I2159">
        <v>0</v>
      </c>
    </row>
    <row r="2160" spans="1:9" ht="24" customHeight="1">
      <c r="A2160" s="6" t="s">
        <v>3464</v>
      </c>
      <c r="B2160">
        <v>14399</v>
      </c>
      <c r="C2160">
        <v>3161</v>
      </c>
      <c r="D2160">
        <v>334665</v>
      </c>
      <c r="E2160">
        <v>278357</v>
      </c>
      <c r="F2160">
        <v>14</v>
      </c>
      <c r="G2160">
        <v>9.1</v>
      </c>
      <c r="H2160">
        <v>1.5</v>
      </c>
      <c r="I2160">
        <v>1.4</v>
      </c>
    </row>
    <row r="2161" spans="1:9" ht="24" customHeight="1">
      <c r="A2161" s="6" t="s">
        <v>3465</v>
      </c>
      <c r="B2161">
        <v>20832</v>
      </c>
      <c r="C2161">
        <v>3712</v>
      </c>
      <c r="D2161">
        <v>447288</v>
      </c>
      <c r="E2161">
        <v>338898</v>
      </c>
      <c r="F2161">
        <v>15.3</v>
      </c>
      <c r="G2161">
        <v>6.7</v>
      </c>
      <c r="H2161">
        <v>12</v>
      </c>
      <c r="I2161">
        <v>11.8</v>
      </c>
    </row>
    <row r="2162" spans="1:9" ht="24" customHeight="1">
      <c r="A2162" s="6" t="s">
        <v>3466</v>
      </c>
      <c r="B2162">
        <v>18055</v>
      </c>
      <c r="C2162">
        <v>4137</v>
      </c>
      <c r="D2162">
        <v>505511</v>
      </c>
      <c r="E2162">
        <v>356947</v>
      </c>
      <c r="F2162">
        <v>16.8</v>
      </c>
      <c r="G2162">
        <v>6.2</v>
      </c>
      <c r="H2162">
        <v>16.7</v>
      </c>
      <c r="I2162">
        <v>16.5</v>
      </c>
    </row>
    <row r="2163" spans="1:9" ht="24" customHeight="1">
      <c r="A2163" s="6" t="s">
        <v>3467</v>
      </c>
      <c r="B2163">
        <v>13479</v>
      </c>
      <c r="C2163">
        <v>2367</v>
      </c>
      <c r="D2163">
        <v>533123</v>
      </c>
      <c r="E2163">
        <v>373067</v>
      </c>
      <c r="F2163">
        <v>10.7</v>
      </c>
      <c r="G2163">
        <v>4.8</v>
      </c>
      <c r="H2163">
        <v>21.8</v>
      </c>
      <c r="I2163">
        <v>21.7</v>
      </c>
    </row>
    <row r="2164" spans="1:9" ht="24" customHeight="1">
      <c r="A2164" s="6" t="s">
        <v>3468</v>
      </c>
      <c r="B2164">
        <v>11733</v>
      </c>
      <c r="C2164">
        <v>2322</v>
      </c>
      <c r="D2164">
        <v>558562</v>
      </c>
      <c r="E2164">
        <v>393600</v>
      </c>
      <c r="F2164">
        <v>12.4</v>
      </c>
      <c r="G2164">
        <v>9.3000000000000007</v>
      </c>
      <c r="H2164">
        <v>27</v>
      </c>
      <c r="I2164">
        <v>26.9</v>
      </c>
    </row>
    <row r="2165" spans="1:9" ht="24" customHeight="1">
      <c r="A2165" s="6" t="s">
        <v>3469</v>
      </c>
      <c r="B2165">
        <v>13558</v>
      </c>
      <c r="C2165">
        <v>2842</v>
      </c>
      <c r="D2165">
        <v>369027</v>
      </c>
      <c r="E2165">
        <v>323758</v>
      </c>
      <c r="F2165">
        <v>16.8</v>
      </c>
      <c r="G2165">
        <v>12.4</v>
      </c>
      <c r="H2165">
        <v>3.5</v>
      </c>
      <c r="I2165">
        <v>3.6</v>
      </c>
    </row>
    <row r="2166" spans="1:9" ht="24" customHeight="1">
      <c r="A2166" s="6" t="s">
        <v>605</v>
      </c>
      <c r="B2166">
        <v>22748</v>
      </c>
      <c r="C2166">
        <v>3271</v>
      </c>
      <c r="D2166">
        <v>579101</v>
      </c>
      <c r="E2166">
        <v>412843</v>
      </c>
      <c r="F2166">
        <v>8.6999999999999993</v>
      </c>
      <c r="G2166">
        <v>7.5</v>
      </c>
      <c r="H2166">
        <v>35.1</v>
      </c>
      <c r="I2166">
        <v>34.6</v>
      </c>
    </row>
    <row r="2167" spans="1:9" ht="24" customHeight="1">
      <c r="A2167" s="6" t="s">
        <v>3470</v>
      </c>
      <c r="B2167">
        <v>23864</v>
      </c>
      <c r="C2167">
        <v>5320</v>
      </c>
      <c r="D2167">
        <v>402545</v>
      </c>
      <c r="E2167">
        <v>304994</v>
      </c>
      <c r="F2167">
        <v>15.6</v>
      </c>
      <c r="G2167">
        <v>4.9000000000000004</v>
      </c>
      <c r="H2167">
        <v>6.9</v>
      </c>
      <c r="I2167">
        <v>6.4</v>
      </c>
    </row>
    <row r="2168" spans="1:9" ht="24" customHeight="1">
      <c r="A2168" s="6" t="s">
        <v>606</v>
      </c>
      <c r="B2168">
        <v>7152</v>
      </c>
      <c r="C2168">
        <v>1355</v>
      </c>
      <c r="D2168">
        <v>260338</v>
      </c>
      <c r="E2168">
        <v>216732</v>
      </c>
      <c r="F2168">
        <v>13.1</v>
      </c>
      <c r="G2168">
        <v>3.9</v>
      </c>
      <c r="H2168">
        <v>0</v>
      </c>
      <c r="I2168">
        <v>0</v>
      </c>
    </row>
    <row r="2169" spans="1:9" ht="24" customHeight="1">
      <c r="A2169" s="6" t="s">
        <v>3471</v>
      </c>
      <c r="B2169">
        <v>12495</v>
      </c>
      <c r="C2169">
        <v>1779</v>
      </c>
      <c r="D2169">
        <v>350703</v>
      </c>
      <c r="E2169">
        <v>293911</v>
      </c>
      <c r="F2169">
        <v>22.1</v>
      </c>
      <c r="G2169">
        <v>14.9</v>
      </c>
      <c r="H2169">
        <v>1.5</v>
      </c>
      <c r="I2169">
        <v>1.4</v>
      </c>
    </row>
    <row r="2170" spans="1:9" ht="24" customHeight="1">
      <c r="A2170" s="6" t="s">
        <v>3472</v>
      </c>
      <c r="B2170">
        <v>22480</v>
      </c>
      <c r="C2170">
        <v>2578</v>
      </c>
      <c r="D2170">
        <v>525084</v>
      </c>
      <c r="E2170">
        <v>383262</v>
      </c>
      <c r="F2170">
        <v>25.4</v>
      </c>
      <c r="G2170">
        <v>11.2</v>
      </c>
      <c r="H2170">
        <v>12.2</v>
      </c>
      <c r="I2170">
        <v>12.1</v>
      </c>
    </row>
    <row r="2171" spans="1:9" ht="24" customHeight="1">
      <c r="A2171" s="6" t="s">
        <v>3473</v>
      </c>
      <c r="B2171">
        <v>26691</v>
      </c>
      <c r="C2171">
        <v>2027</v>
      </c>
      <c r="D2171">
        <v>580077</v>
      </c>
      <c r="E2171">
        <v>419503</v>
      </c>
      <c r="F2171">
        <v>22.2</v>
      </c>
      <c r="G2171">
        <v>11.9</v>
      </c>
      <c r="H2171">
        <v>16.7</v>
      </c>
      <c r="I2171">
        <v>17.2</v>
      </c>
    </row>
    <row r="2172" spans="1:9" ht="24" customHeight="1">
      <c r="A2172" s="6" t="s">
        <v>3474</v>
      </c>
      <c r="B2172">
        <v>13384</v>
      </c>
      <c r="C2172">
        <v>859</v>
      </c>
      <c r="D2172">
        <v>606512</v>
      </c>
      <c r="E2172">
        <v>443478</v>
      </c>
      <c r="F2172">
        <v>17.3</v>
      </c>
      <c r="G2172">
        <v>10</v>
      </c>
      <c r="H2172">
        <v>22</v>
      </c>
      <c r="I2172">
        <v>21.9</v>
      </c>
    </row>
    <row r="2173" spans="1:9" ht="24" customHeight="1">
      <c r="A2173" s="6" t="s">
        <v>3475</v>
      </c>
      <c r="B2173">
        <v>12584</v>
      </c>
      <c r="C2173">
        <v>897</v>
      </c>
      <c r="D2173">
        <v>656808</v>
      </c>
      <c r="E2173">
        <v>464423</v>
      </c>
      <c r="F2173">
        <v>17.899999999999999</v>
      </c>
      <c r="G2173">
        <v>10.7</v>
      </c>
      <c r="H2173">
        <v>26.9</v>
      </c>
      <c r="I2173">
        <v>26.7</v>
      </c>
    </row>
    <row r="2174" spans="1:9" ht="24" customHeight="1">
      <c r="A2174" s="6" t="s">
        <v>3476</v>
      </c>
      <c r="B2174">
        <v>14489</v>
      </c>
      <c r="C2174">
        <v>2549</v>
      </c>
      <c r="D2174">
        <v>441374</v>
      </c>
      <c r="E2174">
        <v>342776</v>
      </c>
      <c r="F2174">
        <v>24.8</v>
      </c>
      <c r="G2174">
        <v>12.6</v>
      </c>
      <c r="H2174">
        <v>3.5</v>
      </c>
      <c r="I2174">
        <v>3.5</v>
      </c>
    </row>
    <row r="2175" spans="1:9" ht="24" customHeight="1">
      <c r="A2175" s="6" t="s">
        <v>607</v>
      </c>
      <c r="B2175">
        <v>25390</v>
      </c>
      <c r="C2175">
        <v>2783</v>
      </c>
      <c r="D2175">
        <v>741975</v>
      </c>
      <c r="E2175">
        <v>534668</v>
      </c>
      <c r="F2175">
        <v>16.600000000000001</v>
      </c>
      <c r="G2175">
        <v>9.1999999999999993</v>
      </c>
      <c r="H2175">
        <v>34.6</v>
      </c>
      <c r="I2175">
        <v>35</v>
      </c>
    </row>
    <row r="2176" spans="1:9" ht="24" customHeight="1">
      <c r="A2176" s="6" t="s">
        <v>3477</v>
      </c>
      <c r="B2176">
        <v>30401</v>
      </c>
      <c r="C2176">
        <v>3771</v>
      </c>
      <c r="D2176">
        <v>440339</v>
      </c>
      <c r="E2176">
        <v>363107</v>
      </c>
      <c r="F2176">
        <v>24.8</v>
      </c>
      <c r="G2176">
        <v>11.9</v>
      </c>
      <c r="H2176">
        <v>6.6</v>
      </c>
      <c r="I2176">
        <v>6.5</v>
      </c>
    </row>
    <row r="2177" spans="1:9" ht="24" customHeight="1">
      <c r="A2177" s="6" t="s">
        <v>608</v>
      </c>
      <c r="B2177">
        <v>3281</v>
      </c>
      <c r="C2177">
        <v>967</v>
      </c>
      <c r="D2177">
        <v>268013</v>
      </c>
      <c r="E2177">
        <v>225006</v>
      </c>
      <c r="F2177">
        <v>6.8</v>
      </c>
      <c r="G2177">
        <v>2.8</v>
      </c>
      <c r="H2177">
        <v>0</v>
      </c>
      <c r="I2177">
        <v>0</v>
      </c>
    </row>
    <row r="2178" spans="1:9" ht="24" customHeight="1">
      <c r="A2178" s="6" t="s">
        <v>3478</v>
      </c>
      <c r="B2178">
        <v>7292</v>
      </c>
      <c r="C2178">
        <v>1634</v>
      </c>
      <c r="D2178">
        <v>378256</v>
      </c>
      <c r="E2178">
        <v>287447</v>
      </c>
      <c r="F2178">
        <v>15.2</v>
      </c>
      <c r="G2178">
        <v>11</v>
      </c>
      <c r="H2178">
        <v>1.5</v>
      </c>
      <c r="I2178">
        <v>1.4</v>
      </c>
    </row>
    <row r="2179" spans="1:9" ht="24" customHeight="1">
      <c r="A2179" s="6" t="s">
        <v>3479</v>
      </c>
      <c r="B2179">
        <v>9934</v>
      </c>
      <c r="C2179">
        <v>1819</v>
      </c>
      <c r="D2179">
        <v>493566</v>
      </c>
      <c r="E2179">
        <v>357364</v>
      </c>
      <c r="F2179">
        <v>17.3</v>
      </c>
      <c r="G2179">
        <v>8.5</v>
      </c>
      <c r="H2179">
        <v>12</v>
      </c>
      <c r="I2179">
        <v>12.1</v>
      </c>
    </row>
    <row r="2180" spans="1:9" ht="24" customHeight="1">
      <c r="A2180" s="6" t="s">
        <v>3480</v>
      </c>
      <c r="B2180">
        <v>13498</v>
      </c>
      <c r="C2180">
        <v>2145</v>
      </c>
      <c r="D2180">
        <v>540442</v>
      </c>
      <c r="E2180">
        <v>348930</v>
      </c>
      <c r="F2180">
        <v>16.7</v>
      </c>
      <c r="G2180">
        <v>6.4</v>
      </c>
      <c r="H2180">
        <v>16.7</v>
      </c>
      <c r="I2180">
        <v>16.7</v>
      </c>
    </row>
    <row r="2181" spans="1:9" ht="24" customHeight="1">
      <c r="A2181" s="6" t="s">
        <v>3481</v>
      </c>
      <c r="B2181">
        <v>7288</v>
      </c>
      <c r="C2181">
        <v>1068</v>
      </c>
      <c r="D2181">
        <v>569025</v>
      </c>
      <c r="E2181">
        <v>411374</v>
      </c>
      <c r="F2181">
        <v>12.6</v>
      </c>
      <c r="G2181">
        <v>3.8</v>
      </c>
      <c r="H2181">
        <v>22</v>
      </c>
      <c r="I2181">
        <v>22.4</v>
      </c>
    </row>
    <row r="2182" spans="1:9" ht="24" customHeight="1">
      <c r="A2182" s="6" t="s">
        <v>3482</v>
      </c>
      <c r="B2182">
        <v>8482</v>
      </c>
      <c r="C2182">
        <v>875</v>
      </c>
      <c r="D2182">
        <v>614450</v>
      </c>
      <c r="E2182">
        <v>441393</v>
      </c>
      <c r="F2182">
        <v>13.6</v>
      </c>
      <c r="G2182">
        <v>8</v>
      </c>
      <c r="H2182">
        <v>26.8</v>
      </c>
      <c r="I2182">
        <v>26.7</v>
      </c>
    </row>
    <row r="2183" spans="1:9" ht="24" customHeight="1">
      <c r="A2183" s="6" t="s">
        <v>3483</v>
      </c>
      <c r="B2183">
        <v>6147</v>
      </c>
      <c r="C2183">
        <v>2018</v>
      </c>
      <c r="D2183">
        <v>419091</v>
      </c>
      <c r="E2183">
        <v>335553</v>
      </c>
      <c r="F2183">
        <v>18.3</v>
      </c>
      <c r="G2183">
        <v>10.7</v>
      </c>
      <c r="H2183">
        <v>3.5</v>
      </c>
      <c r="I2183">
        <v>3.5</v>
      </c>
    </row>
    <row r="2184" spans="1:9" ht="24" customHeight="1">
      <c r="A2184" s="6" t="s">
        <v>609</v>
      </c>
      <c r="B2184">
        <v>16020</v>
      </c>
      <c r="C2184">
        <v>1844</v>
      </c>
      <c r="D2184">
        <v>672731</v>
      </c>
      <c r="E2184">
        <v>469386</v>
      </c>
      <c r="F2184">
        <v>12.4</v>
      </c>
      <c r="G2184">
        <v>5.2</v>
      </c>
      <c r="H2184">
        <v>34.5</v>
      </c>
      <c r="I2184">
        <v>34.4</v>
      </c>
    </row>
    <row r="2185" spans="1:9" ht="24" customHeight="1">
      <c r="A2185" s="6" t="s">
        <v>3484</v>
      </c>
      <c r="B2185">
        <v>13012</v>
      </c>
      <c r="C2185">
        <v>3145</v>
      </c>
      <c r="D2185">
        <v>427746</v>
      </c>
      <c r="E2185">
        <v>341962</v>
      </c>
      <c r="F2185">
        <v>16.8</v>
      </c>
      <c r="G2185">
        <v>8.8000000000000007</v>
      </c>
      <c r="H2185">
        <v>6.7</v>
      </c>
      <c r="I2185">
        <v>6.6</v>
      </c>
    </row>
    <row r="2186" spans="1:9" ht="24" customHeight="1">
      <c r="A2186" s="6" t="s">
        <v>610</v>
      </c>
      <c r="B2186">
        <v>15780</v>
      </c>
      <c r="C2186">
        <v>5485</v>
      </c>
      <c r="D2186">
        <v>273763</v>
      </c>
      <c r="E2186">
        <v>203580</v>
      </c>
      <c r="F2186">
        <v>7.4</v>
      </c>
      <c r="G2186">
        <v>1.9</v>
      </c>
      <c r="H2186">
        <v>0</v>
      </c>
      <c r="I2186">
        <v>0</v>
      </c>
    </row>
    <row r="2187" spans="1:9" ht="24" customHeight="1">
      <c r="A2187" s="6" t="s">
        <v>3485</v>
      </c>
      <c r="B2187">
        <v>28435</v>
      </c>
      <c r="C2187">
        <v>9664</v>
      </c>
      <c r="D2187">
        <v>354396</v>
      </c>
      <c r="E2187">
        <v>272914</v>
      </c>
      <c r="F2187">
        <v>15.5</v>
      </c>
      <c r="G2187">
        <v>7.8</v>
      </c>
      <c r="H2187">
        <v>1.5</v>
      </c>
      <c r="I2187">
        <v>1.5</v>
      </c>
    </row>
    <row r="2188" spans="1:9" ht="24" customHeight="1">
      <c r="A2188" s="6" t="s">
        <v>3486</v>
      </c>
      <c r="B2188">
        <v>42167</v>
      </c>
      <c r="C2188">
        <v>8570</v>
      </c>
      <c r="D2188">
        <v>437015</v>
      </c>
      <c r="E2188">
        <v>347734</v>
      </c>
      <c r="F2188">
        <v>15</v>
      </c>
      <c r="G2188">
        <v>6.9</v>
      </c>
      <c r="H2188">
        <v>12</v>
      </c>
      <c r="I2188">
        <v>11.6</v>
      </c>
    </row>
    <row r="2189" spans="1:9" ht="24" customHeight="1">
      <c r="A2189" s="6" t="s">
        <v>3487</v>
      </c>
      <c r="B2189">
        <v>39101</v>
      </c>
      <c r="C2189">
        <v>9427</v>
      </c>
      <c r="D2189">
        <v>464716</v>
      </c>
      <c r="E2189">
        <v>347493</v>
      </c>
      <c r="F2189">
        <v>15.1</v>
      </c>
      <c r="G2189">
        <v>5.0999999999999996</v>
      </c>
      <c r="H2189">
        <v>16.8</v>
      </c>
      <c r="I2189">
        <v>16.899999999999999</v>
      </c>
    </row>
    <row r="2190" spans="1:9" ht="24" customHeight="1">
      <c r="A2190" s="6" t="s">
        <v>3488</v>
      </c>
      <c r="B2190">
        <v>28653</v>
      </c>
      <c r="C2190">
        <v>4847</v>
      </c>
      <c r="D2190">
        <v>492350</v>
      </c>
      <c r="E2190">
        <v>376521</v>
      </c>
      <c r="F2190">
        <v>13.5</v>
      </c>
      <c r="G2190">
        <v>4.9000000000000004</v>
      </c>
      <c r="H2190">
        <v>21.7</v>
      </c>
      <c r="I2190">
        <v>21.9</v>
      </c>
    </row>
    <row r="2191" spans="1:9" ht="24" customHeight="1">
      <c r="A2191" s="6" t="s">
        <v>3489</v>
      </c>
      <c r="B2191">
        <v>23123</v>
      </c>
      <c r="C2191">
        <v>4273</v>
      </c>
      <c r="D2191">
        <v>540605</v>
      </c>
      <c r="E2191">
        <v>366790</v>
      </c>
      <c r="F2191">
        <v>10.6</v>
      </c>
      <c r="G2191">
        <v>6.3</v>
      </c>
      <c r="H2191">
        <v>27</v>
      </c>
      <c r="I2191">
        <v>26.7</v>
      </c>
    </row>
    <row r="2192" spans="1:9" ht="24" customHeight="1">
      <c r="A2192" s="6" t="s">
        <v>3490</v>
      </c>
      <c r="B2192">
        <v>29299</v>
      </c>
      <c r="C2192">
        <v>10625</v>
      </c>
      <c r="D2192">
        <v>375950</v>
      </c>
      <c r="E2192">
        <v>289797</v>
      </c>
      <c r="F2192">
        <v>13.4</v>
      </c>
      <c r="G2192">
        <v>7.9</v>
      </c>
      <c r="H2192">
        <v>3.5</v>
      </c>
      <c r="I2192">
        <v>3.6</v>
      </c>
    </row>
    <row r="2193" spans="1:9" ht="24" customHeight="1">
      <c r="A2193" s="6" t="s">
        <v>611</v>
      </c>
      <c r="B2193">
        <v>40467</v>
      </c>
      <c r="C2193">
        <v>5560</v>
      </c>
      <c r="D2193">
        <v>546331</v>
      </c>
      <c r="E2193">
        <v>367819</v>
      </c>
      <c r="F2193">
        <v>10.4</v>
      </c>
      <c r="G2193">
        <v>6.2</v>
      </c>
      <c r="H2193">
        <v>35.200000000000003</v>
      </c>
      <c r="I2193">
        <v>32.9</v>
      </c>
    </row>
    <row r="2194" spans="1:9" ht="24" customHeight="1">
      <c r="A2194" s="6" t="s">
        <v>3491</v>
      </c>
      <c r="B2194">
        <v>67667</v>
      </c>
      <c r="C2194">
        <v>17579</v>
      </c>
      <c r="D2194">
        <v>399979</v>
      </c>
      <c r="E2194">
        <v>313608</v>
      </c>
      <c r="F2194">
        <v>15.3</v>
      </c>
      <c r="G2194">
        <v>8.3000000000000007</v>
      </c>
      <c r="H2194">
        <v>6.8</v>
      </c>
      <c r="I2194">
        <v>6.6</v>
      </c>
    </row>
    <row r="2195" spans="1:9" ht="24" customHeight="1">
      <c r="A2195" s="6" t="s">
        <v>612</v>
      </c>
      <c r="B2195">
        <v>10163</v>
      </c>
      <c r="C2195">
        <v>2330</v>
      </c>
      <c r="D2195">
        <v>285757</v>
      </c>
      <c r="E2195">
        <v>212770</v>
      </c>
      <c r="F2195">
        <v>11.4</v>
      </c>
      <c r="G2195">
        <v>9.3000000000000007</v>
      </c>
      <c r="H2195">
        <v>0</v>
      </c>
      <c r="I2195">
        <v>0</v>
      </c>
    </row>
    <row r="2196" spans="1:9" ht="24" customHeight="1">
      <c r="A2196" s="6" t="s">
        <v>3492</v>
      </c>
      <c r="B2196">
        <v>15792</v>
      </c>
      <c r="C2196">
        <v>4378</v>
      </c>
      <c r="D2196">
        <v>359494</v>
      </c>
      <c r="E2196">
        <v>270209</v>
      </c>
      <c r="F2196">
        <v>17.8</v>
      </c>
      <c r="G2196">
        <v>9.9</v>
      </c>
      <c r="H2196">
        <v>1.4</v>
      </c>
      <c r="I2196">
        <v>1.4</v>
      </c>
    </row>
    <row r="2197" spans="1:9" ht="24" customHeight="1">
      <c r="A2197" s="6" t="s">
        <v>3493</v>
      </c>
      <c r="B2197">
        <v>29627</v>
      </c>
      <c r="C2197">
        <v>6420</v>
      </c>
      <c r="D2197">
        <v>510906</v>
      </c>
      <c r="E2197">
        <v>365902</v>
      </c>
      <c r="F2197">
        <v>17</v>
      </c>
      <c r="G2197">
        <v>8</v>
      </c>
      <c r="H2197">
        <v>12</v>
      </c>
      <c r="I2197">
        <v>11.8</v>
      </c>
    </row>
    <row r="2198" spans="1:9" ht="24" customHeight="1">
      <c r="A2198" s="6" t="s">
        <v>3494</v>
      </c>
      <c r="B2198">
        <v>32096</v>
      </c>
      <c r="C2198">
        <v>5747</v>
      </c>
      <c r="D2198">
        <v>559858</v>
      </c>
      <c r="E2198">
        <v>393472</v>
      </c>
      <c r="F2198">
        <v>15.7</v>
      </c>
      <c r="G2198">
        <v>6.2</v>
      </c>
      <c r="H2198">
        <v>16.5</v>
      </c>
      <c r="I2198">
        <v>16.899999999999999</v>
      </c>
    </row>
    <row r="2199" spans="1:9" ht="24" customHeight="1">
      <c r="A2199" s="6" t="s">
        <v>3495</v>
      </c>
      <c r="B2199">
        <v>17022</v>
      </c>
      <c r="C2199">
        <v>3607</v>
      </c>
      <c r="D2199">
        <v>621739</v>
      </c>
      <c r="E2199">
        <v>458819</v>
      </c>
      <c r="F2199">
        <v>13.3</v>
      </c>
      <c r="G2199">
        <v>9.3000000000000007</v>
      </c>
      <c r="H2199">
        <v>21.9</v>
      </c>
      <c r="I2199">
        <v>22.1</v>
      </c>
    </row>
    <row r="2200" spans="1:9" ht="24" customHeight="1">
      <c r="A2200" s="6" t="s">
        <v>3496</v>
      </c>
      <c r="B2200">
        <v>17838</v>
      </c>
      <c r="C2200">
        <v>3537</v>
      </c>
      <c r="D2200">
        <v>671568</v>
      </c>
      <c r="E2200">
        <v>456894</v>
      </c>
      <c r="F2200">
        <v>11.8</v>
      </c>
      <c r="G2200">
        <v>7</v>
      </c>
      <c r="H2200">
        <v>27.1</v>
      </c>
      <c r="I2200">
        <v>26.9</v>
      </c>
    </row>
    <row r="2201" spans="1:9" ht="24" customHeight="1">
      <c r="A2201" s="6" t="s">
        <v>3497</v>
      </c>
      <c r="B2201">
        <v>20206</v>
      </c>
      <c r="C2201">
        <v>3946</v>
      </c>
      <c r="D2201">
        <v>428448</v>
      </c>
      <c r="E2201">
        <v>331942</v>
      </c>
      <c r="F2201">
        <v>18.399999999999999</v>
      </c>
      <c r="G2201">
        <v>13.1</v>
      </c>
      <c r="H2201">
        <v>3.6</v>
      </c>
      <c r="I2201">
        <v>3.5</v>
      </c>
    </row>
    <row r="2202" spans="1:9" ht="24" customHeight="1">
      <c r="A2202" s="6" t="s">
        <v>613</v>
      </c>
      <c r="B2202">
        <v>35330</v>
      </c>
      <c r="C2202">
        <v>3793</v>
      </c>
      <c r="D2202">
        <v>687280</v>
      </c>
      <c r="E2202">
        <v>527837</v>
      </c>
      <c r="F2202">
        <v>10.1</v>
      </c>
      <c r="G2202">
        <v>8.3000000000000007</v>
      </c>
      <c r="H2202">
        <v>34.200000000000003</v>
      </c>
      <c r="I2202">
        <v>33.9</v>
      </c>
    </row>
    <row r="2203" spans="1:9" ht="24" customHeight="1">
      <c r="A2203" s="6" t="s">
        <v>3498</v>
      </c>
      <c r="B2203">
        <v>33486</v>
      </c>
      <c r="C2203">
        <v>9660</v>
      </c>
      <c r="D2203">
        <v>445732</v>
      </c>
      <c r="E2203">
        <v>347501</v>
      </c>
      <c r="F2203">
        <v>19</v>
      </c>
      <c r="G2203">
        <v>12.1</v>
      </c>
      <c r="H2203">
        <v>6.8</v>
      </c>
      <c r="I2203">
        <v>6.7</v>
      </c>
    </row>
    <row r="2204" spans="1:9" ht="24" customHeight="1">
      <c r="A2204" s="6" t="s">
        <v>614</v>
      </c>
      <c r="B2204">
        <v>21579</v>
      </c>
      <c r="C2204">
        <v>6201</v>
      </c>
      <c r="D2204">
        <v>279796</v>
      </c>
      <c r="E2204">
        <v>246717</v>
      </c>
      <c r="F2204">
        <v>10.3</v>
      </c>
      <c r="G2204">
        <v>7.5</v>
      </c>
      <c r="H2204">
        <v>0</v>
      </c>
      <c r="I2204">
        <v>0</v>
      </c>
    </row>
    <row r="2205" spans="1:9" ht="24" customHeight="1">
      <c r="A2205" s="6" t="s">
        <v>3499</v>
      </c>
      <c r="B2205">
        <v>30797</v>
      </c>
      <c r="C2205">
        <v>8148</v>
      </c>
      <c r="D2205">
        <v>364284</v>
      </c>
      <c r="E2205">
        <v>294364</v>
      </c>
      <c r="F2205">
        <v>17.899999999999999</v>
      </c>
      <c r="G2205">
        <v>8.1999999999999993</v>
      </c>
      <c r="H2205">
        <v>1.4</v>
      </c>
      <c r="I2205">
        <v>1.4</v>
      </c>
    </row>
    <row r="2206" spans="1:9" ht="24" customHeight="1">
      <c r="A2206" s="6" t="s">
        <v>3500</v>
      </c>
      <c r="B2206">
        <v>43143</v>
      </c>
      <c r="C2206">
        <v>8493</v>
      </c>
      <c r="D2206">
        <v>505974</v>
      </c>
      <c r="E2206">
        <v>401219</v>
      </c>
      <c r="F2206">
        <v>16.899999999999999</v>
      </c>
      <c r="G2206">
        <v>9.6999999999999993</v>
      </c>
      <c r="H2206">
        <v>11.9</v>
      </c>
      <c r="I2206">
        <v>11.7</v>
      </c>
    </row>
    <row r="2207" spans="1:9" ht="24" customHeight="1">
      <c r="A2207" s="6" t="s">
        <v>3501</v>
      </c>
      <c r="B2207">
        <v>56313</v>
      </c>
      <c r="C2207">
        <v>8261</v>
      </c>
      <c r="D2207">
        <v>555983</v>
      </c>
      <c r="E2207">
        <v>399649</v>
      </c>
      <c r="F2207">
        <v>17.399999999999999</v>
      </c>
      <c r="G2207">
        <v>9.5</v>
      </c>
      <c r="H2207">
        <v>16.8</v>
      </c>
      <c r="I2207">
        <v>16.899999999999999</v>
      </c>
    </row>
    <row r="2208" spans="1:9" ht="24" customHeight="1">
      <c r="A2208" s="6" t="s">
        <v>3502</v>
      </c>
      <c r="B2208">
        <v>39282</v>
      </c>
      <c r="C2208">
        <v>4596</v>
      </c>
      <c r="D2208">
        <v>585538</v>
      </c>
      <c r="E2208">
        <v>476528</v>
      </c>
      <c r="F2208">
        <v>15.8</v>
      </c>
      <c r="G2208">
        <v>7</v>
      </c>
      <c r="H2208">
        <v>21.8</v>
      </c>
      <c r="I2208">
        <v>21.9</v>
      </c>
    </row>
    <row r="2209" spans="1:9" ht="24" customHeight="1">
      <c r="A2209" s="6" t="s">
        <v>3503</v>
      </c>
      <c r="B2209">
        <v>34131</v>
      </c>
      <c r="C2209">
        <v>3492</v>
      </c>
      <c r="D2209">
        <v>620726</v>
      </c>
      <c r="E2209">
        <v>470933</v>
      </c>
      <c r="F2209">
        <v>15.5</v>
      </c>
      <c r="G2209">
        <v>9.1999999999999993</v>
      </c>
      <c r="H2209">
        <v>26.8</v>
      </c>
      <c r="I2209">
        <v>26.4</v>
      </c>
    </row>
    <row r="2210" spans="1:9" ht="24" customHeight="1">
      <c r="A2210" s="6" t="s">
        <v>3504</v>
      </c>
      <c r="B2210">
        <v>27905</v>
      </c>
      <c r="C2210">
        <v>8415</v>
      </c>
      <c r="D2210">
        <v>415399</v>
      </c>
      <c r="E2210">
        <v>322441</v>
      </c>
      <c r="F2210">
        <v>17.2</v>
      </c>
      <c r="G2210">
        <v>9.1</v>
      </c>
      <c r="H2210">
        <v>3.5</v>
      </c>
      <c r="I2210">
        <v>3.6</v>
      </c>
    </row>
    <row r="2211" spans="1:9" ht="24" customHeight="1">
      <c r="A2211" s="6" t="s">
        <v>615</v>
      </c>
      <c r="B2211">
        <v>54597</v>
      </c>
      <c r="C2211">
        <v>7075</v>
      </c>
      <c r="D2211">
        <v>634444</v>
      </c>
      <c r="E2211">
        <v>462227</v>
      </c>
      <c r="F2211">
        <v>9.9</v>
      </c>
      <c r="G2211">
        <v>7.8</v>
      </c>
      <c r="H2211">
        <v>35.200000000000003</v>
      </c>
      <c r="I2211">
        <v>34.1</v>
      </c>
    </row>
    <row r="2212" spans="1:9" ht="24" customHeight="1">
      <c r="A2212" s="6" t="s">
        <v>3505</v>
      </c>
      <c r="B2212">
        <v>66596</v>
      </c>
      <c r="C2212">
        <v>16085</v>
      </c>
      <c r="D2212">
        <v>446722</v>
      </c>
      <c r="E2212">
        <v>349941</v>
      </c>
      <c r="F2212">
        <v>18.100000000000001</v>
      </c>
      <c r="G2212">
        <v>9.1</v>
      </c>
      <c r="H2212">
        <v>6.9</v>
      </c>
      <c r="I2212">
        <v>6.6</v>
      </c>
    </row>
    <row r="2213" spans="1:9" ht="24" customHeight="1">
      <c r="A2213" s="6" t="s">
        <v>616</v>
      </c>
      <c r="B2213">
        <v>4812</v>
      </c>
      <c r="C2213">
        <v>2517</v>
      </c>
      <c r="D2213">
        <v>281389</v>
      </c>
      <c r="E2213">
        <v>229637</v>
      </c>
      <c r="F2213">
        <v>7.2</v>
      </c>
      <c r="G2213">
        <v>3.2</v>
      </c>
      <c r="H2213">
        <v>0</v>
      </c>
      <c r="I2213">
        <v>0</v>
      </c>
    </row>
    <row r="2214" spans="1:9" ht="24" customHeight="1">
      <c r="A2214" s="6" t="s">
        <v>3506</v>
      </c>
      <c r="B2214">
        <v>10064</v>
      </c>
      <c r="C2214">
        <v>4186</v>
      </c>
      <c r="D2214">
        <v>357694</v>
      </c>
      <c r="E2214">
        <v>308320</v>
      </c>
      <c r="F2214">
        <v>15.9</v>
      </c>
      <c r="G2214">
        <v>12.2</v>
      </c>
      <c r="H2214">
        <v>1.4</v>
      </c>
      <c r="I2214">
        <v>1.5</v>
      </c>
    </row>
    <row r="2215" spans="1:9" ht="24" customHeight="1">
      <c r="A2215" s="6" t="s">
        <v>3507</v>
      </c>
      <c r="B2215">
        <v>18160</v>
      </c>
      <c r="C2215">
        <v>6148</v>
      </c>
      <c r="D2215">
        <v>507992</v>
      </c>
      <c r="E2215">
        <v>385596</v>
      </c>
      <c r="F2215">
        <v>13.7</v>
      </c>
      <c r="G2215">
        <v>7.7</v>
      </c>
      <c r="H2215">
        <v>12.1</v>
      </c>
      <c r="I2215">
        <v>12.1</v>
      </c>
    </row>
    <row r="2216" spans="1:9" ht="24" customHeight="1">
      <c r="A2216" s="6" t="s">
        <v>3508</v>
      </c>
      <c r="B2216">
        <v>19275</v>
      </c>
      <c r="C2216">
        <v>5273</v>
      </c>
      <c r="D2216">
        <v>564680</v>
      </c>
      <c r="E2216">
        <v>387051</v>
      </c>
      <c r="F2216">
        <v>13.8</v>
      </c>
      <c r="G2216">
        <v>7.1</v>
      </c>
      <c r="H2216">
        <v>16.8</v>
      </c>
      <c r="I2216">
        <v>16.5</v>
      </c>
    </row>
    <row r="2217" spans="1:9" ht="24" customHeight="1">
      <c r="A2217" s="6" t="s">
        <v>3509</v>
      </c>
      <c r="B2217">
        <v>10981</v>
      </c>
      <c r="C2217">
        <v>2469</v>
      </c>
      <c r="D2217">
        <v>667173</v>
      </c>
      <c r="E2217">
        <v>432092</v>
      </c>
      <c r="F2217">
        <v>11.6</v>
      </c>
      <c r="G2217">
        <v>8.9</v>
      </c>
      <c r="H2217">
        <v>22</v>
      </c>
      <c r="I2217">
        <v>21.8</v>
      </c>
    </row>
    <row r="2218" spans="1:9" ht="24" customHeight="1">
      <c r="A2218" s="6" t="s">
        <v>3510</v>
      </c>
      <c r="B2218">
        <v>10252</v>
      </c>
      <c r="C2218">
        <v>2358</v>
      </c>
      <c r="D2218">
        <v>654212</v>
      </c>
      <c r="E2218">
        <v>477809</v>
      </c>
      <c r="F2218">
        <v>9.6</v>
      </c>
      <c r="G2218">
        <v>7.4</v>
      </c>
      <c r="H2218">
        <v>26.9</v>
      </c>
      <c r="I2218">
        <v>26.8</v>
      </c>
    </row>
    <row r="2219" spans="1:9" ht="24" customHeight="1">
      <c r="A2219" s="6" t="s">
        <v>3511</v>
      </c>
      <c r="B2219">
        <v>9916</v>
      </c>
      <c r="C2219">
        <v>4312</v>
      </c>
      <c r="D2219">
        <v>410821</v>
      </c>
      <c r="E2219">
        <v>352270</v>
      </c>
      <c r="F2219">
        <v>19.100000000000001</v>
      </c>
      <c r="G2219">
        <v>11.2</v>
      </c>
      <c r="H2219">
        <v>3.5</v>
      </c>
      <c r="I2219">
        <v>3.5</v>
      </c>
    </row>
    <row r="2220" spans="1:9" ht="24" customHeight="1">
      <c r="A2220" s="6" t="s">
        <v>617</v>
      </c>
      <c r="B2220">
        <v>22108</v>
      </c>
      <c r="C2220">
        <v>5498</v>
      </c>
      <c r="D2220">
        <v>687894</v>
      </c>
      <c r="E2220">
        <v>473457</v>
      </c>
      <c r="F2220">
        <v>7.9</v>
      </c>
      <c r="G2220">
        <v>7.3</v>
      </c>
      <c r="H2220">
        <v>34</v>
      </c>
      <c r="I2220">
        <v>34.6</v>
      </c>
    </row>
    <row r="2221" spans="1:9" ht="24" customHeight="1">
      <c r="A2221" s="6" t="s">
        <v>3512</v>
      </c>
      <c r="B2221">
        <v>20575</v>
      </c>
      <c r="C2221">
        <v>7151</v>
      </c>
      <c r="D2221">
        <v>457728</v>
      </c>
      <c r="E2221">
        <v>349840</v>
      </c>
      <c r="F2221">
        <v>17.7</v>
      </c>
      <c r="G2221">
        <v>10.9</v>
      </c>
      <c r="H2221">
        <v>6.8</v>
      </c>
      <c r="I2221">
        <v>6.6</v>
      </c>
    </row>
    <row r="2222" spans="1:9" ht="24" customHeight="1">
      <c r="A2222" s="6" t="s">
        <v>618</v>
      </c>
      <c r="B2222">
        <v>9463</v>
      </c>
      <c r="C2222">
        <v>3702</v>
      </c>
      <c r="D2222">
        <v>285003</v>
      </c>
      <c r="E2222">
        <v>239864</v>
      </c>
      <c r="F2222">
        <v>10</v>
      </c>
      <c r="G2222">
        <v>4.9000000000000004</v>
      </c>
      <c r="H2222">
        <v>0</v>
      </c>
      <c r="I2222">
        <v>0</v>
      </c>
    </row>
    <row r="2223" spans="1:9" ht="24" customHeight="1">
      <c r="A2223" s="6" t="s">
        <v>3513</v>
      </c>
      <c r="B2223">
        <v>21439</v>
      </c>
      <c r="C2223">
        <v>6169</v>
      </c>
      <c r="D2223">
        <v>385052</v>
      </c>
      <c r="E2223">
        <v>322847</v>
      </c>
      <c r="F2223">
        <v>15</v>
      </c>
      <c r="G2223">
        <v>12.4</v>
      </c>
      <c r="H2223">
        <v>1.4</v>
      </c>
      <c r="I2223">
        <v>1.5</v>
      </c>
    </row>
    <row r="2224" spans="1:9" ht="24" customHeight="1">
      <c r="A2224" s="6" t="s">
        <v>3514</v>
      </c>
      <c r="B2224">
        <v>22138</v>
      </c>
      <c r="C2224">
        <v>9200</v>
      </c>
      <c r="D2224">
        <v>506623</v>
      </c>
      <c r="E2224">
        <v>349004</v>
      </c>
      <c r="F2224">
        <v>15.1</v>
      </c>
      <c r="G2224">
        <v>8.3000000000000007</v>
      </c>
      <c r="H2224">
        <v>12</v>
      </c>
      <c r="I2224">
        <v>12.2</v>
      </c>
    </row>
    <row r="2225" spans="1:9" ht="24" customHeight="1">
      <c r="A2225" s="6" t="s">
        <v>3515</v>
      </c>
      <c r="B2225">
        <v>32849</v>
      </c>
      <c r="C2225">
        <v>9693</v>
      </c>
      <c r="D2225">
        <v>559353</v>
      </c>
      <c r="E2225">
        <v>369344</v>
      </c>
      <c r="F2225">
        <v>15.1</v>
      </c>
      <c r="G2225">
        <v>6.8</v>
      </c>
      <c r="H2225">
        <v>16.8</v>
      </c>
      <c r="I2225">
        <v>16.600000000000001</v>
      </c>
    </row>
    <row r="2226" spans="1:9" ht="24" customHeight="1">
      <c r="A2226" s="6" t="s">
        <v>3516</v>
      </c>
      <c r="B2226">
        <v>20439</v>
      </c>
      <c r="C2226">
        <v>5183</v>
      </c>
      <c r="D2226">
        <v>611333</v>
      </c>
      <c r="E2226">
        <v>351150</v>
      </c>
      <c r="F2226">
        <v>13</v>
      </c>
      <c r="G2226">
        <v>9.5</v>
      </c>
      <c r="H2226">
        <v>22.1</v>
      </c>
      <c r="I2226">
        <v>22.2</v>
      </c>
    </row>
    <row r="2227" spans="1:9" ht="24" customHeight="1">
      <c r="A2227" s="6" t="s">
        <v>3517</v>
      </c>
      <c r="B2227">
        <v>20717</v>
      </c>
      <c r="C2227">
        <v>5657</v>
      </c>
      <c r="D2227">
        <v>621141</v>
      </c>
      <c r="E2227">
        <v>420575</v>
      </c>
      <c r="F2227">
        <v>10.6</v>
      </c>
      <c r="G2227">
        <v>6.5</v>
      </c>
      <c r="H2227">
        <v>26.9</v>
      </c>
      <c r="I2227">
        <v>26.9</v>
      </c>
    </row>
    <row r="2228" spans="1:9" ht="24" customHeight="1">
      <c r="A2228" s="6" t="s">
        <v>3518</v>
      </c>
      <c r="B2228">
        <v>18745</v>
      </c>
      <c r="C2228">
        <v>6303</v>
      </c>
      <c r="D2228">
        <v>403379</v>
      </c>
      <c r="E2228">
        <v>299165</v>
      </c>
      <c r="F2228">
        <v>16.3</v>
      </c>
      <c r="G2228">
        <v>8.5</v>
      </c>
      <c r="H2228">
        <v>3.5</v>
      </c>
      <c r="I2228">
        <v>3.6</v>
      </c>
    </row>
    <row r="2229" spans="1:9" ht="24" customHeight="1">
      <c r="A2229" s="6" t="s">
        <v>619</v>
      </c>
      <c r="B2229">
        <v>50229</v>
      </c>
      <c r="C2229">
        <v>11635</v>
      </c>
      <c r="D2229">
        <v>658578</v>
      </c>
      <c r="E2229">
        <v>444130</v>
      </c>
      <c r="F2229">
        <v>10.9</v>
      </c>
      <c r="G2229">
        <v>8.4</v>
      </c>
      <c r="H2229">
        <v>34.5</v>
      </c>
      <c r="I2229">
        <v>34.4</v>
      </c>
    </row>
    <row r="2230" spans="1:9" ht="24" customHeight="1">
      <c r="A2230" s="6" t="s">
        <v>3519</v>
      </c>
      <c r="B2230">
        <v>30784</v>
      </c>
      <c r="C2230">
        <v>11407</v>
      </c>
      <c r="D2230">
        <v>458617</v>
      </c>
      <c r="E2230">
        <v>320791</v>
      </c>
      <c r="F2230">
        <v>16.2</v>
      </c>
      <c r="G2230">
        <v>10.199999999999999</v>
      </c>
      <c r="H2230">
        <v>6.5</v>
      </c>
      <c r="I2230">
        <v>6.6</v>
      </c>
    </row>
    <row r="2231" spans="1:9" ht="24" customHeight="1">
      <c r="A2231" s="6" t="s">
        <v>620</v>
      </c>
      <c r="B2231">
        <v>10611</v>
      </c>
      <c r="C2231">
        <v>5714</v>
      </c>
      <c r="D2231">
        <v>299124</v>
      </c>
      <c r="E2231">
        <v>243559</v>
      </c>
      <c r="F2231">
        <v>7.8</v>
      </c>
      <c r="G2231">
        <v>6.4</v>
      </c>
      <c r="H2231">
        <v>0</v>
      </c>
      <c r="I2231">
        <v>0</v>
      </c>
    </row>
    <row r="2232" spans="1:9" ht="24" customHeight="1">
      <c r="A2232" s="6" t="s">
        <v>3520</v>
      </c>
      <c r="B2232">
        <v>20973</v>
      </c>
      <c r="C2232">
        <v>8619</v>
      </c>
      <c r="D2232">
        <v>372691</v>
      </c>
      <c r="E2232">
        <v>294708</v>
      </c>
      <c r="F2232">
        <v>17</v>
      </c>
      <c r="G2232">
        <v>11.5</v>
      </c>
      <c r="H2232">
        <v>1.4</v>
      </c>
      <c r="I2232">
        <v>1.5</v>
      </c>
    </row>
    <row r="2233" spans="1:9" ht="24" customHeight="1">
      <c r="A2233" s="6" t="s">
        <v>3521</v>
      </c>
      <c r="B2233">
        <v>35743</v>
      </c>
      <c r="C2233">
        <v>9269</v>
      </c>
      <c r="D2233">
        <v>534358</v>
      </c>
      <c r="E2233">
        <v>377527</v>
      </c>
      <c r="F2233">
        <v>16.8</v>
      </c>
      <c r="G2233">
        <v>7.9</v>
      </c>
      <c r="H2233">
        <v>11.9</v>
      </c>
      <c r="I2233">
        <v>11.9</v>
      </c>
    </row>
    <row r="2234" spans="1:9" ht="24" customHeight="1">
      <c r="A2234" s="6" t="s">
        <v>3522</v>
      </c>
      <c r="B2234">
        <v>38279</v>
      </c>
      <c r="C2234">
        <v>11248</v>
      </c>
      <c r="D2234">
        <v>581594</v>
      </c>
      <c r="E2234">
        <v>314524</v>
      </c>
      <c r="F2234">
        <v>12.8</v>
      </c>
      <c r="G2234">
        <v>5.5</v>
      </c>
      <c r="H2234">
        <v>16.8</v>
      </c>
      <c r="I2234">
        <v>16.8</v>
      </c>
    </row>
    <row r="2235" spans="1:9" ht="24" customHeight="1">
      <c r="A2235" s="6" t="s">
        <v>3523</v>
      </c>
      <c r="B2235">
        <v>23524</v>
      </c>
      <c r="C2235">
        <v>5396</v>
      </c>
      <c r="D2235">
        <v>636506</v>
      </c>
      <c r="E2235">
        <v>367339</v>
      </c>
      <c r="F2235">
        <v>11.2</v>
      </c>
      <c r="G2235">
        <v>7.8</v>
      </c>
      <c r="H2235">
        <v>21.8</v>
      </c>
      <c r="I2235">
        <v>21.9</v>
      </c>
    </row>
    <row r="2236" spans="1:9" ht="24" customHeight="1">
      <c r="A2236" s="6" t="s">
        <v>3524</v>
      </c>
      <c r="B2236">
        <v>21696</v>
      </c>
      <c r="C2236">
        <v>5860</v>
      </c>
      <c r="D2236">
        <v>662432</v>
      </c>
      <c r="E2236">
        <v>431496</v>
      </c>
      <c r="F2236">
        <v>12.2</v>
      </c>
      <c r="G2236">
        <v>7.1</v>
      </c>
      <c r="H2236">
        <v>26.8</v>
      </c>
      <c r="I2236">
        <v>26.8</v>
      </c>
    </row>
    <row r="2237" spans="1:9" ht="24" customHeight="1">
      <c r="A2237" s="6" t="s">
        <v>3525</v>
      </c>
      <c r="B2237">
        <v>22747</v>
      </c>
      <c r="C2237">
        <v>12177</v>
      </c>
      <c r="D2237">
        <v>415633</v>
      </c>
      <c r="E2237">
        <v>318167</v>
      </c>
      <c r="F2237">
        <v>18.899999999999999</v>
      </c>
      <c r="G2237">
        <v>11.1</v>
      </c>
      <c r="H2237">
        <v>3.5</v>
      </c>
      <c r="I2237">
        <v>3.5</v>
      </c>
    </row>
    <row r="2238" spans="1:9" ht="24" customHeight="1">
      <c r="A2238" s="6" t="s">
        <v>621</v>
      </c>
      <c r="B2238">
        <v>57984</v>
      </c>
      <c r="C2238">
        <v>15722</v>
      </c>
      <c r="D2238">
        <v>703599</v>
      </c>
      <c r="E2238">
        <v>460935</v>
      </c>
      <c r="F2238">
        <v>9.6999999999999993</v>
      </c>
      <c r="G2238">
        <v>8</v>
      </c>
      <c r="H2238">
        <v>34</v>
      </c>
      <c r="I2238">
        <v>34.200000000000003</v>
      </c>
    </row>
    <row r="2239" spans="1:9" ht="24" customHeight="1">
      <c r="A2239" s="6" t="s">
        <v>3526</v>
      </c>
      <c r="B2239">
        <v>46328</v>
      </c>
      <c r="C2239">
        <v>13820</v>
      </c>
      <c r="D2239">
        <v>459084</v>
      </c>
      <c r="E2239">
        <v>311157</v>
      </c>
      <c r="F2239">
        <v>17</v>
      </c>
      <c r="G2239">
        <v>8.9</v>
      </c>
      <c r="H2239">
        <v>6.9</v>
      </c>
      <c r="I2239">
        <v>6.9</v>
      </c>
    </row>
    <row r="2240" spans="1:9" ht="24" customHeight="1">
      <c r="A2240" s="6" t="s">
        <v>622</v>
      </c>
      <c r="B2240">
        <v>3557</v>
      </c>
      <c r="C2240">
        <v>1618</v>
      </c>
      <c r="D2240">
        <v>336613</v>
      </c>
      <c r="E2240">
        <v>268723</v>
      </c>
      <c r="F2240">
        <v>9.1</v>
      </c>
      <c r="G2240">
        <v>6.4</v>
      </c>
      <c r="H2240">
        <v>0</v>
      </c>
      <c r="I2240">
        <v>0</v>
      </c>
    </row>
    <row r="2241" spans="1:9" ht="24" customHeight="1">
      <c r="A2241" s="6" t="s">
        <v>3527</v>
      </c>
      <c r="B2241">
        <v>5638</v>
      </c>
      <c r="C2241">
        <v>2194</v>
      </c>
      <c r="D2241">
        <v>402571</v>
      </c>
      <c r="E2241">
        <v>352729</v>
      </c>
      <c r="F2241">
        <v>19.5</v>
      </c>
      <c r="G2241">
        <v>8.9</v>
      </c>
      <c r="H2241">
        <v>1.6</v>
      </c>
      <c r="I2241">
        <v>1.5</v>
      </c>
    </row>
    <row r="2242" spans="1:9" ht="24" customHeight="1">
      <c r="A2242" s="6" t="s">
        <v>3528</v>
      </c>
      <c r="B2242">
        <v>12135</v>
      </c>
      <c r="C2242">
        <v>3695</v>
      </c>
      <c r="D2242">
        <v>506340</v>
      </c>
      <c r="E2242">
        <v>359615</v>
      </c>
      <c r="F2242">
        <v>17.5</v>
      </c>
      <c r="G2242">
        <v>7.2</v>
      </c>
      <c r="H2242">
        <v>12.3</v>
      </c>
      <c r="I2242">
        <v>12.3</v>
      </c>
    </row>
    <row r="2243" spans="1:9" ht="24" customHeight="1">
      <c r="A2243" s="6" t="s">
        <v>3529</v>
      </c>
      <c r="B2243">
        <v>12584</v>
      </c>
      <c r="C2243">
        <v>3154</v>
      </c>
      <c r="D2243">
        <v>580434</v>
      </c>
      <c r="E2243">
        <v>408596</v>
      </c>
      <c r="F2243">
        <v>16.3</v>
      </c>
      <c r="G2243">
        <v>7.6</v>
      </c>
      <c r="H2243">
        <v>16.7</v>
      </c>
      <c r="I2243">
        <v>16.7</v>
      </c>
    </row>
    <row r="2244" spans="1:9" ht="24" customHeight="1">
      <c r="A2244" s="6" t="s">
        <v>3530</v>
      </c>
      <c r="B2244">
        <v>7475</v>
      </c>
      <c r="C2244">
        <v>1708</v>
      </c>
      <c r="D2244">
        <v>688453</v>
      </c>
      <c r="E2244">
        <v>377476</v>
      </c>
      <c r="F2244">
        <v>12.3</v>
      </c>
      <c r="G2244">
        <v>7.8</v>
      </c>
      <c r="H2244">
        <v>22</v>
      </c>
      <c r="I2244">
        <v>21.8</v>
      </c>
    </row>
    <row r="2245" spans="1:9" ht="24" customHeight="1">
      <c r="A2245" s="6" t="s">
        <v>3531</v>
      </c>
      <c r="B2245">
        <v>7500</v>
      </c>
      <c r="C2245">
        <v>1905</v>
      </c>
      <c r="D2245">
        <v>683301</v>
      </c>
      <c r="E2245">
        <v>432088</v>
      </c>
      <c r="F2245">
        <v>9.9</v>
      </c>
      <c r="G2245">
        <v>12.2</v>
      </c>
      <c r="H2245">
        <v>26.6</v>
      </c>
      <c r="I2245">
        <v>26.7</v>
      </c>
    </row>
    <row r="2246" spans="1:9" ht="24" customHeight="1">
      <c r="A2246" s="6" t="s">
        <v>3532</v>
      </c>
      <c r="B2246">
        <v>5175</v>
      </c>
      <c r="C2246">
        <v>1796</v>
      </c>
      <c r="D2246">
        <v>435991</v>
      </c>
      <c r="E2246">
        <v>388570</v>
      </c>
      <c r="F2246">
        <v>19</v>
      </c>
      <c r="G2246">
        <v>11.1</v>
      </c>
      <c r="H2246">
        <v>3.5</v>
      </c>
      <c r="I2246">
        <v>3.5</v>
      </c>
    </row>
    <row r="2247" spans="1:9" ht="24" customHeight="1">
      <c r="A2247" s="6" t="s">
        <v>623</v>
      </c>
      <c r="B2247">
        <v>22386</v>
      </c>
      <c r="C2247">
        <v>5183</v>
      </c>
      <c r="D2247">
        <v>711212</v>
      </c>
      <c r="E2247">
        <v>488271</v>
      </c>
      <c r="F2247">
        <v>9.8000000000000007</v>
      </c>
      <c r="G2247">
        <v>10.7</v>
      </c>
      <c r="H2247">
        <v>34.1</v>
      </c>
      <c r="I2247">
        <v>34.4</v>
      </c>
    </row>
    <row r="2248" spans="1:9" ht="24" customHeight="1">
      <c r="A2248" s="6" t="s">
        <v>3533</v>
      </c>
      <c r="B2248">
        <v>11914</v>
      </c>
      <c r="C2248">
        <v>3753</v>
      </c>
      <c r="D2248">
        <v>477396</v>
      </c>
      <c r="E2248">
        <v>362620</v>
      </c>
      <c r="F2248">
        <v>17.8</v>
      </c>
      <c r="G2248">
        <v>6.8</v>
      </c>
      <c r="H2248">
        <v>6.8</v>
      </c>
      <c r="I2248">
        <v>7</v>
      </c>
    </row>
    <row r="2249" spans="1:9" ht="24" customHeight="1">
      <c r="A2249" s="6" t="s">
        <v>624</v>
      </c>
      <c r="B2249">
        <v>26387</v>
      </c>
      <c r="C2249">
        <v>6934</v>
      </c>
      <c r="D2249">
        <v>266282</v>
      </c>
      <c r="E2249">
        <v>231340</v>
      </c>
      <c r="F2249">
        <v>10.3</v>
      </c>
      <c r="G2249">
        <v>9</v>
      </c>
      <c r="H2249">
        <v>0</v>
      </c>
      <c r="I2249">
        <v>0</v>
      </c>
    </row>
    <row r="2250" spans="1:9" ht="24" customHeight="1">
      <c r="A2250" s="6" t="s">
        <v>3534</v>
      </c>
      <c r="B2250">
        <v>37022</v>
      </c>
      <c r="C2250">
        <v>17950</v>
      </c>
      <c r="D2250">
        <v>332477</v>
      </c>
      <c r="E2250">
        <v>264045</v>
      </c>
      <c r="F2250">
        <v>19.5</v>
      </c>
      <c r="G2250">
        <v>5</v>
      </c>
      <c r="H2250">
        <v>1.5</v>
      </c>
      <c r="I2250">
        <v>1.6</v>
      </c>
    </row>
    <row r="2251" spans="1:9" ht="24" customHeight="1">
      <c r="A2251" s="6" t="s">
        <v>3535</v>
      </c>
      <c r="B2251">
        <v>70010</v>
      </c>
      <c r="C2251">
        <v>12305</v>
      </c>
      <c r="D2251">
        <v>481666</v>
      </c>
      <c r="E2251">
        <v>361097</v>
      </c>
      <c r="F2251">
        <v>21.9</v>
      </c>
      <c r="G2251">
        <v>6.9</v>
      </c>
      <c r="H2251">
        <v>12.1</v>
      </c>
      <c r="I2251">
        <v>12.2</v>
      </c>
    </row>
    <row r="2252" spans="1:9" ht="24" customHeight="1">
      <c r="A2252" s="6" t="s">
        <v>3536</v>
      </c>
      <c r="B2252">
        <v>122441</v>
      </c>
      <c r="C2252">
        <v>16188</v>
      </c>
      <c r="D2252">
        <v>553651</v>
      </c>
      <c r="E2252">
        <v>430567</v>
      </c>
      <c r="F2252">
        <v>20.8</v>
      </c>
      <c r="G2252">
        <v>9.6999999999999993</v>
      </c>
      <c r="H2252">
        <v>17</v>
      </c>
      <c r="I2252">
        <v>16.600000000000001</v>
      </c>
    </row>
    <row r="2253" spans="1:9" ht="24" customHeight="1">
      <c r="A2253" s="6" t="s">
        <v>3537</v>
      </c>
      <c r="B2253">
        <v>50066</v>
      </c>
      <c r="C2253">
        <v>8990</v>
      </c>
      <c r="D2253">
        <v>601349</v>
      </c>
      <c r="E2253">
        <v>383798</v>
      </c>
      <c r="F2253">
        <v>17.2</v>
      </c>
      <c r="G2253">
        <v>7</v>
      </c>
      <c r="H2253">
        <v>21.9</v>
      </c>
      <c r="I2253">
        <v>22.3</v>
      </c>
    </row>
    <row r="2254" spans="1:9" ht="24" customHeight="1">
      <c r="A2254" s="6" t="s">
        <v>3538</v>
      </c>
      <c r="B2254">
        <v>45800</v>
      </c>
      <c r="C2254">
        <v>4813</v>
      </c>
      <c r="D2254">
        <v>629968</v>
      </c>
      <c r="E2254">
        <v>438929</v>
      </c>
      <c r="F2254">
        <v>17.100000000000001</v>
      </c>
      <c r="G2254">
        <v>6.6</v>
      </c>
      <c r="H2254">
        <v>26.9</v>
      </c>
      <c r="I2254">
        <v>26.4</v>
      </c>
    </row>
    <row r="2255" spans="1:9" ht="24" customHeight="1">
      <c r="A2255" s="6" t="s">
        <v>3539</v>
      </c>
      <c r="B2255">
        <v>44370</v>
      </c>
      <c r="C2255">
        <v>12111</v>
      </c>
      <c r="D2255">
        <v>395496</v>
      </c>
      <c r="E2255">
        <v>316771</v>
      </c>
      <c r="F2255">
        <v>24.2</v>
      </c>
      <c r="G2255">
        <v>10</v>
      </c>
      <c r="H2255">
        <v>3.6</v>
      </c>
      <c r="I2255">
        <v>3.4</v>
      </c>
    </row>
    <row r="2256" spans="1:9" ht="24" customHeight="1">
      <c r="A2256" s="6" t="s">
        <v>625</v>
      </c>
      <c r="B2256">
        <v>111687</v>
      </c>
      <c r="C2256">
        <v>9959</v>
      </c>
      <c r="D2256">
        <v>694800</v>
      </c>
      <c r="E2256">
        <v>467454</v>
      </c>
      <c r="F2256">
        <v>14.7</v>
      </c>
      <c r="G2256">
        <v>10</v>
      </c>
      <c r="H2256">
        <v>34.799999999999997</v>
      </c>
      <c r="I2256">
        <v>33.9</v>
      </c>
    </row>
    <row r="2257" spans="1:9" ht="24" customHeight="1">
      <c r="A2257" s="6" t="s">
        <v>3540</v>
      </c>
      <c r="B2257">
        <v>101888</v>
      </c>
      <c r="C2257">
        <v>24390</v>
      </c>
      <c r="D2257">
        <v>425586</v>
      </c>
      <c r="E2257">
        <v>335772</v>
      </c>
      <c r="F2257">
        <v>22.1</v>
      </c>
      <c r="G2257">
        <v>9</v>
      </c>
      <c r="H2257">
        <v>6.9</v>
      </c>
      <c r="I2257">
        <v>6.5</v>
      </c>
    </row>
    <row r="2258" spans="1:9" ht="24" customHeight="1">
      <c r="A2258" s="6" t="s">
        <v>626</v>
      </c>
      <c r="B2258">
        <v>3908</v>
      </c>
      <c r="C2258">
        <v>2483</v>
      </c>
      <c r="D2258">
        <v>260812</v>
      </c>
      <c r="E2258">
        <v>225427</v>
      </c>
      <c r="F2258">
        <v>7</v>
      </c>
      <c r="G2258">
        <v>3.6</v>
      </c>
      <c r="H2258">
        <v>0</v>
      </c>
      <c r="I2258">
        <v>0</v>
      </c>
    </row>
    <row r="2259" spans="1:9" ht="24" customHeight="1">
      <c r="A2259" s="6" t="s">
        <v>3541</v>
      </c>
      <c r="B2259">
        <v>6074</v>
      </c>
      <c r="C2259">
        <v>3966</v>
      </c>
      <c r="D2259">
        <v>329529</v>
      </c>
      <c r="E2259">
        <v>294449</v>
      </c>
      <c r="F2259">
        <v>13.9</v>
      </c>
      <c r="G2259">
        <v>9.6</v>
      </c>
      <c r="H2259">
        <v>1.4</v>
      </c>
      <c r="I2259">
        <v>1.4</v>
      </c>
    </row>
    <row r="2260" spans="1:9" ht="24" customHeight="1">
      <c r="A2260" s="6" t="s">
        <v>3542</v>
      </c>
      <c r="B2260">
        <v>11155</v>
      </c>
      <c r="C2260">
        <v>4882</v>
      </c>
      <c r="D2260">
        <v>462816</v>
      </c>
      <c r="E2260">
        <v>347925</v>
      </c>
      <c r="F2260">
        <v>14.7</v>
      </c>
      <c r="G2260">
        <v>9</v>
      </c>
      <c r="H2260">
        <v>11.9</v>
      </c>
      <c r="I2260">
        <v>11.8</v>
      </c>
    </row>
    <row r="2261" spans="1:9" ht="24" customHeight="1">
      <c r="A2261" s="6" t="s">
        <v>3543</v>
      </c>
      <c r="B2261">
        <v>10255</v>
      </c>
      <c r="C2261">
        <v>3442</v>
      </c>
      <c r="D2261">
        <v>532045</v>
      </c>
      <c r="E2261">
        <v>372452</v>
      </c>
      <c r="F2261">
        <v>12.8</v>
      </c>
      <c r="G2261">
        <v>8.5</v>
      </c>
      <c r="H2261">
        <v>16.7</v>
      </c>
      <c r="I2261">
        <v>16.8</v>
      </c>
    </row>
    <row r="2262" spans="1:9" ht="24" customHeight="1">
      <c r="A2262" s="6" t="s">
        <v>3544</v>
      </c>
      <c r="B2262">
        <v>6159</v>
      </c>
      <c r="C2262">
        <v>2054</v>
      </c>
      <c r="D2262">
        <v>592894</v>
      </c>
      <c r="E2262">
        <v>405566</v>
      </c>
      <c r="F2262">
        <v>13.5</v>
      </c>
      <c r="G2262">
        <v>8.4</v>
      </c>
      <c r="H2262">
        <v>22</v>
      </c>
      <c r="I2262">
        <v>21.9</v>
      </c>
    </row>
    <row r="2263" spans="1:9" ht="24" customHeight="1">
      <c r="A2263" s="6" t="s">
        <v>3545</v>
      </c>
      <c r="B2263">
        <v>6715</v>
      </c>
      <c r="C2263">
        <v>1508</v>
      </c>
      <c r="D2263">
        <v>623146</v>
      </c>
      <c r="E2263">
        <v>434270</v>
      </c>
      <c r="F2263">
        <v>12.1</v>
      </c>
      <c r="G2263">
        <v>6.9</v>
      </c>
      <c r="H2263">
        <v>26.9</v>
      </c>
      <c r="I2263">
        <v>26.4</v>
      </c>
    </row>
    <row r="2264" spans="1:9" ht="24" customHeight="1">
      <c r="A2264" s="6" t="s">
        <v>3546</v>
      </c>
      <c r="B2264">
        <v>6362</v>
      </c>
      <c r="C2264">
        <v>3150</v>
      </c>
      <c r="D2264">
        <v>382254</v>
      </c>
      <c r="E2264">
        <v>327846</v>
      </c>
      <c r="F2264">
        <v>14.4</v>
      </c>
      <c r="G2264">
        <v>9.9</v>
      </c>
      <c r="H2264">
        <v>3.5</v>
      </c>
      <c r="I2264">
        <v>3.6</v>
      </c>
    </row>
    <row r="2265" spans="1:9" ht="24" customHeight="1">
      <c r="A2265" s="6" t="s">
        <v>627</v>
      </c>
      <c r="B2265">
        <v>12728</v>
      </c>
      <c r="C2265">
        <v>3142</v>
      </c>
      <c r="D2265">
        <v>617002</v>
      </c>
      <c r="E2265">
        <v>451228</v>
      </c>
      <c r="F2265">
        <v>6.7</v>
      </c>
      <c r="G2265">
        <v>4.7</v>
      </c>
      <c r="H2265">
        <v>34.200000000000003</v>
      </c>
      <c r="I2265">
        <v>34.200000000000003</v>
      </c>
    </row>
    <row r="2266" spans="1:9" ht="24" customHeight="1">
      <c r="A2266" s="6" t="s">
        <v>3547</v>
      </c>
      <c r="B2266">
        <v>13245</v>
      </c>
      <c r="C2266">
        <v>6833</v>
      </c>
      <c r="D2266">
        <v>411490</v>
      </c>
      <c r="E2266">
        <v>310304</v>
      </c>
      <c r="F2266">
        <v>12.6</v>
      </c>
      <c r="G2266">
        <v>8.9</v>
      </c>
      <c r="H2266">
        <v>6.9</v>
      </c>
      <c r="I2266">
        <v>6.8</v>
      </c>
    </row>
    <row r="2267" spans="1:9" ht="24" customHeight="1">
      <c r="A2267" s="6" t="s">
        <v>628</v>
      </c>
      <c r="B2267">
        <v>588</v>
      </c>
      <c r="C2267">
        <v>97</v>
      </c>
      <c r="D2267">
        <v>338712</v>
      </c>
      <c r="E2267">
        <v>276205</v>
      </c>
      <c r="F2267">
        <v>13.6</v>
      </c>
      <c r="G2267">
        <v>2.5</v>
      </c>
      <c r="H2267">
        <v>0</v>
      </c>
      <c r="I2267">
        <v>0</v>
      </c>
    </row>
    <row r="2268" spans="1:9" ht="24" customHeight="1">
      <c r="A2268" s="6" t="s">
        <v>3548</v>
      </c>
      <c r="B2268">
        <v>834</v>
      </c>
      <c r="C2268">
        <v>253</v>
      </c>
      <c r="D2268">
        <v>363049</v>
      </c>
      <c r="E2268">
        <v>351664</v>
      </c>
      <c r="F2268">
        <v>16.3</v>
      </c>
      <c r="G2268">
        <v>10.5</v>
      </c>
      <c r="H2268">
        <v>1.5</v>
      </c>
      <c r="I2268">
        <v>1.4</v>
      </c>
    </row>
    <row r="2269" spans="1:9" ht="24" customHeight="1">
      <c r="A2269" s="6" t="s">
        <v>3549</v>
      </c>
      <c r="B2269">
        <v>1261</v>
      </c>
      <c r="C2269">
        <v>264</v>
      </c>
      <c r="D2269">
        <v>537479</v>
      </c>
      <c r="E2269">
        <v>511484</v>
      </c>
      <c r="F2269">
        <v>12.8</v>
      </c>
      <c r="G2269">
        <v>7.5</v>
      </c>
      <c r="H2269">
        <v>11.9</v>
      </c>
      <c r="I2269">
        <v>12</v>
      </c>
    </row>
    <row r="2270" spans="1:9" ht="24" customHeight="1">
      <c r="A2270" s="6" t="s">
        <v>3550</v>
      </c>
      <c r="B2270">
        <v>876</v>
      </c>
      <c r="C2270">
        <v>123</v>
      </c>
      <c r="D2270">
        <v>682914</v>
      </c>
      <c r="E2270">
        <v>562794</v>
      </c>
      <c r="F2270">
        <v>9.6999999999999993</v>
      </c>
      <c r="G2270">
        <v>5.7</v>
      </c>
      <c r="H2270">
        <v>16.7</v>
      </c>
      <c r="I2270">
        <v>17.3</v>
      </c>
    </row>
    <row r="2271" spans="1:9" ht="24" customHeight="1">
      <c r="A2271" s="6" t="s">
        <v>3551</v>
      </c>
      <c r="B2271">
        <v>618</v>
      </c>
      <c r="C2271">
        <v>53</v>
      </c>
      <c r="D2271">
        <v>629734</v>
      </c>
      <c r="E2271">
        <v>538482</v>
      </c>
      <c r="F2271">
        <v>11.1</v>
      </c>
      <c r="G2271">
        <v>11.7</v>
      </c>
      <c r="H2271">
        <v>22.1</v>
      </c>
      <c r="I2271">
        <v>22</v>
      </c>
    </row>
    <row r="2272" spans="1:9" ht="24" customHeight="1">
      <c r="A2272" s="6" t="s">
        <v>3552</v>
      </c>
      <c r="B2272">
        <v>629</v>
      </c>
      <c r="C2272">
        <v>110</v>
      </c>
      <c r="D2272">
        <v>644984</v>
      </c>
      <c r="E2272">
        <v>581666</v>
      </c>
      <c r="F2272">
        <v>10.8</v>
      </c>
      <c r="G2272">
        <v>5</v>
      </c>
      <c r="H2272">
        <v>27</v>
      </c>
      <c r="I2272">
        <v>27.1</v>
      </c>
    </row>
    <row r="2273" spans="1:9" ht="24" customHeight="1">
      <c r="A2273" s="6" t="s">
        <v>3553</v>
      </c>
      <c r="B2273">
        <v>869</v>
      </c>
      <c r="C2273">
        <v>291</v>
      </c>
      <c r="D2273">
        <v>419555</v>
      </c>
      <c r="E2273">
        <v>427794</v>
      </c>
      <c r="F2273">
        <v>15.9</v>
      </c>
      <c r="G2273">
        <v>9</v>
      </c>
      <c r="H2273">
        <v>3.5</v>
      </c>
      <c r="I2273">
        <v>3.4</v>
      </c>
    </row>
    <row r="2274" spans="1:9" ht="24" customHeight="1">
      <c r="A2274" s="6" t="s">
        <v>629</v>
      </c>
      <c r="B2274">
        <v>1225</v>
      </c>
      <c r="C2274">
        <v>99</v>
      </c>
      <c r="D2274">
        <v>727067</v>
      </c>
      <c r="E2274">
        <v>477010</v>
      </c>
      <c r="F2274">
        <v>7.5</v>
      </c>
      <c r="G2274">
        <v>5.0999999999999996</v>
      </c>
      <c r="H2274">
        <v>35.200000000000003</v>
      </c>
      <c r="I2274">
        <v>35.6</v>
      </c>
    </row>
    <row r="2275" spans="1:9" ht="24" customHeight="1">
      <c r="A2275" s="6" t="s">
        <v>3554</v>
      </c>
      <c r="B2275">
        <v>1662</v>
      </c>
      <c r="C2275">
        <v>288</v>
      </c>
      <c r="D2275">
        <v>487821</v>
      </c>
      <c r="E2275">
        <v>356774</v>
      </c>
      <c r="F2275">
        <v>15.2</v>
      </c>
      <c r="G2275">
        <v>7.9</v>
      </c>
      <c r="H2275">
        <v>7.1</v>
      </c>
      <c r="I2275">
        <v>6.5</v>
      </c>
    </row>
    <row r="2276" spans="1:9" ht="24" customHeight="1">
      <c r="A2276" s="6" t="s">
        <v>630</v>
      </c>
      <c r="B2276">
        <v>88526</v>
      </c>
      <c r="C2276">
        <v>24133</v>
      </c>
      <c r="D2276">
        <v>300177</v>
      </c>
      <c r="E2276">
        <v>245544</v>
      </c>
      <c r="F2276">
        <v>9.5</v>
      </c>
      <c r="G2276">
        <v>5</v>
      </c>
      <c r="H2276">
        <v>0</v>
      </c>
      <c r="I2276">
        <v>0</v>
      </c>
    </row>
    <row r="2277" spans="1:9" ht="24" customHeight="1">
      <c r="A2277" s="6" t="s">
        <v>3555</v>
      </c>
      <c r="B2277">
        <v>150576</v>
      </c>
      <c r="C2277">
        <v>41906</v>
      </c>
      <c r="D2277">
        <v>373369</v>
      </c>
      <c r="E2277">
        <v>311700</v>
      </c>
      <c r="F2277">
        <v>16</v>
      </c>
      <c r="G2277">
        <v>11.3</v>
      </c>
      <c r="H2277">
        <v>1.5</v>
      </c>
      <c r="I2277">
        <v>1.5</v>
      </c>
    </row>
    <row r="2278" spans="1:9" ht="24" customHeight="1">
      <c r="A2278" s="6" t="s">
        <v>3556</v>
      </c>
      <c r="B2278">
        <v>196090</v>
      </c>
      <c r="C2278">
        <v>29796</v>
      </c>
      <c r="D2278">
        <v>490258</v>
      </c>
      <c r="E2278">
        <v>385254</v>
      </c>
      <c r="F2278">
        <v>14.7</v>
      </c>
      <c r="G2278">
        <v>6.7</v>
      </c>
      <c r="H2278">
        <v>11.8</v>
      </c>
      <c r="I2278">
        <v>11.9</v>
      </c>
    </row>
    <row r="2279" spans="1:9" ht="24" customHeight="1">
      <c r="A2279" s="6" t="s">
        <v>3557</v>
      </c>
      <c r="B2279">
        <v>151870</v>
      </c>
      <c r="C2279">
        <v>22170</v>
      </c>
      <c r="D2279">
        <v>562928</v>
      </c>
      <c r="E2279">
        <v>398141</v>
      </c>
      <c r="F2279">
        <v>16.5</v>
      </c>
      <c r="G2279">
        <v>8.1</v>
      </c>
      <c r="H2279">
        <v>16.7</v>
      </c>
      <c r="I2279">
        <v>16.8</v>
      </c>
    </row>
    <row r="2280" spans="1:9" ht="24" customHeight="1">
      <c r="A2280" s="6" t="s">
        <v>3558</v>
      </c>
      <c r="B2280">
        <v>114155</v>
      </c>
      <c r="C2280">
        <v>14996</v>
      </c>
      <c r="D2280">
        <v>591193</v>
      </c>
      <c r="E2280">
        <v>398154</v>
      </c>
      <c r="F2280">
        <v>11.4</v>
      </c>
      <c r="G2280">
        <v>4.7</v>
      </c>
      <c r="H2280">
        <v>21.9</v>
      </c>
      <c r="I2280">
        <v>21.8</v>
      </c>
    </row>
    <row r="2281" spans="1:9" ht="24" customHeight="1">
      <c r="A2281" s="6" t="s">
        <v>3559</v>
      </c>
      <c r="B2281">
        <v>115145</v>
      </c>
      <c r="C2281">
        <v>14037</v>
      </c>
      <c r="D2281">
        <v>646211</v>
      </c>
      <c r="E2281">
        <v>429302</v>
      </c>
      <c r="F2281">
        <v>10</v>
      </c>
      <c r="G2281">
        <v>6.9</v>
      </c>
      <c r="H2281">
        <v>27.1</v>
      </c>
      <c r="I2281">
        <v>27</v>
      </c>
    </row>
    <row r="2282" spans="1:9" ht="24" customHeight="1">
      <c r="A2282" s="6" t="s">
        <v>3560</v>
      </c>
      <c r="B2282">
        <v>136171</v>
      </c>
      <c r="C2282">
        <v>34755</v>
      </c>
      <c r="D2282">
        <v>406877</v>
      </c>
      <c r="E2282">
        <v>339224</v>
      </c>
      <c r="F2282">
        <v>17.399999999999999</v>
      </c>
      <c r="G2282">
        <v>11.2</v>
      </c>
      <c r="H2282">
        <v>3.4</v>
      </c>
      <c r="I2282">
        <v>3.5</v>
      </c>
    </row>
    <row r="2283" spans="1:9" ht="24" customHeight="1">
      <c r="A2283" s="6" t="s">
        <v>631</v>
      </c>
      <c r="B2283">
        <v>169747</v>
      </c>
      <c r="C2283">
        <v>21609</v>
      </c>
      <c r="D2283">
        <v>701915</v>
      </c>
      <c r="E2283">
        <v>475685</v>
      </c>
      <c r="F2283">
        <v>7.1</v>
      </c>
      <c r="G2283">
        <v>7.9</v>
      </c>
      <c r="H2283">
        <v>35.299999999999997</v>
      </c>
      <c r="I2283">
        <v>34.299999999999997</v>
      </c>
    </row>
    <row r="2284" spans="1:9" ht="24" customHeight="1">
      <c r="A2284" s="6" t="s">
        <v>3561</v>
      </c>
      <c r="B2284">
        <v>256544</v>
      </c>
      <c r="C2284">
        <v>61225</v>
      </c>
      <c r="D2284">
        <v>465923</v>
      </c>
      <c r="E2284">
        <v>357548</v>
      </c>
      <c r="F2284">
        <v>17.8</v>
      </c>
      <c r="G2284">
        <v>9.6999999999999993</v>
      </c>
      <c r="H2284">
        <v>6.9</v>
      </c>
      <c r="I2284">
        <v>6.7</v>
      </c>
    </row>
    <row r="2285" spans="1:9" ht="24" customHeight="1">
      <c r="A2285" s="6" t="s">
        <v>632</v>
      </c>
      <c r="B2285">
        <v>197678</v>
      </c>
      <c r="C2285">
        <v>86722</v>
      </c>
      <c r="D2285">
        <v>273474</v>
      </c>
      <c r="E2285">
        <v>223587</v>
      </c>
      <c r="F2285">
        <v>9.6999999999999993</v>
      </c>
      <c r="G2285">
        <v>5.6</v>
      </c>
      <c r="H2285">
        <v>0</v>
      </c>
      <c r="I2285">
        <v>0</v>
      </c>
    </row>
    <row r="2286" spans="1:9" ht="24" customHeight="1">
      <c r="A2286" s="6" t="s">
        <v>3562</v>
      </c>
      <c r="B2286">
        <v>330436</v>
      </c>
      <c r="C2286">
        <v>149900</v>
      </c>
      <c r="D2286">
        <v>351963</v>
      </c>
      <c r="E2286">
        <v>277962</v>
      </c>
      <c r="F2286">
        <v>16.5</v>
      </c>
      <c r="G2286">
        <v>11.2</v>
      </c>
      <c r="H2286">
        <v>1.5</v>
      </c>
      <c r="I2286">
        <v>1.5</v>
      </c>
    </row>
    <row r="2287" spans="1:9" ht="24" customHeight="1">
      <c r="A2287" s="6" t="s">
        <v>3563</v>
      </c>
      <c r="B2287">
        <v>542347</v>
      </c>
      <c r="C2287">
        <v>152503</v>
      </c>
      <c r="D2287">
        <v>473753</v>
      </c>
      <c r="E2287">
        <v>341612</v>
      </c>
      <c r="F2287">
        <v>17.399999999999999</v>
      </c>
      <c r="G2287">
        <v>8.3000000000000007</v>
      </c>
      <c r="H2287">
        <v>12</v>
      </c>
      <c r="I2287">
        <v>12</v>
      </c>
    </row>
    <row r="2288" spans="1:9" ht="24" customHeight="1">
      <c r="A2288" s="6" t="s">
        <v>3564</v>
      </c>
      <c r="B2288">
        <v>634404</v>
      </c>
      <c r="C2288">
        <v>146441</v>
      </c>
      <c r="D2288">
        <v>533513</v>
      </c>
      <c r="E2288">
        <v>361297</v>
      </c>
      <c r="F2288">
        <v>16.7</v>
      </c>
      <c r="G2288">
        <v>7.8</v>
      </c>
      <c r="H2288">
        <v>16.8</v>
      </c>
      <c r="I2288">
        <v>16.8</v>
      </c>
    </row>
    <row r="2289" spans="1:9" ht="24" customHeight="1">
      <c r="A2289" s="6" t="s">
        <v>3565</v>
      </c>
      <c r="B2289">
        <v>377174</v>
      </c>
      <c r="C2289">
        <v>84523</v>
      </c>
      <c r="D2289">
        <v>577208</v>
      </c>
      <c r="E2289">
        <v>382740</v>
      </c>
      <c r="F2289">
        <v>14.2</v>
      </c>
      <c r="G2289">
        <v>7.8</v>
      </c>
      <c r="H2289">
        <v>21.9</v>
      </c>
      <c r="I2289">
        <v>21.8</v>
      </c>
    </row>
    <row r="2290" spans="1:9" ht="24" customHeight="1">
      <c r="A2290" s="6" t="s">
        <v>3566</v>
      </c>
      <c r="B2290">
        <v>354687</v>
      </c>
      <c r="C2290">
        <v>71486</v>
      </c>
      <c r="D2290">
        <v>607725</v>
      </c>
      <c r="E2290">
        <v>412108</v>
      </c>
      <c r="F2290">
        <v>12.8</v>
      </c>
      <c r="G2290">
        <v>7.7</v>
      </c>
      <c r="H2290">
        <v>26.9</v>
      </c>
      <c r="I2290">
        <v>26.8</v>
      </c>
    </row>
    <row r="2291" spans="1:9" ht="24" customHeight="1">
      <c r="A2291" s="6" t="s">
        <v>3567</v>
      </c>
      <c r="B2291">
        <v>351626</v>
      </c>
      <c r="C2291">
        <v>143316</v>
      </c>
      <c r="D2291">
        <v>389720</v>
      </c>
      <c r="E2291">
        <v>303041</v>
      </c>
      <c r="F2291">
        <v>17.899999999999999</v>
      </c>
      <c r="G2291">
        <v>10.7</v>
      </c>
      <c r="H2291">
        <v>3.5</v>
      </c>
      <c r="I2291">
        <v>3.5</v>
      </c>
    </row>
    <row r="2292" spans="1:9" ht="24" customHeight="1">
      <c r="A2292" s="6" t="s">
        <v>633</v>
      </c>
      <c r="B2292">
        <v>685882</v>
      </c>
      <c r="C2292">
        <v>120814</v>
      </c>
      <c r="D2292">
        <v>652097</v>
      </c>
      <c r="E2292">
        <v>444434</v>
      </c>
      <c r="F2292">
        <v>10.8</v>
      </c>
      <c r="G2292">
        <v>8.5</v>
      </c>
      <c r="H2292">
        <v>34.5</v>
      </c>
      <c r="I2292">
        <v>34</v>
      </c>
    </row>
    <row r="2293" spans="1:9" ht="24" customHeight="1">
      <c r="A2293" s="6" t="s">
        <v>3568</v>
      </c>
      <c r="B2293">
        <v>709758</v>
      </c>
      <c r="C2293">
        <v>235242</v>
      </c>
      <c r="D2293">
        <v>421200</v>
      </c>
      <c r="E2293">
        <v>316967</v>
      </c>
      <c r="F2293">
        <v>17.7</v>
      </c>
      <c r="G2293">
        <v>10.199999999999999</v>
      </c>
      <c r="H2293">
        <v>6.8</v>
      </c>
      <c r="I2293">
        <v>6.6</v>
      </c>
    </row>
    <row r="2294" spans="1:9" ht="24" customHeight="1">
      <c r="A2294" s="6" t="s">
        <v>634</v>
      </c>
      <c r="B2294">
        <v>3417</v>
      </c>
      <c r="C2294">
        <v>854</v>
      </c>
      <c r="D2294">
        <v>301379</v>
      </c>
      <c r="E2294">
        <v>260007</v>
      </c>
      <c r="F2294">
        <v>8</v>
      </c>
      <c r="G2294">
        <v>7.9</v>
      </c>
      <c r="H2294">
        <v>0</v>
      </c>
      <c r="I2294">
        <v>0</v>
      </c>
    </row>
    <row r="2295" spans="1:9" ht="24" customHeight="1">
      <c r="A2295" s="6" t="s">
        <v>3569</v>
      </c>
      <c r="B2295">
        <v>8953</v>
      </c>
      <c r="C2295">
        <v>2043</v>
      </c>
      <c r="D2295">
        <v>381582</v>
      </c>
      <c r="E2295">
        <v>351047</v>
      </c>
      <c r="F2295">
        <v>17.399999999999999</v>
      </c>
      <c r="G2295">
        <v>15.6</v>
      </c>
      <c r="H2295">
        <v>1.5</v>
      </c>
      <c r="I2295">
        <v>1.5</v>
      </c>
    </row>
    <row r="2296" spans="1:9" ht="24" customHeight="1">
      <c r="A2296" s="6" t="s">
        <v>3570</v>
      </c>
      <c r="B2296">
        <v>14101</v>
      </c>
      <c r="C2296">
        <v>1868</v>
      </c>
      <c r="D2296">
        <v>568132</v>
      </c>
      <c r="E2296">
        <v>481867</v>
      </c>
      <c r="F2296">
        <v>20.399999999999999</v>
      </c>
      <c r="G2296">
        <v>9.4</v>
      </c>
      <c r="H2296">
        <v>12.1</v>
      </c>
      <c r="I2296">
        <v>12</v>
      </c>
    </row>
    <row r="2297" spans="1:9" ht="24" customHeight="1">
      <c r="A2297" s="6" t="s">
        <v>3571</v>
      </c>
      <c r="B2297">
        <v>8426</v>
      </c>
      <c r="C2297">
        <v>1404</v>
      </c>
      <c r="D2297">
        <v>635343</v>
      </c>
      <c r="E2297">
        <v>518566</v>
      </c>
      <c r="F2297">
        <v>18.7</v>
      </c>
      <c r="G2297">
        <v>9.6999999999999993</v>
      </c>
      <c r="H2297">
        <v>16.600000000000001</v>
      </c>
      <c r="I2297">
        <v>16.5</v>
      </c>
    </row>
    <row r="2298" spans="1:9" ht="24" customHeight="1">
      <c r="A2298" s="6" t="s">
        <v>3572</v>
      </c>
      <c r="B2298">
        <v>7268</v>
      </c>
      <c r="C2298">
        <v>1281</v>
      </c>
      <c r="D2298">
        <v>706433</v>
      </c>
      <c r="E2298">
        <v>581395</v>
      </c>
      <c r="F2298">
        <v>15.7</v>
      </c>
      <c r="G2298">
        <v>12.8</v>
      </c>
      <c r="H2298">
        <v>22.3</v>
      </c>
      <c r="I2298">
        <v>22</v>
      </c>
    </row>
    <row r="2299" spans="1:9" ht="24" customHeight="1">
      <c r="A2299" s="6" t="s">
        <v>3573</v>
      </c>
      <c r="B2299">
        <v>15777</v>
      </c>
      <c r="C2299">
        <v>2096</v>
      </c>
      <c r="D2299">
        <v>744576</v>
      </c>
      <c r="E2299">
        <v>609788</v>
      </c>
      <c r="F2299">
        <v>14.7</v>
      </c>
      <c r="G2299">
        <v>12.9</v>
      </c>
      <c r="H2299">
        <v>27.2</v>
      </c>
      <c r="I2299">
        <v>27.4</v>
      </c>
    </row>
    <row r="2300" spans="1:9" ht="24" customHeight="1">
      <c r="A2300" s="6" t="s">
        <v>3574</v>
      </c>
      <c r="B2300">
        <v>6917</v>
      </c>
      <c r="C2300">
        <v>1470</v>
      </c>
      <c r="D2300">
        <v>414845</v>
      </c>
      <c r="E2300">
        <v>381570</v>
      </c>
      <c r="F2300">
        <v>19.5</v>
      </c>
      <c r="G2300">
        <v>14.4</v>
      </c>
      <c r="H2300">
        <v>3.4</v>
      </c>
      <c r="I2300">
        <v>3.4</v>
      </c>
    </row>
    <row r="2301" spans="1:9" ht="24" customHeight="1">
      <c r="A2301" s="6" t="s">
        <v>635</v>
      </c>
      <c r="B2301">
        <v>32417</v>
      </c>
      <c r="C2301">
        <v>4165</v>
      </c>
      <c r="D2301">
        <v>766796</v>
      </c>
      <c r="E2301">
        <v>626577</v>
      </c>
      <c r="F2301">
        <v>11.8</v>
      </c>
      <c r="G2301">
        <v>11.7</v>
      </c>
      <c r="H2301">
        <v>34.700000000000003</v>
      </c>
      <c r="I2301">
        <v>34.299999999999997</v>
      </c>
    </row>
    <row r="2302" spans="1:9" ht="24" customHeight="1">
      <c r="A2302" s="6" t="s">
        <v>3575</v>
      </c>
      <c r="B2302">
        <v>13748</v>
      </c>
      <c r="C2302">
        <v>2348</v>
      </c>
      <c r="D2302">
        <v>473033</v>
      </c>
      <c r="E2302">
        <v>433000</v>
      </c>
      <c r="F2302">
        <v>19.2</v>
      </c>
      <c r="G2302">
        <v>14.7</v>
      </c>
      <c r="H2302">
        <v>6.9</v>
      </c>
      <c r="I2302">
        <v>6.7</v>
      </c>
    </row>
    <row r="2303" spans="1:9" ht="24" customHeight="1">
      <c r="A2303" s="6" t="s">
        <v>636</v>
      </c>
      <c r="B2303">
        <v>64883</v>
      </c>
      <c r="C2303">
        <v>45348</v>
      </c>
      <c r="D2303">
        <v>358661</v>
      </c>
      <c r="E2303">
        <v>281547</v>
      </c>
      <c r="F2303">
        <v>4.5999999999999996</v>
      </c>
      <c r="G2303">
        <v>5.4</v>
      </c>
      <c r="H2303">
        <v>0</v>
      </c>
      <c r="I2303">
        <v>0</v>
      </c>
    </row>
    <row r="2304" spans="1:9" ht="24" customHeight="1">
      <c r="A2304" s="6" t="s">
        <v>3576</v>
      </c>
      <c r="B2304">
        <v>111907</v>
      </c>
      <c r="C2304">
        <v>67690</v>
      </c>
      <c r="D2304">
        <v>424080</v>
      </c>
      <c r="E2304">
        <v>364441</v>
      </c>
      <c r="F2304">
        <v>12.7</v>
      </c>
      <c r="G2304">
        <v>10.5</v>
      </c>
      <c r="H2304">
        <v>1.5</v>
      </c>
      <c r="I2304">
        <v>1.4</v>
      </c>
    </row>
    <row r="2305" spans="1:9" ht="24" customHeight="1">
      <c r="A2305" s="6" t="s">
        <v>3577</v>
      </c>
      <c r="B2305">
        <v>106403</v>
      </c>
      <c r="C2305">
        <v>35736</v>
      </c>
      <c r="D2305">
        <v>562823</v>
      </c>
      <c r="E2305">
        <v>468757</v>
      </c>
      <c r="F2305">
        <v>12.7</v>
      </c>
      <c r="G2305">
        <v>8.5</v>
      </c>
      <c r="H2305">
        <v>11.9</v>
      </c>
      <c r="I2305">
        <v>12</v>
      </c>
    </row>
    <row r="2306" spans="1:9" ht="24" customHeight="1">
      <c r="A2306" s="6" t="s">
        <v>3578</v>
      </c>
      <c r="B2306">
        <v>119652</v>
      </c>
      <c r="C2306">
        <v>32631</v>
      </c>
      <c r="D2306">
        <v>633779</v>
      </c>
      <c r="E2306">
        <v>519446</v>
      </c>
      <c r="F2306">
        <v>12.6</v>
      </c>
      <c r="G2306">
        <v>9.8000000000000007</v>
      </c>
      <c r="H2306">
        <v>16.7</v>
      </c>
      <c r="I2306">
        <v>16.7</v>
      </c>
    </row>
    <row r="2307" spans="1:9" ht="24" customHeight="1">
      <c r="A2307" s="6" t="s">
        <v>3579</v>
      </c>
      <c r="B2307">
        <v>90034</v>
      </c>
      <c r="C2307">
        <v>19212</v>
      </c>
      <c r="D2307">
        <v>675132</v>
      </c>
      <c r="E2307">
        <v>583415</v>
      </c>
      <c r="F2307">
        <v>9.1999999999999993</v>
      </c>
      <c r="G2307">
        <v>9</v>
      </c>
      <c r="H2307">
        <v>21.8</v>
      </c>
      <c r="I2307">
        <v>22</v>
      </c>
    </row>
    <row r="2308" spans="1:9" ht="24" customHeight="1">
      <c r="A2308" s="6" t="s">
        <v>3580</v>
      </c>
      <c r="B2308">
        <v>60069</v>
      </c>
      <c r="C2308">
        <v>16103</v>
      </c>
      <c r="D2308">
        <v>688501</v>
      </c>
      <c r="E2308">
        <v>573688</v>
      </c>
      <c r="F2308">
        <v>10</v>
      </c>
      <c r="G2308">
        <v>7.6</v>
      </c>
      <c r="H2308">
        <v>26.7</v>
      </c>
      <c r="I2308">
        <v>26.5</v>
      </c>
    </row>
    <row r="2309" spans="1:9" ht="24" customHeight="1">
      <c r="A2309" s="6" t="s">
        <v>3581</v>
      </c>
      <c r="B2309">
        <v>112458</v>
      </c>
      <c r="C2309">
        <v>60707</v>
      </c>
      <c r="D2309">
        <v>460638</v>
      </c>
      <c r="E2309">
        <v>380787</v>
      </c>
      <c r="F2309">
        <v>11.1</v>
      </c>
      <c r="G2309">
        <v>9.9</v>
      </c>
      <c r="H2309">
        <v>3.5</v>
      </c>
      <c r="I2309">
        <v>3.5</v>
      </c>
    </row>
    <row r="2310" spans="1:9" ht="24" customHeight="1">
      <c r="A2310" s="6" t="s">
        <v>637</v>
      </c>
      <c r="B2310">
        <v>104966</v>
      </c>
      <c r="C2310">
        <v>22550</v>
      </c>
      <c r="D2310">
        <v>722535</v>
      </c>
      <c r="E2310">
        <v>578067</v>
      </c>
      <c r="F2310">
        <v>7.9</v>
      </c>
      <c r="G2310">
        <v>7.2</v>
      </c>
      <c r="H2310">
        <v>33.9</v>
      </c>
      <c r="I2310">
        <v>34.5</v>
      </c>
    </row>
    <row r="2311" spans="1:9" ht="24" customHeight="1">
      <c r="A2311" s="6" t="s">
        <v>3582</v>
      </c>
      <c r="B2311">
        <v>168534</v>
      </c>
      <c r="C2311">
        <v>75955</v>
      </c>
      <c r="D2311">
        <v>493619</v>
      </c>
      <c r="E2311">
        <v>427336</v>
      </c>
      <c r="F2311">
        <v>12.6</v>
      </c>
      <c r="G2311">
        <v>11.5</v>
      </c>
      <c r="H2311">
        <v>6.8</v>
      </c>
      <c r="I2311">
        <v>6.6</v>
      </c>
    </row>
    <row r="2312" spans="1:9" ht="24" customHeight="1">
      <c r="A2312" s="6" t="s">
        <v>638</v>
      </c>
      <c r="B2312">
        <v>84894</v>
      </c>
      <c r="C2312">
        <v>19803</v>
      </c>
      <c r="D2312">
        <v>312322</v>
      </c>
      <c r="E2312">
        <v>251220</v>
      </c>
      <c r="F2312">
        <v>26.8</v>
      </c>
      <c r="G2312">
        <v>9.1</v>
      </c>
      <c r="H2312">
        <v>0</v>
      </c>
      <c r="I2312">
        <v>0</v>
      </c>
    </row>
    <row r="2313" spans="1:9" ht="24" customHeight="1">
      <c r="A2313" s="6" t="s">
        <v>3583</v>
      </c>
      <c r="B2313">
        <v>167692</v>
      </c>
      <c r="C2313">
        <v>36512</v>
      </c>
      <c r="D2313">
        <v>342160</v>
      </c>
      <c r="E2313">
        <v>284369</v>
      </c>
      <c r="F2313">
        <v>28.9</v>
      </c>
      <c r="G2313">
        <v>14.7</v>
      </c>
      <c r="H2313">
        <v>1.5</v>
      </c>
      <c r="I2313">
        <v>1.5</v>
      </c>
    </row>
    <row r="2314" spans="1:9" ht="24" customHeight="1">
      <c r="A2314" s="6" t="s">
        <v>3584</v>
      </c>
      <c r="B2314">
        <v>248229</v>
      </c>
      <c r="C2314">
        <v>33418</v>
      </c>
      <c r="D2314">
        <v>418605</v>
      </c>
      <c r="E2314">
        <v>353453</v>
      </c>
      <c r="F2314">
        <v>27.2</v>
      </c>
      <c r="G2314">
        <v>13.8</v>
      </c>
      <c r="H2314">
        <v>11.9</v>
      </c>
      <c r="I2314">
        <v>11.8</v>
      </c>
    </row>
    <row r="2315" spans="1:9" ht="24" customHeight="1">
      <c r="A2315" s="6" t="s">
        <v>3585</v>
      </c>
      <c r="B2315">
        <v>249189</v>
      </c>
      <c r="C2315">
        <v>31373</v>
      </c>
      <c r="D2315">
        <v>464681</v>
      </c>
      <c r="E2315">
        <v>377054</v>
      </c>
      <c r="F2315">
        <v>29.1</v>
      </c>
      <c r="G2315">
        <v>13.8</v>
      </c>
      <c r="H2315">
        <v>16.8</v>
      </c>
      <c r="I2315">
        <v>16.600000000000001</v>
      </c>
    </row>
    <row r="2316" spans="1:9" ht="24" customHeight="1">
      <c r="A2316" s="6" t="s">
        <v>3586</v>
      </c>
      <c r="B2316">
        <v>145486</v>
      </c>
      <c r="C2316">
        <v>14564</v>
      </c>
      <c r="D2316">
        <v>492773</v>
      </c>
      <c r="E2316">
        <v>417640</v>
      </c>
      <c r="F2316">
        <v>27.5</v>
      </c>
      <c r="G2316">
        <v>13.6</v>
      </c>
      <c r="H2316">
        <v>21.8</v>
      </c>
      <c r="I2316">
        <v>21.7</v>
      </c>
    </row>
    <row r="2317" spans="1:9" ht="24" customHeight="1">
      <c r="A2317" s="6" t="s">
        <v>3587</v>
      </c>
      <c r="B2317">
        <v>107120</v>
      </c>
      <c r="C2317">
        <v>9050</v>
      </c>
      <c r="D2317">
        <v>541464</v>
      </c>
      <c r="E2317">
        <v>432324</v>
      </c>
      <c r="F2317">
        <v>24.6</v>
      </c>
      <c r="G2317">
        <v>10.8</v>
      </c>
      <c r="H2317">
        <v>26.9</v>
      </c>
      <c r="I2317">
        <v>26.8</v>
      </c>
    </row>
    <row r="2318" spans="1:9" ht="24" customHeight="1">
      <c r="A2318" s="6" t="s">
        <v>3588</v>
      </c>
      <c r="B2318">
        <v>165559</v>
      </c>
      <c r="C2318">
        <v>40044</v>
      </c>
      <c r="D2318">
        <v>373004</v>
      </c>
      <c r="E2318">
        <v>309443</v>
      </c>
      <c r="F2318">
        <v>29.7</v>
      </c>
      <c r="G2318">
        <v>15.4</v>
      </c>
      <c r="H2318">
        <v>3.5</v>
      </c>
      <c r="I2318">
        <v>3.5</v>
      </c>
    </row>
    <row r="2319" spans="1:9" ht="24" customHeight="1">
      <c r="A2319" s="6" t="s">
        <v>639</v>
      </c>
      <c r="B2319">
        <v>163431</v>
      </c>
      <c r="C2319">
        <v>15287</v>
      </c>
      <c r="D2319">
        <v>564675</v>
      </c>
      <c r="E2319">
        <v>495970</v>
      </c>
      <c r="F2319">
        <v>22.8</v>
      </c>
      <c r="G2319">
        <v>11.5</v>
      </c>
      <c r="H2319">
        <v>34.4</v>
      </c>
      <c r="I2319">
        <v>34.200000000000003</v>
      </c>
    </row>
    <row r="2320" spans="1:9" ht="24" customHeight="1">
      <c r="A2320" s="6" t="s">
        <v>3589</v>
      </c>
      <c r="B2320">
        <v>342518</v>
      </c>
      <c r="C2320">
        <v>61086</v>
      </c>
      <c r="D2320">
        <v>396744</v>
      </c>
      <c r="E2320">
        <v>322819</v>
      </c>
      <c r="F2320">
        <v>29.1</v>
      </c>
      <c r="G2320">
        <v>15.7</v>
      </c>
      <c r="H2320">
        <v>6.9</v>
      </c>
      <c r="I2320">
        <v>6.8</v>
      </c>
    </row>
    <row r="2321" spans="1:9" ht="24" customHeight="1">
      <c r="A2321" s="6" t="s">
        <v>640</v>
      </c>
      <c r="B2321">
        <v>170512</v>
      </c>
      <c r="C2321">
        <v>126931</v>
      </c>
      <c r="D2321">
        <v>312080</v>
      </c>
      <c r="E2321">
        <v>255800</v>
      </c>
      <c r="F2321">
        <v>8.6999999999999993</v>
      </c>
      <c r="G2321">
        <v>6.2</v>
      </c>
      <c r="H2321">
        <v>0</v>
      </c>
      <c r="I2321">
        <v>0</v>
      </c>
    </row>
    <row r="2322" spans="1:9" ht="24" customHeight="1">
      <c r="A2322" s="6" t="s">
        <v>3590</v>
      </c>
      <c r="B2322">
        <v>305587</v>
      </c>
      <c r="C2322">
        <v>195410</v>
      </c>
      <c r="D2322">
        <v>376023</v>
      </c>
      <c r="E2322">
        <v>313565</v>
      </c>
      <c r="F2322">
        <v>10.5</v>
      </c>
      <c r="G2322">
        <v>8.5</v>
      </c>
      <c r="H2322">
        <v>1.5</v>
      </c>
      <c r="I2322">
        <v>1.5</v>
      </c>
    </row>
    <row r="2323" spans="1:9" ht="24" customHeight="1">
      <c r="A2323" s="6" t="s">
        <v>3591</v>
      </c>
      <c r="B2323">
        <v>329980</v>
      </c>
      <c r="C2323">
        <v>155707</v>
      </c>
      <c r="D2323">
        <v>493946</v>
      </c>
      <c r="E2323">
        <v>368873</v>
      </c>
      <c r="F2323">
        <v>12.8</v>
      </c>
      <c r="G2323">
        <v>6.9</v>
      </c>
      <c r="H2323">
        <v>11.9</v>
      </c>
      <c r="I2323">
        <v>11.9</v>
      </c>
    </row>
    <row r="2324" spans="1:9" ht="24" customHeight="1">
      <c r="A2324" s="6" t="s">
        <v>3592</v>
      </c>
      <c r="B2324">
        <v>393942</v>
      </c>
      <c r="C2324">
        <v>149831</v>
      </c>
      <c r="D2324">
        <v>541336</v>
      </c>
      <c r="E2324">
        <v>410236</v>
      </c>
      <c r="F2324">
        <v>11.4</v>
      </c>
      <c r="G2324">
        <v>5.5</v>
      </c>
      <c r="H2324">
        <v>16.899999999999999</v>
      </c>
      <c r="I2324">
        <v>16.7</v>
      </c>
    </row>
    <row r="2325" spans="1:9" ht="24" customHeight="1">
      <c r="A2325" s="6" t="s">
        <v>3593</v>
      </c>
      <c r="B2325">
        <v>281834</v>
      </c>
      <c r="C2325">
        <v>83931</v>
      </c>
      <c r="D2325">
        <v>563082</v>
      </c>
      <c r="E2325">
        <v>411794</v>
      </c>
      <c r="F2325">
        <v>9.1999999999999993</v>
      </c>
      <c r="G2325">
        <v>7.3</v>
      </c>
      <c r="H2325">
        <v>21.9</v>
      </c>
      <c r="I2325">
        <v>21.6</v>
      </c>
    </row>
    <row r="2326" spans="1:9" ht="24" customHeight="1">
      <c r="A2326" s="6" t="s">
        <v>3594</v>
      </c>
      <c r="B2326">
        <v>260093</v>
      </c>
      <c r="C2326">
        <v>61144</v>
      </c>
      <c r="D2326">
        <v>611335</v>
      </c>
      <c r="E2326">
        <v>451291</v>
      </c>
      <c r="F2326">
        <v>10.3</v>
      </c>
      <c r="G2326">
        <v>8.6</v>
      </c>
      <c r="H2326">
        <v>26.9</v>
      </c>
      <c r="I2326">
        <v>26.9</v>
      </c>
    </row>
    <row r="2327" spans="1:9" ht="24" customHeight="1">
      <c r="A2327" s="6" t="s">
        <v>3595</v>
      </c>
      <c r="B2327">
        <v>309104</v>
      </c>
      <c r="C2327">
        <v>178349</v>
      </c>
      <c r="D2327">
        <v>401813</v>
      </c>
      <c r="E2327">
        <v>327547</v>
      </c>
      <c r="F2327">
        <v>13.9</v>
      </c>
      <c r="G2327">
        <v>8.5</v>
      </c>
      <c r="H2327">
        <v>3.5</v>
      </c>
      <c r="I2327">
        <v>3.5</v>
      </c>
    </row>
    <row r="2328" spans="1:9" ht="24" customHeight="1">
      <c r="A2328" s="6" t="s">
        <v>641</v>
      </c>
      <c r="B2328">
        <v>372734</v>
      </c>
      <c r="C2328">
        <v>75762</v>
      </c>
      <c r="D2328">
        <v>625446</v>
      </c>
      <c r="E2328">
        <v>474909</v>
      </c>
      <c r="F2328">
        <v>7.4</v>
      </c>
      <c r="G2328">
        <v>7.7</v>
      </c>
      <c r="H2328">
        <v>34.1</v>
      </c>
      <c r="I2328">
        <v>33.799999999999997</v>
      </c>
    </row>
    <row r="2329" spans="1:9" ht="24" customHeight="1">
      <c r="A2329" s="6" t="s">
        <v>3596</v>
      </c>
      <c r="B2329">
        <v>540997</v>
      </c>
      <c r="C2329">
        <v>284159</v>
      </c>
      <c r="D2329">
        <v>430163</v>
      </c>
      <c r="E2329">
        <v>345380</v>
      </c>
      <c r="F2329">
        <v>12.3</v>
      </c>
      <c r="G2329">
        <v>9.6</v>
      </c>
      <c r="H2329">
        <v>6.9</v>
      </c>
      <c r="I2329">
        <v>6.7</v>
      </c>
    </row>
    <row r="2330" spans="1:9" ht="24" customHeight="1">
      <c r="A2330" s="6" t="s">
        <v>642</v>
      </c>
      <c r="B2330">
        <v>23128</v>
      </c>
      <c r="C2330">
        <v>40418</v>
      </c>
      <c r="D2330">
        <v>382575</v>
      </c>
      <c r="E2330">
        <v>247606</v>
      </c>
      <c r="F2330">
        <v>7.1</v>
      </c>
      <c r="G2330">
        <v>3.1</v>
      </c>
      <c r="H2330">
        <v>0</v>
      </c>
      <c r="I2330">
        <v>0</v>
      </c>
    </row>
    <row r="2331" spans="1:9" ht="24" customHeight="1">
      <c r="A2331" s="6" t="s">
        <v>3597</v>
      </c>
      <c r="B2331">
        <v>38820</v>
      </c>
      <c r="C2331">
        <v>66631</v>
      </c>
      <c r="D2331">
        <v>490265</v>
      </c>
      <c r="E2331">
        <v>305747</v>
      </c>
      <c r="F2331">
        <v>17.7</v>
      </c>
      <c r="G2331">
        <v>7.5</v>
      </c>
      <c r="H2331">
        <v>1.5</v>
      </c>
      <c r="I2331">
        <v>1.5</v>
      </c>
    </row>
    <row r="2332" spans="1:9" ht="24" customHeight="1">
      <c r="A2332" s="6" t="s">
        <v>3598</v>
      </c>
      <c r="B2332">
        <v>53673</v>
      </c>
      <c r="C2332">
        <v>83457</v>
      </c>
      <c r="D2332">
        <v>758867</v>
      </c>
      <c r="E2332">
        <v>425906</v>
      </c>
      <c r="F2332">
        <v>17.3</v>
      </c>
      <c r="G2332">
        <v>8.6</v>
      </c>
      <c r="H2332">
        <v>12.2</v>
      </c>
      <c r="I2332">
        <v>12.2</v>
      </c>
    </row>
    <row r="2333" spans="1:9" ht="24" customHeight="1">
      <c r="A2333" s="6" t="s">
        <v>3599</v>
      </c>
      <c r="B2333">
        <v>60227</v>
      </c>
      <c r="C2333">
        <v>73176</v>
      </c>
      <c r="D2333">
        <v>880145</v>
      </c>
      <c r="E2333">
        <v>478073</v>
      </c>
      <c r="F2333">
        <v>12.6</v>
      </c>
      <c r="G2333">
        <v>9.1</v>
      </c>
      <c r="H2333">
        <v>16.7</v>
      </c>
      <c r="I2333">
        <v>16.600000000000001</v>
      </c>
    </row>
    <row r="2334" spans="1:9" ht="24" customHeight="1">
      <c r="A2334" s="6" t="s">
        <v>3600</v>
      </c>
      <c r="B2334">
        <v>40170</v>
      </c>
      <c r="C2334">
        <v>36525</v>
      </c>
      <c r="D2334">
        <v>892766</v>
      </c>
      <c r="E2334">
        <v>522792</v>
      </c>
      <c r="F2334">
        <v>7.4</v>
      </c>
      <c r="G2334">
        <v>8.5</v>
      </c>
      <c r="H2334">
        <v>22</v>
      </c>
      <c r="I2334">
        <v>21.8</v>
      </c>
    </row>
    <row r="2335" spans="1:9" ht="24" customHeight="1">
      <c r="A2335" s="6" t="s">
        <v>3601</v>
      </c>
      <c r="B2335">
        <v>40322</v>
      </c>
      <c r="C2335">
        <v>29208</v>
      </c>
      <c r="D2335">
        <v>910046</v>
      </c>
      <c r="E2335">
        <v>581430</v>
      </c>
      <c r="F2335">
        <v>5.7</v>
      </c>
      <c r="G2335">
        <v>9.3000000000000007</v>
      </c>
      <c r="H2335">
        <v>27.1</v>
      </c>
      <c r="I2335">
        <v>26.8</v>
      </c>
    </row>
    <row r="2336" spans="1:9" ht="24" customHeight="1">
      <c r="A2336" s="6" t="s">
        <v>3602</v>
      </c>
      <c r="B2336">
        <v>34309</v>
      </c>
      <c r="C2336">
        <v>54286</v>
      </c>
      <c r="D2336">
        <v>584508</v>
      </c>
      <c r="E2336">
        <v>336927</v>
      </c>
      <c r="F2336">
        <v>21.2</v>
      </c>
      <c r="G2336">
        <v>8.4</v>
      </c>
      <c r="H2336">
        <v>3.5</v>
      </c>
      <c r="I2336">
        <v>3.5</v>
      </c>
    </row>
    <row r="2337" spans="1:9" ht="24" customHeight="1">
      <c r="A2337" s="6" t="s">
        <v>643</v>
      </c>
      <c r="B2337">
        <v>71192</v>
      </c>
      <c r="C2337">
        <v>56707</v>
      </c>
      <c r="D2337">
        <v>807199</v>
      </c>
      <c r="E2337">
        <v>523596</v>
      </c>
      <c r="F2337">
        <v>7</v>
      </c>
      <c r="G2337">
        <v>9.8000000000000007</v>
      </c>
      <c r="H2337">
        <v>33.700000000000003</v>
      </c>
      <c r="I2337">
        <v>34.200000000000003</v>
      </c>
    </row>
    <row r="2338" spans="1:9" ht="24" customHeight="1">
      <c r="A2338" s="6" t="s">
        <v>3603</v>
      </c>
      <c r="B2338">
        <v>67467</v>
      </c>
      <c r="C2338">
        <v>107957</v>
      </c>
      <c r="D2338">
        <v>642848</v>
      </c>
      <c r="E2338">
        <v>388068</v>
      </c>
      <c r="F2338">
        <v>18.5</v>
      </c>
      <c r="G2338">
        <v>11.5</v>
      </c>
      <c r="H2338">
        <v>6.8</v>
      </c>
      <c r="I2338">
        <v>6.8</v>
      </c>
    </row>
    <row r="2339" spans="1:9" ht="24" customHeight="1">
      <c r="A2339" s="6" t="s">
        <v>644</v>
      </c>
      <c r="B2339">
        <v>24366</v>
      </c>
      <c r="C2339">
        <v>15545</v>
      </c>
      <c r="D2339">
        <v>318201</v>
      </c>
      <c r="E2339">
        <v>266149</v>
      </c>
      <c r="F2339">
        <v>8.3000000000000007</v>
      </c>
      <c r="G2339">
        <v>6.1</v>
      </c>
      <c r="H2339">
        <v>0</v>
      </c>
      <c r="I2339">
        <v>0</v>
      </c>
    </row>
    <row r="2340" spans="1:9" ht="24" customHeight="1">
      <c r="A2340" s="6" t="s">
        <v>3604</v>
      </c>
      <c r="B2340">
        <v>36367</v>
      </c>
      <c r="C2340">
        <v>25715</v>
      </c>
      <c r="D2340">
        <v>404104</v>
      </c>
      <c r="E2340">
        <v>312820</v>
      </c>
      <c r="F2340">
        <v>13.1</v>
      </c>
      <c r="G2340">
        <v>9</v>
      </c>
      <c r="H2340">
        <v>1.5</v>
      </c>
      <c r="I2340">
        <v>1.5</v>
      </c>
    </row>
    <row r="2341" spans="1:9" ht="24" customHeight="1">
      <c r="A2341" s="6" t="s">
        <v>3605</v>
      </c>
      <c r="B2341">
        <v>37097</v>
      </c>
      <c r="C2341">
        <v>18670</v>
      </c>
      <c r="D2341">
        <v>624270</v>
      </c>
      <c r="E2341">
        <v>425427</v>
      </c>
      <c r="F2341">
        <v>11.5</v>
      </c>
      <c r="G2341">
        <v>6.5</v>
      </c>
      <c r="H2341">
        <v>12</v>
      </c>
      <c r="I2341">
        <v>11.7</v>
      </c>
    </row>
    <row r="2342" spans="1:9" ht="24" customHeight="1">
      <c r="A2342" s="6" t="s">
        <v>3606</v>
      </c>
      <c r="B2342">
        <v>37733</v>
      </c>
      <c r="C2342">
        <v>16823</v>
      </c>
      <c r="D2342">
        <v>681525</v>
      </c>
      <c r="E2342">
        <v>473948</v>
      </c>
      <c r="F2342">
        <v>10.199999999999999</v>
      </c>
      <c r="G2342">
        <v>7.7</v>
      </c>
      <c r="H2342">
        <v>16.600000000000001</v>
      </c>
      <c r="I2342">
        <v>16.7</v>
      </c>
    </row>
    <row r="2343" spans="1:9" ht="24" customHeight="1">
      <c r="A2343" s="6" t="s">
        <v>3607</v>
      </c>
      <c r="B2343">
        <v>19567</v>
      </c>
      <c r="C2343">
        <v>7813</v>
      </c>
      <c r="D2343">
        <v>708140</v>
      </c>
      <c r="E2343">
        <v>574107</v>
      </c>
      <c r="F2343">
        <v>7.4</v>
      </c>
      <c r="G2343">
        <v>9.6</v>
      </c>
      <c r="H2343">
        <v>21.7</v>
      </c>
      <c r="I2343">
        <v>21.8</v>
      </c>
    </row>
    <row r="2344" spans="1:9" ht="24" customHeight="1">
      <c r="A2344" s="6" t="s">
        <v>3608</v>
      </c>
      <c r="B2344">
        <v>16707</v>
      </c>
      <c r="C2344">
        <v>6092</v>
      </c>
      <c r="D2344">
        <v>746936</v>
      </c>
      <c r="E2344">
        <v>588601</v>
      </c>
      <c r="F2344">
        <v>7.5</v>
      </c>
      <c r="G2344">
        <v>8.6</v>
      </c>
      <c r="H2344">
        <v>26.8</v>
      </c>
      <c r="I2344">
        <v>26.4</v>
      </c>
    </row>
    <row r="2345" spans="1:9" ht="24" customHeight="1">
      <c r="A2345" s="6" t="s">
        <v>3609</v>
      </c>
      <c r="B2345">
        <v>35898</v>
      </c>
      <c r="C2345">
        <v>25026</v>
      </c>
      <c r="D2345">
        <v>467162</v>
      </c>
      <c r="E2345">
        <v>349741</v>
      </c>
      <c r="F2345">
        <v>14.4</v>
      </c>
      <c r="G2345">
        <v>9.1999999999999993</v>
      </c>
      <c r="H2345">
        <v>3.4</v>
      </c>
      <c r="I2345">
        <v>3.5</v>
      </c>
    </row>
    <row r="2346" spans="1:9" ht="24" customHeight="1">
      <c r="A2346" s="6" t="s">
        <v>645</v>
      </c>
      <c r="B2346">
        <v>20250</v>
      </c>
      <c r="C2346">
        <v>5450</v>
      </c>
      <c r="D2346">
        <v>808271</v>
      </c>
      <c r="E2346">
        <v>660675</v>
      </c>
      <c r="F2346">
        <v>7.8</v>
      </c>
      <c r="G2346">
        <v>7.4</v>
      </c>
      <c r="H2346">
        <v>33.5</v>
      </c>
      <c r="I2346">
        <v>33.6</v>
      </c>
    </row>
    <row r="2347" spans="1:9" ht="24" customHeight="1">
      <c r="A2347" s="6" t="s">
        <v>3610</v>
      </c>
      <c r="B2347">
        <v>61688</v>
      </c>
      <c r="C2347">
        <v>38832</v>
      </c>
      <c r="D2347">
        <v>514749</v>
      </c>
      <c r="E2347">
        <v>382238</v>
      </c>
      <c r="F2347">
        <v>13.3</v>
      </c>
      <c r="G2347">
        <v>9.1</v>
      </c>
      <c r="H2347">
        <v>6.8</v>
      </c>
      <c r="I2347">
        <v>6.7</v>
      </c>
    </row>
    <row r="2348" spans="1:9" ht="24" customHeight="1">
      <c r="A2348" s="6" t="s">
        <v>646</v>
      </c>
      <c r="B2348">
        <v>53639</v>
      </c>
      <c r="C2348">
        <v>33290</v>
      </c>
      <c r="D2348">
        <v>358995</v>
      </c>
      <c r="E2348">
        <v>286211</v>
      </c>
      <c r="F2348">
        <v>9.3000000000000007</v>
      </c>
      <c r="G2348">
        <v>6.7</v>
      </c>
      <c r="H2348">
        <v>0</v>
      </c>
      <c r="I2348">
        <v>0</v>
      </c>
    </row>
    <row r="2349" spans="1:9" ht="24" customHeight="1">
      <c r="A2349" s="6" t="s">
        <v>3611</v>
      </c>
      <c r="B2349">
        <v>103304</v>
      </c>
      <c r="C2349">
        <v>59915</v>
      </c>
      <c r="D2349">
        <v>476517</v>
      </c>
      <c r="E2349">
        <v>371195</v>
      </c>
      <c r="F2349">
        <v>13.2</v>
      </c>
      <c r="G2349">
        <v>11</v>
      </c>
      <c r="H2349">
        <v>1.5</v>
      </c>
      <c r="I2349">
        <v>1.5</v>
      </c>
    </row>
    <row r="2350" spans="1:9" ht="24" customHeight="1">
      <c r="A2350" s="6" t="s">
        <v>3612</v>
      </c>
      <c r="B2350">
        <v>94505</v>
      </c>
      <c r="C2350">
        <v>33917</v>
      </c>
      <c r="D2350">
        <v>603743</v>
      </c>
      <c r="E2350">
        <v>450048</v>
      </c>
      <c r="F2350">
        <v>15</v>
      </c>
      <c r="G2350">
        <v>9.8000000000000007</v>
      </c>
      <c r="H2350">
        <v>11.9</v>
      </c>
      <c r="I2350">
        <v>11.9</v>
      </c>
    </row>
    <row r="2351" spans="1:9" ht="24" customHeight="1">
      <c r="A2351" s="6" t="s">
        <v>3613</v>
      </c>
      <c r="B2351">
        <v>90302</v>
      </c>
      <c r="C2351">
        <v>26167</v>
      </c>
      <c r="D2351">
        <v>680887</v>
      </c>
      <c r="E2351">
        <v>478289</v>
      </c>
      <c r="F2351">
        <v>15.4</v>
      </c>
      <c r="G2351">
        <v>8.3000000000000007</v>
      </c>
      <c r="H2351">
        <v>16.8</v>
      </c>
      <c r="I2351">
        <v>16.600000000000001</v>
      </c>
    </row>
    <row r="2352" spans="1:9" ht="24" customHeight="1">
      <c r="A2352" s="6" t="s">
        <v>3614</v>
      </c>
      <c r="B2352">
        <v>54385</v>
      </c>
      <c r="C2352">
        <v>15208</v>
      </c>
      <c r="D2352">
        <v>742961</v>
      </c>
      <c r="E2352">
        <v>533442</v>
      </c>
      <c r="F2352">
        <v>12.7</v>
      </c>
      <c r="G2352">
        <v>7.4</v>
      </c>
      <c r="H2352">
        <v>21.9</v>
      </c>
      <c r="I2352">
        <v>21.8</v>
      </c>
    </row>
    <row r="2353" spans="1:9" ht="24" customHeight="1">
      <c r="A2353" s="6" t="s">
        <v>3615</v>
      </c>
      <c r="B2353">
        <v>56054</v>
      </c>
      <c r="C2353">
        <v>11386</v>
      </c>
      <c r="D2353">
        <v>771384</v>
      </c>
      <c r="E2353">
        <v>528943</v>
      </c>
      <c r="F2353">
        <v>8.6</v>
      </c>
      <c r="G2353">
        <v>7.1</v>
      </c>
      <c r="H2353">
        <v>27</v>
      </c>
      <c r="I2353">
        <v>27.1</v>
      </c>
    </row>
    <row r="2354" spans="1:9" ht="24" customHeight="1">
      <c r="A2354" s="6" t="s">
        <v>3616</v>
      </c>
      <c r="B2354">
        <v>83153</v>
      </c>
      <c r="C2354">
        <v>42126</v>
      </c>
      <c r="D2354">
        <v>510031</v>
      </c>
      <c r="E2354">
        <v>379934</v>
      </c>
      <c r="F2354">
        <v>13.2</v>
      </c>
      <c r="G2354">
        <v>11.1</v>
      </c>
      <c r="H2354">
        <v>3.5</v>
      </c>
      <c r="I2354">
        <v>3.5</v>
      </c>
    </row>
    <row r="2355" spans="1:9" ht="24" customHeight="1">
      <c r="A2355" s="6" t="s">
        <v>647</v>
      </c>
      <c r="B2355">
        <v>85376</v>
      </c>
      <c r="C2355">
        <v>15448</v>
      </c>
      <c r="D2355">
        <v>777719</v>
      </c>
      <c r="E2355">
        <v>599903</v>
      </c>
      <c r="F2355">
        <v>8.3000000000000007</v>
      </c>
      <c r="G2355">
        <v>7.9</v>
      </c>
      <c r="H2355">
        <v>34.1</v>
      </c>
      <c r="I2355">
        <v>33.6</v>
      </c>
    </row>
    <row r="2356" spans="1:9" ht="24" customHeight="1">
      <c r="A2356" s="6" t="s">
        <v>3617</v>
      </c>
      <c r="B2356">
        <v>150422</v>
      </c>
      <c r="C2356">
        <v>80041</v>
      </c>
      <c r="D2356">
        <v>580095</v>
      </c>
      <c r="E2356">
        <v>435059</v>
      </c>
      <c r="F2356">
        <v>14.5</v>
      </c>
      <c r="G2356">
        <v>10.9</v>
      </c>
      <c r="H2356">
        <v>6.9</v>
      </c>
      <c r="I2356">
        <v>6.5</v>
      </c>
    </row>
    <row r="2357" spans="1:9" ht="24" customHeight="1">
      <c r="A2357" s="6" t="s">
        <v>648</v>
      </c>
      <c r="B2357">
        <v>29061</v>
      </c>
      <c r="C2357">
        <v>25675</v>
      </c>
      <c r="D2357">
        <v>287265</v>
      </c>
      <c r="E2357">
        <v>228123</v>
      </c>
      <c r="F2357">
        <v>13</v>
      </c>
      <c r="G2357">
        <v>7.1</v>
      </c>
      <c r="H2357">
        <v>0</v>
      </c>
      <c r="I2357">
        <v>0</v>
      </c>
    </row>
    <row r="2358" spans="1:9" ht="24" customHeight="1">
      <c r="A2358" s="6" t="s">
        <v>3618</v>
      </c>
      <c r="B2358">
        <v>38449</v>
      </c>
      <c r="C2358">
        <v>34218</v>
      </c>
      <c r="D2358">
        <v>304403</v>
      </c>
      <c r="E2358">
        <v>261234</v>
      </c>
      <c r="F2358">
        <v>16.8</v>
      </c>
      <c r="G2358">
        <v>13.4</v>
      </c>
      <c r="H2358">
        <v>1.4</v>
      </c>
      <c r="I2358">
        <v>1.4</v>
      </c>
    </row>
    <row r="2359" spans="1:9" ht="24" customHeight="1">
      <c r="A2359" s="6" t="s">
        <v>3619</v>
      </c>
      <c r="B2359">
        <v>52107</v>
      </c>
      <c r="C2359">
        <v>24904</v>
      </c>
      <c r="D2359">
        <v>385926</v>
      </c>
      <c r="E2359">
        <v>303304</v>
      </c>
      <c r="F2359">
        <v>13.6</v>
      </c>
      <c r="G2359">
        <v>12</v>
      </c>
      <c r="H2359">
        <v>11.7</v>
      </c>
      <c r="I2359">
        <v>11.8</v>
      </c>
    </row>
    <row r="2360" spans="1:9" ht="24" customHeight="1">
      <c r="A2360" s="6" t="s">
        <v>3620</v>
      </c>
      <c r="B2360">
        <v>40479</v>
      </c>
      <c r="C2360">
        <v>19909</v>
      </c>
      <c r="D2360">
        <v>421813</v>
      </c>
      <c r="E2360">
        <v>334889</v>
      </c>
      <c r="F2360">
        <v>14.6</v>
      </c>
      <c r="G2360">
        <v>12.3</v>
      </c>
      <c r="H2360">
        <v>16.8</v>
      </c>
      <c r="I2360">
        <v>16.5</v>
      </c>
    </row>
    <row r="2361" spans="1:9" ht="24" customHeight="1">
      <c r="A2361" s="6" t="s">
        <v>3621</v>
      </c>
      <c r="B2361">
        <v>29365</v>
      </c>
      <c r="C2361">
        <v>11180</v>
      </c>
      <c r="D2361">
        <v>467181</v>
      </c>
      <c r="E2361">
        <v>367179</v>
      </c>
      <c r="F2361">
        <v>17.5</v>
      </c>
      <c r="G2361">
        <v>10.8</v>
      </c>
      <c r="H2361">
        <v>21.8</v>
      </c>
      <c r="I2361">
        <v>21.7</v>
      </c>
    </row>
    <row r="2362" spans="1:9" ht="24" customHeight="1">
      <c r="A2362" s="6" t="s">
        <v>3622</v>
      </c>
      <c r="B2362">
        <v>19241</v>
      </c>
      <c r="C2362">
        <v>7313</v>
      </c>
      <c r="D2362">
        <v>478760</v>
      </c>
      <c r="E2362">
        <v>375409</v>
      </c>
      <c r="F2362">
        <v>12.8</v>
      </c>
      <c r="G2362">
        <v>10.4</v>
      </c>
      <c r="H2362">
        <v>26.6</v>
      </c>
      <c r="I2362">
        <v>26.6</v>
      </c>
    </row>
    <row r="2363" spans="1:9" ht="24" customHeight="1">
      <c r="A2363" s="6" t="s">
        <v>3623</v>
      </c>
      <c r="B2363">
        <v>41626</v>
      </c>
      <c r="C2363">
        <v>31772</v>
      </c>
      <c r="D2363">
        <v>332753</v>
      </c>
      <c r="E2363">
        <v>288361</v>
      </c>
      <c r="F2363">
        <v>15.3</v>
      </c>
      <c r="G2363">
        <v>12.1</v>
      </c>
      <c r="H2363">
        <v>3.5</v>
      </c>
      <c r="I2363">
        <v>3.5</v>
      </c>
    </row>
    <row r="2364" spans="1:9" ht="24" customHeight="1">
      <c r="A2364" s="6" t="s">
        <v>649</v>
      </c>
      <c r="B2364">
        <v>20751</v>
      </c>
      <c r="C2364">
        <v>5570</v>
      </c>
      <c r="D2364">
        <v>493146</v>
      </c>
      <c r="E2364">
        <v>370365</v>
      </c>
      <c r="F2364">
        <v>12.7</v>
      </c>
      <c r="G2364">
        <v>8.6</v>
      </c>
      <c r="H2364">
        <v>35.1</v>
      </c>
      <c r="I2364">
        <v>35.5</v>
      </c>
    </row>
    <row r="2365" spans="1:9" ht="24" customHeight="1">
      <c r="A2365" s="6" t="s">
        <v>3624</v>
      </c>
      <c r="B2365">
        <v>79314</v>
      </c>
      <c r="C2365">
        <v>46281</v>
      </c>
      <c r="D2365">
        <v>358057</v>
      </c>
      <c r="E2365">
        <v>301605</v>
      </c>
      <c r="F2365">
        <v>15.4</v>
      </c>
      <c r="G2365">
        <v>13</v>
      </c>
      <c r="H2365">
        <v>6.8</v>
      </c>
      <c r="I2365">
        <v>6.7</v>
      </c>
    </row>
    <row r="2366" spans="1:9" ht="24" customHeight="1">
      <c r="A2366" s="6" t="s">
        <v>650</v>
      </c>
      <c r="B2366">
        <v>14450</v>
      </c>
      <c r="C2366">
        <v>19446</v>
      </c>
      <c r="D2366">
        <v>275401</v>
      </c>
      <c r="E2366">
        <v>224467</v>
      </c>
      <c r="F2366">
        <v>7.2</v>
      </c>
      <c r="G2366">
        <v>5.4</v>
      </c>
      <c r="H2366">
        <v>0</v>
      </c>
      <c r="I2366">
        <v>0</v>
      </c>
    </row>
    <row r="2367" spans="1:9" ht="24" customHeight="1">
      <c r="A2367" s="6" t="s">
        <v>3625</v>
      </c>
      <c r="B2367">
        <v>24412</v>
      </c>
      <c r="C2367">
        <v>25041</v>
      </c>
      <c r="D2367">
        <v>316810</v>
      </c>
      <c r="E2367">
        <v>257574</v>
      </c>
      <c r="F2367">
        <v>9.1</v>
      </c>
      <c r="G2367">
        <v>6.1</v>
      </c>
      <c r="H2367">
        <v>1.5</v>
      </c>
      <c r="I2367">
        <v>1.5</v>
      </c>
    </row>
    <row r="2368" spans="1:9" ht="24" customHeight="1">
      <c r="A2368" s="6" t="s">
        <v>3626</v>
      </c>
      <c r="B2368">
        <v>37804</v>
      </c>
      <c r="C2368">
        <v>24750</v>
      </c>
      <c r="D2368">
        <v>417536</v>
      </c>
      <c r="E2368">
        <v>323630</v>
      </c>
      <c r="F2368">
        <v>9.6999999999999993</v>
      </c>
      <c r="G2368">
        <v>7.8</v>
      </c>
      <c r="H2368">
        <v>11.9</v>
      </c>
      <c r="I2368">
        <v>11.8</v>
      </c>
    </row>
    <row r="2369" spans="1:9" ht="24" customHeight="1">
      <c r="A2369" s="6" t="s">
        <v>3627</v>
      </c>
      <c r="B2369">
        <v>40232</v>
      </c>
      <c r="C2369">
        <v>19460</v>
      </c>
      <c r="D2369">
        <v>464975</v>
      </c>
      <c r="E2369">
        <v>351143</v>
      </c>
      <c r="F2369">
        <v>8.6</v>
      </c>
      <c r="G2369">
        <v>7.9</v>
      </c>
      <c r="H2369">
        <v>16.899999999999999</v>
      </c>
      <c r="I2369">
        <v>16.7</v>
      </c>
    </row>
    <row r="2370" spans="1:9" ht="24" customHeight="1">
      <c r="A2370" s="6" t="s">
        <v>3628</v>
      </c>
      <c r="B2370">
        <v>24455</v>
      </c>
      <c r="C2370">
        <v>10210</v>
      </c>
      <c r="D2370">
        <v>504876</v>
      </c>
      <c r="E2370">
        <v>392869</v>
      </c>
      <c r="F2370">
        <v>9.1999999999999993</v>
      </c>
      <c r="G2370">
        <v>8.4</v>
      </c>
      <c r="H2370">
        <v>21.8</v>
      </c>
      <c r="I2370">
        <v>21.7</v>
      </c>
    </row>
    <row r="2371" spans="1:9" ht="24" customHeight="1">
      <c r="A2371" s="6" t="s">
        <v>3629</v>
      </c>
      <c r="B2371">
        <v>15027</v>
      </c>
      <c r="C2371">
        <v>6078</v>
      </c>
      <c r="D2371">
        <v>532326</v>
      </c>
      <c r="E2371">
        <v>406496</v>
      </c>
      <c r="F2371">
        <v>8.1999999999999993</v>
      </c>
      <c r="G2371">
        <v>6.3</v>
      </c>
      <c r="H2371">
        <v>26.8</v>
      </c>
      <c r="I2371">
        <v>26.8</v>
      </c>
    </row>
    <row r="2372" spans="1:9" ht="24" customHeight="1">
      <c r="A2372" s="6" t="s">
        <v>3630</v>
      </c>
      <c r="B2372">
        <v>27223</v>
      </c>
      <c r="C2372">
        <v>27353</v>
      </c>
      <c r="D2372">
        <v>347766</v>
      </c>
      <c r="E2372">
        <v>290691</v>
      </c>
      <c r="F2372">
        <v>12.2</v>
      </c>
      <c r="G2372">
        <v>8.5</v>
      </c>
      <c r="H2372">
        <v>3.5</v>
      </c>
      <c r="I2372">
        <v>3.4</v>
      </c>
    </row>
    <row r="2373" spans="1:9" ht="24" customHeight="1">
      <c r="A2373" s="6" t="s">
        <v>651</v>
      </c>
      <c r="B2373">
        <v>21827</v>
      </c>
      <c r="C2373">
        <v>6757</v>
      </c>
      <c r="D2373">
        <v>568944</v>
      </c>
      <c r="E2373">
        <v>414744</v>
      </c>
      <c r="F2373">
        <v>8</v>
      </c>
      <c r="G2373">
        <v>6.9</v>
      </c>
      <c r="H2373">
        <v>33.700000000000003</v>
      </c>
      <c r="I2373">
        <v>34.200000000000003</v>
      </c>
    </row>
    <row r="2374" spans="1:9" ht="24" customHeight="1">
      <c r="A2374" s="6" t="s">
        <v>3631</v>
      </c>
      <c r="B2374">
        <v>54848</v>
      </c>
      <c r="C2374">
        <v>40492</v>
      </c>
      <c r="D2374">
        <v>368457</v>
      </c>
      <c r="E2374">
        <v>301294</v>
      </c>
      <c r="F2374">
        <v>10.5</v>
      </c>
      <c r="G2374">
        <v>7.8</v>
      </c>
      <c r="H2374">
        <v>6.9</v>
      </c>
      <c r="I2374">
        <v>6.8</v>
      </c>
    </row>
    <row r="2375" spans="1:9" ht="24" customHeight="1">
      <c r="A2375" s="6" t="s">
        <v>652</v>
      </c>
      <c r="B2375">
        <v>14836</v>
      </c>
      <c r="C2375">
        <v>23769</v>
      </c>
      <c r="D2375">
        <v>341569</v>
      </c>
      <c r="E2375">
        <v>269953</v>
      </c>
      <c r="F2375">
        <v>5.6</v>
      </c>
      <c r="G2375">
        <v>4.4000000000000004</v>
      </c>
      <c r="H2375">
        <v>0</v>
      </c>
      <c r="I2375">
        <v>0</v>
      </c>
    </row>
    <row r="2376" spans="1:9" ht="24" customHeight="1">
      <c r="A2376" s="6" t="s">
        <v>3632</v>
      </c>
      <c r="B2376">
        <v>30228</v>
      </c>
      <c r="C2376">
        <v>42270</v>
      </c>
      <c r="D2376">
        <v>447065</v>
      </c>
      <c r="E2376">
        <v>327072</v>
      </c>
      <c r="F2376">
        <v>8.8000000000000007</v>
      </c>
      <c r="G2376">
        <v>5.4</v>
      </c>
      <c r="H2376">
        <v>1.5</v>
      </c>
      <c r="I2376">
        <v>1.5</v>
      </c>
    </row>
    <row r="2377" spans="1:9" ht="24" customHeight="1">
      <c r="A2377" s="6" t="s">
        <v>3633</v>
      </c>
      <c r="B2377">
        <v>44832</v>
      </c>
      <c r="C2377">
        <v>39828</v>
      </c>
      <c r="D2377">
        <v>640921</v>
      </c>
      <c r="E2377">
        <v>453081</v>
      </c>
      <c r="F2377">
        <v>7.6</v>
      </c>
      <c r="G2377">
        <v>5</v>
      </c>
      <c r="H2377">
        <v>11.9</v>
      </c>
      <c r="I2377">
        <v>11.8</v>
      </c>
    </row>
    <row r="2378" spans="1:9" ht="24" customHeight="1">
      <c r="A2378" s="6" t="s">
        <v>3634</v>
      </c>
      <c r="B2378">
        <v>39688</v>
      </c>
      <c r="C2378">
        <v>30634</v>
      </c>
      <c r="D2378">
        <v>679866</v>
      </c>
      <c r="E2378">
        <v>520256</v>
      </c>
      <c r="F2378">
        <v>6.9</v>
      </c>
      <c r="G2378">
        <v>5</v>
      </c>
      <c r="H2378">
        <v>16.899999999999999</v>
      </c>
      <c r="I2378">
        <v>16.899999999999999</v>
      </c>
    </row>
    <row r="2379" spans="1:9" ht="24" customHeight="1">
      <c r="A2379" s="6" t="s">
        <v>3635</v>
      </c>
      <c r="B2379">
        <v>28675</v>
      </c>
      <c r="C2379">
        <v>19002</v>
      </c>
      <c r="D2379">
        <v>703832</v>
      </c>
      <c r="E2379">
        <v>552023</v>
      </c>
      <c r="F2379">
        <v>6</v>
      </c>
      <c r="G2379">
        <v>4</v>
      </c>
      <c r="H2379">
        <v>21.9</v>
      </c>
      <c r="I2379">
        <v>21.9</v>
      </c>
    </row>
    <row r="2380" spans="1:9" ht="24" customHeight="1">
      <c r="A2380" s="6" t="s">
        <v>3636</v>
      </c>
      <c r="B2380">
        <v>25593</v>
      </c>
      <c r="C2380">
        <v>15103</v>
      </c>
      <c r="D2380">
        <v>738663</v>
      </c>
      <c r="E2380">
        <v>594649</v>
      </c>
      <c r="F2380">
        <v>5.4</v>
      </c>
      <c r="G2380">
        <v>4.8</v>
      </c>
      <c r="H2380">
        <v>26.9</v>
      </c>
      <c r="I2380">
        <v>26.9</v>
      </c>
    </row>
    <row r="2381" spans="1:9" ht="24" customHeight="1">
      <c r="A2381" s="6" t="s">
        <v>3637</v>
      </c>
      <c r="B2381">
        <v>28878</v>
      </c>
      <c r="C2381">
        <v>38368</v>
      </c>
      <c r="D2381">
        <v>493228</v>
      </c>
      <c r="E2381">
        <v>369659</v>
      </c>
      <c r="F2381">
        <v>8.3000000000000007</v>
      </c>
      <c r="G2381">
        <v>5.2</v>
      </c>
      <c r="H2381">
        <v>3.5</v>
      </c>
      <c r="I2381">
        <v>3.5</v>
      </c>
    </row>
    <row r="2382" spans="1:9" ht="24" customHeight="1">
      <c r="A2382" s="6" t="s">
        <v>653</v>
      </c>
      <c r="B2382">
        <v>42525</v>
      </c>
      <c r="C2382">
        <v>22050</v>
      </c>
      <c r="D2382">
        <v>761352</v>
      </c>
      <c r="E2382">
        <v>646200</v>
      </c>
      <c r="F2382">
        <v>5.3</v>
      </c>
      <c r="G2382">
        <v>4.4000000000000004</v>
      </c>
      <c r="H2382">
        <v>34.1</v>
      </c>
      <c r="I2382">
        <v>34.799999999999997</v>
      </c>
    </row>
    <row r="2383" spans="1:9" ht="24" customHeight="1">
      <c r="A2383" s="6" t="s">
        <v>3638</v>
      </c>
      <c r="B2383">
        <v>56679</v>
      </c>
      <c r="C2383">
        <v>67245</v>
      </c>
      <c r="D2383">
        <v>541583</v>
      </c>
      <c r="E2383">
        <v>399877</v>
      </c>
      <c r="F2383">
        <v>7.3</v>
      </c>
      <c r="G2383">
        <v>5.0999999999999996</v>
      </c>
      <c r="H2383">
        <v>6.9</v>
      </c>
      <c r="I2383">
        <v>6.8</v>
      </c>
    </row>
    <row r="2384" spans="1:9" ht="24" customHeight="1">
      <c r="A2384" s="6" t="s">
        <v>654</v>
      </c>
      <c r="B2384">
        <v>97030</v>
      </c>
      <c r="C2384">
        <v>257513</v>
      </c>
      <c r="D2384">
        <v>366752</v>
      </c>
      <c r="E2384">
        <v>262557</v>
      </c>
      <c r="F2384">
        <v>6.6</v>
      </c>
      <c r="G2384">
        <v>4</v>
      </c>
      <c r="H2384">
        <v>0</v>
      </c>
      <c r="I2384">
        <v>0</v>
      </c>
    </row>
    <row r="2385" spans="1:9" ht="24" customHeight="1">
      <c r="A2385" s="6" t="s">
        <v>3639</v>
      </c>
      <c r="B2385">
        <v>188964</v>
      </c>
      <c r="C2385">
        <v>464763</v>
      </c>
      <c r="D2385">
        <v>396532</v>
      </c>
      <c r="E2385">
        <v>321849</v>
      </c>
      <c r="F2385">
        <v>6.9</v>
      </c>
      <c r="G2385">
        <v>5.4</v>
      </c>
      <c r="H2385">
        <v>1.5</v>
      </c>
      <c r="I2385">
        <v>1.5</v>
      </c>
    </row>
    <row r="2386" spans="1:9" ht="24" customHeight="1">
      <c r="A2386" s="6" t="s">
        <v>3640</v>
      </c>
      <c r="B2386">
        <v>191979</v>
      </c>
      <c r="C2386">
        <v>395060</v>
      </c>
      <c r="D2386">
        <v>491689</v>
      </c>
      <c r="E2386">
        <v>378462</v>
      </c>
      <c r="F2386">
        <v>7.6</v>
      </c>
      <c r="G2386">
        <v>5.6</v>
      </c>
      <c r="H2386">
        <v>11.8</v>
      </c>
      <c r="I2386">
        <v>11.8</v>
      </c>
    </row>
    <row r="2387" spans="1:9" ht="24" customHeight="1">
      <c r="A2387" s="6" t="s">
        <v>3641</v>
      </c>
      <c r="B2387">
        <v>133111</v>
      </c>
      <c r="C2387">
        <v>254616</v>
      </c>
      <c r="D2387">
        <v>517180</v>
      </c>
      <c r="E2387">
        <v>407923</v>
      </c>
      <c r="F2387">
        <v>7</v>
      </c>
      <c r="G2387">
        <v>5.5</v>
      </c>
      <c r="H2387">
        <v>16.8</v>
      </c>
      <c r="I2387">
        <v>16.8</v>
      </c>
    </row>
    <row r="2388" spans="1:9" ht="24" customHeight="1">
      <c r="A2388" s="6" t="s">
        <v>3642</v>
      </c>
      <c r="B2388">
        <v>72950</v>
      </c>
      <c r="C2388">
        <v>150618</v>
      </c>
      <c r="D2388">
        <v>586034</v>
      </c>
      <c r="E2388">
        <v>432816</v>
      </c>
      <c r="F2388">
        <v>6.4</v>
      </c>
      <c r="G2388">
        <v>5.5</v>
      </c>
      <c r="H2388">
        <v>21.6</v>
      </c>
      <c r="I2388">
        <v>21.7</v>
      </c>
    </row>
    <row r="2389" spans="1:9" ht="24" customHeight="1">
      <c r="A2389" s="6" t="s">
        <v>3643</v>
      </c>
      <c r="B2389">
        <v>42262</v>
      </c>
      <c r="C2389">
        <v>91860</v>
      </c>
      <c r="D2389">
        <v>638898</v>
      </c>
      <c r="E2389">
        <v>490828</v>
      </c>
      <c r="F2389">
        <v>6.8</v>
      </c>
      <c r="G2389">
        <v>6.4</v>
      </c>
      <c r="H2389">
        <v>26.7</v>
      </c>
      <c r="I2389">
        <v>26.8</v>
      </c>
    </row>
    <row r="2390" spans="1:9" ht="24" customHeight="1">
      <c r="A2390" s="6" t="s">
        <v>3644</v>
      </c>
      <c r="B2390">
        <v>150033</v>
      </c>
      <c r="C2390">
        <v>379078</v>
      </c>
      <c r="D2390">
        <v>426678</v>
      </c>
      <c r="E2390">
        <v>342786</v>
      </c>
      <c r="F2390">
        <v>8.1999999999999993</v>
      </c>
      <c r="G2390">
        <v>5.6</v>
      </c>
      <c r="H2390">
        <v>3.5</v>
      </c>
      <c r="I2390">
        <v>3.5</v>
      </c>
    </row>
    <row r="2391" spans="1:9" ht="24" customHeight="1">
      <c r="A2391" s="6" t="s">
        <v>655</v>
      </c>
      <c r="B2391">
        <v>48820</v>
      </c>
      <c r="C2391">
        <v>93619</v>
      </c>
      <c r="D2391">
        <v>659668</v>
      </c>
      <c r="E2391">
        <v>540677</v>
      </c>
      <c r="F2391">
        <v>5.5</v>
      </c>
      <c r="G2391">
        <v>6.4</v>
      </c>
      <c r="H2391">
        <v>34.1</v>
      </c>
      <c r="I2391">
        <v>34.299999999999997</v>
      </c>
    </row>
    <row r="2392" spans="1:9" ht="24" customHeight="1">
      <c r="A2392" s="6" t="s">
        <v>3645</v>
      </c>
      <c r="B2392">
        <v>283640</v>
      </c>
      <c r="C2392">
        <v>644023</v>
      </c>
      <c r="D2392">
        <v>435063</v>
      </c>
      <c r="E2392">
        <v>354501</v>
      </c>
      <c r="F2392">
        <v>7.7</v>
      </c>
      <c r="G2392">
        <v>5.6</v>
      </c>
      <c r="H2392">
        <v>6.9</v>
      </c>
      <c r="I2392">
        <v>6.8</v>
      </c>
    </row>
    <row r="2393" spans="1:9" ht="24" customHeight="1">
      <c r="A2393" s="6" t="s">
        <v>656</v>
      </c>
      <c r="B2393">
        <v>3171</v>
      </c>
      <c r="C2393">
        <v>2717</v>
      </c>
      <c r="D2393">
        <v>233938</v>
      </c>
      <c r="E2393">
        <v>201174</v>
      </c>
      <c r="F2393">
        <v>8.9</v>
      </c>
      <c r="G2393">
        <v>2.8</v>
      </c>
      <c r="H2393">
        <v>0</v>
      </c>
      <c r="I2393">
        <v>0</v>
      </c>
    </row>
    <row r="2394" spans="1:9" ht="24" customHeight="1">
      <c r="A2394" s="6" t="s">
        <v>3646</v>
      </c>
      <c r="B2394">
        <v>5505</v>
      </c>
      <c r="C2394">
        <v>5842</v>
      </c>
      <c r="D2394">
        <v>303084</v>
      </c>
      <c r="E2394">
        <v>272299</v>
      </c>
      <c r="F2394">
        <v>11.2</v>
      </c>
      <c r="G2394">
        <v>6.4</v>
      </c>
      <c r="H2394">
        <v>1.5</v>
      </c>
      <c r="I2394">
        <v>1.4</v>
      </c>
    </row>
    <row r="2395" spans="1:9" ht="24" customHeight="1">
      <c r="A2395" s="6" t="s">
        <v>3647</v>
      </c>
      <c r="B2395">
        <v>18868</v>
      </c>
      <c r="C2395">
        <v>9962</v>
      </c>
      <c r="D2395">
        <v>469691</v>
      </c>
      <c r="E2395">
        <v>380846</v>
      </c>
      <c r="F2395">
        <v>13.8</v>
      </c>
      <c r="G2395">
        <v>7.3</v>
      </c>
      <c r="H2395">
        <v>12.2</v>
      </c>
      <c r="I2395">
        <v>12.1</v>
      </c>
    </row>
    <row r="2396" spans="1:9" ht="24" customHeight="1">
      <c r="A2396" s="6" t="s">
        <v>3648</v>
      </c>
      <c r="B2396">
        <v>15327</v>
      </c>
      <c r="C2396">
        <v>6564</v>
      </c>
      <c r="D2396">
        <v>506878</v>
      </c>
      <c r="E2396">
        <v>404561</v>
      </c>
      <c r="F2396">
        <v>11.3</v>
      </c>
      <c r="G2396">
        <v>4.9000000000000004</v>
      </c>
      <c r="H2396">
        <v>16.600000000000001</v>
      </c>
      <c r="I2396">
        <v>16.600000000000001</v>
      </c>
    </row>
    <row r="2397" spans="1:9" ht="24" customHeight="1">
      <c r="A2397" s="6" t="s">
        <v>3649</v>
      </c>
      <c r="B2397">
        <v>14216</v>
      </c>
      <c r="C2397">
        <v>4322</v>
      </c>
      <c r="D2397">
        <v>562124</v>
      </c>
      <c r="E2397">
        <v>456303</v>
      </c>
      <c r="F2397">
        <v>10.9</v>
      </c>
      <c r="G2397">
        <v>6.1</v>
      </c>
      <c r="H2397">
        <v>22.2</v>
      </c>
      <c r="I2397">
        <v>22.1</v>
      </c>
    </row>
    <row r="2398" spans="1:9" ht="24" customHeight="1">
      <c r="A2398" s="6" t="s">
        <v>3650</v>
      </c>
      <c r="B2398">
        <v>15665</v>
      </c>
      <c r="C2398">
        <v>5062</v>
      </c>
      <c r="D2398">
        <v>591375</v>
      </c>
      <c r="E2398">
        <v>475429</v>
      </c>
      <c r="F2398">
        <v>8</v>
      </c>
      <c r="G2398">
        <v>3.9</v>
      </c>
      <c r="H2398">
        <v>26.9</v>
      </c>
      <c r="I2398">
        <v>27</v>
      </c>
    </row>
    <row r="2399" spans="1:9" ht="24" customHeight="1">
      <c r="A2399" s="6" t="s">
        <v>3651</v>
      </c>
      <c r="B2399">
        <v>8049</v>
      </c>
      <c r="C2399">
        <v>5938</v>
      </c>
      <c r="D2399">
        <v>327982</v>
      </c>
      <c r="E2399">
        <v>296186</v>
      </c>
      <c r="F2399">
        <v>13.8</v>
      </c>
      <c r="G2399">
        <v>6.2</v>
      </c>
      <c r="H2399">
        <v>3.6</v>
      </c>
      <c r="I2399">
        <v>3.5</v>
      </c>
    </row>
    <row r="2400" spans="1:9" ht="24" customHeight="1">
      <c r="A2400" s="6" t="s">
        <v>657</v>
      </c>
      <c r="B2400">
        <v>32566</v>
      </c>
      <c r="C2400">
        <v>7568</v>
      </c>
      <c r="D2400">
        <v>612032</v>
      </c>
      <c r="E2400">
        <v>508757</v>
      </c>
      <c r="F2400">
        <v>6.6</v>
      </c>
      <c r="G2400">
        <v>3</v>
      </c>
      <c r="H2400">
        <v>34.4</v>
      </c>
      <c r="I2400">
        <v>33.9</v>
      </c>
    </row>
    <row r="2401" spans="1:9" ht="24" customHeight="1">
      <c r="A2401" s="6" t="s">
        <v>3652</v>
      </c>
      <c r="B2401">
        <v>18105</v>
      </c>
      <c r="C2401">
        <v>10545</v>
      </c>
      <c r="D2401">
        <v>372304</v>
      </c>
      <c r="E2401">
        <v>327295</v>
      </c>
      <c r="F2401">
        <v>13.2</v>
      </c>
      <c r="G2401">
        <v>7.4</v>
      </c>
      <c r="H2401">
        <v>6.8</v>
      </c>
      <c r="I2401">
        <v>6.8</v>
      </c>
    </row>
    <row r="2402" spans="1:9" ht="24" customHeight="1">
      <c r="A2402" s="6" t="s">
        <v>658</v>
      </c>
      <c r="B2402">
        <v>93534</v>
      </c>
      <c r="C2402">
        <v>50329</v>
      </c>
      <c r="D2402">
        <v>278558</v>
      </c>
      <c r="E2402">
        <v>238441</v>
      </c>
      <c r="F2402">
        <v>9.9</v>
      </c>
      <c r="G2402">
        <v>7.3</v>
      </c>
      <c r="H2402">
        <v>0</v>
      </c>
      <c r="I2402">
        <v>0</v>
      </c>
    </row>
    <row r="2403" spans="1:9" ht="24" customHeight="1">
      <c r="A2403" s="6" t="s">
        <v>3653</v>
      </c>
      <c r="B2403">
        <v>154336</v>
      </c>
      <c r="C2403">
        <v>67561</v>
      </c>
      <c r="D2403">
        <v>336919</v>
      </c>
      <c r="E2403">
        <v>285669</v>
      </c>
      <c r="F2403">
        <v>16</v>
      </c>
      <c r="G2403">
        <v>10.4</v>
      </c>
      <c r="H2403">
        <v>1.4</v>
      </c>
      <c r="I2403">
        <v>1.5</v>
      </c>
    </row>
    <row r="2404" spans="1:9" ht="24" customHeight="1">
      <c r="A2404" s="6" t="s">
        <v>3654</v>
      </c>
      <c r="B2404">
        <v>177478</v>
      </c>
      <c r="C2404">
        <v>58240</v>
      </c>
      <c r="D2404">
        <v>455919</v>
      </c>
      <c r="E2404">
        <v>356720</v>
      </c>
      <c r="F2404">
        <v>15.3</v>
      </c>
      <c r="G2404">
        <v>8.5</v>
      </c>
      <c r="H2404">
        <v>12</v>
      </c>
      <c r="I2404">
        <v>11.8</v>
      </c>
    </row>
    <row r="2405" spans="1:9" ht="24" customHeight="1">
      <c r="A2405" s="6" t="s">
        <v>3655</v>
      </c>
      <c r="B2405">
        <v>163447</v>
      </c>
      <c r="C2405">
        <v>53996</v>
      </c>
      <c r="D2405">
        <v>519303</v>
      </c>
      <c r="E2405">
        <v>404286</v>
      </c>
      <c r="F2405">
        <v>15.6</v>
      </c>
      <c r="G2405">
        <v>8.1</v>
      </c>
      <c r="H2405">
        <v>16.899999999999999</v>
      </c>
      <c r="I2405">
        <v>16.7</v>
      </c>
    </row>
    <row r="2406" spans="1:9" ht="24" customHeight="1">
      <c r="A2406" s="6" t="s">
        <v>3656</v>
      </c>
      <c r="B2406">
        <v>102028</v>
      </c>
      <c r="C2406">
        <v>27851</v>
      </c>
      <c r="D2406">
        <v>551350</v>
      </c>
      <c r="E2406">
        <v>403704</v>
      </c>
      <c r="F2406">
        <v>13.5</v>
      </c>
      <c r="G2406">
        <v>7.6</v>
      </c>
      <c r="H2406">
        <v>21.8</v>
      </c>
      <c r="I2406">
        <v>21.7</v>
      </c>
    </row>
    <row r="2407" spans="1:9" ht="24" customHeight="1">
      <c r="A2407" s="6" t="s">
        <v>3657</v>
      </c>
      <c r="B2407">
        <v>81593</v>
      </c>
      <c r="C2407">
        <v>17010</v>
      </c>
      <c r="D2407">
        <v>595683</v>
      </c>
      <c r="E2407">
        <v>523631</v>
      </c>
      <c r="F2407">
        <v>12.3</v>
      </c>
      <c r="G2407">
        <v>6.5</v>
      </c>
      <c r="H2407">
        <v>26.8</v>
      </c>
      <c r="I2407">
        <v>26.9</v>
      </c>
    </row>
    <row r="2408" spans="1:9" ht="24" customHeight="1">
      <c r="A2408" s="6" t="s">
        <v>3658</v>
      </c>
      <c r="B2408">
        <v>146849</v>
      </c>
      <c r="C2408">
        <v>71990</v>
      </c>
      <c r="D2408">
        <v>374421</v>
      </c>
      <c r="E2408">
        <v>311463</v>
      </c>
      <c r="F2408">
        <v>16.399999999999999</v>
      </c>
      <c r="G2408">
        <v>9.6999999999999993</v>
      </c>
      <c r="H2408">
        <v>3.5</v>
      </c>
      <c r="I2408">
        <v>3.5</v>
      </c>
    </row>
    <row r="2409" spans="1:9" ht="24" customHeight="1">
      <c r="A2409" s="6" t="s">
        <v>659</v>
      </c>
      <c r="B2409">
        <v>117838</v>
      </c>
      <c r="C2409">
        <v>23442</v>
      </c>
      <c r="D2409">
        <v>668966</v>
      </c>
      <c r="E2409">
        <v>553042</v>
      </c>
      <c r="F2409">
        <v>10.4</v>
      </c>
      <c r="G2409">
        <v>9.9</v>
      </c>
      <c r="H2409">
        <v>34.299999999999997</v>
      </c>
      <c r="I2409">
        <v>34.1</v>
      </c>
    </row>
    <row r="2410" spans="1:9" ht="24" customHeight="1">
      <c r="A2410" s="6" t="s">
        <v>3659</v>
      </c>
      <c r="B2410">
        <v>257284</v>
      </c>
      <c r="C2410">
        <v>108647</v>
      </c>
      <c r="D2410">
        <v>402383</v>
      </c>
      <c r="E2410">
        <v>331518</v>
      </c>
      <c r="F2410">
        <v>16.7</v>
      </c>
      <c r="G2410">
        <v>9.5</v>
      </c>
      <c r="H2410">
        <v>6.9</v>
      </c>
      <c r="I2410">
        <v>6.8</v>
      </c>
    </row>
    <row r="2411" spans="1:9" ht="24" customHeight="1">
      <c r="A2411" s="6" t="s">
        <v>660</v>
      </c>
      <c r="B2411">
        <v>5540421</v>
      </c>
      <c r="C2411">
        <v>2460030</v>
      </c>
      <c r="D2411">
        <v>593577</v>
      </c>
      <c r="E2411">
        <v>422704</v>
      </c>
      <c r="F2411">
        <v>16.8</v>
      </c>
      <c r="G2411">
        <v>10.8</v>
      </c>
      <c r="H2411">
        <v>15.5</v>
      </c>
      <c r="I2411">
        <v>10.8</v>
      </c>
    </row>
    <row r="2412" spans="1:9" ht="24" customHeight="1">
      <c r="A2412" s="6" t="s">
        <v>661</v>
      </c>
      <c r="B2412">
        <v>273021</v>
      </c>
      <c r="C2412">
        <v>248161</v>
      </c>
      <c r="D2412">
        <v>332584</v>
      </c>
      <c r="E2412">
        <v>268607</v>
      </c>
      <c r="F2412">
        <v>11.6</v>
      </c>
      <c r="G2412">
        <v>7</v>
      </c>
      <c r="H2412">
        <v>0</v>
      </c>
      <c r="I2412">
        <v>0</v>
      </c>
    </row>
    <row r="2413" spans="1:9" ht="24" customHeight="1">
      <c r="A2413" s="6" t="s">
        <v>3660</v>
      </c>
      <c r="B2413">
        <v>488934</v>
      </c>
      <c r="C2413">
        <v>371825</v>
      </c>
      <c r="D2413">
        <v>420812</v>
      </c>
      <c r="E2413">
        <v>342571</v>
      </c>
      <c r="F2413">
        <v>17.8</v>
      </c>
      <c r="G2413">
        <v>11.6</v>
      </c>
      <c r="H2413">
        <v>1.5</v>
      </c>
      <c r="I2413">
        <v>1.5</v>
      </c>
    </row>
    <row r="2414" spans="1:9" ht="24" customHeight="1">
      <c r="A2414" s="6" t="s">
        <v>3661</v>
      </c>
      <c r="B2414">
        <v>665300</v>
      </c>
      <c r="C2414">
        <v>311207</v>
      </c>
      <c r="D2414">
        <v>583146</v>
      </c>
      <c r="E2414">
        <v>438177</v>
      </c>
      <c r="F2414">
        <v>20.2</v>
      </c>
      <c r="G2414">
        <v>10</v>
      </c>
      <c r="H2414">
        <v>12</v>
      </c>
      <c r="I2414">
        <v>12</v>
      </c>
    </row>
    <row r="2415" spans="1:9" ht="24" customHeight="1">
      <c r="A2415" s="6" t="s">
        <v>3662</v>
      </c>
      <c r="B2415">
        <v>775047</v>
      </c>
      <c r="C2415">
        <v>281259</v>
      </c>
      <c r="D2415">
        <v>641767</v>
      </c>
      <c r="E2415">
        <v>471844</v>
      </c>
      <c r="F2415">
        <v>18.3</v>
      </c>
      <c r="G2415">
        <v>9.3000000000000007</v>
      </c>
      <c r="H2415">
        <v>16.8</v>
      </c>
      <c r="I2415">
        <v>16.7</v>
      </c>
    </row>
    <row r="2416" spans="1:9" ht="24" customHeight="1">
      <c r="A2416" s="6" t="s">
        <v>3663</v>
      </c>
      <c r="B2416">
        <v>509920</v>
      </c>
      <c r="C2416">
        <v>157443</v>
      </c>
      <c r="D2416">
        <v>700760</v>
      </c>
      <c r="E2416">
        <v>513569</v>
      </c>
      <c r="F2416">
        <v>14.8</v>
      </c>
      <c r="G2416">
        <v>9.5</v>
      </c>
      <c r="H2416">
        <v>22</v>
      </c>
      <c r="I2416">
        <v>21.8</v>
      </c>
    </row>
    <row r="2417" spans="1:9" ht="24" customHeight="1">
      <c r="A2417" s="6" t="s">
        <v>3664</v>
      </c>
      <c r="B2417">
        <v>474298</v>
      </c>
      <c r="C2417">
        <v>128936</v>
      </c>
      <c r="D2417">
        <v>741932</v>
      </c>
      <c r="E2417">
        <v>574371</v>
      </c>
      <c r="F2417">
        <v>14.5</v>
      </c>
      <c r="G2417">
        <v>9.1999999999999993</v>
      </c>
      <c r="H2417">
        <v>26.9</v>
      </c>
      <c r="I2417">
        <v>26.9</v>
      </c>
    </row>
    <row r="2418" spans="1:9" ht="24" customHeight="1">
      <c r="A2418" s="6" t="s">
        <v>3665</v>
      </c>
      <c r="B2418">
        <v>495790</v>
      </c>
      <c r="C2418">
        <v>323316</v>
      </c>
      <c r="D2418">
        <v>445960</v>
      </c>
      <c r="E2418">
        <v>366998</v>
      </c>
      <c r="F2418">
        <v>20.7</v>
      </c>
      <c r="G2418">
        <v>11</v>
      </c>
      <c r="H2418">
        <v>3.5</v>
      </c>
      <c r="I2418">
        <v>3.5</v>
      </c>
    </row>
    <row r="2419" spans="1:9" ht="24" customHeight="1">
      <c r="A2419" s="6" t="s">
        <v>662</v>
      </c>
      <c r="B2419">
        <v>950295</v>
      </c>
      <c r="C2419">
        <v>218602</v>
      </c>
      <c r="D2419">
        <v>763550</v>
      </c>
      <c r="E2419">
        <v>572514</v>
      </c>
      <c r="F2419">
        <v>11.6</v>
      </c>
      <c r="G2419">
        <v>10.1</v>
      </c>
      <c r="H2419">
        <v>34</v>
      </c>
      <c r="I2419">
        <v>33.9</v>
      </c>
    </row>
    <row r="2420" spans="1:9" ht="24" customHeight="1">
      <c r="A2420" s="6" t="s">
        <v>3666</v>
      </c>
      <c r="B2420">
        <v>918406</v>
      </c>
      <c r="C2420">
        <v>516391</v>
      </c>
      <c r="D2420">
        <v>495917</v>
      </c>
      <c r="E2420">
        <v>402713</v>
      </c>
      <c r="F2420">
        <v>19.899999999999999</v>
      </c>
      <c r="G2420">
        <v>12.7</v>
      </c>
      <c r="H2420">
        <v>6.9</v>
      </c>
      <c r="I2420">
        <v>6.8</v>
      </c>
    </row>
    <row r="2421" spans="1:9" ht="24" customHeight="1">
      <c r="A2421" s="6" t="s">
        <v>3667</v>
      </c>
      <c r="B2421">
        <v>4922730</v>
      </c>
      <c r="C2421">
        <v>2544223</v>
      </c>
      <c r="D2421">
        <v>414230</v>
      </c>
      <c r="E2421">
        <v>321880</v>
      </c>
      <c r="F2421">
        <v>11.4</v>
      </c>
      <c r="G2421">
        <v>5.7</v>
      </c>
      <c r="H2421">
        <v>12</v>
      </c>
      <c r="I2421">
        <v>9.1999999999999993</v>
      </c>
    </row>
    <row r="2422" spans="1:9" ht="24" customHeight="1">
      <c r="A2422" s="6" t="s">
        <v>3668</v>
      </c>
      <c r="B2422">
        <v>332800</v>
      </c>
      <c r="C2422">
        <v>243597</v>
      </c>
      <c r="D2422">
        <v>294636</v>
      </c>
      <c r="E2422">
        <v>235827</v>
      </c>
      <c r="F2422">
        <v>9.9</v>
      </c>
      <c r="G2422">
        <v>4.3</v>
      </c>
      <c r="H2422">
        <v>0</v>
      </c>
      <c r="I2422">
        <v>0</v>
      </c>
    </row>
    <row r="2423" spans="1:9" ht="24" customHeight="1">
      <c r="A2423" s="6" t="s">
        <v>3669</v>
      </c>
      <c r="B2423">
        <v>605339</v>
      </c>
      <c r="C2423">
        <v>427169</v>
      </c>
      <c r="D2423">
        <v>345077</v>
      </c>
      <c r="E2423">
        <v>281526</v>
      </c>
      <c r="F2423">
        <v>11.9</v>
      </c>
      <c r="G2423">
        <v>5.6</v>
      </c>
      <c r="H2423">
        <v>1.5</v>
      </c>
      <c r="I2423">
        <v>1.5</v>
      </c>
    </row>
    <row r="2424" spans="1:9" ht="24" customHeight="1">
      <c r="A2424" s="6" t="s">
        <v>3670</v>
      </c>
      <c r="B2424">
        <v>719817</v>
      </c>
      <c r="C2424">
        <v>367114</v>
      </c>
      <c r="D2424">
        <v>422222</v>
      </c>
      <c r="E2424">
        <v>332568</v>
      </c>
      <c r="F2424">
        <v>11.6</v>
      </c>
      <c r="G2424">
        <v>5.5</v>
      </c>
      <c r="H2424">
        <v>11.8</v>
      </c>
      <c r="I2424">
        <v>11.8</v>
      </c>
    </row>
    <row r="2425" spans="1:9" ht="24" customHeight="1">
      <c r="A2425" s="6" t="s">
        <v>3671</v>
      </c>
      <c r="B2425">
        <v>592357</v>
      </c>
      <c r="C2425">
        <v>261521</v>
      </c>
      <c r="D2425">
        <v>456651</v>
      </c>
      <c r="E2425">
        <v>355271</v>
      </c>
      <c r="F2425">
        <v>12</v>
      </c>
      <c r="G2425">
        <v>5</v>
      </c>
      <c r="H2425">
        <v>16.8</v>
      </c>
      <c r="I2425">
        <v>16.7</v>
      </c>
    </row>
    <row r="2426" spans="1:9" ht="24" customHeight="1">
      <c r="A2426" s="6" t="s">
        <v>3672</v>
      </c>
      <c r="B2426">
        <v>408610</v>
      </c>
      <c r="C2426">
        <v>151664</v>
      </c>
      <c r="D2426">
        <v>473705</v>
      </c>
      <c r="E2426">
        <v>368817</v>
      </c>
      <c r="F2426">
        <v>10.8</v>
      </c>
      <c r="G2426">
        <v>5.5</v>
      </c>
      <c r="H2426">
        <v>21.8</v>
      </c>
      <c r="I2426">
        <v>21.7</v>
      </c>
    </row>
    <row r="2427" spans="1:9" ht="24" customHeight="1">
      <c r="A2427" s="6" t="s">
        <v>3673</v>
      </c>
      <c r="B2427">
        <v>307672</v>
      </c>
      <c r="C2427">
        <v>93378</v>
      </c>
      <c r="D2427">
        <v>498714</v>
      </c>
      <c r="E2427">
        <v>382293</v>
      </c>
      <c r="F2427">
        <v>9.8000000000000007</v>
      </c>
      <c r="G2427">
        <v>5.6</v>
      </c>
      <c r="H2427">
        <v>26.9</v>
      </c>
      <c r="I2427">
        <v>26.7</v>
      </c>
    </row>
    <row r="2428" spans="1:9" ht="24" customHeight="1">
      <c r="A2428" s="6" t="s">
        <v>3674</v>
      </c>
      <c r="B2428">
        <v>561553</v>
      </c>
      <c r="C2428">
        <v>377612</v>
      </c>
      <c r="D2428">
        <v>370747</v>
      </c>
      <c r="E2428">
        <v>299301</v>
      </c>
      <c r="F2428">
        <v>12.4</v>
      </c>
      <c r="G2428">
        <v>6</v>
      </c>
      <c r="H2428">
        <v>3.5</v>
      </c>
      <c r="I2428">
        <v>3.5</v>
      </c>
    </row>
    <row r="2429" spans="1:9" ht="24" customHeight="1">
      <c r="A2429" s="6" t="s">
        <v>3675</v>
      </c>
      <c r="B2429">
        <v>385544</v>
      </c>
      <c r="C2429">
        <v>112305</v>
      </c>
      <c r="D2429">
        <v>485543</v>
      </c>
      <c r="E2429">
        <v>394565</v>
      </c>
      <c r="F2429">
        <v>7.6</v>
      </c>
      <c r="G2429">
        <v>4</v>
      </c>
      <c r="H2429">
        <v>35.6</v>
      </c>
      <c r="I2429">
        <v>35.1</v>
      </c>
    </row>
    <row r="2430" spans="1:9" ht="24" customHeight="1">
      <c r="A2430" s="6" t="s">
        <v>3676</v>
      </c>
      <c r="B2430">
        <v>1067107</v>
      </c>
      <c r="C2430">
        <v>652104</v>
      </c>
      <c r="D2430">
        <v>399397</v>
      </c>
      <c r="E2430">
        <v>315070</v>
      </c>
      <c r="F2430">
        <v>12.2</v>
      </c>
      <c r="G2430">
        <v>6.2</v>
      </c>
      <c r="H2430">
        <v>6.9</v>
      </c>
      <c r="I2430">
        <v>6.8</v>
      </c>
    </row>
    <row r="2431" spans="1:9" ht="24" customHeight="1">
      <c r="A2431" s="6" t="s">
        <v>3677</v>
      </c>
      <c r="B2431">
        <v>2872191</v>
      </c>
      <c r="C2431">
        <v>1591030</v>
      </c>
      <c r="D2431">
        <v>458642</v>
      </c>
      <c r="E2431">
        <v>353630</v>
      </c>
      <c r="F2431">
        <v>13.1</v>
      </c>
      <c r="G2431">
        <v>6.7</v>
      </c>
      <c r="H2431">
        <v>13</v>
      </c>
      <c r="I2431">
        <v>9.9</v>
      </c>
    </row>
    <row r="2432" spans="1:9" ht="24" customHeight="1">
      <c r="A2432" s="6" t="s">
        <v>3678</v>
      </c>
      <c r="B2432">
        <v>186254</v>
      </c>
      <c r="C2432">
        <v>141106</v>
      </c>
      <c r="D2432">
        <v>303944</v>
      </c>
      <c r="E2432">
        <v>252675</v>
      </c>
      <c r="F2432">
        <v>9</v>
      </c>
      <c r="G2432">
        <v>4</v>
      </c>
      <c r="H2432">
        <v>0</v>
      </c>
      <c r="I2432">
        <v>0</v>
      </c>
    </row>
    <row r="2433" spans="1:9" ht="24" customHeight="1">
      <c r="A2433" s="6" t="s">
        <v>3679</v>
      </c>
      <c r="B2433">
        <v>326668</v>
      </c>
      <c r="C2433">
        <v>250907</v>
      </c>
      <c r="D2433">
        <v>365379</v>
      </c>
      <c r="E2433">
        <v>307941</v>
      </c>
      <c r="F2433">
        <v>14.2</v>
      </c>
      <c r="G2433">
        <v>6.9</v>
      </c>
      <c r="H2433">
        <v>1.5</v>
      </c>
      <c r="I2433">
        <v>1.5</v>
      </c>
    </row>
    <row r="2434" spans="1:9" ht="24" customHeight="1">
      <c r="A2434" s="6" t="s">
        <v>3680</v>
      </c>
      <c r="B2434">
        <v>394533</v>
      </c>
      <c r="C2434">
        <v>221901</v>
      </c>
      <c r="D2434">
        <v>459605</v>
      </c>
      <c r="E2434">
        <v>364578</v>
      </c>
      <c r="F2434">
        <v>14.1</v>
      </c>
      <c r="G2434">
        <v>6.4</v>
      </c>
      <c r="H2434">
        <v>11.9</v>
      </c>
      <c r="I2434">
        <v>11.9</v>
      </c>
    </row>
    <row r="2435" spans="1:9" ht="24" customHeight="1">
      <c r="A2435" s="6" t="s">
        <v>3681</v>
      </c>
      <c r="B2435">
        <v>381655</v>
      </c>
      <c r="C2435">
        <v>171563</v>
      </c>
      <c r="D2435">
        <v>499465</v>
      </c>
      <c r="E2435">
        <v>388495</v>
      </c>
      <c r="F2435">
        <v>14.1</v>
      </c>
      <c r="G2435">
        <v>6.5</v>
      </c>
      <c r="H2435">
        <v>16.8</v>
      </c>
      <c r="I2435">
        <v>16.8</v>
      </c>
    </row>
    <row r="2436" spans="1:9" ht="24" customHeight="1">
      <c r="A2436" s="6" t="s">
        <v>3682</v>
      </c>
      <c r="B2436">
        <v>243529</v>
      </c>
      <c r="C2436">
        <v>106668</v>
      </c>
      <c r="D2436">
        <v>531986</v>
      </c>
      <c r="E2436">
        <v>410339</v>
      </c>
      <c r="F2436">
        <v>11.3</v>
      </c>
      <c r="G2436">
        <v>5.9</v>
      </c>
      <c r="H2436">
        <v>21.8</v>
      </c>
      <c r="I2436">
        <v>21.8</v>
      </c>
    </row>
    <row r="2437" spans="1:9" ht="24" customHeight="1">
      <c r="A2437" s="6" t="s">
        <v>3683</v>
      </c>
      <c r="B2437">
        <v>212547</v>
      </c>
      <c r="C2437">
        <v>73844</v>
      </c>
      <c r="D2437">
        <v>576630</v>
      </c>
      <c r="E2437">
        <v>439995</v>
      </c>
      <c r="F2437">
        <v>9.8000000000000007</v>
      </c>
      <c r="G2437">
        <v>6.7</v>
      </c>
      <c r="H2437">
        <v>26.9</v>
      </c>
      <c r="I2437">
        <v>26.8</v>
      </c>
    </row>
    <row r="2438" spans="1:9" ht="24" customHeight="1">
      <c r="A2438" s="6" t="s">
        <v>3684</v>
      </c>
      <c r="B2438">
        <v>283497</v>
      </c>
      <c r="C2438">
        <v>219936</v>
      </c>
      <c r="D2438">
        <v>400311</v>
      </c>
      <c r="E2438">
        <v>324281</v>
      </c>
      <c r="F2438">
        <v>15.2</v>
      </c>
      <c r="G2438">
        <v>7.6</v>
      </c>
      <c r="H2438">
        <v>3.5</v>
      </c>
      <c r="I2438">
        <v>3.5</v>
      </c>
    </row>
    <row r="2439" spans="1:9" ht="24" customHeight="1">
      <c r="A2439" s="6" t="s">
        <v>3685</v>
      </c>
      <c r="B2439">
        <v>286882</v>
      </c>
      <c r="C2439">
        <v>79241</v>
      </c>
      <c r="D2439">
        <v>590316</v>
      </c>
      <c r="E2439">
        <v>485400</v>
      </c>
      <c r="F2439">
        <v>8.6999999999999993</v>
      </c>
      <c r="G2439">
        <v>7</v>
      </c>
      <c r="H2439">
        <v>34.200000000000003</v>
      </c>
      <c r="I2439">
        <v>33.799999999999997</v>
      </c>
    </row>
    <row r="2440" spans="1:9" ht="24" customHeight="1">
      <c r="A2440" s="6" t="s">
        <v>3686</v>
      </c>
      <c r="B2440">
        <v>568654</v>
      </c>
      <c r="C2440">
        <v>366895</v>
      </c>
      <c r="D2440">
        <v>418507</v>
      </c>
      <c r="E2440">
        <v>345026</v>
      </c>
      <c r="F2440">
        <v>15.5</v>
      </c>
      <c r="G2440">
        <v>7</v>
      </c>
      <c r="H2440">
        <v>6.8</v>
      </c>
      <c r="I2440">
        <v>6.7</v>
      </c>
    </row>
    <row r="2441" spans="1:9" ht="24" customHeight="1">
      <c r="A2441" s="6" t="s">
        <v>3687</v>
      </c>
      <c r="B2441">
        <v>2885594</v>
      </c>
      <c r="C2441">
        <v>1485310</v>
      </c>
      <c r="D2441">
        <v>511382</v>
      </c>
      <c r="E2441">
        <v>380409</v>
      </c>
      <c r="F2441">
        <v>15.2</v>
      </c>
      <c r="G2441">
        <v>8.1999999999999993</v>
      </c>
      <c r="H2441">
        <v>14.1</v>
      </c>
      <c r="I2441">
        <v>9.9</v>
      </c>
    </row>
    <row r="2442" spans="1:9" ht="24" customHeight="1">
      <c r="A2442" s="6" t="s">
        <v>3688</v>
      </c>
      <c r="B2442">
        <v>171637</v>
      </c>
      <c r="C2442">
        <v>139724</v>
      </c>
      <c r="D2442">
        <v>320605</v>
      </c>
      <c r="E2442">
        <v>261139</v>
      </c>
      <c r="F2442">
        <v>10.199999999999999</v>
      </c>
      <c r="G2442">
        <v>5</v>
      </c>
      <c r="H2442">
        <v>0</v>
      </c>
      <c r="I2442">
        <v>0</v>
      </c>
    </row>
    <row r="2443" spans="1:9" ht="24" customHeight="1">
      <c r="A2443" s="6" t="s">
        <v>3689</v>
      </c>
      <c r="B2443">
        <v>275428</v>
      </c>
      <c r="C2443">
        <v>235768</v>
      </c>
      <c r="D2443">
        <v>386639</v>
      </c>
      <c r="E2443">
        <v>327885</v>
      </c>
      <c r="F2443">
        <v>16.3</v>
      </c>
      <c r="G2443">
        <v>8.8000000000000007</v>
      </c>
      <c r="H2443">
        <v>1.5</v>
      </c>
      <c r="I2443">
        <v>1.4</v>
      </c>
    </row>
    <row r="2444" spans="1:9" ht="24" customHeight="1">
      <c r="A2444" s="6" t="s">
        <v>3690</v>
      </c>
      <c r="B2444">
        <v>367105</v>
      </c>
      <c r="C2444">
        <v>197857</v>
      </c>
      <c r="D2444">
        <v>504154</v>
      </c>
      <c r="E2444">
        <v>392709</v>
      </c>
      <c r="F2444">
        <v>17</v>
      </c>
      <c r="G2444">
        <v>7.3</v>
      </c>
      <c r="H2444">
        <v>12.1</v>
      </c>
      <c r="I2444">
        <v>11.9</v>
      </c>
    </row>
    <row r="2445" spans="1:9" ht="24" customHeight="1">
      <c r="A2445" s="6" t="s">
        <v>3691</v>
      </c>
      <c r="B2445">
        <v>429847</v>
      </c>
      <c r="C2445">
        <v>170977</v>
      </c>
      <c r="D2445">
        <v>560033</v>
      </c>
      <c r="E2445">
        <v>431437</v>
      </c>
      <c r="F2445">
        <v>16.8</v>
      </c>
      <c r="G2445">
        <v>7.7</v>
      </c>
      <c r="H2445">
        <v>16.8</v>
      </c>
      <c r="I2445">
        <v>16.7</v>
      </c>
    </row>
    <row r="2446" spans="1:9" ht="24" customHeight="1">
      <c r="A2446" s="6" t="s">
        <v>3692</v>
      </c>
      <c r="B2446">
        <v>240318</v>
      </c>
      <c r="C2446">
        <v>85516</v>
      </c>
      <c r="D2446">
        <v>602579</v>
      </c>
      <c r="E2446">
        <v>457095</v>
      </c>
      <c r="F2446">
        <v>14.8</v>
      </c>
      <c r="G2446">
        <v>7.1</v>
      </c>
      <c r="H2446">
        <v>21.8</v>
      </c>
      <c r="I2446">
        <v>21.7</v>
      </c>
    </row>
    <row r="2447" spans="1:9" ht="24" customHeight="1">
      <c r="A2447" s="6" t="s">
        <v>3693</v>
      </c>
      <c r="B2447">
        <v>231466</v>
      </c>
      <c r="C2447">
        <v>66979</v>
      </c>
      <c r="D2447">
        <v>630652</v>
      </c>
      <c r="E2447">
        <v>485450</v>
      </c>
      <c r="F2447">
        <v>11.6</v>
      </c>
      <c r="G2447">
        <v>8</v>
      </c>
      <c r="H2447">
        <v>27</v>
      </c>
      <c r="I2447">
        <v>26.9</v>
      </c>
    </row>
    <row r="2448" spans="1:9" ht="24" customHeight="1">
      <c r="A2448" s="6" t="s">
        <v>3694</v>
      </c>
      <c r="B2448">
        <v>297883</v>
      </c>
      <c r="C2448">
        <v>214007</v>
      </c>
      <c r="D2448">
        <v>433342</v>
      </c>
      <c r="E2448">
        <v>351871</v>
      </c>
      <c r="F2448">
        <v>17.2</v>
      </c>
      <c r="G2448">
        <v>9.4</v>
      </c>
      <c r="H2448">
        <v>3.5</v>
      </c>
      <c r="I2448">
        <v>3.5</v>
      </c>
    </row>
    <row r="2449" spans="1:9" ht="24" customHeight="1">
      <c r="A2449" s="6" t="s">
        <v>3695</v>
      </c>
      <c r="B2449">
        <v>368825</v>
      </c>
      <c r="C2449">
        <v>86751</v>
      </c>
      <c r="D2449">
        <v>643904</v>
      </c>
      <c r="E2449">
        <v>511884</v>
      </c>
      <c r="F2449">
        <v>9.6999999999999993</v>
      </c>
      <c r="G2449">
        <v>8.1999999999999993</v>
      </c>
      <c r="H2449">
        <v>34.1</v>
      </c>
      <c r="I2449">
        <v>33.799999999999997</v>
      </c>
    </row>
    <row r="2450" spans="1:9" ht="24" customHeight="1">
      <c r="A2450" s="6" t="s">
        <v>3696</v>
      </c>
      <c r="B2450">
        <v>509040</v>
      </c>
      <c r="C2450">
        <v>328977</v>
      </c>
      <c r="D2450">
        <v>458339</v>
      </c>
      <c r="E2450">
        <v>365607</v>
      </c>
      <c r="F2450">
        <v>18.100000000000001</v>
      </c>
      <c r="G2450">
        <v>8.6</v>
      </c>
      <c r="H2450">
        <v>6.9</v>
      </c>
      <c r="I2450">
        <v>6.8</v>
      </c>
    </row>
    <row r="2451" spans="1:9" ht="24" customHeight="1">
      <c r="A2451" s="6" t="s">
        <v>663</v>
      </c>
      <c r="B2451">
        <v>963713</v>
      </c>
      <c r="C2451">
        <v>772588</v>
      </c>
      <c r="D2451">
        <v>311811</v>
      </c>
      <c r="E2451">
        <v>254011</v>
      </c>
      <c r="F2451">
        <v>10.3</v>
      </c>
      <c r="G2451">
        <v>5.2</v>
      </c>
      <c r="H2451">
        <v>0</v>
      </c>
      <c r="I2451">
        <v>0</v>
      </c>
    </row>
    <row r="2452" spans="1:9" ht="24" customHeight="1">
      <c r="A2452" s="6" t="s">
        <v>3697</v>
      </c>
      <c r="B2452">
        <v>1696368</v>
      </c>
      <c r="C2452">
        <v>1285670</v>
      </c>
      <c r="D2452">
        <v>377563</v>
      </c>
      <c r="E2452">
        <v>312837</v>
      </c>
      <c r="F2452">
        <v>14.7</v>
      </c>
      <c r="G2452">
        <v>8.1999999999999993</v>
      </c>
      <c r="H2452">
        <v>1.5</v>
      </c>
      <c r="I2452">
        <v>1.5</v>
      </c>
    </row>
    <row r="2453" spans="1:9" ht="24" customHeight="1">
      <c r="A2453" s="6" t="s">
        <v>3698</v>
      </c>
      <c r="B2453">
        <v>2146755</v>
      </c>
      <c r="C2453">
        <v>1098079</v>
      </c>
      <c r="D2453">
        <v>492975</v>
      </c>
      <c r="E2453">
        <v>379804</v>
      </c>
      <c r="F2453">
        <v>15.6</v>
      </c>
      <c r="G2453">
        <v>7.3</v>
      </c>
      <c r="H2453">
        <v>11.9</v>
      </c>
      <c r="I2453">
        <v>11.9</v>
      </c>
    </row>
    <row r="2454" spans="1:9" ht="24" customHeight="1">
      <c r="A2454" s="6" t="s">
        <v>3699</v>
      </c>
      <c r="B2454">
        <v>2178905</v>
      </c>
      <c r="C2454">
        <v>885319</v>
      </c>
      <c r="D2454">
        <v>550392</v>
      </c>
      <c r="E2454">
        <v>413453</v>
      </c>
      <c r="F2454">
        <v>15.6</v>
      </c>
      <c r="G2454">
        <v>7.2</v>
      </c>
      <c r="H2454">
        <v>16.8</v>
      </c>
      <c r="I2454">
        <v>16.7</v>
      </c>
    </row>
    <row r="2455" spans="1:9" ht="24" customHeight="1">
      <c r="A2455" s="6" t="s">
        <v>3700</v>
      </c>
      <c r="B2455">
        <v>1402378</v>
      </c>
      <c r="C2455">
        <v>501291</v>
      </c>
      <c r="D2455">
        <v>588470</v>
      </c>
      <c r="E2455">
        <v>438175</v>
      </c>
      <c r="F2455">
        <v>13</v>
      </c>
      <c r="G2455">
        <v>7.1</v>
      </c>
      <c r="H2455">
        <v>21.9</v>
      </c>
      <c r="I2455">
        <v>21.7</v>
      </c>
    </row>
    <row r="2456" spans="1:9" ht="24" customHeight="1">
      <c r="A2456" s="6" t="s">
        <v>3701</v>
      </c>
      <c r="B2456">
        <v>1225983</v>
      </c>
      <c r="C2456">
        <v>363137</v>
      </c>
      <c r="D2456">
        <v>631226</v>
      </c>
      <c r="E2456">
        <v>481253</v>
      </c>
      <c r="F2456">
        <v>11.9</v>
      </c>
      <c r="G2456">
        <v>7.5</v>
      </c>
      <c r="H2456">
        <v>26.9</v>
      </c>
      <c r="I2456">
        <v>26.8</v>
      </c>
    </row>
    <row r="2457" spans="1:9" ht="24" customHeight="1">
      <c r="A2457" s="6" t="s">
        <v>3702</v>
      </c>
      <c r="B2457">
        <v>1638723</v>
      </c>
      <c r="C2457">
        <v>1134871</v>
      </c>
      <c r="D2457">
        <v>409995</v>
      </c>
      <c r="E2457">
        <v>333342</v>
      </c>
      <c r="F2457">
        <v>16.2</v>
      </c>
      <c r="G2457">
        <v>8.4</v>
      </c>
      <c r="H2457">
        <v>3.5</v>
      </c>
      <c r="I2457">
        <v>3.5</v>
      </c>
    </row>
    <row r="2458" spans="1:9" ht="24" customHeight="1">
      <c r="A2458" s="6" t="s">
        <v>664</v>
      </c>
      <c r="B2458">
        <v>1991546</v>
      </c>
      <c r="C2458">
        <v>496898</v>
      </c>
      <c r="D2458">
        <v>662618</v>
      </c>
      <c r="E2458">
        <v>507818</v>
      </c>
      <c r="F2458">
        <v>10.1</v>
      </c>
      <c r="G2458">
        <v>7.9</v>
      </c>
      <c r="H2458">
        <v>34.4</v>
      </c>
      <c r="I2458">
        <v>34.1</v>
      </c>
    </row>
    <row r="2459" spans="1:9" ht="24" customHeight="1">
      <c r="A2459" s="6" t="s">
        <v>3703</v>
      </c>
      <c r="B2459">
        <v>3063208</v>
      </c>
      <c r="C2459">
        <v>1864367</v>
      </c>
      <c r="D2459">
        <v>441678</v>
      </c>
      <c r="E2459">
        <v>354158</v>
      </c>
      <c r="F2459">
        <v>16.100000000000001</v>
      </c>
      <c r="G2459">
        <v>8.6</v>
      </c>
      <c r="H2459">
        <v>6.9</v>
      </c>
      <c r="I2459">
        <v>6.7</v>
      </c>
    </row>
    <row r="2460" spans="1:9" ht="24" customHeight="1">
      <c r="A2460" s="6" t="s">
        <v>665</v>
      </c>
      <c r="B2460">
        <v>2830</v>
      </c>
      <c r="C2460">
        <v>176</v>
      </c>
      <c r="D2460">
        <v>1048332</v>
      </c>
      <c r="E2460">
        <v>761012</v>
      </c>
      <c r="F2460">
        <v>0</v>
      </c>
      <c r="G2460">
        <v>0</v>
      </c>
      <c r="H2460">
        <v>30.5</v>
      </c>
      <c r="I2460">
        <v>20</v>
      </c>
    </row>
    <row r="2461" spans="1:9" ht="24" customHeight="1">
      <c r="A2461" s="6" t="s">
        <v>666</v>
      </c>
      <c r="B2461">
        <v>15385</v>
      </c>
      <c r="C2461">
        <v>496</v>
      </c>
      <c r="D2461">
        <v>631483</v>
      </c>
      <c r="E2461">
        <v>567214</v>
      </c>
      <c r="F2461">
        <v>1.2</v>
      </c>
      <c r="G2461">
        <v>0</v>
      </c>
      <c r="H2461">
        <v>20.7</v>
      </c>
      <c r="I2461">
        <v>22.9</v>
      </c>
    </row>
    <row r="2462" spans="1:9" ht="24" customHeight="1">
      <c r="A2462" s="6" t="s">
        <v>667</v>
      </c>
      <c r="B2462">
        <v>18500</v>
      </c>
      <c r="C2462">
        <v>5810</v>
      </c>
      <c r="D2462">
        <v>458827</v>
      </c>
      <c r="E2462">
        <v>386219</v>
      </c>
      <c r="F2462">
        <v>36.299999999999997</v>
      </c>
      <c r="G2462">
        <v>14.3</v>
      </c>
      <c r="H2462">
        <v>17.100000000000001</v>
      </c>
      <c r="I2462">
        <v>17.5</v>
      </c>
    </row>
    <row r="2463" spans="1:9" ht="24" customHeight="1">
      <c r="A2463" s="6" t="s">
        <v>668</v>
      </c>
      <c r="B2463">
        <v>19270</v>
      </c>
      <c r="C2463">
        <v>5632</v>
      </c>
      <c r="D2463">
        <v>410552</v>
      </c>
      <c r="E2463">
        <v>334908</v>
      </c>
      <c r="F2463">
        <v>34.4</v>
      </c>
      <c r="G2463">
        <v>25.4</v>
      </c>
      <c r="H2463">
        <v>12.6</v>
      </c>
      <c r="I2463">
        <v>6.5</v>
      </c>
    </row>
    <row r="2464" spans="1:9" ht="24" customHeight="1">
      <c r="A2464" s="6" t="s">
        <v>669</v>
      </c>
      <c r="B2464">
        <v>9659</v>
      </c>
      <c r="C2464">
        <v>375</v>
      </c>
      <c r="D2464">
        <v>716198</v>
      </c>
      <c r="E2464">
        <v>470172</v>
      </c>
      <c r="F2464">
        <v>4</v>
      </c>
      <c r="G2464">
        <v>3.9</v>
      </c>
      <c r="H2464">
        <v>26.3</v>
      </c>
      <c r="I2464">
        <v>21.9</v>
      </c>
    </row>
    <row r="2465" spans="1:9" ht="24" customHeight="1">
      <c r="A2465" s="6" t="s">
        <v>670</v>
      </c>
      <c r="B2465">
        <v>79640</v>
      </c>
      <c r="C2465">
        <v>57630</v>
      </c>
      <c r="D2465">
        <v>398612</v>
      </c>
      <c r="E2465">
        <v>299088</v>
      </c>
      <c r="F2465">
        <v>20.2</v>
      </c>
      <c r="G2465">
        <v>17.100000000000001</v>
      </c>
      <c r="H2465">
        <v>12.9</v>
      </c>
      <c r="I2465">
        <v>7.3</v>
      </c>
    </row>
    <row r="2466" spans="1:9" ht="24" customHeight="1">
      <c r="A2466" s="6" t="s">
        <v>3704</v>
      </c>
      <c r="B2466">
        <v>5861</v>
      </c>
      <c r="C2466">
        <v>451</v>
      </c>
      <c r="D2466">
        <v>499849</v>
      </c>
      <c r="E2466">
        <v>294576</v>
      </c>
      <c r="F2466">
        <v>3.7</v>
      </c>
      <c r="G2466">
        <v>2.2999999999999998</v>
      </c>
      <c r="H2466">
        <v>18.8</v>
      </c>
      <c r="I2466">
        <v>18.399999999999999</v>
      </c>
    </row>
    <row r="2467" spans="1:9" ht="24" customHeight="1">
      <c r="A2467" s="6" t="s">
        <v>3705</v>
      </c>
      <c r="B2467">
        <v>8016</v>
      </c>
      <c r="C2467">
        <v>728</v>
      </c>
      <c r="D2467">
        <v>422610</v>
      </c>
      <c r="E2467">
        <v>258043</v>
      </c>
      <c r="F2467">
        <v>5.4</v>
      </c>
      <c r="G2467">
        <v>2.5</v>
      </c>
      <c r="H2467">
        <v>17.899999999999999</v>
      </c>
      <c r="I2467">
        <v>19.899999999999999</v>
      </c>
    </row>
    <row r="2468" spans="1:9" ht="24" customHeight="1">
      <c r="A2468" s="6" t="s">
        <v>3706</v>
      </c>
      <c r="B2468">
        <v>4208</v>
      </c>
      <c r="C2468">
        <v>1046</v>
      </c>
      <c r="D2468">
        <v>390978</v>
      </c>
      <c r="E2468">
        <v>331512</v>
      </c>
      <c r="F2468">
        <v>12</v>
      </c>
      <c r="G2468">
        <v>15.2</v>
      </c>
      <c r="H2468">
        <v>14.8</v>
      </c>
      <c r="I2468">
        <v>18.8</v>
      </c>
    </row>
    <row r="2469" spans="1:9" ht="24" customHeight="1">
      <c r="A2469" s="6" t="s">
        <v>3707</v>
      </c>
      <c r="B2469">
        <v>8139</v>
      </c>
      <c r="C2469">
        <v>2812</v>
      </c>
      <c r="D2469">
        <v>370692</v>
      </c>
      <c r="E2469">
        <v>294631</v>
      </c>
      <c r="F2469">
        <v>10.8</v>
      </c>
      <c r="G2469">
        <v>7.7</v>
      </c>
      <c r="H2469">
        <v>13.2</v>
      </c>
      <c r="I2469">
        <v>12.4</v>
      </c>
    </row>
    <row r="2470" spans="1:9" ht="24" customHeight="1">
      <c r="A2470" s="6" t="s">
        <v>3708</v>
      </c>
      <c r="B2470">
        <v>5665</v>
      </c>
      <c r="C2470">
        <v>1027</v>
      </c>
      <c r="D2470">
        <v>392837</v>
      </c>
      <c r="E2470">
        <v>328035</v>
      </c>
      <c r="F2470">
        <v>9.6</v>
      </c>
      <c r="G2470">
        <v>2.5</v>
      </c>
      <c r="H2470">
        <v>16</v>
      </c>
      <c r="I2470">
        <v>14.6</v>
      </c>
    </row>
    <row r="2471" spans="1:9" ht="24" customHeight="1">
      <c r="A2471" s="6" t="s">
        <v>3709</v>
      </c>
      <c r="B2471">
        <v>70779</v>
      </c>
      <c r="C2471">
        <v>52718</v>
      </c>
      <c r="D2471">
        <v>315935</v>
      </c>
      <c r="E2471">
        <v>225351</v>
      </c>
      <c r="F2471">
        <v>12</v>
      </c>
      <c r="G2471">
        <v>5.6</v>
      </c>
      <c r="H2471">
        <v>9.6999999999999993</v>
      </c>
      <c r="I2471">
        <v>8.9</v>
      </c>
    </row>
    <row r="2472" spans="1:9" ht="24" customHeight="1">
      <c r="A2472" s="6" t="s">
        <v>3710</v>
      </c>
      <c r="B2472">
        <v>3576</v>
      </c>
      <c r="C2472">
        <v>208</v>
      </c>
      <c r="D2472">
        <v>676329</v>
      </c>
      <c r="E2472">
        <v>496792</v>
      </c>
      <c r="F2472">
        <v>1.2</v>
      </c>
      <c r="G2472">
        <v>0</v>
      </c>
      <c r="H2472">
        <v>23.3</v>
      </c>
      <c r="I2472">
        <v>17.7</v>
      </c>
    </row>
    <row r="2473" spans="1:9" ht="24" customHeight="1">
      <c r="A2473" s="6" t="s">
        <v>3711</v>
      </c>
      <c r="B2473">
        <v>9891</v>
      </c>
      <c r="C2473">
        <v>872</v>
      </c>
      <c r="D2473">
        <v>535344</v>
      </c>
      <c r="E2473">
        <v>408936</v>
      </c>
      <c r="F2473">
        <v>1.9</v>
      </c>
      <c r="G2473">
        <v>0.4</v>
      </c>
      <c r="H2473">
        <v>18</v>
      </c>
      <c r="I2473">
        <v>21</v>
      </c>
    </row>
    <row r="2474" spans="1:9" ht="24" customHeight="1">
      <c r="A2474" s="6" t="s">
        <v>3712</v>
      </c>
      <c r="B2474">
        <v>5905</v>
      </c>
      <c r="C2474">
        <v>1649</v>
      </c>
      <c r="D2474">
        <v>449642</v>
      </c>
      <c r="E2474">
        <v>401635</v>
      </c>
      <c r="F2474">
        <v>24.5</v>
      </c>
      <c r="G2474">
        <v>12.7</v>
      </c>
      <c r="H2474">
        <v>15.7</v>
      </c>
      <c r="I2474">
        <v>16.600000000000001</v>
      </c>
    </row>
    <row r="2475" spans="1:9" ht="24" customHeight="1">
      <c r="A2475" s="6" t="s">
        <v>3713</v>
      </c>
      <c r="B2475">
        <v>6045</v>
      </c>
      <c r="C2475">
        <v>1067</v>
      </c>
      <c r="D2475">
        <v>526235</v>
      </c>
      <c r="E2475">
        <v>331368</v>
      </c>
      <c r="F2475">
        <v>16.899999999999999</v>
      </c>
      <c r="G2475">
        <v>20.5</v>
      </c>
      <c r="H2475">
        <v>18</v>
      </c>
      <c r="I2475">
        <v>8.6999999999999993</v>
      </c>
    </row>
    <row r="2476" spans="1:9" ht="24" customHeight="1">
      <c r="A2476" s="6" t="s">
        <v>3714</v>
      </c>
      <c r="B2476">
        <v>4582</v>
      </c>
      <c r="C2476">
        <v>3110</v>
      </c>
      <c r="D2476">
        <v>477990</v>
      </c>
      <c r="E2476">
        <v>315443</v>
      </c>
      <c r="F2476">
        <v>13.7</v>
      </c>
      <c r="G2476">
        <v>15.6</v>
      </c>
      <c r="H2476">
        <v>17.100000000000001</v>
      </c>
      <c r="I2476">
        <v>16.7</v>
      </c>
    </row>
    <row r="2477" spans="1:9" ht="24" customHeight="1">
      <c r="A2477" s="6" t="s">
        <v>3715</v>
      </c>
      <c r="B2477">
        <v>37261</v>
      </c>
      <c r="C2477">
        <v>33824</v>
      </c>
      <c r="D2477">
        <v>344482</v>
      </c>
      <c r="E2477">
        <v>272665</v>
      </c>
      <c r="F2477">
        <v>17</v>
      </c>
      <c r="G2477">
        <v>13.4</v>
      </c>
      <c r="H2477">
        <v>11.3</v>
      </c>
      <c r="I2477">
        <v>9.4</v>
      </c>
    </row>
    <row r="2478" spans="1:9" ht="24" customHeight="1">
      <c r="A2478" s="6" t="s">
        <v>3716</v>
      </c>
      <c r="B2478">
        <v>11752</v>
      </c>
      <c r="C2478">
        <v>0</v>
      </c>
      <c r="D2478">
        <v>746722</v>
      </c>
      <c r="E2478"/>
      <c r="F2478">
        <v>6</v>
      </c>
      <c r="G2478"/>
      <c r="H2478">
        <v>29.8</v>
      </c>
      <c r="I2478"/>
    </row>
    <row r="2479" spans="1:9" ht="24" customHeight="1">
      <c r="A2479" s="6" t="s">
        <v>3717</v>
      </c>
      <c r="B2479">
        <v>14379</v>
      </c>
      <c r="C2479">
        <v>691</v>
      </c>
      <c r="D2479">
        <v>627367</v>
      </c>
      <c r="E2479">
        <v>593383</v>
      </c>
      <c r="F2479">
        <v>13.9</v>
      </c>
      <c r="G2479">
        <v>0</v>
      </c>
      <c r="H2479">
        <v>20.7</v>
      </c>
      <c r="I2479">
        <v>20.5</v>
      </c>
    </row>
    <row r="2480" spans="1:9" ht="24" customHeight="1">
      <c r="A2480" s="6" t="s">
        <v>3718</v>
      </c>
      <c r="B2480">
        <v>9395</v>
      </c>
      <c r="C2480">
        <v>2024</v>
      </c>
      <c r="D2480">
        <v>541420</v>
      </c>
      <c r="E2480">
        <v>448758</v>
      </c>
      <c r="F2480">
        <v>24.4</v>
      </c>
      <c r="G2480">
        <v>14.4</v>
      </c>
      <c r="H2480">
        <v>20.6</v>
      </c>
      <c r="I2480">
        <v>18.100000000000001</v>
      </c>
    </row>
    <row r="2481" spans="1:9" ht="24" customHeight="1">
      <c r="A2481" s="6" t="s">
        <v>3719</v>
      </c>
      <c r="B2481">
        <v>6507</v>
      </c>
      <c r="C2481">
        <v>992</v>
      </c>
      <c r="D2481">
        <v>551192</v>
      </c>
      <c r="E2481">
        <v>445659</v>
      </c>
      <c r="F2481">
        <v>22.6</v>
      </c>
      <c r="G2481">
        <v>14.6</v>
      </c>
      <c r="H2481">
        <v>17</v>
      </c>
      <c r="I2481">
        <v>19.7</v>
      </c>
    </row>
    <row r="2482" spans="1:9" ht="24" customHeight="1">
      <c r="A2482" s="6" t="s">
        <v>3720</v>
      </c>
      <c r="B2482">
        <v>11544</v>
      </c>
      <c r="C2482">
        <v>2864</v>
      </c>
      <c r="D2482">
        <v>711951</v>
      </c>
      <c r="E2482">
        <v>554648</v>
      </c>
      <c r="F2482">
        <v>8.1</v>
      </c>
      <c r="G2482">
        <v>13.5</v>
      </c>
      <c r="H2482">
        <v>21.9</v>
      </c>
      <c r="I2482">
        <v>14.5</v>
      </c>
    </row>
    <row r="2483" spans="1:9" ht="24" customHeight="1">
      <c r="A2483" s="6" t="s">
        <v>3721</v>
      </c>
      <c r="B2483">
        <v>59036</v>
      </c>
      <c r="C2483">
        <v>29181</v>
      </c>
      <c r="D2483">
        <v>398147</v>
      </c>
      <c r="E2483">
        <v>325311</v>
      </c>
      <c r="F2483">
        <v>16.899999999999999</v>
      </c>
      <c r="G2483">
        <v>13.6</v>
      </c>
      <c r="H2483">
        <v>10.7</v>
      </c>
      <c r="I2483">
        <v>9.1</v>
      </c>
    </row>
    <row r="2484" spans="1:9" ht="24" customHeight="1">
      <c r="A2484" s="6" t="s">
        <v>671</v>
      </c>
      <c r="B2484">
        <v>167</v>
      </c>
      <c r="C2484">
        <v>0</v>
      </c>
      <c r="D2484">
        <v>1162625</v>
      </c>
      <c r="E2484"/>
      <c r="F2484">
        <v>0</v>
      </c>
      <c r="G2484"/>
      <c r="H2484">
        <v>27.9</v>
      </c>
      <c r="I2484"/>
    </row>
    <row r="2485" spans="1:9" ht="24" customHeight="1">
      <c r="A2485" s="6" t="s">
        <v>672</v>
      </c>
      <c r="B2485">
        <v>652</v>
      </c>
      <c r="C2485">
        <v>21</v>
      </c>
      <c r="D2485">
        <v>994284</v>
      </c>
      <c r="E2485">
        <v>950921</v>
      </c>
      <c r="F2485">
        <v>4.2</v>
      </c>
      <c r="G2485">
        <v>0</v>
      </c>
      <c r="H2485">
        <v>21.5</v>
      </c>
      <c r="I2485">
        <v>29.2</v>
      </c>
    </row>
    <row r="2486" spans="1:9" ht="24" customHeight="1">
      <c r="A2486" s="6" t="s">
        <v>673</v>
      </c>
      <c r="B2486">
        <v>639</v>
      </c>
      <c r="C2486">
        <v>117</v>
      </c>
      <c r="D2486">
        <v>704063</v>
      </c>
      <c r="E2486">
        <v>593961</v>
      </c>
      <c r="F2486">
        <v>19.7</v>
      </c>
      <c r="G2486">
        <v>20.399999999999999</v>
      </c>
      <c r="H2486">
        <v>21</v>
      </c>
      <c r="I2486">
        <v>16</v>
      </c>
    </row>
    <row r="2487" spans="1:9" ht="24" customHeight="1">
      <c r="A2487" s="6" t="s">
        <v>674</v>
      </c>
      <c r="B2487">
        <v>412</v>
      </c>
      <c r="C2487">
        <v>8</v>
      </c>
      <c r="D2487">
        <v>541890</v>
      </c>
      <c r="E2487">
        <v>369937</v>
      </c>
      <c r="F2487">
        <v>28.8</v>
      </c>
      <c r="G2487">
        <v>7</v>
      </c>
      <c r="H2487">
        <v>17</v>
      </c>
      <c r="I2487">
        <v>12</v>
      </c>
    </row>
    <row r="2488" spans="1:9" ht="24" customHeight="1">
      <c r="A2488" s="6" t="s">
        <v>675</v>
      </c>
      <c r="B2488">
        <v>647</v>
      </c>
      <c r="C2488">
        <v>43</v>
      </c>
      <c r="D2488">
        <v>754258</v>
      </c>
      <c r="E2488">
        <v>542361</v>
      </c>
      <c r="F2488">
        <v>6</v>
      </c>
      <c r="G2488">
        <v>2.8</v>
      </c>
      <c r="H2488">
        <v>17.399999999999999</v>
      </c>
      <c r="I2488">
        <v>12.5</v>
      </c>
    </row>
    <row r="2489" spans="1:9" ht="24" customHeight="1">
      <c r="A2489" s="6" t="s">
        <v>676</v>
      </c>
      <c r="B2489">
        <v>8944</v>
      </c>
      <c r="C2489">
        <v>1639</v>
      </c>
      <c r="D2489">
        <v>528464</v>
      </c>
      <c r="E2489">
        <v>432053</v>
      </c>
      <c r="F2489">
        <v>18.100000000000001</v>
      </c>
      <c r="G2489">
        <v>12.4</v>
      </c>
      <c r="H2489">
        <v>15.6</v>
      </c>
      <c r="I2489">
        <v>14.2</v>
      </c>
    </row>
    <row r="2490" spans="1:9" ht="24" customHeight="1">
      <c r="A2490" s="6" t="s">
        <v>3722</v>
      </c>
      <c r="B2490">
        <v>1646</v>
      </c>
      <c r="C2490">
        <v>49</v>
      </c>
      <c r="D2490">
        <v>606094</v>
      </c>
      <c r="E2490">
        <v>429001</v>
      </c>
      <c r="F2490">
        <v>3.5</v>
      </c>
      <c r="G2490">
        <v>2</v>
      </c>
      <c r="H2490">
        <v>20.6</v>
      </c>
      <c r="I2490">
        <v>17.3</v>
      </c>
    </row>
    <row r="2491" spans="1:9" ht="24" customHeight="1">
      <c r="A2491" s="6" t="s">
        <v>3723</v>
      </c>
      <c r="B2491">
        <v>2225</v>
      </c>
      <c r="C2491">
        <v>328</v>
      </c>
      <c r="D2491">
        <v>477315</v>
      </c>
      <c r="E2491">
        <v>399091</v>
      </c>
      <c r="F2491">
        <v>4.0999999999999996</v>
      </c>
      <c r="G2491">
        <v>3.1</v>
      </c>
      <c r="H2491">
        <v>17.399999999999999</v>
      </c>
      <c r="I2491">
        <v>13.8</v>
      </c>
    </row>
    <row r="2492" spans="1:9" ht="24" customHeight="1">
      <c r="A2492" s="6" t="s">
        <v>3724</v>
      </c>
      <c r="B2492">
        <v>1631</v>
      </c>
      <c r="C2492">
        <v>324</v>
      </c>
      <c r="D2492">
        <v>407886</v>
      </c>
      <c r="E2492">
        <v>348911</v>
      </c>
      <c r="F2492">
        <v>8.6999999999999993</v>
      </c>
      <c r="G2492">
        <v>8.8000000000000007</v>
      </c>
      <c r="H2492">
        <v>18</v>
      </c>
      <c r="I2492">
        <v>15.5</v>
      </c>
    </row>
    <row r="2493" spans="1:9" ht="24" customHeight="1">
      <c r="A2493" s="6" t="s">
        <v>3725</v>
      </c>
      <c r="B2493">
        <v>778</v>
      </c>
      <c r="C2493">
        <v>78</v>
      </c>
      <c r="D2493">
        <v>397668</v>
      </c>
      <c r="E2493">
        <v>330084</v>
      </c>
      <c r="F2493">
        <v>12.3</v>
      </c>
      <c r="G2493">
        <v>5.6</v>
      </c>
      <c r="H2493">
        <v>16.899999999999999</v>
      </c>
      <c r="I2493">
        <v>17.2</v>
      </c>
    </row>
    <row r="2494" spans="1:9" ht="24" customHeight="1">
      <c r="A2494" s="6" t="s">
        <v>3726</v>
      </c>
      <c r="B2494">
        <v>1073</v>
      </c>
      <c r="C2494">
        <v>85</v>
      </c>
      <c r="D2494">
        <v>507934</v>
      </c>
      <c r="E2494">
        <v>399531</v>
      </c>
      <c r="F2494">
        <v>8.6</v>
      </c>
      <c r="G2494">
        <v>7.9</v>
      </c>
      <c r="H2494">
        <v>18.7</v>
      </c>
      <c r="I2494">
        <v>19.600000000000001</v>
      </c>
    </row>
    <row r="2495" spans="1:9" ht="24" customHeight="1">
      <c r="A2495" s="6" t="s">
        <v>3727</v>
      </c>
      <c r="B2495">
        <v>13414</v>
      </c>
      <c r="C2495">
        <v>5903</v>
      </c>
      <c r="D2495">
        <v>336269</v>
      </c>
      <c r="E2495">
        <v>275548</v>
      </c>
      <c r="F2495">
        <v>9.1999999999999993</v>
      </c>
      <c r="G2495">
        <v>6.6</v>
      </c>
      <c r="H2495">
        <v>10</v>
      </c>
      <c r="I2495">
        <v>9.5</v>
      </c>
    </row>
    <row r="2496" spans="1:9" ht="24" customHeight="1">
      <c r="A2496" s="6" t="s">
        <v>3728</v>
      </c>
      <c r="B2496">
        <v>377</v>
      </c>
      <c r="C2496">
        <v>10</v>
      </c>
      <c r="D2496">
        <v>716407</v>
      </c>
      <c r="E2496">
        <v>486000</v>
      </c>
      <c r="F2496">
        <v>0.3</v>
      </c>
      <c r="G2496">
        <v>0</v>
      </c>
      <c r="H2496">
        <v>28.2</v>
      </c>
      <c r="I2496">
        <v>15.5</v>
      </c>
    </row>
    <row r="2497" spans="1:9" ht="24" customHeight="1">
      <c r="A2497" s="6" t="s">
        <v>3729</v>
      </c>
      <c r="B2497">
        <v>1024</v>
      </c>
      <c r="C2497">
        <v>67</v>
      </c>
      <c r="D2497">
        <v>575343</v>
      </c>
      <c r="E2497">
        <v>598694</v>
      </c>
      <c r="F2497">
        <v>3.1</v>
      </c>
      <c r="G2497">
        <v>8.3000000000000007</v>
      </c>
      <c r="H2497">
        <v>23.9</v>
      </c>
      <c r="I2497">
        <v>24.8</v>
      </c>
    </row>
    <row r="2498" spans="1:9" ht="24" customHeight="1">
      <c r="A2498" s="6" t="s">
        <v>3730</v>
      </c>
      <c r="B2498">
        <v>1158</v>
      </c>
      <c r="C2498">
        <v>192</v>
      </c>
      <c r="D2498">
        <v>471093</v>
      </c>
      <c r="E2498">
        <v>395690</v>
      </c>
      <c r="F2498">
        <v>10.9</v>
      </c>
      <c r="G2498">
        <v>10.8</v>
      </c>
      <c r="H2498">
        <v>20.3</v>
      </c>
      <c r="I2498">
        <v>17.899999999999999</v>
      </c>
    </row>
    <row r="2499" spans="1:9" ht="24" customHeight="1">
      <c r="A2499" s="6" t="s">
        <v>3731</v>
      </c>
      <c r="B2499">
        <v>658</v>
      </c>
      <c r="C2499">
        <v>92</v>
      </c>
      <c r="D2499">
        <v>467740</v>
      </c>
      <c r="E2499">
        <v>296120</v>
      </c>
      <c r="F2499">
        <v>21.6</v>
      </c>
      <c r="G2499">
        <v>4.0999999999999996</v>
      </c>
      <c r="H2499">
        <v>17.3</v>
      </c>
      <c r="I2499">
        <v>14.8</v>
      </c>
    </row>
    <row r="2500" spans="1:9" ht="24" customHeight="1">
      <c r="A2500" s="6" t="s">
        <v>3732</v>
      </c>
      <c r="B2500">
        <v>658</v>
      </c>
      <c r="C2500">
        <v>223</v>
      </c>
      <c r="D2500">
        <v>533902</v>
      </c>
      <c r="E2500">
        <v>396706</v>
      </c>
      <c r="F2500">
        <v>8.8000000000000007</v>
      </c>
      <c r="G2500">
        <v>8.4</v>
      </c>
      <c r="H2500">
        <v>21.7</v>
      </c>
      <c r="I2500">
        <v>21.1</v>
      </c>
    </row>
    <row r="2501" spans="1:9" ht="24" customHeight="1">
      <c r="A2501" s="6" t="s">
        <v>3733</v>
      </c>
      <c r="B2501">
        <v>6047</v>
      </c>
      <c r="C2501">
        <v>3120</v>
      </c>
      <c r="D2501">
        <v>361043</v>
      </c>
      <c r="E2501">
        <v>286720</v>
      </c>
      <c r="F2501">
        <v>17.100000000000001</v>
      </c>
      <c r="G2501">
        <v>8.3000000000000007</v>
      </c>
      <c r="H2501">
        <v>9.5</v>
      </c>
      <c r="I2501">
        <v>9</v>
      </c>
    </row>
    <row r="2502" spans="1:9" ht="24" customHeight="1">
      <c r="A2502" s="6" t="s">
        <v>3734</v>
      </c>
      <c r="B2502">
        <v>646</v>
      </c>
      <c r="C2502">
        <v>36</v>
      </c>
      <c r="D2502">
        <v>753625</v>
      </c>
      <c r="E2502">
        <v>647717</v>
      </c>
      <c r="F2502">
        <v>0.3</v>
      </c>
      <c r="G2502">
        <v>0</v>
      </c>
      <c r="H2502">
        <v>30.6</v>
      </c>
      <c r="I2502">
        <v>11</v>
      </c>
    </row>
    <row r="2503" spans="1:9" ht="24" customHeight="1">
      <c r="A2503" s="6" t="s">
        <v>3735</v>
      </c>
      <c r="B2503">
        <v>1626</v>
      </c>
      <c r="C2503">
        <v>117</v>
      </c>
      <c r="D2503">
        <v>642000</v>
      </c>
      <c r="E2503">
        <v>640391</v>
      </c>
      <c r="F2503">
        <v>4.7</v>
      </c>
      <c r="G2503">
        <v>0</v>
      </c>
      <c r="H2503">
        <v>25.6</v>
      </c>
      <c r="I2503">
        <v>29.2</v>
      </c>
    </row>
    <row r="2504" spans="1:9" ht="24" customHeight="1">
      <c r="A2504" s="6" t="s">
        <v>3736</v>
      </c>
      <c r="B2504">
        <v>1030</v>
      </c>
      <c r="C2504">
        <v>316</v>
      </c>
      <c r="D2504">
        <v>518267</v>
      </c>
      <c r="E2504">
        <v>465431</v>
      </c>
      <c r="F2504">
        <v>27.7</v>
      </c>
      <c r="G2504">
        <v>8.4</v>
      </c>
      <c r="H2504">
        <v>17.7</v>
      </c>
      <c r="I2504">
        <v>21.2</v>
      </c>
    </row>
    <row r="2505" spans="1:9" ht="24" customHeight="1">
      <c r="A2505" s="6" t="s">
        <v>3737</v>
      </c>
      <c r="B2505">
        <v>1051</v>
      </c>
      <c r="C2505">
        <v>133</v>
      </c>
      <c r="D2505">
        <v>520603</v>
      </c>
      <c r="E2505">
        <v>473394</v>
      </c>
      <c r="F2505">
        <v>26.6</v>
      </c>
      <c r="G2505">
        <v>16.3</v>
      </c>
      <c r="H2505">
        <v>24.4</v>
      </c>
      <c r="I2505">
        <v>18.7</v>
      </c>
    </row>
    <row r="2506" spans="1:9" ht="24" customHeight="1">
      <c r="A2506" s="6" t="s">
        <v>3738</v>
      </c>
      <c r="B2506">
        <v>891</v>
      </c>
      <c r="C2506">
        <v>77</v>
      </c>
      <c r="D2506">
        <v>586469</v>
      </c>
      <c r="E2506">
        <v>439328</v>
      </c>
      <c r="F2506">
        <v>13.4</v>
      </c>
      <c r="G2506">
        <v>11.7</v>
      </c>
      <c r="H2506">
        <v>23.7</v>
      </c>
      <c r="I2506">
        <v>23.3</v>
      </c>
    </row>
    <row r="2507" spans="1:9" ht="24" customHeight="1">
      <c r="A2507" s="6" t="s">
        <v>3739</v>
      </c>
      <c r="B2507">
        <v>10020</v>
      </c>
      <c r="C2507">
        <v>3862</v>
      </c>
      <c r="D2507">
        <v>434991</v>
      </c>
      <c r="E2507">
        <v>358924</v>
      </c>
      <c r="F2507">
        <v>19.3</v>
      </c>
      <c r="G2507">
        <v>13.5</v>
      </c>
      <c r="H2507">
        <v>12.8</v>
      </c>
      <c r="I2507">
        <v>13.1</v>
      </c>
    </row>
    <row r="2508" spans="1:9" ht="24" customHeight="1">
      <c r="A2508" s="6" t="s">
        <v>677</v>
      </c>
      <c r="B2508">
        <v>399</v>
      </c>
      <c r="C2508">
        <v>0</v>
      </c>
      <c r="D2508">
        <v>1045895</v>
      </c>
      <c r="E2508"/>
      <c r="F2508">
        <v>0</v>
      </c>
      <c r="G2508"/>
      <c r="H2508">
        <v>29</v>
      </c>
      <c r="I2508"/>
    </row>
    <row r="2509" spans="1:9" ht="24" customHeight="1">
      <c r="A2509" s="6" t="s">
        <v>678</v>
      </c>
      <c r="B2509">
        <v>1089</v>
      </c>
      <c r="C2509">
        <v>87</v>
      </c>
      <c r="D2509">
        <v>899299</v>
      </c>
      <c r="E2509">
        <v>692307</v>
      </c>
      <c r="F2509">
        <v>0</v>
      </c>
      <c r="G2509">
        <v>0</v>
      </c>
      <c r="H2509">
        <v>26.2</v>
      </c>
      <c r="I2509">
        <v>26.1</v>
      </c>
    </row>
    <row r="2510" spans="1:9" ht="24" customHeight="1">
      <c r="A2510" s="6" t="s">
        <v>679</v>
      </c>
      <c r="B2510">
        <v>673</v>
      </c>
      <c r="C2510">
        <v>185</v>
      </c>
      <c r="D2510">
        <v>563117</v>
      </c>
      <c r="E2510">
        <v>351667</v>
      </c>
      <c r="F2510">
        <v>13.5</v>
      </c>
      <c r="G2510">
        <v>7.2</v>
      </c>
      <c r="H2510">
        <v>19.5</v>
      </c>
      <c r="I2510">
        <v>14</v>
      </c>
    </row>
    <row r="2511" spans="1:9" ht="24" customHeight="1">
      <c r="A2511" s="6" t="s">
        <v>680</v>
      </c>
      <c r="B2511">
        <v>382</v>
      </c>
      <c r="C2511">
        <v>67</v>
      </c>
      <c r="D2511">
        <v>450665</v>
      </c>
      <c r="E2511">
        <v>335394</v>
      </c>
      <c r="F2511">
        <v>10</v>
      </c>
      <c r="G2511">
        <v>14</v>
      </c>
      <c r="H2511">
        <v>17.600000000000001</v>
      </c>
      <c r="I2511">
        <v>16.600000000000001</v>
      </c>
    </row>
    <row r="2512" spans="1:9" ht="24" customHeight="1">
      <c r="A2512" s="6" t="s">
        <v>681</v>
      </c>
      <c r="B2512">
        <v>112</v>
      </c>
      <c r="C2512">
        <v>30</v>
      </c>
      <c r="D2512">
        <v>748252</v>
      </c>
      <c r="E2512">
        <v>281456</v>
      </c>
      <c r="F2512">
        <v>2.1</v>
      </c>
      <c r="G2512">
        <v>2.2999999999999998</v>
      </c>
      <c r="H2512">
        <v>26.6</v>
      </c>
      <c r="I2512">
        <v>17</v>
      </c>
    </row>
    <row r="2513" spans="1:9" ht="24" customHeight="1">
      <c r="A2513" s="6" t="s">
        <v>682</v>
      </c>
      <c r="B2513">
        <v>5297</v>
      </c>
      <c r="C2513">
        <v>4818</v>
      </c>
      <c r="D2513">
        <v>452808</v>
      </c>
      <c r="E2513">
        <v>304903</v>
      </c>
      <c r="F2513">
        <v>9.5</v>
      </c>
      <c r="G2513">
        <v>6.9</v>
      </c>
      <c r="H2513">
        <v>14.1</v>
      </c>
      <c r="I2513">
        <v>11.9</v>
      </c>
    </row>
    <row r="2514" spans="1:9" ht="24" customHeight="1">
      <c r="A2514" s="6" t="s">
        <v>3740</v>
      </c>
      <c r="B2514">
        <v>3524</v>
      </c>
      <c r="C2514">
        <v>222</v>
      </c>
      <c r="D2514">
        <v>513320</v>
      </c>
      <c r="E2514">
        <v>304438</v>
      </c>
      <c r="F2514">
        <v>4.0999999999999996</v>
      </c>
      <c r="G2514">
        <v>3.7</v>
      </c>
      <c r="H2514">
        <v>21.8</v>
      </c>
      <c r="I2514">
        <v>14.4</v>
      </c>
    </row>
    <row r="2515" spans="1:9" ht="24" customHeight="1">
      <c r="A2515" s="6" t="s">
        <v>3741</v>
      </c>
      <c r="B2515">
        <v>4276</v>
      </c>
      <c r="C2515">
        <v>327</v>
      </c>
      <c r="D2515">
        <v>428356</v>
      </c>
      <c r="E2515">
        <v>349404</v>
      </c>
      <c r="F2515">
        <v>11.1</v>
      </c>
      <c r="G2515">
        <v>2.6</v>
      </c>
      <c r="H2515">
        <v>18.8</v>
      </c>
      <c r="I2515">
        <v>19.899999999999999</v>
      </c>
    </row>
    <row r="2516" spans="1:9" ht="24" customHeight="1">
      <c r="A2516" s="6" t="s">
        <v>3742</v>
      </c>
      <c r="B2516">
        <v>2601</v>
      </c>
      <c r="C2516">
        <v>1588</v>
      </c>
      <c r="D2516">
        <v>393774</v>
      </c>
      <c r="E2516">
        <v>295267</v>
      </c>
      <c r="F2516">
        <v>11.9</v>
      </c>
      <c r="G2516">
        <v>8.4</v>
      </c>
      <c r="H2516">
        <v>18.600000000000001</v>
      </c>
      <c r="I2516">
        <v>19.3</v>
      </c>
    </row>
    <row r="2517" spans="1:9" ht="24" customHeight="1">
      <c r="A2517" s="6" t="s">
        <v>3743</v>
      </c>
      <c r="B2517">
        <v>1103</v>
      </c>
      <c r="C2517">
        <v>1883</v>
      </c>
      <c r="D2517">
        <v>398045</v>
      </c>
      <c r="E2517">
        <v>236073</v>
      </c>
      <c r="F2517">
        <v>3.7</v>
      </c>
      <c r="G2517">
        <v>6.7</v>
      </c>
      <c r="H2517">
        <v>25</v>
      </c>
      <c r="I2517">
        <v>19.5</v>
      </c>
    </row>
    <row r="2518" spans="1:9" ht="24" customHeight="1">
      <c r="A2518" s="6" t="s">
        <v>3744</v>
      </c>
      <c r="B2518">
        <v>2555</v>
      </c>
      <c r="C2518">
        <v>1009</v>
      </c>
      <c r="D2518">
        <v>419948</v>
      </c>
      <c r="E2518">
        <v>302110</v>
      </c>
      <c r="F2518">
        <v>10.4</v>
      </c>
      <c r="G2518">
        <v>4.3</v>
      </c>
      <c r="H2518">
        <v>19.8</v>
      </c>
      <c r="I2518">
        <v>17</v>
      </c>
    </row>
    <row r="2519" spans="1:9" ht="24" customHeight="1">
      <c r="A2519" s="6" t="s">
        <v>3745</v>
      </c>
      <c r="B2519">
        <v>29151</v>
      </c>
      <c r="C2519">
        <v>41365</v>
      </c>
      <c r="D2519">
        <v>307094</v>
      </c>
      <c r="E2519">
        <v>215123</v>
      </c>
      <c r="F2519">
        <v>10.9</v>
      </c>
      <c r="G2519">
        <v>5.2</v>
      </c>
      <c r="H2519">
        <v>9.4</v>
      </c>
      <c r="I2519">
        <v>11.9</v>
      </c>
    </row>
    <row r="2520" spans="1:9" ht="24" customHeight="1">
      <c r="A2520" s="6" t="s">
        <v>3746</v>
      </c>
      <c r="B2520">
        <v>953</v>
      </c>
      <c r="C2520">
        <v>132</v>
      </c>
      <c r="D2520">
        <v>634702</v>
      </c>
      <c r="E2520">
        <v>381550</v>
      </c>
      <c r="F2520">
        <v>2.4</v>
      </c>
      <c r="G2520">
        <v>3.9</v>
      </c>
      <c r="H2520">
        <v>20.399999999999999</v>
      </c>
      <c r="I2520">
        <v>15.1</v>
      </c>
    </row>
    <row r="2521" spans="1:9" ht="24" customHeight="1">
      <c r="A2521" s="6" t="s">
        <v>3747</v>
      </c>
      <c r="B2521">
        <v>1476</v>
      </c>
      <c r="C2521">
        <v>221</v>
      </c>
      <c r="D2521">
        <v>546508</v>
      </c>
      <c r="E2521">
        <v>394108</v>
      </c>
      <c r="F2521">
        <v>0.5</v>
      </c>
      <c r="G2521">
        <v>5.5</v>
      </c>
      <c r="H2521">
        <v>25.9</v>
      </c>
      <c r="I2521">
        <v>23.8</v>
      </c>
    </row>
    <row r="2522" spans="1:9" ht="24" customHeight="1">
      <c r="A2522" s="6" t="s">
        <v>3748</v>
      </c>
      <c r="B2522">
        <v>1373</v>
      </c>
      <c r="C2522">
        <v>416</v>
      </c>
      <c r="D2522">
        <v>440498</v>
      </c>
      <c r="E2522">
        <v>330647</v>
      </c>
      <c r="F2522">
        <v>10.3</v>
      </c>
      <c r="G2522">
        <v>11.9</v>
      </c>
      <c r="H2522">
        <v>15.9</v>
      </c>
      <c r="I2522">
        <v>17.5</v>
      </c>
    </row>
    <row r="2523" spans="1:9" ht="24" customHeight="1">
      <c r="A2523" s="6" t="s">
        <v>3749</v>
      </c>
      <c r="B2523">
        <v>1364</v>
      </c>
      <c r="C2523">
        <v>319</v>
      </c>
      <c r="D2523">
        <v>448694</v>
      </c>
      <c r="E2523">
        <v>255817</v>
      </c>
      <c r="F2523">
        <v>17.100000000000001</v>
      </c>
      <c r="G2523">
        <v>14.5</v>
      </c>
      <c r="H2523">
        <v>25.2</v>
      </c>
      <c r="I2523">
        <v>19.899999999999999</v>
      </c>
    </row>
    <row r="2524" spans="1:9" ht="24" customHeight="1">
      <c r="A2524" s="6" t="s">
        <v>3750</v>
      </c>
      <c r="B2524">
        <v>1208</v>
      </c>
      <c r="C2524">
        <v>490</v>
      </c>
      <c r="D2524">
        <v>422084</v>
      </c>
      <c r="E2524">
        <v>313565</v>
      </c>
      <c r="F2524">
        <v>8.9</v>
      </c>
      <c r="G2524">
        <v>3.5</v>
      </c>
      <c r="H2524">
        <v>23.7</v>
      </c>
      <c r="I2524">
        <v>25.9</v>
      </c>
    </row>
    <row r="2525" spans="1:9" ht="24" customHeight="1">
      <c r="A2525" s="6" t="s">
        <v>3751</v>
      </c>
      <c r="B2525">
        <v>10515</v>
      </c>
      <c r="C2525">
        <v>14881</v>
      </c>
      <c r="D2525">
        <v>350258</v>
      </c>
      <c r="E2525">
        <v>249160</v>
      </c>
      <c r="F2525">
        <v>10.8</v>
      </c>
      <c r="G2525">
        <v>6.6</v>
      </c>
      <c r="H2525">
        <v>13.4</v>
      </c>
      <c r="I2525">
        <v>15.4</v>
      </c>
    </row>
    <row r="2526" spans="1:9" ht="24" customHeight="1">
      <c r="A2526" s="6" t="s">
        <v>3752</v>
      </c>
      <c r="B2526">
        <v>167</v>
      </c>
      <c r="C2526">
        <v>0</v>
      </c>
      <c r="D2526">
        <v>695351</v>
      </c>
      <c r="E2526"/>
      <c r="F2526">
        <v>0</v>
      </c>
      <c r="G2526"/>
      <c r="H2526">
        <v>32.799999999999997</v>
      </c>
      <c r="I2526"/>
    </row>
    <row r="2527" spans="1:9" ht="24" customHeight="1">
      <c r="A2527" s="6" t="s">
        <v>3753</v>
      </c>
      <c r="B2527">
        <v>292</v>
      </c>
      <c r="C2527">
        <v>24</v>
      </c>
      <c r="D2527">
        <v>625971</v>
      </c>
      <c r="E2527">
        <v>436764</v>
      </c>
      <c r="F2527">
        <v>0</v>
      </c>
      <c r="G2527">
        <v>0</v>
      </c>
      <c r="H2527">
        <v>23.2</v>
      </c>
      <c r="I2527">
        <v>27.4</v>
      </c>
    </row>
    <row r="2528" spans="1:9" ht="24" customHeight="1">
      <c r="A2528" s="6" t="s">
        <v>3754</v>
      </c>
      <c r="B2528">
        <v>481</v>
      </c>
      <c r="C2528">
        <v>137</v>
      </c>
      <c r="D2528">
        <v>529018</v>
      </c>
      <c r="E2528">
        <v>349276</v>
      </c>
      <c r="F2528">
        <v>11.6</v>
      </c>
      <c r="G2528">
        <v>14.4</v>
      </c>
      <c r="H2528">
        <v>24.6</v>
      </c>
      <c r="I2528">
        <v>27</v>
      </c>
    </row>
    <row r="2529" spans="1:9" ht="24" customHeight="1">
      <c r="A2529" s="6" t="s">
        <v>3755</v>
      </c>
      <c r="B2529">
        <v>107</v>
      </c>
      <c r="C2529">
        <v>279</v>
      </c>
      <c r="D2529">
        <v>476269</v>
      </c>
      <c r="E2529">
        <v>303630</v>
      </c>
      <c r="F2529">
        <v>3.9</v>
      </c>
      <c r="G2529">
        <v>1.5</v>
      </c>
      <c r="H2529">
        <v>20.100000000000001</v>
      </c>
      <c r="I2529">
        <v>28.5</v>
      </c>
    </row>
    <row r="2530" spans="1:9" ht="24" customHeight="1">
      <c r="A2530" s="6" t="s">
        <v>3756</v>
      </c>
      <c r="B2530">
        <v>182</v>
      </c>
      <c r="C2530">
        <v>14</v>
      </c>
      <c r="D2530">
        <v>721160</v>
      </c>
      <c r="E2530">
        <v>283699</v>
      </c>
      <c r="F2530">
        <v>5.9</v>
      </c>
      <c r="G2530">
        <v>0</v>
      </c>
      <c r="H2530">
        <v>17.100000000000001</v>
      </c>
      <c r="I2530">
        <v>19.3</v>
      </c>
    </row>
    <row r="2531" spans="1:9" ht="24" customHeight="1">
      <c r="A2531" s="6" t="s">
        <v>3757</v>
      </c>
      <c r="B2531">
        <v>3407</v>
      </c>
      <c r="C2531">
        <v>5188</v>
      </c>
      <c r="D2531">
        <v>381776</v>
      </c>
      <c r="E2531">
        <v>248408</v>
      </c>
      <c r="F2531">
        <v>9.6</v>
      </c>
      <c r="G2531">
        <v>2.2999999999999998</v>
      </c>
      <c r="H2531">
        <v>13.1</v>
      </c>
      <c r="I2531">
        <v>14.3</v>
      </c>
    </row>
    <row r="2532" spans="1:9" ht="24" customHeight="1">
      <c r="A2532" s="6" t="s">
        <v>683</v>
      </c>
      <c r="B2532">
        <v>124</v>
      </c>
      <c r="C2532">
        <v>0</v>
      </c>
      <c r="D2532">
        <v>1035158</v>
      </c>
      <c r="E2532"/>
      <c r="F2532">
        <v>0</v>
      </c>
      <c r="G2532"/>
      <c r="H2532">
        <v>31.4</v>
      </c>
      <c r="I2532"/>
    </row>
    <row r="2533" spans="1:9" ht="24" customHeight="1">
      <c r="A2533" s="6" t="s">
        <v>684</v>
      </c>
      <c r="B2533">
        <v>198</v>
      </c>
      <c r="C2533">
        <v>13</v>
      </c>
      <c r="D2533">
        <v>757990</v>
      </c>
      <c r="E2533">
        <v>676559</v>
      </c>
      <c r="F2533">
        <v>0</v>
      </c>
      <c r="G2533">
        <v>0</v>
      </c>
      <c r="H2533">
        <v>28</v>
      </c>
      <c r="I2533">
        <v>29</v>
      </c>
    </row>
    <row r="2534" spans="1:9" ht="24" customHeight="1">
      <c r="A2534" s="6" t="s">
        <v>685</v>
      </c>
      <c r="B2534">
        <v>150</v>
      </c>
      <c r="C2534">
        <v>39</v>
      </c>
      <c r="D2534">
        <v>630299</v>
      </c>
      <c r="E2534">
        <v>510200</v>
      </c>
      <c r="F2534">
        <v>26.6</v>
      </c>
      <c r="G2534">
        <v>11.7</v>
      </c>
      <c r="H2534">
        <v>27.5</v>
      </c>
      <c r="I2534">
        <v>27.9</v>
      </c>
    </row>
    <row r="2535" spans="1:9" ht="24" customHeight="1">
      <c r="A2535" s="6" t="s">
        <v>686</v>
      </c>
      <c r="B2535">
        <v>508</v>
      </c>
      <c r="C2535">
        <v>8</v>
      </c>
      <c r="D2535">
        <v>486187</v>
      </c>
      <c r="E2535">
        <v>464154</v>
      </c>
      <c r="F2535">
        <v>25.6</v>
      </c>
      <c r="G2535">
        <v>11</v>
      </c>
      <c r="H2535">
        <v>17.2</v>
      </c>
      <c r="I2535">
        <v>40</v>
      </c>
    </row>
    <row r="2536" spans="1:9" ht="24" customHeight="1">
      <c r="A2536" s="6" t="s">
        <v>687</v>
      </c>
      <c r="B2536">
        <v>197</v>
      </c>
      <c r="C2536">
        <v>4</v>
      </c>
      <c r="D2536">
        <v>623982</v>
      </c>
      <c r="E2536">
        <v>556507</v>
      </c>
      <c r="F2536">
        <v>26.2</v>
      </c>
      <c r="G2536">
        <v>6</v>
      </c>
      <c r="H2536">
        <v>18.399999999999999</v>
      </c>
      <c r="I2536">
        <v>29</v>
      </c>
    </row>
    <row r="2537" spans="1:9" ht="24" customHeight="1">
      <c r="A2537" s="6" t="s">
        <v>688</v>
      </c>
      <c r="B2537">
        <v>3174</v>
      </c>
      <c r="C2537">
        <v>583</v>
      </c>
      <c r="D2537">
        <v>433187</v>
      </c>
      <c r="E2537">
        <v>329362</v>
      </c>
      <c r="F2537">
        <v>22.2</v>
      </c>
      <c r="G2537">
        <v>9.4</v>
      </c>
      <c r="H2537">
        <v>12.9</v>
      </c>
      <c r="I2537">
        <v>9.1</v>
      </c>
    </row>
    <row r="2538" spans="1:9" ht="24" customHeight="1">
      <c r="A2538" s="6" t="s">
        <v>3758</v>
      </c>
      <c r="B2538">
        <v>1342</v>
      </c>
      <c r="C2538">
        <v>61</v>
      </c>
      <c r="D2538">
        <v>597081</v>
      </c>
      <c r="E2538">
        <v>303812</v>
      </c>
      <c r="F2538">
        <v>1.2</v>
      </c>
      <c r="G2538">
        <v>1.9</v>
      </c>
      <c r="H2538">
        <v>24</v>
      </c>
      <c r="I2538">
        <v>22.3</v>
      </c>
    </row>
    <row r="2539" spans="1:9" ht="24" customHeight="1">
      <c r="A2539" s="6" t="s">
        <v>3759</v>
      </c>
      <c r="B2539">
        <v>1478</v>
      </c>
      <c r="C2539">
        <v>187</v>
      </c>
      <c r="D2539">
        <v>535169</v>
      </c>
      <c r="E2539">
        <v>380751</v>
      </c>
      <c r="F2539">
        <v>6.5</v>
      </c>
      <c r="G2539">
        <v>2.2000000000000002</v>
      </c>
      <c r="H2539">
        <v>21</v>
      </c>
      <c r="I2539">
        <v>13</v>
      </c>
    </row>
    <row r="2540" spans="1:9" ht="24" customHeight="1">
      <c r="A2540" s="6" t="s">
        <v>3760</v>
      </c>
      <c r="B2540">
        <v>1376</v>
      </c>
      <c r="C2540">
        <v>153</v>
      </c>
      <c r="D2540">
        <v>412685</v>
      </c>
      <c r="E2540">
        <v>354750</v>
      </c>
      <c r="F2540">
        <v>12.4</v>
      </c>
      <c r="G2540">
        <v>5.4</v>
      </c>
      <c r="H2540">
        <v>15.2</v>
      </c>
      <c r="I2540">
        <v>13.5</v>
      </c>
    </row>
    <row r="2541" spans="1:9" ht="24" customHeight="1">
      <c r="A2541" s="6" t="s">
        <v>3761</v>
      </c>
      <c r="B2541">
        <v>1614</v>
      </c>
      <c r="C2541">
        <v>97</v>
      </c>
      <c r="D2541">
        <v>408120</v>
      </c>
      <c r="E2541">
        <v>306975</v>
      </c>
      <c r="F2541">
        <v>13.2</v>
      </c>
      <c r="G2541">
        <v>8.5</v>
      </c>
      <c r="H2541">
        <v>16.7</v>
      </c>
      <c r="I2541">
        <v>12.8</v>
      </c>
    </row>
    <row r="2542" spans="1:9" ht="24" customHeight="1">
      <c r="A2542" s="6" t="s">
        <v>3762</v>
      </c>
      <c r="B2542">
        <v>794</v>
      </c>
      <c r="C2542">
        <v>48</v>
      </c>
      <c r="D2542">
        <v>464109</v>
      </c>
      <c r="E2542">
        <v>403805</v>
      </c>
      <c r="F2542">
        <v>4.5999999999999996</v>
      </c>
      <c r="G2542">
        <v>15.6</v>
      </c>
      <c r="H2542">
        <v>17.100000000000001</v>
      </c>
      <c r="I2542">
        <v>20.3</v>
      </c>
    </row>
    <row r="2543" spans="1:9" ht="24" customHeight="1">
      <c r="A2543" s="6" t="s">
        <v>3763</v>
      </c>
      <c r="B2543">
        <v>20613</v>
      </c>
      <c r="C2543">
        <v>6398</v>
      </c>
      <c r="D2543">
        <v>321798</v>
      </c>
      <c r="E2543">
        <v>253399</v>
      </c>
      <c r="F2543">
        <v>10.5</v>
      </c>
      <c r="G2543">
        <v>4.0999999999999996</v>
      </c>
      <c r="H2543">
        <v>10.3</v>
      </c>
      <c r="I2543">
        <v>11.8</v>
      </c>
    </row>
    <row r="2544" spans="1:9" ht="24" customHeight="1">
      <c r="A2544" s="6" t="s">
        <v>3764</v>
      </c>
      <c r="B2544">
        <v>397</v>
      </c>
      <c r="C2544">
        <v>20</v>
      </c>
      <c r="D2544">
        <v>643949</v>
      </c>
      <c r="E2544">
        <v>307883</v>
      </c>
      <c r="F2544">
        <v>0.9</v>
      </c>
      <c r="G2544">
        <v>0</v>
      </c>
      <c r="H2544">
        <v>22.9</v>
      </c>
      <c r="I2544">
        <v>13</v>
      </c>
    </row>
    <row r="2545" spans="1:9" ht="24" customHeight="1">
      <c r="A2545" s="6" t="s">
        <v>3765</v>
      </c>
      <c r="B2545">
        <v>797</v>
      </c>
      <c r="C2545">
        <v>100</v>
      </c>
      <c r="D2545">
        <v>491389</v>
      </c>
      <c r="E2545">
        <v>384850</v>
      </c>
      <c r="F2545">
        <v>6.5</v>
      </c>
      <c r="G2545">
        <v>3.5</v>
      </c>
      <c r="H2545">
        <v>20.9</v>
      </c>
      <c r="I2545">
        <v>16.3</v>
      </c>
    </row>
    <row r="2546" spans="1:9" ht="24" customHeight="1">
      <c r="A2546" s="6" t="s">
        <v>3766</v>
      </c>
      <c r="B2546">
        <v>1006</v>
      </c>
      <c r="C2546">
        <v>64</v>
      </c>
      <c r="D2546">
        <v>435128</v>
      </c>
      <c r="E2546">
        <v>364618</v>
      </c>
      <c r="F2546">
        <v>21.9</v>
      </c>
      <c r="G2546">
        <v>11.6</v>
      </c>
      <c r="H2546">
        <v>16.5</v>
      </c>
      <c r="I2546">
        <v>20.100000000000001</v>
      </c>
    </row>
    <row r="2547" spans="1:9" ht="24" customHeight="1">
      <c r="A2547" s="6" t="s">
        <v>3767</v>
      </c>
      <c r="B2547">
        <v>778</v>
      </c>
      <c r="C2547">
        <v>81</v>
      </c>
      <c r="D2547">
        <v>425821</v>
      </c>
      <c r="E2547">
        <v>344004</v>
      </c>
      <c r="F2547">
        <v>21.4</v>
      </c>
      <c r="G2547">
        <v>16.5</v>
      </c>
      <c r="H2547">
        <v>16.7</v>
      </c>
      <c r="I2547">
        <v>13.8</v>
      </c>
    </row>
    <row r="2548" spans="1:9" ht="24" customHeight="1">
      <c r="A2548" s="6" t="s">
        <v>3768</v>
      </c>
      <c r="B2548">
        <v>617</v>
      </c>
      <c r="C2548">
        <v>116</v>
      </c>
      <c r="D2548">
        <v>483655</v>
      </c>
      <c r="E2548">
        <v>327605</v>
      </c>
      <c r="F2548">
        <v>13.7</v>
      </c>
      <c r="G2548">
        <v>12.4</v>
      </c>
      <c r="H2548">
        <v>15.5</v>
      </c>
      <c r="I2548">
        <v>10.8</v>
      </c>
    </row>
    <row r="2549" spans="1:9" ht="24" customHeight="1">
      <c r="A2549" s="6" t="s">
        <v>3769</v>
      </c>
      <c r="B2549">
        <v>5969</v>
      </c>
      <c r="C2549">
        <v>1409</v>
      </c>
      <c r="D2549">
        <v>350395</v>
      </c>
      <c r="E2549">
        <v>284317</v>
      </c>
      <c r="F2549">
        <v>14.5</v>
      </c>
      <c r="G2549">
        <v>6.6</v>
      </c>
      <c r="H2549">
        <v>11.7</v>
      </c>
      <c r="I2549">
        <v>8.9</v>
      </c>
    </row>
    <row r="2550" spans="1:9" ht="24" customHeight="1">
      <c r="A2550" s="6" t="s">
        <v>3770</v>
      </c>
      <c r="B2550">
        <v>164</v>
      </c>
      <c r="C2550">
        <v>0</v>
      </c>
      <c r="D2550">
        <v>703009</v>
      </c>
      <c r="E2550"/>
      <c r="F2550">
        <v>0</v>
      </c>
      <c r="G2550"/>
      <c r="H2550">
        <v>26.1</v>
      </c>
      <c r="I2550"/>
    </row>
    <row r="2551" spans="1:9" ht="24" customHeight="1">
      <c r="A2551" s="6" t="s">
        <v>3771</v>
      </c>
      <c r="B2551">
        <v>492</v>
      </c>
      <c r="C2551">
        <v>5</v>
      </c>
      <c r="D2551">
        <v>561667</v>
      </c>
      <c r="E2551">
        <v>274167</v>
      </c>
      <c r="F2551">
        <v>5.2</v>
      </c>
      <c r="G2551">
        <v>0</v>
      </c>
      <c r="H2551">
        <v>18.600000000000001</v>
      </c>
      <c r="I2551">
        <v>15</v>
      </c>
    </row>
    <row r="2552" spans="1:9" ht="24" customHeight="1">
      <c r="A2552" s="6" t="s">
        <v>3772</v>
      </c>
      <c r="B2552">
        <v>617</v>
      </c>
      <c r="C2552">
        <v>13</v>
      </c>
      <c r="D2552">
        <v>527143</v>
      </c>
      <c r="E2552">
        <v>432807</v>
      </c>
      <c r="F2552">
        <v>31.6</v>
      </c>
      <c r="G2552">
        <v>0</v>
      </c>
      <c r="H2552">
        <v>18.100000000000001</v>
      </c>
      <c r="I2552">
        <v>12.5</v>
      </c>
    </row>
    <row r="2553" spans="1:9" ht="24" customHeight="1">
      <c r="A2553" s="6" t="s">
        <v>3773</v>
      </c>
      <c r="B2553">
        <v>999</v>
      </c>
      <c r="C2553">
        <v>73</v>
      </c>
      <c r="D2553">
        <v>455797</v>
      </c>
      <c r="E2553">
        <v>215614</v>
      </c>
      <c r="F2553">
        <v>28.6</v>
      </c>
      <c r="G2553">
        <v>2.6</v>
      </c>
      <c r="H2553">
        <v>13.8</v>
      </c>
      <c r="I2553">
        <v>6.7</v>
      </c>
    </row>
    <row r="2554" spans="1:9" ht="24" customHeight="1">
      <c r="A2554" s="6" t="s">
        <v>3774</v>
      </c>
      <c r="B2554">
        <v>372</v>
      </c>
      <c r="C2554">
        <v>39</v>
      </c>
      <c r="D2554">
        <v>534217</v>
      </c>
      <c r="E2554">
        <v>330683</v>
      </c>
      <c r="F2554">
        <v>13.8</v>
      </c>
      <c r="G2554">
        <v>0.4</v>
      </c>
      <c r="H2554">
        <v>15.4</v>
      </c>
      <c r="I2554">
        <v>14.7</v>
      </c>
    </row>
    <row r="2555" spans="1:9" ht="24" customHeight="1">
      <c r="A2555" s="6" t="s">
        <v>3775</v>
      </c>
      <c r="B2555">
        <v>4739</v>
      </c>
      <c r="C2555">
        <v>1196</v>
      </c>
      <c r="D2555">
        <v>381008</v>
      </c>
      <c r="E2555">
        <v>338086</v>
      </c>
      <c r="F2555">
        <v>19.100000000000001</v>
      </c>
      <c r="G2555">
        <v>11.6</v>
      </c>
      <c r="H2555">
        <v>9.6</v>
      </c>
      <c r="I2555">
        <v>11.3</v>
      </c>
    </row>
    <row r="2556" spans="1:9" ht="24" customHeight="1">
      <c r="A2556" s="6" t="s">
        <v>689</v>
      </c>
      <c r="B2556">
        <v>605</v>
      </c>
      <c r="C2556">
        <v>71</v>
      </c>
      <c r="D2556">
        <v>841072</v>
      </c>
      <c r="E2556">
        <v>711664</v>
      </c>
      <c r="F2556">
        <v>8.6</v>
      </c>
      <c r="G2556">
        <v>12.7</v>
      </c>
      <c r="H2556">
        <v>27.9</v>
      </c>
      <c r="I2556">
        <v>29</v>
      </c>
    </row>
    <row r="2557" spans="1:9" ht="24" customHeight="1">
      <c r="A2557" s="6" t="s">
        <v>690</v>
      </c>
      <c r="B2557">
        <v>706</v>
      </c>
      <c r="C2557">
        <v>0</v>
      </c>
      <c r="D2557">
        <v>754002</v>
      </c>
      <c r="E2557"/>
      <c r="F2557">
        <v>2.1</v>
      </c>
      <c r="G2557"/>
      <c r="H2557">
        <v>26.1</v>
      </c>
      <c r="I2557"/>
    </row>
    <row r="2558" spans="1:9" ht="24" customHeight="1">
      <c r="A2558" s="6" t="s">
        <v>691</v>
      </c>
      <c r="B2558">
        <v>495</v>
      </c>
      <c r="C2558">
        <v>40</v>
      </c>
      <c r="D2558">
        <v>663750</v>
      </c>
      <c r="E2558">
        <v>568715</v>
      </c>
      <c r="F2558">
        <v>18</v>
      </c>
      <c r="G2558">
        <v>5.9</v>
      </c>
      <c r="H2558">
        <v>22.3</v>
      </c>
      <c r="I2558">
        <v>27</v>
      </c>
    </row>
    <row r="2559" spans="1:9" ht="24" customHeight="1">
      <c r="A2559" s="6" t="s">
        <v>692</v>
      </c>
      <c r="B2559">
        <v>216</v>
      </c>
      <c r="C2559">
        <v>0</v>
      </c>
      <c r="D2559">
        <v>589974</v>
      </c>
      <c r="E2559"/>
      <c r="F2559">
        <v>24</v>
      </c>
      <c r="G2559"/>
      <c r="H2559">
        <v>23.1</v>
      </c>
      <c r="I2559"/>
    </row>
    <row r="2560" spans="1:9" ht="24" customHeight="1">
      <c r="A2560" s="6" t="s">
        <v>693</v>
      </c>
      <c r="B2560">
        <v>233</v>
      </c>
      <c r="C2560">
        <v>10</v>
      </c>
      <c r="D2560">
        <v>712343</v>
      </c>
      <c r="E2560">
        <v>689706</v>
      </c>
      <c r="F2560">
        <v>8.5</v>
      </c>
      <c r="G2560">
        <v>0</v>
      </c>
      <c r="H2560">
        <v>21.6</v>
      </c>
      <c r="I2560">
        <v>23</v>
      </c>
    </row>
    <row r="2561" spans="1:9" ht="24" customHeight="1">
      <c r="A2561" s="6" t="s">
        <v>694</v>
      </c>
      <c r="B2561">
        <v>6137</v>
      </c>
      <c r="C2561">
        <v>2037</v>
      </c>
      <c r="D2561">
        <v>462735</v>
      </c>
      <c r="E2561">
        <v>388297</v>
      </c>
      <c r="F2561">
        <v>21.6</v>
      </c>
      <c r="G2561">
        <v>13.8</v>
      </c>
      <c r="H2561">
        <v>15.7</v>
      </c>
      <c r="I2561">
        <v>13.5</v>
      </c>
    </row>
    <row r="2562" spans="1:9" ht="24" customHeight="1">
      <c r="A2562" s="6" t="s">
        <v>3776</v>
      </c>
      <c r="B2562">
        <v>1084</v>
      </c>
      <c r="C2562">
        <v>70</v>
      </c>
      <c r="D2562">
        <v>533767</v>
      </c>
      <c r="E2562">
        <v>552121</v>
      </c>
      <c r="F2562">
        <v>8.6999999999999993</v>
      </c>
      <c r="G2562">
        <v>0</v>
      </c>
      <c r="H2562">
        <v>24.4</v>
      </c>
      <c r="I2562">
        <v>32.4</v>
      </c>
    </row>
    <row r="2563" spans="1:9" ht="24" customHeight="1">
      <c r="A2563" s="6" t="s">
        <v>3777</v>
      </c>
      <c r="B2563">
        <v>1411</v>
      </c>
      <c r="C2563">
        <v>76</v>
      </c>
      <c r="D2563">
        <v>454300</v>
      </c>
      <c r="E2563">
        <v>427213</v>
      </c>
      <c r="F2563">
        <v>5.4</v>
      </c>
      <c r="G2563">
        <v>0.2</v>
      </c>
      <c r="H2563">
        <v>19.5</v>
      </c>
      <c r="I2563">
        <v>21.2</v>
      </c>
    </row>
    <row r="2564" spans="1:9" ht="24" customHeight="1">
      <c r="A2564" s="6" t="s">
        <v>3778</v>
      </c>
      <c r="B2564">
        <v>729</v>
      </c>
      <c r="C2564">
        <v>115</v>
      </c>
      <c r="D2564">
        <v>448389</v>
      </c>
      <c r="E2564">
        <v>287703</v>
      </c>
      <c r="F2564">
        <v>14.5</v>
      </c>
      <c r="G2564">
        <v>6.9</v>
      </c>
      <c r="H2564">
        <v>15.6</v>
      </c>
      <c r="I2564">
        <v>14.5</v>
      </c>
    </row>
    <row r="2565" spans="1:9" ht="24" customHeight="1">
      <c r="A2565" s="6" t="s">
        <v>3779</v>
      </c>
      <c r="B2565">
        <v>695</v>
      </c>
      <c r="C2565">
        <v>122</v>
      </c>
      <c r="D2565">
        <v>351361</v>
      </c>
      <c r="E2565">
        <v>283544</v>
      </c>
      <c r="F2565">
        <v>12.5</v>
      </c>
      <c r="G2565">
        <v>24.2</v>
      </c>
      <c r="H2565">
        <v>17</v>
      </c>
      <c r="I2565">
        <v>18</v>
      </c>
    </row>
    <row r="2566" spans="1:9" ht="24" customHeight="1">
      <c r="A2566" s="6" t="s">
        <v>3780</v>
      </c>
      <c r="B2566">
        <v>702</v>
      </c>
      <c r="C2566">
        <v>60</v>
      </c>
      <c r="D2566">
        <v>445110</v>
      </c>
      <c r="E2566">
        <v>343875</v>
      </c>
      <c r="F2566">
        <v>12.8</v>
      </c>
      <c r="G2566">
        <v>5.7</v>
      </c>
      <c r="H2566">
        <v>17.2</v>
      </c>
      <c r="I2566">
        <v>17.399999999999999</v>
      </c>
    </row>
    <row r="2567" spans="1:9" ht="24" customHeight="1">
      <c r="A2567" s="6" t="s">
        <v>3781</v>
      </c>
      <c r="B2567">
        <v>16049</v>
      </c>
      <c r="C2567">
        <v>5368</v>
      </c>
      <c r="D2567">
        <v>317219</v>
      </c>
      <c r="E2567">
        <v>253786</v>
      </c>
      <c r="F2567">
        <v>12.3</v>
      </c>
      <c r="G2567">
        <v>5.3</v>
      </c>
      <c r="H2567">
        <v>12.2</v>
      </c>
      <c r="I2567">
        <v>10.199999999999999</v>
      </c>
    </row>
    <row r="2568" spans="1:9" ht="24" customHeight="1">
      <c r="A2568" s="6" t="s">
        <v>3782</v>
      </c>
      <c r="B2568">
        <v>462</v>
      </c>
      <c r="C2568">
        <v>7</v>
      </c>
      <c r="D2568">
        <v>593351</v>
      </c>
      <c r="E2568">
        <v>407646</v>
      </c>
      <c r="F2568">
        <v>0</v>
      </c>
      <c r="G2568">
        <v>0</v>
      </c>
      <c r="H2568">
        <v>28.4</v>
      </c>
      <c r="I2568">
        <v>20</v>
      </c>
    </row>
    <row r="2569" spans="1:9" ht="24" customHeight="1">
      <c r="A2569" s="6" t="s">
        <v>3783</v>
      </c>
      <c r="B2569">
        <v>803</v>
      </c>
      <c r="C2569">
        <v>76</v>
      </c>
      <c r="D2569">
        <v>564018</v>
      </c>
      <c r="E2569">
        <v>464336</v>
      </c>
      <c r="F2569">
        <v>3.2</v>
      </c>
      <c r="G2569">
        <v>2.2000000000000002</v>
      </c>
      <c r="H2569">
        <v>22.4</v>
      </c>
      <c r="I2569">
        <v>19.5</v>
      </c>
    </row>
    <row r="2570" spans="1:9" ht="24" customHeight="1">
      <c r="A2570" s="6" t="s">
        <v>3784</v>
      </c>
      <c r="B2570">
        <v>1184</v>
      </c>
      <c r="C2570">
        <v>218</v>
      </c>
      <c r="D2570">
        <v>443312</v>
      </c>
      <c r="E2570">
        <v>415740</v>
      </c>
      <c r="F2570">
        <v>8.5</v>
      </c>
      <c r="G2570">
        <v>5.5</v>
      </c>
      <c r="H2570">
        <v>19.899999999999999</v>
      </c>
      <c r="I2570">
        <v>19.3</v>
      </c>
    </row>
    <row r="2571" spans="1:9" ht="24" customHeight="1">
      <c r="A2571" s="6" t="s">
        <v>3785</v>
      </c>
      <c r="B2571">
        <v>837</v>
      </c>
      <c r="C2571">
        <v>155</v>
      </c>
      <c r="D2571">
        <v>445627</v>
      </c>
      <c r="E2571">
        <v>308818</v>
      </c>
      <c r="F2571">
        <v>8.6999999999999993</v>
      </c>
      <c r="G2571">
        <v>2.9</v>
      </c>
      <c r="H2571">
        <v>21.1</v>
      </c>
      <c r="I2571">
        <v>16.399999999999999</v>
      </c>
    </row>
    <row r="2572" spans="1:9" ht="24" customHeight="1">
      <c r="A2572" s="6" t="s">
        <v>3786</v>
      </c>
      <c r="B2572">
        <v>756</v>
      </c>
      <c r="C2572">
        <v>214</v>
      </c>
      <c r="D2572">
        <v>532086</v>
      </c>
      <c r="E2572">
        <v>437943</v>
      </c>
      <c r="F2572">
        <v>7.8</v>
      </c>
      <c r="G2572">
        <v>17.8</v>
      </c>
      <c r="H2572">
        <v>17.8</v>
      </c>
      <c r="I2572">
        <v>16</v>
      </c>
    </row>
    <row r="2573" spans="1:9" ht="24" customHeight="1">
      <c r="A2573" s="6" t="s">
        <v>3787</v>
      </c>
      <c r="B2573">
        <v>5912</v>
      </c>
      <c r="C2573">
        <v>2144</v>
      </c>
      <c r="D2573">
        <v>351922</v>
      </c>
      <c r="E2573">
        <v>300009</v>
      </c>
      <c r="F2573">
        <v>9.5</v>
      </c>
      <c r="G2573">
        <v>9</v>
      </c>
      <c r="H2573">
        <v>14.2</v>
      </c>
      <c r="I2573">
        <v>9.1</v>
      </c>
    </row>
    <row r="2574" spans="1:9" ht="24" customHeight="1">
      <c r="A2574" s="6" t="s">
        <v>3788</v>
      </c>
      <c r="B2574">
        <v>108</v>
      </c>
      <c r="C2574">
        <v>0</v>
      </c>
      <c r="D2574">
        <v>641591</v>
      </c>
      <c r="E2574"/>
      <c r="F2574">
        <v>2</v>
      </c>
      <c r="G2574"/>
      <c r="H2574">
        <v>27.3</v>
      </c>
      <c r="I2574"/>
    </row>
    <row r="2575" spans="1:9" ht="24" customHeight="1">
      <c r="A2575" s="6" t="s">
        <v>3789</v>
      </c>
      <c r="B2575">
        <v>255</v>
      </c>
      <c r="C2575">
        <v>37</v>
      </c>
      <c r="D2575">
        <v>621847</v>
      </c>
      <c r="E2575">
        <v>530699</v>
      </c>
      <c r="F2575">
        <v>2</v>
      </c>
      <c r="G2575">
        <v>4.5999999999999996</v>
      </c>
      <c r="H2575">
        <v>23.6</v>
      </c>
      <c r="I2575">
        <v>18.899999999999999</v>
      </c>
    </row>
    <row r="2576" spans="1:9" ht="24" customHeight="1">
      <c r="A2576" s="6" t="s">
        <v>3790</v>
      </c>
      <c r="B2576">
        <v>226</v>
      </c>
      <c r="C2576">
        <v>14</v>
      </c>
      <c r="D2576">
        <v>517696</v>
      </c>
      <c r="E2576">
        <v>355395</v>
      </c>
      <c r="F2576">
        <v>13.8</v>
      </c>
      <c r="G2576">
        <v>4.5999999999999996</v>
      </c>
      <c r="H2576">
        <v>19.2</v>
      </c>
      <c r="I2576">
        <v>21.9</v>
      </c>
    </row>
    <row r="2577" spans="1:9" ht="24" customHeight="1">
      <c r="A2577" s="6" t="s">
        <v>3791</v>
      </c>
      <c r="B2577">
        <v>257</v>
      </c>
      <c r="C2577">
        <v>30</v>
      </c>
      <c r="D2577">
        <v>419207</v>
      </c>
      <c r="E2577">
        <v>377864</v>
      </c>
      <c r="F2577">
        <v>11.2</v>
      </c>
      <c r="G2577">
        <v>5.5</v>
      </c>
      <c r="H2577">
        <v>16.3</v>
      </c>
      <c r="I2577">
        <v>12.5</v>
      </c>
    </row>
    <row r="2578" spans="1:9" ht="24" customHeight="1">
      <c r="A2578" s="6" t="s">
        <v>3792</v>
      </c>
      <c r="B2578">
        <v>65</v>
      </c>
      <c r="C2578">
        <v>5</v>
      </c>
      <c r="D2578">
        <v>551178</v>
      </c>
      <c r="E2578">
        <v>376500</v>
      </c>
      <c r="F2578">
        <v>9.5</v>
      </c>
      <c r="G2578">
        <v>0</v>
      </c>
      <c r="H2578">
        <v>21.9</v>
      </c>
      <c r="I2578">
        <v>18</v>
      </c>
    </row>
    <row r="2579" spans="1:9" ht="24" customHeight="1">
      <c r="A2579" s="6" t="s">
        <v>3793</v>
      </c>
      <c r="B2579">
        <v>2109</v>
      </c>
      <c r="C2579">
        <v>1121</v>
      </c>
      <c r="D2579">
        <v>364976</v>
      </c>
      <c r="E2579">
        <v>319529</v>
      </c>
      <c r="F2579">
        <v>7.1</v>
      </c>
      <c r="G2579">
        <v>4.9000000000000004</v>
      </c>
      <c r="H2579">
        <v>15</v>
      </c>
      <c r="I2579">
        <v>14</v>
      </c>
    </row>
    <row r="2580" spans="1:9" ht="24" customHeight="1">
      <c r="A2580" s="6" t="s">
        <v>695</v>
      </c>
      <c r="B2580">
        <v>871</v>
      </c>
      <c r="C2580">
        <v>0</v>
      </c>
      <c r="D2580">
        <v>921687</v>
      </c>
      <c r="E2580"/>
      <c r="F2580">
        <v>0</v>
      </c>
      <c r="G2580"/>
      <c r="H2580">
        <v>29.6</v>
      </c>
      <c r="I2580"/>
    </row>
    <row r="2581" spans="1:9" ht="24" customHeight="1">
      <c r="A2581" s="6" t="s">
        <v>696</v>
      </c>
      <c r="B2581">
        <v>1045</v>
      </c>
      <c r="C2581">
        <v>62</v>
      </c>
      <c r="D2581">
        <v>769067</v>
      </c>
      <c r="E2581">
        <v>689280</v>
      </c>
      <c r="F2581">
        <v>0.6</v>
      </c>
      <c r="G2581">
        <v>0</v>
      </c>
      <c r="H2581">
        <v>29.1</v>
      </c>
      <c r="I2581">
        <v>19.899999999999999</v>
      </c>
    </row>
    <row r="2582" spans="1:9" ht="24" customHeight="1">
      <c r="A2582" s="6" t="s">
        <v>697</v>
      </c>
      <c r="B2582">
        <v>832</v>
      </c>
      <c r="C2582">
        <v>42</v>
      </c>
      <c r="D2582">
        <v>619474</v>
      </c>
      <c r="E2582">
        <v>583410</v>
      </c>
      <c r="F2582">
        <v>19.3</v>
      </c>
      <c r="G2582">
        <v>18.8</v>
      </c>
      <c r="H2582">
        <v>31.8</v>
      </c>
      <c r="I2582">
        <v>30.1</v>
      </c>
    </row>
    <row r="2583" spans="1:9" ht="24" customHeight="1">
      <c r="A2583" s="6" t="s">
        <v>698</v>
      </c>
      <c r="B2583">
        <v>3114</v>
      </c>
      <c r="C2583">
        <v>83</v>
      </c>
      <c r="D2583">
        <v>612090</v>
      </c>
      <c r="E2583">
        <v>470193</v>
      </c>
      <c r="F2583">
        <v>21.6</v>
      </c>
      <c r="G2583">
        <v>10</v>
      </c>
      <c r="H2583">
        <v>27.4</v>
      </c>
      <c r="I2583">
        <v>29.8</v>
      </c>
    </row>
    <row r="2584" spans="1:9" ht="24" customHeight="1">
      <c r="A2584" s="6" t="s">
        <v>699</v>
      </c>
      <c r="B2584">
        <v>2007</v>
      </c>
      <c r="C2584">
        <v>115</v>
      </c>
      <c r="D2584">
        <v>674597</v>
      </c>
      <c r="E2584">
        <v>493441</v>
      </c>
      <c r="F2584">
        <v>11</v>
      </c>
      <c r="G2584">
        <v>4.5</v>
      </c>
      <c r="H2584">
        <v>25.1</v>
      </c>
      <c r="I2584">
        <v>29.5</v>
      </c>
    </row>
    <row r="2585" spans="1:9" ht="24" customHeight="1">
      <c r="A2585" s="6" t="s">
        <v>700</v>
      </c>
      <c r="B2585">
        <v>14226</v>
      </c>
      <c r="C2585">
        <v>2196</v>
      </c>
      <c r="D2585">
        <v>482732</v>
      </c>
      <c r="E2585">
        <v>384761</v>
      </c>
      <c r="F2585">
        <v>18.2</v>
      </c>
      <c r="G2585">
        <v>10.9</v>
      </c>
      <c r="H2585">
        <v>16.8</v>
      </c>
      <c r="I2585">
        <v>13.6</v>
      </c>
    </row>
    <row r="2586" spans="1:9" ht="24" customHeight="1">
      <c r="A2586" s="6" t="s">
        <v>3794</v>
      </c>
      <c r="B2586">
        <v>2158</v>
      </c>
      <c r="C2586">
        <v>189</v>
      </c>
      <c r="D2586">
        <v>543024</v>
      </c>
      <c r="E2586">
        <v>498892</v>
      </c>
      <c r="F2586">
        <v>1.2</v>
      </c>
      <c r="G2586">
        <v>1.2</v>
      </c>
      <c r="H2586">
        <v>23.3</v>
      </c>
      <c r="I2586">
        <v>25.1</v>
      </c>
    </row>
    <row r="2587" spans="1:9" ht="24" customHeight="1">
      <c r="A2587" s="6" t="s">
        <v>3795</v>
      </c>
      <c r="B2587">
        <v>3374</v>
      </c>
      <c r="C2587">
        <v>364</v>
      </c>
      <c r="D2587">
        <v>497849</v>
      </c>
      <c r="E2587">
        <v>411956</v>
      </c>
      <c r="F2587">
        <v>2.5</v>
      </c>
      <c r="G2587">
        <v>3.1</v>
      </c>
      <c r="H2587">
        <v>17.3</v>
      </c>
      <c r="I2587">
        <v>18.399999999999999</v>
      </c>
    </row>
    <row r="2588" spans="1:9" ht="24" customHeight="1">
      <c r="A2588" s="6" t="s">
        <v>3796</v>
      </c>
      <c r="B2588">
        <v>2173</v>
      </c>
      <c r="C2588">
        <v>144</v>
      </c>
      <c r="D2588">
        <v>444493</v>
      </c>
      <c r="E2588">
        <v>308261</v>
      </c>
      <c r="F2588">
        <v>9.1</v>
      </c>
      <c r="G2588">
        <v>5.3</v>
      </c>
      <c r="H2588">
        <v>18.899999999999999</v>
      </c>
      <c r="I2588">
        <v>15.4</v>
      </c>
    </row>
    <row r="2589" spans="1:9" ht="24" customHeight="1">
      <c r="A2589" s="6" t="s">
        <v>3797</v>
      </c>
      <c r="B2589">
        <v>2845</v>
      </c>
      <c r="C2589">
        <v>364</v>
      </c>
      <c r="D2589">
        <v>438381</v>
      </c>
      <c r="E2589">
        <v>306023</v>
      </c>
      <c r="F2589">
        <v>12.4</v>
      </c>
      <c r="G2589">
        <v>1.2</v>
      </c>
      <c r="H2589">
        <v>16.399999999999999</v>
      </c>
      <c r="I2589">
        <v>18</v>
      </c>
    </row>
    <row r="2590" spans="1:9" ht="24" customHeight="1">
      <c r="A2590" s="6" t="s">
        <v>3798</v>
      </c>
      <c r="B2590">
        <v>1638</v>
      </c>
      <c r="C2590">
        <v>124</v>
      </c>
      <c r="D2590">
        <v>569979</v>
      </c>
      <c r="E2590">
        <v>279726</v>
      </c>
      <c r="F2590">
        <v>6.6</v>
      </c>
      <c r="G2590">
        <v>1</v>
      </c>
      <c r="H2590">
        <v>13.9</v>
      </c>
      <c r="I2590">
        <v>19.100000000000001</v>
      </c>
    </row>
    <row r="2591" spans="1:9" ht="24" customHeight="1">
      <c r="A2591" s="6" t="s">
        <v>3799</v>
      </c>
      <c r="B2591">
        <v>32056</v>
      </c>
      <c r="C2591">
        <v>13069</v>
      </c>
      <c r="D2591">
        <v>344011</v>
      </c>
      <c r="E2591">
        <v>252728</v>
      </c>
      <c r="F2591">
        <v>11.4</v>
      </c>
      <c r="G2591">
        <v>3.6</v>
      </c>
      <c r="H2591">
        <v>10.7</v>
      </c>
      <c r="I2591">
        <v>10.3</v>
      </c>
    </row>
    <row r="2592" spans="1:9" ht="24" customHeight="1">
      <c r="A2592" s="6" t="s">
        <v>3800</v>
      </c>
      <c r="B2592">
        <v>1043</v>
      </c>
      <c r="C2592">
        <v>14</v>
      </c>
      <c r="D2592">
        <v>625732</v>
      </c>
      <c r="E2592">
        <v>550230</v>
      </c>
      <c r="F2592">
        <v>0</v>
      </c>
      <c r="G2592">
        <v>0</v>
      </c>
      <c r="H2592">
        <v>24.5</v>
      </c>
      <c r="I2592">
        <v>12</v>
      </c>
    </row>
    <row r="2593" spans="1:9" ht="24" customHeight="1">
      <c r="A2593" s="6" t="s">
        <v>3801</v>
      </c>
      <c r="B2593">
        <v>1805</v>
      </c>
      <c r="C2593">
        <v>93</v>
      </c>
      <c r="D2593">
        <v>504483</v>
      </c>
      <c r="E2593">
        <v>411880</v>
      </c>
      <c r="F2593">
        <v>1.4</v>
      </c>
      <c r="G2593">
        <v>0</v>
      </c>
      <c r="H2593">
        <v>26.6</v>
      </c>
      <c r="I2593">
        <v>27.6</v>
      </c>
    </row>
    <row r="2594" spans="1:9" ht="24" customHeight="1">
      <c r="A2594" s="6" t="s">
        <v>3802</v>
      </c>
      <c r="B2594">
        <v>2726</v>
      </c>
      <c r="C2594">
        <v>258</v>
      </c>
      <c r="D2594">
        <v>410264</v>
      </c>
      <c r="E2594">
        <v>378312</v>
      </c>
      <c r="F2594">
        <v>14.7</v>
      </c>
      <c r="G2594">
        <v>11.7</v>
      </c>
      <c r="H2594">
        <v>19.7</v>
      </c>
      <c r="I2594">
        <v>30.1</v>
      </c>
    </row>
    <row r="2595" spans="1:9" ht="24" customHeight="1">
      <c r="A2595" s="6" t="s">
        <v>3803</v>
      </c>
      <c r="B2595">
        <v>2495</v>
      </c>
      <c r="C2595">
        <v>85</v>
      </c>
      <c r="D2595">
        <v>430657</v>
      </c>
      <c r="E2595">
        <v>332493</v>
      </c>
      <c r="F2595">
        <v>15.5</v>
      </c>
      <c r="G2595">
        <v>6.7</v>
      </c>
      <c r="H2595">
        <v>18.8</v>
      </c>
      <c r="I2595">
        <v>22.7</v>
      </c>
    </row>
    <row r="2596" spans="1:9" ht="24" customHeight="1">
      <c r="A2596" s="6" t="s">
        <v>3804</v>
      </c>
      <c r="B2596">
        <v>1100</v>
      </c>
      <c r="C2596">
        <v>115</v>
      </c>
      <c r="D2596">
        <v>535904</v>
      </c>
      <c r="E2596">
        <v>386870</v>
      </c>
      <c r="F2596">
        <v>10.5</v>
      </c>
      <c r="G2596">
        <v>9.4</v>
      </c>
      <c r="H2596">
        <v>26.5</v>
      </c>
      <c r="I2596">
        <v>23.2</v>
      </c>
    </row>
    <row r="2597" spans="1:9" ht="24" customHeight="1">
      <c r="A2597" s="6" t="s">
        <v>3805</v>
      </c>
      <c r="B2597">
        <v>15031</v>
      </c>
      <c r="C2597">
        <v>4878</v>
      </c>
      <c r="D2597">
        <v>338262</v>
      </c>
      <c r="E2597">
        <v>271161</v>
      </c>
      <c r="F2597">
        <v>13.5</v>
      </c>
      <c r="G2597">
        <v>7.2</v>
      </c>
      <c r="H2597">
        <v>11.3</v>
      </c>
      <c r="I2597">
        <v>10.6</v>
      </c>
    </row>
    <row r="2598" spans="1:9" ht="24" customHeight="1">
      <c r="A2598" s="6" t="s">
        <v>3806</v>
      </c>
      <c r="B2598">
        <v>393</v>
      </c>
      <c r="C2598">
        <v>8</v>
      </c>
      <c r="D2598">
        <v>752575</v>
      </c>
      <c r="E2598">
        <v>1158333</v>
      </c>
      <c r="F2598">
        <v>0</v>
      </c>
      <c r="G2598">
        <v>0</v>
      </c>
      <c r="H2598">
        <v>29.1</v>
      </c>
      <c r="I2598">
        <v>18</v>
      </c>
    </row>
    <row r="2599" spans="1:9" ht="24" customHeight="1">
      <c r="A2599" s="6" t="s">
        <v>3807</v>
      </c>
      <c r="B2599">
        <v>898</v>
      </c>
      <c r="C2599">
        <v>31</v>
      </c>
      <c r="D2599">
        <v>619738</v>
      </c>
      <c r="E2599">
        <v>503999</v>
      </c>
      <c r="F2599">
        <v>1.7</v>
      </c>
      <c r="G2599">
        <v>0</v>
      </c>
      <c r="H2599">
        <v>28.3</v>
      </c>
      <c r="I2599">
        <v>30.4</v>
      </c>
    </row>
    <row r="2600" spans="1:9" ht="24" customHeight="1">
      <c r="A2600" s="6" t="s">
        <v>3808</v>
      </c>
      <c r="B2600">
        <v>1304</v>
      </c>
      <c r="C2600">
        <v>27</v>
      </c>
      <c r="D2600">
        <v>544343</v>
      </c>
      <c r="E2600">
        <v>481829</v>
      </c>
      <c r="F2600">
        <v>21.1</v>
      </c>
      <c r="G2600">
        <v>25.6</v>
      </c>
      <c r="H2600">
        <v>23</v>
      </c>
      <c r="I2600">
        <v>27.9</v>
      </c>
    </row>
    <row r="2601" spans="1:9" ht="24" customHeight="1">
      <c r="A2601" s="6" t="s">
        <v>3809</v>
      </c>
      <c r="B2601">
        <v>739</v>
      </c>
      <c r="C2601">
        <v>79</v>
      </c>
      <c r="D2601">
        <v>469017</v>
      </c>
      <c r="E2601">
        <v>361520</v>
      </c>
      <c r="F2601">
        <v>10.199999999999999</v>
      </c>
      <c r="G2601">
        <v>6</v>
      </c>
      <c r="H2601">
        <v>18.399999999999999</v>
      </c>
      <c r="I2601">
        <v>22.4</v>
      </c>
    </row>
    <row r="2602" spans="1:9" ht="24" customHeight="1">
      <c r="A2602" s="6" t="s">
        <v>3810</v>
      </c>
      <c r="B2602">
        <v>658</v>
      </c>
      <c r="C2602">
        <v>198</v>
      </c>
      <c r="D2602">
        <v>531941</v>
      </c>
      <c r="E2602">
        <v>397327</v>
      </c>
      <c r="F2602">
        <v>10.8</v>
      </c>
      <c r="G2602">
        <v>6.2</v>
      </c>
      <c r="H2602">
        <v>20.5</v>
      </c>
      <c r="I2602">
        <v>23.3</v>
      </c>
    </row>
    <row r="2603" spans="1:9" ht="24" customHeight="1">
      <c r="A2603" s="6" t="s">
        <v>3811</v>
      </c>
      <c r="B2603">
        <v>10853</v>
      </c>
      <c r="C2603">
        <v>3386</v>
      </c>
      <c r="D2603">
        <v>395469</v>
      </c>
      <c r="E2603">
        <v>287543</v>
      </c>
      <c r="F2603">
        <v>16</v>
      </c>
      <c r="G2603">
        <v>6.2</v>
      </c>
      <c r="H2603">
        <v>13.7</v>
      </c>
      <c r="I2603">
        <v>10.6</v>
      </c>
    </row>
    <row r="2604" spans="1:9" ht="24" customHeight="1">
      <c r="A2604" s="6" t="s">
        <v>701</v>
      </c>
      <c r="B2604">
        <v>766</v>
      </c>
      <c r="C2604">
        <v>30</v>
      </c>
      <c r="D2604">
        <v>1004398</v>
      </c>
      <c r="E2604">
        <v>978027</v>
      </c>
      <c r="F2604">
        <v>0</v>
      </c>
      <c r="G2604">
        <v>0</v>
      </c>
      <c r="H2604">
        <v>29.7</v>
      </c>
      <c r="I2604">
        <v>24.7</v>
      </c>
    </row>
    <row r="2605" spans="1:9" ht="24" customHeight="1">
      <c r="A2605" s="6" t="s">
        <v>702</v>
      </c>
      <c r="B2605">
        <v>2306</v>
      </c>
      <c r="C2605">
        <v>75</v>
      </c>
      <c r="D2605">
        <v>719657</v>
      </c>
      <c r="E2605">
        <v>788470</v>
      </c>
      <c r="F2605">
        <v>0</v>
      </c>
      <c r="G2605">
        <v>0</v>
      </c>
      <c r="H2605">
        <v>27</v>
      </c>
      <c r="I2605">
        <v>22.3</v>
      </c>
    </row>
    <row r="2606" spans="1:9" ht="24" customHeight="1">
      <c r="A2606" s="6" t="s">
        <v>703</v>
      </c>
      <c r="B2606">
        <v>2559</v>
      </c>
      <c r="C2606">
        <v>277</v>
      </c>
      <c r="D2606">
        <v>622175</v>
      </c>
      <c r="E2606">
        <v>524451</v>
      </c>
      <c r="F2606">
        <v>28.8</v>
      </c>
      <c r="G2606">
        <v>24</v>
      </c>
      <c r="H2606">
        <v>22.7</v>
      </c>
      <c r="I2606">
        <v>18.7</v>
      </c>
    </row>
    <row r="2607" spans="1:9" ht="24" customHeight="1">
      <c r="A2607" s="6" t="s">
        <v>704</v>
      </c>
      <c r="B2607">
        <v>3629</v>
      </c>
      <c r="C2607">
        <v>127</v>
      </c>
      <c r="D2607">
        <v>582590</v>
      </c>
      <c r="E2607">
        <v>471463</v>
      </c>
      <c r="F2607">
        <v>33.4</v>
      </c>
      <c r="G2607">
        <v>16.3</v>
      </c>
      <c r="H2607">
        <v>23.5</v>
      </c>
      <c r="I2607">
        <v>17.5</v>
      </c>
    </row>
    <row r="2608" spans="1:9" ht="24" customHeight="1">
      <c r="A2608" s="6" t="s">
        <v>705</v>
      </c>
      <c r="B2608">
        <v>1471</v>
      </c>
      <c r="C2608">
        <v>30</v>
      </c>
      <c r="D2608">
        <v>778855</v>
      </c>
      <c r="E2608">
        <v>765236</v>
      </c>
      <c r="F2608">
        <v>2.1</v>
      </c>
      <c r="G2608">
        <v>0</v>
      </c>
      <c r="H2608">
        <v>25.8</v>
      </c>
      <c r="I2608">
        <v>15</v>
      </c>
    </row>
    <row r="2609" spans="1:9" ht="24" customHeight="1">
      <c r="A2609" s="6" t="s">
        <v>706</v>
      </c>
      <c r="B2609">
        <v>22870</v>
      </c>
      <c r="C2609">
        <v>9951</v>
      </c>
      <c r="D2609">
        <v>498176</v>
      </c>
      <c r="E2609">
        <v>382902</v>
      </c>
      <c r="F2609">
        <v>25.6</v>
      </c>
      <c r="G2609">
        <v>16.8</v>
      </c>
      <c r="H2609">
        <v>21.6</v>
      </c>
      <c r="I2609">
        <v>12.3</v>
      </c>
    </row>
    <row r="2610" spans="1:9" ht="24" customHeight="1">
      <c r="A2610" s="6" t="s">
        <v>3812</v>
      </c>
      <c r="B2610">
        <v>6395</v>
      </c>
      <c r="C2610">
        <v>167</v>
      </c>
      <c r="D2610">
        <v>546843</v>
      </c>
      <c r="E2610">
        <v>415409</v>
      </c>
      <c r="F2610">
        <v>2.6</v>
      </c>
      <c r="G2610">
        <v>1.8</v>
      </c>
      <c r="H2610">
        <v>18.7</v>
      </c>
      <c r="I2610">
        <v>20.399999999999999</v>
      </c>
    </row>
    <row r="2611" spans="1:9" ht="24" customHeight="1">
      <c r="A2611" s="6" t="s">
        <v>3813</v>
      </c>
      <c r="B2611">
        <v>4583</v>
      </c>
      <c r="C2611">
        <v>480</v>
      </c>
      <c r="D2611">
        <v>449361</v>
      </c>
      <c r="E2611">
        <v>382021</v>
      </c>
      <c r="F2611">
        <v>3.5</v>
      </c>
      <c r="G2611">
        <v>7.8</v>
      </c>
      <c r="H2611">
        <v>19.3</v>
      </c>
      <c r="I2611">
        <v>20.9</v>
      </c>
    </row>
    <row r="2612" spans="1:9" ht="24" customHeight="1">
      <c r="A2612" s="6" t="s">
        <v>3814</v>
      </c>
      <c r="B2612">
        <v>4889</v>
      </c>
      <c r="C2612">
        <v>655</v>
      </c>
      <c r="D2612">
        <v>371871</v>
      </c>
      <c r="E2612">
        <v>338294</v>
      </c>
      <c r="F2612">
        <v>8.3000000000000007</v>
      </c>
      <c r="G2612">
        <v>4.7</v>
      </c>
      <c r="H2612">
        <v>16</v>
      </c>
      <c r="I2612">
        <v>21.3</v>
      </c>
    </row>
    <row r="2613" spans="1:9" ht="24" customHeight="1">
      <c r="A2613" s="6" t="s">
        <v>3815</v>
      </c>
      <c r="B2613">
        <v>1203</v>
      </c>
      <c r="C2613">
        <v>287</v>
      </c>
      <c r="D2613">
        <v>371556</v>
      </c>
      <c r="E2613">
        <v>293011</v>
      </c>
      <c r="F2613">
        <v>17.7</v>
      </c>
      <c r="G2613">
        <v>14</v>
      </c>
      <c r="H2613">
        <v>20.399999999999999</v>
      </c>
      <c r="I2613">
        <v>12.4</v>
      </c>
    </row>
    <row r="2614" spans="1:9" ht="24" customHeight="1">
      <c r="A2614" s="6" t="s">
        <v>3816</v>
      </c>
      <c r="B2614">
        <v>2916</v>
      </c>
      <c r="C2614">
        <v>377</v>
      </c>
      <c r="D2614">
        <v>456537</v>
      </c>
      <c r="E2614">
        <v>292903</v>
      </c>
      <c r="F2614">
        <v>2.2000000000000002</v>
      </c>
      <c r="G2614">
        <v>5.6</v>
      </c>
      <c r="H2614">
        <v>18.899999999999999</v>
      </c>
      <c r="I2614">
        <v>17</v>
      </c>
    </row>
    <row r="2615" spans="1:9" ht="24" customHeight="1">
      <c r="A2615" s="6" t="s">
        <v>3817</v>
      </c>
      <c r="B2615">
        <v>32017</v>
      </c>
      <c r="C2615">
        <v>19279</v>
      </c>
      <c r="D2615">
        <v>327535</v>
      </c>
      <c r="E2615">
        <v>253638</v>
      </c>
      <c r="F2615">
        <v>9.1999999999999993</v>
      </c>
      <c r="G2615">
        <v>6.3</v>
      </c>
      <c r="H2615">
        <v>13.2</v>
      </c>
      <c r="I2615">
        <v>11.7</v>
      </c>
    </row>
    <row r="2616" spans="1:9" ht="24" customHeight="1">
      <c r="A2616" s="6" t="s">
        <v>3818</v>
      </c>
      <c r="B2616">
        <v>2162</v>
      </c>
      <c r="C2616">
        <v>19</v>
      </c>
      <c r="D2616">
        <v>717057</v>
      </c>
      <c r="E2616">
        <v>490361</v>
      </c>
      <c r="F2616">
        <v>1.3</v>
      </c>
      <c r="G2616">
        <v>3</v>
      </c>
      <c r="H2616">
        <v>25.9</v>
      </c>
      <c r="I2616">
        <v>23</v>
      </c>
    </row>
    <row r="2617" spans="1:9" ht="24" customHeight="1">
      <c r="A2617" s="6" t="s">
        <v>3819</v>
      </c>
      <c r="B2617">
        <v>3199</v>
      </c>
      <c r="C2617">
        <v>97</v>
      </c>
      <c r="D2617">
        <v>568805</v>
      </c>
      <c r="E2617">
        <v>409249</v>
      </c>
      <c r="F2617">
        <v>1.9</v>
      </c>
      <c r="G2617">
        <v>8.6</v>
      </c>
      <c r="H2617">
        <v>21.4</v>
      </c>
      <c r="I2617">
        <v>18.5</v>
      </c>
    </row>
    <row r="2618" spans="1:9" ht="24" customHeight="1">
      <c r="A2618" s="6" t="s">
        <v>3820</v>
      </c>
      <c r="B2618">
        <v>5376</v>
      </c>
      <c r="C2618">
        <v>428</v>
      </c>
      <c r="D2618">
        <v>456206</v>
      </c>
      <c r="E2618">
        <v>358240</v>
      </c>
      <c r="F2618">
        <v>31.4</v>
      </c>
      <c r="G2618">
        <v>17.2</v>
      </c>
      <c r="H2618">
        <v>19</v>
      </c>
      <c r="I2618">
        <v>26.1</v>
      </c>
    </row>
    <row r="2619" spans="1:9" ht="24" customHeight="1">
      <c r="A2619" s="6" t="s">
        <v>3821</v>
      </c>
      <c r="B2619">
        <v>1082</v>
      </c>
      <c r="C2619">
        <v>17</v>
      </c>
      <c r="D2619">
        <v>440192</v>
      </c>
      <c r="E2619">
        <v>312464</v>
      </c>
      <c r="F2619">
        <v>27.1</v>
      </c>
      <c r="G2619">
        <v>3</v>
      </c>
      <c r="H2619">
        <v>15.6</v>
      </c>
      <c r="I2619">
        <v>24.5</v>
      </c>
    </row>
    <row r="2620" spans="1:9" ht="24" customHeight="1">
      <c r="A2620" s="6" t="s">
        <v>3822</v>
      </c>
      <c r="B2620">
        <v>1681</v>
      </c>
      <c r="C2620">
        <v>330</v>
      </c>
      <c r="D2620">
        <v>428294</v>
      </c>
      <c r="E2620">
        <v>339636</v>
      </c>
      <c r="F2620">
        <v>14.1</v>
      </c>
      <c r="G2620">
        <v>22.6</v>
      </c>
      <c r="H2620">
        <v>23.2</v>
      </c>
      <c r="I2620">
        <v>14.2</v>
      </c>
    </row>
    <row r="2621" spans="1:9" ht="24" customHeight="1">
      <c r="A2621" s="6" t="s">
        <v>3823</v>
      </c>
      <c r="B2621">
        <v>19952</v>
      </c>
      <c r="C2621">
        <v>9899</v>
      </c>
      <c r="D2621">
        <v>374962</v>
      </c>
      <c r="E2621">
        <v>299549</v>
      </c>
      <c r="F2621">
        <v>26.6</v>
      </c>
      <c r="G2621">
        <v>16.399999999999999</v>
      </c>
      <c r="H2621">
        <v>12.8</v>
      </c>
      <c r="I2621">
        <v>10.9</v>
      </c>
    </row>
    <row r="2622" spans="1:9" ht="24" customHeight="1">
      <c r="A2622" s="6" t="s">
        <v>3824</v>
      </c>
      <c r="B2622">
        <v>1197</v>
      </c>
      <c r="C2622">
        <v>5</v>
      </c>
      <c r="D2622">
        <v>773242</v>
      </c>
      <c r="E2622">
        <v>633952</v>
      </c>
      <c r="F2622">
        <v>0.2</v>
      </c>
      <c r="G2622">
        <v>0</v>
      </c>
      <c r="H2622">
        <v>24.7</v>
      </c>
      <c r="I2622">
        <v>5</v>
      </c>
    </row>
    <row r="2623" spans="1:9" ht="24" customHeight="1">
      <c r="A2623" s="6" t="s">
        <v>3825</v>
      </c>
      <c r="B2623">
        <v>1775</v>
      </c>
      <c r="C2623">
        <v>243</v>
      </c>
      <c r="D2623">
        <v>582245</v>
      </c>
      <c r="E2623">
        <v>545040</v>
      </c>
      <c r="F2623">
        <v>0.4</v>
      </c>
      <c r="G2623">
        <v>3.3</v>
      </c>
      <c r="H2623">
        <v>27</v>
      </c>
      <c r="I2623">
        <v>26.6</v>
      </c>
    </row>
    <row r="2624" spans="1:9" ht="24" customHeight="1">
      <c r="A2624" s="6" t="s">
        <v>3826</v>
      </c>
      <c r="B2624">
        <v>1827</v>
      </c>
      <c r="C2624">
        <v>274</v>
      </c>
      <c r="D2624">
        <v>472412</v>
      </c>
      <c r="E2624">
        <v>382271</v>
      </c>
      <c r="F2624">
        <v>14.7</v>
      </c>
      <c r="G2624">
        <v>6.9</v>
      </c>
      <c r="H2624">
        <v>26.2</v>
      </c>
      <c r="I2624">
        <v>24.3</v>
      </c>
    </row>
    <row r="2625" spans="1:9" ht="24" customHeight="1">
      <c r="A2625" s="6" t="s">
        <v>3827</v>
      </c>
      <c r="B2625">
        <v>1113</v>
      </c>
      <c r="C2625">
        <v>330</v>
      </c>
      <c r="D2625">
        <v>451842</v>
      </c>
      <c r="E2625">
        <v>313944</v>
      </c>
      <c r="F2625">
        <v>24.7</v>
      </c>
      <c r="G2625">
        <v>3.6</v>
      </c>
      <c r="H2625">
        <v>18.899999999999999</v>
      </c>
      <c r="I2625">
        <v>7.5</v>
      </c>
    </row>
    <row r="2626" spans="1:9" ht="24" customHeight="1">
      <c r="A2626" s="6" t="s">
        <v>3828</v>
      </c>
      <c r="B2626">
        <v>839</v>
      </c>
      <c r="C2626">
        <v>191</v>
      </c>
      <c r="D2626">
        <v>489082</v>
      </c>
      <c r="E2626">
        <v>405570</v>
      </c>
      <c r="F2626">
        <v>16.2</v>
      </c>
      <c r="G2626">
        <v>15.5</v>
      </c>
      <c r="H2626">
        <v>20.5</v>
      </c>
      <c r="I2626">
        <v>21.7</v>
      </c>
    </row>
    <row r="2627" spans="1:9" ht="24" customHeight="1">
      <c r="A2627" s="6" t="s">
        <v>3829</v>
      </c>
      <c r="B2627">
        <v>6946</v>
      </c>
      <c r="C2627">
        <v>4654</v>
      </c>
      <c r="D2627">
        <v>411489</v>
      </c>
      <c r="E2627">
        <v>340311</v>
      </c>
      <c r="F2627">
        <v>20.8</v>
      </c>
      <c r="G2627">
        <v>9.9</v>
      </c>
      <c r="H2627">
        <v>14.3</v>
      </c>
      <c r="I2627">
        <v>13.1</v>
      </c>
    </row>
    <row r="2628" spans="1:9" ht="24" customHeight="1">
      <c r="A2628" s="6" t="s">
        <v>707</v>
      </c>
      <c r="B2628">
        <v>4928</v>
      </c>
      <c r="C2628">
        <v>498</v>
      </c>
      <c r="D2628">
        <v>1389675</v>
      </c>
      <c r="E2628">
        <v>1262739</v>
      </c>
      <c r="F2628">
        <v>0.8</v>
      </c>
      <c r="G2628">
        <v>0</v>
      </c>
      <c r="H2628">
        <v>26.8</v>
      </c>
      <c r="I2628">
        <v>20.100000000000001</v>
      </c>
    </row>
    <row r="2629" spans="1:9" ht="24" customHeight="1">
      <c r="A2629" s="6" t="s">
        <v>708</v>
      </c>
      <c r="B2629">
        <v>11617</v>
      </c>
      <c r="C2629">
        <v>1484</v>
      </c>
      <c r="D2629">
        <v>993592</v>
      </c>
      <c r="E2629">
        <v>1028821</v>
      </c>
      <c r="F2629">
        <v>1.8</v>
      </c>
      <c r="G2629">
        <v>1.6</v>
      </c>
      <c r="H2629">
        <v>24.3</v>
      </c>
      <c r="I2629">
        <v>18</v>
      </c>
    </row>
    <row r="2630" spans="1:9" ht="24" customHeight="1">
      <c r="A2630" s="6" t="s">
        <v>709</v>
      </c>
      <c r="B2630">
        <v>9049</v>
      </c>
      <c r="C2630">
        <v>2240</v>
      </c>
      <c r="D2630">
        <v>753037</v>
      </c>
      <c r="E2630">
        <v>688070</v>
      </c>
      <c r="F2630">
        <v>18.100000000000001</v>
      </c>
      <c r="G2630">
        <v>8.4</v>
      </c>
      <c r="H2630">
        <v>20.399999999999999</v>
      </c>
      <c r="I2630">
        <v>20.100000000000001</v>
      </c>
    </row>
    <row r="2631" spans="1:9" ht="24" customHeight="1">
      <c r="A2631" s="6" t="s">
        <v>710</v>
      </c>
      <c r="B2631">
        <v>5312</v>
      </c>
      <c r="C2631">
        <v>733</v>
      </c>
      <c r="D2631">
        <v>670895</v>
      </c>
      <c r="E2631">
        <v>510388</v>
      </c>
      <c r="F2631">
        <v>20.3</v>
      </c>
      <c r="G2631">
        <v>11.8</v>
      </c>
      <c r="H2631">
        <v>22.4</v>
      </c>
      <c r="I2631">
        <v>17.899999999999999</v>
      </c>
    </row>
    <row r="2632" spans="1:9" ht="24" customHeight="1">
      <c r="A2632" s="6" t="s">
        <v>711</v>
      </c>
      <c r="B2632">
        <v>6435</v>
      </c>
      <c r="C2632">
        <v>565</v>
      </c>
      <c r="D2632">
        <v>1020281</v>
      </c>
      <c r="E2632">
        <v>857793</v>
      </c>
      <c r="F2632">
        <v>3.3</v>
      </c>
      <c r="G2632">
        <v>4.2</v>
      </c>
      <c r="H2632">
        <v>22.7</v>
      </c>
      <c r="I2632">
        <v>25.8</v>
      </c>
    </row>
    <row r="2633" spans="1:9" ht="24" customHeight="1">
      <c r="A2633" s="6" t="s">
        <v>712</v>
      </c>
      <c r="B2633">
        <v>82422</v>
      </c>
      <c r="C2633">
        <v>26236</v>
      </c>
      <c r="D2633">
        <v>605070</v>
      </c>
      <c r="E2633">
        <v>520204</v>
      </c>
      <c r="F2633">
        <v>13.6</v>
      </c>
      <c r="G2633">
        <v>9.1</v>
      </c>
      <c r="H2633">
        <v>14.6</v>
      </c>
      <c r="I2633">
        <v>13.6</v>
      </c>
    </row>
    <row r="2634" spans="1:9" ht="24" customHeight="1">
      <c r="A2634" s="6" t="s">
        <v>3830</v>
      </c>
      <c r="B2634">
        <v>2663</v>
      </c>
      <c r="C2634">
        <v>100</v>
      </c>
      <c r="D2634">
        <v>687191</v>
      </c>
      <c r="E2634">
        <v>421655</v>
      </c>
      <c r="F2634">
        <v>0.8</v>
      </c>
      <c r="G2634">
        <v>2.4</v>
      </c>
      <c r="H2634">
        <v>20.2</v>
      </c>
      <c r="I2634">
        <v>20.399999999999999</v>
      </c>
    </row>
    <row r="2635" spans="1:9" ht="24" customHeight="1">
      <c r="A2635" s="6" t="s">
        <v>3831</v>
      </c>
      <c r="B2635">
        <v>3161</v>
      </c>
      <c r="C2635">
        <v>848</v>
      </c>
      <c r="D2635">
        <v>578385</v>
      </c>
      <c r="E2635">
        <v>474516</v>
      </c>
      <c r="F2635">
        <v>1.6</v>
      </c>
      <c r="G2635">
        <v>0.1</v>
      </c>
      <c r="H2635">
        <v>21.8</v>
      </c>
      <c r="I2635">
        <v>15.9</v>
      </c>
    </row>
    <row r="2636" spans="1:9" ht="24" customHeight="1">
      <c r="A2636" s="6" t="s">
        <v>3832</v>
      </c>
      <c r="B2636">
        <v>2075</v>
      </c>
      <c r="C2636">
        <v>643</v>
      </c>
      <c r="D2636">
        <v>469067</v>
      </c>
      <c r="E2636">
        <v>462957</v>
      </c>
      <c r="F2636">
        <v>13.3</v>
      </c>
      <c r="G2636">
        <v>4.5999999999999996</v>
      </c>
      <c r="H2636">
        <v>13.9</v>
      </c>
      <c r="I2636">
        <v>12</v>
      </c>
    </row>
    <row r="2637" spans="1:9" ht="24" customHeight="1">
      <c r="A2637" s="6" t="s">
        <v>3833</v>
      </c>
      <c r="B2637">
        <v>922</v>
      </c>
      <c r="C2637">
        <v>665</v>
      </c>
      <c r="D2637">
        <v>499741</v>
      </c>
      <c r="E2637">
        <v>327775</v>
      </c>
      <c r="F2637">
        <v>7.1</v>
      </c>
      <c r="G2637">
        <v>3</v>
      </c>
      <c r="H2637">
        <v>19</v>
      </c>
      <c r="I2637">
        <v>15.4</v>
      </c>
    </row>
    <row r="2638" spans="1:9" ht="24" customHeight="1">
      <c r="A2638" s="6" t="s">
        <v>3834</v>
      </c>
      <c r="B2638">
        <v>2486</v>
      </c>
      <c r="C2638">
        <v>743</v>
      </c>
      <c r="D2638">
        <v>645006</v>
      </c>
      <c r="E2638">
        <v>533658</v>
      </c>
      <c r="F2638">
        <v>9</v>
      </c>
      <c r="G2638">
        <v>9.1999999999999993</v>
      </c>
      <c r="H2638">
        <v>12.1</v>
      </c>
      <c r="I2638">
        <v>14.1</v>
      </c>
    </row>
    <row r="2639" spans="1:9" ht="24" customHeight="1">
      <c r="A2639" s="6" t="s">
        <v>3835</v>
      </c>
      <c r="B2639">
        <v>23061</v>
      </c>
      <c r="C2639">
        <v>12640</v>
      </c>
      <c r="D2639">
        <v>421690</v>
      </c>
      <c r="E2639">
        <v>357724</v>
      </c>
      <c r="F2639">
        <v>12</v>
      </c>
      <c r="G2639">
        <v>10</v>
      </c>
      <c r="H2639">
        <v>9.6</v>
      </c>
      <c r="I2639">
        <v>8.8000000000000007</v>
      </c>
    </row>
    <row r="2640" spans="1:9" ht="24" customHeight="1">
      <c r="A2640" s="6" t="s">
        <v>3836</v>
      </c>
      <c r="B2640">
        <v>2656</v>
      </c>
      <c r="C2640">
        <v>94</v>
      </c>
      <c r="D2640">
        <v>873391</v>
      </c>
      <c r="E2640">
        <v>737555</v>
      </c>
      <c r="F2640">
        <v>0.1</v>
      </c>
      <c r="G2640">
        <v>0</v>
      </c>
      <c r="H2640">
        <v>25.5</v>
      </c>
      <c r="I2640">
        <v>28.3</v>
      </c>
    </row>
    <row r="2641" spans="1:9" ht="24" customHeight="1">
      <c r="A2641" s="6" t="s">
        <v>3837</v>
      </c>
      <c r="B2641">
        <v>7085</v>
      </c>
      <c r="C2641">
        <v>776</v>
      </c>
      <c r="D2641">
        <v>623533</v>
      </c>
      <c r="E2641">
        <v>696234</v>
      </c>
      <c r="F2641">
        <v>0.5</v>
      </c>
      <c r="G2641">
        <v>0.1</v>
      </c>
      <c r="H2641">
        <v>24</v>
      </c>
      <c r="I2641">
        <v>26.6</v>
      </c>
    </row>
    <row r="2642" spans="1:9" ht="24" customHeight="1">
      <c r="A2642" s="6" t="s">
        <v>3838</v>
      </c>
      <c r="B2642">
        <v>4608</v>
      </c>
      <c r="C2642">
        <v>893</v>
      </c>
      <c r="D2642">
        <v>531144</v>
      </c>
      <c r="E2642">
        <v>487716</v>
      </c>
      <c r="F2642">
        <v>13.1</v>
      </c>
      <c r="G2642">
        <v>10.3</v>
      </c>
      <c r="H2642">
        <v>20</v>
      </c>
      <c r="I2642">
        <v>23.3</v>
      </c>
    </row>
    <row r="2643" spans="1:9" ht="24" customHeight="1">
      <c r="A2643" s="6" t="s">
        <v>3839</v>
      </c>
      <c r="B2643">
        <v>3871</v>
      </c>
      <c r="C2643">
        <v>458</v>
      </c>
      <c r="D2643">
        <v>531380</v>
      </c>
      <c r="E2643">
        <v>557851</v>
      </c>
      <c r="F2643">
        <v>11.7</v>
      </c>
      <c r="G2643">
        <v>7.6</v>
      </c>
      <c r="H2643">
        <v>18.600000000000001</v>
      </c>
      <c r="I2643">
        <v>17.399999999999999</v>
      </c>
    </row>
    <row r="2644" spans="1:9" ht="24" customHeight="1">
      <c r="A2644" s="6" t="s">
        <v>3840</v>
      </c>
      <c r="B2644">
        <v>2552</v>
      </c>
      <c r="C2644">
        <v>349</v>
      </c>
      <c r="D2644">
        <v>576429</v>
      </c>
      <c r="E2644">
        <v>420250</v>
      </c>
      <c r="F2644">
        <v>10.4</v>
      </c>
      <c r="G2644">
        <v>4.9000000000000004</v>
      </c>
      <c r="H2644">
        <v>21.3</v>
      </c>
      <c r="I2644">
        <v>17.8</v>
      </c>
    </row>
    <row r="2645" spans="1:9" ht="24" customHeight="1">
      <c r="A2645" s="6" t="s">
        <v>3841</v>
      </c>
      <c r="B2645">
        <v>41866</v>
      </c>
      <c r="C2645">
        <v>16152</v>
      </c>
      <c r="D2645">
        <v>406354</v>
      </c>
      <c r="E2645">
        <v>315976</v>
      </c>
      <c r="F2645">
        <v>15.6</v>
      </c>
      <c r="G2645">
        <v>10.6</v>
      </c>
      <c r="H2645">
        <v>10.6</v>
      </c>
      <c r="I2645">
        <v>7.6</v>
      </c>
    </row>
    <row r="2646" spans="1:9" ht="24" customHeight="1">
      <c r="A2646" s="6" t="s">
        <v>3842</v>
      </c>
      <c r="B2646">
        <v>2401</v>
      </c>
      <c r="C2646">
        <v>113</v>
      </c>
      <c r="D2646">
        <v>1061288</v>
      </c>
      <c r="E2646">
        <v>1022747</v>
      </c>
      <c r="F2646">
        <v>0</v>
      </c>
      <c r="G2646">
        <v>0</v>
      </c>
      <c r="H2646">
        <v>26.7</v>
      </c>
      <c r="I2646">
        <v>27.4</v>
      </c>
    </row>
    <row r="2647" spans="1:9" ht="24" customHeight="1">
      <c r="A2647" s="6" t="s">
        <v>3843</v>
      </c>
      <c r="B2647">
        <v>5323</v>
      </c>
      <c r="C2647">
        <v>1225</v>
      </c>
      <c r="D2647">
        <v>786718</v>
      </c>
      <c r="E2647">
        <v>730046</v>
      </c>
      <c r="F2647">
        <v>6.4</v>
      </c>
      <c r="G2647">
        <v>2.2000000000000002</v>
      </c>
      <c r="H2647">
        <v>24</v>
      </c>
      <c r="I2647">
        <v>24.5</v>
      </c>
    </row>
    <row r="2648" spans="1:9" ht="24" customHeight="1">
      <c r="A2648" s="6" t="s">
        <v>3844</v>
      </c>
      <c r="B2648">
        <v>3157</v>
      </c>
      <c r="C2648">
        <v>698</v>
      </c>
      <c r="D2648">
        <v>614087</v>
      </c>
      <c r="E2648">
        <v>541698</v>
      </c>
      <c r="F2648">
        <v>21.6</v>
      </c>
      <c r="G2648">
        <v>9.5</v>
      </c>
      <c r="H2648">
        <v>18.600000000000001</v>
      </c>
      <c r="I2648">
        <v>14.1</v>
      </c>
    </row>
    <row r="2649" spans="1:9" ht="24" customHeight="1">
      <c r="A2649" s="6" t="s">
        <v>3845</v>
      </c>
      <c r="B2649">
        <v>4468</v>
      </c>
      <c r="C2649">
        <v>820</v>
      </c>
      <c r="D2649">
        <v>575661</v>
      </c>
      <c r="E2649">
        <v>493200</v>
      </c>
      <c r="F2649">
        <v>19.5</v>
      </c>
      <c r="G2649">
        <v>21.1</v>
      </c>
      <c r="H2649">
        <v>17</v>
      </c>
      <c r="I2649">
        <v>11.9</v>
      </c>
    </row>
    <row r="2650" spans="1:9" ht="24" customHeight="1">
      <c r="A2650" s="6" t="s">
        <v>3846</v>
      </c>
      <c r="B2650">
        <v>2429</v>
      </c>
      <c r="C2650">
        <v>409</v>
      </c>
      <c r="D2650">
        <v>747043</v>
      </c>
      <c r="E2650">
        <v>601867</v>
      </c>
      <c r="F2650">
        <v>4.5999999999999996</v>
      </c>
      <c r="G2650">
        <v>5.3</v>
      </c>
      <c r="H2650">
        <v>22.8</v>
      </c>
      <c r="I2650">
        <v>25.3</v>
      </c>
    </row>
    <row r="2651" spans="1:9" ht="24" customHeight="1">
      <c r="A2651" s="6" t="s">
        <v>3847</v>
      </c>
      <c r="B2651">
        <v>43032</v>
      </c>
      <c r="C2651">
        <v>14630</v>
      </c>
      <c r="D2651">
        <v>483812</v>
      </c>
      <c r="E2651">
        <v>406157</v>
      </c>
      <c r="F2651">
        <v>16</v>
      </c>
      <c r="G2651">
        <v>10.7</v>
      </c>
      <c r="H2651">
        <v>11.9</v>
      </c>
      <c r="I2651">
        <v>10.199999999999999</v>
      </c>
    </row>
    <row r="2652" spans="1:9" ht="24" customHeight="1">
      <c r="A2652" s="6" t="s">
        <v>713</v>
      </c>
      <c r="B2652">
        <v>52</v>
      </c>
      <c r="C2652">
        <v>0</v>
      </c>
      <c r="D2652">
        <v>864902</v>
      </c>
      <c r="E2652"/>
      <c r="F2652">
        <v>0</v>
      </c>
      <c r="G2652"/>
      <c r="H2652">
        <v>21.5</v>
      </c>
      <c r="I2652"/>
    </row>
    <row r="2653" spans="1:9" ht="24" customHeight="1">
      <c r="A2653" s="6" t="s">
        <v>714</v>
      </c>
      <c r="B2653">
        <v>259</v>
      </c>
      <c r="C2653">
        <v>5</v>
      </c>
      <c r="D2653">
        <v>965974</v>
      </c>
      <c r="E2653">
        <v>556715</v>
      </c>
      <c r="F2653">
        <v>0.2</v>
      </c>
      <c r="G2653">
        <v>0</v>
      </c>
      <c r="H2653">
        <v>24.6</v>
      </c>
      <c r="I2653">
        <v>19</v>
      </c>
    </row>
    <row r="2654" spans="1:9" ht="24" customHeight="1">
      <c r="A2654" s="6" t="s">
        <v>715</v>
      </c>
      <c r="B2654">
        <v>116</v>
      </c>
      <c r="C2654">
        <v>0</v>
      </c>
      <c r="D2654">
        <v>808975</v>
      </c>
      <c r="E2654"/>
      <c r="F2654">
        <v>23.3</v>
      </c>
      <c r="G2654"/>
      <c r="H2654">
        <v>26.9</v>
      </c>
      <c r="I2654"/>
    </row>
    <row r="2655" spans="1:9" ht="24" customHeight="1">
      <c r="A2655" s="6" t="s">
        <v>716</v>
      </c>
      <c r="B2655">
        <v>400</v>
      </c>
      <c r="C2655">
        <v>0</v>
      </c>
      <c r="D2655">
        <v>663655</v>
      </c>
      <c r="E2655"/>
      <c r="F2655">
        <v>28.1</v>
      </c>
      <c r="G2655"/>
      <c r="H2655">
        <v>18.8</v>
      </c>
      <c r="I2655"/>
    </row>
    <row r="2656" spans="1:9" ht="24" customHeight="1">
      <c r="A2656" s="6" t="s">
        <v>717</v>
      </c>
      <c r="B2656">
        <v>70</v>
      </c>
      <c r="C2656">
        <v>0</v>
      </c>
      <c r="D2656">
        <v>720067</v>
      </c>
      <c r="E2656"/>
      <c r="F2656">
        <v>0</v>
      </c>
      <c r="G2656"/>
      <c r="H2656">
        <v>24.8</v>
      </c>
      <c r="I2656"/>
    </row>
    <row r="2657" spans="1:9" ht="24" customHeight="1">
      <c r="A2657" s="6" t="s">
        <v>718</v>
      </c>
      <c r="B2657">
        <v>4145</v>
      </c>
      <c r="C2657">
        <v>743</v>
      </c>
      <c r="D2657">
        <v>558853</v>
      </c>
      <c r="E2657">
        <v>413437</v>
      </c>
      <c r="F2657">
        <v>29.1</v>
      </c>
      <c r="G2657">
        <v>18.5</v>
      </c>
      <c r="H2657">
        <v>13</v>
      </c>
      <c r="I2657">
        <v>15.8</v>
      </c>
    </row>
    <row r="2658" spans="1:9" ht="24" customHeight="1">
      <c r="A2658" s="6" t="s">
        <v>3848</v>
      </c>
      <c r="B2658">
        <v>120</v>
      </c>
      <c r="C2658">
        <v>0</v>
      </c>
      <c r="D2658">
        <v>587395</v>
      </c>
      <c r="E2658"/>
      <c r="F2658">
        <v>11</v>
      </c>
      <c r="G2658"/>
      <c r="H2658">
        <v>21</v>
      </c>
      <c r="I2658"/>
    </row>
    <row r="2659" spans="1:9" ht="24" customHeight="1">
      <c r="A2659" s="6" t="s">
        <v>3849</v>
      </c>
      <c r="B2659">
        <v>326</v>
      </c>
      <c r="C2659">
        <v>41</v>
      </c>
      <c r="D2659">
        <v>549745</v>
      </c>
      <c r="E2659">
        <v>421265</v>
      </c>
      <c r="F2659">
        <v>16.600000000000001</v>
      </c>
      <c r="G2659">
        <v>6.4</v>
      </c>
      <c r="H2659">
        <v>14.3</v>
      </c>
      <c r="I2659">
        <v>16.3</v>
      </c>
    </row>
    <row r="2660" spans="1:9" ht="24" customHeight="1">
      <c r="A2660" s="6" t="s">
        <v>3850</v>
      </c>
      <c r="B2660">
        <v>305</v>
      </c>
      <c r="C2660">
        <v>127</v>
      </c>
      <c r="D2660">
        <v>511972</v>
      </c>
      <c r="E2660">
        <v>479349</v>
      </c>
      <c r="F2660">
        <v>15.2</v>
      </c>
      <c r="G2660">
        <v>6.8</v>
      </c>
      <c r="H2660">
        <v>12.3</v>
      </c>
      <c r="I2660">
        <v>19.3</v>
      </c>
    </row>
    <row r="2661" spans="1:9" ht="24" customHeight="1">
      <c r="A2661" s="6" t="s">
        <v>3851</v>
      </c>
      <c r="B2661">
        <v>65</v>
      </c>
      <c r="C2661">
        <v>17</v>
      </c>
      <c r="D2661">
        <v>463412</v>
      </c>
      <c r="E2661">
        <v>530220</v>
      </c>
      <c r="F2661">
        <v>7.7</v>
      </c>
      <c r="G2661">
        <v>11</v>
      </c>
      <c r="H2661">
        <v>14.1</v>
      </c>
      <c r="I2661">
        <v>27</v>
      </c>
    </row>
    <row r="2662" spans="1:9" ht="24" customHeight="1">
      <c r="A2662" s="6" t="s">
        <v>3852</v>
      </c>
      <c r="B2662">
        <v>3</v>
      </c>
      <c r="C2662">
        <v>0</v>
      </c>
      <c r="D2662">
        <v>615885</v>
      </c>
      <c r="E2662"/>
      <c r="F2662">
        <v>16</v>
      </c>
      <c r="G2662"/>
      <c r="H2662">
        <v>15</v>
      </c>
      <c r="I2662"/>
    </row>
    <row r="2663" spans="1:9" ht="24" customHeight="1">
      <c r="A2663" s="6" t="s">
        <v>3853</v>
      </c>
      <c r="B2663">
        <v>1289</v>
      </c>
      <c r="C2663">
        <v>330</v>
      </c>
      <c r="D2663">
        <v>402699</v>
      </c>
      <c r="E2663">
        <v>283004</v>
      </c>
      <c r="F2663">
        <v>18.3</v>
      </c>
      <c r="G2663">
        <v>6.2</v>
      </c>
      <c r="H2663">
        <v>9.1999999999999993</v>
      </c>
      <c r="I2663">
        <v>7.9</v>
      </c>
    </row>
    <row r="2664" spans="1:9" ht="24" customHeight="1">
      <c r="A2664" s="6" t="s">
        <v>3854</v>
      </c>
      <c r="B2664">
        <v>15</v>
      </c>
      <c r="C2664">
        <v>0</v>
      </c>
      <c r="D2664">
        <v>565232</v>
      </c>
      <c r="E2664"/>
      <c r="F2664">
        <v>0</v>
      </c>
      <c r="G2664"/>
      <c r="H2664">
        <v>17</v>
      </c>
      <c r="I2664"/>
    </row>
    <row r="2665" spans="1:9" ht="24" customHeight="1">
      <c r="A2665" s="6" t="s">
        <v>3855</v>
      </c>
      <c r="B2665">
        <v>29</v>
      </c>
      <c r="C2665">
        <v>0</v>
      </c>
      <c r="D2665">
        <v>509157</v>
      </c>
      <c r="E2665"/>
      <c r="F2665">
        <v>17</v>
      </c>
      <c r="G2665"/>
      <c r="H2665">
        <v>13.5</v>
      </c>
      <c r="I2665"/>
    </row>
    <row r="2666" spans="1:9" ht="24" customHeight="1">
      <c r="A2666" s="6" t="s">
        <v>3856</v>
      </c>
      <c r="B2666">
        <v>15</v>
      </c>
      <c r="C2666">
        <v>0</v>
      </c>
      <c r="D2666">
        <v>685664</v>
      </c>
      <c r="E2666"/>
      <c r="F2666">
        <v>0</v>
      </c>
      <c r="G2666"/>
      <c r="H2666">
        <v>31</v>
      </c>
      <c r="I2666"/>
    </row>
    <row r="2667" spans="1:9" ht="24" customHeight="1">
      <c r="A2667" s="6" t="s">
        <v>3857</v>
      </c>
      <c r="B2667">
        <v>279</v>
      </c>
      <c r="C2667">
        <v>15</v>
      </c>
      <c r="D2667">
        <v>377650</v>
      </c>
      <c r="E2667">
        <v>402162</v>
      </c>
      <c r="F2667">
        <v>12.5</v>
      </c>
      <c r="G2667">
        <v>7</v>
      </c>
      <c r="H2667">
        <v>9.1</v>
      </c>
      <c r="I2667">
        <v>16</v>
      </c>
    </row>
    <row r="2668" spans="1:9" ht="24" customHeight="1">
      <c r="A2668" s="6" t="s">
        <v>3858</v>
      </c>
      <c r="B2668">
        <v>184</v>
      </c>
      <c r="C2668">
        <v>0</v>
      </c>
      <c r="D2668">
        <v>1053720</v>
      </c>
      <c r="E2668"/>
      <c r="F2668">
        <v>0</v>
      </c>
      <c r="G2668"/>
      <c r="H2668">
        <v>30.2</v>
      </c>
      <c r="I2668"/>
    </row>
    <row r="2669" spans="1:9" ht="24" customHeight="1">
      <c r="A2669" s="6" t="s">
        <v>3859</v>
      </c>
      <c r="B2669">
        <v>32</v>
      </c>
      <c r="C2669">
        <v>0</v>
      </c>
      <c r="D2669">
        <v>856514</v>
      </c>
      <c r="E2669"/>
      <c r="F2669">
        <v>0</v>
      </c>
      <c r="G2669"/>
      <c r="H2669">
        <v>29.8</v>
      </c>
      <c r="I2669"/>
    </row>
    <row r="2670" spans="1:9" ht="24" customHeight="1">
      <c r="A2670" s="6" t="s">
        <v>3860</v>
      </c>
      <c r="B2670">
        <v>78</v>
      </c>
      <c r="C2670">
        <v>0</v>
      </c>
      <c r="D2670">
        <v>926736</v>
      </c>
      <c r="E2670"/>
      <c r="F2670">
        <v>39</v>
      </c>
      <c r="G2670"/>
      <c r="H2670">
        <v>20.5</v>
      </c>
      <c r="I2670"/>
    </row>
    <row r="2671" spans="1:9" ht="24" customHeight="1">
      <c r="A2671" s="6" t="s">
        <v>3861</v>
      </c>
      <c r="B2671">
        <v>150</v>
      </c>
      <c r="C2671">
        <v>0</v>
      </c>
      <c r="D2671">
        <v>614185</v>
      </c>
      <c r="E2671"/>
      <c r="F2671">
        <v>14.8</v>
      </c>
      <c r="G2671"/>
      <c r="H2671">
        <v>33.6</v>
      </c>
      <c r="I2671"/>
    </row>
    <row r="2672" spans="1:9" ht="24" customHeight="1">
      <c r="A2672" s="6" t="s">
        <v>3862</v>
      </c>
      <c r="B2672">
        <v>119</v>
      </c>
      <c r="C2672">
        <v>0</v>
      </c>
      <c r="D2672">
        <v>878133</v>
      </c>
      <c r="E2672"/>
      <c r="F2672">
        <v>14.8</v>
      </c>
      <c r="G2672"/>
      <c r="H2672">
        <v>14.4</v>
      </c>
      <c r="I2672"/>
    </row>
    <row r="2673" spans="1:9" ht="24" customHeight="1">
      <c r="A2673" s="6" t="s">
        <v>3863</v>
      </c>
      <c r="B2673">
        <v>1756</v>
      </c>
      <c r="C2673">
        <v>333</v>
      </c>
      <c r="D2673">
        <v>595729</v>
      </c>
      <c r="E2673">
        <v>421752</v>
      </c>
      <c r="F2673">
        <v>19.399999999999999</v>
      </c>
      <c r="G2673">
        <v>11.7</v>
      </c>
      <c r="H2673">
        <v>13.2</v>
      </c>
      <c r="I2673">
        <v>5.5</v>
      </c>
    </row>
    <row r="2674" spans="1:9" ht="24" customHeight="1">
      <c r="A2674" s="6" t="s">
        <v>719</v>
      </c>
      <c r="B2674">
        <v>647</v>
      </c>
      <c r="C2674">
        <v>0</v>
      </c>
      <c r="D2674">
        <v>1003656</v>
      </c>
      <c r="E2674"/>
      <c r="F2674">
        <v>0.1</v>
      </c>
      <c r="G2674"/>
      <c r="H2674">
        <v>30.7</v>
      </c>
      <c r="I2674"/>
    </row>
    <row r="2675" spans="1:9" ht="24" customHeight="1">
      <c r="A2675" s="6" t="s">
        <v>720</v>
      </c>
      <c r="B2675">
        <v>2322</v>
      </c>
      <c r="C2675">
        <v>54</v>
      </c>
      <c r="D2675">
        <v>932270</v>
      </c>
      <c r="E2675">
        <v>710937</v>
      </c>
      <c r="F2675">
        <v>0.4</v>
      </c>
      <c r="G2675">
        <v>0</v>
      </c>
      <c r="H2675">
        <v>26.6</v>
      </c>
      <c r="I2675">
        <v>16.5</v>
      </c>
    </row>
    <row r="2676" spans="1:9" ht="24" customHeight="1">
      <c r="A2676" s="6" t="s">
        <v>721</v>
      </c>
      <c r="B2676">
        <v>2553</v>
      </c>
      <c r="C2676">
        <v>92</v>
      </c>
      <c r="D2676">
        <v>658211</v>
      </c>
      <c r="E2676">
        <v>487679</v>
      </c>
      <c r="F2676">
        <v>12.6</v>
      </c>
      <c r="G2676">
        <v>10.3</v>
      </c>
      <c r="H2676">
        <v>22.7</v>
      </c>
      <c r="I2676">
        <v>15.5</v>
      </c>
    </row>
    <row r="2677" spans="1:9" ht="24" customHeight="1">
      <c r="A2677" s="6" t="s">
        <v>722</v>
      </c>
      <c r="B2677">
        <v>3195</v>
      </c>
      <c r="C2677">
        <v>16</v>
      </c>
      <c r="D2677">
        <v>571877</v>
      </c>
      <c r="E2677">
        <v>434348</v>
      </c>
      <c r="F2677">
        <v>16.8</v>
      </c>
      <c r="G2677">
        <v>13.5</v>
      </c>
      <c r="H2677">
        <v>20.7</v>
      </c>
      <c r="I2677">
        <v>18</v>
      </c>
    </row>
    <row r="2678" spans="1:9" ht="24" customHeight="1">
      <c r="A2678" s="6" t="s">
        <v>723</v>
      </c>
      <c r="B2678">
        <v>1042</v>
      </c>
      <c r="C2678">
        <v>15</v>
      </c>
      <c r="D2678">
        <v>677451</v>
      </c>
      <c r="E2678">
        <v>938095</v>
      </c>
      <c r="F2678">
        <v>6.3</v>
      </c>
      <c r="G2678">
        <v>15</v>
      </c>
      <c r="H2678">
        <v>24.1</v>
      </c>
      <c r="I2678">
        <v>13</v>
      </c>
    </row>
    <row r="2679" spans="1:9" ht="24" customHeight="1">
      <c r="A2679" s="6" t="s">
        <v>724</v>
      </c>
      <c r="B2679">
        <v>29671</v>
      </c>
      <c r="C2679">
        <v>6922</v>
      </c>
      <c r="D2679">
        <v>494880</v>
      </c>
      <c r="E2679">
        <v>408917</v>
      </c>
      <c r="F2679">
        <v>12.8</v>
      </c>
      <c r="G2679">
        <v>10.3</v>
      </c>
      <c r="H2679">
        <v>14.5</v>
      </c>
      <c r="I2679">
        <v>12</v>
      </c>
    </row>
    <row r="2680" spans="1:9" ht="24" customHeight="1">
      <c r="A2680" s="6" t="s">
        <v>3864</v>
      </c>
      <c r="B2680">
        <v>4105</v>
      </c>
      <c r="C2680">
        <v>227</v>
      </c>
      <c r="D2680">
        <v>574589</v>
      </c>
      <c r="E2680">
        <v>462095</v>
      </c>
      <c r="F2680">
        <v>2.9</v>
      </c>
      <c r="G2680">
        <v>4.0999999999999996</v>
      </c>
      <c r="H2680">
        <v>20.2</v>
      </c>
      <c r="I2680">
        <v>16.399999999999999</v>
      </c>
    </row>
    <row r="2681" spans="1:9" ht="24" customHeight="1">
      <c r="A2681" s="6" t="s">
        <v>3865</v>
      </c>
      <c r="B2681">
        <v>7116</v>
      </c>
      <c r="C2681">
        <v>447</v>
      </c>
      <c r="D2681">
        <v>475903</v>
      </c>
      <c r="E2681">
        <v>405657</v>
      </c>
      <c r="F2681">
        <v>8.6</v>
      </c>
      <c r="G2681">
        <v>2.8</v>
      </c>
      <c r="H2681">
        <v>21.1</v>
      </c>
      <c r="I2681">
        <v>22.7</v>
      </c>
    </row>
    <row r="2682" spans="1:9" ht="24" customHeight="1">
      <c r="A2682" s="6" t="s">
        <v>3866</v>
      </c>
      <c r="B2682">
        <v>6749</v>
      </c>
      <c r="C2682">
        <v>1625</v>
      </c>
      <c r="D2682">
        <v>446262</v>
      </c>
      <c r="E2682">
        <v>387882</v>
      </c>
      <c r="F2682">
        <v>12</v>
      </c>
      <c r="G2682">
        <v>14.4</v>
      </c>
      <c r="H2682">
        <v>20</v>
      </c>
      <c r="I2682">
        <v>19.100000000000001</v>
      </c>
    </row>
    <row r="2683" spans="1:9" ht="24" customHeight="1">
      <c r="A2683" s="6" t="s">
        <v>3867</v>
      </c>
      <c r="B2683">
        <v>6849</v>
      </c>
      <c r="C2683">
        <v>1524</v>
      </c>
      <c r="D2683">
        <v>457749</v>
      </c>
      <c r="E2683">
        <v>291844</v>
      </c>
      <c r="F2683">
        <v>20.9</v>
      </c>
      <c r="G2683">
        <v>4.8</v>
      </c>
      <c r="H2683">
        <v>17.399999999999999</v>
      </c>
      <c r="I2683">
        <v>16.2</v>
      </c>
    </row>
    <row r="2684" spans="1:9" ht="24" customHeight="1">
      <c r="A2684" s="6" t="s">
        <v>3868</v>
      </c>
      <c r="B2684">
        <v>3614</v>
      </c>
      <c r="C2684">
        <v>403</v>
      </c>
      <c r="D2684">
        <v>464739</v>
      </c>
      <c r="E2684">
        <v>342020</v>
      </c>
      <c r="F2684">
        <v>9</v>
      </c>
      <c r="G2684">
        <v>0.1</v>
      </c>
      <c r="H2684">
        <v>19.8</v>
      </c>
      <c r="I2684">
        <v>27.6</v>
      </c>
    </row>
    <row r="2685" spans="1:9" ht="24" customHeight="1">
      <c r="A2685" s="6" t="s">
        <v>3869</v>
      </c>
      <c r="B2685">
        <v>55929</v>
      </c>
      <c r="C2685">
        <v>29913</v>
      </c>
      <c r="D2685">
        <v>330482</v>
      </c>
      <c r="E2685">
        <v>244619</v>
      </c>
      <c r="F2685">
        <v>12.6</v>
      </c>
      <c r="G2685">
        <v>6.6</v>
      </c>
      <c r="H2685">
        <v>10.1</v>
      </c>
      <c r="I2685">
        <v>9.9</v>
      </c>
    </row>
    <row r="2686" spans="1:9" ht="24" customHeight="1">
      <c r="A2686" s="6" t="s">
        <v>3870</v>
      </c>
      <c r="B2686">
        <v>1654</v>
      </c>
      <c r="C2686">
        <v>0</v>
      </c>
      <c r="D2686">
        <v>643977</v>
      </c>
      <c r="E2686"/>
      <c r="F2686">
        <v>3.7</v>
      </c>
      <c r="G2686"/>
      <c r="H2686">
        <v>23.7</v>
      </c>
      <c r="I2686"/>
    </row>
    <row r="2687" spans="1:9" ht="24" customHeight="1">
      <c r="A2687" s="6" t="s">
        <v>3871</v>
      </c>
      <c r="B2687">
        <v>4323</v>
      </c>
      <c r="C2687">
        <v>447</v>
      </c>
      <c r="D2687">
        <v>529838</v>
      </c>
      <c r="E2687">
        <v>531817</v>
      </c>
      <c r="F2687">
        <v>1.9</v>
      </c>
      <c r="G2687">
        <v>0</v>
      </c>
      <c r="H2687">
        <v>21.2</v>
      </c>
      <c r="I2687">
        <v>22.1</v>
      </c>
    </row>
    <row r="2688" spans="1:9" ht="24" customHeight="1">
      <c r="A2688" s="6" t="s">
        <v>3872</v>
      </c>
      <c r="B2688">
        <v>4545</v>
      </c>
      <c r="C2688">
        <v>589</v>
      </c>
      <c r="D2688">
        <v>426264</v>
      </c>
      <c r="E2688">
        <v>377540</v>
      </c>
      <c r="F2688">
        <v>11.6</v>
      </c>
      <c r="G2688">
        <v>9.4</v>
      </c>
      <c r="H2688">
        <v>21</v>
      </c>
      <c r="I2688">
        <v>19.7</v>
      </c>
    </row>
    <row r="2689" spans="1:9" ht="24" customHeight="1">
      <c r="A2689" s="6" t="s">
        <v>3873</v>
      </c>
      <c r="B2689">
        <v>3987</v>
      </c>
      <c r="C2689">
        <v>648</v>
      </c>
      <c r="D2689">
        <v>445701</v>
      </c>
      <c r="E2689">
        <v>346848</v>
      </c>
      <c r="F2689">
        <v>25.4</v>
      </c>
      <c r="G2689">
        <v>9.1</v>
      </c>
      <c r="H2689">
        <v>17.100000000000001</v>
      </c>
      <c r="I2689">
        <v>18.600000000000001</v>
      </c>
    </row>
    <row r="2690" spans="1:9" ht="24" customHeight="1">
      <c r="A2690" s="6" t="s">
        <v>3874</v>
      </c>
      <c r="B2690">
        <v>2850</v>
      </c>
      <c r="C2690">
        <v>469</v>
      </c>
      <c r="D2690">
        <v>411517</v>
      </c>
      <c r="E2690">
        <v>329069</v>
      </c>
      <c r="F2690">
        <v>9</v>
      </c>
      <c r="G2690">
        <v>11.8</v>
      </c>
      <c r="H2690">
        <v>15.9</v>
      </c>
      <c r="I2690">
        <v>13.2</v>
      </c>
    </row>
    <row r="2691" spans="1:9" ht="24" customHeight="1">
      <c r="A2691" s="6" t="s">
        <v>3875</v>
      </c>
      <c r="B2691">
        <v>39482</v>
      </c>
      <c r="C2691">
        <v>14745</v>
      </c>
      <c r="D2691">
        <v>376198</v>
      </c>
      <c r="E2691">
        <v>278972</v>
      </c>
      <c r="F2691">
        <v>17.600000000000001</v>
      </c>
      <c r="G2691">
        <v>10.6</v>
      </c>
      <c r="H2691">
        <v>12.7</v>
      </c>
      <c r="I2691">
        <v>11.2</v>
      </c>
    </row>
    <row r="2692" spans="1:9" ht="24" customHeight="1">
      <c r="A2692" s="6" t="s">
        <v>3876</v>
      </c>
      <c r="B2692">
        <v>1676</v>
      </c>
      <c r="C2692">
        <v>41</v>
      </c>
      <c r="D2692">
        <v>801084</v>
      </c>
      <c r="E2692">
        <v>836341</v>
      </c>
      <c r="F2692">
        <v>0</v>
      </c>
      <c r="G2692">
        <v>2</v>
      </c>
      <c r="H2692">
        <v>25.7</v>
      </c>
      <c r="I2692">
        <v>19</v>
      </c>
    </row>
    <row r="2693" spans="1:9" ht="24" customHeight="1">
      <c r="A2693" s="6" t="s">
        <v>3877</v>
      </c>
      <c r="B2693">
        <v>3723</v>
      </c>
      <c r="C2693">
        <v>26</v>
      </c>
      <c r="D2693">
        <v>618384</v>
      </c>
      <c r="E2693">
        <v>751568</v>
      </c>
      <c r="F2693">
        <v>1.9</v>
      </c>
      <c r="G2693">
        <v>0</v>
      </c>
      <c r="H2693">
        <v>24.8</v>
      </c>
      <c r="I2693">
        <v>16.100000000000001</v>
      </c>
    </row>
    <row r="2694" spans="1:9" ht="24" customHeight="1">
      <c r="A2694" s="6" t="s">
        <v>3878</v>
      </c>
      <c r="B2694">
        <v>3503</v>
      </c>
      <c r="C2694">
        <v>259</v>
      </c>
      <c r="D2694">
        <v>556412</v>
      </c>
      <c r="E2694">
        <v>469574</v>
      </c>
      <c r="F2694">
        <v>21.1</v>
      </c>
      <c r="G2694">
        <v>3.4</v>
      </c>
      <c r="H2694">
        <v>22.3</v>
      </c>
      <c r="I2694">
        <v>20.100000000000001</v>
      </c>
    </row>
    <row r="2695" spans="1:9" ht="24" customHeight="1">
      <c r="A2695" s="6" t="s">
        <v>3879</v>
      </c>
      <c r="B2695">
        <v>4668</v>
      </c>
      <c r="C2695">
        <v>614</v>
      </c>
      <c r="D2695">
        <v>462929</v>
      </c>
      <c r="E2695">
        <v>375437</v>
      </c>
      <c r="F2695">
        <v>25</v>
      </c>
      <c r="G2695">
        <v>14.6</v>
      </c>
      <c r="H2695">
        <v>17.899999999999999</v>
      </c>
      <c r="I2695">
        <v>20.5</v>
      </c>
    </row>
    <row r="2696" spans="1:9" ht="24" customHeight="1">
      <c r="A2696" s="6" t="s">
        <v>3880</v>
      </c>
      <c r="B2696">
        <v>2599</v>
      </c>
      <c r="C2696">
        <v>236</v>
      </c>
      <c r="D2696">
        <v>558701</v>
      </c>
      <c r="E2696">
        <v>240369</v>
      </c>
      <c r="F2696">
        <v>11.1</v>
      </c>
      <c r="G2696">
        <v>0.4</v>
      </c>
      <c r="H2696">
        <v>21.1</v>
      </c>
      <c r="I2696">
        <v>20</v>
      </c>
    </row>
    <row r="2697" spans="1:9" ht="24" customHeight="1">
      <c r="A2697" s="6" t="s">
        <v>3881</v>
      </c>
      <c r="B2697">
        <v>34042</v>
      </c>
      <c r="C2697">
        <v>10740</v>
      </c>
      <c r="D2697">
        <v>412461</v>
      </c>
      <c r="E2697">
        <v>328866</v>
      </c>
      <c r="F2697">
        <v>18.8</v>
      </c>
      <c r="G2697">
        <v>11.8</v>
      </c>
      <c r="H2697">
        <v>12.3</v>
      </c>
      <c r="I2697">
        <v>11.5</v>
      </c>
    </row>
    <row r="2698" spans="1:9" ht="24" customHeight="1">
      <c r="A2698" s="6" t="s">
        <v>725</v>
      </c>
      <c r="B2698">
        <v>810</v>
      </c>
      <c r="C2698">
        <v>0</v>
      </c>
      <c r="D2698">
        <v>1311224</v>
      </c>
      <c r="E2698"/>
      <c r="F2698">
        <v>0</v>
      </c>
      <c r="G2698"/>
      <c r="H2698">
        <v>27.4</v>
      </c>
      <c r="I2698"/>
    </row>
    <row r="2699" spans="1:9" ht="24" customHeight="1">
      <c r="A2699" s="6" t="s">
        <v>726</v>
      </c>
      <c r="B2699">
        <v>2380</v>
      </c>
      <c r="C2699">
        <v>5</v>
      </c>
      <c r="D2699">
        <v>923685</v>
      </c>
      <c r="E2699">
        <v>715962</v>
      </c>
      <c r="F2699">
        <v>0.7</v>
      </c>
      <c r="G2699">
        <v>0</v>
      </c>
      <c r="H2699">
        <v>21.9</v>
      </c>
      <c r="I2699">
        <v>29</v>
      </c>
    </row>
    <row r="2700" spans="1:9" ht="24" customHeight="1">
      <c r="A2700" s="6" t="s">
        <v>727</v>
      </c>
      <c r="B2700">
        <v>660</v>
      </c>
      <c r="C2700">
        <v>25</v>
      </c>
      <c r="D2700">
        <v>657703</v>
      </c>
      <c r="E2700">
        <v>679967</v>
      </c>
      <c r="F2700">
        <v>23.7</v>
      </c>
      <c r="G2700">
        <v>57</v>
      </c>
      <c r="H2700">
        <v>25.4</v>
      </c>
      <c r="I2700">
        <v>27</v>
      </c>
    </row>
    <row r="2701" spans="1:9" ht="24" customHeight="1">
      <c r="A2701" s="6" t="s">
        <v>728</v>
      </c>
      <c r="B2701">
        <v>1696</v>
      </c>
      <c r="C2701">
        <v>14</v>
      </c>
      <c r="D2701">
        <v>657683</v>
      </c>
      <c r="E2701">
        <v>396321</v>
      </c>
      <c r="F2701">
        <v>28.9</v>
      </c>
      <c r="G2701">
        <v>18</v>
      </c>
      <c r="H2701">
        <v>21</v>
      </c>
      <c r="I2701">
        <v>8</v>
      </c>
    </row>
    <row r="2702" spans="1:9" ht="24" customHeight="1">
      <c r="A2702" s="6" t="s">
        <v>729</v>
      </c>
      <c r="B2702">
        <v>1987</v>
      </c>
      <c r="C2702">
        <v>122</v>
      </c>
      <c r="D2702">
        <v>719568</v>
      </c>
      <c r="E2702">
        <v>499616</v>
      </c>
      <c r="F2702">
        <v>14.2</v>
      </c>
      <c r="G2702">
        <v>4.4000000000000004</v>
      </c>
      <c r="H2702">
        <v>22.3</v>
      </c>
      <c r="I2702">
        <v>13</v>
      </c>
    </row>
    <row r="2703" spans="1:9" ht="24" customHeight="1">
      <c r="A2703" s="6" t="s">
        <v>730</v>
      </c>
      <c r="B2703">
        <v>26198</v>
      </c>
      <c r="C2703">
        <v>4547</v>
      </c>
      <c r="D2703">
        <v>519510</v>
      </c>
      <c r="E2703">
        <v>426674</v>
      </c>
      <c r="F2703">
        <v>21.7</v>
      </c>
      <c r="G2703">
        <v>13.1</v>
      </c>
      <c r="H2703">
        <v>14.3</v>
      </c>
      <c r="I2703">
        <v>13.8</v>
      </c>
    </row>
    <row r="2704" spans="1:9" ht="24" customHeight="1">
      <c r="A2704" s="6" t="s">
        <v>3882</v>
      </c>
      <c r="B2704">
        <v>976</v>
      </c>
      <c r="C2704">
        <v>81</v>
      </c>
      <c r="D2704">
        <v>566088</v>
      </c>
      <c r="E2704">
        <v>621708</v>
      </c>
      <c r="F2704">
        <v>2.4</v>
      </c>
      <c r="G2704">
        <v>0</v>
      </c>
      <c r="H2704">
        <v>22.7</v>
      </c>
      <c r="I2704">
        <v>23.6</v>
      </c>
    </row>
    <row r="2705" spans="1:9" ht="24" customHeight="1">
      <c r="A2705" s="6" t="s">
        <v>3883</v>
      </c>
      <c r="B2705">
        <v>977</v>
      </c>
      <c r="C2705">
        <v>55</v>
      </c>
      <c r="D2705">
        <v>486471</v>
      </c>
      <c r="E2705">
        <v>429125</v>
      </c>
      <c r="F2705">
        <v>8.6</v>
      </c>
      <c r="G2705">
        <v>4.5</v>
      </c>
      <c r="H2705">
        <v>16.899999999999999</v>
      </c>
      <c r="I2705">
        <v>19.899999999999999</v>
      </c>
    </row>
    <row r="2706" spans="1:9" ht="24" customHeight="1">
      <c r="A2706" s="6" t="s">
        <v>3884</v>
      </c>
      <c r="B2706">
        <v>864</v>
      </c>
      <c r="C2706">
        <v>108</v>
      </c>
      <c r="D2706">
        <v>427983</v>
      </c>
      <c r="E2706">
        <v>370362</v>
      </c>
      <c r="F2706">
        <v>21.8</v>
      </c>
      <c r="G2706">
        <v>4.7</v>
      </c>
      <c r="H2706">
        <v>14.7</v>
      </c>
      <c r="I2706">
        <v>15.9</v>
      </c>
    </row>
    <row r="2707" spans="1:9" ht="24" customHeight="1">
      <c r="A2707" s="6" t="s">
        <v>3885</v>
      </c>
      <c r="B2707">
        <v>403</v>
      </c>
      <c r="C2707">
        <v>122</v>
      </c>
      <c r="D2707">
        <v>406649</v>
      </c>
      <c r="E2707">
        <v>304422</v>
      </c>
      <c r="F2707">
        <v>22.3</v>
      </c>
      <c r="G2707">
        <v>14</v>
      </c>
      <c r="H2707">
        <v>16.399999999999999</v>
      </c>
      <c r="I2707">
        <v>15.4</v>
      </c>
    </row>
    <row r="2708" spans="1:9" ht="24" customHeight="1">
      <c r="A2708" s="6" t="s">
        <v>3886</v>
      </c>
      <c r="B2708">
        <v>466</v>
      </c>
      <c r="C2708">
        <v>112</v>
      </c>
      <c r="D2708">
        <v>509978</v>
      </c>
      <c r="E2708">
        <v>376611</v>
      </c>
      <c r="F2708">
        <v>12.8</v>
      </c>
      <c r="G2708">
        <v>9.5</v>
      </c>
      <c r="H2708">
        <v>15.9</v>
      </c>
      <c r="I2708">
        <v>16.3</v>
      </c>
    </row>
    <row r="2709" spans="1:9" ht="24" customHeight="1">
      <c r="A2709" s="6" t="s">
        <v>3887</v>
      </c>
      <c r="B2709">
        <v>10703</v>
      </c>
      <c r="C2709">
        <v>5975</v>
      </c>
      <c r="D2709">
        <v>326136</v>
      </c>
      <c r="E2709">
        <v>269497</v>
      </c>
      <c r="F2709">
        <v>13.2</v>
      </c>
      <c r="G2709">
        <v>6.6</v>
      </c>
      <c r="H2709">
        <v>11.3</v>
      </c>
      <c r="I2709">
        <v>11.7</v>
      </c>
    </row>
    <row r="2710" spans="1:9" ht="24" customHeight="1">
      <c r="A2710" s="6" t="s">
        <v>3888</v>
      </c>
      <c r="B2710">
        <v>363</v>
      </c>
      <c r="C2710">
        <v>0</v>
      </c>
      <c r="D2710">
        <v>699470</v>
      </c>
      <c r="E2710"/>
      <c r="F2710">
        <v>0.8</v>
      </c>
      <c r="G2710"/>
      <c r="H2710">
        <v>24.6</v>
      </c>
      <c r="I2710"/>
    </row>
    <row r="2711" spans="1:9" ht="24" customHeight="1">
      <c r="A2711" s="6" t="s">
        <v>3889</v>
      </c>
      <c r="B2711">
        <v>774</v>
      </c>
      <c r="C2711">
        <v>208</v>
      </c>
      <c r="D2711">
        <v>620615</v>
      </c>
      <c r="E2711">
        <v>421649</v>
      </c>
      <c r="F2711">
        <v>1.9</v>
      </c>
      <c r="G2711">
        <v>3.8</v>
      </c>
      <c r="H2711">
        <v>23.6</v>
      </c>
      <c r="I2711">
        <v>15.8</v>
      </c>
    </row>
    <row r="2712" spans="1:9" ht="24" customHeight="1">
      <c r="A2712" s="6" t="s">
        <v>3890</v>
      </c>
      <c r="B2712">
        <v>872</v>
      </c>
      <c r="C2712">
        <v>90</v>
      </c>
      <c r="D2712">
        <v>464768</v>
      </c>
      <c r="E2712">
        <v>342717</v>
      </c>
      <c r="F2712">
        <v>16.5</v>
      </c>
      <c r="G2712">
        <v>6.1</v>
      </c>
      <c r="H2712">
        <v>17.7</v>
      </c>
      <c r="I2712">
        <v>18.8</v>
      </c>
    </row>
    <row r="2713" spans="1:9" ht="24" customHeight="1">
      <c r="A2713" s="6" t="s">
        <v>3891</v>
      </c>
      <c r="B2713">
        <v>743</v>
      </c>
      <c r="C2713">
        <v>149</v>
      </c>
      <c r="D2713">
        <v>414460</v>
      </c>
      <c r="E2713">
        <v>352539</v>
      </c>
      <c r="F2713">
        <v>21.3</v>
      </c>
      <c r="G2713">
        <v>13.3</v>
      </c>
      <c r="H2713">
        <v>13.2</v>
      </c>
      <c r="I2713">
        <v>17.2</v>
      </c>
    </row>
    <row r="2714" spans="1:9" ht="24" customHeight="1">
      <c r="A2714" s="6" t="s">
        <v>3892</v>
      </c>
      <c r="B2714">
        <v>502</v>
      </c>
      <c r="C2714">
        <v>48</v>
      </c>
      <c r="D2714">
        <v>434604</v>
      </c>
      <c r="E2714">
        <v>352554</v>
      </c>
      <c r="F2714">
        <v>8.6</v>
      </c>
      <c r="G2714">
        <v>5.9</v>
      </c>
      <c r="H2714">
        <v>16.8</v>
      </c>
      <c r="I2714">
        <v>19.8</v>
      </c>
    </row>
    <row r="2715" spans="1:9" ht="24" customHeight="1">
      <c r="A2715" s="6" t="s">
        <v>3893</v>
      </c>
      <c r="B2715">
        <v>6745</v>
      </c>
      <c r="C2715">
        <v>4166</v>
      </c>
      <c r="D2715">
        <v>347611</v>
      </c>
      <c r="E2715">
        <v>272641</v>
      </c>
      <c r="F2715">
        <v>14.1</v>
      </c>
      <c r="G2715">
        <v>7.4</v>
      </c>
      <c r="H2715">
        <v>12</v>
      </c>
      <c r="I2715">
        <v>10.9</v>
      </c>
    </row>
    <row r="2716" spans="1:9" ht="24" customHeight="1">
      <c r="A2716" s="6" t="s">
        <v>3894</v>
      </c>
      <c r="B2716">
        <v>338</v>
      </c>
      <c r="C2716">
        <v>15</v>
      </c>
      <c r="D2716">
        <v>850691</v>
      </c>
      <c r="E2716">
        <v>891814</v>
      </c>
      <c r="F2716">
        <v>0.1</v>
      </c>
      <c r="G2716">
        <v>0</v>
      </c>
      <c r="H2716">
        <v>29.6</v>
      </c>
      <c r="I2716">
        <v>32</v>
      </c>
    </row>
    <row r="2717" spans="1:9" ht="24" customHeight="1">
      <c r="A2717" s="6" t="s">
        <v>3895</v>
      </c>
      <c r="B2717">
        <v>1122</v>
      </c>
      <c r="C2717">
        <v>35</v>
      </c>
      <c r="D2717">
        <v>665691</v>
      </c>
      <c r="E2717">
        <v>632236</v>
      </c>
      <c r="F2717">
        <v>1.5</v>
      </c>
      <c r="G2717">
        <v>0</v>
      </c>
      <c r="H2717">
        <v>25.9</v>
      </c>
      <c r="I2717">
        <v>22.9</v>
      </c>
    </row>
    <row r="2718" spans="1:9" ht="24" customHeight="1">
      <c r="A2718" s="6" t="s">
        <v>3896</v>
      </c>
      <c r="B2718">
        <v>869</v>
      </c>
      <c r="C2718">
        <v>26</v>
      </c>
      <c r="D2718">
        <v>567062</v>
      </c>
      <c r="E2718">
        <v>608551</v>
      </c>
      <c r="F2718">
        <v>22.1</v>
      </c>
      <c r="G2718">
        <v>5.7</v>
      </c>
      <c r="H2718">
        <v>23.8</v>
      </c>
      <c r="I2718">
        <v>31.7</v>
      </c>
    </row>
    <row r="2719" spans="1:9" ht="24" customHeight="1">
      <c r="A2719" s="6" t="s">
        <v>3897</v>
      </c>
      <c r="B2719">
        <v>1102</v>
      </c>
      <c r="C2719">
        <v>119</v>
      </c>
      <c r="D2719">
        <v>504658</v>
      </c>
      <c r="E2719">
        <v>392050</v>
      </c>
      <c r="F2719">
        <v>24.9</v>
      </c>
      <c r="G2719">
        <v>14</v>
      </c>
      <c r="H2719">
        <v>20.2</v>
      </c>
      <c r="I2719">
        <v>17.8</v>
      </c>
    </row>
    <row r="2720" spans="1:9" ht="24" customHeight="1">
      <c r="A2720" s="6" t="s">
        <v>3898</v>
      </c>
      <c r="B2720">
        <v>695</v>
      </c>
      <c r="C2720">
        <v>24</v>
      </c>
      <c r="D2720">
        <v>590723</v>
      </c>
      <c r="E2720">
        <v>469973</v>
      </c>
      <c r="F2720">
        <v>19.5</v>
      </c>
      <c r="G2720">
        <v>0</v>
      </c>
      <c r="H2720">
        <v>21</v>
      </c>
      <c r="I2720">
        <v>15.5</v>
      </c>
    </row>
    <row r="2721" spans="1:9" ht="24" customHeight="1">
      <c r="A2721" s="6" t="s">
        <v>3899</v>
      </c>
      <c r="B2721">
        <v>8815</v>
      </c>
      <c r="C2721">
        <v>2132</v>
      </c>
      <c r="D2721">
        <v>408935</v>
      </c>
      <c r="E2721">
        <v>340164</v>
      </c>
      <c r="F2721">
        <v>17.100000000000001</v>
      </c>
      <c r="G2721">
        <v>8.8000000000000007</v>
      </c>
      <c r="H2721">
        <v>13.1</v>
      </c>
      <c r="I2721">
        <v>14.5</v>
      </c>
    </row>
    <row r="2722" spans="1:9" ht="24" customHeight="1">
      <c r="A2722" s="6" t="s">
        <v>731</v>
      </c>
      <c r="B2722">
        <v>1</v>
      </c>
      <c r="C2722">
        <v>0</v>
      </c>
      <c r="D2722">
        <v>361380</v>
      </c>
      <c r="E2722"/>
      <c r="F2722">
        <v>11</v>
      </c>
      <c r="G2722"/>
      <c r="H2722">
        <v>20</v>
      </c>
      <c r="I2722"/>
    </row>
    <row r="2723" spans="1:9" ht="24" customHeight="1">
      <c r="A2723" s="6" t="s">
        <v>732</v>
      </c>
      <c r="B2723">
        <v>4</v>
      </c>
      <c r="C2723">
        <v>5</v>
      </c>
      <c r="D2723">
        <v>289854</v>
      </c>
      <c r="E2723">
        <v>293273</v>
      </c>
      <c r="F2723">
        <v>3</v>
      </c>
      <c r="G2723">
        <v>4.3</v>
      </c>
      <c r="H2723">
        <v>17</v>
      </c>
      <c r="I2723">
        <v>17.8</v>
      </c>
    </row>
    <row r="2724" spans="1:9" ht="24" customHeight="1">
      <c r="A2724" s="6" t="s">
        <v>733</v>
      </c>
      <c r="B2724">
        <v>41</v>
      </c>
      <c r="C2724">
        <v>28</v>
      </c>
      <c r="D2724">
        <v>263552</v>
      </c>
      <c r="E2724">
        <v>241078</v>
      </c>
      <c r="F2724">
        <v>0.5</v>
      </c>
      <c r="G2724">
        <v>0</v>
      </c>
      <c r="H2724">
        <v>18</v>
      </c>
      <c r="I2724">
        <v>14.6</v>
      </c>
    </row>
    <row r="2725" spans="1:9" ht="24" customHeight="1">
      <c r="A2725" s="6" t="s">
        <v>3900</v>
      </c>
      <c r="B2725">
        <v>301</v>
      </c>
      <c r="C2725">
        <v>29</v>
      </c>
      <c r="D2725">
        <v>435547</v>
      </c>
      <c r="E2725">
        <v>416574</v>
      </c>
      <c r="F2725">
        <v>0.2</v>
      </c>
      <c r="G2725">
        <v>4.9000000000000004</v>
      </c>
      <c r="H2725">
        <v>16</v>
      </c>
      <c r="I2725">
        <v>15.8</v>
      </c>
    </row>
    <row r="2726" spans="1:9" ht="24" customHeight="1">
      <c r="A2726" s="6" t="s">
        <v>3901</v>
      </c>
      <c r="B2726">
        <v>343</v>
      </c>
      <c r="C2726">
        <v>23</v>
      </c>
      <c r="D2726">
        <v>447737</v>
      </c>
      <c r="E2726">
        <v>320841</v>
      </c>
      <c r="F2726">
        <v>0.5</v>
      </c>
      <c r="G2726">
        <v>2.1</v>
      </c>
      <c r="H2726">
        <v>22.5</v>
      </c>
      <c r="I2726">
        <v>20.6</v>
      </c>
    </row>
    <row r="2727" spans="1:9" ht="24" customHeight="1">
      <c r="A2727" s="6" t="s">
        <v>3902</v>
      </c>
      <c r="B2727">
        <v>384</v>
      </c>
      <c r="C2727">
        <v>36</v>
      </c>
      <c r="D2727">
        <v>345129</v>
      </c>
      <c r="E2727">
        <v>297490</v>
      </c>
      <c r="F2727">
        <v>2.2999999999999998</v>
      </c>
      <c r="G2727">
        <v>2.5</v>
      </c>
      <c r="H2727">
        <v>12.9</v>
      </c>
      <c r="I2727">
        <v>18.7</v>
      </c>
    </row>
    <row r="2728" spans="1:9" ht="24" customHeight="1">
      <c r="A2728" s="6" t="s">
        <v>3903</v>
      </c>
      <c r="B2728">
        <v>118</v>
      </c>
      <c r="C2728">
        <v>48</v>
      </c>
      <c r="D2728">
        <v>387018</v>
      </c>
      <c r="E2728">
        <v>227723</v>
      </c>
      <c r="F2728">
        <v>14.6</v>
      </c>
      <c r="G2728">
        <v>3.6</v>
      </c>
      <c r="H2728">
        <v>16.7</v>
      </c>
      <c r="I2728">
        <v>18.8</v>
      </c>
    </row>
    <row r="2729" spans="1:9" ht="24" customHeight="1">
      <c r="A2729" s="6" t="s">
        <v>3904</v>
      </c>
      <c r="B2729">
        <v>79</v>
      </c>
      <c r="C2729">
        <v>10</v>
      </c>
      <c r="D2729">
        <v>409835</v>
      </c>
      <c r="E2729">
        <v>305383</v>
      </c>
      <c r="F2729">
        <v>1.3</v>
      </c>
      <c r="G2729">
        <v>8.1999999999999993</v>
      </c>
      <c r="H2729">
        <v>20.2</v>
      </c>
      <c r="I2729">
        <v>14.4</v>
      </c>
    </row>
    <row r="2730" spans="1:9" ht="24" customHeight="1">
      <c r="A2730" s="6" t="s">
        <v>3905</v>
      </c>
      <c r="B2730">
        <v>2419</v>
      </c>
      <c r="C2730">
        <v>2874</v>
      </c>
      <c r="D2730">
        <v>283532</v>
      </c>
      <c r="E2730">
        <v>232115</v>
      </c>
      <c r="F2730">
        <v>1.9</v>
      </c>
      <c r="G2730">
        <v>1.3</v>
      </c>
      <c r="H2730">
        <v>11.2</v>
      </c>
      <c r="I2730">
        <v>11.7</v>
      </c>
    </row>
    <row r="2731" spans="1:9" ht="24" customHeight="1">
      <c r="A2731" s="6" t="s">
        <v>3906</v>
      </c>
      <c r="B2731">
        <v>38</v>
      </c>
      <c r="C2731">
        <v>0</v>
      </c>
      <c r="D2731">
        <v>623706</v>
      </c>
      <c r="E2731"/>
      <c r="F2731">
        <v>0</v>
      </c>
      <c r="G2731"/>
      <c r="H2731">
        <v>30.4</v>
      </c>
      <c r="I2731"/>
    </row>
    <row r="2732" spans="1:9" ht="24" customHeight="1">
      <c r="A2732" s="6" t="s">
        <v>3907</v>
      </c>
      <c r="B2732">
        <v>122</v>
      </c>
      <c r="C2732">
        <v>24</v>
      </c>
      <c r="D2732">
        <v>503525</v>
      </c>
      <c r="E2732">
        <v>432033</v>
      </c>
      <c r="F2732">
        <v>0.5</v>
      </c>
      <c r="G2732">
        <v>0</v>
      </c>
      <c r="H2732">
        <v>20.7</v>
      </c>
      <c r="I2732">
        <v>24</v>
      </c>
    </row>
    <row r="2733" spans="1:9" ht="24" customHeight="1">
      <c r="A2733" s="6" t="s">
        <v>3908</v>
      </c>
      <c r="B2733">
        <v>158</v>
      </c>
      <c r="C2733">
        <v>29</v>
      </c>
      <c r="D2733">
        <v>421056</v>
      </c>
      <c r="E2733">
        <v>359468</v>
      </c>
      <c r="F2733">
        <v>12.3</v>
      </c>
      <c r="G2733">
        <v>7</v>
      </c>
      <c r="H2733">
        <v>17.2</v>
      </c>
      <c r="I2733">
        <v>18.5</v>
      </c>
    </row>
    <row r="2734" spans="1:9" ht="24" customHeight="1">
      <c r="A2734" s="6" t="s">
        <v>3909</v>
      </c>
      <c r="B2734">
        <v>156</v>
      </c>
      <c r="C2734">
        <v>67</v>
      </c>
      <c r="D2734">
        <v>385646</v>
      </c>
      <c r="E2734">
        <v>310889</v>
      </c>
      <c r="F2734">
        <v>12.8</v>
      </c>
      <c r="G2734">
        <v>1.2</v>
      </c>
      <c r="H2734">
        <v>14.5</v>
      </c>
      <c r="I2734">
        <v>15.5</v>
      </c>
    </row>
    <row r="2735" spans="1:9" ht="24" customHeight="1">
      <c r="A2735" s="6" t="s">
        <v>3910</v>
      </c>
      <c r="B2735">
        <v>89</v>
      </c>
      <c r="C2735">
        <v>7</v>
      </c>
      <c r="D2735">
        <v>511862</v>
      </c>
      <c r="E2735">
        <v>504421</v>
      </c>
      <c r="F2735">
        <v>7.6</v>
      </c>
      <c r="G2735">
        <v>0</v>
      </c>
      <c r="H2735">
        <v>17.5</v>
      </c>
      <c r="I2735">
        <v>17.899999999999999</v>
      </c>
    </row>
    <row r="2736" spans="1:9" ht="24" customHeight="1">
      <c r="A2736" s="6" t="s">
        <v>3911</v>
      </c>
      <c r="B2736">
        <v>1474</v>
      </c>
      <c r="C2736">
        <v>1124</v>
      </c>
      <c r="D2736">
        <v>348602</v>
      </c>
      <c r="E2736">
        <v>275323</v>
      </c>
      <c r="F2736">
        <v>7.3</v>
      </c>
      <c r="G2736">
        <v>4.4000000000000004</v>
      </c>
      <c r="H2736">
        <v>11.1</v>
      </c>
      <c r="I2736">
        <v>13.6</v>
      </c>
    </row>
    <row r="2737" spans="1:9" ht="24" customHeight="1">
      <c r="A2737" s="6" t="s">
        <v>3912</v>
      </c>
      <c r="B2737">
        <v>2</v>
      </c>
      <c r="C2737">
        <v>0</v>
      </c>
      <c r="D2737">
        <v>382783</v>
      </c>
      <c r="E2737"/>
      <c r="F2737">
        <v>0</v>
      </c>
      <c r="G2737"/>
      <c r="H2737">
        <v>31</v>
      </c>
      <c r="I2737"/>
    </row>
    <row r="2738" spans="1:9" ht="24" customHeight="1">
      <c r="A2738" s="6" t="s">
        <v>3913</v>
      </c>
      <c r="B2738">
        <v>9</v>
      </c>
      <c r="C2738">
        <v>0</v>
      </c>
      <c r="D2738">
        <v>551301</v>
      </c>
      <c r="E2738"/>
      <c r="F2738">
        <v>0</v>
      </c>
      <c r="G2738"/>
      <c r="H2738">
        <v>9.8000000000000007</v>
      </c>
      <c r="I2738"/>
    </row>
    <row r="2739" spans="1:9" ht="24" customHeight="1">
      <c r="A2739" s="6" t="s">
        <v>3914</v>
      </c>
      <c r="B2739">
        <v>9</v>
      </c>
      <c r="C2739">
        <v>0</v>
      </c>
      <c r="D2739">
        <v>511739</v>
      </c>
      <c r="E2739"/>
      <c r="F2739">
        <v>21.3</v>
      </c>
      <c r="G2739"/>
      <c r="H2739">
        <v>19.100000000000001</v>
      </c>
      <c r="I2739"/>
    </row>
    <row r="2740" spans="1:9" ht="24" customHeight="1">
      <c r="A2740" s="6" t="s">
        <v>3915</v>
      </c>
      <c r="B2740">
        <v>32</v>
      </c>
      <c r="C2740">
        <v>0</v>
      </c>
      <c r="D2740">
        <v>472780</v>
      </c>
      <c r="E2740"/>
      <c r="F2740">
        <v>43.3</v>
      </c>
      <c r="G2740"/>
      <c r="H2740">
        <v>15.6</v>
      </c>
      <c r="I2740"/>
    </row>
    <row r="2741" spans="1:9" ht="24" customHeight="1">
      <c r="A2741" s="6" t="s">
        <v>3916</v>
      </c>
      <c r="B2741">
        <v>68</v>
      </c>
      <c r="C2741">
        <v>157</v>
      </c>
      <c r="D2741">
        <v>392273</v>
      </c>
      <c r="E2741">
        <v>310156</v>
      </c>
      <c r="F2741">
        <v>32.6</v>
      </c>
      <c r="G2741">
        <v>18.399999999999999</v>
      </c>
      <c r="H2741">
        <v>8.6999999999999993</v>
      </c>
      <c r="I2741">
        <v>9.8000000000000007</v>
      </c>
    </row>
    <row r="2742" spans="1:9" ht="24" customHeight="1">
      <c r="A2742" s="6" t="s">
        <v>734</v>
      </c>
      <c r="B2742">
        <v>974</v>
      </c>
      <c r="C2742">
        <v>46</v>
      </c>
      <c r="D2742">
        <v>1200209</v>
      </c>
      <c r="E2742">
        <v>1553298</v>
      </c>
      <c r="F2742">
        <v>0</v>
      </c>
      <c r="G2742">
        <v>0</v>
      </c>
      <c r="H2742">
        <v>27.7</v>
      </c>
      <c r="I2742">
        <v>13.8</v>
      </c>
    </row>
    <row r="2743" spans="1:9" ht="24" customHeight="1">
      <c r="A2743" s="6" t="s">
        <v>735</v>
      </c>
      <c r="B2743">
        <v>2529</v>
      </c>
      <c r="C2743">
        <v>117</v>
      </c>
      <c r="D2743">
        <v>934634</v>
      </c>
      <c r="E2743">
        <v>910770</v>
      </c>
      <c r="F2743">
        <v>0.6</v>
      </c>
      <c r="G2743">
        <v>0</v>
      </c>
      <c r="H2743">
        <v>25.5</v>
      </c>
      <c r="I2743">
        <v>22.7</v>
      </c>
    </row>
    <row r="2744" spans="1:9" ht="24" customHeight="1">
      <c r="A2744" s="6" t="s">
        <v>736</v>
      </c>
      <c r="B2744">
        <v>2825</v>
      </c>
      <c r="C2744">
        <v>156</v>
      </c>
      <c r="D2744">
        <v>747526</v>
      </c>
      <c r="E2744">
        <v>628209</v>
      </c>
      <c r="F2744">
        <v>11.5</v>
      </c>
      <c r="G2744">
        <v>1.1000000000000001</v>
      </c>
      <c r="H2744">
        <v>20.7</v>
      </c>
      <c r="I2744">
        <v>15.2</v>
      </c>
    </row>
    <row r="2745" spans="1:9" ht="24" customHeight="1">
      <c r="A2745" s="6" t="s">
        <v>737</v>
      </c>
      <c r="B2745">
        <v>2999</v>
      </c>
      <c r="C2745">
        <v>113</v>
      </c>
      <c r="D2745">
        <v>586919</v>
      </c>
      <c r="E2745">
        <v>401097</v>
      </c>
      <c r="F2745">
        <v>31.5</v>
      </c>
      <c r="G2745">
        <v>21</v>
      </c>
      <c r="H2745">
        <v>18.399999999999999</v>
      </c>
      <c r="I2745">
        <v>8</v>
      </c>
    </row>
    <row r="2746" spans="1:9" ht="24" customHeight="1">
      <c r="A2746" s="6" t="s">
        <v>738</v>
      </c>
      <c r="B2746">
        <v>2266</v>
      </c>
      <c r="C2746">
        <v>330</v>
      </c>
      <c r="D2746">
        <v>745196</v>
      </c>
      <c r="E2746">
        <v>497434</v>
      </c>
      <c r="F2746">
        <v>10.5</v>
      </c>
      <c r="G2746">
        <v>9.8000000000000007</v>
      </c>
      <c r="H2746">
        <v>24.3</v>
      </c>
      <c r="I2746">
        <v>20.5</v>
      </c>
    </row>
    <row r="2747" spans="1:9" ht="24" customHeight="1">
      <c r="A2747" s="6" t="s">
        <v>739</v>
      </c>
      <c r="B2747">
        <v>24060</v>
      </c>
      <c r="C2747">
        <v>4724</v>
      </c>
      <c r="D2747">
        <v>504926</v>
      </c>
      <c r="E2747">
        <v>411049</v>
      </c>
      <c r="F2747">
        <v>22.2</v>
      </c>
      <c r="G2747">
        <v>10.8</v>
      </c>
      <c r="H2747">
        <v>14.5</v>
      </c>
      <c r="I2747">
        <v>14</v>
      </c>
    </row>
    <row r="2748" spans="1:9" ht="24" customHeight="1">
      <c r="A2748" s="6" t="s">
        <v>3917</v>
      </c>
      <c r="B2748">
        <v>3703</v>
      </c>
      <c r="C2748">
        <v>51</v>
      </c>
      <c r="D2748">
        <v>561594</v>
      </c>
      <c r="E2748">
        <v>351880</v>
      </c>
      <c r="F2748">
        <v>2.7</v>
      </c>
      <c r="G2748">
        <v>0</v>
      </c>
      <c r="H2748">
        <v>19.899999999999999</v>
      </c>
      <c r="I2748">
        <v>30.4</v>
      </c>
    </row>
    <row r="2749" spans="1:9" ht="24" customHeight="1">
      <c r="A2749" s="6" t="s">
        <v>3918</v>
      </c>
      <c r="B2749">
        <v>4701</v>
      </c>
      <c r="C2749">
        <v>375</v>
      </c>
      <c r="D2749">
        <v>494213</v>
      </c>
      <c r="E2749">
        <v>384375</v>
      </c>
      <c r="F2749">
        <v>9.6999999999999993</v>
      </c>
      <c r="G2749">
        <v>8.6</v>
      </c>
      <c r="H2749">
        <v>18.2</v>
      </c>
      <c r="I2749">
        <v>16.8</v>
      </c>
    </row>
    <row r="2750" spans="1:9" ht="24" customHeight="1">
      <c r="A2750" s="6" t="s">
        <v>3919</v>
      </c>
      <c r="B2750">
        <v>3315</v>
      </c>
      <c r="C2750">
        <v>494</v>
      </c>
      <c r="D2750">
        <v>447694</v>
      </c>
      <c r="E2750">
        <v>368384</v>
      </c>
      <c r="F2750">
        <v>20.399999999999999</v>
      </c>
      <c r="G2750">
        <v>3.2</v>
      </c>
      <c r="H2750">
        <v>16.8</v>
      </c>
      <c r="I2750">
        <v>17.899999999999999</v>
      </c>
    </row>
    <row r="2751" spans="1:9" ht="24" customHeight="1">
      <c r="A2751" s="6" t="s">
        <v>3920</v>
      </c>
      <c r="B2751">
        <v>4216</v>
      </c>
      <c r="C2751">
        <v>597</v>
      </c>
      <c r="D2751">
        <v>431028</v>
      </c>
      <c r="E2751">
        <v>293460</v>
      </c>
      <c r="F2751">
        <v>10.6</v>
      </c>
      <c r="G2751">
        <v>11.6</v>
      </c>
      <c r="H2751">
        <v>18</v>
      </c>
      <c r="I2751">
        <v>15.2</v>
      </c>
    </row>
    <row r="2752" spans="1:9" ht="24" customHeight="1">
      <c r="A2752" s="6" t="s">
        <v>3921</v>
      </c>
      <c r="B2752">
        <v>2069</v>
      </c>
      <c r="C2752">
        <v>64</v>
      </c>
      <c r="D2752">
        <v>464367</v>
      </c>
      <c r="E2752">
        <v>462218</v>
      </c>
      <c r="F2752">
        <v>8</v>
      </c>
      <c r="G2752">
        <v>0</v>
      </c>
      <c r="H2752">
        <v>21.4</v>
      </c>
      <c r="I2752">
        <v>9.8000000000000007</v>
      </c>
    </row>
    <row r="2753" spans="1:9" ht="24" customHeight="1">
      <c r="A2753" s="6" t="s">
        <v>3922</v>
      </c>
      <c r="B2753">
        <v>46185</v>
      </c>
      <c r="C2753">
        <v>12949</v>
      </c>
      <c r="D2753">
        <v>343416</v>
      </c>
      <c r="E2753">
        <v>279445</v>
      </c>
      <c r="F2753">
        <v>12.3</v>
      </c>
      <c r="G2753">
        <v>5</v>
      </c>
      <c r="H2753">
        <v>11.7</v>
      </c>
      <c r="I2753">
        <v>12.6</v>
      </c>
    </row>
    <row r="2754" spans="1:9" ht="24" customHeight="1">
      <c r="A2754" s="6" t="s">
        <v>3923</v>
      </c>
      <c r="B2754">
        <v>2169</v>
      </c>
      <c r="C2754">
        <v>10</v>
      </c>
      <c r="D2754">
        <v>650250</v>
      </c>
      <c r="E2754">
        <v>653117</v>
      </c>
      <c r="F2754">
        <v>2.5</v>
      </c>
      <c r="G2754">
        <v>13.9</v>
      </c>
      <c r="H2754">
        <v>21.6</v>
      </c>
      <c r="I2754">
        <v>19</v>
      </c>
    </row>
    <row r="2755" spans="1:9" ht="24" customHeight="1">
      <c r="A2755" s="6" t="s">
        <v>3924</v>
      </c>
      <c r="B2755">
        <v>2824</v>
      </c>
      <c r="C2755">
        <v>122</v>
      </c>
      <c r="D2755">
        <v>540144</v>
      </c>
      <c r="E2755">
        <v>519898</v>
      </c>
      <c r="F2755">
        <v>2.2000000000000002</v>
      </c>
      <c r="G2755">
        <v>0</v>
      </c>
      <c r="H2755">
        <v>22.7</v>
      </c>
      <c r="I2755">
        <v>17.100000000000001</v>
      </c>
    </row>
    <row r="2756" spans="1:9" ht="24" customHeight="1">
      <c r="A2756" s="6" t="s">
        <v>3925</v>
      </c>
      <c r="B2756">
        <v>1832</v>
      </c>
      <c r="C2756">
        <v>202</v>
      </c>
      <c r="D2756">
        <v>504417</v>
      </c>
      <c r="E2756">
        <v>390382</v>
      </c>
      <c r="F2756">
        <v>11.4</v>
      </c>
      <c r="G2756">
        <v>6.2</v>
      </c>
      <c r="H2756">
        <v>18.2</v>
      </c>
      <c r="I2756">
        <v>24.2</v>
      </c>
    </row>
    <row r="2757" spans="1:9" ht="24" customHeight="1">
      <c r="A2757" s="6" t="s">
        <v>3926</v>
      </c>
      <c r="B2757">
        <v>1895</v>
      </c>
      <c r="C2757">
        <v>52</v>
      </c>
      <c r="D2757">
        <v>442137</v>
      </c>
      <c r="E2757">
        <v>279189</v>
      </c>
      <c r="F2757">
        <v>15.2</v>
      </c>
      <c r="G2757">
        <v>1.8</v>
      </c>
      <c r="H2757">
        <v>16.399999999999999</v>
      </c>
      <c r="I2757">
        <v>16.5</v>
      </c>
    </row>
    <row r="2758" spans="1:9" ht="24" customHeight="1">
      <c r="A2758" s="6" t="s">
        <v>3927</v>
      </c>
      <c r="B2758">
        <v>2777</v>
      </c>
      <c r="C2758">
        <v>470</v>
      </c>
      <c r="D2758">
        <v>469244</v>
      </c>
      <c r="E2758">
        <v>419618</v>
      </c>
      <c r="F2758">
        <v>22.5</v>
      </c>
      <c r="G2758">
        <v>24.4</v>
      </c>
      <c r="H2758">
        <v>13.7</v>
      </c>
      <c r="I2758">
        <v>26.1</v>
      </c>
    </row>
    <row r="2759" spans="1:9" ht="24" customHeight="1">
      <c r="A2759" s="6" t="s">
        <v>3928</v>
      </c>
      <c r="B2759">
        <v>17800</v>
      </c>
      <c r="C2759">
        <v>5287</v>
      </c>
      <c r="D2759">
        <v>379954</v>
      </c>
      <c r="E2759">
        <v>324761</v>
      </c>
      <c r="F2759">
        <v>11.7</v>
      </c>
      <c r="G2759">
        <v>6.2</v>
      </c>
      <c r="H2759">
        <v>11</v>
      </c>
      <c r="I2759">
        <v>10.9</v>
      </c>
    </row>
    <row r="2760" spans="1:9" ht="24" customHeight="1">
      <c r="A2760" s="6" t="s">
        <v>3929</v>
      </c>
      <c r="B2760">
        <v>529</v>
      </c>
      <c r="C2760">
        <v>5</v>
      </c>
      <c r="D2760">
        <v>887497</v>
      </c>
      <c r="E2760">
        <v>704142</v>
      </c>
      <c r="F2760">
        <v>0</v>
      </c>
      <c r="G2760">
        <v>0</v>
      </c>
      <c r="H2760">
        <v>24.4</v>
      </c>
      <c r="I2760">
        <v>24</v>
      </c>
    </row>
    <row r="2761" spans="1:9" ht="24" customHeight="1">
      <c r="A2761" s="6" t="s">
        <v>3930</v>
      </c>
      <c r="B2761">
        <v>1510</v>
      </c>
      <c r="C2761">
        <v>56</v>
      </c>
      <c r="D2761">
        <v>676714</v>
      </c>
      <c r="E2761">
        <v>878135</v>
      </c>
      <c r="F2761">
        <v>2</v>
      </c>
      <c r="G2761">
        <v>0</v>
      </c>
      <c r="H2761">
        <v>20</v>
      </c>
      <c r="I2761">
        <v>19.899999999999999</v>
      </c>
    </row>
    <row r="2762" spans="1:9" ht="24" customHeight="1">
      <c r="A2762" s="6" t="s">
        <v>3931</v>
      </c>
      <c r="B2762">
        <v>929</v>
      </c>
      <c r="C2762">
        <v>139</v>
      </c>
      <c r="D2762">
        <v>498022</v>
      </c>
      <c r="E2762">
        <v>513415</v>
      </c>
      <c r="F2762">
        <v>17</v>
      </c>
      <c r="G2762">
        <v>14.5</v>
      </c>
      <c r="H2762">
        <v>15.1</v>
      </c>
      <c r="I2762">
        <v>18.600000000000001</v>
      </c>
    </row>
    <row r="2763" spans="1:9" ht="24" customHeight="1">
      <c r="A2763" s="6" t="s">
        <v>3932</v>
      </c>
      <c r="B2763">
        <v>1467</v>
      </c>
      <c r="C2763">
        <v>60</v>
      </c>
      <c r="D2763">
        <v>505103</v>
      </c>
      <c r="E2763">
        <v>418496</v>
      </c>
      <c r="F2763">
        <v>15.1</v>
      </c>
      <c r="G2763">
        <v>18.5</v>
      </c>
      <c r="H2763">
        <v>21.7</v>
      </c>
      <c r="I2763">
        <v>16.899999999999999</v>
      </c>
    </row>
    <row r="2764" spans="1:9" ht="24" customHeight="1">
      <c r="A2764" s="6" t="s">
        <v>3933</v>
      </c>
      <c r="B2764">
        <v>830</v>
      </c>
      <c r="C2764">
        <v>80</v>
      </c>
      <c r="D2764">
        <v>649179</v>
      </c>
      <c r="E2764">
        <v>520191</v>
      </c>
      <c r="F2764">
        <v>22.3</v>
      </c>
      <c r="G2764">
        <v>17.5</v>
      </c>
      <c r="H2764">
        <v>21.3</v>
      </c>
      <c r="I2764">
        <v>25.3</v>
      </c>
    </row>
    <row r="2765" spans="1:9" ht="24" customHeight="1">
      <c r="A2765" s="6" t="s">
        <v>3934</v>
      </c>
      <c r="B2765">
        <v>11752</v>
      </c>
      <c r="C2765">
        <v>2274</v>
      </c>
      <c r="D2765">
        <v>439475</v>
      </c>
      <c r="E2765">
        <v>369423</v>
      </c>
      <c r="F2765">
        <v>15</v>
      </c>
      <c r="G2765">
        <v>9.6999999999999993</v>
      </c>
      <c r="H2765">
        <v>16.5</v>
      </c>
      <c r="I2765">
        <v>15.1</v>
      </c>
    </row>
    <row r="2766" spans="1:9" ht="24" customHeight="1">
      <c r="A2766" s="6" t="s">
        <v>740</v>
      </c>
      <c r="B2766">
        <v>1399</v>
      </c>
      <c r="C2766">
        <v>0</v>
      </c>
      <c r="D2766">
        <v>1281689</v>
      </c>
      <c r="E2766"/>
      <c r="F2766">
        <v>0</v>
      </c>
      <c r="G2766"/>
      <c r="H2766">
        <v>29</v>
      </c>
      <c r="I2766"/>
    </row>
    <row r="2767" spans="1:9" ht="24" customHeight="1">
      <c r="A2767" s="6" t="s">
        <v>741</v>
      </c>
      <c r="B2767">
        <v>3441</v>
      </c>
      <c r="C2767">
        <v>138</v>
      </c>
      <c r="D2767">
        <v>1059026</v>
      </c>
      <c r="E2767">
        <v>1075485</v>
      </c>
      <c r="F2767">
        <v>0</v>
      </c>
      <c r="G2767">
        <v>0</v>
      </c>
      <c r="H2767">
        <v>24.4</v>
      </c>
      <c r="I2767">
        <v>29.5</v>
      </c>
    </row>
    <row r="2768" spans="1:9" ht="24" customHeight="1">
      <c r="A2768" s="6" t="s">
        <v>742</v>
      </c>
      <c r="B2768">
        <v>3663</v>
      </c>
      <c r="C2768">
        <v>260</v>
      </c>
      <c r="D2768">
        <v>834200</v>
      </c>
      <c r="E2768">
        <v>695358</v>
      </c>
      <c r="F2768">
        <v>26.7</v>
      </c>
      <c r="G2768">
        <v>19.8</v>
      </c>
      <c r="H2768">
        <v>25.1</v>
      </c>
      <c r="I2768">
        <v>16.899999999999999</v>
      </c>
    </row>
    <row r="2769" spans="1:9" ht="24" customHeight="1">
      <c r="A2769" s="6" t="s">
        <v>743</v>
      </c>
      <c r="B2769">
        <v>7074</v>
      </c>
      <c r="C2769">
        <v>69</v>
      </c>
      <c r="D2769">
        <v>702471</v>
      </c>
      <c r="E2769">
        <v>723956</v>
      </c>
      <c r="F2769">
        <v>30.1</v>
      </c>
      <c r="G2769">
        <v>13</v>
      </c>
      <c r="H2769">
        <v>22.2</v>
      </c>
      <c r="I2769">
        <v>35</v>
      </c>
    </row>
    <row r="2770" spans="1:9" ht="24" customHeight="1">
      <c r="A2770" s="6" t="s">
        <v>744</v>
      </c>
      <c r="B2770">
        <v>3425</v>
      </c>
      <c r="C2770">
        <v>104</v>
      </c>
      <c r="D2770">
        <v>1016899</v>
      </c>
      <c r="E2770">
        <v>922500</v>
      </c>
      <c r="F2770">
        <v>7.4</v>
      </c>
      <c r="G2770">
        <v>10.3</v>
      </c>
      <c r="H2770">
        <v>23.3</v>
      </c>
      <c r="I2770">
        <v>23.7</v>
      </c>
    </row>
    <row r="2771" spans="1:9" ht="24" customHeight="1">
      <c r="A2771" s="6" t="s">
        <v>745</v>
      </c>
      <c r="B2771">
        <v>42488</v>
      </c>
      <c r="C2771">
        <v>5296</v>
      </c>
      <c r="D2771">
        <v>547451</v>
      </c>
      <c r="E2771">
        <v>459176</v>
      </c>
      <c r="F2771">
        <v>23.7</v>
      </c>
      <c r="G2771">
        <v>12.2</v>
      </c>
      <c r="H2771">
        <v>13.9</v>
      </c>
      <c r="I2771">
        <v>15.5</v>
      </c>
    </row>
    <row r="2772" spans="1:9" ht="24" customHeight="1">
      <c r="A2772" s="6" t="s">
        <v>3935</v>
      </c>
      <c r="B2772">
        <v>746</v>
      </c>
      <c r="C2772">
        <v>56</v>
      </c>
      <c r="D2772">
        <v>605470</v>
      </c>
      <c r="E2772">
        <v>513095</v>
      </c>
      <c r="F2772">
        <v>2.6</v>
      </c>
      <c r="G2772">
        <v>36.4</v>
      </c>
      <c r="H2772">
        <v>22.7</v>
      </c>
      <c r="I2772">
        <v>2.4</v>
      </c>
    </row>
    <row r="2773" spans="1:9" ht="24" customHeight="1">
      <c r="A2773" s="6" t="s">
        <v>3936</v>
      </c>
      <c r="B2773">
        <v>2027</v>
      </c>
      <c r="C2773">
        <v>164</v>
      </c>
      <c r="D2773">
        <v>539003</v>
      </c>
      <c r="E2773">
        <v>438695</v>
      </c>
      <c r="F2773">
        <v>7</v>
      </c>
      <c r="G2773">
        <v>0.7</v>
      </c>
      <c r="H2773">
        <v>19.899999999999999</v>
      </c>
      <c r="I2773">
        <v>16</v>
      </c>
    </row>
    <row r="2774" spans="1:9" ht="24" customHeight="1">
      <c r="A2774" s="6" t="s">
        <v>3937</v>
      </c>
      <c r="B2774">
        <v>2432</v>
      </c>
      <c r="C2774">
        <v>86</v>
      </c>
      <c r="D2774">
        <v>519279</v>
      </c>
      <c r="E2774">
        <v>376199</v>
      </c>
      <c r="F2774">
        <v>24.6</v>
      </c>
      <c r="G2774">
        <v>5.8</v>
      </c>
      <c r="H2774">
        <v>17.100000000000001</v>
      </c>
      <c r="I2774">
        <v>24</v>
      </c>
    </row>
    <row r="2775" spans="1:9" ht="24" customHeight="1">
      <c r="A2775" s="6" t="s">
        <v>3938</v>
      </c>
      <c r="B2775">
        <v>2250</v>
      </c>
      <c r="C2775">
        <v>351</v>
      </c>
      <c r="D2775">
        <v>445787</v>
      </c>
      <c r="E2775">
        <v>353453</v>
      </c>
      <c r="F2775">
        <v>23.6</v>
      </c>
      <c r="G2775">
        <v>18</v>
      </c>
      <c r="H2775">
        <v>15.2</v>
      </c>
      <c r="I2775">
        <v>17.899999999999999</v>
      </c>
    </row>
    <row r="2776" spans="1:9" ht="24" customHeight="1">
      <c r="A2776" s="6" t="s">
        <v>3939</v>
      </c>
      <c r="B2776">
        <v>754</v>
      </c>
      <c r="C2776">
        <v>267</v>
      </c>
      <c r="D2776">
        <v>465710</v>
      </c>
      <c r="E2776">
        <v>369764</v>
      </c>
      <c r="F2776">
        <v>12.6</v>
      </c>
      <c r="G2776">
        <v>16.3</v>
      </c>
      <c r="H2776">
        <v>16.8</v>
      </c>
      <c r="I2776">
        <v>15.8</v>
      </c>
    </row>
    <row r="2777" spans="1:9" ht="24" customHeight="1">
      <c r="A2777" s="6" t="s">
        <v>3940</v>
      </c>
      <c r="B2777">
        <v>21419</v>
      </c>
      <c r="C2777">
        <v>3837</v>
      </c>
      <c r="D2777">
        <v>370399</v>
      </c>
      <c r="E2777">
        <v>282582</v>
      </c>
      <c r="F2777">
        <v>18.899999999999999</v>
      </c>
      <c r="G2777">
        <v>8.4</v>
      </c>
      <c r="H2777">
        <v>10.1</v>
      </c>
      <c r="I2777">
        <v>9.8000000000000007</v>
      </c>
    </row>
    <row r="2778" spans="1:9" ht="24" customHeight="1">
      <c r="A2778" s="6" t="s">
        <v>3941</v>
      </c>
      <c r="B2778">
        <v>1101</v>
      </c>
      <c r="C2778">
        <v>2</v>
      </c>
      <c r="D2778">
        <v>982707</v>
      </c>
      <c r="E2778">
        <v>638558</v>
      </c>
      <c r="F2778">
        <v>0.5</v>
      </c>
      <c r="G2778">
        <v>0</v>
      </c>
      <c r="H2778">
        <v>24.4</v>
      </c>
      <c r="I2778">
        <v>11</v>
      </c>
    </row>
    <row r="2779" spans="1:9" ht="24" customHeight="1">
      <c r="A2779" s="6" t="s">
        <v>3942</v>
      </c>
      <c r="B2779">
        <v>2176</v>
      </c>
      <c r="C2779">
        <v>134</v>
      </c>
      <c r="D2779">
        <v>681604</v>
      </c>
      <c r="E2779">
        <v>603257</v>
      </c>
      <c r="F2779">
        <v>1</v>
      </c>
      <c r="G2779">
        <v>0</v>
      </c>
      <c r="H2779">
        <v>21.4</v>
      </c>
      <c r="I2779">
        <v>13.9</v>
      </c>
    </row>
    <row r="2780" spans="1:9" ht="24" customHeight="1">
      <c r="A2780" s="6" t="s">
        <v>3943</v>
      </c>
      <c r="B2780">
        <v>3666</v>
      </c>
      <c r="C2780">
        <v>293</v>
      </c>
      <c r="D2780">
        <v>542554</v>
      </c>
      <c r="E2780">
        <v>477704</v>
      </c>
      <c r="F2780">
        <v>18.7</v>
      </c>
      <c r="G2780">
        <v>10.5</v>
      </c>
      <c r="H2780">
        <v>19.2</v>
      </c>
      <c r="I2780">
        <v>19.600000000000001</v>
      </c>
    </row>
    <row r="2781" spans="1:9" ht="24" customHeight="1">
      <c r="A2781" s="6" t="s">
        <v>3944</v>
      </c>
      <c r="B2781">
        <v>3721</v>
      </c>
      <c r="C2781">
        <v>127</v>
      </c>
      <c r="D2781">
        <v>625217</v>
      </c>
      <c r="E2781">
        <v>406529</v>
      </c>
      <c r="F2781">
        <v>17</v>
      </c>
      <c r="G2781">
        <v>15.2</v>
      </c>
      <c r="H2781">
        <v>21.6</v>
      </c>
      <c r="I2781">
        <v>19.5</v>
      </c>
    </row>
    <row r="2782" spans="1:9" ht="24" customHeight="1">
      <c r="A2782" s="6" t="s">
        <v>3945</v>
      </c>
      <c r="B2782">
        <v>1278</v>
      </c>
      <c r="C2782">
        <v>53</v>
      </c>
      <c r="D2782">
        <v>556623</v>
      </c>
      <c r="E2782">
        <v>401318</v>
      </c>
      <c r="F2782">
        <v>22.4</v>
      </c>
      <c r="G2782">
        <v>13.5</v>
      </c>
      <c r="H2782">
        <v>25.1</v>
      </c>
      <c r="I2782">
        <v>20.399999999999999</v>
      </c>
    </row>
    <row r="2783" spans="1:9" ht="24" customHeight="1">
      <c r="A2783" s="6" t="s">
        <v>3946</v>
      </c>
      <c r="B2783">
        <v>25308</v>
      </c>
      <c r="C2783">
        <v>4632</v>
      </c>
      <c r="D2783">
        <v>437070</v>
      </c>
      <c r="E2783">
        <v>332583</v>
      </c>
      <c r="F2783">
        <v>24.4</v>
      </c>
      <c r="G2783">
        <v>9.4</v>
      </c>
      <c r="H2783">
        <v>10.5</v>
      </c>
      <c r="I2783">
        <v>10.199999999999999</v>
      </c>
    </row>
    <row r="2784" spans="1:9" ht="24" customHeight="1">
      <c r="A2784" s="6" t="s">
        <v>3947</v>
      </c>
      <c r="B2784">
        <v>887</v>
      </c>
      <c r="C2784">
        <v>0</v>
      </c>
      <c r="D2784">
        <v>852262</v>
      </c>
      <c r="E2784"/>
      <c r="F2784">
        <v>0.2</v>
      </c>
      <c r="G2784"/>
      <c r="H2784">
        <v>27.3</v>
      </c>
      <c r="I2784"/>
    </row>
    <row r="2785" spans="1:9" ht="24" customHeight="1">
      <c r="A2785" s="6" t="s">
        <v>3948</v>
      </c>
      <c r="B2785">
        <v>1410</v>
      </c>
      <c r="C2785">
        <v>2</v>
      </c>
      <c r="D2785">
        <v>638612</v>
      </c>
      <c r="E2785">
        <v>517208</v>
      </c>
      <c r="F2785">
        <v>0.7</v>
      </c>
      <c r="G2785">
        <v>0</v>
      </c>
      <c r="H2785">
        <v>20.7</v>
      </c>
      <c r="I2785">
        <v>17</v>
      </c>
    </row>
    <row r="2786" spans="1:9" ht="24" customHeight="1">
      <c r="A2786" s="6" t="s">
        <v>3949</v>
      </c>
      <c r="B2786">
        <v>1493</v>
      </c>
      <c r="C2786">
        <v>192</v>
      </c>
      <c r="D2786">
        <v>522885</v>
      </c>
      <c r="E2786">
        <v>370417</v>
      </c>
      <c r="F2786">
        <v>19</v>
      </c>
      <c r="G2786">
        <v>6.7</v>
      </c>
      <c r="H2786">
        <v>16.899999999999999</v>
      </c>
      <c r="I2786">
        <v>14</v>
      </c>
    </row>
    <row r="2787" spans="1:9" ht="24" customHeight="1">
      <c r="A2787" s="6" t="s">
        <v>3950</v>
      </c>
      <c r="B2787">
        <v>5638</v>
      </c>
      <c r="C2787">
        <v>120</v>
      </c>
      <c r="D2787">
        <v>569932</v>
      </c>
      <c r="E2787">
        <v>345056</v>
      </c>
      <c r="F2787">
        <v>33.200000000000003</v>
      </c>
      <c r="G2787">
        <v>10.199999999999999</v>
      </c>
      <c r="H2787">
        <v>22.4</v>
      </c>
      <c r="I2787">
        <v>9.1</v>
      </c>
    </row>
    <row r="2788" spans="1:9" ht="24" customHeight="1">
      <c r="A2788" s="6" t="s">
        <v>3951</v>
      </c>
      <c r="B2788">
        <v>1182</v>
      </c>
      <c r="C2788">
        <v>24</v>
      </c>
      <c r="D2788">
        <v>565804</v>
      </c>
      <c r="E2788">
        <v>451907</v>
      </c>
      <c r="F2788">
        <v>15.6</v>
      </c>
      <c r="G2788">
        <v>14.4</v>
      </c>
      <c r="H2788">
        <v>20.7</v>
      </c>
      <c r="I2788">
        <v>14.3</v>
      </c>
    </row>
    <row r="2789" spans="1:9" ht="24" customHeight="1">
      <c r="A2789" s="6" t="s">
        <v>3952</v>
      </c>
      <c r="B2789">
        <v>26090</v>
      </c>
      <c r="C2789">
        <v>2389</v>
      </c>
      <c r="D2789">
        <v>431699</v>
      </c>
      <c r="E2789">
        <v>366575</v>
      </c>
      <c r="F2789">
        <v>23.8</v>
      </c>
      <c r="G2789">
        <v>15.1</v>
      </c>
      <c r="H2789">
        <v>13.2</v>
      </c>
      <c r="I2789">
        <v>12.9</v>
      </c>
    </row>
    <row r="2790" spans="1:9" ht="24" customHeight="1">
      <c r="A2790" s="6" t="s">
        <v>746</v>
      </c>
      <c r="B2790">
        <v>864</v>
      </c>
      <c r="C2790">
        <v>20</v>
      </c>
      <c r="D2790">
        <v>1282522</v>
      </c>
      <c r="E2790">
        <v>1502003</v>
      </c>
      <c r="F2790">
        <v>0</v>
      </c>
      <c r="G2790">
        <v>0</v>
      </c>
      <c r="H2790">
        <v>27</v>
      </c>
      <c r="I2790">
        <v>27</v>
      </c>
    </row>
    <row r="2791" spans="1:9" ht="24" customHeight="1">
      <c r="A2791" s="6" t="s">
        <v>747</v>
      </c>
      <c r="B2791">
        <v>1938</v>
      </c>
      <c r="C2791">
        <v>83</v>
      </c>
      <c r="D2791">
        <v>869870</v>
      </c>
      <c r="E2791">
        <v>934551</v>
      </c>
      <c r="F2791">
        <v>1.3</v>
      </c>
      <c r="G2791">
        <v>0</v>
      </c>
      <c r="H2791">
        <v>24</v>
      </c>
      <c r="I2791">
        <v>18</v>
      </c>
    </row>
    <row r="2792" spans="1:9" ht="24" customHeight="1">
      <c r="A2792" s="6" t="s">
        <v>748</v>
      </c>
      <c r="B2792">
        <v>1741</v>
      </c>
      <c r="C2792">
        <v>122</v>
      </c>
      <c r="D2792">
        <v>731343</v>
      </c>
      <c r="E2792">
        <v>745301</v>
      </c>
      <c r="F2792">
        <v>18.7</v>
      </c>
      <c r="G2792">
        <v>12.2</v>
      </c>
      <c r="H2792">
        <v>21.5</v>
      </c>
      <c r="I2792">
        <v>11.5</v>
      </c>
    </row>
    <row r="2793" spans="1:9" ht="24" customHeight="1">
      <c r="A2793" s="6" t="s">
        <v>749</v>
      </c>
      <c r="B2793">
        <v>3031</v>
      </c>
      <c r="C2793">
        <v>93</v>
      </c>
      <c r="D2793">
        <v>674309</v>
      </c>
      <c r="E2793">
        <v>495584</v>
      </c>
      <c r="F2793">
        <v>23.7</v>
      </c>
      <c r="G2793">
        <v>21.7</v>
      </c>
      <c r="H2793">
        <v>22.9</v>
      </c>
      <c r="I2793">
        <v>17.899999999999999</v>
      </c>
    </row>
    <row r="2794" spans="1:9" ht="24" customHeight="1">
      <c r="A2794" s="6" t="s">
        <v>750</v>
      </c>
      <c r="B2794">
        <v>1150</v>
      </c>
      <c r="C2794">
        <v>49</v>
      </c>
      <c r="D2794">
        <v>743575</v>
      </c>
      <c r="E2794">
        <v>864119</v>
      </c>
      <c r="F2794">
        <v>9.3000000000000007</v>
      </c>
      <c r="G2794">
        <v>3.2</v>
      </c>
      <c r="H2794">
        <v>18.100000000000001</v>
      </c>
      <c r="I2794">
        <v>16.100000000000001</v>
      </c>
    </row>
    <row r="2795" spans="1:9" ht="24" customHeight="1">
      <c r="A2795" s="6" t="s">
        <v>751</v>
      </c>
      <c r="B2795">
        <v>20727</v>
      </c>
      <c r="C2795">
        <v>3000</v>
      </c>
      <c r="D2795">
        <v>522739</v>
      </c>
      <c r="E2795">
        <v>414445</v>
      </c>
      <c r="F2795">
        <v>18.2</v>
      </c>
      <c r="G2795">
        <v>11.7</v>
      </c>
      <c r="H2795">
        <v>15.8</v>
      </c>
      <c r="I2795">
        <v>14</v>
      </c>
    </row>
    <row r="2796" spans="1:9" ht="24" customHeight="1">
      <c r="A2796" s="6" t="s">
        <v>3953</v>
      </c>
      <c r="B2796">
        <v>756</v>
      </c>
      <c r="C2796">
        <v>22</v>
      </c>
      <c r="D2796">
        <v>584728</v>
      </c>
      <c r="E2796">
        <v>335888</v>
      </c>
      <c r="F2796">
        <v>3.6</v>
      </c>
      <c r="G2796">
        <v>1.7</v>
      </c>
      <c r="H2796">
        <v>18.5</v>
      </c>
      <c r="I2796">
        <v>15.6</v>
      </c>
    </row>
    <row r="2797" spans="1:9" ht="24" customHeight="1">
      <c r="A2797" s="6" t="s">
        <v>3954</v>
      </c>
      <c r="B2797">
        <v>1902</v>
      </c>
      <c r="C2797">
        <v>128</v>
      </c>
      <c r="D2797">
        <v>514969</v>
      </c>
      <c r="E2797">
        <v>495820</v>
      </c>
      <c r="F2797">
        <v>5</v>
      </c>
      <c r="G2797">
        <v>0.8</v>
      </c>
      <c r="H2797">
        <v>22</v>
      </c>
      <c r="I2797">
        <v>19.600000000000001</v>
      </c>
    </row>
    <row r="2798" spans="1:9" ht="24" customHeight="1">
      <c r="A2798" s="6" t="s">
        <v>3955</v>
      </c>
      <c r="B2798">
        <v>1239</v>
      </c>
      <c r="C2798">
        <v>112</v>
      </c>
      <c r="D2798">
        <v>460782</v>
      </c>
      <c r="E2798">
        <v>416642</v>
      </c>
      <c r="F2798">
        <v>11.3</v>
      </c>
      <c r="G2798">
        <v>10.199999999999999</v>
      </c>
      <c r="H2798">
        <v>23.6</v>
      </c>
      <c r="I2798">
        <v>19.899999999999999</v>
      </c>
    </row>
    <row r="2799" spans="1:9" ht="24" customHeight="1">
      <c r="A2799" s="6" t="s">
        <v>3956</v>
      </c>
      <c r="B2799">
        <v>936</v>
      </c>
      <c r="C2799">
        <v>154</v>
      </c>
      <c r="D2799">
        <v>456438</v>
      </c>
      <c r="E2799">
        <v>301074</v>
      </c>
      <c r="F2799">
        <v>23.5</v>
      </c>
      <c r="G2799">
        <v>16.7</v>
      </c>
      <c r="H2799">
        <v>16</v>
      </c>
      <c r="I2799">
        <v>13.1</v>
      </c>
    </row>
    <row r="2800" spans="1:9" ht="24" customHeight="1">
      <c r="A2800" s="6" t="s">
        <v>3957</v>
      </c>
      <c r="B2800">
        <v>730</v>
      </c>
      <c r="C2800">
        <v>131</v>
      </c>
      <c r="D2800">
        <v>523627</v>
      </c>
      <c r="E2800">
        <v>451321</v>
      </c>
      <c r="F2800">
        <v>11</v>
      </c>
      <c r="G2800">
        <v>1.7</v>
      </c>
      <c r="H2800">
        <v>19.3</v>
      </c>
      <c r="I2800">
        <v>7.9</v>
      </c>
    </row>
    <row r="2801" spans="1:9" ht="24" customHeight="1">
      <c r="A2801" s="6" t="s">
        <v>3958</v>
      </c>
      <c r="B2801">
        <v>11671</v>
      </c>
      <c r="C2801">
        <v>4929</v>
      </c>
      <c r="D2801">
        <v>344380</v>
      </c>
      <c r="E2801">
        <v>273764</v>
      </c>
      <c r="F2801">
        <v>11.3</v>
      </c>
      <c r="G2801">
        <v>4.8</v>
      </c>
      <c r="H2801">
        <v>11.7</v>
      </c>
      <c r="I2801">
        <v>10.6</v>
      </c>
    </row>
    <row r="2802" spans="1:9" ht="24" customHeight="1">
      <c r="A2802" s="6" t="s">
        <v>3959</v>
      </c>
      <c r="B2802">
        <v>852</v>
      </c>
      <c r="C2802">
        <v>0</v>
      </c>
      <c r="D2802">
        <v>1057267</v>
      </c>
      <c r="E2802"/>
      <c r="F2802">
        <v>0</v>
      </c>
      <c r="G2802"/>
      <c r="H2802">
        <v>28.3</v>
      </c>
      <c r="I2802"/>
    </row>
    <row r="2803" spans="1:9" ht="24" customHeight="1">
      <c r="A2803" s="6" t="s">
        <v>3960</v>
      </c>
      <c r="B2803">
        <v>1696</v>
      </c>
      <c r="C2803">
        <v>46</v>
      </c>
      <c r="D2803">
        <v>680603</v>
      </c>
      <c r="E2803">
        <v>647653</v>
      </c>
      <c r="F2803">
        <v>1.2</v>
      </c>
      <c r="G2803">
        <v>5.9</v>
      </c>
      <c r="H2803">
        <v>23.6</v>
      </c>
      <c r="I2803">
        <v>25.9</v>
      </c>
    </row>
    <row r="2804" spans="1:9" ht="24" customHeight="1">
      <c r="A2804" s="6" t="s">
        <v>3961</v>
      </c>
      <c r="B2804">
        <v>1024</v>
      </c>
      <c r="C2804">
        <v>60</v>
      </c>
      <c r="D2804">
        <v>555814</v>
      </c>
      <c r="E2804">
        <v>409588</v>
      </c>
      <c r="F2804">
        <v>17</v>
      </c>
      <c r="G2804">
        <v>11.8</v>
      </c>
      <c r="H2804">
        <v>21.1</v>
      </c>
      <c r="I2804">
        <v>17.2</v>
      </c>
    </row>
    <row r="2805" spans="1:9" ht="24" customHeight="1">
      <c r="A2805" s="6" t="s">
        <v>3962</v>
      </c>
      <c r="B2805">
        <v>1742</v>
      </c>
      <c r="C2805">
        <v>255</v>
      </c>
      <c r="D2805">
        <v>485761</v>
      </c>
      <c r="E2805">
        <v>406357</v>
      </c>
      <c r="F2805">
        <v>17.2</v>
      </c>
      <c r="G2805">
        <v>11.4</v>
      </c>
      <c r="H2805">
        <v>18.5</v>
      </c>
      <c r="I2805">
        <v>12.3</v>
      </c>
    </row>
    <row r="2806" spans="1:9" ht="24" customHeight="1">
      <c r="A2806" s="6" t="s">
        <v>3963</v>
      </c>
      <c r="B2806">
        <v>530</v>
      </c>
      <c r="C2806">
        <v>144</v>
      </c>
      <c r="D2806">
        <v>546387</v>
      </c>
      <c r="E2806">
        <v>501292</v>
      </c>
      <c r="F2806">
        <v>11.2</v>
      </c>
      <c r="G2806">
        <v>10.3</v>
      </c>
      <c r="H2806">
        <v>21.1</v>
      </c>
      <c r="I2806">
        <v>29.2</v>
      </c>
    </row>
    <row r="2807" spans="1:9" ht="24" customHeight="1">
      <c r="A2807" s="6" t="s">
        <v>3964</v>
      </c>
      <c r="B2807">
        <v>12835</v>
      </c>
      <c r="C2807">
        <v>3056</v>
      </c>
      <c r="D2807">
        <v>430806</v>
      </c>
      <c r="E2807">
        <v>332343</v>
      </c>
      <c r="F2807">
        <v>15.2</v>
      </c>
      <c r="G2807">
        <v>6.3</v>
      </c>
      <c r="H2807">
        <v>13.6</v>
      </c>
      <c r="I2807">
        <v>10.7</v>
      </c>
    </row>
    <row r="2808" spans="1:9" ht="24" customHeight="1">
      <c r="A2808" s="6" t="s">
        <v>3965</v>
      </c>
      <c r="B2808">
        <v>557</v>
      </c>
      <c r="C2808">
        <v>0</v>
      </c>
      <c r="D2808">
        <v>883380</v>
      </c>
      <c r="E2808"/>
      <c r="F2808">
        <v>0</v>
      </c>
      <c r="G2808"/>
      <c r="H2808">
        <v>23.9</v>
      </c>
      <c r="I2808"/>
    </row>
    <row r="2809" spans="1:9" ht="24" customHeight="1">
      <c r="A2809" s="6" t="s">
        <v>3966</v>
      </c>
      <c r="B2809">
        <v>1471</v>
      </c>
      <c r="C2809">
        <v>111</v>
      </c>
      <c r="D2809">
        <v>723213</v>
      </c>
      <c r="E2809">
        <v>725098</v>
      </c>
      <c r="F2809">
        <v>0.8</v>
      </c>
      <c r="G2809">
        <v>0.5</v>
      </c>
      <c r="H2809">
        <v>24.6</v>
      </c>
      <c r="I2809">
        <v>24.5</v>
      </c>
    </row>
    <row r="2810" spans="1:9" ht="24" customHeight="1">
      <c r="A2810" s="6" t="s">
        <v>3967</v>
      </c>
      <c r="B2810">
        <v>970</v>
      </c>
      <c r="C2810">
        <v>11</v>
      </c>
      <c r="D2810">
        <v>604081</v>
      </c>
      <c r="E2810">
        <v>390937</v>
      </c>
      <c r="F2810">
        <v>20</v>
      </c>
      <c r="G2810">
        <v>22.6</v>
      </c>
      <c r="H2810">
        <v>19.600000000000001</v>
      </c>
      <c r="I2810">
        <v>8.1</v>
      </c>
    </row>
    <row r="2811" spans="1:9" ht="24" customHeight="1">
      <c r="A2811" s="6" t="s">
        <v>3968</v>
      </c>
      <c r="B2811">
        <v>1774</v>
      </c>
      <c r="C2811">
        <v>195</v>
      </c>
      <c r="D2811">
        <v>553781</v>
      </c>
      <c r="E2811">
        <v>420779</v>
      </c>
      <c r="F2811">
        <v>25.5</v>
      </c>
      <c r="G2811">
        <v>23.3</v>
      </c>
      <c r="H2811">
        <v>20.3</v>
      </c>
      <c r="I2811">
        <v>12.2</v>
      </c>
    </row>
    <row r="2812" spans="1:9" ht="24" customHeight="1">
      <c r="A2812" s="6" t="s">
        <v>3969</v>
      </c>
      <c r="B2812">
        <v>1003</v>
      </c>
      <c r="C2812">
        <v>53</v>
      </c>
      <c r="D2812">
        <v>747990</v>
      </c>
      <c r="E2812">
        <v>743354</v>
      </c>
      <c r="F2812">
        <v>12.6</v>
      </c>
      <c r="G2812">
        <v>0</v>
      </c>
      <c r="H2812">
        <v>25.1</v>
      </c>
      <c r="I2812">
        <v>35.200000000000003</v>
      </c>
    </row>
    <row r="2813" spans="1:9" ht="24" customHeight="1">
      <c r="A2813" s="6" t="s">
        <v>3970</v>
      </c>
      <c r="B2813">
        <v>13816</v>
      </c>
      <c r="C2813">
        <v>2738</v>
      </c>
      <c r="D2813">
        <v>458014</v>
      </c>
      <c r="E2813">
        <v>355446</v>
      </c>
      <c r="F2813">
        <v>18.600000000000001</v>
      </c>
      <c r="G2813">
        <v>8.6999999999999993</v>
      </c>
      <c r="H2813">
        <v>14.1</v>
      </c>
      <c r="I2813">
        <v>14.8</v>
      </c>
    </row>
    <row r="2814" spans="1:9" ht="24" customHeight="1">
      <c r="A2814" s="6" t="s">
        <v>752</v>
      </c>
      <c r="B2814">
        <v>584</v>
      </c>
      <c r="C2814">
        <v>20</v>
      </c>
      <c r="D2814">
        <v>1027460</v>
      </c>
      <c r="E2814">
        <v>677032</v>
      </c>
      <c r="F2814">
        <v>0</v>
      </c>
      <c r="G2814">
        <v>0</v>
      </c>
      <c r="H2814">
        <v>28.3</v>
      </c>
      <c r="I2814">
        <v>30</v>
      </c>
    </row>
    <row r="2815" spans="1:9" ht="24" customHeight="1">
      <c r="A2815" s="6" t="s">
        <v>753</v>
      </c>
      <c r="B2815">
        <v>2184</v>
      </c>
      <c r="C2815">
        <v>219</v>
      </c>
      <c r="D2815">
        <v>853747</v>
      </c>
      <c r="E2815">
        <v>739577</v>
      </c>
      <c r="F2815">
        <v>2.7</v>
      </c>
      <c r="G2815">
        <v>6.9</v>
      </c>
      <c r="H2815">
        <v>26.9</v>
      </c>
      <c r="I2815">
        <v>17.7</v>
      </c>
    </row>
    <row r="2816" spans="1:9" ht="24" customHeight="1">
      <c r="A2816" s="6" t="s">
        <v>754</v>
      </c>
      <c r="B2816">
        <v>1952</v>
      </c>
      <c r="C2816">
        <v>35</v>
      </c>
      <c r="D2816">
        <v>733176</v>
      </c>
      <c r="E2816">
        <v>617325</v>
      </c>
      <c r="F2816">
        <v>26</v>
      </c>
      <c r="G2816">
        <v>21.8</v>
      </c>
      <c r="H2816">
        <v>24.5</v>
      </c>
      <c r="I2816">
        <v>24.7</v>
      </c>
    </row>
    <row r="2817" spans="1:9" ht="24" customHeight="1">
      <c r="A2817" s="6" t="s">
        <v>755</v>
      </c>
      <c r="B2817">
        <v>2746</v>
      </c>
      <c r="C2817">
        <v>202</v>
      </c>
      <c r="D2817">
        <v>631392</v>
      </c>
      <c r="E2817">
        <v>444870</v>
      </c>
      <c r="F2817">
        <v>30.9</v>
      </c>
      <c r="G2817">
        <v>19.600000000000001</v>
      </c>
      <c r="H2817">
        <v>21.7</v>
      </c>
      <c r="I2817">
        <v>21.7</v>
      </c>
    </row>
    <row r="2818" spans="1:9" ht="24" customHeight="1">
      <c r="A2818" s="6" t="s">
        <v>756</v>
      </c>
      <c r="B2818">
        <v>3583</v>
      </c>
      <c r="C2818">
        <v>839</v>
      </c>
      <c r="D2818">
        <v>790400</v>
      </c>
      <c r="E2818">
        <v>625889</v>
      </c>
      <c r="F2818">
        <v>14.2</v>
      </c>
      <c r="G2818">
        <v>13.5</v>
      </c>
      <c r="H2818">
        <v>21</v>
      </c>
      <c r="I2818">
        <v>26.1</v>
      </c>
    </row>
    <row r="2819" spans="1:9" ht="24" customHeight="1">
      <c r="A2819" s="6" t="s">
        <v>757</v>
      </c>
      <c r="B2819">
        <v>24652</v>
      </c>
      <c r="C2819">
        <v>5963</v>
      </c>
      <c r="D2819">
        <v>469222</v>
      </c>
      <c r="E2819">
        <v>379247</v>
      </c>
      <c r="F2819">
        <v>25.2</v>
      </c>
      <c r="G2819">
        <v>12.1</v>
      </c>
      <c r="H2819">
        <v>13.4</v>
      </c>
      <c r="I2819">
        <v>13.5</v>
      </c>
    </row>
    <row r="2820" spans="1:9" ht="24" customHeight="1">
      <c r="A2820" s="6" t="s">
        <v>3971</v>
      </c>
      <c r="B2820">
        <v>7775</v>
      </c>
      <c r="C2820">
        <v>557</v>
      </c>
      <c r="D2820">
        <v>648647</v>
      </c>
      <c r="E2820">
        <v>642070</v>
      </c>
      <c r="F2820">
        <v>2.8</v>
      </c>
      <c r="G2820">
        <v>30.4</v>
      </c>
      <c r="H2820">
        <v>20.5</v>
      </c>
      <c r="I2820">
        <v>16</v>
      </c>
    </row>
    <row r="2821" spans="1:9" ht="24" customHeight="1">
      <c r="A2821" s="6" t="s">
        <v>3972</v>
      </c>
      <c r="B2821">
        <v>14078</v>
      </c>
      <c r="C2821">
        <v>1569</v>
      </c>
      <c r="D2821">
        <v>497077</v>
      </c>
      <c r="E2821">
        <v>374471</v>
      </c>
      <c r="F2821">
        <v>8.1999999999999993</v>
      </c>
      <c r="G2821">
        <v>7.1</v>
      </c>
      <c r="H2821">
        <v>20.2</v>
      </c>
      <c r="I2821">
        <v>13.6</v>
      </c>
    </row>
    <row r="2822" spans="1:9" ht="24" customHeight="1">
      <c r="A2822" s="6" t="s">
        <v>3973</v>
      </c>
      <c r="B2822">
        <v>8880</v>
      </c>
      <c r="C2822">
        <v>500</v>
      </c>
      <c r="D2822">
        <v>440714</v>
      </c>
      <c r="E2822">
        <v>323555</v>
      </c>
      <c r="F2822">
        <v>13.8</v>
      </c>
      <c r="G2822">
        <v>5.9</v>
      </c>
      <c r="H2822">
        <v>18.2</v>
      </c>
      <c r="I2822">
        <v>21.2</v>
      </c>
    </row>
    <row r="2823" spans="1:9" ht="24" customHeight="1">
      <c r="A2823" s="6" t="s">
        <v>3974</v>
      </c>
      <c r="B2823">
        <v>7235</v>
      </c>
      <c r="C2823">
        <v>1144</v>
      </c>
      <c r="D2823">
        <v>448560</v>
      </c>
      <c r="E2823">
        <v>350736</v>
      </c>
      <c r="F2823">
        <v>15</v>
      </c>
      <c r="G2823">
        <v>9.6999999999999993</v>
      </c>
      <c r="H2823">
        <v>18.399999999999999</v>
      </c>
      <c r="I2823">
        <v>11.2</v>
      </c>
    </row>
    <row r="2824" spans="1:9" ht="24" customHeight="1">
      <c r="A2824" s="6" t="s">
        <v>3975</v>
      </c>
      <c r="B2824">
        <v>5484</v>
      </c>
      <c r="C2824">
        <v>702</v>
      </c>
      <c r="D2824">
        <v>523190</v>
      </c>
      <c r="E2824">
        <v>449323</v>
      </c>
      <c r="F2824">
        <v>8.9</v>
      </c>
      <c r="G2824">
        <v>0.2</v>
      </c>
      <c r="H2824">
        <v>14.7</v>
      </c>
      <c r="I2824">
        <v>25.1</v>
      </c>
    </row>
    <row r="2825" spans="1:9" ht="24" customHeight="1">
      <c r="A2825" s="6" t="s">
        <v>3976</v>
      </c>
      <c r="B2825">
        <v>122418</v>
      </c>
      <c r="C2825">
        <v>36445</v>
      </c>
      <c r="D2825">
        <v>346322</v>
      </c>
      <c r="E2825">
        <v>273083</v>
      </c>
      <c r="F2825">
        <v>11.2</v>
      </c>
      <c r="G2825">
        <v>3.6</v>
      </c>
      <c r="H2825">
        <v>10.8</v>
      </c>
      <c r="I2825">
        <v>9.8000000000000007</v>
      </c>
    </row>
    <row r="2826" spans="1:9" ht="24" customHeight="1">
      <c r="A2826" s="6" t="s">
        <v>3977</v>
      </c>
      <c r="B2826">
        <v>4313</v>
      </c>
      <c r="C2826">
        <v>0</v>
      </c>
      <c r="D2826">
        <v>702797</v>
      </c>
      <c r="E2826"/>
      <c r="F2826">
        <v>0.5</v>
      </c>
      <c r="G2826"/>
      <c r="H2826">
        <v>25.2</v>
      </c>
      <c r="I2826"/>
    </row>
    <row r="2827" spans="1:9" ht="24" customHeight="1">
      <c r="A2827" s="6" t="s">
        <v>3978</v>
      </c>
      <c r="B2827">
        <v>5164</v>
      </c>
      <c r="C2827">
        <v>242</v>
      </c>
      <c r="D2827">
        <v>610948</v>
      </c>
      <c r="E2827">
        <v>565241</v>
      </c>
      <c r="F2827">
        <v>2.9</v>
      </c>
      <c r="G2827">
        <v>0.6</v>
      </c>
      <c r="H2827">
        <v>23.4</v>
      </c>
      <c r="I2827">
        <v>21.3</v>
      </c>
    </row>
    <row r="2828" spans="1:9" ht="24" customHeight="1">
      <c r="A2828" s="6" t="s">
        <v>3979</v>
      </c>
      <c r="B2828">
        <v>6405</v>
      </c>
      <c r="C2828">
        <v>827</v>
      </c>
      <c r="D2828">
        <v>516482</v>
      </c>
      <c r="E2828">
        <v>438516</v>
      </c>
      <c r="F2828">
        <v>15.1</v>
      </c>
      <c r="G2828">
        <v>11.2</v>
      </c>
      <c r="H2828">
        <v>16.5</v>
      </c>
      <c r="I2828">
        <v>19.2</v>
      </c>
    </row>
    <row r="2829" spans="1:9" ht="24" customHeight="1">
      <c r="A2829" s="6" t="s">
        <v>3980</v>
      </c>
      <c r="B2829">
        <v>8246</v>
      </c>
      <c r="C2829">
        <v>1232</v>
      </c>
      <c r="D2829">
        <v>461915</v>
      </c>
      <c r="E2829">
        <v>367833</v>
      </c>
      <c r="F2829">
        <v>16.8</v>
      </c>
      <c r="G2829">
        <v>9</v>
      </c>
      <c r="H2829">
        <v>17.3</v>
      </c>
      <c r="I2829">
        <v>15.4</v>
      </c>
    </row>
    <row r="2830" spans="1:9" ht="24" customHeight="1">
      <c r="A2830" s="6" t="s">
        <v>3981</v>
      </c>
      <c r="B2830">
        <v>4843</v>
      </c>
      <c r="C2830">
        <v>509</v>
      </c>
      <c r="D2830">
        <v>567471</v>
      </c>
      <c r="E2830">
        <v>445497</v>
      </c>
      <c r="F2830">
        <v>12.4</v>
      </c>
      <c r="G2830">
        <v>6.6</v>
      </c>
      <c r="H2830">
        <v>23</v>
      </c>
      <c r="I2830">
        <v>20.8</v>
      </c>
    </row>
    <row r="2831" spans="1:9" ht="24" customHeight="1">
      <c r="A2831" s="6" t="s">
        <v>3982</v>
      </c>
      <c r="B2831">
        <v>41297</v>
      </c>
      <c r="C2831">
        <v>14338</v>
      </c>
      <c r="D2831">
        <v>369734</v>
      </c>
      <c r="E2831">
        <v>301632</v>
      </c>
      <c r="F2831">
        <v>13.9</v>
      </c>
      <c r="G2831">
        <v>7.5</v>
      </c>
      <c r="H2831">
        <v>11.4</v>
      </c>
      <c r="I2831">
        <v>8.8000000000000007</v>
      </c>
    </row>
    <row r="2832" spans="1:9" ht="24" customHeight="1">
      <c r="A2832" s="6" t="s">
        <v>3983</v>
      </c>
      <c r="B2832">
        <v>1251</v>
      </c>
      <c r="C2832">
        <v>0</v>
      </c>
      <c r="D2832">
        <v>938580</v>
      </c>
      <c r="E2832"/>
      <c r="F2832">
        <v>4.9000000000000004</v>
      </c>
      <c r="G2832"/>
      <c r="H2832">
        <v>23.3</v>
      </c>
      <c r="I2832"/>
    </row>
    <row r="2833" spans="1:9" ht="24" customHeight="1">
      <c r="A2833" s="6" t="s">
        <v>3984</v>
      </c>
      <c r="B2833">
        <v>4191</v>
      </c>
      <c r="C2833">
        <v>54</v>
      </c>
      <c r="D2833">
        <v>742238</v>
      </c>
      <c r="E2833">
        <v>621581</v>
      </c>
      <c r="F2833">
        <v>2.8</v>
      </c>
      <c r="G2833">
        <v>0</v>
      </c>
      <c r="H2833">
        <v>21</v>
      </c>
      <c r="I2833">
        <v>7.3</v>
      </c>
    </row>
    <row r="2834" spans="1:9" ht="24" customHeight="1">
      <c r="A2834" s="6" t="s">
        <v>3985</v>
      </c>
      <c r="B2834">
        <v>3811</v>
      </c>
      <c r="C2834">
        <v>64</v>
      </c>
      <c r="D2834">
        <v>656789</v>
      </c>
      <c r="E2834">
        <v>660631</v>
      </c>
      <c r="F2834">
        <v>20.6</v>
      </c>
      <c r="G2834">
        <v>41.3</v>
      </c>
      <c r="H2834">
        <v>18.7</v>
      </c>
      <c r="I2834">
        <v>15.9</v>
      </c>
    </row>
    <row r="2835" spans="1:9" ht="24" customHeight="1">
      <c r="A2835" s="6" t="s">
        <v>3986</v>
      </c>
      <c r="B2835">
        <v>1944</v>
      </c>
      <c r="C2835">
        <v>219</v>
      </c>
      <c r="D2835">
        <v>567667</v>
      </c>
      <c r="E2835">
        <v>532837</v>
      </c>
      <c r="F2835">
        <v>30.2</v>
      </c>
      <c r="G2835">
        <v>33.200000000000003</v>
      </c>
      <c r="H2835">
        <v>18.3</v>
      </c>
      <c r="I2835">
        <v>10.7</v>
      </c>
    </row>
    <row r="2836" spans="1:9" ht="24" customHeight="1">
      <c r="A2836" s="6" t="s">
        <v>3987</v>
      </c>
      <c r="B2836">
        <v>1378</v>
      </c>
      <c r="C2836">
        <v>96</v>
      </c>
      <c r="D2836">
        <v>630870</v>
      </c>
      <c r="E2836">
        <v>473543</v>
      </c>
      <c r="F2836">
        <v>9.8000000000000007</v>
      </c>
      <c r="G2836">
        <v>11.8</v>
      </c>
      <c r="H2836">
        <v>22.1</v>
      </c>
      <c r="I2836">
        <v>28.9</v>
      </c>
    </row>
    <row r="2837" spans="1:9" ht="24" customHeight="1">
      <c r="A2837" s="6" t="s">
        <v>3988</v>
      </c>
      <c r="B2837">
        <v>30279</v>
      </c>
      <c r="C2837">
        <v>10252</v>
      </c>
      <c r="D2837">
        <v>436521</v>
      </c>
      <c r="E2837">
        <v>336178</v>
      </c>
      <c r="F2837">
        <v>20</v>
      </c>
      <c r="G2837">
        <v>9.9</v>
      </c>
      <c r="H2837">
        <v>13.1</v>
      </c>
      <c r="I2837">
        <v>10.3</v>
      </c>
    </row>
    <row r="2838" spans="1:9" ht="24" customHeight="1">
      <c r="A2838" s="6" t="s">
        <v>758</v>
      </c>
      <c r="B2838">
        <v>2046</v>
      </c>
      <c r="C2838">
        <v>257</v>
      </c>
      <c r="D2838">
        <v>1104835</v>
      </c>
      <c r="E2838">
        <v>1092332</v>
      </c>
      <c r="F2838">
        <v>0.1</v>
      </c>
      <c r="G2838">
        <v>0</v>
      </c>
      <c r="H2838">
        <v>25.8</v>
      </c>
      <c r="I2838">
        <v>28.2</v>
      </c>
    </row>
    <row r="2839" spans="1:9" ht="24" customHeight="1">
      <c r="A2839" s="6" t="s">
        <v>759</v>
      </c>
      <c r="B2839">
        <v>8150</v>
      </c>
      <c r="C2839">
        <v>541</v>
      </c>
      <c r="D2839">
        <v>955911</v>
      </c>
      <c r="E2839">
        <v>829176</v>
      </c>
      <c r="F2839">
        <v>0.5</v>
      </c>
      <c r="G2839">
        <v>0</v>
      </c>
      <c r="H2839">
        <v>25</v>
      </c>
      <c r="I2839">
        <v>19.899999999999999</v>
      </c>
    </row>
    <row r="2840" spans="1:9" ht="24" customHeight="1">
      <c r="A2840" s="6" t="s">
        <v>760</v>
      </c>
      <c r="B2840">
        <v>6756</v>
      </c>
      <c r="C2840">
        <v>379</v>
      </c>
      <c r="D2840">
        <v>816268</v>
      </c>
      <c r="E2840">
        <v>754464</v>
      </c>
      <c r="F2840">
        <v>22</v>
      </c>
      <c r="G2840">
        <v>9.6999999999999993</v>
      </c>
      <c r="H2840">
        <v>21.1</v>
      </c>
      <c r="I2840">
        <v>26.5</v>
      </c>
    </row>
    <row r="2841" spans="1:9" ht="24" customHeight="1">
      <c r="A2841" s="6" t="s">
        <v>761</v>
      </c>
      <c r="B2841">
        <v>4205</v>
      </c>
      <c r="C2841">
        <v>395</v>
      </c>
      <c r="D2841">
        <v>685087</v>
      </c>
      <c r="E2841">
        <v>657137</v>
      </c>
      <c r="F2841">
        <v>22.7</v>
      </c>
      <c r="G2841">
        <v>7.1</v>
      </c>
      <c r="H2841">
        <v>20.5</v>
      </c>
      <c r="I2841">
        <v>28.2</v>
      </c>
    </row>
    <row r="2842" spans="1:9" ht="24" customHeight="1">
      <c r="A2842" s="6" t="s">
        <v>762</v>
      </c>
      <c r="B2842">
        <v>5302</v>
      </c>
      <c r="C2842">
        <v>466</v>
      </c>
      <c r="D2842">
        <v>952237</v>
      </c>
      <c r="E2842">
        <v>455503</v>
      </c>
      <c r="F2842">
        <v>6.8</v>
      </c>
      <c r="G2842">
        <v>14.3</v>
      </c>
      <c r="H2842">
        <v>23.7</v>
      </c>
      <c r="I2842">
        <v>17.100000000000001</v>
      </c>
    </row>
    <row r="2843" spans="1:9" ht="24" customHeight="1">
      <c r="A2843" s="6" t="s">
        <v>763</v>
      </c>
      <c r="B2843">
        <v>47060</v>
      </c>
      <c r="C2843">
        <v>11737</v>
      </c>
      <c r="D2843">
        <v>536402</v>
      </c>
      <c r="E2843">
        <v>448879</v>
      </c>
      <c r="F2843">
        <v>17.5</v>
      </c>
      <c r="G2843">
        <v>9.4</v>
      </c>
      <c r="H2843">
        <v>13.9</v>
      </c>
      <c r="I2843">
        <v>14.5</v>
      </c>
    </row>
    <row r="2844" spans="1:9" ht="24" customHeight="1">
      <c r="A2844" s="6" t="s">
        <v>3989</v>
      </c>
      <c r="B2844">
        <v>2463</v>
      </c>
      <c r="C2844">
        <v>26</v>
      </c>
      <c r="D2844">
        <v>594599</v>
      </c>
      <c r="E2844">
        <v>617500</v>
      </c>
      <c r="F2844">
        <v>4.5</v>
      </c>
      <c r="G2844">
        <v>0</v>
      </c>
      <c r="H2844">
        <v>20.399999999999999</v>
      </c>
      <c r="I2844">
        <v>35</v>
      </c>
    </row>
    <row r="2845" spans="1:9" ht="24" customHeight="1">
      <c r="A2845" s="6" t="s">
        <v>3990</v>
      </c>
      <c r="B2845">
        <v>4375</v>
      </c>
      <c r="C2845">
        <v>134</v>
      </c>
      <c r="D2845">
        <v>549908</v>
      </c>
      <c r="E2845">
        <v>381965</v>
      </c>
      <c r="F2845">
        <v>6.2</v>
      </c>
      <c r="G2845">
        <v>2.5</v>
      </c>
      <c r="H2845">
        <v>19</v>
      </c>
      <c r="I2845">
        <v>21.4</v>
      </c>
    </row>
    <row r="2846" spans="1:9" ht="24" customHeight="1">
      <c r="A2846" s="6" t="s">
        <v>3991</v>
      </c>
      <c r="B2846">
        <v>2847</v>
      </c>
      <c r="C2846">
        <v>269</v>
      </c>
      <c r="D2846">
        <v>429875</v>
      </c>
      <c r="E2846">
        <v>388854</v>
      </c>
      <c r="F2846">
        <v>17.100000000000001</v>
      </c>
      <c r="G2846">
        <v>9.5</v>
      </c>
      <c r="H2846">
        <v>15.4</v>
      </c>
      <c r="I2846">
        <v>18.899999999999999</v>
      </c>
    </row>
    <row r="2847" spans="1:9" ht="24" customHeight="1">
      <c r="A2847" s="6" t="s">
        <v>3992</v>
      </c>
      <c r="B2847">
        <v>2706</v>
      </c>
      <c r="C2847">
        <v>221</v>
      </c>
      <c r="D2847">
        <v>433366</v>
      </c>
      <c r="E2847">
        <v>338419</v>
      </c>
      <c r="F2847">
        <v>21.1</v>
      </c>
      <c r="G2847">
        <v>3.2</v>
      </c>
      <c r="H2847">
        <v>15.2</v>
      </c>
      <c r="I2847">
        <v>13.1</v>
      </c>
    </row>
    <row r="2848" spans="1:9" ht="24" customHeight="1">
      <c r="A2848" s="6" t="s">
        <v>3993</v>
      </c>
      <c r="B2848">
        <v>2038</v>
      </c>
      <c r="C2848">
        <v>484</v>
      </c>
      <c r="D2848">
        <v>473232</v>
      </c>
      <c r="E2848">
        <v>313102</v>
      </c>
      <c r="F2848">
        <v>17.3</v>
      </c>
      <c r="G2848">
        <v>18.100000000000001</v>
      </c>
      <c r="H2848">
        <v>16.899999999999999</v>
      </c>
      <c r="I2848">
        <v>14.8</v>
      </c>
    </row>
    <row r="2849" spans="1:9" ht="24" customHeight="1">
      <c r="A2849" s="6" t="s">
        <v>3994</v>
      </c>
      <c r="B2849">
        <v>37454</v>
      </c>
      <c r="C2849">
        <v>10460</v>
      </c>
      <c r="D2849">
        <v>373197</v>
      </c>
      <c r="E2849">
        <v>265749</v>
      </c>
      <c r="F2849">
        <v>14.9</v>
      </c>
      <c r="G2849">
        <v>5.9</v>
      </c>
      <c r="H2849">
        <v>11.1</v>
      </c>
      <c r="I2849">
        <v>9.6</v>
      </c>
    </row>
    <row r="2850" spans="1:9" ht="24" customHeight="1">
      <c r="A2850" s="6" t="s">
        <v>3995</v>
      </c>
      <c r="B2850">
        <v>1859</v>
      </c>
      <c r="C2850">
        <v>0</v>
      </c>
      <c r="D2850">
        <v>723412</v>
      </c>
      <c r="E2850"/>
      <c r="F2850">
        <v>0.7</v>
      </c>
      <c r="G2850"/>
      <c r="H2850">
        <v>28.9</v>
      </c>
      <c r="I2850"/>
    </row>
    <row r="2851" spans="1:9" ht="24" customHeight="1">
      <c r="A2851" s="6" t="s">
        <v>3996</v>
      </c>
      <c r="B2851">
        <v>3775</v>
      </c>
      <c r="C2851">
        <v>94</v>
      </c>
      <c r="D2851">
        <v>610470</v>
      </c>
      <c r="E2851">
        <v>465311</v>
      </c>
      <c r="F2851">
        <v>1.5</v>
      </c>
      <c r="G2851">
        <v>4.5</v>
      </c>
      <c r="H2851">
        <v>24.9</v>
      </c>
      <c r="I2851">
        <v>24.1</v>
      </c>
    </row>
    <row r="2852" spans="1:9" ht="24" customHeight="1">
      <c r="A2852" s="6" t="s">
        <v>3997</v>
      </c>
      <c r="B2852">
        <v>3229</v>
      </c>
      <c r="C2852">
        <v>239</v>
      </c>
      <c r="D2852">
        <v>492319</v>
      </c>
      <c r="E2852">
        <v>410249</v>
      </c>
      <c r="F2852">
        <v>22</v>
      </c>
      <c r="G2852">
        <v>16</v>
      </c>
      <c r="H2852">
        <v>20.8</v>
      </c>
      <c r="I2852">
        <v>16.7</v>
      </c>
    </row>
    <row r="2853" spans="1:9" ht="24" customHeight="1">
      <c r="A2853" s="6" t="s">
        <v>3998</v>
      </c>
      <c r="B2853">
        <v>2377</v>
      </c>
      <c r="C2853">
        <v>232</v>
      </c>
      <c r="D2853">
        <v>483060</v>
      </c>
      <c r="E2853">
        <v>522569</v>
      </c>
      <c r="F2853">
        <v>20.3</v>
      </c>
      <c r="G2853">
        <v>12.4</v>
      </c>
      <c r="H2853">
        <v>16.899999999999999</v>
      </c>
      <c r="I2853">
        <v>20.100000000000001</v>
      </c>
    </row>
    <row r="2854" spans="1:9" ht="24" customHeight="1">
      <c r="A2854" s="6" t="s">
        <v>3999</v>
      </c>
      <c r="B2854">
        <v>3583</v>
      </c>
      <c r="C2854">
        <v>223</v>
      </c>
      <c r="D2854">
        <v>435617</v>
      </c>
      <c r="E2854">
        <v>370282</v>
      </c>
      <c r="F2854">
        <v>11.6</v>
      </c>
      <c r="G2854">
        <v>7.5</v>
      </c>
      <c r="H2854">
        <v>21.4</v>
      </c>
      <c r="I2854">
        <v>18.5</v>
      </c>
    </row>
    <row r="2855" spans="1:9" ht="24" customHeight="1">
      <c r="A2855" s="6" t="s">
        <v>4000</v>
      </c>
      <c r="B2855">
        <v>31663</v>
      </c>
      <c r="C2855">
        <v>11150</v>
      </c>
      <c r="D2855">
        <v>393499</v>
      </c>
      <c r="E2855">
        <v>316662</v>
      </c>
      <c r="F2855">
        <v>17.600000000000001</v>
      </c>
      <c r="G2855">
        <v>13.7</v>
      </c>
      <c r="H2855">
        <v>12.3</v>
      </c>
      <c r="I2855">
        <v>11.3</v>
      </c>
    </row>
    <row r="2856" spans="1:9" ht="24" customHeight="1">
      <c r="A2856" s="6" t="s">
        <v>4001</v>
      </c>
      <c r="B2856">
        <v>1798</v>
      </c>
      <c r="C2856">
        <v>5</v>
      </c>
      <c r="D2856">
        <v>954204</v>
      </c>
      <c r="E2856">
        <v>470532</v>
      </c>
      <c r="F2856">
        <v>0.5</v>
      </c>
      <c r="G2856">
        <v>0</v>
      </c>
      <c r="H2856">
        <v>27.8</v>
      </c>
      <c r="I2856">
        <v>17</v>
      </c>
    </row>
    <row r="2857" spans="1:9" ht="24" customHeight="1">
      <c r="A2857" s="6" t="s">
        <v>4002</v>
      </c>
      <c r="B2857">
        <v>4031</v>
      </c>
      <c r="C2857">
        <v>188</v>
      </c>
      <c r="D2857">
        <v>720705</v>
      </c>
      <c r="E2857">
        <v>817891</v>
      </c>
      <c r="F2857">
        <v>3.2</v>
      </c>
      <c r="G2857">
        <v>0.9</v>
      </c>
      <c r="H2857">
        <v>21.9</v>
      </c>
      <c r="I2857">
        <v>22</v>
      </c>
    </row>
    <row r="2858" spans="1:9" ht="24" customHeight="1">
      <c r="A2858" s="6" t="s">
        <v>4003</v>
      </c>
      <c r="B2858">
        <v>2996</v>
      </c>
      <c r="C2858">
        <v>409</v>
      </c>
      <c r="D2858">
        <v>597925</v>
      </c>
      <c r="E2858">
        <v>524025</v>
      </c>
      <c r="F2858">
        <v>16.5</v>
      </c>
      <c r="G2858">
        <v>12</v>
      </c>
      <c r="H2858">
        <v>20.8</v>
      </c>
      <c r="I2858">
        <v>22.5</v>
      </c>
    </row>
    <row r="2859" spans="1:9" ht="24" customHeight="1">
      <c r="A2859" s="6" t="s">
        <v>4004</v>
      </c>
      <c r="B2859">
        <v>2499</v>
      </c>
      <c r="C2859">
        <v>68</v>
      </c>
      <c r="D2859">
        <v>588868</v>
      </c>
      <c r="E2859">
        <v>350881</v>
      </c>
      <c r="F2859">
        <v>13.8</v>
      </c>
      <c r="G2859">
        <v>8.6999999999999993</v>
      </c>
      <c r="H2859">
        <v>21.5</v>
      </c>
      <c r="I2859">
        <v>15.5</v>
      </c>
    </row>
    <row r="2860" spans="1:9" ht="24" customHeight="1">
      <c r="A2860" s="6" t="s">
        <v>4005</v>
      </c>
      <c r="B2860">
        <v>1214</v>
      </c>
      <c r="C2860">
        <v>41</v>
      </c>
      <c r="D2860">
        <v>683913</v>
      </c>
      <c r="E2860">
        <v>588346</v>
      </c>
      <c r="F2860">
        <v>10.4</v>
      </c>
      <c r="G2860">
        <v>1.8</v>
      </c>
      <c r="H2860">
        <v>23.6</v>
      </c>
      <c r="I2860">
        <v>24.1</v>
      </c>
    </row>
    <row r="2861" spans="1:9" ht="24" customHeight="1">
      <c r="A2861" s="6" t="s">
        <v>4006</v>
      </c>
      <c r="B2861">
        <v>27136</v>
      </c>
      <c r="C2861">
        <v>5402</v>
      </c>
      <c r="D2861">
        <v>480764</v>
      </c>
      <c r="E2861">
        <v>370441</v>
      </c>
      <c r="F2861">
        <v>19.600000000000001</v>
      </c>
      <c r="G2861">
        <v>8.5</v>
      </c>
      <c r="H2861">
        <v>12.5</v>
      </c>
      <c r="I2861">
        <v>12.3</v>
      </c>
    </row>
    <row r="2862" spans="1:9" ht="24" customHeight="1">
      <c r="A2862" s="6" t="s">
        <v>764</v>
      </c>
      <c r="B2862">
        <v>2736</v>
      </c>
      <c r="C2862">
        <v>27</v>
      </c>
      <c r="D2862">
        <v>1197769</v>
      </c>
      <c r="E2862">
        <v>1005333</v>
      </c>
      <c r="F2862">
        <v>0</v>
      </c>
      <c r="G2862">
        <v>0</v>
      </c>
      <c r="H2862">
        <v>29.5</v>
      </c>
      <c r="I2862">
        <v>4</v>
      </c>
    </row>
    <row r="2863" spans="1:9" ht="24" customHeight="1">
      <c r="A2863" s="6" t="s">
        <v>765</v>
      </c>
      <c r="B2863">
        <v>8173</v>
      </c>
      <c r="C2863">
        <v>174</v>
      </c>
      <c r="D2863">
        <v>1081210</v>
      </c>
      <c r="E2863">
        <v>1022277</v>
      </c>
      <c r="F2863">
        <v>1.1000000000000001</v>
      </c>
      <c r="G2863">
        <v>0</v>
      </c>
      <c r="H2863">
        <v>23.3</v>
      </c>
      <c r="I2863">
        <v>19.399999999999999</v>
      </c>
    </row>
    <row r="2864" spans="1:9" ht="24" customHeight="1">
      <c r="A2864" s="6" t="s">
        <v>766</v>
      </c>
      <c r="B2864">
        <v>3352</v>
      </c>
      <c r="C2864">
        <v>266</v>
      </c>
      <c r="D2864">
        <v>743542</v>
      </c>
      <c r="E2864">
        <v>712755</v>
      </c>
      <c r="F2864">
        <v>15.7</v>
      </c>
      <c r="G2864">
        <v>10.199999999999999</v>
      </c>
      <c r="H2864">
        <v>19.2</v>
      </c>
      <c r="I2864">
        <v>14.6</v>
      </c>
    </row>
    <row r="2865" spans="1:9" ht="24" customHeight="1">
      <c r="A2865" s="6" t="s">
        <v>767</v>
      </c>
      <c r="B2865">
        <v>4652</v>
      </c>
      <c r="C2865">
        <v>67</v>
      </c>
      <c r="D2865">
        <v>751584</v>
      </c>
      <c r="E2865">
        <v>492001</v>
      </c>
      <c r="F2865">
        <v>28.4</v>
      </c>
      <c r="G2865">
        <v>27</v>
      </c>
      <c r="H2865">
        <v>25</v>
      </c>
      <c r="I2865">
        <v>25</v>
      </c>
    </row>
    <row r="2866" spans="1:9" ht="24" customHeight="1">
      <c r="A2866" s="6" t="s">
        <v>768</v>
      </c>
      <c r="B2866">
        <v>1638</v>
      </c>
      <c r="C2866">
        <v>165</v>
      </c>
      <c r="D2866">
        <v>799576</v>
      </c>
      <c r="E2866">
        <v>738791</v>
      </c>
      <c r="F2866">
        <v>8.3000000000000007</v>
      </c>
      <c r="G2866">
        <v>0</v>
      </c>
      <c r="H2866">
        <v>20.8</v>
      </c>
      <c r="I2866">
        <v>34.4</v>
      </c>
    </row>
    <row r="2867" spans="1:9" ht="24" customHeight="1">
      <c r="A2867" s="6" t="s">
        <v>769</v>
      </c>
      <c r="B2867">
        <v>61567</v>
      </c>
      <c r="C2867">
        <v>11317</v>
      </c>
      <c r="D2867">
        <v>600000</v>
      </c>
      <c r="E2867">
        <v>470930</v>
      </c>
      <c r="F2867">
        <v>18.8</v>
      </c>
      <c r="G2867">
        <v>12.5</v>
      </c>
      <c r="H2867">
        <v>14.7</v>
      </c>
      <c r="I2867">
        <v>13.4</v>
      </c>
    </row>
    <row r="2868" spans="1:9" ht="24" customHeight="1">
      <c r="A2868" s="6" t="s">
        <v>4007</v>
      </c>
      <c r="B2868">
        <v>8542</v>
      </c>
      <c r="C2868">
        <v>428</v>
      </c>
      <c r="D2868">
        <v>660518</v>
      </c>
      <c r="E2868">
        <v>500051</v>
      </c>
      <c r="F2868">
        <v>6.9</v>
      </c>
      <c r="G2868">
        <v>6.7</v>
      </c>
      <c r="H2868">
        <v>22.8</v>
      </c>
      <c r="I2868">
        <v>17.399999999999999</v>
      </c>
    </row>
    <row r="2869" spans="1:9" ht="24" customHeight="1">
      <c r="A2869" s="6" t="s">
        <v>4008</v>
      </c>
      <c r="B2869">
        <v>14347</v>
      </c>
      <c r="C2869">
        <v>564</v>
      </c>
      <c r="D2869">
        <v>576903</v>
      </c>
      <c r="E2869">
        <v>470847</v>
      </c>
      <c r="F2869">
        <v>10</v>
      </c>
      <c r="G2869">
        <v>5</v>
      </c>
      <c r="H2869">
        <v>21.8</v>
      </c>
      <c r="I2869">
        <v>22.9</v>
      </c>
    </row>
    <row r="2870" spans="1:9" ht="24" customHeight="1">
      <c r="A2870" s="6" t="s">
        <v>4009</v>
      </c>
      <c r="B2870">
        <v>9303</v>
      </c>
      <c r="C2870">
        <v>826</v>
      </c>
      <c r="D2870">
        <v>499056</v>
      </c>
      <c r="E2870">
        <v>405746</v>
      </c>
      <c r="F2870">
        <v>19.399999999999999</v>
      </c>
      <c r="G2870">
        <v>12.2</v>
      </c>
      <c r="H2870">
        <v>18.600000000000001</v>
      </c>
      <c r="I2870">
        <v>17.100000000000001</v>
      </c>
    </row>
    <row r="2871" spans="1:9" ht="24" customHeight="1">
      <c r="A2871" s="6" t="s">
        <v>4010</v>
      </c>
      <c r="B2871">
        <v>7554</v>
      </c>
      <c r="C2871">
        <v>482</v>
      </c>
      <c r="D2871">
        <v>487645</v>
      </c>
      <c r="E2871">
        <v>303832</v>
      </c>
      <c r="F2871">
        <v>13.2</v>
      </c>
      <c r="G2871">
        <v>13.7</v>
      </c>
      <c r="H2871">
        <v>18.5</v>
      </c>
      <c r="I2871">
        <v>8.1</v>
      </c>
    </row>
    <row r="2872" spans="1:9" ht="24" customHeight="1">
      <c r="A2872" s="6" t="s">
        <v>4011</v>
      </c>
      <c r="B2872">
        <v>6315</v>
      </c>
      <c r="C2872">
        <v>654</v>
      </c>
      <c r="D2872">
        <v>421543</v>
      </c>
      <c r="E2872">
        <v>289207</v>
      </c>
      <c r="F2872">
        <v>10.7</v>
      </c>
      <c r="G2872">
        <v>8.1</v>
      </c>
      <c r="H2872">
        <v>20.2</v>
      </c>
      <c r="I2872">
        <v>13.7</v>
      </c>
    </row>
    <row r="2873" spans="1:9" ht="24" customHeight="1">
      <c r="A2873" s="6" t="s">
        <v>4012</v>
      </c>
      <c r="B2873">
        <v>108390</v>
      </c>
      <c r="C2873">
        <v>25715</v>
      </c>
      <c r="D2873">
        <v>370588</v>
      </c>
      <c r="E2873">
        <v>287531</v>
      </c>
      <c r="F2873">
        <v>14.8</v>
      </c>
      <c r="G2873">
        <v>7.1</v>
      </c>
      <c r="H2873">
        <v>11.2</v>
      </c>
      <c r="I2873">
        <v>9.1</v>
      </c>
    </row>
    <row r="2874" spans="1:9" ht="24" customHeight="1">
      <c r="A2874" s="6" t="s">
        <v>4013</v>
      </c>
      <c r="B2874">
        <v>5314</v>
      </c>
      <c r="C2874">
        <v>110</v>
      </c>
      <c r="D2874">
        <v>780835</v>
      </c>
      <c r="E2874">
        <v>688451</v>
      </c>
      <c r="F2874">
        <v>1.7</v>
      </c>
      <c r="G2874">
        <v>0</v>
      </c>
      <c r="H2874">
        <v>24.1</v>
      </c>
      <c r="I2874">
        <v>33.5</v>
      </c>
    </row>
    <row r="2875" spans="1:9" ht="24" customHeight="1">
      <c r="A2875" s="6" t="s">
        <v>4014</v>
      </c>
      <c r="B2875">
        <v>6681</v>
      </c>
      <c r="C2875">
        <v>501</v>
      </c>
      <c r="D2875">
        <v>638010</v>
      </c>
      <c r="E2875">
        <v>512519</v>
      </c>
      <c r="F2875">
        <v>2.1</v>
      </c>
      <c r="G2875">
        <v>0.2</v>
      </c>
      <c r="H2875">
        <v>21.3</v>
      </c>
      <c r="I2875">
        <v>19.7</v>
      </c>
    </row>
    <row r="2876" spans="1:9" ht="24" customHeight="1">
      <c r="A2876" s="6" t="s">
        <v>4015</v>
      </c>
      <c r="B2876">
        <v>5710</v>
      </c>
      <c r="C2876">
        <v>1606</v>
      </c>
      <c r="D2876">
        <v>514446</v>
      </c>
      <c r="E2876">
        <v>483911</v>
      </c>
      <c r="F2876">
        <v>18.8</v>
      </c>
      <c r="G2876">
        <v>10.6</v>
      </c>
      <c r="H2876">
        <v>19.600000000000001</v>
      </c>
      <c r="I2876">
        <v>23.3</v>
      </c>
    </row>
    <row r="2877" spans="1:9" ht="24" customHeight="1">
      <c r="A2877" s="6" t="s">
        <v>4016</v>
      </c>
      <c r="B2877">
        <v>4717</v>
      </c>
      <c r="C2877">
        <v>197</v>
      </c>
      <c r="D2877">
        <v>499402</v>
      </c>
      <c r="E2877">
        <v>355441</v>
      </c>
      <c r="F2877">
        <v>23.1</v>
      </c>
      <c r="G2877">
        <v>7.9</v>
      </c>
      <c r="H2877">
        <v>17</v>
      </c>
      <c r="I2877">
        <v>22.6</v>
      </c>
    </row>
    <row r="2878" spans="1:9" ht="24" customHeight="1">
      <c r="A2878" s="6" t="s">
        <v>4017</v>
      </c>
      <c r="B2878">
        <v>2613</v>
      </c>
      <c r="C2878">
        <v>599</v>
      </c>
      <c r="D2878">
        <v>581871</v>
      </c>
      <c r="E2878">
        <v>474751</v>
      </c>
      <c r="F2878">
        <v>21.9</v>
      </c>
      <c r="G2878">
        <v>9.8000000000000007</v>
      </c>
      <c r="H2878">
        <v>21.2</v>
      </c>
      <c r="I2878">
        <v>18.600000000000001</v>
      </c>
    </row>
    <row r="2879" spans="1:9" ht="24" customHeight="1">
      <c r="A2879" s="6" t="s">
        <v>4018</v>
      </c>
      <c r="B2879">
        <v>47956</v>
      </c>
      <c r="C2879">
        <v>13478</v>
      </c>
      <c r="D2879">
        <v>411591</v>
      </c>
      <c r="E2879">
        <v>358189</v>
      </c>
      <c r="F2879">
        <v>18.7</v>
      </c>
      <c r="G2879">
        <v>8</v>
      </c>
      <c r="H2879">
        <v>13</v>
      </c>
      <c r="I2879">
        <v>11.2</v>
      </c>
    </row>
    <row r="2880" spans="1:9" ht="24" customHeight="1">
      <c r="A2880" s="6" t="s">
        <v>4019</v>
      </c>
      <c r="B2880">
        <v>2861</v>
      </c>
      <c r="C2880">
        <v>0</v>
      </c>
      <c r="D2880">
        <v>898722</v>
      </c>
      <c r="E2880"/>
      <c r="F2880">
        <v>4.2</v>
      </c>
      <c r="G2880"/>
      <c r="H2880">
        <v>29.6</v>
      </c>
      <c r="I2880"/>
    </row>
    <row r="2881" spans="1:9" ht="24" customHeight="1">
      <c r="A2881" s="6" t="s">
        <v>4020</v>
      </c>
      <c r="B2881">
        <v>6244</v>
      </c>
      <c r="C2881">
        <v>137</v>
      </c>
      <c r="D2881">
        <v>762717</v>
      </c>
      <c r="E2881">
        <v>593649</v>
      </c>
      <c r="F2881">
        <v>3.1</v>
      </c>
      <c r="G2881">
        <v>0</v>
      </c>
      <c r="H2881">
        <v>23.3</v>
      </c>
      <c r="I2881">
        <v>33.9</v>
      </c>
    </row>
    <row r="2882" spans="1:9" ht="24" customHeight="1">
      <c r="A2882" s="6" t="s">
        <v>4021</v>
      </c>
      <c r="B2882">
        <v>4656</v>
      </c>
      <c r="C2882">
        <v>908</v>
      </c>
      <c r="D2882">
        <v>618508</v>
      </c>
      <c r="E2882">
        <v>496142</v>
      </c>
      <c r="F2882">
        <v>18.399999999999999</v>
      </c>
      <c r="G2882">
        <v>8.3000000000000007</v>
      </c>
      <c r="H2882">
        <v>19.899999999999999</v>
      </c>
      <c r="I2882">
        <v>14.7</v>
      </c>
    </row>
    <row r="2883" spans="1:9" ht="24" customHeight="1">
      <c r="A2883" s="6" t="s">
        <v>4022</v>
      </c>
      <c r="B2883">
        <v>2790</v>
      </c>
      <c r="C2883">
        <v>530</v>
      </c>
      <c r="D2883">
        <v>549809</v>
      </c>
      <c r="E2883">
        <v>417726</v>
      </c>
      <c r="F2883">
        <v>24.4</v>
      </c>
      <c r="G2883">
        <v>0</v>
      </c>
      <c r="H2883">
        <v>20.3</v>
      </c>
      <c r="I2883">
        <v>22.3</v>
      </c>
    </row>
    <row r="2884" spans="1:9" ht="24" customHeight="1">
      <c r="A2884" s="6" t="s">
        <v>4023</v>
      </c>
      <c r="B2884">
        <v>3689</v>
      </c>
      <c r="C2884">
        <v>594</v>
      </c>
      <c r="D2884">
        <v>754944</v>
      </c>
      <c r="E2884">
        <v>774113</v>
      </c>
      <c r="F2884">
        <v>16.5</v>
      </c>
      <c r="G2884">
        <v>11.5</v>
      </c>
      <c r="H2884">
        <v>19.8</v>
      </c>
      <c r="I2884">
        <v>19.399999999999999</v>
      </c>
    </row>
    <row r="2885" spans="1:9" ht="24" customHeight="1">
      <c r="A2885" s="6" t="s">
        <v>4024</v>
      </c>
      <c r="B2885">
        <v>44541</v>
      </c>
      <c r="C2885">
        <v>11419</v>
      </c>
      <c r="D2885">
        <v>440883</v>
      </c>
      <c r="E2885">
        <v>363923</v>
      </c>
      <c r="F2885">
        <v>20.100000000000001</v>
      </c>
      <c r="G2885">
        <v>9.9</v>
      </c>
      <c r="H2885">
        <v>13.7</v>
      </c>
      <c r="I2885">
        <v>9.9</v>
      </c>
    </row>
    <row r="2886" spans="1:9" ht="24" customHeight="1">
      <c r="A2886" s="6" t="s">
        <v>770</v>
      </c>
      <c r="B2886">
        <v>2583</v>
      </c>
      <c r="C2886">
        <v>58</v>
      </c>
      <c r="D2886">
        <v>1084478</v>
      </c>
      <c r="E2886">
        <v>1131011</v>
      </c>
      <c r="F2886">
        <v>1.2</v>
      </c>
      <c r="G2886">
        <v>0</v>
      </c>
      <c r="H2886">
        <v>29.3</v>
      </c>
      <c r="I2886">
        <v>29.4</v>
      </c>
    </row>
    <row r="2887" spans="1:9" ht="24" customHeight="1">
      <c r="A2887" s="6" t="s">
        <v>771</v>
      </c>
      <c r="B2887">
        <v>4819</v>
      </c>
      <c r="C2887">
        <v>495</v>
      </c>
      <c r="D2887">
        <v>876966</v>
      </c>
      <c r="E2887">
        <v>800309</v>
      </c>
      <c r="F2887">
        <v>1</v>
      </c>
      <c r="G2887">
        <v>0</v>
      </c>
      <c r="H2887">
        <v>25.2</v>
      </c>
      <c r="I2887">
        <v>21</v>
      </c>
    </row>
    <row r="2888" spans="1:9" ht="24" customHeight="1">
      <c r="A2888" s="6" t="s">
        <v>772</v>
      </c>
      <c r="B2888">
        <v>3594</v>
      </c>
      <c r="C2888">
        <v>726</v>
      </c>
      <c r="D2888">
        <v>719956</v>
      </c>
      <c r="E2888">
        <v>635524</v>
      </c>
      <c r="F2888">
        <v>18</v>
      </c>
      <c r="G2888">
        <v>18.5</v>
      </c>
      <c r="H2888">
        <v>19.899999999999999</v>
      </c>
      <c r="I2888">
        <v>12.7</v>
      </c>
    </row>
    <row r="2889" spans="1:9" ht="24" customHeight="1">
      <c r="A2889" s="6" t="s">
        <v>773</v>
      </c>
      <c r="B2889">
        <v>1214</v>
      </c>
      <c r="C2889">
        <v>8</v>
      </c>
      <c r="D2889">
        <v>580651</v>
      </c>
      <c r="E2889">
        <v>334883</v>
      </c>
      <c r="F2889">
        <v>7.7</v>
      </c>
      <c r="G2889">
        <v>20.9</v>
      </c>
      <c r="H2889">
        <v>19</v>
      </c>
      <c r="I2889">
        <v>18.100000000000001</v>
      </c>
    </row>
    <row r="2890" spans="1:9" ht="24" customHeight="1">
      <c r="A2890" s="6" t="s">
        <v>774</v>
      </c>
      <c r="B2890">
        <v>3173</v>
      </c>
      <c r="C2890">
        <v>374</v>
      </c>
      <c r="D2890">
        <v>827692</v>
      </c>
      <c r="E2890">
        <v>608592</v>
      </c>
      <c r="F2890">
        <v>14.3</v>
      </c>
      <c r="G2890">
        <v>4</v>
      </c>
      <c r="H2890">
        <v>22.8</v>
      </c>
      <c r="I2890">
        <v>19.3</v>
      </c>
    </row>
    <row r="2891" spans="1:9" ht="24" customHeight="1">
      <c r="A2891" s="6" t="s">
        <v>775</v>
      </c>
      <c r="B2891">
        <v>32134</v>
      </c>
      <c r="C2891">
        <v>11706</v>
      </c>
      <c r="D2891">
        <v>542919</v>
      </c>
      <c r="E2891">
        <v>425202</v>
      </c>
      <c r="F2891">
        <v>15.8</v>
      </c>
      <c r="G2891">
        <v>9.9</v>
      </c>
      <c r="H2891">
        <v>16.100000000000001</v>
      </c>
      <c r="I2891">
        <v>15.9</v>
      </c>
    </row>
    <row r="2892" spans="1:9" ht="24" customHeight="1">
      <c r="A2892" s="6" t="s">
        <v>4025</v>
      </c>
      <c r="B2892">
        <v>1883</v>
      </c>
      <c r="C2892">
        <v>94</v>
      </c>
      <c r="D2892">
        <v>506407</v>
      </c>
      <c r="E2892">
        <v>564772</v>
      </c>
      <c r="F2892">
        <v>3.4</v>
      </c>
      <c r="G2892">
        <v>0</v>
      </c>
      <c r="H2892">
        <v>17.399999999999999</v>
      </c>
      <c r="I2892">
        <v>20.9</v>
      </c>
    </row>
    <row r="2893" spans="1:9" ht="24" customHeight="1">
      <c r="A2893" s="6" t="s">
        <v>4026</v>
      </c>
      <c r="B2893">
        <v>2180</v>
      </c>
      <c r="C2893">
        <v>261</v>
      </c>
      <c r="D2893">
        <v>486134</v>
      </c>
      <c r="E2893">
        <v>394280</v>
      </c>
      <c r="F2893">
        <v>5.2</v>
      </c>
      <c r="G2893">
        <v>1.3</v>
      </c>
      <c r="H2893">
        <v>17.600000000000001</v>
      </c>
      <c r="I2893">
        <v>14.2</v>
      </c>
    </row>
    <row r="2894" spans="1:9" ht="24" customHeight="1">
      <c r="A2894" s="6" t="s">
        <v>4027</v>
      </c>
      <c r="B2894">
        <v>2480</v>
      </c>
      <c r="C2894">
        <v>593</v>
      </c>
      <c r="D2894">
        <v>423632</v>
      </c>
      <c r="E2894">
        <v>308779</v>
      </c>
      <c r="F2894">
        <v>12.4</v>
      </c>
      <c r="G2894">
        <v>5</v>
      </c>
      <c r="H2894">
        <v>14.3</v>
      </c>
      <c r="I2894">
        <v>18.600000000000001</v>
      </c>
    </row>
    <row r="2895" spans="1:9" ht="24" customHeight="1">
      <c r="A2895" s="6" t="s">
        <v>4028</v>
      </c>
      <c r="B2895">
        <v>942</v>
      </c>
      <c r="C2895">
        <v>116</v>
      </c>
      <c r="D2895">
        <v>399452</v>
      </c>
      <c r="E2895">
        <v>350271</v>
      </c>
      <c r="F2895">
        <v>8.5</v>
      </c>
      <c r="G2895">
        <v>3.9</v>
      </c>
      <c r="H2895">
        <v>16.899999999999999</v>
      </c>
      <c r="I2895">
        <v>12.5</v>
      </c>
    </row>
    <row r="2896" spans="1:9" ht="24" customHeight="1">
      <c r="A2896" s="6" t="s">
        <v>4029</v>
      </c>
      <c r="B2896">
        <v>1486</v>
      </c>
      <c r="C2896">
        <v>150</v>
      </c>
      <c r="D2896">
        <v>535215</v>
      </c>
      <c r="E2896">
        <v>395755</v>
      </c>
      <c r="F2896">
        <v>9.8000000000000007</v>
      </c>
      <c r="G2896">
        <v>7.1</v>
      </c>
      <c r="H2896">
        <v>15.8</v>
      </c>
      <c r="I2896">
        <v>18.600000000000001</v>
      </c>
    </row>
    <row r="2897" spans="1:9" ht="24" customHeight="1">
      <c r="A2897" s="6" t="s">
        <v>4030</v>
      </c>
      <c r="B2897">
        <v>17485</v>
      </c>
      <c r="C2897">
        <v>8097</v>
      </c>
      <c r="D2897">
        <v>340095</v>
      </c>
      <c r="E2897">
        <v>257411</v>
      </c>
      <c r="F2897">
        <v>13.6</v>
      </c>
      <c r="G2897">
        <v>5.0999999999999996</v>
      </c>
      <c r="H2897">
        <v>9.6999999999999993</v>
      </c>
      <c r="I2897">
        <v>9.9</v>
      </c>
    </row>
    <row r="2898" spans="1:9" ht="24" customHeight="1">
      <c r="A2898" s="6" t="s">
        <v>4031</v>
      </c>
      <c r="B2898">
        <v>1450</v>
      </c>
      <c r="C2898">
        <v>46</v>
      </c>
      <c r="D2898">
        <v>814924</v>
      </c>
      <c r="E2898">
        <v>724466</v>
      </c>
      <c r="F2898">
        <v>0.2</v>
      </c>
      <c r="G2898">
        <v>0</v>
      </c>
      <c r="H2898">
        <v>24</v>
      </c>
      <c r="I2898">
        <v>31.8</v>
      </c>
    </row>
    <row r="2899" spans="1:9" ht="24" customHeight="1">
      <c r="A2899" s="6" t="s">
        <v>4032</v>
      </c>
      <c r="B2899">
        <v>3847</v>
      </c>
      <c r="C2899">
        <v>117</v>
      </c>
      <c r="D2899">
        <v>636975</v>
      </c>
      <c r="E2899">
        <v>584914</v>
      </c>
      <c r="F2899">
        <v>0.9</v>
      </c>
      <c r="G2899">
        <v>0.1</v>
      </c>
      <c r="H2899">
        <v>20.3</v>
      </c>
      <c r="I2899">
        <v>15.9</v>
      </c>
    </row>
    <row r="2900" spans="1:9" ht="24" customHeight="1">
      <c r="A2900" s="6" t="s">
        <v>4033</v>
      </c>
      <c r="B2900">
        <v>2977</v>
      </c>
      <c r="C2900">
        <v>342</v>
      </c>
      <c r="D2900">
        <v>553285</v>
      </c>
      <c r="E2900">
        <v>477686</v>
      </c>
      <c r="F2900">
        <v>20.3</v>
      </c>
      <c r="G2900">
        <v>7.2</v>
      </c>
      <c r="H2900">
        <v>17.7</v>
      </c>
      <c r="I2900">
        <v>17</v>
      </c>
    </row>
    <row r="2901" spans="1:9" ht="24" customHeight="1">
      <c r="A2901" s="6" t="s">
        <v>4034</v>
      </c>
      <c r="B2901">
        <v>940</v>
      </c>
      <c r="C2901">
        <v>208</v>
      </c>
      <c r="D2901">
        <v>461710</v>
      </c>
      <c r="E2901">
        <v>376545</v>
      </c>
      <c r="F2901">
        <v>15.5</v>
      </c>
      <c r="G2901">
        <v>3.9</v>
      </c>
      <c r="H2901">
        <v>17.399999999999999</v>
      </c>
      <c r="I2901">
        <v>19.7</v>
      </c>
    </row>
    <row r="2902" spans="1:9" ht="24" customHeight="1">
      <c r="A2902" s="6" t="s">
        <v>4035</v>
      </c>
      <c r="B2902">
        <v>921</v>
      </c>
      <c r="C2902">
        <v>241</v>
      </c>
      <c r="D2902">
        <v>554269</v>
      </c>
      <c r="E2902">
        <v>495890</v>
      </c>
      <c r="F2902">
        <v>10.3</v>
      </c>
      <c r="G2902">
        <v>6.7</v>
      </c>
      <c r="H2902">
        <v>18.899999999999999</v>
      </c>
      <c r="I2902">
        <v>21.8</v>
      </c>
    </row>
    <row r="2903" spans="1:9" ht="24" customHeight="1">
      <c r="A2903" s="6" t="s">
        <v>4036</v>
      </c>
      <c r="B2903">
        <v>16428</v>
      </c>
      <c r="C2903">
        <v>7829</v>
      </c>
      <c r="D2903">
        <v>427675</v>
      </c>
      <c r="E2903">
        <v>324276</v>
      </c>
      <c r="F2903">
        <v>16.5</v>
      </c>
      <c r="G2903">
        <v>9.4</v>
      </c>
      <c r="H2903">
        <v>11.2</v>
      </c>
      <c r="I2903">
        <v>11.5</v>
      </c>
    </row>
    <row r="2904" spans="1:9" ht="24" customHeight="1">
      <c r="A2904" s="6" t="s">
        <v>4037</v>
      </c>
      <c r="B2904">
        <v>1359</v>
      </c>
      <c r="C2904">
        <v>0</v>
      </c>
      <c r="D2904">
        <v>835852</v>
      </c>
      <c r="E2904"/>
      <c r="F2904">
        <v>0.9</v>
      </c>
      <c r="G2904"/>
      <c r="H2904">
        <v>27.8</v>
      </c>
      <c r="I2904"/>
    </row>
    <row r="2905" spans="1:9" ht="24" customHeight="1">
      <c r="A2905" s="6" t="s">
        <v>4038</v>
      </c>
      <c r="B2905">
        <v>2529</v>
      </c>
      <c r="C2905">
        <v>64</v>
      </c>
      <c r="D2905">
        <v>752047</v>
      </c>
      <c r="E2905">
        <v>648958</v>
      </c>
      <c r="F2905">
        <v>1</v>
      </c>
      <c r="G2905">
        <v>0.3</v>
      </c>
      <c r="H2905">
        <v>24.1</v>
      </c>
      <c r="I2905">
        <v>33.299999999999997</v>
      </c>
    </row>
    <row r="2906" spans="1:9" ht="24" customHeight="1">
      <c r="A2906" s="6" t="s">
        <v>4039</v>
      </c>
      <c r="B2906">
        <v>2219</v>
      </c>
      <c r="C2906">
        <v>329</v>
      </c>
      <c r="D2906">
        <v>622001</v>
      </c>
      <c r="E2906">
        <v>607996</v>
      </c>
      <c r="F2906">
        <v>25.3</v>
      </c>
      <c r="G2906">
        <v>26.3</v>
      </c>
      <c r="H2906">
        <v>18.899999999999999</v>
      </c>
      <c r="I2906">
        <v>21.1</v>
      </c>
    </row>
    <row r="2907" spans="1:9" ht="24" customHeight="1">
      <c r="A2907" s="6" t="s">
        <v>4040</v>
      </c>
      <c r="B2907">
        <v>1084</v>
      </c>
      <c r="C2907">
        <v>244</v>
      </c>
      <c r="D2907">
        <v>501338</v>
      </c>
      <c r="E2907">
        <v>494627</v>
      </c>
      <c r="F2907">
        <v>20.6</v>
      </c>
      <c r="G2907">
        <v>26.9</v>
      </c>
      <c r="H2907">
        <v>18.8</v>
      </c>
      <c r="I2907">
        <v>25.4</v>
      </c>
    </row>
    <row r="2908" spans="1:9" ht="24" customHeight="1">
      <c r="A2908" s="6" t="s">
        <v>4041</v>
      </c>
      <c r="B2908">
        <v>1987</v>
      </c>
      <c r="C2908">
        <v>425</v>
      </c>
      <c r="D2908">
        <v>767636</v>
      </c>
      <c r="E2908">
        <v>545780</v>
      </c>
      <c r="F2908">
        <v>9.4</v>
      </c>
      <c r="G2908">
        <v>10.5</v>
      </c>
      <c r="H2908">
        <v>22.7</v>
      </c>
      <c r="I2908">
        <v>31.7</v>
      </c>
    </row>
    <row r="2909" spans="1:9" ht="24" customHeight="1">
      <c r="A2909" s="6" t="s">
        <v>4042</v>
      </c>
      <c r="B2909">
        <v>16429</v>
      </c>
      <c r="C2909">
        <v>7387</v>
      </c>
      <c r="D2909">
        <v>455628</v>
      </c>
      <c r="E2909">
        <v>385375</v>
      </c>
      <c r="F2909">
        <v>15.8</v>
      </c>
      <c r="G2909">
        <v>10.1</v>
      </c>
      <c r="H2909">
        <v>12.9</v>
      </c>
      <c r="I2909">
        <v>11.3</v>
      </c>
    </row>
    <row r="2910" spans="1:9" ht="24" customHeight="1">
      <c r="A2910" s="6" t="s">
        <v>776</v>
      </c>
      <c r="B2910">
        <v>4804</v>
      </c>
      <c r="C2910">
        <v>220</v>
      </c>
      <c r="D2910">
        <v>1094794</v>
      </c>
      <c r="E2910">
        <v>914302</v>
      </c>
      <c r="F2910">
        <v>4</v>
      </c>
      <c r="G2910">
        <v>2.5</v>
      </c>
      <c r="H2910">
        <v>27.5</v>
      </c>
      <c r="I2910">
        <v>20</v>
      </c>
    </row>
    <row r="2911" spans="1:9" ht="24" customHeight="1">
      <c r="A2911" s="6" t="s">
        <v>777</v>
      </c>
      <c r="B2911">
        <v>10119</v>
      </c>
      <c r="C2911">
        <v>348</v>
      </c>
      <c r="D2911">
        <v>917006</v>
      </c>
      <c r="E2911">
        <v>940266</v>
      </c>
      <c r="F2911">
        <v>3.3</v>
      </c>
      <c r="G2911">
        <v>0</v>
      </c>
      <c r="H2911">
        <v>25.7</v>
      </c>
      <c r="I2911">
        <v>21.6</v>
      </c>
    </row>
    <row r="2912" spans="1:9" ht="24" customHeight="1">
      <c r="A2912" s="6" t="s">
        <v>778</v>
      </c>
      <c r="B2912">
        <v>15414</v>
      </c>
      <c r="C2912">
        <v>1360</v>
      </c>
      <c r="D2912">
        <v>729967</v>
      </c>
      <c r="E2912">
        <v>642543</v>
      </c>
      <c r="F2912">
        <v>18</v>
      </c>
      <c r="G2912">
        <v>11</v>
      </c>
      <c r="H2912">
        <v>22.2</v>
      </c>
      <c r="I2912">
        <v>23.4</v>
      </c>
    </row>
    <row r="2913" spans="1:9" ht="24" customHeight="1">
      <c r="A2913" s="6" t="s">
        <v>779</v>
      </c>
      <c r="B2913">
        <v>4277</v>
      </c>
      <c r="C2913">
        <v>477</v>
      </c>
      <c r="D2913">
        <v>623411</v>
      </c>
      <c r="E2913">
        <v>486127</v>
      </c>
      <c r="F2913">
        <v>20.6</v>
      </c>
      <c r="G2913">
        <v>17.8</v>
      </c>
      <c r="H2913">
        <v>21.4</v>
      </c>
      <c r="I2913">
        <v>28.9</v>
      </c>
    </row>
    <row r="2914" spans="1:9" ht="24" customHeight="1">
      <c r="A2914" s="6" t="s">
        <v>780</v>
      </c>
      <c r="B2914">
        <v>4659</v>
      </c>
      <c r="C2914">
        <v>1101</v>
      </c>
      <c r="D2914">
        <v>766232</v>
      </c>
      <c r="E2914">
        <v>450323</v>
      </c>
      <c r="F2914">
        <v>9.5</v>
      </c>
      <c r="G2914">
        <v>5.6</v>
      </c>
      <c r="H2914">
        <v>22.5</v>
      </c>
      <c r="I2914">
        <v>15.2</v>
      </c>
    </row>
    <row r="2915" spans="1:9" ht="24" customHeight="1">
      <c r="A2915" s="6" t="s">
        <v>781</v>
      </c>
      <c r="B2915">
        <v>75771</v>
      </c>
      <c r="C2915">
        <v>20771</v>
      </c>
      <c r="D2915">
        <v>542448</v>
      </c>
      <c r="E2915">
        <v>409547</v>
      </c>
      <c r="F2915">
        <v>16.3</v>
      </c>
      <c r="G2915">
        <v>9.1</v>
      </c>
      <c r="H2915">
        <v>14.9</v>
      </c>
      <c r="I2915">
        <v>17.100000000000001</v>
      </c>
    </row>
    <row r="2916" spans="1:9" ht="24" customHeight="1">
      <c r="A2916" s="6" t="s">
        <v>4043</v>
      </c>
      <c r="B2916">
        <v>1906</v>
      </c>
      <c r="C2916">
        <v>101</v>
      </c>
      <c r="D2916">
        <v>546348</v>
      </c>
      <c r="E2916">
        <v>324424</v>
      </c>
      <c r="F2916">
        <v>3.1</v>
      </c>
      <c r="G2916">
        <v>15.3</v>
      </c>
      <c r="H2916">
        <v>24.6</v>
      </c>
      <c r="I2916">
        <v>18.5</v>
      </c>
    </row>
    <row r="2917" spans="1:9" ht="24" customHeight="1">
      <c r="A2917" s="6" t="s">
        <v>4044</v>
      </c>
      <c r="B2917">
        <v>2765</v>
      </c>
      <c r="C2917">
        <v>339</v>
      </c>
      <c r="D2917">
        <v>468962</v>
      </c>
      <c r="E2917">
        <v>435839</v>
      </c>
      <c r="F2917">
        <v>6.8</v>
      </c>
      <c r="G2917">
        <v>2.9</v>
      </c>
      <c r="H2917">
        <v>20.5</v>
      </c>
      <c r="I2917">
        <v>19.600000000000001</v>
      </c>
    </row>
    <row r="2918" spans="1:9" ht="24" customHeight="1">
      <c r="A2918" s="6" t="s">
        <v>4045</v>
      </c>
      <c r="B2918">
        <v>2150</v>
      </c>
      <c r="C2918">
        <v>672</v>
      </c>
      <c r="D2918">
        <v>402125</v>
      </c>
      <c r="E2918">
        <v>324183</v>
      </c>
      <c r="F2918">
        <v>15.1</v>
      </c>
      <c r="G2918">
        <v>8.1</v>
      </c>
      <c r="H2918">
        <v>17.2</v>
      </c>
      <c r="I2918">
        <v>17.600000000000001</v>
      </c>
    </row>
    <row r="2919" spans="1:9" ht="24" customHeight="1">
      <c r="A2919" s="6" t="s">
        <v>4046</v>
      </c>
      <c r="B2919">
        <v>1992</v>
      </c>
      <c r="C2919">
        <v>140</v>
      </c>
      <c r="D2919">
        <v>401688</v>
      </c>
      <c r="E2919">
        <v>277222</v>
      </c>
      <c r="F2919">
        <v>14.8</v>
      </c>
      <c r="G2919">
        <v>12.8</v>
      </c>
      <c r="H2919">
        <v>21.5</v>
      </c>
      <c r="I2919">
        <v>17.399999999999999</v>
      </c>
    </row>
    <row r="2920" spans="1:9" ht="24" customHeight="1">
      <c r="A2920" s="6" t="s">
        <v>4047</v>
      </c>
      <c r="B2920">
        <v>1512</v>
      </c>
      <c r="C2920">
        <v>593</v>
      </c>
      <c r="D2920">
        <v>431397</v>
      </c>
      <c r="E2920">
        <v>343204</v>
      </c>
      <c r="F2920">
        <v>12.3</v>
      </c>
      <c r="G2920">
        <v>13.4</v>
      </c>
      <c r="H2920">
        <v>22.2</v>
      </c>
      <c r="I2920">
        <v>15.1</v>
      </c>
    </row>
    <row r="2921" spans="1:9" ht="24" customHeight="1">
      <c r="A2921" s="6" t="s">
        <v>4048</v>
      </c>
      <c r="B2921">
        <v>15749</v>
      </c>
      <c r="C2921">
        <v>12477</v>
      </c>
      <c r="D2921">
        <v>305386</v>
      </c>
      <c r="E2921">
        <v>231115</v>
      </c>
      <c r="F2921">
        <v>12.5</v>
      </c>
      <c r="G2921">
        <v>4</v>
      </c>
      <c r="H2921">
        <v>12.9</v>
      </c>
      <c r="I2921">
        <v>12.4</v>
      </c>
    </row>
    <row r="2922" spans="1:9" ht="24" customHeight="1">
      <c r="A2922" s="6" t="s">
        <v>4049</v>
      </c>
      <c r="B2922">
        <v>1380</v>
      </c>
      <c r="C2922">
        <v>0</v>
      </c>
      <c r="D2922">
        <v>705476</v>
      </c>
      <c r="E2922"/>
      <c r="F2922">
        <v>5.4</v>
      </c>
      <c r="G2922"/>
      <c r="H2922">
        <v>24.5</v>
      </c>
      <c r="I2922"/>
    </row>
    <row r="2923" spans="1:9" ht="24" customHeight="1">
      <c r="A2923" s="6" t="s">
        <v>4050</v>
      </c>
      <c r="B2923">
        <v>3457</v>
      </c>
      <c r="C2923">
        <v>213</v>
      </c>
      <c r="D2923">
        <v>557266</v>
      </c>
      <c r="E2923">
        <v>426746</v>
      </c>
      <c r="F2923">
        <v>5.7</v>
      </c>
      <c r="G2923">
        <v>6.8</v>
      </c>
      <c r="H2923">
        <v>21.7</v>
      </c>
      <c r="I2923">
        <v>18.600000000000001</v>
      </c>
    </row>
    <row r="2924" spans="1:9" ht="24" customHeight="1">
      <c r="A2924" s="6" t="s">
        <v>4051</v>
      </c>
      <c r="B2924">
        <v>2630</v>
      </c>
      <c r="C2924">
        <v>455</v>
      </c>
      <c r="D2924">
        <v>494500</v>
      </c>
      <c r="E2924">
        <v>353698</v>
      </c>
      <c r="F2924">
        <v>21.9</v>
      </c>
      <c r="G2924">
        <v>20</v>
      </c>
      <c r="H2924">
        <v>18.600000000000001</v>
      </c>
      <c r="I2924">
        <v>23</v>
      </c>
    </row>
    <row r="2925" spans="1:9" ht="24" customHeight="1">
      <c r="A2925" s="6" t="s">
        <v>4052</v>
      </c>
      <c r="B2925">
        <v>2521</v>
      </c>
      <c r="C2925">
        <v>622</v>
      </c>
      <c r="D2925">
        <v>410576</v>
      </c>
      <c r="E2925">
        <v>331811</v>
      </c>
      <c r="F2925">
        <v>15.3</v>
      </c>
      <c r="G2925">
        <v>15.1</v>
      </c>
      <c r="H2925">
        <v>18.2</v>
      </c>
      <c r="I2925">
        <v>18.3</v>
      </c>
    </row>
    <row r="2926" spans="1:9" ht="24" customHeight="1">
      <c r="A2926" s="6" t="s">
        <v>4053</v>
      </c>
      <c r="B2926">
        <v>5864</v>
      </c>
      <c r="C2926">
        <v>1024</v>
      </c>
      <c r="D2926">
        <v>632316</v>
      </c>
      <c r="E2926">
        <v>643069</v>
      </c>
      <c r="F2926">
        <v>5.5</v>
      </c>
      <c r="G2926">
        <v>16.8</v>
      </c>
      <c r="H2926">
        <v>18.2</v>
      </c>
      <c r="I2926">
        <v>15.6</v>
      </c>
    </row>
    <row r="2927" spans="1:9" ht="24" customHeight="1">
      <c r="A2927" s="6" t="s">
        <v>4054</v>
      </c>
      <c r="B2927">
        <v>28623</v>
      </c>
      <c r="C2927">
        <v>15107</v>
      </c>
      <c r="D2927">
        <v>356055</v>
      </c>
      <c r="E2927">
        <v>301302</v>
      </c>
      <c r="F2927">
        <v>12.9</v>
      </c>
      <c r="G2927">
        <v>8.8000000000000007</v>
      </c>
      <c r="H2927">
        <v>11.7</v>
      </c>
      <c r="I2927">
        <v>11.8</v>
      </c>
    </row>
    <row r="2928" spans="1:9" ht="24" customHeight="1">
      <c r="A2928" s="6" t="s">
        <v>4055</v>
      </c>
      <c r="B2928">
        <v>1275</v>
      </c>
      <c r="C2928">
        <v>33</v>
      </c>
      <c r="D2928">
        <v>819675</v>
      </c>
      <c r="E2928">
        <v>803225</v>
      </c>
      <c r="F2928">
        <v>0</v>
      </c>
      <c r="G2928">
        <v>0</v>
      </c>
      <c r="H2928">
        <v>28.2</v>
      </c>
      <c r="I2928">
        <v>38</v>
      </c>
    </row>
    <row r="2929" spans="1:9" ht="24" customHeight="1">
      <c r="A2929" s="6" t="s">
        <v>4056</v>
      </c>
      <c r="B2929">
        <v>3354</v>
      </c>
      <c r="C2929">
        <v>177</v>
      </c>
      <c r="D2929">
        <v>642234</v>
      </c>
      <c r="E2929">
        <v>693816</v>
      </c>
      <c r="F2929">
        <v>0.7</v>
      </c>
      <c r="G2929">
        <v>2.4</v>
      </c>
      <c r="H2929">
        <v>25.8</v>
      </c>
      <c r="I2929">
        <v>20.5</v>
      </c>
    </row>
    <row r="2930" spans="1:9" ht="24" customHeight="1">
      <c r="A2930" s="6" t="s">
        <v>4057</v>
      </c>
      <c r="B2930">
        <v>3247</v>
      </c>
      <c r="C2930">
        <v>219</v>
      </c>
      <c r="D2930">
        <v>522947</v>
      </c>
      <c r="E2930">
        <v>503118</v>
      </c>
      <c r="F2930">
        <v>18.899999999999999</v>
      </c>
      <c r="G2930">
        <v>15.3</v>
      </c>
      <c r="H2930">
        <v>22</v>
      </c>
      <c r="I2930">
        <v>19.899999999999999</v>
      </c>
    </row>
    <row r="2931" spans="1:9" ht="24" customHeight="1">
      <c r="A2931" s="6" t="s">
        <v>4058</v>
      </c>
      <c r="B2931">
        <v>3815</v>
      </c>
      <c r="C2931">
        <v>938</v>
      </c>
      <c r="D2931">
        <v>466623</v>
      </c>
      <c r="E2931">
        <v>445948</v>
      </c>
      <c r="F2931">
        <v>20.399999999999999</v>
      </c>
      <c r="G2931">
        <v>18.399999999999999</v>
      </c>
      <c r="H2931">
        <v>21.1</v>
      </c>
      <c r="I2931">
        <v>18.8</v>
      </c>
    </row>
    <row r="2932" spans="1:9" ht="24" customHeight="1">
      <c r="A2932" s="6" t="s">
        <v>4059</v>
      </c>
      <c r="B2932">
        <v>2109</v>
      </c>
      <c r="C2932">
        <v>237</v>
      </c>
      <c r="D2932">
        <v>587531</v>
      </c>
      <c r="E2932">
        <v>525920</v>
      </c>
      <c r="F2932">
        <v>13.4</v>
      </c>
      <c r="G2932">
        <v>13.8</v>
      </c>
      <c r="H2932">
        <v>23.5</v>
      </c>
      <c r="I2932">
        <v>10.4</v>
      </c>
    </row>
    <row r="2933" spans="1:9" ht="24" customHeight="1">
      <c r="A2933" s="6" t="s">
        <v>4060</v>
      </c>
      <c r="B2933">
        <v>27412</v>
      </c>
      <c r="C2933">
        <v>11326</v>
      </c>
      <c r="D2933">
        <v>402062</v>
      </c>
      <c r="E2933">
        <v>348828</v>
      </c>
      <c r="F2933">
        <v>14</v>
      </c>
      <c r="G2933">
        <v>9.6</v>
      </c>
      <c r="H2933">
        <v>14.8</v>
      </c>
      <c r="I2933">
        <v>16</v>
      </c>
    </row>
    <row r="2934" spans="1:9" ht="24" customHeight="1">
      <c r="A2934" s="6" t="s">
        <v>782</v>
      </c>
      <c r="B2934">
        <v>6839</v>
      </c>
      <c r="C2934">
        <v>70</v>
      </c>
      <c r="D2934">
        <v>1041952</v>
      </c>
      <c r="E2934">
        <v>1205042</v>
      </c>
      <c r="F2934">
        <v>0.9</v>
      </c>
      <c r="G2934">
        <v>0</v>
      </c>
      <c r="H2934">
        <v>27.4</v>
      </c>
      <c r="I2934">
        <v>21.9</v>
      </c>
    </row>
    <row r="2935" spans="1:9" ht="24" customHeight="1">
      <c r="A2935" s="6" t="s">
        <v>783</v>
      </c>
      <c r="B2935">
        <v>11604</v>
      </c>
      <c r="C2935">
        <v>474</v>
      </c>
      <c r="D2935">
        <v>969557</v>
      </c>
      <c r="E2935">
        <v>861317</v>
      </c>
      <c r="F2935">
        <v>0.9</v>
      </c>
      <c r="G2935">
        <v>0</v>
      </c>
      <c r="H2935">
        <v>24</v>
      </c>
      <c r="I2935">
        <v>26.4</v>
      </c>
    </row>
    <row r="2936" spans="1:9" ht="24" customHeight="1">
      <c r="A2936" s="6" t="s">
        <v>784</v>
      </c>
      <c r="B2936">
        <v>11545</v>
      </c>
      <c r="C2936">
        <v>973</v>
      </c>
      <c r="D2936">
        <v>753186</v>
      </c>
      <c r="E2936">
        <v>589555</v>
      </c>
      <c r="F2936">
        <v>19.2</v>
      </c>
      <c r="G2936">
        <v>11.4</v>
      </c>
      <c r="H2936">
        <v>22.4</v>
      </c>
      <c r="I2936">
        <v>20.399999999999999</v>
      </c>
    </row>
    <row r="2937" spans="1:9" ht="24" customHeight="1">
      <c r="A2937" s="6" t="s">
        <v>785</v>
      </c>
      <c r="B2937">
        <v>3622</v>
      </c>
      <c r="C2937">
        <v>429</v>
      </c>
      <c r="D2937">
        <v>679000</v>
      </c>
      <c r="E2937">
        <v>497424</v>
      </c>
      <c r="F2937">
        <v>24.4</v>
      </c>
      <c r="G2937">
        <v>17.2</v>
      </c>
      <c r="H2937">
        <v>21.8</v>
      </c>
      <c r="I2937">
        <v>21.7</v>
      </c>
    </row>
    <row r="2938" spans="1:9" ht="24" customHeight="1">
      <c r="A2938" s="6" t="s">
        <v>786</v>
      </c>
      <c r="B2938">
        <v>5292</v>
      </c>
      <c r="C2938">
        <v>393</v>
      </c>
      <c r="D2938">
        <v>941504</v>
      </c>
      <c r="E2938">
        <v>677698</v>
      </c>
      <c r="F2938">
        <v>11.6</v>
      </c>
      <c r="G2938">
        <v>9.3000000000000007</v>
      </c>
      <c r="H2938">
        <v>23.6</v>
      </c>
      <c r="I2938">
        <v>19.3</v>
      </c>
    </row>
    <row r="2939" spans="1:9" ht="24" customHeight="1">
      <c r="A2939" s="6" t="s">
        <v>787</v>
      </c>
      <c r="B2939">
        <v>88671</v>
      </c>
      <c r="C2939">
        <v>29118</v>
      </c>
      <c r="D2939">
        <v>564123</v>
      </c>
      <c r="E2939">
        <v>438041</v>
      </c>
      <c r="F2939">
        <v>17.899999999999999</v>
      </c>
      <c r="G2939">
        <v>10.7</v>
      </c>
      <c r="H2939">
        <v>15.4</v>
      </c>
      <c r="I2939">
        <v>16.600000000000001</v>
      </c>
    </row>
    <row r="2940" spans="1:9" ht="24" customHeight="1">
      <c r="A2940" s="6" t="s">
        <v>4061</v>
      </c>
      <c r="B2940">
        <v>4928</v>
      </c>
      <c r="C2940">
        <v>85</v>
      </c>
      <c r="D2940">
        <v>623520</v>
      </c>
      <c r="E2940">
        <v>332470</v>
      </c>
      <c r="F2940">
        <v>5.5</v>
      </c>
      <c r="G2940">
        <v>10.3</v>
      </c>
      <c r="H2940">
        <v>23.1</v>
      </c>
      <c r="I2940">
        <v>22</v>
      </c>
    </row>
    <row r="2941" spans="1:9" ht="24" customHeight="1">
      <c r="A2941" s="6" t="s">
        <v>4062</v>
      </c>
      <c r="B2941">
        <v>5863</v>
      </c>
      <c r="C2941">
        <v>287</v>
      </c>
      <c r="D2941">
        <v>570143</v>
      </c>
      <c r="E2941">
        <v>367390</v>
      </c>
      <c r="F2941">
        <v>1.8</v>
      </c>
      <c r="G2941">
        <v>2.5</v>
      </c>
      <c r="H2941">
        <v>21.3</v>
      </c>
      <c r="I2941">
        <v>12.3</v>
      </c>
    </row>
    <row r="2942" spans="1:9" ht="24" customHeight="1">
      <c r="A2942" s="6" t="s">
        <v>4063</v>
      </c>
      <c r="B2942">
        <v>6369</v>
      </c>
      <c r="C2942">
        <v>665</v>
      </c>
      <c r="D2942">
        <v>469235</v>
      </c>
      <c r="E2942">
        <v>351577</v>
      </c>
      <c r="F2942">
        <v>17.2</v>
      </c>
      <c r="G2942">
        <v>12.1</v>
      </c>
      <c r="H2942">
        <v>16.3</v>
      </c>
      <c r="I2942">
        <v>21.5</v>
      </c>
    </row>
    <row r="2943" spans="1:9" ht="24" customHeight="1">
      <c r="A2943" s="6" t="s">
        <v>4064</v>
      </c>
      <c r="B2943">
        <v>4945</v>
      </c>
      <c r="C2943">
        <v>574</v>
      </c>
      <c r="D2943">
        <v>424835</v>
      </c>
      <c r="E2943">
        <v>324899</v>
      </c>
      <c r="F2943">
        <v>12.9</v>
      </c>
      <c r="G2943">
        <v>13.5</v>
      </c>
      <c r="H2943">
        <v>15.5</v>
      </c>
      <c r="I2943">
        <v>12.6</v>
      </c>
    </row>
    <row r="2944" spans="1:9" ht="24" customHeight="1">
      <c r="A2944" s="6" t="s">
        <v>4065</v>
      </c>
      <c r="B2944">
        <v>4149</v>
      </c>
      <c r="C2944">
        <v>180</v>
      </c>
      <c r="D2944">
        <v>468072</v>
      </c>
      <c r="E2944">
        <v>254468</v>
      </c>
      <c r="F2944">
        <v>7.9</v>
      </c>
      <c r="G2944">
        <v>6.3</v>
      </c>
      <c r="H2944">
        <v>21.1</v>
      </c>
      <c r="I2944">
        <v>16.899999999999999</v>
      </c>
    </row>
    <row r="2945" spans="1:9" ht="24" customHeight="1">
      <c r="A2945" s="6" t="s">
        <v>4066</v>
      </c>
      <c r="B2945">
        <v>46043</v>
      </c>
      <c r="C2945">
        <v>24795</v>
      </c>
      <c r="D2945">
        <v>367065</v>
      </c>
      <c r="E2945">
        <v>256947</v>
      </c>
      <c r="F2945">
        <v>13.3</v>
      </c>
      <c r="G2945">
        <v>5.0999999999999996</v>
      </c>
      <c r="H2945">
        <v>11.3</v>
      </c>
      <c r="I2945">
        <v>11.4</v>
      </c>
    </row>
    <row r="2946" spans="1:9" ht="24" customHeight="1">
      <c r="A2946" s="6" t="s">
        <v>4067</v>
      </c>
      <c r="B2946">
        <v>1392</v>
      </c>
      <c r="C2946">
        <v>131</v>
      </c>
      <c r="D2946">
        <v>736552</v>
      </c>
      <c r="E2946">
        <v>811562</v>
      </c>
      <c r="F2946">
        <v>1.4</v>
      </c>
      <c r="G2946">
        <v>0</v>
      </c>
      <c r="H2946">
        <v>25</v>
      </c>
      <c r="I2946">
        <v>29.5</v>
      </c>
    </row>
    <row r="2947" spans="1:9" ht="24" customHeight="1">
      <c r="A2947" s="6" t="s">
        <v>4068</v>
      </c>
      <c r="B2947">
        <v>3769</v>
      </c>
      <c r="C2947">
        <v>221</v>
      </c>
      <c r="D2947">
        <v>584797</v>
      </c>
      <c r="E2947">
        <v>404867</v>
      </c>
      <c r="F2947">
        <v>1.3</v>
      </c>
      <c r="G2947">
        <v>1.6</v>
      </c>
      <c r="H2947">
        <v>22.3</v>
      </c>
      <c r="I2947">
        <v>17.100000000000001</v>
      </c>
    </row>
    <row r="2948" spans="1:9" ht="24" customHeight="1">
      <c r="A2948" s="6" t="s">
        <v>4069</v>
      </c>
      <c r="B2948">
        <v>4299</v>
      </c>
      <c r="C2948">
        <v>581</v>
      </c>
      <c r="D2948">
        <v>497291</v>
      </c>
      <c r="E2948">
        <v>444930</v>
      </c>
      <c r="F2948">
        <v>12.1</v>
      </c>
      <c r="G2948">
        <v>7.6</v>
      </c>
      <c r="H2948">
        <v>18.399999999999999</v>
      </c>
      <c r="I2948">
        <v>21.5</v>
      </c>
    </row>
    <row r="2949" spans="1:9" ht="24" customHeight="1">
      <c r="A2949" s="6" t="s">
        <v>4070</v>
      </c>
      <c r="B2949">
        <v>1847</v>
      </c>
      <c r="C2949">
        <v>341</v>
      </c>
      <c r="D2949">
        <v>420121</v>
      </c>
      <c r="E2949">
        <v>352285</v>
      </c>
      <c r="F2949">
        <v>15</v>
      </c>
      <c r="G2949">
        <v>5</v>
      </c>
      <c r="H2949">
        <v>18</v>
      </c>
      <c r="I2949">
        <v>19.2</v>
      </c>
    </row>
    <row r="2950" spans="1:9" ht="24" customHeight="1">
      <c r="A2950" s="6" t="s">
        <v>4071</v>
      </c>
      <c r="B2950">
        <v>2340</v>
      </c>
      <c r="C2950">
        <v>364</v>
      </c>
      <c r="D2950">
        <v>582963</v>
      </c>
      <c r="E2950">
        <v>440264</v>
      </c>
      <c r="F2950">
        <v>11.3</v>
      </c>
      <c r="G2950">
        <v>9.9</v>
      </c>
      <c r="H2950">
        <v>20.8</v>
      </c>
      <c r="I2950">
        <v>25.2</v>
      </c>
    </row>
    <row r="2951" spans="1:9" ht="24" customHeight="1">
      <c r="A2951" s="6" t="s">
        <v>4072</v>
      </c>
      <c r="B2951">
        <v>25308</v>
      </c>
      <c r="C2951">
        <v>12926</v>
      </c>
      <c r="D2951">
        <v>419756</v>
      </c>
      <c r="E2951">
        <v>301189</v>
      </c>
      <c r="F2951">
        <v>13</v>
      </c>
      <c r="G2951">
        <v>8.8000000000000007</v>
      </c>
      <c r="H2951">
        <v>10.9</v>
      </c>
      <c r="I2951">
        <v>11.6</v>
      </c>
    </row>
    <row r="2952" spans="1:9" ht="24" customHeight="1">
      <c r="A2952" s="6" t="s">
        <v>4073</v>
      </c>
      <c r="B2952">
        <v>1745</v>
      </c>
      <c r="C2952">
        <v>27</v>
      </c>
      <c r="D2952">
        <v>838059</v>
      </c>
      <c r="E2952">
        <v>690504</v>
      </c>
      <c r="F2952">
        <v>0.1</v>
      </c>
      <c r="G2952">
        <v>0</v>
      </c>
      <c r="H2952">
        <v>30</v>
      </c>
      <c r="I2952">
        <v>41</v>
      </c>
    </row>
    <row r="2953" spans="1:9" ht="24" customHeight="1">
      <c r="A2953" s="6" t="s">
        <v>4074</v>
      </c>
      <c r="B2953">
        <v>4844</v>
      </c>
      <c r="C2953">
        <v>80</v>
      </c>
      <c r="D2953">
        <v>672721</v>
      </c>
      <c r="E2953">
        <v>599129</v>
      </c>
      <c r="F2953">
        <v>0.8</v>
      </c>
      <c r="G2953">
        <v>2.4</v>
      </c>
      <c r="H2953">
        <v>23.8</v>
      </c>
      <c r="I2953">
        <v>27.6</v>
      </c>
    </row>
    <row r="2954" spans="1:9" ht="24" customHeight="1">
      <c r="A2954" s="6" t="s">
        <v>4075</v>
      </c>
      <c r="B2954">
        <v>3638</v>
      </c>
      <c r="C2954">
        <v>293</v>
      </c>
      <c r="D2954">
        <v>605283</v>
      </c>
      <c r="E2954">
        <v>498794</v>
      </c>
      <c r="F2954">
        <v>25.6</v>
      </c>
      <c r="G2954">
        <v>15.1</v>
      </c>
      <c r="H2954">
        <v>23</v>
      </c>
      <c r="I2954">
        <v>26.9</v>
      </c>
    </row>
    <row r="2955" spans="1:9" ht="24" customHeight="1">
      <c r="A2955" s="6" t="s">
        <v>4076</v>
      </c>
      <c r="B2955">
        <v>1669</v>
      </c>
      <c r="C2955">
        <v>378</v>
      </c>
      <c r="D2955">
        <v>564555</v>
      </c>
      <c r="E2955">
        <v>427231</v>
      </c>
      <c r="F2955">
        <v>15.8</v>
      </c>
      <c r="G2955">
        <v>20.5</v>
      </c>
      <c r="H2955">
        <v>20.3</v>
      </c>
      <c r="I2955">
        <v>19.100000000000001</v>
      </c>
    </row>
    <row r="2956" spans="1:9" ht="24" customHeight="1">
      <c r="A2956" s="6" t="s">
        <v>4077</v>
      </c>
      <c r="B2956">
        <v>1280</v>
      </c>
      <c r="C2956">
        <v>274</v>
      </c>
      <c r="D2956">
        <v>594381</v>
      </c>
      <c r="E2956">
        <v>430489</v>
      </c>
      <c r="F2956">
        <v>16.100000000000001</v>
      </c>
      <c r="G2956">
        <v>6.9</v>
      </c>
      <c r="H2956">
        <v>22.3</v>
      </c>
      <c r="I2956">
        <v>23.4</v>
      </c>
    </row>
    <row r="2957" spans="1:9" ht="24" customHeight="1">
      <c r="A2957" s="6" t="s">
        <v>4078</v>
      </c>
      <c r="B2957">
        <v>25884</v>
      </c>
      <c r="C2957">
        <v>14163</v>
      </c>
      <c r="D2957">
        <v>447343</v>
      </c>
      <c r="E2957">
        <v>318310</v>
      </c>
      <c r="F2957">
        <v>16.5</v>
      </c>
      <c r="G2957">
        <v>8.4</v>
      </c>
      <c r="H2957">
        <v>14.8</v>
      </c>
      <c r="I2957">
        <v>14.4</v>
      </c>
    </row>
    <row r="2958" spans="1:9" ht="24" customHeight="1">
      <c r="A2958" s="6" t="s">
        <v>788</v>
      </c>
      <c r="B2958">
        <v>2400</v>
      </c>
      <c r="C2958">
        <v>692</v>
      </c>
      <c r="D2958">
        <v>1035943</v>
      </c>
      <c r="E2958">
        <v>1099816</v>
      </c>
      <c r="F2958">
        <v>7.3</v>
      </c>
      <c r="G2958">
        <v>8.9</v>
      </c>
      <c r="H2958">
        <v>28.9</v>
      </c>
      <c r="I2958">
        <v>23.3</v>
      </c>
    </row>
    <row r="2959" spans="1:9" ht="24" customHeight="1">
      <c r="A2959" s="6" t="s">
        <v>789</v>
      </c>
      <c r="B2959">
        <v>5023</v>
      </c>
      <c r="C2959">
        <v>236</v>
      </c>
      <c r="D2959">
        <v>909941</v>
      </c>
      <c r="E2959">
        <v>796903</v>
      </c>
      <c r="F2959">
        <v>4.4000000000000004</v>
      </c>
      <c r="G2959">
        <v>0.8</v>
      </c>
      <c r="H2959">
        <v>24.9</v>
      </c>
      <c r="I2959">
        <v>21.2</v>
      </c>
    </row>
    <row r="2960" spans="1:9" ht="24" customHeight="1">
      <c r="A2960" s="6" t="s">
        <v>790</v>
      </c>
      <c r="B2960">
        <v>4955</v>
      </c>
      <c r="C2960">
        <v>312</v>
      </c>
      <c r="D2960">
        <v>778614</v>
      </c>
      <c r="E2960">
        <v>722791</v>
      </c>
      <c r="F2960">
        <v>19.100000000000001</v>
      </c>
      <c r="G2960">
        <v>11.2</v>
      </c>
      <c r="H2960">
        <v>21.9</v>
      </c>
      <c r="I2960">
        <v>21.4</v>
      </c>
    </row>
    <row r="2961" spans="1:9" ht="24" customHeight="1">
      <c r="A2961" s="6" t="s">
        <v>791</v>
      </c>
      <c r="B2961">
        <v>985</v>
      </c>
      <c r="C2961">
        <v>35</v>
      </c>
      <c r="D2961">
        <v>675324</v>
      </c>
      <c r="E2961">
        <v>466276</v>
      </c>
      <c r="F2961">
        <v>23.3</v>
      </c>
      <c r="G2961">
        <v>7</v>
      </c>
      <c r="H2961">
        <v>24</v>
      </c>
      <c r="I2961">
        <v>10</v>
      </c>
    </row>
    <row r="2962" spans="1:9" ht="24" customHeight="1">
      <c r="A2962" s="6" t="s">
        <v>792</v>
      </c>
      <c r="B2962">
        <v>2597</v>
      </c>
      <c r="C2962">
        <v>202</v>
      </c>
      <c r="D2962">
        <v>780368</v>
      </c>
      <c r="E2962">
        <v>739799</v>
      </c>
      <c r="F2962">
        <v>14.6</v>
      </c>
      <c r="G2962">
        <v>3</v>
      </c>
      <c r="H2962">
        <v>25.3</v>
      </c>
      <c r="I2962">
        <v>28.5</v>
      </c>
    </row>
    <row r="2963" spans="1:9" ht="24" customHeight="1">
      <c r="A2963" s="6" t="s">
        <v>793</v>
      </c>
      <c r="B2963">
        <v>27137</v>
      </c>
      <c r="C2963">
        <v>9190</v>
      </c>
      <c r="D2963">
        <v>578745</v>
      </c>
      <c r="E2963">
        <v>435218</v>
      </c>
      <c r="F2963">
        <v>18.100000000000001</v>
      </c>
      <c r="G2963">
        <v>10.6</v>
      </c>
      <c r="H2963">
        <v>16</v>
      </c>
      <c r="I2963">
        <v>17</v>
      </c>
    </row>
    <row r="2964" spans="1:9" ht="24" customHeight="1">
      <c r="A2964" s="6" t="s">
        <v>4079</v>
      </c>
      <c r="B2964">
        <v>751</v>
      </c>
      <c r="C2964">
        <v>41</v>
      </c>
      <c r="D2964">
        <v>582637</v>
      </c>
      <c r="E2964">
        <v>350319</v>
      </c>
      <c r="F2964">
        <v>1.9</v>
      </c>
      <c r="G2964">
        <v>0</v>
      </c>
      <c r="H2964">
        <v>22.4</v>
      </c>
      <c r="I2964">
        <v>23.7</v>
      </c>
    </row>
    <row r="2965" spans="1:9" ht="24" customHeight="1">
      <c r="A2965" s="6" t="s">
        <v>4080</v>
      </c>
      <c r="B2965">
        <v>868</v>
      </c>
      <c r="C2965">
        <v>111</v>
      </c>
      <c r="D2965">
        <v>479706</v>
      </c>
      <c r="E2965">
        <v>460700</v>
      </c>
      <c r="F2965">
        <v>4.0999999999999996</v>
      </c>
      <c r="G2965">
        <v>15.8</v>
      </c>
      <c r="H2965">
        <v>20.3</v>
      </c>
      <c r="I2965">
        <v>15.1</v>
      </c>
    </row>
    <row r="2966" spans="1:9" ht="24" customHeight="1">
      <c r="A2966" s="6" t="s">
        <v>4081</v>
      </c>
      <c r="B2966">
        <v>676</v>
      </c>
      <c r="C2966">
        <v>175</v>
      </c>
      <c r="D2966">
        <v>425857</v>
      </c>
      <c r="E2966">
        <v>340574</v>
      </c>
      <c r="F2966">
        <v>12.8</v>
      </c>
      <c r="G2966">
        <v>7.6</v>
      </c>
      <c r="H2966">
        <v>17.2</v>
      </c>
      <c r="I2966">
        <v>16.2</v>
      </c>
    </row>
    <row r="2967" spans="1:9" ht="24" customHeight="1">
      <c r="A2967" s="6" t="s">
        <v>4082</v>
      </c>
      <c r="B2967">
        <v>415</v>
      </c>
      <c r="C2967">
        <v>111</v>
      </c>
      <c r="D2967">
        <v>384350</v>
      </c>
      <c r="E2967">
        <v>287389</v>
      </c>
      <c r="F2967">
        <v>5.4</v>
      </c>
      <c r="G2967">
        <v>17</v>
      </c>
      <c r="H2967">
        <v>21.7</v>
      </c>
      <c r="I2967">
        <v>15.2</v>
      </c>
    </row>
    <row r="2968" spans="1:9" ht="24" customHeight="1">
      <c r="A2968" s="6" t="s">
        <v>4083</v>
      </c>
      <c r="B2968">
        <v>311</v>
      </c>
      <c r="C2968">
        <v>71</v>
      </c>
      <c r="D2968">
        <v>477383</v>
      </c>
      <c r="E2968">
        <v>316466</v>
      </c>
      <c r="F2968">
        <v>11.5</v>
      </c>
      <c r="G2968">
        <v>8</v>
      </c>
      <c r="H2968">
        <v>22.7</v>
      </c>
      <c r="I2968">
        <v>14</v>
      </c>
    </row>
    <row r="2969" spans="1:9" ht="24" customHeight="1">
      <c r="A2969" s="6" t="s">
        <v>4084</v>
      </c>
      <c r="B2969">
        <v>5610</v>
      </c>
      <c r="C2969">
        <v>3739</v>
      </c>
      <c r="D2969">
        <v>367536</v>
      </c>
      <c r="E2969">
        <v>242989</v>
      </c>
      <c r="F2969">
        <v>11.5</v>
      </c>
      <c r="G2969">
        <v>5.2</v>
      </c>
      <c r="H2969">
        <v>12.1</v>
      </c>
      <c r="I2969">
        <v>11.9</v>
      </c>
    </row>
    <row r="2970" spans="1:9" ht="24" customHeight="1">
      <c r="A2970" s="6" t="s">
        <v>4085</v>
      </c>
      <c r="B2970">
        <v>716</v>
      </c>
      <c r="C2970">
        <v>63</v>
      </c>
      <c r="D2970">
        <v>746152</v>
      </c>
      <c r="E2970">
        <v>470612</v>
      </c>
      <c r="F2970">
        <v>0.8</v>
      </c>
      <c r="G2970">
        <v>23</v>
      </c>
      <c r="H2970">
        <v>21.9</v>
      </c>
      <c r="I2970">
        <v>18.3</v>
      </c>
    </row>
    <row r="2971" spans="1:9" ht="24" customHeight="1">
      <c r="A2971" s="6" t="s">
        <v>4086</v>
      </c>
      <c r="B2971">
        <v>1555</v>
      </c>
      <c r="C2971">
        <v>121</v>
      </c>
      <c r="D2971">
        <v>653910</v>
      </c>
      <c r="E2971">
        <v>424404</v>
      </c>
      <c r="F2971">
        <v>1</v>
      </c>
      <c r="G2971">
        <v>8.9</v>
      </c>
      <c r="H2971">
        <v>23</v>
      </c>
      <c r="I2971">
        <v>16.2</v>
      </c>
    </row>
    <row r="2972" spans="1:9" ht="24" customHeight="1">
      <c r="A2972" s="6" t="s">
        <v>4087</v>
      </c>
      <c r="B2972">
        <v>1287</v>
      </c>
      <c r="C2972">
        <v>70</v>
      </c>
      <c r="D2972">
        <v>494048</v>
      </c>
      <c r="E2972">
        <v>460689</v>
      </c>
      <c r="F2972">
        <v>22.2</v>
      </c>
      <c r="G2972">
        <v>7.8</v>
      </c>
      <c r="H2972">
        <v>20.6</v>
      </c>
      <c r="I2972">
        <v>20.9</v>
      </c>
    </row>
    <row r="2973" spans="1:9" ht="24" customHeight="1">
      <c r="A2973" s="6" t="s">
        <v>4088</v>
      </c>
      <c r="B2973">
        <v>769</v>
      </c>
      <c r="C2973">
        <v>106</v>
      </c>
      <c r="D2973">
        <v>459458</v>
      </c>
      <c r="E2973">
        <v>351109</v>
      </c>
      <c r="F2973">
        <v>22</v>
      </c>
      <c r="G2973">
        <v>11.5</v>
      </c>
      <c r="H2973">
        <v>20.6</v>
      </c>
      <c r="I2973">
        <v>16.7</v>
      </c>
    </row>
    <row r="2974" spans="1:9" ht="24" customHeight="1">
      <c r="A2974" s="6" t="s">
        <v>4089</v>
      </c>
      <c r="B2974">
        <v>780</v>
      </c>
      <c r="C2974">
        <v>138</v>
      </c>
      <c r="D2974">
        <v>561222</v>
      </c>
      <c r="E2974">
        <v>399983</v>
      </c>
      <c r="F2974">
        <v>7.1</v>
      </c>
      <c r="G2974">
        <v>6.1</v>
      </c>
      <c r="H2974">
        <v>18.5</v>
      </c>
      <c r="I2974">
        <v>15.4</v>
      </c>
    </row>
    <row r="2975" spans="1:9" ht="24" customHeight="1">
      <c r="A2975" s="6" t="s">
        <v>4090</v>
      </c>
      <c r="B2975">
        <v>11005</v>
      </c>
      <c r="C2975">
        <v>4077</v>
      </c>
      <c r="D2975">
        <v>378170</v>
      </c>
      <c r="E2975">
        <v>299709</v>
      </c>
      <c r="F2975">
        <v>12.9</v>
      </c>
      <c r="G2975">
        <v>7.6</v>
      </c>
      <c r="H2975">
        <v>13.6</v>
      </c>
      <c r="I2975">
        <v>13.3</v>
      </c>
    </row>
    <row r="2976" spans="1:9" ht="24" customHeight="1">
      <c r="A2976" s="6" t="s">
        <v>4091</v>
      </c>
      <c r="B2976">
        <v>1045</v>
      </c>
      <c r="C2976">
        <v>0</v>
      </c>
      <c r="D2976">
        <v>1006768</v>
      </c>
      <c r="E2976"/>
      <c r="F2976">
        <v>0.3</v>
      </c>
      <c r="G2976"/>
      <c r="H2976">
        <v>27.4</v>
      </c>
      <c r="I2976"/>
    </row>
    <row r="2977" spans="1:9" ht="24" customHeight="1">
      <c r="A2977" s="6" t="s">
        <v>4092</v>
      </c>
      <c r="B2977">
        <v>2779</v>
      </c>
      <c r="C2977">
        <v>436</v>
      </c>
      <c r="D2977">
        <v>704351</v>
      </c>
      <c r="E2977">
        <v>450909</v>
      </c>
      <c r="F2977">
        <v>1.6</v>
      </c>
      <c r="G2977">
        <v>0</v>
      </c>
      <c r="H2977">
        <v>28.7</v>
      </c>
      <c r="I2977">
        <v>12</v>
      </c>
    </row>
    <row r="2978" spans="1:9" ht="24" customHeight="1">
      <c r="A2978" s="6" t="s">
        <v>4093</v>
      </c>
      <c r="B2978">
        <v>1420</v>
      </c>
      <c r="C2978">
        <v>179</v>
      </c>
      <c r="D2978">
        <v>573686</v>
      </c>
      <c r="E2978">
        <v>563495</v>
      </c>
      <c r="F2978">
        <v>20.3</v>
      </c>
      <c r="G2978">
        <v>18.3</v>
      </c>
      <c r="H2978">
        <v>24</v>
      </c>
      <c r="I2978">
        <v>16.5</v>
      </c>
    </row>
    <row r="2979" spans="1:9" ht="24" customHeight="1">
      <c r="A2979" s="6" t="s">
        <v>4094</v>
      </c>
      <c r="B2979">
        <v>590</v>
      </c>
      <c r="C2979">
        <v>104</v>
      </c>
      <c r="D2979">
        <v>503967</v>
      </c>
      <c r="E2979">
        <v>420574</v>
      </c>
      <c r="F2979">
        <v>25.2</v>
      </c>
      <c r="G2979">
        <v>24.6</v>
      </c>
      <c r="H2979">
        <v>18</v>
      </c>
      <c r="I2979">
        <v>16.5</v>
      </c>
    </row>
    <row r="2980" spans="1:9" ht="24" customHeight="1">
      <c r="A2980" s="6" t="s">
        <v>4095</v>
      </c>
      <c r="B2980">
        <v>653</v>
      </c>
      <c r="C2980">
        <v>40</v>
      </c>
      <c r="D2980">
        <v>1163462</v>
      </c>
      <c r="E2980">
        <v>471389</v>
      </c>
      <c r="F2980">
        <v>2.5</v>
      </c>
      <c r="G2980">
        <v>13.2</v>
      </c>
      <c r="H2980">
        <v>31.3</v>
      </c>
      <c r="I2980">
        <v>25.7</v>
      </c>
    </row>
    <row r="2981" spans="1:9" ht="24" customHeight="1">
      <c r="A2981" s="6" t="s">
        <v>4096</v>
      </c>
      <c r="B2981">
        <v>14034</v>
      </c>
      <c r="C2981">
        <v>4758</v>
      </c>
      <c r="D2981">
        <v>442141</v>
      </c>
      <c r="E2981">
        <v>350717</v>
      </c>
      <c r="F2981">
        <v>17</v>
      </c>
      <c r="G2981">
        <v>8.9</v>
      </c>
      <c r="H2981">
        <v>14.6</v>
      </c>
      <c r="I2981">
        <v>17.600000000000001</v>
      </c>
    </row>
    <row r="2982" spans="1:9" ht="24" customHeight="1">
      <c r="A2982" s="6" t="s">
        <v>794</v>
      </c>
      <c r="B2982">
        <v>10631</v>
      </c>
      <c r="C2982">
        <v>103</v>
      </c>
      <c r="D2982">
        <v>1105927</v>
      </c>
      <c r="E2982">
        <v>1469933</v>
      </c>
      <c r="F2982">
        <v>0.1</v>
      </c>
      <c r="G2982">
        <v>0</v>
      </c>
      <c r="H2982">
        <v>29.1</v>
      </c>
      <c r="I2982">
        <v>14</v>
      </c>
    </row>
    <row r="2983" spans="1:9" ht="24" customHeight="1">
      <c r="A2983" s="6" t="s">
        <v>795</v>
      </c>
      <c r="B2983">
        <v>21037</v>
      </c>
      <c r="C2983">
        <v>1043</v>
      </c>
      <c r="D2983">
        <v>891616</v>
      </c>
      <c r="E2983">
        <v>1031011</v>
      </c>
      <c r="F2983">
        <v>0.3</v>
      </c>
      <c r="G2983">
        <v>0.3</v>
      </c>
      <c r="H2983">
        <v>25.5</v>
      </c>
      <c r="I2983">
        <v>17.7</v>
      </c>
    </row>
    <row r="2984" spans="1:9" ht="24" customHeight="1">
      <c r="A2984" s="6" t="s">
        <v>796</v>
      </c>
      <c r="B2984">
        <v>19514</v>
      </c>
      <c r="C2984">
        <v>1878</v>
      </c>
      <c r="D2984">
        <v>726812</v>
      </c>
      <c r="E2984">
        <v>589267</v>
      </c>
      <c r="F2984">
        <v>27.7</v>
      </c>
      <c r="G2984">
        <v>21.7</v>
      </c>
      <c r="H2984">
        <v>22.5</v>
      </c>
      <c r="I2984">
        <v>16.2</v>
      </c>
    </row>
    <row r="2985" spans="1:9" ht="24" customHeight="1">
      <c r="A2985" s="6" t="s">
        <v>797</v>
      </c>
      <c r="B2985">
        <v>31893</v>
      </c>
      <c r="C2985">
        <v>984</v>
      </c>
      <c r="D2985">
        <v>663953</v>
      </c>
      <c r="E2985">
        <v>493593</v>
      </c>
      <c r="F2985">
        <v>27.9</v>
      </c>
      <c r="G2985">
        <v>12.7</v>
      </c>
      <c r="H2985">
        <v>21.7</v>
      </c>
      <c r="I2985">
        <v>23.5</v>
      </c>
    </row>
    <row r="2986" spans="1:9" ht="24" customHeight="1">
      <c r="A2986" s="6" t="s">
        <v>798</v>
      </c>
      <c r="B2986">
        <v>11176</v>
      </c>
      <c r="C2986">
        <v>69</v>
      </c>
      <c r="D2986">
        <v>846202</v>
      </c>
      <c r="E2986">
        <v>639473</v>
      </c>
      <c r="F2986">
        <v>14.1</v>
      </c>
      <c r="G2986">
        <v>11.6</v>
      </c>
      <c r="H2986">
        <v>25.5</v>
      </c>
      <c r="I2986">
        <v>11</v>
      </c>
    </row>
    <row r="2987" spans="1:9" ht="24" customHeight="1">
      <c r="A2987" s="6" t="s">
        <v>799</v>
      </c>
      <c r="B2987">
        <v>203487</v>
      </c>
      <c r="C2987">
        <v>36940</v>
      </c>
      <c r="D2987">
        <v>526394</v>
      </c>
      <c r="E2987">
        <v>421467</v>
      </c>
      <c r="F2987">
        <v>22.7</v>
      </c>
      <c r="G2987">
        <v>12.7</v>
      </c>
      <c r="H2987">
        <v>15.9</v>
      </c>
      <c r="I2987">
        <v>13.3</v>
      </c>
    </row>
    <row r="2988" spans="1:9" ht="24" customHeight="1">
      <c r="A2988" s="6" t="s">
        <v>4097</v>
      </c>
      <c r="B2988">
        <v>4492</v>
      </c>
      <c r="C2988">
        <v>24</v>
      </c>
      <c r="D2988">
        <v>641386</v>
      </c>
      <c r="E2988">
        <v>398270</v>
      </c>
      <c r="F2988">
        <v>2.2999999999999998</v>
      </c>
      <c r="G2988">
        <v>0</v>
      </c>
      <c r="H2988">
        <v>24.7</v>
      </c>
      <c r="I2988">
        <v>37.799999999999997</v>
      </c>
    </row>
    <row r="2989" spans="1:9" ht="24" customHeight="1">
      <c r="A2989" s="6" t="s">
        <v>4098</v>
      </c>
      <c r="B2989">
        <v>4815</v>
      </c>
      <c r="C2989">
        <v>569</v>
      </c>
      <c r="D2989">
        <v>542584</v>
      </c>
      <c r="E2989">
        <v>312090</v>
      </c>
      <c r="F2989">
        <v>6.2</v>
      </c>
      <c r="G2989">
        <v>1.9</v>
      </c>
      <c r="H2989">
        <v>19.600000000000001</v>
      </c>
      <c r="I2989">
        <v>19.5</v>
      </c>
    </row>
    <row r="2990" spans="1:9" ht="24" customHeight="1">
      <c r="A2990" s="6" t="s">
        <v>4099</v>
      </c>
      <c r="B2990">
        <v>5240</v>
      </c>
      <c r="C2990">
        <v>508</v>
      </c>
      <c r="D2990">
        <v>461644</v>
      </c>
      <c r="E2990">
        <v>328427</v>
      </c>
      <c r="F2990">
        <v>16.8</v>
      </c>
      <c r="G2990">
        <v>11.9</v>
      </c>
      <c r="H2990">
        <v>19.8</v>
      </c>
      <c r="I2990">
        <v>17.3</v>
      </c>
    </row>
    <row r="2991" spans="1:9" ht="24" customHeight="1">
      <c r="A2991" s="6" t="s">
        <v>4100</v>
      </c>
      <c r="B2991">
        <v>8460</v>
      </c>
      <c r="C2991">
        <v>744</v>
      </c>
      <c r="D2991">
        <v>437705</v>
      </c>
      <c r="E2991">
        <v>302518</v>
      </c>
      <c r="F2991">
        <v>23</v>
      </c>
      <c r="G2991">
        <v>7.8</v>
      </c>
      <c r="H2991">
        <v>19</v>
      </c>
      <c r="I2991">
        <v>12.2</v>
      </c>
    </row>
    <row r="2992" spans="1:9" ht="24" customHeight="1">
      <c r="A2992" s="6" t="s">
        <v>4101</v>
      </c>
      <c r="B2992">
        <v>3587</v>
      </c>
      <c r="C2992">
        <v>144</v>
      </c>
      <c r="D2992">
        <v>453067</v>
      </c>
      <c r="E2992">
        <v>204492</v>
      </c>
      <c r="F2992">
        <v>14.9</v>
      </c>
      <c r="G2992">
        <v>0</v>
      </c>
      <c r="H2992">
        <v>17.600000000000001</v>
      </c>
      <c r="I2992">
        <v>10.5</v>
      </c>
    </row>
    <row r="2993" spans="1:9" ht="24" customHeight="1">
      <c r="A2993" s="6" t="s">
        <v>4102</v>
      </c>
      <c r="B2993">
        <v>64427</v>
      </c>
      <c r="C2993">
        <v>14922</v>
      </c>
      <c r="D2993">
        <v>346358</v>
      </c>
      <c r="E2993">
        <v>248268</v>
      </c>
      <c r="F2993">
        <v>15.4</v>
      </c>
      <c r="G2993">
        <v>4.0999999999999996</v>
      </c>
      <c r="H2993">
        <v>12.2</v>
      </c>
      <c r="I2993">
        <v>9.3000000000000007</v>
      </c>
    </row>
    <row r="2994" spans="1:9" ht="24" customHeight="1">
      <c r="A2994" s="6" t="s">
        <v>4103</v>
      </c>
      <c r="B2994">
        <v>2048</v>
      </c>
      <c r="C2994">
        <v>0</v>
      </c>
      <c r="D2994">
        <v>686799</v>
      </c>
      <c r="E2994"/>
      <c r="F2994">
        <v>0.5</v>
      </c>
      <c r="G2994"/>
      <c r="H2994">
        <v>23.9</v>
      </c>
      <c r="I2994"/>
    </row>
    <row r="2995" spans="1:9" ht="24" customHeight="1">
      <c r="A2995" s="6" t="s">
        <v>4104</v>
      </c>
      <c r="B2995">
        <v>4686</v>
      </c>
      <c r="C2995">
        <v>491</v>
      </c>
      <c r="D2995">
        <v>536184</v>
      </c>
      <c r="E2995">
        <v>456129</v>
      </c>
      <c r="F2995">
        <v>2.2999999999999998</v>
      </c>
      <c r="G2995">
        <v>1.1000000000000001</v>
      </c>
      <c r="H2995">
        <v>22.3</v>
      </c>
      <c r="I2995">
        <v>21.4</v>
      </c>
    </row>
    <row r="2996" spans="1:9" ht="24" customHeight="1">
      <c r="A2996" s="6" t="s">
        <v>4105</v>
      </c>
      <c r="B2996">
        <v>8376</v>
      </c>
      <c r="C2996">
        <v>261</v>
      </c>
      <c r="D2996">
        <v>483595</v>
      </c>
      <c r="E2996">
        <v>402545</v>
      </c>
      <c r="F2996">
        <v>20.9</v>
      </c>
      <c r="G2996">
        <v>13.9</v>
      </c>
      <c r="H2996">
        <v>16.3</v>
      </c>
      <c r="I2996">
        <v>18.8</v>
      </c>
    </row>
    <row r="2997" spans="1:9" ht="24" customHeight="1">
      <c r="A2997" s="6" t="s">
        <v>4106</v>
      </c>
      <c r="B2997">
        <v>4872</v>
      </c>
      <c r="C2997">
        <v>361</v>
      </c>
      <c r="D2997">
        <v>427332</v>
      </c>
      <c r="E2997">
        <v>302891</v>
      </c>
      <c r="F2997">
        <v>27.3</v>
      </c>
      <c r="G2997">
        <v>12.7</v>
      </c>
      <c r="H2997">
        <v>15.8</v>
      </c>
      <c r="I2997">
        <v>16.2</v>
      </c>
    </row>
    <row r="2998" spans="1:9" ht="24" customHeight="1">
      <c r="A2998" s="6" t="s">
        <v>4107</v>
      </c>
      <c r="B2998">
        <v>3028</v>
      </c>
      <c r="C2998">
        <v>239</v>
      </c>
      <c r="D2998">
        <v>455925</v>
      </c>
      <c r="E2998">
        <v>435993</v>
      </c>
      <c r="F2998">
        <v>15.8</v>
      </c>
      <c r="G2998">
        <v>14.7</v>
      </c>
      <c r="H2998">
        <v>16.3</v>
      </c>
      <c r="I2998">
        <v>21.7</v>
      </c>
    </row>
    <row r="2999" spans="1:9" ht="24" customHeight="1">
      <c r="A2999" s="6" t="s">
        <v>4108</v>
      </c>
      <c r="B2999">
        <v>62210</v>
      </c>
      <c r="C2999">
        <v>34264</v>
      </c>
      <c r="D2999">
        <v>353483</v>
      </c>
      <c r="E2999">
        <v>283056</v>
      </c>
      <c r="F2999">
        <v>16.100000000000001</v>
      </c>
      <c r="G2999">
        <v>3.4</v>
      </c>
      <c r="H2999">
        <v>10</v>
      </c>
      <c r="I2999">
        <v>8.1999999999999993</v>
      </c>
    </row>
    <row r="3000" spans="1:9" ht="24" customHeight="1">
      <c r="A3000" s="6" t="s">
        <v>4109</v>
      </c>
      <c r="B3000">
        <v>3675</v>
      </c>
      <c r="C3000">
        <v>27</v>
      </c>
      <c r="D3000">
        <v>878577</v>
      </c>
      <c r="E3000">
        <v>743788</v>
      </c>
      <c r="F3000">
        <v>0.4</v>
      </c>
      <c r="G3000">
        <v>0</v>
      </c>
      <c r="H3000">
        <v>24.8</v>
      </c>
      <c r="I3000">
        <v>26.2</v>
      </c>
    </row>
    <row r="3001" spans="1:9" ht="24" customHeight="1">
      <c r="A3001" s="6" t="s">
        <v>4110</v>
      </c>
      <c r="B3001">
        <v>9756</v>
      </c>
      <c r="C3001">
        <v>85</v>
      </c>
      <c r="D3001">
        <v>698261</v>
      </c>
      <c r="E3001">
        <v>575553</v>
      </c>
      <c r="F3001">
        <v>2.4</v>
      </c>
      <c r="G3001">
        <v>0</v>
      </c>
      <c r="H3001">
        <v>23.5</v>
      </c>
      <c r="I3001">
        <v>25</v>
      </c>
    </row>
    <row r="3002" spans="1:9" ht="24" customHeight="1">
      <c r="A3002" s="6" t="s">
        <v>4111</v>
      </c>
      <c r="B3002">
        <v>6310</v>
      </c>
      <c r="C3002">
        <v>513</v>
      </c>
      <c r="D3002">
        <v>567687</v>
      </c>
      <c r="E3002">
        <v>514291</v>
      </c>
      <c r="F3002">
        <v>24.5</v>
      </c>
      <c r="G3002">
        <v>29.7</v>
      </c>
      <c r="H3002">
        <v>20.399999999999999</v>
      </c>
      <c r="I3002">
        <v>16.5</v>
      </c>
    </row>
    <row r="3003" spans="1:9" ht="24" customHeight="1">
      <c r="A3003" s="6" t="s">
        <v>4112</v>
      </c>
      <c r="B3003">
        <v>11901</v>
      </c>
      <c r="C3003">
        <v>413</v>
      </c>
      <c r="D3003">
        <v>538669</v>
      </c>
      <c r="E3003">
        <v>405187</v>
      </c>
      <c r="F3003">
        <v>29</v>
      </c>
      <c r="G3003">
        <v>17.899999999999999</v>
      </c>
      <c r="H3003">
        <v>16.600000000000001</v>
      </c>
      <c r="I3003">
        <v>14.9</v>
      </c>
    </row>
    <row r="3004" spans="1:9" ht="24" customHeight="1">
      <c r="A3004" s="6" t="s">
        <v>4113</v>
      </c>
      <c r="B3004">
        <v>6494</v>
      </c>
      <c r="C3004">
        <v>810</v>
      </c>
      <c r="D3004">
        <v>617742</v>
      </c>
      <c r="E3004">
        <v>539900</v>
      </c>
      <c r="F3004">
        <v>18.899999999999999</v>
      </c>
      <c r="G3004">
        <v>3.7</v>
      </c>
      <c r="H3004">
        <v>23</v>
      </c>
      <c r="I3004">
        <v>14.2</v>
      </c>
    </row>
    <row r="3005" spans="1:9" ht="24" customHeight="1">
      <c r="A3005" s="6" t="s">
        <v>4114</v>
      </c>
      <c r="B3005">
        <v>97558</v>
      </c>
      <c r="C3005">
        <v>18249</v>
      </c>
      <c r="D3005">
        <v>439226</v>
      </c>
      <c r="E3005">
        <v>333013</v>
      </c>
      <c r="F3005">
        <v>21.6</v>
      </c>
      <c r="G3005">
        <v>9.6</v>
      </c>
      <c r="H3005">
        <v>14.4</v>
      </c>
      <c r="I3005">
        <v>13</v>
      </c>
    </row>
    <row r="3006" spans="1:9" ht="24" customHeight="1">
      <c r="A3006" s="6" t="s">
        <v>800</v>
      </c>
      <c r="B3006">
        <v>554</v>
      </c>
      <c r="C3006">
        <v>7</v>
      </c>
      <c r="D3006">
        <v>1381558</v>
      </c>
      <c r="E3006">
        <v>710910</v>
      </c>
      <c r="F3006">
        <v>0</v>
      </c>
      <c r="G3006">
        <v>0</v>
      </c>
      <c r="H3006">
        <v>26.4</v>
      </c>
      <c r="I3006">
        <v>35</v>
      </c>
    </row>
    <row r="3007" spans="1:9" ht="24" customHeight="1">
      <c r="A3007" s="6" t="s">
        <v>801</v>
      </c>
      <c r="B3007">
        <v>1647</v>
      </c>
      <c r="C3007">
        <v>97</v>
      </c>
      <c r="D3007">
        <v>922079</v>
      </c>
      <c r="E3007">
        <v>873291</v>
      </c>
      <c r="F3007">
        <v>2.2999999999999998</v>
      </c>
      <c r="G3007">
        <v>0</v>
      </c>
      <c r="H3007">
        <v>25.3</v>
      </c>
      <c r="I3007">
        <v>22.8</v>
      </c>
    </row>
    <row r="3008" spans="1:9" ht="24" customHeight="1">
      <c r="A3008" s="6" t="s">
        <v>802</v>
      </c>
      <c r="B3008">
        <v>990</v>
      </c>
      <c r="C3008">
        <v>240</v>
      </c>
      <c r="D3008">
        <v>788163</v>
      </c>
      <c r="E3008">
        <v>855947</v>
      </c>
      <c r="F3008">
        <v>15.8</v>
      </c>
      <c r="G3008">
        <v>11.5</v>
      </c>
      <c r="H3008">
        <v>22.1</v>
      </c>
      <c r="I3008">
        <v>21.9</v>
      </c>
    </row>
    <row r="3009" spans="1:9" ht="24" customHeight="1">
      <c r="A3009" s="6" t="s">
        <v>803</v>
      </c>
      <c r="B3009">
        <v>915</v>
      </c>
      <c r="C3009">
        <v>202</v>
      </c>
      <c r="D3009">
        <v>740566</v>
      </c>
      <c r="E3009">
        <v>671391</v>
      </c>
      <c r="F3009">
        <v>30.9</v>
      </c>
      <c r="G3009">
        <v>24.7</v>
      </c>
      <c r="H3009">
        <v>20</v>
      </c>
      <c r="I3009">
        <v>14.3</v>
      </c>
    </row>
    <row r="3010" spans="1:9" ht="24" customHeight="1">
      <c r="A3010" s="6" t="s">
        <v>804</v>
      </c>
      <c r="B3010">
        <v>1019</v>
      </c>
      <c r="C3010">
        <v>28</v>
      </c>
      <c r="D3010">
        <v>792374</v>
      </c>
      <c r="E3010">
        <v>726129</v>
      </c>
      <c r="F3010">
        <v>15.7</v>
      </c>
      <c r="G3010">
        <v>4.5</v>
      </c>
      <c r="H3010">
        <v>26.6</v>
      </c>
      <c r="I3010">
        <v>18.600000000000001</v>
      </c>
    </row>
    <row r="3011" spans="1:9" ht="24" customHeight="1">
      <c r="A3011" s="6" t="s">
        <v>805</v>
      </c>
      <c r="B3011">
        <v>10586</v>
      </c>
      <c r="C3011">
        <v>3798</v>
      </c>
      <c r="D3011">
        <v>528930</v>
      </c>
      <c r="E3011">
        <v>449292</v>
      </c>
      <c r="F3011">
        <v>20.8</v>
      </c>
      <c r="G3011">
        <v>15.4</v>
      </c>
      <c r="H3011">
        <v>13.1</v>
      </c>
      <c r="I3011">
        <v>13</v>
      </c>
    </row>
    <row r="3012" spans="1:9" ht="24" customHeight="1">
      <c r="A3012" s="6" t="s">
        <v>4115</v>
      </c>
      <c r="B3012">
        <v>1761</v>
      </c>
      <c r="C3012">
        <v>291</v>
      </c>
      <c r="D3012">
        <v>598694</v>
      </c>
      <c r="E3012">
        <v>455712</v>
      </c>
      <c r="F3012">
        <v>3.6</v>
      </c>
      <c r="G3012">
        <v>24.2</v>
      </c>
      <c r="H3012">
        <v>21.8</v>
      </c>
      <c r="I3012">
        <v>11.2</v>
      </c>
    </row>
    <row r="3013" spans="1:9" ht="24" customHeight="1">
      <c r="A3013" s="6" t="s">
        <v>4116</v>
      </c>
      <c r="B3013">
        <v>2617</v>
      </c>
      <c r="C3013">
        <v>695</v>
      </c>
      <c r="D3013">
        <v>480758</v>
      </c>
      <c r="E3013">
        <v>387042</v>
      </c>
      <c r="F3013">
        <v>3.3</v>
      </c>
      <c r="G3013">
        <v>0.9</v>
      </c>
      <c r="H3013">
        <v>18.600000000000001</v>
      </c>
      <c r="I3013">
        <v>12</v>
      </c>
    </row>
    <row r="3014" spans="1:9" ht="24" customHeight="1">
      <c r="A3014" s="6" t="s">
        <v>4117</v>
      </c>
      <c r="B3014">
        <v>1391</v>
      </c>
      <c r="C3014">
        <v>523</v>
      </c>
      <c r="D3014">
        <v>429679</v>
      </c>
      <c r="E3014">
        <v>343819</v>
      </c>
      <c r="F3014">
        <v>9.1999999999999993</v>
      </c>
      <c r="G3014">
        <v>7.7</v>
      </c>
      <c r="H3014">
        <v>16.899999999999999</v>
      </c>
      <c r="I3014">
        <v>12.2</v>
      </c>
    </row>
    <row r="3015" spans="1:9" ht="24" customHeight="1">
      <c r="A3015" s="6" t="s">
        <v>4118</v>
      </c>
      <c r="B3015">
        <v>793</v>
      </c>
      <c r="C3015">
        <v>197</v>
      </c>
      <c r="D3015">
        <v>394242</v>
      </c>
      <c r="E3015">
        <v>257958</v>
      </c>
      <c r="F3015">
        <v>5.5</v>
      </c>
      <c r="G3015">
        <v>3</v>
      </c>
      <c r="H3015">
        <v>18.899999999999999</v>
      </c>
      <c r="I3015">
        <v>14.4</v>
      </c>
    </row>
    <row r="3016" spans="1:9" ht="24" customHeight="1">
      <c r="A3016" s="6" t="s">
        <v>4119</v>
      </c>
      <c r="B3016">
        <v>872</v>
      </c>
      <c r="C3016">
        <v>226</v>
      </c>
      <c r="D3016">
        <v>545630</v>
      </c>
      <c r="E3016">
        <v>366701</v>
      </c>
      <c r="F3016">
        <v>10.1</v>
      </c>
      <c r="G3016">
        <v>11.2</v>
      </c>
      <c r="H3016">
        <v>18.899999999999999</v>
      </c>
      <c r="I3016">
        <v>15.1</v>
      </c>
    </row>
    <row r="3017" spans="1:9" ht="24" customHeight="1">
      <c r="A3017" s="6" t="s">
        <v>4120</v>
      </c>
      <c r="B3017">
        <v>18836</v>
      </c>
      <c r="C3017">
        <v>12632</v>
      </c>
      <c r="D3017">
        <v>359841</v>
      </c>
      <c r="E3017">
        <v>277842</v>
      </c>
      <c r="F3017">
        <v>10.7</v>
      </c>
      <c r="G3017">
        <v>6.8</v>
      </c>
      <c r="H3017">
        <v>11.1</v>
      </c>
      <c r="I3017">
        <v>10.1</v>
      </c>
    </row>
    <row r="3018" spans="1:9" ht="24" customHeight="1">
      <c r="A3018" s="6" t="s">
        <v>4121</v>
      </c>
      <c r="B3018">
        <v>1897</v>
      </c>
      <c r="C3018">
        <v>27</v>
      </c>
      <c r="D3018">
        <v>746555</v>
      </c>
      <c r="E3018">
        <v>569866</v>
      </c>
      <c r="F3018">
        <v>0</v>
      </c>
      <c r="G3018">
        <v>0</v>
      </c>
      <c r="H3018">
        <v>22.3</v>
      </c>
      <c r="I3018">
        <v>13.7</v>
      </c>
    </row>
    <row r="3019" spans="1:9" ht="24" customHeight="1">
      <c r="A3019" s="6" t="s">
        <v>4122</v>
      </c>
      <c r="B3019">
        <v>1785</v>
      </c>
      <c r="C3019">
        <v>187</v>
      </c>
      <c r="D3019">
        <v>595290</v>
      </c>
      <c r="E3019">
        <v>448250</v>
      </c>
      <c r="F3019">
        <v>2.8</v>
      </c>
      <c r="G3019">
        <v>6.9</v>
      </c>
      <c r="H3019">
        <v>23.6</v>
      </c>
      <c r="I3019">
        <v>8.5</v>
      </c>
    </row>
    <row r="3020" spans="1:9" ht="24" customHeight="1">
      <c r="A3020" s="6" t="s">
        <v>4123</v>
      </c>
      <c r="B3020">
        <v>3318</v>
      </c>
      <c r="C3020">
        <v>333</v>
      </c>
      <c r="D3020">
        <v>531264</v>
      </c>
      <c r="E3020">
        <v>474716</v>
      </c>
      <c r="F3020">
        <v>14.7</v>
      </c>
      <c r="G3020">
        <v>5.0999999999999996</v>
      </c>
      <c r="H3020">
        <v>19.899999999999999</v>
      </c>
      <c r="I3020">
        <v>24.7</v>
      </c>
    </row>
    <row r="3021" spans="1:9" ht="24" customHeight="1">
      <c r="A3021" s="6" t="s">
        <v>4124</v>
      </c>
      <c r="B3021">
        <v>741</v>
      </c>
      <c r="C3021">
        <v>193</v>
      </c>
      <c r="D3021">
        <v>482795</v>
      </c>
      <c r="E3021">
        <v>347973</v>
      </c>
      <c r="F3021">
        <v>15.7</v>
      </c>
      <c r="G3021">
        <v>11.5</v>
      </c>
      <c r="H3021">
        <v>21.4</v>
      </c>
      <c r="I3021">
        <v>20.9</v>
      </c>
    </row>
    <row r="3022" spans="1:9" ht="24" customHeight="1">
      <c r="A3022" s="6" t="s">
        <v>4125</v>
      </c>
      <c r="B3022">
        <v>409</v>
      </c>
      <c r="C3022">
        <v>567</v>
      </c>
      <c r="D3022">
        <v>528100</v>
      </c>
      <c r="E3022">
        <v>383409</v>
      </c>
      <c r="F3022">
        <v>12.1</v>
      </c>
      <c r="G3022">
        <v>2.8</v>
      </c>
      <c r="H3022">
        <v>20</v>
      </c>
      <c r="I3022">
        <v>19.899999999999999</v>
      </c>
    </row>
    <row r="3023" spans="1:9" ht="24" customHeight="1">
      <c r="A3023" s="6" t="s">
        <v>4126</v>
      </c>
      <c r="B3023">
        <v>15147</v>
      </c>
      <c r="C3023">
        <v>8659</v>
      </c>
      <c r="D3023">
        <v>408926</v>
      </c>
      <c r="E3023">
        <v>337067</v>
      </c>
      <c r="F3023">
        <v>11.6</v>
      </c>
      <c r="G3023">
        <v>7.1</v>
      </c>
      <c r="H3023">
        <v>11.8</v>
      </c>
      <c r="I3023">
        <v>10.6</v>
      </c>
    </row>
    <row r="3024" spans="1:9" ht="24" customHeight="1">
      <c r="A3024" s="6" t="s">
        <v>4127</v>
      </c>
      <c r="B3024">
        <v>365</v>
      </c>
      <c r="C3024">
        <v>0</v>
      </c>
      <c r="D3024">
        <v>796839</v>
      </c>
      <c r="E3024"/>
      <c r="F3024">
        <v>1.2</v>
      </c>
      <c r="G3024"/>
      <c r="H3024">
        <v>30.2</v>
      </c>
      <c r="I3024"/>
    </row>
    <row r="3025" spans="1:9" ht="24" customHeight="1">
      <c r="A3025" s="6" t="s">
        <v>4128</v>
      </c>
      <c r="B3025">
        <v>902</v>
      </c>
      <c r="C3025">
        <v>26</v>
      </c>
      <c r="D3025">
        <v>634536</v>
      </c>
      <c r="E3025">
        <v>598233</v>
      </c>
      <c r="F3025">
        <v>1.2</v>
      </c>
      <c r="G3025">
        <v>0</v>
      </c>
      <c r="H3025">
        <v>23</v>
      </c>
      <c r="I3025">
        <v>20.9</v>
      </c>
    </row>
    <row r="3026" spans="1:9" ht="24" customHeight="1">
      <c r="A3026" s="6" t="s">
        <v>4129</v>
      </c>
      <c r="B3026">
        <v>842</v>
      </c>
      <c r="C3026">
        <v>110</v>
      </c>
      <c r="D3026">
        <v>575428</v>
      </c>
      <c r="E3026">
        <v>475507</v>
      </c>
      <c r="F3026">
        <v>18.5</v>
      </c>
      <c r="G3026">
        <v>17.7</v>
      </c>
      <c r="H3026">
        <v>23.8</v>
      </c>
      <c r="I3026">
        <v>16.7</v>
      </c>
    </row>
    <row r="3027" spans="1:9" ht="24" customHeight="1">
      <c r="A3027" s="6" t="s">
        <v>4130</v>
      </c>
      <c r="B3027">
        <v>644</v>
      </c>
      <c r="C3027">
        <v>18</v>
      </c>
      <c r="D3027">
        <v>580852</v>
      </c>
      <c r="E3027">
        <v>408356</v>
      </c>
      <c r="F3027">
        <v>35.200000000000003</v>
      </c>
      <c r="G3027">
        <v>12.3</v>
      </c>
      <c r="H3027">
        <v>23.7</v>
      </c>
      <c r="I3027">
        <v>21.2</v>
      </c>
    </row>
    <row r="3028" spans="1:9" ht="24" customHeight="1">
      <c r="A3028" s="6" t="s">
        <v>4131</v>
      </c>
      <c r="B3028">
        <v>989</v>
      </c>
      <c r="C3028">
        <v>92</v>
      </c>
      <c r="D3028">
        <v>557895</v>
      </c>
      <c r="E3028">
        <v>339656</v>
      </c>
      <c r="F3028">
        <v>1.8</v>
      </c>
      <c r="G3028">
        <v>0</v>
      </c>
      <c r="H3028">
        <v>21</v>
      </c>
      <c r="I3028">
        <v>7.4</v>
      </c>
    </row>
    <row r="3029" spans="1:9" ht="24" customHeight="1">
      <c r="A3029" s="6" t="s">
        <v>4132</v>
      </c>
      <c r="B3029">
        <v>7581</v>
      </c>
      <c r="C3029">
        <v>2312</v>
      </c>
      <c r="D3029">
        <v>435697</v>
      </c>
      <c r="E3029">
        <v>353478</v>
      </c>
      <c r="F3029">
        <v>13.4</v>
      </c>
      <c r="G3029">
        <v>7.5</v>
      </c>
      <c r="H3029">
        <v>16.3</v>
      </c>
      <c r="I3029">
        <v>16.2</v>
      </c>
    </row>
    <row r="3030" spans="1:9" ht="24" customHeight="1">
      <c r="A3030" s="6" t="s">
        <v>806</v>
      </c>
      <c r="B3030">
        <v>135</v>
      </c>
      <c r="C3030">
        <v>5</v>
      </c>
      <c r="D3030">
        <v>1489158</v>
      </c>
      <c r="E3030">
        <v>575386</v>
      </c>
      <c r="F3030">
        <v>0</v>
      </c>
      <c r="G3030">
        <v>1</v>
      </c>
      <c r="H3030">
        <v>25.7</v>
      </c>
      <c r="I3030">
        <v>26</v>
      </c>
    </row>
    <row r="3031" spans="1:9" ht="24" customHeight="1">
      <c r="A3031" s="6" t="s">
        <v>807</v>
      </c>
      <c r="B3031">
        <v>144</v>
      </c>
      <c r="C3031">
        <v>8</v>
      </c>
      <c r="D3031">
        <v>1204821</v>
      </c>
      <c r="E3031">
        <v>1295097</v>
      </c>
      <c r="F3031">
        <v>0.2</v>
      </c>
      <c r="G3031">
        <v>0</v>
      </c>
      <c r="H3031">
        <v>24.7</v>
      </c>
      <c r="I3031">
        <v>4</v>
      </c>
    </row>
    <row r="3032" spans="1:9" ht="24" customHeight="1">
      <c r="A3032" s="6" t="s">
        <v>808</v>
      </c>
      <c r="B3032">
        <v>28</v>
      </c>
      <c r="C3032">
        <v>0</v>
      </c>
      <c r="D3032">
        <v>724973</v>
      </c>
      <c r="E3032"/>
      <c r="F3032">
        <v>12.6</v>
      </c>
      <c r="G3032"/>
      <c r="H3032">
        <v>31.2</v>
      </c>
      <c r="I3032"/>
    </row>
    <row r="3033" spans="1:9" ht="24" customHeight="1">
      <c r="A3033" s="6" t="s">
        <v>809</v>
      </c>
      <c r="B3033">
        <v>41</v>
      </c>
      <c r="C3033">
        <v>0</v>
      </c>
      <c r="D3033">
        <v>816575</v>
      </c>
      <c r="E3033"/>
      <c r="F3033">
        <v>20.6</v>
      </c>
      <c r="G3033"/>
      <c r="H3033">
        <v>24</v>
      </c>
      <c r="I3033"/>
    </row>
    <row r="3034" spans="1:9" ht="24" customHeight="1">
      <c r="A3034" s="6" t="s">
        <v>810</v>
      </c>
      <c r="B3034">
        <v>349</v>
      </c>
      <c r="C3034">
        <v>24</v>
      </c>
      <c r="D3034">
        <v>1109468</v>
      </c>
      <c r="E3034">
        <v>1126149</v>
      </c>
      <c r="F3034">
        <v>1.2</v>
      </c>
      <c r="G3034">
        <v>0</v>
      </c>
      <c r="H3034">
        <v>18.600000000000001</v>
      </c>
      <c r="I3034">
        <v>15</v>
      </c>
    </row>
    <row r="3035" spans="1:9" ht="24" customHeight="1">
      <c r="A3035" s="6" t="s">
        <v>811</v>
      </c>
      <c r="B3035">
        <v>862</v>
      </c>
      <c r="C3035">
        <v>481</v>
      </c>
      <c r="D3035">
        <v>615328</v>
      </c>
      <c r="E3035">
        <v>548331</v>
      </c>
      <c r="F3035">
        <v>22.8</v>
      </c>
      <c r="G3035">
        <v>12.3</v>
      </c>
      <c r="H3035">
        <v>10.7</v>
      </c>
      <c r="I3035">
        <v>9.4</v>
      </c>
    </row>
    <row r="3036" spans="1:9" ht="24" customHeight="1">
      <c r="A3036" s="6" t="s">
        <v>4133</v>
      </c>
      <c r="B3036">
        <v>175</v>
      </c>
      <c r="C3036">
        <v>4</v>
      </c>
      <c r="D3036">
        <v>540459</v>
      </c>
      <c r="E3036">
        <v>520762</v>
      </c>
      <c r="F3036">
        <v>3.5</v>
      </c>
      <c r="G3036">
        <v>6.6</v>
      </c>
      <c r="H3036">
        <v>19.2</v>
      </c>
      <c r="I3036">
        <v>27.6</v>
      </c>
    </row>
    <row r="3037" spans="1:9" ht="24" customHeight="1">
      <c r="A3037" s="6" t="s">
        <v>4134</v>
      </c>
      <c r="B3037">
        <v>203</v>
      </c>
      <c r="C3037">
        <v>9</v>
      </c>
      <c r="D3037">
        <v>513560</v>
      </c>
      <c r="E3037">
        <v>431414</v>
      </c>
      <c r="F3037">
        <v>9.6999999999999993</v>
      </c>
      <c r="G3037">
        <v>1.4</v>
      </c>
      <c r="H3037">
        <v>18.8</v>
      </c>
      <c r="I3037">
        <v>23.2</v>
      </c>
    </row>
    <row r="3038" spans="1:9" ht="24" customHeight="1">
      <c r="A3038" s="6" t="s">
        <v>4135</v>
      </c>
      <c r="B3038">
        <v>81</v>
      </c>
      <c r="C3038">
        <v>21</v>
      </c>
      <c r="D3038">
        <v>509996</v>
      </c>
      <c r="E3038">
        <v>349609</v>
      </c>
      <c r="F3038">
        <v>10.5</v>
      </c>
      <c r="G3038">
        <v>2.7</v>
      </c>
      <c r="H3038">
        <v>14.6</v>
      </c>
      <c r="I3038">
        <v>23.6</v>
      </c>
    </row>
    <row r="3039" spans="1:9" ht="24" customHeight="1">
      <c r="A3039" s="6" t="s">
        <v>4136</v>
      </c>
      <c r="B3039">
        <v>347</v>
      </c>
      <c r="C3039">
        <v>0</v>
      </c>
      <c r="D3039">
        <v>468641</v>
      </c>
      <c r="E3039"/>
      <c r="F3039">
        <v>20.3</v>
      </c>
      <c r="G3039"/>
      <c r="H3039">
        <v>17.399999999999999</v>
      </c>
      <c r="I3039"/>
    </row>
    <row r="3040" spans="1:9" ht="24" customHeight="1">
      <c r="A3040" s="6" t="s">
        <v>4137</v>
      </c>
      <c r="B3040">
        <v>114</v>
      </c>
      <c r="C3040">
        <v>11</v>
      </c>
      <c r="D3040">
        <v>537928</v>
      </c>
      <c r="E3040">
        <v>545622</v>
      </c>
      <c r="F3040">
        <v>5</v>
      </c>
      <c r="G3040">
        <v>0</v>
      </c>
      <c r="H3040">
        <v>21.2</v>
      </c>
      <c r="I3040">
        <v>13.2</v>
      </c>
    </row>
    <row r="3041" spans="1:9" ht="24" customHeight="1">
      <c r="A3041" s="6" t="s">
        <v>4138</v>
      </c>
      <c r="B3041">
        <v>3826</v>
      </c>
      <c r="C3041">
        <v>631</v>
      </c>
      <c r="D3041">
        <v>359043</v>
      </c>
      <c r="E3041">
        <v>271063</v>
      </c>
      <c r="F3041">
        <v>13.9</v>
      </c>
      <c r="G3041">
        <v>4.3</v>
      </c>
      <c r="H3041">
        <v>11.2</v>
      </c>
      <c r="I3041">
        <v>9.6999999999999993</v>
      </c>
    </row>
    <row r="3042" spans="1:9" ht="24" customHeight="1">
      <c r="A3042" s="6" t="s">
        <v>4139</v>
      </c>
      <c r="B3042">
        <v>37</v>
      </c>
      <c r="C3042">
        <v>0</v>
      </c>
      <c r="D3042">
        <v>800335</v>
      </c>
      <c r="E3042"/>
      <c r="F3042">
        <v>0</v>
      </c>
      <c r="G3042"/>
      <c r="H3042">
        <v>26.4</v>
      </c>
      <c r="I3042"/>
    </row>
    <row r="3043" spans="1:9" ht="24" customHeight="1">
      <c r="A3043" s="6" t="s">
        <v>4140</v>
      </c>
      <c r="B3043">
        <v>118</v>
      </c>
      <c r="C3043">
        <v>0</v>
      </c>
      <c r="D3043">
        <v>672126</v>
      </c>
      <c r="E3043"/>
      <c r="F3043">
        <v>3.6</v>
      </c>
      <c r="G3043"/>
      <c r="H3043">
        <v>23.4</v>
      </c>
      <c r="I3043"/>
    </row>
    <row r="3044" spans="1:9" ht="24" customHeight="1">
      <c r="A3044" s="6" t="s">
        <v>4141</v>
      </c>
      <c r="B3044">
        <v>114</v>
      </c>
      <c r="C3044">
        <v>34</v>
      </c>
      <c r="D3044">
        <v>589451</v>
      </c>
      <c r="E3044">
        <v>494241</v>
      </c>
      <c r="F3044">
        <v>10.199999999999999</v>
      </c>
      <c r="G3044">
        <v>3.6</v>
      </c>
      <c r="H3044">
        <v>19.7</v>
      </c>
      <c r="I3044">
        <v>19</v>
      </c>
    </row>
    <row r="3045" spans="1:9" ht="24" customHeight="1">
      <c r="A3045" s="6" t="s">
        <v>4142</v>
      </c>
      <c r="B3045">
        <v>96</v>
      </c>
      <c r="C3045">
        <v>0</v>
      </c>
      <c r="D3045">
        <v>461747</v>
      </c>
      <c r="E3045"/>
      <c r="F3045">
        <v>5.7</v>
      </c>
      <c r="G3045"/>
      <c r="H3045">
        <v>23.2</v>
      </c>
      <c r="I3045"/>
    </row>
    <row r="3046" spans="1:9" ht="24" customHeight="1">
      <c r="A3046" s="6" t="s">
        <v>4143</v>
      </c>
      <c r="B3046">
        <v>39</v>
      </c>
      <c r="C3046">
        <v>4</v>
      </c>
      <c r="D3046">
        <v>640431</v>
      </c>
      <c r="E3046">
        <v>593539</v>
      </c>
      <c r="F3046">
        <v>0.5</v>
      </c>
      <c r="G3046">
        <v>8.5</v>
      </c>
      <c r="H3046">
        <v>15.6</v>
      </c>
      <c r="I3046">
        <v>7</v>
      </c>
    </row>
    <row r="3047" spans="1:9" ht="24" customHeight="1">
      <c r="A3047" s="6" t="s">
        <v>4144</v>
      </c>
      <c r="B3047">
        <v>692</v>
      </c>
      <c r="C3047">
        <v>71</v>
      </c>
      <c r="D3047">
        <v>414866</v>
      </c>
      <c r="E3047">
        <v>325244</v>
      </c>
      <c r="F3047">
        <v>13.6</v>
      </c>
      <c r="G3047">
        <v>4.0999999999999996</v>
      </c>
      <c r="H3047">
        <v>13.2</v>
      </c>
      <c r="I3047">
        <v>8.5</v>
      </c>
    </row>
    <row r="3048" spans="1:9" ht="24" customHeight="1">
      <c r="A3048" s="6" t="s">
        <v>4145</v>
      </c>
      <c r="B3048">
        <v>16</v>
      </c>
      <c r="C3048">
        <v>12</v>
      </c>
      <c r="D3048">
        <v>840515</v>
      </c>
      <c r="E3048">
        <v>1559650</v>
      </c>
      <c r="F3048">
        <v>0</v>
      </c>
      <c r="G3048">
        <v>0</v>
      </c>
      <c r="H3048">
        <v>12.9</v>
      </c>
      <c r="I3048">
        <v>29</v>
      </c>
    </row>
    <row r="3049" spans="1:9" ht="24" customHeight="1">
      <c r="A3049" s="6" t="s">
        <v>4146</v>
      </c>
      <c r="B3049">
        <v>136</v>
      </c>
      <c r="C3049">
        <v>12</v>
      </c>
      <c r="D3049">
        <v>1336448</v>
      </c>
      <c r="E3049">
        <v>1046018</v>
      </c>
      <c r="F3049">
        <v>1.3</v>
      </c>
      <c r="G3049">
        <v>1</v>
      </c>
      <c r="H3049">
        <v>23.7</v>
      </c>
      <c r="I3049">
        <v>17</v>
      </c>
    </row>
    <row r="3050" spans="1:9" ht="24" customHeight="1">
      <c r="A3050" s="6" t="s">
        <v>4147</v>
      </c>
      <c r="B3050">
        <v>16</v>
      </c>
      <c r="C3050">
        <v>5</v>
      </c>
      <c r="D3050">
        <v>668480</v>
      </c>
      <c r="E3050">
        <v>722040</v>
      </c>
      <c r="F3050">
        <v>15.8</v>
      </c>
      <c r="G3050">
        <v>2</v>
      </c>
      <c r="H3050">
        <v>17.7</v>
      </c>
      <c r="I3050">
        <v>12</v>
      </c>
    </row>
    <row r="3051" spans="1:9" ht="24" customHeight="1">
      <c r="A3051" s="6" t="s">
        <v>4148</v>
      </c>
      <c r="B3051">
        <v>31</v>
      </c>
      <c r="C3051">
        <v>0</v>
      </c>
      <c r="D3051">
        <v>724067</v>
      </c>
      <c r="E3051"/>
      <c r="F3051">
        <v>20</v>
      </c>
      <c r="G3051"/>
      <c r="H3051">
        <v>17.7</v>
      </c>
      <c r="I3051"/>
    </row>
    <row r="3052" spans="1:9" ht="24" customHeight="1">
      <c r="A3052" s="6" t="s">
        <v>4149</v>
      </c>
      <c r="B3052">
        <v>21</v>
      </c>
      <c r="C3052">
        <v>0</v>
      </c>
      <c r="D3052">
        <v>1141677</v>
      </c>
      <c r="E3052"/>
      <c r="F3052">
        <v>3.3</v>
      </c>
      <c r="G3052"/>
      <c r="H3052">
        <v>28.7</v>
      </c>
      <c r="I3052"/>
    </row>
    <row r="3053" spans="1:9" ht="24" customHeight="1">
      <c r="A3053" s="6" t="s">
        <v>4150</v>
      </c>
      <c r="B3053">
        <v>940</v>
      </c>
      <c r="C3053">
        <v>247</v>
      </c>
      <c r="D3053">
        <v>711885</v>
      </c>
      <c r="E3053">
        <v>470286</v>
      </c>
      <c r="F3053">
        <v>10.6</v>
      </c>
      <c r="G3053">
        <v>12</v>
      </c>
      <c r="H3053">
        <v>13.2</v>
      </c>
      <c r="I3053">
        <v>8.9</v>
      </c>
    </row>
    <row r="3054" spans="1:9" ht="24" customHeight="1">
      <c r="A3054" s="6" t="s">
        <v>812</v>
      </c>
      <c r="B3054">
        <v>19071</v>
      </c>
      <c r="C3054">
        <v>353</v>
      </c>
      <c r="D3054">
        <v>1095703</v>
      </c>
      <c r="E3054">
        <v>926989</v>
      </c>
      <c r="F3054">
        <v>0.2</v>
      </c>
      <c r="G3054">
        <v>0</v>
      </c>
      <c r="H3054">
        <v>30.3</v>
      </c>
      <c r="I3054">
        <v>33.299999999999997</v>
      </c>
    </row>
    <row r="3055" spans="1:9" ht="24" customHeight="1">
      <c r="A3055" s="6" t="s">
        <v>813</v>
      </c>
      <c r="B3055">
        <v>38649</v>
      </c>
      <c r="C3055">
        <v>1819</v>
      </c>
      <c r="D3055">
        <v>1014948</v>
      </c>
      <c r="E3055">
        <v>886328</v>
      </c>
      <c r="F3055">
        <v>5.3</v>
      </c>
      <c r="G3055">
        <v>11.3</v>
      </c>
      <c r="H3055">
        <v>25.8</v>
      </c>
      <c r="I3055">
        <v>24.6</v>
      </c>
    </row>
    <row r="3056" spans="1:9" ht="24" customHeight="1">
      <c r="A3056" s="6" t="s">
        <v>814</v>
      </c>
      <c r="B3056">
        <v>19609</v>
      </c>
      <c r="C3056">
        <v>4626</v>
      </c>
      <c r="D3056">
        <v>756456</v>
      </c>
      <c r="E3056">
        <v>564717</v>
      </c>
      <c r="F3056">
        <v>29.6</v>
      </c>
      <c r="G3056">
        <v>15.9</v>
      </c>
      <c r="H3056">
        <v>18</v>
      </c>
      <c r="I3056">
        <v>18.600000000000001</v>
      </c>
    </row>
    <row r="3057" spans="1:9" ht="24" customHeight="1">
      <c r="A3057" s="6" t="s">
        <v>815</v>
      </c>
      <c r="B3057">
        <v>10978</v>
      </c>
      <c r="C3057">
        <v>61</v>
      </c>
      <c r="D3057">
        <v>808538</v>
      </c>
      <c r="E3057">
        <v>635971</v>
      </c>
      <c r="F3057">
        <v>18.3</v>
      </c>
      <c r="G3057">
        <v>20.3</v>
      </c>
      <c r="H3057">
        <v>23.5</v>
      </c>
      <c r="I3057">
        <v>28.6</v>
      </c>
    </row>
    <row r="3058" spans="1:9" ht="24" customHeight="1">
      <c r="A3058" s="6" t="s">
        <v>816</v>
      </c>
      <c r="B3058">
        <v>16569</v>
      </c>
      <c r="C3058">
        <v>879</v>
      </c>
      <c r="D3058">
        <v>894812</v>
      </c>
      <c r="E3058">
        <v>614863</v>
      </c>
      <c r="F3058">
        <v>11.8</v>
      </c>
      <c r="G3058">
        <v>3.3</v>
      </c>
      <c r="H3058">
        <v>23</v>
      </c>
      <c r="I3058">
        <v>28.7</v>
      </c>
    </row>
    <row r="3059" spans="1:9" ht="24" customHeight="1">
      <c r="A3059" s="6" t="s">
        <v>817</v>
      </c>
      <c r="B3059">
        <v>140964</v>
      </c>
      <c r="C3059">
        <v>40866</v>
      </c>
      <c r="D3059">
        <v>609100</v>
      </c>
      <c r="E3059">
        <v>469138</v>
      </c>
      <c r="F3059">
        <v>27.8</v>
      </c>
      <c r="G3059">
        <v>19</v>
      </c>
      <c r="H3059">
        <v>12</v>
      </c>
      <c r="I3059">
        <v>11.2</v>
      </c>
    </row>
    <row r="3060" spans="1:9" ht="24" customHeight="1">
      <c r="A3060" s="6" t="s">
        <v>4151</v>
      </c>
      <c r="B3060">
        <v>64853</v>
      </c>
      <c r="C3060">
        <v>5508</v>
      </c>
      <c r="D3060">
        <v>605439</v>
      </c>
      <c r="E3060">
        <v>486373</v>
      </c>
      <c r="F3060">
        <v>6.4</v>
      </c>
      <c r="G3060">
        <v>3.2</v>
      </c>
      <c r="H3060">
        <v>22</v>
      </c>
      <c r="I3060">
        <v>19.100000000000001</v>
      </c>
    </row>
    <row r="3061" spans="1:9" ht="24" customHeight="1">
      <c r="A3061" s="6" t="s">
        <v>4152</v>
      </c>
      <c r="B3061">
        <v>76767</v>
      </c>
      <c r="C3061">
        <v>4051</v>
      </c>
      <c r="D3061">
        <v>531672</v>
      </c>
      <c r="E3061">
        <v>393801</v>
      </c>
      <c r="F3061">
        <v>6.8</v>
      </c>
      <c r="G3061">
        <v>1.3</v>
      </c>
      <c r="H3061">
        <v>17.100000000000001</v>
      </c>
      <c r="I3061">
        <v>16.399999999999999</v>
      </c>
    </row>
    <row r="3062" spans="1:9" ht="24" customHeight="1">
      <c r="A3062" s="6" t="s">
        <v>4153</v>
      </c>
      <c r="B3062">
        <v>38201</v>
      </c>
      <c r="C3062">
        <v>9347</v>
      </c>
      <c r="D3062">
        <v>466858</v>
      </c>
      <c r="E3062">
        <v>380688</v>
      </c>
      <c r="F3062">
        <v>13.5</v>
      </c>
      <c r="G3062">
        <v>8.3000000000000007</v>
      </c>
      <c r="H3062">
        <v>16</v>
      </c>
      <c r="I3062">
        <v>14.5</v>
      </c>
    </row>
    <row r="3063" spans="1:9" ht="24" customHeight="1">
      <c r="A3063" s="6" t="s">
        <v>4154</v>
      </c>
      <c r="B3063">
        <v>99504</v>
      </c>
      <c r="C3063">
        <v>3115</v>
      </c>
      <c r="D3063">
        <v>457448</v>
      </c>
      <c r="E3063">
        <v>350877</v>
      </c>
      <c r="F3063">
        <v>11.7</v>
      </c>
      <c r="G3063">
        <v>0.8</v>
      </c>
      <c r="H3063">
        <v>14.2</v>
      </c>
      <c r="I3063">
        <v>9.8000000000000007</v>
      </c>
    </row>
    <row r="3064" spans="1:9" ht="24" customHeight="1">
      <c r="A3064" s="6" t="s">
        <v>4155</v>
      </c>
      <c r="B3064">
        <v>30757</v>
      </c>
      <c r="C3064">
        <v>3085</v>
      </c>
      <c r="D3064">
        <v>477591</v>
      </c>
      <c r="E3064">
        <v>367526</v>
      </c>
      <c r="F3064">
        <v>11.3</v>
      </c>
      <c r="G3064">
        <v>5.4</v>
      </c>
      <c r="H3064">
        <v>16.3</v>
      </c>
      <c r="I3064">
        <v>11.2</v>
      </c>
    </row>
    <row r="3065" spans="1:9" ht="24" customHeight="1">
      <c r="A3065" s="6" t="s">
        <v>4156</v>
      </c>
      <c r="B3065">
        <v>525721</v>
      </c>
      <c r="C3065">
        <v>127412</v>
      </c>
      <c r="D3065">
        <v>375084</v>
      </c>
      <c r="E3065">
        <v>286561</v>
      </c>
      <c r="F3065">
        <v>11.7</v>
      </c>
      <c r="G3065">
        <v>4.3</v>
      </c>
      <c r="H3065">
        <v>9.9</v>
      </c>
      <c r="I3065">
        <v>8.9</v>
      </c>
    </row>
    <row r="3066" spans="1:9" ht="24" customHeight="1">
      <c r="A3066" s="6" t="s">
        <v>4157</v>
      </c>
      <c r="B3066">
        <v>9676</v>
      </c>
      <c r="C3066">
        <v>180</v>
      </c>
      <c r="D3066">
        <v>745426</v>
      </c>
      <c r="E3066">
        <v>513373</v>
      </c>
      <c r="F3066">
        <v>2.6</v>
      </c>
      <c r="G3066">
        <v>1.9</v>
      </c>
      <c r="H3066">
        <v>25.3</v>
      </c>
      <c r="I3066">
        <v>21.9</v>
      </c>
    </row>
    <row r="3067" spans="1:9" ht="24" customHeight="1">
      <c r="A3067" s="6" t="s">
        <v>4158</v>
      </c>
      <c r="B3067">
        <v>19695</v>
      </c>
      <c r="C3067">
        <v>1295</v>
      </c>
      <c r="D3067">
        <v>627920</v>
      </c>
      <c r="E3067">
        <v>515777</v>
      </c>
      <c r="F3067">
        <v>8.1999999999999993</v>
      </c>
      <c r="G3067">
        <v>5.6</v>
      </c>
      <c r="H3067">
        <v>20</v>
      </c>
      <c r="I3067">
        <v>20.9</v>
      </c>
    </row>
    <row r="3068" spans="1:9" ht="24" customHeight="1">
      <c r="A3068" s="6" t="s">
        <v>4159</v>
      </c>
      <c r="B3068">
        <v>12875</v>
      </c>
      <c r="C3068">
        <v>2437</v>
      </c>
      <c r="D3068">
        <v>546633</v>
      </c>
      <c r="E3068">
        <v>427630</v>
      </c>
      <c r="F3068">
        <v>17.399999999999999</v>
      </c>
      <c r="G3068">
        <v>6.6</v>
      </c>
      <c r="H3068">
        <v>16.5</v>
      </c>
      <c r="I3068">
        <v>19.600000000000001</v>
      </c>
    </row>
    <row r="3069" spans="1:9" ht="24" customHeight="1">
      <c r="A3069" s="6" t="s">
        <v>4160</v>
      </c>
      <c r="B3069">
        <v>10833</v>
      </c>
      <c r="C3069">
        <v>153</v>
      </c>
      <c r="D3069">
        <v>518549</v>
      </c>
      <c r="E3069">
        <v>452459</v>
      </c>
      <c r="F3069">
        <v>19.399999999999999</v>
      </c>
      <c r="G3069">
        <v>18.899999999999999</v>
      </c>
      <c r="H3069">
        <v>16.7</v>
      </c>
      <c r="I3069">
        <v>16.899999999999999</v>
      </c>
    </row>
    <row r="3070" spans="1:9" ht="24" customHeight="1">
      <c r="A3070" s="6" t="s">
        <v>4161</v>
      </c>
      <c r="B3070">
        <v>5873</v>
      </c>
      <c r="C3070">
        <v>1520</v>
      </c>
      <c r="D3070">
        <v>597346</v>
      </c>
      <c r="E3070">
        <v>428844</v>
      </c>
      <c r="F3070">
        <v>10</v>
      </c>
      <c r="G3070">
        <v>5.9</v>
      </c>
      <c r="H3070">
        <v>20.9</v>
      </c>
      <c r="I3070">
        <v>18.899999999999999</v>
      </c>
    </row>
    <row r="3071" spans="1:9" ht="24" customHeight="1">
      <c r="A3071" s="6" t="s">
        <v>4162</v>
      </c>
      <c r="B3071">
        <v>75175</v>
      </c>
      <c r="C3071">
        <v>21227</v>
      </c>
      <c r="D3071">
        <v>423149</v>
      </c>
      <c r="E3071">
        <v>337344</v>
      </c>
      <c r="F3071">
        <v>18.399999999999999</v>
      </c>
      <c r="G3071">
        <v>8.3000000000000007</v>
      </c>
      <c r="H3071">
        <v>9</v>
      </c>
      <c r="I3071">
        <v>8.6999999999999993</v>
      </c>
    </row>
    <row r="3072" spans="1:9" ht="24" customHeight="1">
      <c r="A3072" s="6" t="s">
        <v>4163</v>
      </c>
      <c r="B3072">
        <v>13995</v>
      </c>
      <c r="C3072">
        <v>192</v>
      </c>
      <c r="D3072">
        <v>881286</v>
      </c>
      <c r="E3072">
        <v>767573</v>
      </c>
      <c r="F3072">
        <v>4.3</v>
      </c>
      <c r="G3072">
        <v>0</v>
      </c>
      <c r="H3072">
        <v>25.3</v>
      </c>
      <c r="I3072">
        <v>15.2</v>
      </c>
    </row>
    <row r="3073" spans="1:9" ht="24" customHeight="1">
      <c r="A3073" s="6" t="s">
        <v>4164</v>
      </c>
      <c r="B3073">
        <v>21998</v>
      </c>
      <c r="C3073">
        <v>1009</v>
      </c>
      <c r="D3073">
        <v>730771</v>
      </c>
      <c r="E3073">
        <v>605935</v>
      </c>
      <c r="F3073">
        <v>8.5</v>
      </c>
      <c r="G3073">
        <v>6.9</v>
      </c>
      <c r="H3073">
        <v>20.2</v>
      </c>
      <c r="I3073">
        <v>25.3</v>
      </c>
    </row>
    <row r="3074" spans="1:9" ht="24" customHeight="1">
      <c r="A3074" s="6" t="s">
        <v>4165</v>
      </c>
      <c r="B3074">
        <v>13475</v>
      </c>
      <c r="C3074">
        <v>2755</v>
      </c>
      <c r="D3074">
        <v>595990</v>
      </c>
      <c r="E3074">
        <v>528639</v>
      </c>
      <c r="F3074">
        <v>26</v>
      </c>
      <c r="G3074">
        <v>29.6</v>
      </c>
      <c r="H3074">
        <v>17.2</v>
      </c>
      <c r="I3074">
        <v>16.5</v>
      </c>
    </row>
    <row r="3075" spans="1:9" ht="24" customHeight="1">
      <c r="A3075" s="6" t="s">
        <v>4166</v>
      </c>
      <c r="B3075">
        <v>10490</v>
      </c>
      <c r="C3075">
        <v>602</v>
      </c>
      <c r="D3075">
        <v>555904</v>
      </c>
      <c r="E3075">
        <v>421336</v>
      </c>
      <c r="F3075">
        <v>14.6</v>
      </c>
      <c r="G3075">
        <v>17.8</v>
      </c>
      <c r="H3075">
        <v>19.7</v>
      </c>
      <c r="I3075">
        <v>16.399999999999999</v>
      </c>
    </row>
    <row r="3076" spans="1:9" ht="24" customHeight="1">
      <c r="A3076" s="6" t="s">
        <v>4167</v>
      </c>
      <c r="B3076">
        <v>12992</v>
      </c>
      <c r="C3076">
        <v>1759</v>
      </c>
      <c r="D3076">
        <v>659752</v>
      </c>
      <c r="E3076">
        <v>530161</v>
      </c>
      <c r="F3076">
        <v>18.399999999999999</v>
      </c>
      <c r="G3076">
        <v>29.5</v>
      </c>
      <c r="H3076">
        <v>18.2</v>
      </c>
      <c r="I3076">
        <v>15.2</v>
      </c>
    </row>
    <row r="3077" spans="1:9" ht="24" customHeight="1">
      <c r="A3077" s="6" t="s">
        <v>4168</v>
      </c>
      <c r="B3077">
        <v>90107</v>
      </c>
      <c r="C3077">
        <v>30376</v>
      </c>
      <c r="D3077">
        <v>468041</v>
      </c>
      <c r="E3077">
        <v>371709</v>
      </c>
      <c r="F3077">
        <v>21.4</v>
      </c>
      <c r="G3077">
        <v>12.5</v>
      </c>
      <c r="H3077">
        <v>9.6999999999999993</v>
      </c>
      <c r="I3077">
        <v>7.6</v>
      </c>
    </row>
    <row r="3078" spans="1:9" ht="24" customHeight="1">
      <c r="A3078" s="6" t="s">
        <v>818</v>
      </c>
      <c r="B3078">
        <v>48610</v>
      </c>
      <c r="C3078">
        <v>2296</v>
      </c>
      <c r="D3078">
        <v>1127179</v>
      </c>
      <c r="E3078">
        <v>1104079</v>
      </c>
      <c r="F3078">
        <v>1.2</v>
      </c>
      <c r="G3078">
        <v>3.3</v>
      </c>
      <c r="H3078">
        <v>28.3</v>
      </c>
      <c r="I3078">
        <v>22.2</v>
      </c>
    </row>
    <row r="3079" spans="1:9" ht="24" customHeight="1">
      <c r="A3079" s="6" t="s">
        <v>819</v>
      </c>
      <c r="B3079">
        <v>118623</v>
      </c>
      <c r="C3079">
        <v>6267</v>
      </c>
      <c r="D3079">
        <v>897226</v>
      </c>
      <c r="E3079">
        <v>900622</v>
      </c>
      <c r="F3079">
        <v>1.3</v>
      </c>
      <c r="G3079">
        <v>0.7</v>
      </c>
      <c r="H3079">
        <v>24.4</v>
      </c>
      <c r="I3079">
        <v>20.399999999999999</v>
      </c>
    </row>
    <row r="3080" spans="1:9" ht="24" customHeight="1">
      <c r="A3080" s="6" t="s">
        <v>820</v>
      </c>
      <c r="B3080">
        <v>112530</v>
      </c>
      <c r="C3080">
        <v>15582</v>
      </c>
      <c r="D3080">
        <v>694090</v>
      </c>
      <c r="E3080">
        <v>546183</v>
      </c>
      <c r="F3080">
        <v>23.5</v>
      </c>
      <c r="G3080">
        <v>13.9</v>
      </c>
      <c r="H3080">
        <v>21.2</v>
      </c>
      <c r="I3080">
        <v>18.5</v>
      </c>
    </row>
    <row r="3081" spans="1:9" ht="24" customHeight="1">
      <c r="A3081" s="6" t="s">
        <v>821</v>
      </c>
      <c r="B3081">
        <v>105748</v>
      </c>
      <c r="C3081">
        <v>9766</v>
      </c>
      <c r="D3081">
        <v>611898</v>
      </c>
      <c r="E3081">
        <v>410826</v>
      </c>
      <c r="F3081">
        <v>27.7</v>
      </c>
      <c r="G3081">
        <v>20.9</v>
      </c>
      <c r="H3081">
        <v>20.3</v>
      </c>
      <c r="I3081">
        <v>13.1</v>
      </c>
    </row>
    <row r="3082" spans="1:9" ht="24" customHeight="1">
      <c r="A3082" s="6" t="s">
        <v>822</v>
      </c>
      <c r="B3082">
        <v>69141</v>
      </c>
      <c r="C3082">
        <v>5428</v>
      </c>
      <c r="D3082">
        <v>834776</v>
      </c>
      <c r="E3082">
        <v>593516</v>
      </c>
      <c r="F3082">
        <v>9.5</v>
      </c>
      <c r="G3082">
        <v>7.5</v>
      </c>
      <c r="H3082">
        <v>23.9</v>
      </c>
      <c r="I3082">
        <v>21</v>
      </c>
    </row>
    <row r="3083" spans="1:9" ht="24" customHeight="1">
      <c r="A3083" s="6" t="s">
        <v>823</v>
      </c>
      <c r="B3083">
        <v>941104</v>
      </c>
      <c r="C3083">
        <v>270891</v>
      </c>
      <c r="D3083">
        <v>530037</v>
      </c>
      <c r="E3083">
        <v>405238</v>
      </c>
      <c r="F3083">
        <v>19.399999999999999</v>
      </c>
      <c r="G3083">
        <v>12.4</v>
      </c>
      <c r="H3083">
        <v>15</v>
      </c>
      <c r="I3083">
        <v>13</v>
      </c>
    </row>
    <row r="3084" spans="1:9" ht="24" customHeight="1">
      <c r="A3084" s="6" t="s">
        <v>4169</v>
      </c>
      <c r="B3084">
        <v>69879</v>
      </c>
      <c r="C3084">
        <v>3422</v>
      </c>
      <c r="D3084">
        <v>590885</v>
      </c>
      <c r="E3084">
        <v>457041</v>
      </c>
      <c r="F3084">
        <v>3.6</v>
      </c>
      <c r="G3084">
        <v>10.3</v>
      </c>
      <c r="H3084">
        <v>21.2</v>
      </c>
      <c r="I3084">
        <v>18.2</v>
      </c>
    </row>
    <row r="3085" spans="1:9" ht="24" customHeight="1">
      <c r="A3085" s="6" t="s">
        <v>4170</v>
      </c>
      <c r="B3085">
        <v>97826</v>
      </c>
      <c r="C3085">
        <v>9100</v>
      </c>
      <c r="D3085">
        <v>506395</v>
      </c>
      <c r="E3085">
        <v>388965</v>
      </c>
      <c r="F3085">
        <v>6.7</v>
      </c>
      <c r="G3085">
        <v>3.7</v>
      </c>
      <c r="H3085">
        <v>19.899999999999999</v>
      </c>
      <c r="I3085">
        <v>17.100000000000001</v>
      </c>
    </row>
    <row r="3086" spans="1:9" ht="24" customHeight="1">
      <c r="A3086" s="6" t="s">
        <v>4171</v>
      </c>
      <c r="B3086">
        <v>74306</v>
      </c>
      <c r="C3086">
        <v>11985</v>
      </c>
      <c r="D3086">
        <v>443616</v>
      </c>
      <c r="E3086">
        <v>352474</v>
      </c>
      <c r="F3086">
        <v>14.7</v>
      </c>
      <c r="G3086">
        <v>9.4</v>
      </c>
      <c r="H3086">
        <v>17.5</v>
      </c>
      <c r="I3086">
        <v>18.100000000000001</v>
      </c>
    </row>
    <row r="3087" spans="1:9" ht="24" customHeight="1">
      <c r="A3087" s="6" t="s">
        <v>4172</v>
      </c>
      <c r="B3087">
        <v>67179</v>
      </c>
      <c r="C3087">
        <v>12848</v>
      </c>
      <c r="D3087">
        <v>431684</v>
      </c>
      <c r="E3087">
        <v>297289</v>
      </c>
      <c r="F3087">
        <v>15.4</v>
      </c>
      <c r="G3087">
        <v>8.3000000000000007</v>
      </c>
      <c r="H3087">
        <v>17.3</v>
      </c>
      <c r="I3087">
        <v>14.5</v>
      </c>
    </row>
    <row r="3088" spans="1:9" ht="24" customHeight="1">
      <c r="A3088" s="6" t="s">
        <v>4173</v>
      </c>
      <c r="B3088">
        <v>51298</v>
      </c>
      <c r="C3088">
        <v>7666</v>
      </c>
      <c r="D3088">
        <v>471230</v>
      </c>
      <c r="E3088">
        <v>355866</v>
      </c>
      <c r="F3088">
        <v>9.6999999999999993</v>
      </c>
      <c r="G3088">
        <v>6.6</v>
      </c>
      <c r="H3088">
        <v>17.899999999999999</v>
      </c>
      <c r="I3088">
        <v>16.8</v>
      </c>
    </row>
    <row r="3089" spans="1:9" ht="24" customHeight="1">
      <c r="A3089" s="6" t="s">
        <v>4174</v>
      </c>
      <c r="B3089">
        <v>823166</v>
      </c>
      <c r="C3089">
        <v>366830</v>
      </c>
      <c r="D3089">
        <v>346386</v>
      </c>
      <c r="E3089">
        <v>254700</v>
      </c>
      <c r="F3089">
        <v>12.7</v>
      </c>
      <c r="G3089">
        <v>5.5</v>
      </c>
      <c r="H3089">
        <v>10.9</v>
      </c>
      <c r="I3089">
        <v>10.3</v>
      </c>
    </row>
    <row r="3090" spans="1:9" ht="24" customHeight="1">
      <c r="A3090" s="6" t="s">
        <v>4175</v>
      </c>
      <c r="B3090">
        <v>38172</v>
      </c>
      <c r="C3090">
        <v>893</v>
      </c>
      <c r="D3090">
        <v>737311</v>
      </c>
      <c r="E3090">
        <v>584811</v>
      </c>
      <c r="F3090">
        <v>1.2</v>
      </c>
      <c r="G3090">
        <v>2.4</v>
      </c>
      <c r="H3090">
        <v>24.4</v>
      </c>
      <c r="I3090">
        <v>22.7</v>
      </c>
    </row>
    <row r="3091" spans="1:9" ht="24" customHeight="1">
      <c r="A3091" s="6" t="s">
        <v>4176</v>
      </c>
      <c r="B3091">
        <v>72728</v>
      </c>
      <c r="C3091">
        <v>5469</v>
      </c>
      <c r="D3091">
        <v>585488</v>
      </c>
      <c r="E3091">
        <v>499275</v>
      </c>
      <c r="F3091">
        <v>2</v>
      </c>
      <c r="G3091">
        <v>1.8</v>
      </c>
      <c r="H3091">
        <v>22</v>
      </c>
      <c r="I3091">
        <v>20.7</v>
      </c>
    </row>
    <row r="3092" spans="1:9" ht="24" customHeight="1">
      <c r="A3092" s="6" t="s">
        <v>4177</v>
      </c>
      <c r="B3092">
        <v>73693</v>
      </c>
      <c r="C3092">
        <v>10095</v>
      </c>
      <c r="D3092">
        <v>489363</v>
      </c>
      <c r="E3092">
        <v>425895</v>
      </c>
      <c r="F3092">
        <v>18.3</v>
      </c>
      <c r="G3092">
        <v>11.2</v>
      </c>
      <c r="H3092">
        <v>18.399999999999999</v>
      </c>
      <c r="I3092">
        <v>20.8</v>
      </c>
    </row>
    <row r="3093" spans="1:9" ht="24" customHeight="1">
      <c r="A3093" s="6" t="s">
        <v>4178</v>
      </c>
      <c r="B3093">
        <v>56403</v>
      </c>
      <c r="C3093">
        <v>7064</v>
      </c>
      <c r="D3093">
        <v>477261</v>
      </c>
      <c r="E3093">
        <v>362116</v>
      </c>
      <c r="F3093">
        <v>18.7</v>
      </c>
      <c r="G3093">
        <v>11.5</v>
      </c>
      <c r="H3093">
        <v>17.899999999999999</v>
      </c>
      <c r="I3093">
        <v>16.3</v>
      </c>
    </row>
    <row r="3094" spans="1:9" ht="24" customHeight="1">
      <c r="A3094" s="6" t="s">
        <v>4179</v>
      </c>
      <c r="B3094">
        <v>45577</v>
      </c>
      <c r="C3094">
        <v>10045</v>
      </c>
      <c r="D3094">
        <v>520661</v>
      </c>
      <c r="E3094">
        <v>401564</v>
      </c>
      <c r="F3094">
        <v>12.5</v>
      </c>
      <c r="G3094">
        <v>12.6</v>
      </c>
      <c r="H3094">
        <v>19.600000000000001</v>
      </c>
      <c r="I3094">
        <v>18.600000000000001</v>
      </c>
    </row>
    <row r="3095" spans="1:9" ht="24" customHeight="1">
      <c r="A3095" s="6" t="s">
        <v>4180</v>
      </c>
      <c r="B3095">
        <v>526113</v>
      </c>
      <c r="C3095">
        <v>241159</v>
      </c>
      <c r="D3095">
        <v>382571</v>
      </c>
      <c r="E3095">
        <v>296917</v>
      </c>
      <c r="F3095">
        <v>16.2</v>
      </c>
      <c r="G3095">
        <v>9</v>
      </c>
      <c r="H3095">
        <v>11.6</v>
      </c>
      <c r="I3095">
        <v>10.4</v>
      </c>
    </row>
    <row r="3096" spans="1:9" ht="24" customHeight="1">
      <c r="A3096" s="6" t="s">
        <v>4181</v>
      </c>
      <c r="B3096">
        <v>36373</v>
      </c>
      <c r="C3096">
        <v>314</v>
      </c>
      <c r="D3096">
        <v>839891</v>
      </c>
      <c r="E3096">
        <v>857804</v>
      </c>
      <c r="F3096">
        <v>2.6</v>
      </c>
      <c r="G3096">
        <v>0.3</v>
      </c>
      <c r="H3096">
        <v>28</v>
      </c>
      <c r="I3096">
        <v>26</v>
      </c>
    </row>
    <row r="3097" spans="1:9" ht="24" customHeight="1">
      <c r="A3097" s="6" t="s">
        <v>4182</v>
      </c>
      <c r="B3097">
        <v>72947</v>
      </c>
      <c r="C3097">
        <v>3848</v>
      </c>
      <c r="D3097">
        <v>684920</v>
      </c>
      <c r="E3097">
        <v>642463</v>
      </c>
      <c r="F3097">
        <v>4.7</v>
      </c>
      <c r="G3097">
        <v>1.2</v>
      </c>
      <c r="H3097">
        <v>23.2</v>
      </c>
      <c r="I3097">
        <v>22.5</v>
      </c>
    </row>
    <row r="3098" spans="1:9" ht="24" customHeight="1">
      <c r="A3098" s="6" t="s">
        <v>4183</v>
      </c>
      <c r="B3098">
        <v>55027</v>
      </c>
      <c r="C3098">
        <v>7153</v>
      </c>
      <c r="D3098">
        <v>572675</v>
      </c>
      <c r="E3098">
        <v>485671</v>
      </c>
      <c r="F3098">
        <v>21.7</v>
      </c>
      <c r="G3098">
        <v>13.9</v>
      </c>
      <c r="H3098">
        <v>20.7</v>
      </c>
      <c r="I3098">
        <v>18.5</v>
      </c>
    </row>
    <row r="3099" spans="1:9" ht="24" customHeight="1">
      <c r="A3099" s="6" t="s">
        <v>4184</v>
      </c>
      <c r="B3099">
        <v>57007</v>
      </c>
      <c r="C3099">
        <v>6755</v>
      </c>
      <c r="D3099">
        <v>533039</v>
      </c>
      <c r="E3099">
        <v>423339</v>
      </c>
      <c r="F3099">
        <v>24.6</v>
      </c>
      <c r="G3099">
        <v>15.3</v>
      </c>
      <c r="H3099">
        <v>18.899999999999999</v>
      </c>
      <c r="I3099">
        <v>17.5</v>
      </c>
    </row>
    <row r="3100" spans="1:9" ht="24" customHeight="1">
      <c r="A3100" s="6" t="s">
        <v>4185</v>
      </c>
      <c r="B3100">
        <v>43201</v>
      </c>
      <c r="C3100">
        <v>6823</v>
      </c>
      <c r="D3100">
        <v>669895</v>
      </c>
      <c r="E3100">
        <v>541535</v>
      </c>
      <c r="F3100">
        <v>12</v>
      </c>
      <c r="G3100">
        <v>10.1</v>
      </c>
      <c r="H3100">
        <v>22.1</v>
      </c>
      <c r="I3100">
        <v>18.100000000000001</v>
      </c>
    </row>
    <row r="3101" spans="1:9" ht="24" customHeight="1">
      <c r="A3101" s="6" t="s">
        <v>4186</v>
      </c>
      <c r="B3101">
        <v>527337</v>
      </c>
      <c r="C3101">
        <v>169249</v>
      </c>
      <c r="D3101">
        <v>435261</v>
      </c>
      <c r="E3101">
        <v>342911</v>
      </c>
      <c r="F3101">
        <v>18.5</v>
      </c>
      <c r="G3101">
        <v>10.3</v>
      </c>
      <c r="H3101">
        <v>13.3</v>
      </c>
      <c r="I3101">
        <v>12.1</v>
      </c>
    </row>
    <row r="3102" spans="1:9" ht="24" customHeight="1">
      <c r="A3102" s="6" t="s">
        <v>824</v>
      </c>
      <c r="B3102">
        <v>873</v>
      </c>
      <c r="C3102">
        <v>16</v>
      </c>
      <c r="D3102">
        <v>1211774</v>
      </c>
      <c r="E3102">
        <v>1224164</v>
      </c>
      <c r="F3102">
        <v>1.9</v>
      </c>
      <c r="G3102">
        <v>0</v>
      </c>
      <c r="H3102">
        <v>30.6</v>
      </c>
      <c r="I3102">
        <v>26.4</v>
      </c>
    </row>
    <row r="3103" spans="1:9" ht="24" customHeight="1">
      <c r="A3103" s="6" t="s">
        <v>825</v>
      </c>
      <c r="B3103">
        <v>6169</v>
      </c>
      <c r="C3103">
        <v>285</v>
      </c>
      <c r="D3103">
        <v>854219</v>
      </c>
      <c r="E3103">
        <v>849838</v>
      </c>
      <c r="F3103">
        <v>4.0999999999999996</v>
      </c>
      <c r="G3103">
        <v>6.6</v>
      </c>
      <c r="H3103">
        <v>30</v>
      </c>
      <c r="I3103">
        <v>26.6</v>
      </c>
    </row>
    <row r="3104" spans="1:9" ht="24" customHeight="1">
      <c r="A3104" s="6" t="s">
        <v>826</v>
      </c>
      <c r="B3104">
        <v>10370</v>
      </c>
      <c r="C3104">
        <v>779</v>
      </c>
      <c r="D3104">
        <v>824244</v>
      </c>
      <c r="E3104">
        <v>737993</v>
      </c>
      <c r="F3104">
        <v>20.9</v>
      </c>
      <c r="G3104">
        <v>17.2</v>
      </c>
      <c r="H3104">
        <v>27.4</v>
      </c>
      <c r="I3104">
        <v>25.5</v>
      </c>
    </row>
    <row r="3105" spans="1:9" ht="24" customHeight="1">
      <c r="A3105" s="6" t="s">
        <v>827</v>
      </c>
      <c r="B3105">
        <v>7089</v>
      </c>
      <c r="C3105">
        <v>394</v>
      </c>
      <c r="D3105">
        <v>834056</v>
      </c>
      <c r="E3105">
        <v>739730</v>
      </c>
      <c r="F3105">
        <v>13.2</v>
      </c>
      <c r="G3105">
        <v>13.9</v>
      </c>
      <c r="H3105">
        <v>27.9</v>
      </c>
      <c r="I3105">
        <v>27</v>
      </c>
    </row>
    <row r="3106" spans="1:9" ht="24" customHeight="1">
      <c r="A3106" s="6" t="s">
        <v>828</v>
      </c>
      <c r="B3106">
        <v>60410</v>
      </c>
      <c r="C3106">
        <v>11863</v>
      </c>
      <c r="D3106">
        <v>568155</v>
      </c>
      <c r="E3106">
        <v>498904</v>
      </c>
      <c r="F3106">
        <v>19.5</v>
      </c>
      <c r="G3106">
        <v>14.2</v>
      </c>
      <c r="H3106">
        <v>17.2</v>
      </c>
      <c r="I3106">
        <v>17.2</v>
      </c>
    </row>
    <row r="3107" spans="1:9" ht="24" customHeight="1">
      <c r="A3107" s="6" t="s">
        <v>4187</v>
      </c>
      <c r="B3107">
        <v>483</v>
      </c>
      <c r="C3107">
        <v>13</v>
      </c>
      <c r="D3107">
        <v>756381</v>
      </c>
      <c r="E3107">
        <v>425901</v>
      </c>
      <c r="F3107">
        <v>0.5</v>
      </c>
      <c r="G3107">
        <v>0</v>
      </c>
      <c r="H3107">
        <v>21.2</v>
      </c>
      <c r="I3107">
        <v>14.9</v>
      </c>
    </row>
    <row r="3108" spans="1:9" ht="24" customHeight="1">
      <c r="A3108" s="6" t="s">
        <v>4188</v>
      </c>
      <c r="B3108">
        <v>1116</v>
      </c>
      <c r="C3108">
        <v>51</v>
      </c>
      <c r="D3108">
        <v>669240</v>
      </c>
      <c r="E3108">
        <v>513912</v>
      </c>
      <c r="F3108">
        <v>3.6</v>
      </c>
      <c r="G3108">
        <v>14.2</v>
      </c>
      <c r="H3108">
        <v>23.6</v>
      </c>
      <c r="I3108">
        <v>19.2</v>
      </c>
    </row>
    <row r="3109" spans="1:9" ht="24" customHeight="1">
      <c r="A3109" s="6" t="s">
        <v>4189</v>
      </c>
      <c r="B3109">
        <v>1275</v>
      </c>
      <c r="C3109">
        <v>101</v>
      </c>
      <c r="D3109">
        <v>602266</v>
      </c>
      <c r="E3109">
        <v>485964</v>
      </c>
      <c r="F3109">
        <v>10.7</v>
      </c>
      <c r="G3109">
        <v>6.6</v>
      </c>
      <c r="H3109">
        <v>24.1</v>
      </c>
      <c r="I3109">
        <v>23.6</v>
      </c>
    </row>
    <row r="3110" spans="1:9" ht="24" customHeight="1">
      <c r="A3110" s="6" t="s">
        <v>4190</v>
      </c>
      <c r="B3110">
        <v>764</v>
      </c>
      <c r="C3110">
        <v>82</v>
      </c>
      <c r="D3110">
        <v>556996</v>
      </c>
      <c r="E3110">
        <v>418427</v>
      </c>
      <c r="F3110">
        <v>4.9000000000000004</v>
      </c>
      <c r="G3110">
        <v>6.9</v>
      </c>
      <c r="H3110">
        <v>18.600000000000001</v>
      </c>
      <c r="I3110">
        <v>15.2</v>
      </c>
    </row>
    <row r="3111" spans="1:9" ht="24" customHeight="1">
      <c r="A3111" s="6" t="s">
        <v>4191</v>
      </c>
      <c r="B3111">
        <v>7362</v>
      </c>
      <c r="C3111">
        <v>1568</v>
      </c>
      <c r="D3111">
        <v>447784</v>
      </c>
      <c r="E3111">
        <v>362475</v>
      </c>
      <c r="F3111">
        <v>9.1</v>
      </c>
      <c r="G3111">
        <v>4.5</v>
      </c>
      <c r="H3111">
        <v>14.5</v>
      </c>
      <c r="I3111">
        <v>11.5</v>
      </c>
    </row>
    <row r="3112" spans="1:9" ht="24" customHeight="1">
      <c r="A3112" s="6" t="s">
        <v>4192</v>
      </c>
      <c r="B3112">
        <v>225</v>
      </c>
      <c r="C3112">
        <v>30</v>
      </c>
      <c r="D3112">
        <v>975902</v>
      </c>
      <c r="E3112">
        <v>1089186</v>
      </c>
      <c r="F3112">
        <v>0.7</v>
      </c>
      <c r="G3112">
        <v>0</v>
      </c>
      <c r="H3112">
        <v>22.1</v>
      </c>
      <c r="I3112">
        <v>5.5</v>
      </c>
    </row>
    <row r="3113" spans="1:9" ht="24" customHeight="1">
      <c r="A3113" s="6" t="s">
        <v>4193</v>
      </c>
      <c r="B3113">
        <v>817</v>
      </c>
      <c r="C3113">
        <v>78</v>
      </c>
      <c r="D3113">
        <v>762455</v>
      </c>
      <c r="E3113">
        <v>663898</v>
      </c>
      <c r="F3113">
        <v>2.7</v>
      </c>
      <c r="G3113">
        <v>0.4</v>
      </c>
      <c r="H3113">
        <v>24.4</v>
      </c>
      <c r="I3113">
        <v>11.7</v>
      </c>
    </row>
    <row r="3114" spans="1:9" ht="24" customHeight="1">
      <c r="A3114" s="6" t="s">
        <v>4194</v>
      </c>
      <c r="B3114">
        <v>940</v>
      </c>
      <c r="C3114">
        <v>103</v>
      </c>
      <c r="D3114">
        <v>594123</v>
      </c>
      <c r="E3114">
        <v>487970</v>
      </c>
      <c r="F3114">
        <v>10.199999999999999</v>
      </c>
      <c r="G3114">
        <v>5.2</v>
      </c>
      <c r="H3114">
        <v>18.5</v>
      </c>
      <c r="I3114">
        <v>17.100000000000001</v>
      </c>
    </row>
    <row r="3115" spans="1:9" ht="24" customHeight="1">
      <c r="A3115" s="6" t="s">
        <v>4195</v>
      </c>
      <c r="B3115">
        <v>516</v>
      </c>
      <c r="C3115">
        <v>34</v>
      </c>
      <c r="D3115">
        <v>692066</v>
      </c>
      <c r="E3115">
        <v>479001</v>
      </c>
      <c r="F3115">
        <v>8.8000000000000007</v>
      </c>
      <c r="G3115">
        <v>5</v>
      </c>
      <c r="H3115">
        <v>20.8</v>
      </c>
      <c r="I3115">
        <v>11</v>
      </c>
    </row>
    <row r="3116" spans="1:9" ht="24" customHeight="1">
      <c r="A3116" s="6" t="s">
        <v>4196</v>
      </c>
      <c r="B3116">
        <v>3806</v>
      </c>
      <c r="C3116">
        <v>673</v>
      </c>
      <c r="D3116">
        <v>420144</v>
      </c>
      <c r="E3116">
        <v>389536</v>
      </c>
      <c r="F3116">
        <v>11</v>
      </c>
      <c r="G3116">
        <v>8.4</v>
      </c>
      <c r="H3116">
        <v>10.3</v>
      </c>
      <c r="I3116">
        <v>9.9</v>
      </c>
    </row>
    <row r="3117" spans="1:9" ht="24" customHeight="1">
      <c r="A3117" s="6" t="s">
        <v>4197</v>
      </c>
      <c r="B3117">
        <v>249</v>
      </c>
      <c r="C3117">
        <v>5</v>
      </c>
      <c r="D3117">
        <v>952350</v>
      </c>
      <c r="E3117">
        <v>1161868</v>
      </c>
      <c r="F3117">
        <v>0</v>
      </c>
      <c r="G3117">
        <v>0</v>
      </c>
      <c r="H3117">
        <v>29</v>
      </c>
      <c r="I3117">
        <v>32</v>
      </c>
    </row>
    <row r="3118" spans="1:9" ht="24" customHeight="1">
      <c r="A3118" s="6" t="s">
        <v>4198</v>
      </c>
      <c r="B3118">
        <v>734</v>
      </c>
      <c r="C3118">
        <v>46</v>
      </c>
      <c r="D3118">
        <v>786407</v>
      </c>
      <c r="E3118">
        <v>687649</v>
      </c>
      <c r="F3118">
        <v>1.5</v>
      </c>
      <c r="G3118">
        <v>0.5</v>
      </c>
      <c r="H3118">
        <v>25.9</v>
      </c>
      <c r="I3118">
        <v>22.6</v>
      </c>
    </row>
    <row r="3119" spans="1:9" ht="24" customHeight="1">
      <c r="A3119" s="6" t="s">
        <v>4199</v>
      </c>
      <c r="B3119">
        <v>960</v>
      </c>
      <c r="C3119">
        <v>34</v>
      </c>
      <c r="D3119">
        <v>682942</v>
      </c>
      <c r="E3119">
        <v>602249</v>
      </c>
      <c r="F3119">
        <v>14</v>
      </c>
      <c r="G3119">
        <v>17.2</v>
      </c>
      <c r="H3119">
        <v>21.1</v>
      </c>
      <c r="I3119">
        <v>20.9</v>
      </c>
    </row>
    <row r="3120" spans="1:9" ht="24" customHeight="1">
      <c r="A3120" s="6" t="s">
        <v>4200</v>
      </c>
      <c r="B3120">
        <v>766</v>
      </c>
      <c r="C3120">
        <v>15</v>
      </c>
      <c r="D3120">
        <v>628760</v>
      </c>
      <c r="E3120">
        <v>442460</v>
      </c>
      <c r="F3120">
        <v>8.4</v>
      </c>
      <c r="G3120">
        <v>12.6</v>
      </c>
      <c r="H3120">
        <v>13.8</v>
      </c>
      <c r="I3120">
        <v>13</v>
      </c>
    </row>
    <row r="3121" spans="1:9" ht="24" customHeight="1">
      <c r="A3121" s="6" t="s">
        <v>4201</v>
      </c>
      <c r="B3121">
        <v>6098</v>
      </c>
      <c r="C3121">
        <v>1361</v>
      </c>
      <c r="D3121">
        <v>475613</v>
      </c>
      <c r="E3121">
        <v>419181</v>
      </c>
      <c r="F3121">
        <v>11.5</v>
      </c>
      <c r="G3121">
        <v>9.1999999999999993</v>
      </c>
      <c r="H3121">
        <v>13.8</v>
      </c>
      <c r="I3121">
        <v>14.7</v>
      </c>
    </row>
    <row r="3122" spans="1:9" ht="24" customHeight="1">
      <c r="A3122" s="6" t="s">
        <v>829</v>
      </c>
      <c r="B3122">
        <v>20278</v>
      </c>
      <c r="C3122">
        <v>1025</v>
      </c>
      <c r="D3122">
        <v>1097841</v>
      </c>
      <c r="E3122">
        <v>984550</v>
      </c>
      <c r="F3122">
        <v>0.8</v>
      </c>
      <c r="G3122">
        <v>0</v>
      </c>
      <c r="H3122">
        <v>22.1</v>
      </c>
      <c r="I3122">
        <v>16.5</v>
      </c>
    </row>
    <row r="3123" spans="1:9" ht="24" customHeight="1">
      <c r="A3123" s="6" t="s">
        <v>830</v>
      </c>
      <c r="B3123">
        <v>47874</v>
      </c>
      <c r="C3123">
        <v>7372</v>
      </c>
      <c r="D3123">
        <v>840598</v>
      </c>
      <c r="E3123">
        <v>771181</v>
      </c>
      <c r="F3123">
        <v>3.3</v>
      </c>
      <c r="G3123">
        <v>4.7</v>
      </c>
      <c r="H3123">
        <v>20.399999999999999</v>
      </c>
      <c r="I3123">
        <v>20.5</v>
      </c>
    </row>
    <row r="3124" spans="1:9" ht="24" customHeight="1">
      <c r="A3124" s="6" t="s">
        <v>831</v>
      </c>
      <c r="B3124">
        <v>36533</v>
      </c>
      <c r="C3124">
        <v>11873</v>
      </c>
      <c r="D3124">
        <v>608251</v>
      </c>
      <c r="E3124">
        <v>476898</v>
      </c>
      <c r="F3124">
        <v>22.2</v>
      </c>
      <c r="G3124">
        <v>11.6</v>
      </c>
      <c r="H3124">
        <v>15.4</v>
      </c>
      <c r="I3124">
        <v>12</v>
      </c>
    </row>
    <row r="3125" spans="1:9" ht="24" customHeight="1">
      <c r="A3125" s="6" t="s">
        <v>832</v>
      </c>
      <c r="B3125">
        <v>19289</v>
      </c>
      <c r="C3125">
        <v>3839</v>
      </c>
      <c r="D3125">
        <v>808447</v>
      </c>
      <c r="E3125">
        <v>645421</v>
      </c>
      <c r="F3125">
        <v>11.9</v>
      </c>
      <c r="G3125">
        <v>8</v>
      </c>
      <c r="H3125">
        <v>20</v>
      </c>
      <c r="I3125">
        <v>21.9</v>
      </c>
    </row>
    <row r="3126" spans="1:9" ht="24" customHeight="1">
      <c r="A3126" s="6" t="s">
        <v>833</v>
      </c>
      <c r="B3126">
        <v>211475</v>
      </c>
      <c r="C3126">
        <v>111358</v>
      </c>
      <c r="D3126">
        <v>543672</v>
      </c>
      <c r="E3126">
        <v>417437</v>
      </c>
      <c r="F3126">
        <v>15.7</v>
      </c>
      <c r="G3126">
        <v>10.199999999999999</v>
      </c>
      <c r="H3126">
        <v>12.7</v>
      </c>
      <c r="I3126">
        <v>7.5</v>
      </c>
    </row>
    <row r="3127" spans="1:9" ht="24" customHeight="1">
      <c r="A3127" s="6" t="s">
        <v>4202</v>
      </c>
      <c r="B3127">
        <v>20859</v>
      </c>
      <c r="C3127">
        <v>1447</v>
      </c>
      <c r="D3127">
        <v>695536</v>
      </c>
      <c r="E3127">
        <v>641326</v>
      </c>
      <c r="F3127">
        <v>1.1000000000000001</v>
      </c>
      <c r="G3127">
        <v>3.9</v>
      </c>
      <c r="H3127">
        <v>18</v>
      </c>
      <c r="I3127">
        <v>18.3</v>
      </c>
    </row>
    <row r="3128" spans="1:9" ht="24" customHeight="1">
      <c r="A3128" s="6" t="s">
        <v>4203</v>
      </c>
      <c r="B3128">
        <v>27850</v>
      </c>
      <c r="C3128">
        <v>4875</v>
      </c>
      <c r="D3128">
        <v>495112</v>
      </c>
      <c r="E3128">
        <v>464979</v>
      </c>
      <c r="F3128">
        <v>2.9</v>
      </c>
      <c r="G3128">
        <v>2.4</v>
      </c>
      <c r="H3128">
        <v>20.100000000000001</v>
      </c>
      <c r="I3128">
        <v>21.8</v>
      </c>
    </row>
    <row r="3129" spans="1:9" ht="24" customHeight="1">
      <c r="A3129" s="6" t="s">
        <v>4204</v>
      </c>
      <c r="B3129">
        <v>19547</v>
      </c>
      <c r="C3129">
        <v>5982</v>
      </c>
      <c r="D3129">
        <v>489772</v>
      </c>
      <c r="E3129">
        <v>424249</v>
      </c>
      <c r="F3129">
        <v>11.6</v>
      </c>
      <c r="G3129">
        <v>3.8</v>
      </c>
      <c r="H3129">
        <v>15.5</v>
      </c>
      <c r="I3129">
        <v>13.5</v>
      </c>
    </row>
    <row r="3130" spans="1:9" ht="24" customHeight="1">
      <c r="A3130" s="6" t="s">
        <v>4205</v>
      </c>
      <c r="B3130">
        <v>8512</v>
      </c>
      <c r="C3130">
        <v>2321</v>
      </c>
      <c r="D3130">
        <v>479170</v>
      </c>
      <c r="E3130">
        <v>421064</v>
      </c>
      <c r="F3130">
        <v>7.2</v>
      </c>
      <c r="G3130">
        <v>11.6</v>
      </c>
      <c r="H3130">
        <v>13.3</v>
      </c>
      <c r="I3130">
        <v>12.3</v>
      </c>
    </row>
    <row r="3131" spans="1:9" ht="24" customHeight="1">
      <c r="A3131" s="6" t="s">
        <v>4206</v>
      </c>
      <c r="B3131">
        <v>157911</v>
      </c>
      <c r="C3131">
        <v>73942</v>
      </c>
      <c r="D3131">
        <v>409607</v>
      </c>
      <c r="E3131">
        <v>338427</v>
      </c>
      <c r="F3131">
        <v>7.4</v>
      </c>
      <c r="G3131">
        <v>5.9</v>
      </c>
      <c r="H3131">
        <v>8</v>
      </c>
      <c r="I3131">
        <v>7.1</v>
      </c>
    </row>
    <row r="3132" spans="1:9" ht="24" customHeight="1">
      <c r="A3132" s="6" t="s">
        <v>4207</v>
      </c>
      <c r="B3132">
        <v>17670</v>
      </c>
      <c r="C3132">
        <v>2354</v>
      </c>
      <c r="D3132">
        <v>839451</v>
      </c>
      <c r="E3132">
        <v>835238</v>
      </c>
      <c r="F3132">
        <v>0.6</v>
      </c>
      <c r="G3132">
        <v>2.5</v>
      </c>
      <c r="H3132">
        <v>17.2</v>
      </c>
      <c r="I3132">
        <v>12.8</v>
      </c>
    </row>
    <row r="3133" spans="1:9" ht="24" customHeight="1">
      <c r="A3133" s="6" t="s">
        <v>4208</v>
      </c>
      <c r="B3133">
        <v>21855</v>
      </c>
      <c r="C3133">
        <v>5001</v>
      </c>
      <c r="D3133">
        <v>672760</v>
      </c>
      <c r="E3133">
        <v>627891</v>
      </c>
      <c r="F3133">
        <v>3.3</v>
      </c>
      <c r="G3133">
        <v>1.8</v>
      </c>
      <c r="H3133">
        <v>16.5</v>
      </c>
      <c r="I3133">
        <v>17.899999999999999</v>
      </c>
    </row>
    <row r="3134" spans="1:9" ht="24" customHeight="1">
      <c r="A3134" s="6" t="s">
        <v>4209</v>
      </c>
      <c r="B3134">
        <v>14677</v>
      </c>
      <c r="C3134">
        <v>5877</v>
      </c>
      <c r="D3134">
        <v>555102</v>
      </c>
      <c r="E3134">
        <v>559860</v>
      </c>
      <c r="F3134">
        <v>13.2</v>
      </c>
      <c r="G3134">
        <v>11.6</v>
      </c>
      <c r="H3134">
        <v>15.6</v>
      </c>
      <c r="I3134">
        <v>15.1</v>
      </c>
    </row>
    <row r="3135" spans="1:9" ht="24" customHeight="1">
      <c r="A3135" s="6" t="s">
        <v>4210</v>
      </c>
      <c r="B3135">
        <v>11336</v>
      </c>
      <c r="C3135">
        <v>3810</v>
      </c>
      <c r="D3135">
        <v>572485</v>
      </c>
      <c r="E3135">
        <v>488897</v>
      </c>
      <c r="F3135">
        <v>10.9</v>
      </c>
      <c r="G3135">
        <v>4.4000000000000004</v>
      </c>
      <c r="H3135">
        <v>17.399999999999999</v>
      </c>
      <c r="I3135">
        <v>15.5</v>
      </c>
    </row>
    <row r="3136" spans="1:9" ht="24" customHeight="1">
      <c r="A3136" s="6" t="s">
        <v>4211</v>
      </c>
      <c r="B3136">
        <v>129854</v>
      </c>
      <c r="C3136">
        <v>69406</v>
      </c>
      <c r="D3136">
        <v>439121</v>
      </c>
      <c r="E3136">
        <v>386180</v>
      </c>
      <c r="F3136">
        <v>12.3</v>
      </c>
      <c r="G3136">
        <v>10.199999999999999</v>
      </c>
      <c r="H3136">
        <v>8</v>
      </c>
      <c r="I3136">
        <v>7.7</v>
      </c>
    </row>
    <row r="3137" spans="1:9" ht="24" customHeight="1">
      <c r="A3137" s="6" t="s">
        <v>4212</v>
      </c>
      <c r="B3137">
        <v>11760</v>
      </c>
      <c r="C3137">
        <v>1240</v>
      </c>
      <c r="D3137">
        <v>863489</v>
      </c>
      <c r="E3137">
        <v>1144264</v>
      </c>
      <c r="F3137">
        <v>0.7</v>
      </c>
      <c r="G3137">
        <v>1.8</v>
      </c>
      <c r="H3137">
        <v>22.3</v>
      </c>
      <c r="I3137">
        <v>17.100000000000001</v>
      </c>
    </row>
    <row r="3138" spans="1:9" ht="24" customHeight="1">
      <c r="A3138" s="6" t="s">
        <v>4213</v>
      </c>
      <c r="B3138">
        <v>17607</v>
      </c>
      <c r="C3138">
        <v>2545</v>
      </c>
      <c r="D3138">
        <v>743582</v>
      </c>
      <c r="E3138">
        <v>907530</v>
      </c>
      <c r="F3138">
        <v>3.7</v>
      </c>
      <c r="G3138">
        <v>10.5</v>
      </c>
      <c r="H3138">
        <v>20.7</v>
      </c>
      <c r="I3138">
        <v>20.100000000000001</v>
      </c>
    </row>
    <row r="3139" spans="1:9" ht="24" customHeight="1">
      <c r="A3139" s="6" t="s">
        <v>4214</v>
      </c>
      <c r="B3139">
        <v>14609</v>
      </c>
      <c r="C3139">
        <v>3505</v>
      </c>
      <c r="D3139">
        <v>602878</v>
      </c>
      <c r="E3139">
        <v>608300</v>
      </c>
      <c r="F3139">
        <v>11</v>
      </c>
      <c r="G3139">
        <v>16.7</v>
      </c>
      <c r="H3139">
        <v>15.9</v>
      </c>
      <c r="I3139">
        <v>16.3</v>
      </c>
    </row>
    <row r="3140" spans="1:9" ht="24" customHeight="1">
      <c r="A3140" s="6" t="s">
        <v>4215</v>
      </c>
      <c r="B3140">
        <v>10713</v>
      </c>
      <c r="C3140">
        <v>2922</v>
      </c>
      <c r="D3140">
        <v>637495</v>
      </c>
      <c r="E3140">
        <v>559268</v>
      </c>
      <c r="F3140">
        <v>9.8000000000000007</v>
      </c>
      <c r="G3140">
        <v>5.9</v>
      </c>
      <c r="H3140">
        <v>20.8</v>
      </c>
      <c r="I3140">
        <v>20.9</v>
      </c>
    </row>
    <row r="3141" spans="1:9" ht="24" customHeight="1">
      <c r="A3141" s="6" t="s">
        <v>4216</v>
      </c>
      <c r="B3141">
        <v>118697</v>
      </c>
      <c r="C3141">
        <v>55237</v>
      </c>
      <c r="D3141">
        <v>483782</v>
      </c>
      <c r="E3141">
        <v>408866</v>
      </c>
      <c r="F3141">
        <v>15.1</v>
      </c>
      <c r="G3141">
        <v>13.8</v>
      </c>
      <c r="H3141">
        <v>10.3</v>
      </c>
      <c r="I3141">
        <v>7.7</v>
      </c>
    </row>
    <row r="3142" spans="1:9" ht="24" customHeight="1">
      <c r="A3142" s="6" t="s">
        <v>834</v>
      </c>
      <c r="B3142">
        <v>6773</v>
      </c>
      <c r="C3142">
        <v>166</v>
      </c>
      <c r="D3142">
        <v>878489</v>
      </c>
      <c r="E3142">
        <v>989796</v>
      </c>
      <c r="F3142">
        <v>0.4</v>
      </c>
      <c r="G3142">
        <v>0</v>
      </c>
      <c r="H3142">
        <v>27.9</v>
      </c>
      <c r="I3142">
        <v>28.9</v>
      </c>
    </row>
    <row r="3143" spans="1:9" ht="24" customHeight="1">
      <c r="A3143" s="6" t="s">
        <v>835</v>
      </c>
      <c r="B3143">
        <v>25635</v>
      </c>
      <c r="C3143">
        <v>1415</v>
      </c>
      <c r="D3143">
        <v>716477</v>
      </c>
      <c r="E3143">
        <v>677123</v>
      </c>
      <c r="F3143">
        <v>6.3</v>
      </c>
      <c r="G3143">
        <v>1.3</v>
      </c>
      <c r="H3143">
        <v>24.4</v>
      </c>
      <c r="I3143">
        <v>27</v>
      </c>
    </row>
    <row r="3144" spans="1:9" ht="24" customHeight="1">
      <c r="A3144" s="6" t="s">
        <v>836</v>
      </c>
      <c r="B3144">
        <v>25266</v>
      </c>
      <c r="C3144">
        <v>3533</v>
      </c>
      <c r="D3144">
        <v>613967</v>
      </c>
      <c r="E3144">
        <v>503395</v>
      </c>
      <c r="F3144">
        <v>30.4</v>
      </c>
      <c r="G3144">
        <v>25</v>
      </c>
      <c r="H3144">
        <v>21</v>
      </c>
      <c r="I3144">
        <v>17.899999999999999</v>
      </c>
    </row>
    <row r="3145" spans="1:9" ht="24" customHeight="1">
      <c r="A3145" s="6" t="s">
        <v>837</v>
      </c>
      <c r="B3145">
        <v>30901</v>
      </c>
      <c r="C3145">
        <v>3648</v>
      </c>
      <c r="D3145">
        <v>622696</v>
      </c>
      <c r="E3145">
        <v>519358</v>
      </c>
      <c r="F3145">
        <v>19.5</v>
      </c>
      <c r="G3145">
        <v>17</v>
      </c>
      <c r="H3145">
        <v>20.5</v>
      </c>
      <c r="I3145">
        <v>19.100000000000001</v>
      </c>
    </row>
    <row r="3146" spans="1:9" ht="24" customHeight="1">
      <c r="A3146" s="6" t="s">
        <v>838</v>
      </c>
      <c r="B3146">
        <v>439818</v>
      </c>
      <c r="C3146">
        <v>75564</v>
      </c>
      <c r="D3146">
        <v>469677</v>
      </c>
      <c r="E3146">
        <v>364034</v>
      </c>
      <c r="F3146">
        <v>32.9</v>
      </c>
      <c r="G3146">
        <v>16.3</v>
      </c>
      <c r="H3146">
        <v>14.5</v>
      </c>
      <c r="I3146">
        <v>10.5</v>
      </c>
    </row>
    <row r="3147" spans="1:9" ht="24" customHeight="1">
      <c r="A3147" s="6" t="s">
        <v>4217</v>
      </c>
      <c r="B3147">
        <v>13556</v>
      </c>
      <c r="C3147">
        <v>1585</v>
      </c>
      <c r="D3147">
        <v>522794</v>
      </c>
      <c r="E3147">
        <v>444018</v>
      </c>
      <c r="F3147">
        <v>6.1</v>
      </c>
      <c r="G3147">
        <v>12.4</v>
      </c>
      <c r="H3147">
        <v>17.3</v>
      </c>
      <c r="I3147">
        <v>15.3</v>
      </c>
    </row>
    <row r="3148" spans="1:9" ht="24" customHeight="1">
      <c r="A3148" s="6" t="s">
        <v>4218</v>
      </c>
      <c r="B3148">
        <v>18978</v>
      </c>
      <c r="C3148">
        <v>1096</v>
      </c>
      <c r="D3148">
        <v>475623</v>
      </c>
      <c r="E3148">
        <v>399188</v>
      </c>
      <c r="F3148">
        <v>8.1999999999999993</v>
      </c>
      <c r="G3148">
        <v>16.399999999999999</v>
      </c>
      <c r="H3148">
        <v>17.8</v>
      </c>
      <c r="I3148">
        <v>20.2</v>
      </c>
    </row>
    <row r="3149" spans="1:9" ht="24" customHeight="1">
      <c r="A3149" s="6" t="s">
        <v>4219</v>
      </c>
      <c r="B3149">
        <v>11549</v>
      </c>
      <c r="C3149">
        <v>2528</v>
      </c>
      <c r="D3149">
        <v>439133</v>
      </c>
      <c r="E3149">
        <v>377261</v>
      </c>
      <c r="F3149">
        <v>20.7</v>
      </c>
      <c r="G3149">
        <v>5.4</v>
      </c>
      <c r="H3149">
        <v>15</v>
      </c>
      <c r="I3149">
        <v>12.8</v>
      </c>
    </row>
    <row r="3150" spans="1:9" ht="24" customHeight="1">
      <c r="A3150" s="6" t="s">
        <v>4220</v>
      </c>
      <c r="B3150">
        <v>17630</v>
      </c>
      <c r="C3150">
        <v>2279</v>
      </c>
      <c r="D3150">
        <v>427917</v>
      </c>
      <c r="E3150">
        <v>390006</v>
      </c>
      <c r="F3150">
        <v>16.8</v>
      </c>
      <c r="G3150">
        <v>4.9000000000000004</v>
      </c>
      <c r="H3150">
        <v>18.2</v>
      </c>
      <c r="I3150">
        <v>15.1</v>
      </c>
    </row>
    <row r="3151" spans="1:9" ht="24" customHeight="1">
      <c r="A3151" s="6" t="s">
        <v>4221</v>
      </c>
      <c r="B3151">
        <v>501936</v>
      </c>
      <c r="C3151">
        <v>56517</v>
      </c>
      <c r="D3151">
        <v>355906</v>
      </c>
      <c r="E3151">
        <v>263932</v>
      </c>
      <c r="F3151">
        <v>25.9</v>
      </c>
      <c r="G3151">
        <v>9.1999999999999993</v>
      </c>
      <c r="H3151">
        <v>10.4</v>
      </c>
      <c r="I3151">
        <v>7.9</v>
      </c>
    </row>
    <row r="3152" spans="1:9" ht="24" customHeight="1">
      <c r="A3152" s="6" t="s">
        <v>4222</v>
      </c>
      <c r="B3152">
        <v>6590</v>
      </c>
      <c r="C3152">
        <v>251</v>
      </c>
      <c r="D3152">
        <v>620672</v>
      </c>
      <c r="E3152">
        <v>440304</v>
      </c>
      <c r="F3152">
        <v>3.7</v>
      </c>
      <c r="G3152">
        <v>0.3</v>
      </c>
      <c r="H3152">
        <v>21.4</v>
      </c>
      <c r="I3152">
        <v>19</v>
      </c>
    </row>
    <row r="3153" spans="1:9" ht="24" customHeight="1">
      <c r="A3153" s="6" t="s">
        <v>4223</v>
      </c>
      <c r="B3153">
        <v>20330</v>
      </c>
      <c r="C3153">
        <v>1323</v>
      </c>
      <c r="D3153">
        <v>545688</v>
      </c>
      <c r="E3153">
        <v>465351</v>
      </c>
      <c r="F3153">
        <v>8</v>
      </c>
      <c r="G3153">
        <v>1.3</v>
      </c>
      <c r="H3153">
        <v>22</v>
      </c>
      <c r="I3153">
        <v>20</v>
      </c>
    </row>
    <row r="3154" spans="1:9" ht="24" customHeight="1">
      <c r="A3154" s="6" t="s">
        <v>4224</v>
      </c>
      <c r="B3154">
        <v>13183</v>
      </c>
      <c r="C3154">
        <v>2029</v>
      </c>
      <c r="D3154">
        <v>482834</v>
      </c>
      <c r="E3154">
        <v>396775</v>
      </c>
      <c r="F3154">
        <v>24.5</v>
      </c>
      <c r="G3154">
        <v>17.899999999999999</v>
      </c>
      <c r="H3154">
        <v>18</v>
      </c>
      <c r="I3154">
        <v>19.5</v>
      </c>
    </row>
    <row r="3155" spans="1:9" ht="24" customHeight="1">
      <c r="A3155" s="6" t="s">
        <v>4225</v>
      </c>
      <c r="B3155">
        <v>12533</v>
      </c>
      <c r="C3155">
        <v>1703</v>
      </c>
      <c r="D3155">
        <v>483276</v>
      </c>
      <c r="E3155">
        <v>358442</v>
      </c>
      <c r="F3155">
        <v>18</v>
      </c>
      <c r="G3155">
        <v>14.6</v>
      </c>
      <c r="H3155">
        <v>17.8</v>
      </c>
      <c r="I3155">
        <v>17</v>
      </c>
    </row>
    <row r="3156" spans="1:9" ht="24" customHeight="1">
      <c r="A3156" s="6" t="s">
        <v>4226</v>
      </c>
      <c r="B3156">
        <v>290569</v>
      </c>
      <c r="C3156">
        <v>47367</v>
      </c>
      <c r="D3156">
        <v>387046</v>
      </c>
      <c r="E3156">
        <v>294960</v>
      </c>
      <c r="F3156">
        <v>29.4</v>
      </c>
      <c r="G3156">
        <v>14.6</v>
      </c>
      <c r="H3156">
        <v>11.2</v>
      </c>
      <c r="I3156">
        <v>9</v>
      </c>
    </row>
    <row r="3157" spans="1:9" ht="24" customHeight="1">
      <c r="A3157" s="6" t="s">
        <v>4227</v>
      </c>
      <c r="B3157">
        <v>7763</v>
      </c>
      <c r="C3157">
        <v>80</v>
      </c>
      <c r="D3157">
        <v>803115</v>
      </c>
      <c r="E3157">
        <v>666559</v>
      </c>
      <c r="F3157">
        <v>4.5999999999999996</v>
      </c>
      <c r="G3157">
        <v>0</v>
      </c>
      <c r="H3157">
        <v>23.8</v>
      </c>
      <c r="I3157">
        <v>26.9</v>
      </c>
    </row>
    <row r="3158" spans="1:9" ht="24" customHeight="1">
      <c r="A3158" s="6" t="s">
        <v>4228</v>
      </c>
      <c r="B3158">
        <v>16711</v>
      </c>
      <c r="C3158">
        <v>2131</v>
      </c>
      <c r="D3158">
        <v>656945</v>
      </c>
      <c r="E3158">
        <v>641597</v>
      </c>
      <c r="F3158">
        <v>2</v>
      </c>
      <c r="G3158">
        <v>5.8</v>
      </c>
      <c r="H3158">
        <v>22.5</v>
      </c>
      <c r="I3158">
        <v>23.3</v>
      </c>
    </row>
    <row r="3159" spans="1:9" ht="24" customHeight="1">
      <c r="A3159" s="6" t="s">
        <v>4229</v>
      </c>
      <c r="B3159">
        <v>15896</v>
      </c>
      <c r="C3159">
        <v>2878</v>
      </c>
      <c r="D3159">
        <v>494090</v>
      </c>
      <c r="E3159">
        <v>504038</v>
      </c>
      <c r="F3159">
        <v>27</v>
      </c>
      <c r="G3159">
        <v>12.2</v>
      </c>
      <c r="H3159">
        <v>17.399999999999999</v>
      </c>
      <c r="I3159">
        <v>18.100000000000001</v>
      </c>
    </row>
    <row r="3160" spans="1:9" ht="24" customHeight="1">
      <c r="A3160" s="6" t="s">
        <v>4230</v>
      </c>
      <c r="B3160">
        <v>12555</v>
      </c>
      <c r="C3160">
        <v>4595</v>
      </c>
      <c r="D3160">
        <v>491762</v>
      </c>
      <c r="E3160">
        <v>376830</v>
      </c>
      <c r="F3160">
        <v>20.100000000000001</v>
      </c>
      <c r="G3160">
        <v>12.7</v>
      </c>
      <c r="H3160">
        <v>16.3</v>
      </c>
      <c r="I3160">
        <v>12</v>
      </c>
    </row>
    <row r="3161" spans="1:9" ht="24" customHeight="1">
      <c r="A3161" s="6" t="s">
        <v>4231</v>
      </c>
      <c r="B3161">
        <v>185945</v>
      </c>
      <c r="C3161">
        <v>50450</v>
      </c>
      <c r="D3161">
        <v>424285</v>
      </c>
      <c r="E3161">
        <v>352191</v>
      </c>
      <c r="F3161">
        <v>35.299999999999997</v>
      </c>
      <c r="G3161">
        <v>16.5</v>
      </c>
      <c r="H3161">
        <v>10.7</v>
      </c>
      <c r="I3161">
        <v>7.8</v>
      </c>
    </row>
    <row r="3162" spans="1:9" ht="24" customHeight="1">
      <c r="A3162" s="6" t="s">
        <v>839</v>
      </c>
      <c r="B3162">
        <v>38634</v>
      </c>
      <c r="C3162">
        <v>1986</v>
      </c>
      <c r="D3162">
        <v>877038</v>
      </c>
      <c r="E3162">
        <v>822775</v>
      </c>
      <c r="F3162">
        <v>1.7</v>
      </c>
      <c r="G3162">
        <v>0.7</v>
      </c>
      <c r="H3162">
        <v>27.2</v>
      </c>
      <c r="I3162">
        <v>18.8</v>
      </c>
    </row>
    <row r="3163" spans="1:9" ht="24" customHeight="1">
      <c r="A3163" s="6" t="s">
        <v>840</v>
      </c>
      <c r="B3163">
        <v>111789</v>
      </c>
      <c r="C3163">
        <v>9885</v>
      </c>
      <c r="D3163">
        <v>728708</v>
      </c>
      <c r="E3163">
        <v>819478</v>
      </c>
      <c r="F3163">
        <v>2.1</v>
      </c>
      <c r="G3163">
        <v>2.2999999999999998</v>
      </c>
      <c r="H3163">
        <v>22.4</v>
      </c>
      <c r="I3163">
        <v>20.8</v>
      </c>
    </row>
    <row r="3164" spans="1:9" ht="24" customHeight="1">
      <c r="A3164" s="6" t="s">
        <v>841</v>
      </c>
      <c r="B3164">
        <v>111124</v>
      </c>
      <c r="C3164">
        <v>29303</v>
      </c>
      <c r="D3164">
        <v>517507</v>
      </c>
      <c r="E3164">
        <v>406787</v>
      </c>
      <c r="F3164">
        <v>22.8</v>
      </c>
      <c r="G3164">
        <v>19.600000000000001</v>
      </c>
      <c r="H3164">
        <v>19.5</v>
      </c>
      <c r="I3164">
        <v>13.8</v>
      </c>
    </row>
    <row r="3165" spans="1:9" ht="24" customHeight="1">
      <c r="A3165" s="6" t="s">
        <v>842</v>
      </c>
      <c r="B3165">
        <v>181810</v>
      </c>
      <c r="C3165">
        <v>28671</v>
      </c>
      <c r="D3165">
        <v>553950</v>
      </c>
      <c r="E3165">
        <v>483639</v>
      </c>
      <c r="F3165">
        <v>7.9</v>
      </c>
      <c r="G3165">
        <v>12.6</v>
      </c>
      <c r="H3165">
        <v>15.9</v>
      </c>
      <c r="I3165">
        <v>12.5</v>
      </c>
    </row>
    <row r="3166" spans="1:9" ht="24" customHeight="1">
      <c r="A3166" s="6" t="s">
        <v>843</v>
      </c>
      <c r="B3166">
        <v>702004</v>
      </c>
      <c r="C3166">
        <v>357081</v>
      </c>
      <c r="D3166">
        <v>442440</v>
      </c>
      <c r="E3166">
        <v>365655</v>
      </c>
      <c r="F3166">
        <v>15.1</v>
      </c>
      <c r="G3166">
        <v>10.4</v>
      </c>
      <c r="H3166">
        <v>11.2</v>
      </c>
      <c r="I3166">
        <v>9.3000000000000007</v>
      </c>
    </row>
    <row r="3167" spans="1:9" ht="24" customHeight="1">
      <c r="A3167" s="6" t="s">
        <v>4232</v>
      </c>
      <c r="B3167">
        <v>62640</v>
      </c>
      <c r="C3167">
        <v>10258</v>
      </c>
      <c r="D3167">
        <v>611350</v>
      </c>
      <c r="E3167">
        <v>543373</v>
      </c>
      <c r="F3167">
        <v>2.6</v>
      </c>
      <c r="G3167">
        <v>0.9</v>
      </c>
      <c r="H3167">
        <v>21.4</v>
      </c>
      <c r="I3167">
        <v>18.2</v>
      </c>
    </row>
    <row r="3168" spans="1:9" ht="24" customHeight="1">
      <c r="A3168" s="6" t="s">
        <v>4233</v>
      </c>
      <c r="B3168">
        <v>92233</v>
      </c>
      <c r="C3168">
        <v>13027</v>
      </c>
      <c r="D3168">
        <v>538119</v>
      </c>
      <c r="E3168">
        <v>428767</v>
      </c>
      <c r="F3168">
        <v>2.8</v>
      </c>
      <c r="G3168">
        <v>2.8</v>
      </c>
      <c r="H3168">
        <v>18.600000000000001</v>
      </c>
      <c r="I3168">
        <v>18.2</v>
      </c>
    </row>
    <row r="3169" spans="1:9" ht="24" customHeight="1">
      <c r="A3169" s="6" t="s">
        <v>4234</v>
      </c>
      <c r="B3169">
        <v>64349</v>
      </c>
      <c r="C3169">
        <v>21353</v>
      </c>
      <c r="D3169">
        <v>456047</v>
      </c>
      <c r="E3169">
        <v>397350</v>
      </c>
      <c r="F3169">
        <v>8.8000000000000007</v>
      </c>
      <c r="G3169">
        <v>4.8</v>
      </c>
      <c r="H3169">
        <v>15.4</v>
      </c>
      <c r="I3169">
        <v>16.399999999999999</v>
      </c>
    </row>
    <row r="3170" spans="1:9" ht="24" customHeight="1">
      <c r="A3170" s="6" t="s">
        <v>4235</v>
      </c>
      <c r="B3170">
        <v>56427</v>
      </c>
      <c r="C3170">
        <v>22537</v>
      </c>
      <c r="D3170">
        <v>455164</v>
      </c>
      <c r="E3170">
        <v>355410</v>
      </c>
      <c r="F3170">
        <v>7.9</v>
      </c>
      <c r="G3170">
        <v>9.5</v>
      </c>
      <c r="H3170">
        <v>15.9</v>
      </c>
      <c r="I3170">
        <v>14.3</v>
      </c>
    </row>
    <row r="3171" spans="1:9" ht="24" customHeight="1">
      <c r="A3171" s="6" t="s">
        <v>4236</v>
      </c>
      <c r="B3171">
        <v>454367</v>
      </c>
      <c r="C3171">
        <v>316337</v>
      </c>
      <c r="D3171">
        <v>361545</v>
      </c>
      <c r="E3171">
        <v>290214</v>
      </c>
      <c r="F3171">
        <v>8.4</v>
      </c>
      <c r="G3171">
        <v>5.3</v>
      </c>
      <c r="H3171">
        <v>10</v>
      </c>
      <c r="I3171">
        <v>8.9</v>
      </c>
    </row>
    <row r="3172" spans="1:9" ht="24" customHeight="1">
      <c r="A3172" s="6" t="s">
        <v>4237</v>
      </c>
      <c r="B3172">
        <v>38411</v>
      </c>
      <c r="C3172">
        <v>1845</v>
      </c>
      <c r="D3172">
        <v>785376</v>
      </c>
      <c r="E3172">
        <v>1105060</v>
      </c>
      <c r="F3172">
        <v>0.6</v>
      </c>
      <c r="G3172">
        <v>0.4</v>
      </c>
      <c r="H3172">
        <v>21.7</v>
      </c>
      <c r="I3172">
        <v>11.7</v>
      </c>
    </row>
    <row r="3173" spans="1:9" ht="24" customHeight="1">
      <c r="A3173" s="6" t="s">
        <v>4238</v>
      </c>
      <c r="B3173">
        <v>78526</v>
      </c>
      <c r="C3173">
        <v>10764</v>
      </c>
      <c r="D3173">
        <v>603193</v>
      </c>
      <c r="E3173">
        <v>583500</v>
      </c>
      <c r="F3173">
        <v>2.2000000000000002</v>
      </c>
      <c r="G3173">
        <v>1.9</v>
      </c>
      <c r="H3173">
        <v>20.7</v>
      </c>
      <c r="I3173">
        <v>15.4</v>
      </c>
    </row>
    <row r="3174" spans="1:9" ht="24" customHeight="1">
      <c r="A3174" s="6" t="s">
        <v>4239</v>
      </c>
      <c r="B3174">
        <v>45213</v>
      </c>
      <c r="C3174">
        <v>18281</v>
      </c>
      <c r="D3174">
        <v>497015</v>
      </c>
      <c r="E3174">
        <v>448543</v>
      </c>
      <c r="F3174">
        <v>11.2</v>
      </c>
      <c r="G3174">
        <v>5.0999999999999996</v>
      </c>
      <c r="H3174">
        <v>16.7</v>
      </c>
      <c r="I3174">
        <v>17.5</v>
      </c>
    </row>
    <row r="3175" spans="1:9" ht="24" customHeight="1">
      <c r="A3175" s="6" t="s">
        <v>4240</v>
      </c>
      <c r="B3175">
        <v>47972</v>
      </c>
      <c r="C3175">
        <v>11865</v>
      </c>
      <c r="D3175">
        <v>519512</v>
      </c>
      <c r="E3175">
        <v>400306</v>
      </c>
      <c r="F3175">
        <v>7.4</v>
      </c>
      <c r="G3175">
        <v>8.6999999999999993</v>
      </c>
      <c r="H3175">
        <v>17.7</v>
      </c>
      <c r="I3175">
        <v>17.899999999999999</v>
      </c>
    </row>
    <row r="3176" spans="1:9" ht="24" customHeight="1">
      <c r="A3176" s="6" t="s">
        <v>4241</v>
      </c>
      <c r="B3176">
        <v>259468</v>
      </c>
      <c r="C3176">
        <v>177075</v>
      </c>
      <c r="D3176">
        <v>406999</v>
      </c>
      <c r="E3176">
        <v>330879</v>
      </c>
      <c r="F3176">
        <v>12.8</v>
      </c>
      <c r="G3176">
        <v>6.8</v>
      </c>
      <c r="H3176">
        <v>10.3</v>
      </c>
      <c r="I3176">
        <v>8.6</v>
      </c>
    </row>
    <row r="3177" spans="1:9" ht="24" customHeight="1">
      <c r="A3177" s="6" t="s">
        <v>4242</v>
      </c>
      <c r="B3177">
        <v>34276</v>
      </c>
      <c r="C3177">
        <v>2042</v>
      </c>
      <c r="D3177">
        <v>814690</v>
      </c>
      <c r="E3177">
        <v>688062</v>
      </c>
      <c r="F3177">
        <v>1</v>
      </c>
      <c r="G3177">
        <v>0.3</v>
      </c>
      <c r="H3177">
        <v>25.6</v>
      </c>
      <c r="I3177">
        <v>22.2</v>
      </c>
    </row>
    <row r="3178" spans="1:9" ht="24" customHeight="1">
      <c r="A3178" s="6" t="s">
        <v>4243</v>
      </c>
      <c r="B3178">
        <v>85538</v>
      </c>
      <c r="C3178">
        <v>5447</v>
      </c>
      <c r="D3178">
        <v>702099</v>
      </c>
      <c r="E3178">
        <v>567189</v>
      </c>
      <c r="F3178">
        <v>2.4</v>
      </c>
      <c r="G3178">
        <v>4.8</v>
      </c>
      <c r="H3178">
        <v>22.1</v>
      </c>
      <c r="I3178">
        <v>20.6</v>
      </c>
    </row>
    <row r="3179" spans="1:9" ht="24" customHeight="1">
      <c r="A3179" s="6" t="s">
        <v>4244</v>
      </c>
      <c r="B3179">
        <v>69118</v>
      </c>
      <c r="C3179">
        <v>22630</v>
      </c>
      <c r="D3179">
        <v>578530</v>
      </c>
      <c r="E3179">
        <v>428971</v>
      </c>
      <c r="F3179">
        <v>14.3</v>
      </c>
      <c r="G3179">
        <v>8.5</v>
      </c>
      <c r="H3179">
        <v>16.8</v>
      </c>
      <c r="I3179">
        <v>17</v>
      </c>
    </row>
    <row r="3180" spans="1:9" ht="24" customHeight="1">
      <c r="A3180" s="6" t="s">
        <v>4245</v>
      </c>
      <c r="B3180">
        <v>57321</v>
      </c>
      <c r="C3180">
        <v>16117</v>
      </c>
      <c r="D3180">
        <v>561060</v>
      </c>
      <c r="E3180">
        <v>422731</v>
      </c>
      <c r="F3180">
        <v>22.9</v>
      </c>
      <c r="G3180">
        <v>11.2</v>
      </c>
      <c r="H3180">
        <v>19.600000000000001</v>
      </c>
      <c r="I3180">
        <v>18.100000000000001</v>
      </c>
    </row>
    <row r="3181" spans="1:9" ht="24" customHeight="1">
      <c r="A3181" s="6" t="s">
        <v>4246</v>
      </c>
      <c r="B3181">
        <v>373561</v>
      </c>
      <c r="C3181">
        <v>234722</v>
      </c>
      <c r="D3181">
        <v>455244</v>
      </c>
      <c r="E3181">
        <v>344740</v>
      </c>
      <c r="F3181">
        <v>14.3</v>
      </c>
      <c r="G3181">
        <v>7.6</v>
      </c>
      <c r="H3181">
        <v>10.7</v>
      </c>
      <c r="I3181">
        <v>8</v>
      </c>
    </row>
    <row r="3182" spans="1:9" ht="24" customHeight="1">
      <c r="A3182" s="6" t="s">
        <v>844</v>
      </c>
      <c r="B3182">
        <v>18145</v>
      </c>
      <c r="C3182">
        <v>1199</v>
      </c>
      <c r="D3182">
        <v>1266589</v>
      </c>
      <c r="E3182">
        <v>1101594</v>
      </c>
      <c r="F3182">
        <v>1.3</v>
      </c>
      <c r="G3182">
        <v>1.7</v>
      </c>
      <c r="H3182">
        <v>26.4</v>
      </c>
      <c r="I3182">
        <v>25.4</v>
      </c>
    </row>
    <row r="3183" spans="1:9" ht="24" customHeight="1">
      <c r="A3183" s="6" t="s">
        <v>845</v>
      </c>
      <c r="B3183">
        <v>45987</v>
      </c>
      <c r="C3183">
        <v>9422</v>
      </c>
      <c r="D3183">
        <v>1047223</v>
      </c>
      <c r="E3183">
        <v>793365</v>
      </c>
      <c r="F3183">
        <v>7.6</v>
      </c>
      <c r="G3183">
        <v>13.6</v>
      </c>
      <c r="H3183">
        <v>22.3</v>
      </c>
      <c r="I3183">
        <v>23.7</v>
      </c>
    </row>
    <row r="3184" spans="1:9" ht="24" customHeight="1">
      <c r="A3184" s="6" t="s">
        <v>846</v>
      </c>
      <c r="B3184">
        <v>14852</v>
      </c>
      <c r="C3184">
        <v>14555</v>
      </c>
      <c r="D3184">
        <v>700898</v>
      </c>
      <c r="E3184">
        <v>549186</v>
      </c>
      <c r="F3184">
        <v>25.4</v>
      </c>
      <c r="G3184">
        <v>13.5</v>
      </c>
      <c r="H3184">
        <v>16.399999999999999</v>
      </c>
      <c r="I3184">
        <v>20.3</v>
      </c>
    </row>
    <row r="3185" spans="1:9" ht="24" customHeight="1">
      <c r="A3185" s="6" t="s">
        <v>847</v>
      </c>
      <c r="B3185">
        <v>68986</v>
      </c>
      <c r="C3185">
        <v>41996</v>
      </c>
      <c r="D3185">
        <v>846516</v>
      </c>
      <c r="E3185">
        <v>643516</v>
      </c>
      <c r="F3185">
        <v>16.3</v>
      </c>
      <c r="G3185">
        <v>21.7</v>
      </c>
      <c r="H3185">
        <v>19.8</v>
      </c>
      <c r="I3185">
        <v>18.8</v>
      </c>
    </row>
    <row r="3186" spans="1:9" ht="24" customHeight="1">
      <c r="A3186" s="6" t="s">
        <v>848</v>
      </c>
      <c r="B3186">
        <v>136884</v>
      </c>
      <c r="C3186">
        <v>367540</v>
      </c>
      <c r="D3186">
        <v>614395</v>
      </c>
      <c r="E3186">
        <v>366339</v>
      </c>
      <c r="F3186">
        <v>17.899999999999999</v>
      </c>
      <c r="G3186">
        <v>7.4</v>
      </c>
      <c r="H3186">
        <v>11</v>
      </c>
      <c r="I3186">
        <v>11.5</v>
      </c>
    </row>
    <row r="3187" spans="1:9" ht="24" customHeight="1">
      <c r="A3187" s="6" t="s">
        <v>4247</v>
      </c>
      <c r="B3187">
        <v>5104</v>
      </c>
      <c r="C3187">
        <v>605</v>
      </c>
      <c r="D3187">
        <v>1086697</v>
      </c>
      <c r="E3187">
        <v>860820</v>
      </c>
      <c r="F3187">
        <v>1</v>
      </c>
      <c r="G3187">
        <v>1.5</v>
      </c>
      <c r="H3187">
        <v>17.5</v>
      </c>
      <c r="I3187">
        <v>18.3</v>
      </c>
    </row>
    <row r="3188" spans="1:9" ht="24" customHeight="1">
      <c r="A3188" s="6" t="s">
        <v>4248</v>
      </c>
      <c r="B3188">
        <v>6594</v>
      </c>
      <c r="C3188">
        <v>1850</v>
      </c>
      <c r="D3188">
        <v>730624</v>
      </c>
      <c r="E3188">
        <v>656859</v>
      </c>
      <c r="F3188">
        <v>3</v>
      </c>
      <c r="G3188">
        <v>3.7</v>
      </c>
      <c r="H3188">
        <v>16.100000000000001</v>
      </c>
      <c r="I3188">
        <v>17.899999999999999</v>
      </c>
    </row>
    <row r="3189" spans="1:9" ht="24" customHeight="1">
      <c r="A3189" s="6" t="s">
        <v>4249</v>
      </c>
      <c r="B3189">
        <v>3153</v>
      </c>
      <c r="C3189">
        <v>2630</v>
      </c>
      <c r="D3189">
        <v>587653</v>
      </c>
      <c r="E3189">
        <v>502730</v>
      </c>
      <c r="F3189">
        <v>9.6999999999999993</v>
      </c>
      <c r="G3189">
        <v>6.8</v>
      </c>
      <c r="H3189">
        <v>12.3</v>
      </c>
      <c r="I3189">
        <v>15.3</v>
      </c>
    </row>
    <row r="3190" spans="1:9" ht="24" customHeight="1">
      <c r="A3190" s="6" t="s">
        <v>4250</v>
      </c>
      <c r="B3190">
        <v>6296</v>
      </c>
      <c r="C3190">
        <v>3486</v>
      </c>
      <c r="D3190">
        <v>621512</v>
      </c>
      <c r="E3190">
        <v>473122</v>
      </c>
      <c r="F3190">
        <v>5.5</v>
      </c>
      <c r="G3190">
        <v>4.7</v>
      </c>
      <c r="H3190">
        <v>16.600000000000001</v>
      </c>
      <c r="I3190">
        <v>17.899999999999999</v>
      </c>
    </row>
    <row r="3191" spans="1:9" ht="24" customHeight="1">
      <c r="A3191" s="6" t="s">
        <v>4251</v>
      </c>
      <c r="B3191">
        <v>16449</v>
      </c>
      <c r="C3191">
        <v>21183</v>
      </c>
      <c r="D3191">
        <v>568105</v>
      </c>
      <c r="E3191">
        <v>396283</v>
      </c>
      <c r="F3191">
        <v>7.9</v>
      </c>
      <c r="G3191">
        <v>5</v>
      </c>
      <c r="H3191">
        <v>7</v>
      </c>
      <c r="I3191">
        <v>8.1999999999999993</v>
      </c>
    </row>
    <row r="3192" spans="1:9" ht="24" customHeight="1">
      <c r="A3192" s="6" t="s">
        <v>4252</v>
      </c>
      <c r="B3192">
        <v>3934</v>
      </c>
      <c r="C3192">
        <v>248</v>
      </c>
      <c r="D3192">
        <v>890107</v>
      </c>
      <c r="E3192">
        <v>1096903</v>
      </c>
      <c r="F3192">
        <v>0.1</v>
      </c>
      <c r="G3192">
        <v>0.2</v>
      </c>
      <c r="H3192">
        <v>22.6</v>
      </c>
      <c r="I3192">
        <v>24.7</v>
      </c>
    </row>
    <row r="3193" spans="1:9" ht="24" customHeight="1">
      <c r="A3193" s="6" t="s">
        <v>4253</v>
      </c>
      <c r="B3193">
        <v>6451</v>
      </c>
      <c r="C3193">
        <v>1371</v>
      </c>
      <c r="D3193">
        <v>742946</v>
      </c>
      <c r="E3193">
        <v>774202</v>
      </c>
      <c r="F3193">
        <v>2.1</v>
      </c>
      <c r="G3193">
        <v>1.8</v>
      </c>
      <c r="H3193">
        <v>19.2</v>
      </c>
      <c r="I3193">
        <v>21.7</v>
      </c>
    </row>
    <row r="3194" spans="1:9" ht="24" customHeight="1">
      <c r="A3194" s="6" t="s">
        <v>4254</v>
      </c>
      <c r="B3194">
        <v>3827</v>
      </c>
      <c r="C3194">
        <v>2422</v>
      </c>
      <c r="D3194">
        <v>529649</v>
      </c>
      <c r="E3194">
        <v>461562</v>
      </c>
      <c r="F3194">
        <v>9.8000000000000007</v>
      </c>
      <c r="G3194">
        <v>6.7</v>
      </c>
      <c r="H3194">
        <v>13.7</v>
      </c>
      <c r="I3194">
        <v>17.899999999999999</v>
      </c>
    </row>
    <row r="3195" spans="1:9" ht="24" customHeight="1">
      <c r="A3195" s="6" t="s">
        <v>4255</v>
      </c>
      <c r="B3195">
        <v>8616</v>
      </c>
      <c r="C3195">
        <v>2603</v>
      </c>
      <c r="D3195">
        <v>597623</v>
      </c>
      <c r="E3195">
        <v>480632</v>
      </c>
      <c r="F3195">
        <v>7</v>
      </c>
      <c r="G3195">
        <v>6.5</v>
      </c>
      <c r="H3195">
        <v>19.899999999999999</v>
      </c>
      <c r="I3195">
        <v>21.2</v>
      </c>
    </row>
    <row r="3196" spans="1:9" ht="24" customHeight="1">
      <c r="A3196" s="6" t="s">
        <v>4256</v>
      </c>
      <c r="B3196">
        <v>15618</v>
      </c>
      <c r="C3196">
        <v>20467</v>
      </c>
      <c r="D3196">
        <v>460455</v>
      </c>
      <c r="E3196">
        <v>361834</v>
      </c>
      <c r="F3196">
        <v>10.4</v>
      </c>
      <c r="G3196">
        <v>7.7</v>
      </c>
      <c r="H3196">
        <v>7.5</v>
      </c>
      <c r="I3196">
        <v>8.3000000000000007</v>
      </c>
    </row>
    <row r="3197" spans="1:9" ht="24" customHeight="1">
      <c r="A3197" s="6" t="s">
        <v>4257</v>
      </c>
      <c r="B3197">
        <v>6136</v>
      </c>
      <c r="C3197">
        <v>448</v>
      </c>
      <c r="D3197">
        <v>1145159</v>
      </c>
      <c r="E3197">
        <v>1164004</v>
      </c>
      <c r="F3197">
        <v>0</v>
      </c>
      <c r="G3197">
        <v>0.1</v>
      </c>
      <c r="H3197">
        <v>22.7</v>
      </c>
      <c r="I3197">
        <v>16.8</v>
      </c>
    </row>
    <row r="3198" spans="1:9" ht="24" customHeight="1">
      <c r="A3198" s="6" t="s">
        <v>4258</v>
      </c>
      <c r="B3198">
        <v>8473</v>
      </c>
      <c r="C3198">
        <v>2523</v>
      </c>
      <c r="D3198">
        <v>823939</v>
      </c>
      <c r="E3198">
        <v>762290</v>
      </c>
      <c r="F3198">
        <v>3.4</v>
      </c>
      <c r="G3198">
        <v>5.2</v>
      </c>
      <c r="H3198">
        <v>20.8</v>
      </c>
      <c r="I3198">
        <v>19.7</v>
      </c>
    </row>
    <row r="3199" spans="1:9" ht="24" customHeight="1">
      <c r="A3199" s="6" t="s">
        <v>4259</v>
      </c>
      <c r="B3199">
        <v>5888</v>
      </c>
      <c r="C3199">
        <v>4463</v>
      </c>
      <c r="D3199">
        <v>555330</v>
      </c>
      <c r="E3199">
        <v>534852</v>
      </c>
      <c r="F3199">
        <v>13</v>
      </c>
      <c r="G3199">
        <v>13.1</v>
      </c>
      <c r="H3199">
        <v>16</v>
      </c>
      <c r="I3199">
        <v>16.600000000000001</v>
      </c>
    </row>
    <row r="3200" spans="1:9" ht="24" customHeight="1">
      <c r="A3200" s="6" t="s">
        <v>4260</v>
      </c>
      <c r="B3200">
        <v>17749</v>
      </c>
      <c r="C3200">
        <v>6406</v>
      </c>
      <c r="D3200">
        <v>643937</v>
      </c>
      <c r="E3200">
        <v>542582</v>
      </c>
      <c r="F3200">
        <v>11.6</v>
      </c>
      <c r="G3200">
        <v>10.5</v>
      </c>
      <c r="H3200">
        <v>21.3</v>
      </c>
      <c r="I3200">
        <v>18</v>
      </c>
    </row>
    <row r="3201" spans="1:9" ht="24" customHeight="1">
      <c r="A3201" s="6" t="s">
        <v>4261</v>
      </c>
      <c r="B3201">
        <v>30169</v>
      </c>
      <c r="C3201">
        <v>42945</v>
      </c>
      <c r="D3201">
        <v>469915</v>
      </c>
      <c r="E3201">
        <v>369871</v>
      </c>
      <c r="F3201">
        <v>13.6</v>
      </c>
      <c r="G3201">
        <v>9.1999999999999993</v>
      </c>
      <c r="H3201">
        <v>8.6</v>
      </c>
      <c r="I3201">
        <v>7.8</v>
      </c>
    </row>
    <row r="3202" spans="1:9" ht="24" customHeight="1">
      <c r="A3202" s="6" t="s">
        <v>849</v>
      </c>
      <c r="B3202">
        <v>4460</v>
      </c>
      <c r="C3202">
        <v>681</v>
      </c>
      <c r="D3202">
        <v>1230241</v>
      </c>
      <c r="E3202">
        <v>1344466</v>
      </c>
      <c r="F3202">
        <v>0.9</v>
      </c>
      <c r="G3202">
        <v>0.6</v>
      </c>
      <c r="H3202">
        <v>25.9</v>
      </c>
      <c r="I3202">
        <v>18.8</v>
      </c>
    </row>
    <row r="3203" spans="1:9" ht="24" customHeight="1">
      <c r="A3203" s="6" t="s">
        <v>850</v>
      </c>
      <c r="B3203">
        <v>10663</v>
      </c>
      <c r="C3203">
        <v>1323</v>
      </c>
      <c r="D3203">
        <v>937197</v>
      </c>
      <c r="E3203">
        <v>766969</v>
      </c>
      <c r="F3203">
        <v>2.8</v>
      </c>
      <c r="G3203">
        <v>4.9000000000000004</v>
      </c>
      <c r="H3203">
        <v>19.8</v>
      </c>
      <c r="I3203">
        <v>19</v>
      </c>
    </row>
    <row r="3204" spans="1:9" ht="24" customHeight="1">
      <c r="A3204" s="6" t="s">
        <v>851</v>
      </c>
      <c r="B3204">
        <v>4613</v>
      </c>
      <c r="C3204">
        <v>1409</v>
      </c>
      <c r="D3204">
        <v>551801</v>
      </c>
      <c r="E3204">
        <v>484164</v>
      </c>
      <c r="F3204">
        <v>14.7</v>
      </c>
      <c r="G3204">
        <v>11.6</v>
      </c>
      <c r="H3204">
        <v>14.3</v>
      </c>
      <c r="I3204">
        <v>14.1</v>
      </c>
    </row>
    <row r="3205" spans="1:9" ht="24" customHeight="1">
      <c r="A3205" s="6" t="s">
        <v>852</v>
      </c>
      <c r="B3205">
        <v>13121</v>
      </c>
      <c r="C3205">
        <v>2852</v>
      </c>
      <c r="D3205">
        <v>727613</v>
      </c>
      <c r="E3205">
        <v>578117</v>
      </c>
      <c r="F3205">
        <v>11.8</v>
      </c>
      <c r="G3205">
        <v>11.9</v>
      </c>
      <c r="H3205">
        <v>18.2</v>
      </c>
      <c r="I3205">
        <v>15.7</v>
      </c>
    </row>
    <row r="3206" spans="1:9" ht="24" customHeight="1">
      <c r="A3206" s="6" t="s">
        <v>853</v>
      </c>
      <c r="B3206">
        <v>64001</v>
      </c>
      <c r="C3206">
        <v>47268</v>
      </c>
      <c r="D3206">
        <v>537890</v>
      </c>
      <c r="E3206">
        <v>418968</v>
      </c>
      <c r="F3206">
        <v>17.899999999999999</v>
      </c>
      <c r="G3206">
        <v>11.2</v>
      </c>
      <c r="H3206">
        <v>8.8000000000000007</v>
      </c>
      <c r="I3206">
        <v>8.8000000000000007</v>
      </c>
    </row>
    <row r="3207" spans="1:9" ht="24" customHeight="1">
      <c r="A3207" s="6" t="s">
        <v>4262</v>
      </c>
      <c r="B3207">
        <v>11836</v>
      </c>
      <c r="C3207">
        <v>1035</v>
      </c>
      <c r="D3207">
        <v>777998</v>
      </c>
      <c r="E3207">
        <v>562715</v>
      </c>
      <c r="F3207">
        <v>1.5</v>
      </c>
      <c r="G3207">
        <v>2.5</v>
      </c>
      <c r="H3207">
        <v>14.5</v>
      </c>
      <c r="I3207">
        <v>13</v>
      </c>
    </row>
    <row r="3208" spans="1:9" ht="24" customHeight="1">
      <c r="A3208" s="6" t="s">
        <v>4263</v>
      </c>
      <c r="B3208">
        <v>13688</v>
      </c>
      <c r="C3208">
        <v>3781</v>
      </c>
      <c r="D3208">
        <v>633115</v>
      </c>
      <c r="E3208">
        <v>585100</v>
      </c>
      <c r="F3208">
        <v>2.7</v>
      </c>
      <c r="G3208">
        <v>2.2999999999999998</v>
      </c>
      <c r="H3208">
        <v>13.9</v>
      </c>
      <c r="I3208">
        <v>17.2</v>
      </c>
    </row>
    <row r="3209" spans="1:9" ht="24" customHeight="1">
      <c r="A3209" s="6" t="s">
        <v>4264</v>
      </c>
      <c r="B3209">
        <v>6502</v>
      </c>
      <c r="C3209">
        <v>4198</v>
      </c>
      <c r="D3209">
        <v>634722</v>
      </c>
      <c r="E3209">
        <v>511595</v>
      </c>
      <c r="F3209">
        <v>7.1</v>
      </c>
      <c r="G3209">
        <v>3.9</v>
      </c>
      <c r="H3209">
        <v>11.1</v>
      </c>
      <c r="I3209">
        <v>12.3</v>
      </c>
    </row>
    <row r="3210" spans="1:9" ht="24" customHeight="1">
      <c r="A3210" s="6" t="s">
        <v>4265</v>
      </c>
      <c r="B3210">
        <v>6828</v>
      </c>
      <c r="C3210">
        <v>3131</v>
      </c>
      <c r="D3210">
        <v>562833</v>
      </c>
      <c r="E3210">
        <v>392580</v>
      </c>
      <c r="F3210">
        <v>5.2</v>
      </c>
      <c r="G3210">
        <v>7.7</v>
      </c>
      <c r="H3210">
        <v>10.5</v>
      </c>
      <c r="I3210">
        <v>12.3</v>
      </c>
    </row>
    <row r="3211" spans="1:9" ht="24" customHeight="1">
      <c r="A3211" s="6" t="s">
        <v>4266</v>
      </c>
      <c r="B3211">
        <v>58626</v>
      </c>
      <c r="C3211">
        <v>44325</v>
      </c>
      <c r="D3211">
        <v>373309</v>
      </c>
      <c r="E3211">
        <v>299709</v>
      </c>
      <c r="F3211">
        <v>8.1999999999999993</v>
      </c>
      <c r="G3211">
        <v>4.0999999999999996</v>
      </c>
      <c r="H3211">
        <v>6.9</v>
      </c>
      <c r="I3211">
        <v>6.5</v>
      </c>
    </row>
    <row r="3212" spans="1:9" ht="24" customHeight="1">
      <c r="A3212" s="6" t="s">
        <v>4267</v>
      </c>
      <c r="B3212">
        <v>5611</v>
      </c>
      <c r="C3212">
        <v>577</v>
      </c>
      <c r="D3212">
        <v>809902</v>
      </c>
      <c r="E3212">
        <v>601299</v>
      </c>
      <c r="F3212">
        <v>0.3</v>
      </c>
      <c r="G3212">
        <v>0.4</v>
      </c>
      <c r="H3212">
        <v>18.600000000000001</v>
      </c>
      <c r="I3212">
        <v>8.9</v>
      </c>
    </row>
    <row r="3213" spans="1:9" ht="24" customHeight="1">
      <c r="A3213" s="6" t="s">
        <v>4268</v>
      </c>
      <c r="B3213">
        <v>5985</v>
      </c>
      <c r="C3213">
        <v>889</v>
      </c>
      <c r="D3213">
        <v>694168</v>
      </c>
      <c r="E3213">
        <v>574382</v>
      </c>
      <c r="F3213">
        <v>3.9</v>
      </c>
      <c r="G3213">
        <v>3.7</v>
      </c>
      <c r="H3213">
        <v>18.600000000000001</v>
      </c>
      <c r="I3213">
        <v>14.1</v>
      </c>
    </row>
    <row r="3214" spans="1:9" ht="24" customHeight="1">
      <c r="A3214" s="6" t="s">
        <v>4269</v>
      </c>
      <c r="B3214">
        <v>3637</v>
      </c>
      <c r="C3214">
        <v>1348</v>
      </c>
      <c r="D3214">
        <v>547276</v>
      </c>
      <c r="E3214">
        <v>445368</v>
      </c>
      <c r="F3214">
        <v>11.6</v>
      </c>
      <c r="G3214">
        <v>13.9</v>
      </c>
      <c r="H3214">
        <v>13.9</v>
      </c>
      <c r="I3214">
        <v>17</v>
      </c>
    </row>
    <row r="3215" spans="1:9" ht="24" customHeight="1">
      <c r="A3215" s="6" t="s">
        <v>4270</v>
      </c>
      <c r="B3215">
        <v>3789</v>
      </c>
      <c r="C3215">
        <v>1122</v>
      </c>
      <c r="D3215">
        <v>591140</v>
      </c>
      <c r="E3215">
        <v>467640</v>
      </c>
      <c r="F3215">
        <v>10.1</v>
      </c>
      <c r="G3215">
        <v>4.4000000000000004</v>
      </c>
      <c r="H3215">
        <v>14.3</v>
      </c>
      <c r="I3215">
        <v>13.1</v>
      </c>
    </row>
    <row r="3216" spans="1:9" ht="24" customHeight="1">
      <c r="A3216" s="6" t="s">
        <v>4271</v>
      </c>
      <c r="B3216">
        <v>25752</v>
      </c>
      <c r="C3216">
        <v>18378</v>
      </c>
      <c r="D3216">
        <v>394744</v>
      </c>
      <c r="E3216">
        <v>340106</v>
      </c>
      <c r="F3216">
        <v>13.9</v>
      </c>
      <c r="G3216">
        <v>7.7</v>
      </c>
      <c r="H3216">
        <v>5.9</v>
      </c>
      <c r="I3216">
        <v>6.3</v>
      </c>
    </row>
    <row r="3217" spans="1:9" ht="24" customHeight="1">
      <c r="A3217" s="6" t="s">
        <v>4272</v>
      </c>
      <c r="B3217">
        <v>4497</v>
      </c>
      <c r="C3217">
        <v>367</v>
      </c>
      <c r="D3217">
        <v>962824</v>
      </c>
      <c r="E3217">
        <v>769624</v>
      </c>
      <c r="F3217">
        <v>1.4</v>
      </c>
      <c r="G3217">
        <v>0.4</v>
      </c>
      <c r="H3217">
        <v>19.7</v>
      </c>
      <c r="I3217">
        <v>10.9</v>
      </c>
    </row>
    <row r="3218" spans="1:9" ht="24" customHeight="1">
      <c r="A3218" s="6" t="s">
        <v>4273</v>
      </c>
      <c r="B3218">
        <v>6709</v>
      </c>
      <c r="C3218">
        <v>784</v>
      </c>
      <c r="D3218">
        <v>718237</v>
      </c>
      <c r="E3218">
        <v>625340</v>
      </c>
      <c r="F3218">
        <v>1.6</v>
      </c>
      <c r="G3218">
        <v>3.6</v>
      </c>
      <c r="H3218">
        <v>18.2</v>
      </c>
      <c r="I3218">
        <v>19.7</v>
      </c>
    </row>
    <row r="3219" spans="1:9" ht="24" customHeight="1">
      <c r="A3219" s="6" t="s">
        <v>4274</v>
      </c>
      <c r="B3219">
        <v>6040</v>
      </c>
      <c r="C3219">
        <v>1823</v>
      </c>
      <c r="D3219">
        <v>586043</v>
      </c>
      <c r="E3219">
        <v>606724</v>
      </c>
      <c r="F3219">
        <v>11.6</v>
      </c>
      <c r="G3219">
        <v>8.3000000000000007</v>
      </c>
      <c r="H3219">
        <v>16.3</v>
      </c>
      <c r="I3219">
        <v>16.7</v>
      </c>
    </row>
    <row r="3220" spans="1:9" ht="24" customHeight="1">
      <c r="A3220" s="6" t="s">
        <v>4275</v>
      </c>
      <c r="B3220">
        <v>5190</v>
      </c>
      <c r="C3220">
        <v>1358</v>
      </c>
      <c r="D3220">
        <v>689630</v>
      </c>
      <c r="E3220">
        <v>515087</v>
      </c>
      <c r="F3220">
        <v>10.3</v>
      </c>
      <c r="G3220">
        <v>14.9</v>
      </c>
      <c r="H3220">
        <v>16.399999999999999</v>
      </c>
      <c r="I3220">
        <v>13.1</v>
      </c>
    </row>
    <row r="3221" spans="1:9" ht="24" customHeight="1">
      <c r="A3221" s="6" t="s">
        <v>4276</v>
      </c>
      <c r="B3221">
        <v>28127</v>
      </c>
      <c r="C3221">
        <v>23318</v>
      </c>
      <c r="D3221">
        <v>478592</v>
      </c>
      <c r="E3221">
        <v>387366</v>
      </c>
      <c r="F3221">
        <v>22.6</v>
      </c>
      <c r="G3221">
        <v>12.9</v>
      </c>
      <c r="H3221">
        <v>8.6999999999999993</v>
      </c>
      <c r="I3221">
        <v>7.9</v>
      </c>
    </row>
    <row r="3222" spans="1:9" ht="24" customHeight="1">
      <c r="A3222" s="6" t="s">
        <v>854</v>
      </c>
      <c r="B3222">
        <v>13247</v>
      </c>
      <c r="C3222">
        <v>671</v>
      </c>
      <c r="D3222">
        <v>1106890</v>
      </c>
      <c r="E3222">
        <v>882475</v>
      </c>
      <c r="F3222">
        <v>0.4</v>
      </c>
      <c r="G3222">
        <v>0.1</v>
      </c>
      <c r="H3222">
        <v>25.7</v>
      </c>
      <c r="I3222">
        <v>26.4</v>
      </c>
    </row>
    <row r="3223" spans="1:9" ht="24" customHeight="1">
      <c r="A3223" s="6" t="s">
        <v>855</v>
      </c>
      <c r="B3223">
        <v>38328</v>
      </c>
      <c r="C3223">
        <v>1647</v>
      </c>
      <c r="D3223">
        <v>978726</v>
      </c>
      <c r="E3223">
        <v>1011367</v>
      </c>
      <c r="F3223">
        <v>6.1</v>
      </c>
      <c r="G3223">
        <v>2.5</v>
      </c>
      <c r="H3223">
        <v>21.8</v>
      </c>
      <c r="I3223">
        <v>18.600000000000001</v>
      </c>
    </row>
    <row r="3224" spans="1:9" ht="24" customHeight="1">
      <c r="A3224" s="6" t="s">
        <v>856</v>
      </c>
      <c r="B3224">
        <v>20926</v>
      </c>
      <c r="C3224">
        <v>4691</v>
      </c>
      <c r="D3224">
        <v>747250</v>
      </c>
      <c r="E3224">
        <v>685352</v>
      </c>
      <c r="F3224">
        <v>15.6</v>
      </c>
      <c r="G3224">
        <v>13.5</v>
      </c>
      <c r="H3224">
        <v>17.100000000000001</v>
      </c>
      <c r="I3224">
        <v>16</v>
      </c>
    </row>
    <row r="3225" spans="1:9" ht="24" customHeight="1">
      <c r="A3225" s="6" t="s">
        <v>857</v>
      </c>
      <c r="B3225">
        <v>27387</v>
      </c>
      <c r="C3225">
        <v>7313</v>
      </c>
      <c r="D3225">
        <v>811442</v>
      </c>
      <c r="E3225">
        <v>638449</v>
      </c>
      <c r="F3225">
        <v>15.1</v>
      </c>
      <c r="G3225">
        <v>15.9</v>
      </c>
      <c r="H3225">
        <v>17.600000000000001</v>
      </c>
      <c r="I3225">
        <v>7.9</v>
      </c>
    </row>
    <row r="3226" spans="1:9" ht="24" customHeight="1">
      <c r="A3226" s="6" t="s">
        <v>858</v>
      </c>
      <c r="B3226">
        <v>179268</v>
      </c>
      <c r="C3226">
        <v>54563</v>
      </c>
      <c r="D3226">
        <v>605696</v>
      </c>
      <c r="E3226">
        <v>492388</v>
      </c>
      <c r="F3226">
        <v>18.899999999999999</v>
      </c>
      <c r="G3226">
        <v>13.3</v>
      </c>
      <c r="H3226">
        <v>12.8</v>
      </c>
      <c r="I3226">
        <v>11.2</v>
      </c>
    </row>
    <row r="3227" spans="1:9" ht="24" customHeight="1">
      <c r="A3227" s="6" t="s">
        <v>4277</v>
      </c>
      <c r="B3227">
        <v>22741</v>
      </c>
      <c r="C3227">
        <v>2646</v>
      </c>
      <c r="D3227">
        <v>699513</v>
      </c>
      <c r="E3227">
        <v>572446</v>
      </c>
      <c r="F3227">
        <v>3</v>
      </c>
      <c r="G3227">
        <v>6.3</v>
      </c>
      <c r="H3227">
        <v>19.8</v>
      </c>
      <c r="I3227">
        <v>19</v>
      </c>
    </row>
    <row r="3228" spans="1:9" ht="24" customHeight="1">
      <c r="A3228" s="6" t="s">
        <v>4278</v>
      </c>
      <c r="B3228">
        <v>28180</v>
      </c>
      <c r="C3228">
        <v>6579</v>
      </c>
      <c r="D3228">
        <v>598593</v>
      </c>
      <c r="E3228">
        <v>489793</v>
      </c>
      <c r="F3228">
        <v>6.4</v>
      </c>
      <c r="G3228">
        <v>10.3</v>
      </c>
      <c r="H3228">
        <v>16.899999999999999</v>
      </c>
      <c r="I3228">
        <v>15.1</v>
      </c>
    </row>
    <row r="3229" spans="1:9" ht="24" customHeight="1">
      <c r="A3229" s="6" t="s">
        <v>4279</v>
      </c>
      <c r="B3229">
        <v>15871</v>
      </c>
      <c r="C3229">
        <v>6174</v>
      </c>
      <c r="D3229">
        <v>516994</v>
      </c>
      <c r="E3229">
        <v>456109</v>
      </c>
      <c r="F3229">
        <v>17</v>
      </c>
      <c r="G3229">
        <v>9.3000000000000007</v>
      </c>
      <c r="H3229">
        <v>12.7</v>
      </c>
      <c r="I3229">
        <v>13.5</v>
      </c>
    </row>
    <row r="3230" spans="1:9" ht="24" customHeight="1">
      <c r="A3230" s="6" t="s">
        <v>4280</v>
      </c>
      <c r="B3230">
        <v>24827</v>
      </c>
      <c r="C3230">
        <v>5327</v>
      </c>
      <c r="D3230">
        <v>750725</v>
      </c>
      <c r="E3230">
        <v>464013</v>
      </c>
      <c r="F3230">
        <v>7.4</v>
      </c>
      <c r="G3230">
        <v>7.5</v>
      </c>
      <c r="H3230">
        <v>12.6</v>
      </c>
      <c r="I3230">
        <v>12.9</v>
      </c>
    </row>
    <row r="3231" spans="1:9" ht="24" customHeight="1">
      <c r="A3231" s="6" t="s">
        <v>4281</v>
      </c>
      <c r="B3231">
        <v>175071</v>
      </c>
      <c r="C3231">
        <v>139581</v>
      </c>
      <c r="D3231">
        <v>440840</v>
      </c>
      <c r="E3231">
        <v>349295</v>
      </c>
      <c r="F3231">
        <v>9.1999999999999993</v>
      </c>
      <c r="G3231">
        <v>8.1999999999999993</v>
      </c>
      <c r="H3231">
        <v>7.1</v>
      </c>
      <c r="I3231">
        <v>6.2</v>
      </c>
    </row>
    <row r="3232" spans="1:9" ht="24" customHeight="1">
      <c r="A3232" s="6" t="s">
        <v>4282</v>
      </c>
      <c r="B3232">
        <v>12413</v>
      </c>
      <c r="C3232">
        <v>1330</v>
      </c>
      <c r="D3232">
        <v>911961</v>
      </c>
      <c r="E3232">
        <v>839408</v>
      </c>
      <c r="F3232">
        <v>0.5</v>
      </c>
      <c r="G3232">
        <v>1.8</v>
      </c>
      <c r="H3232">
        <v>17.8</v>
      </c>
      <c r="I3232">
        <v>11</v>
      </c>
    </row>
    <row r="3233" spans="1:9" ht="24" customHeight="1">
      <c r="A3233" s="6" t="s">
        <v>4283</v>
      </c>
      <c r="B3233">
        <v>16082</v>
      </c>
      <c r="C3233">
        <v>4299</v>
      </c>
      <c r="D3233">
        <v>721791</v>
      </c>
      <c r="E3233">
        <v>645894</v>
      </c>
      <c r="F3233">
        <v>3.1</v>
      </c>
      <c r="G3233">
        <v>1.5</v>
      </c>
      <c r="H3233">
        <v>17</v>
      </c>
      <c r="I3233">
        <v>16.8</v>
      </c>
    </row>
    <row r="3234" spans="1:9" ht="24" customHeight="1">
      <c r="A3234" s="6" t="s">
        <v>4284</v>
      </c>
      <c r="B3234">
        <v>8766</v>
      </c>
      <c r="C3234">
        <v>3937</v>
      </c>
      <c r="D3234">
        <v>573625</v>
      </c>
      <c r="E3234">
        <v>482467</v>
      </c>
      <c r="F3234">
        <v>11.5</v>
      </c>
      <c r="G3234">
        <v>7.7</v>
      </c>
      <c r="H3234">
        <v>11.5</v>
      </c>
      <c r="I3234">
        <v>14.2</v>
      </c>
    </row>
    <row r="3235" spans="1:9" ht="24" customHeight="1">
      <c r="A3235" s="6" t="s">
        <v>4285</v>
      </c>
      <c r="B3235">
        <v>13336</v>
      </c>
      <c r="C3235">
        <v>5060</v>
      </c>
      <c r="D3235">
        <v>641840</v>
      </c>
      <c r="E3235">
        <v>527468</v>
      </c>
      <c r="F3235">
        <v>6.9</v>
      </c>
      <c r="G3235">
        <v>3.6</v>
      </c>
      <c r="H3235">
        <v>15.3</v>
      </c>
      <c r="I3235">
        <v>16.100000000000001</v>
      </c>
    </row>
    <row r="3236" spans="1:9" ht="24" customHeight="1">
      <c r="A3236" s="6" t="s">
        <v>4286</v>
      </c>
      <c r="B3236">
        <v>64830</v>
      </c>
      <c r="C3236">
        <v>43372</v>
      </c>
      <c r="D3236">
        <v>479493</v>
      </c>
      <c r="E3236">
        <v>379437</v>
      </c>
      <c r="F3236">
        <v>15.7</v>
      </c>
      <c r="G3236">
        <v>7.3</v>
      </c>
      <c r="H3236">
        <v>8.1999999999999993</v>
      </c>
      <c r="I3236">
        <v>6.4</v>
      </c>
    </row>
    <row r="3237" spans="1:9" ht="24" customHeight="1">
      <c r="A3237" s="6" t="s">
        <v>4287</v>
      </c>
      <c r="B3237">
        <v>12755</v>
      </c>
      <c r="C3237">
        <v>593</v>
      </c>
      <c r="D3237">
        <v>962379</v>
      </c>
      <c r="E3237">
        <v>849708</v>
      </c>
      <c r="F3237">
        <v>8.5</v>
      </c>
      <c r="G3237">
        <v>0</v>
      </c>
      <c r="H3237">
        <v>22</v>
      </c>
      <c r="I3237">
        <v>18.7</v>
      </c>
    </row>
    <row r="3238" spans="1:9" ht="24" customHeight="1">
      <c r="A3238" s="6" t="s">
        <v>4288</v>
      </c>
      <c r="B3238">
        <v>13727</v>
      </c>
      <c r="C3238">
        <v>1307</v>
      </c>
      <c r="D3238">
        <v>769284</v>
      </c>
      <c r="E3238">
        <v>696613</v>
      </c>
      <c r="F3238">
        <v>9.9</v>
      </c>
      <c r="G3238">
        <v>5.7</v>
      </c>
      <c r="H3238">
        <v>19</v>
      </c>
      <c r="I3238">
        <v>14.7</v>
      </c>
    </row>
    <row r="3239" spans="1:9" ht="24" customHeight="1">
      <c r="A3239" s="6" t="s">
        <v>4289</v>
      </c>
      <c r="B3239">
        <v>8742</v>
      </c>
      <c r="C3239">
        <v>2755</v>
      </c>
      <c r="D3239">
        <v>601366</v>
      </c>
      <c r="E3239">
        <v>515750</v>
      </c>
      <c r="F3239">
        <v>16.100000000000001</v>
      </c>
      <c r="G3239">
        <v>14.7</v>
      </c>
      <c r="H3239">
        <v>17.600000000000001</v>
      </c>
      <c r="I3239">
        <v>19.3</v>
      </c>
    </row>
    <row r="3240" spans="1:9" ht="24" customHeight="1">
      <c r="A3240" s="6" t="s">
        <v>4290</v>
      </c>
      <c r="B3240">
        <v>5281</v>
      </c>
      <c r="C3240">
        <v>1507</v>
      </c>
      <c r="D3240">
        <v>682559</v>
      </c>
      <c r="E3240">
        <v>490814</v>
      </c>
      <c r="F3240">
        <v>19.399999999999999</v>
      </c>
      <c r="G3240">
        <v>35.200000000000003</v>
      </c>
      <c r="H3240">
        <v>16.8</v>
      </c>
      <c r="I3240">
        <v>13.1</v>
      </c>
    </row>
    <row r="3241" spans="1:9" ht="24" customHeight="1">
      <c r="A3241" s="6" t="s">
        <v>4291</v>
      </c>
      <c r="B3241">
        <v>69364</v>
      </c>
      <c r="C3241">
        <v>24147</v>
      </c>
      <c r="D3241">
        <v>461707</v>
      </c>
      <c r="E3241">
        <v>393321</v>
      </c>
      <c r="F3241">
        <v>20.2</v>
      </c>
      <c r="G3241">
        <v>15.7</v>
      </c>
      <c r="H3241">
        <v>9.1999999999999993</v>
      </c>
      <c r="I3241">
        <v>7.8</v>
      </c>
    </row>
    <row r="3242" spans="1:9" ht="24" customHeight="1">
      <c r="A3242" s="6" t="s">
        <v>859</v>
      </c>
      <c r="B3242">
        <v>2823</v>
      </c>
      <c r="C3242">
        <v>242</v>
      </c>
      <c r="D3242">
        <v>754770</v>
      </c>
      <c r="E3242">
        <v>604326</v>
      </c>
      <c r="F3242">
        <v>0.9</v>
      </c>
      <c r="G3242">
        <v>0</v>
      </c>
      <c r="H3242">
        <v>20.100000000000001</v>
      </c>
      <c r="I3242">
        <v>14</v>
      </c>
    </row>
    <row r="3243" spans="1:9" ht="24" customHeight="1">
      <c r="A3243" s="6" t="s">
        <v>860</v>
      </c>
      <c r="B3243">
        <v>6793</v>
      </c>
      <c r="C3243">
        <v>1291</v>
      </c>
      <c r="D3243">
        <v>584046</v>
      </c>
      <c r="E3243">
        <v>481140</v>
      </c>
      <c r="F3243">
        <v>2.7</v>
      </c>
      <c r="G3243">
        <v>0.9</v>
      </c>
      <c r="H3243">
        <v>16.899999999999999</v>
      </c>
      <c r="I3243">
        <v>16.899999999999999</v>
      </c>
    </row>
    <row r="3244" spans="1:9" ht="24" customHeight="1">
      <c r="A3244" s="6" t="s">
        <v>861</v>
      </c>
      <c r="B3244">
        <v>7312</v>
      </c>
      <c r="C3244">
        <v>3267</v>
      </c>
      <c r="D3244">
        <v>494149</v>
      </c>
      <c r="E3244">
        <v>465071</v>
      </c>
      <c r="F3244">
        <v>13.8</v>
      </c>
      <c r="G3244">
        <v>8.9</v>
      </c>
      <c r="H3244">
        <v>14</v>
      </c>
      <c r="I3244">
        <v>14</v>
      </c>
    </row>
    <row r="3245" spans="1:9" ht="24" customHeight="1">
      <c r="A3245" s="6" t="s">
        <v>862</v>
      </c>
      <c r="B3245">
        <v>31485</v>
      </c>
      <c r="C3245">
        <v>8980</v>
      </c>
      <c r="D3245">
        <v>476985</v>
      </c>
      <c r="E3245">
        <v>434463</v>
      </c>
      <c r="F3245">
        <v>16.600000000000001</v>
      </c>
      <c r="G3245">
        <v>18.7</v>
      </c>
      <c r="H3245">
        <v>14.7</v>
      </c>
      <c r="I3245">
        <v>11.1</v>
      </c>
    </row>
    <row r="3246" spans="1:9" ht="24" customHeight="1">
      <c r="A3246" s="6" t="s">
        <v>863</v>
      </c>
      <c r="B3246">
        <v>58294</v>
      </c>
      <c r="C3246">
        <v>56009</v>
      </c>
      <c r="D3246">
        <v>402025</v>
      </c>
      <c r="E3246">
        <v>325978</v>
      </c>
      <c r="F3246">
        <v>23.3</v>
      </c>
      <c r="G3246">
        <v>16.100000000000001</v>
      </c>
      <c r="H3246">
        <v>10.4</v>
      </c>
      <c r="I3246">
        <v>7.3</v>
      </c>
    </row>
    <row r="3247" spans="1:9" ht="24" customHeight="1">
      <c r="A3247" s="6" t="s">
        <v>4292</v>
      </c>
      <c r="B3247">
        <v>8154</v>
      </c>
      <c r="C3247">
        <v>1433</v>
      </c>
      <c r="D3247">
        <v>420984</v>
      </c>
      <c r="E3247">
        <v>336126</v>
      </c>
      <c r="F3247">
        <v>5.4</v>
      </c>
      <c r="G3247">
        <v>5.8</v>
      </c>
      <c r="H3247">
        <v>14.5</v>
      </c>
      <c r="I3247">
        <v>13.2</v>
      </c>
    </row>
    <row r="3248" spans="1:9" ht="24" customHeight="1">
      <c r="A3248" s="6" t="s">
        <v>4293</v>
      </c>
      <c r="B3248">
        <v>9414</v>
      </c>
      <c r="C3248">
        <v>2739</v>
      </c>
      <c r="D3248">
        <v>401842</v>
      </c>
      <c r="E3248">
        <v>316997</v>
      </c>
      <c r="F3248">
        <v>9.9</v>
      </c>
      <c r="G3248">
        <v>8.4</v>
      </c>
      <c r="H3248">
        <v>15.3</v>
      </c>
      <c r="I3248">
        <v>14.9</v>
      </c>
    </row>
    <row r="3249" spans="1:9" ht="24" customHeight="1">
      <c r="A3249" s="6" t="s">
        <v>4294</v>
      </c>
      <c r="B3249">
        <v>5242</v>
      </c>
      <c r="C3249">
        <v>2685</v>
      </c>
      <c r="D3249">
        <v>338096</v>
      </c>
      <c r="E3249">
        <v>289647</v>
      </c>
      <c r="F3249">
        <v>9.1</v>
      </c>
      <c r="G3249">
        <v>12.3</v>
      </c>
      <c r="H3249">
        <v>12.3</v>
      </c>
      <c r="I3249">
        <v>12.1</v>
      </c>
    </row>
    <row r="3250" spans="1:9" ht="24" customHeight="1">
      <c r="A3250" s="6" t="s">
        <v>4295</v>
      </c>
      <c r="B3250">
        <v>16525</v>
      </c>
      <c r="C3250">
        <v>5061</v>
      </c>
      <c r="D3250">
        <v>378794</v>
      </c>
      <c r="E3250">
        <v>294685</v>
      </c>
      <c r="F3250">
        <v>10.4</v>
      </c>
      <c r="G3250">
        <v>6.7</v>
      </c>
      <c r="H3250">
        <v>11</v>
      </c>
      <c r="I3250">
        <v>12.1</v>
      </c>
    </row>
    <row r="3251" spans="1:9" ht="24" customHeight="1">
      <c r="A3251" s="6" t="s">
        <v>4296</v>
      </c>
      <c r="B3251">
        <v>98438</v>
      </c>
      <c r="C3251">
        <v>68227</v>
      </c>
      <c r="D3251">
        <v>302619</v>
      </c>
      <c r="E3251">
        <v>236376</v>
      </c>
      <c r="F3251">
        <v>12</v>
      </c>
      <c r="G3251">
        <v>6.9</v>
      </c>
      <c r="H3251">
        <v>8.9</v>
      </c>
      <c r="I3251">
        <v>8.1</v>
      </c>
    </row>
    <row r="3252" spans="1:9" ht="24" customHeight="1">
      <c r="A3252" s="6" t="s">
        <v>4297</v>
      </c>
      <c r="B3252">
        <v>3157</v>
      </c>
      <c r="C3252">
        <v>420</v>
      </c>
      <c r="D3252">
        <v>517171</v>
      </c>
      <c r="E3252">
        <v>485178</v>
      </c>
      <c r="F3252">
        <v>10.6</v>
      </c>
      <c r="G3252">
        <v>0</v>
      </c>
      <c r="H3252">
        <v>17.8</v>
      </c>
      <c r="I3252">
        <v>17.899999999999999</v>
      </c>
    </row>
    <row r="3253" spans="1:9" ht="24" customHeight="1">
      <c r="A3253" s="6" t="s">
        <v>4298</v>
      </c>
      <c r="B3253">
        <v>5671</v>
      </c>
      <c r="C3253">
        <v>1231</v>
      </c>
      <c r="D3253">
        <v>413842</v>
      </c>
      <c r="E3253">
        <v>399038</v>
      </c>
      <c r="F3253">
        <v>7.2</v>
      </c>
      <c r="G3253">
        <v>1.8</v>
      </c>
      <c r="H3253">
        <v>15.7</v>
      </c>
      <c r="I3253">
        <v>14.7</v>
      </c>
    </row>
    <row r="3254" spans="1:9" ht="24" customHeight="1">
      <c r="A3254" s="6" t="s">
        <v>4299</v>
      </c>
      <c r="B3254">
        <v>5250</v>
      </c>
      <c r="C3254">
        <v>1578</v>
      </c>
      <c r="D3254">
        <v>376472</v>
      </c>
      <c r="E3254">
        <v>336841</v>
      </c>
      <c r="F3254">
        <v>21.6</v>
      </c>
      <c r="G3254">
        <v>10.8</v>
      </c>
      <c r="H3254">
        <v>13.9</v>
      </c>
      <c r="I3254">
        <v>13.9</v>
      </c>
    </row>
    <row r="3255" spans="1:9" ht="24" customHeight="1">
      <c r="A3255" s="6" t="s">
        <v>4300</v>
      </c>
      <c r="B3255">
        <v>6999</v>
      </c>
      <c r="C3255">
        <v>1873</v>
      </c>
      <c r="D3255">
        <v>399619</v>
      </c>
      <c r="E3255">
        <v>327945</v>
      </c>
      <c r="F3255">
        <v>14.3</v>
      </c>
      <c r="G3255">
        <v>14.2</v>
      </c>
      <c r="H3255">
        <v>13.2</v>
      </c>
      <c r="I3255">
        <v>11.7</v>
      </c>
    </row>
    <row r="3256" spans="1:9" ht="24" customHeight="1">
      <c r="A3256" s="6" t="s">
        <v>4301</v>
      </c>
      <c r="B3256">
        <v>34901</v>
      </c>
      <c r="C3256">
        <v>26040</v>
      </c>
      <c r="D3256">
        <v>315558</v>
      </c>
      <c r="E3256">
        <v>273852</v>
      </c>
      <c r="F3256">
        <v>16.399999999999999</v>
      </c>
      <c r="G3256">
        <v>12.2</v>
      </c>
      <c r="H3256">
        <v>8.4</v>
      </c>
      <c r="I3256">
        <v>6.5</v>
      </c>
    </row>
    <row r="3257" spans="1:9" ht="24" customHeight="1">
      <c r="A3257" s="6" t="s">
        <v>4302</v>
      </c>
      <c r="B3257">
        <v>2320</v>
      </c>
      <c r="C3257">
        <v>151</v>
      </c>
      <c r="D3257">
        <v>617904</v>
      </c>
      <c r="E3257">
        <v>708609</v>
      </c>
      <c r="F3257">
        <v>3.8</v>
      </c>
      <c r="G3257">
        <v>0</v>
      </c>
      <c r="H3257">
        <v>22.5</v>
      </c>
      <c r="I3257">
        <v>23.2</v>
      </c>
    </row>
    <row r="3258" spans="1:9" ht="24" customHeight="1">
      <c r="A3258" s="6" t="s">
        <v>4303</v>
      </c>
      <c r="B3258">
        <v>6945</v>
      </c>
      <c r="C3258">
        <v>1197</v>
      </c>
      <c r="D3258">
        <v>493773</v>
      </c>
      <c r="E3258">
        <v>433938</v>
      </c>
      <c r="F3258">
        <v>7.4</v>
      </c>
      <c r="G3258">
        <v>4.2</v>
      </c>
      <c r="H3258">
        <v>16.3</v>
      </c>
      <c r="I3258">
        <v>15.2</v>
      </c>
    </row>
    <row r="3259" spans="1:9" ht="24" customHeight="1">
      <c r="A3259" s="6" t="s">
        <v>4304</v>
      </c>
      <c r="B3259">
        <v>5327</v>
      </c>
      <c r="C3259">
        <v>1874</v>
      </c>
      <c r="D3259">
        <v>428450</v>
      </c>
      <c r="E3259">
        <v>380698</v>
      </c>
      <c r="F3259">
        <v>22.3</v>
      </c>
      <c r="G3259">
        <v>16.2</v>
      </c>
      <c r="H3259">
        <v>16.2</v>
      </c>
      <c r="I3259">
        <v>14.4</v>
      </c>
    </row>
    <row r="3260" spans="1:9" ht="24" customHeight="1">
      <c r="A3260" s="6" t="s">
        <v>4305</v>
      </c>
      <c r="B3260">
        <v>7593</v>
      </c>
      <c r="C3260">
        <v>1272</v>
      </c>
      <c r="D3260">
        <v>426595</v>
      </c>
      <c r="E3260">
        <v>376634</v>
      </c>
      <c r="F3260">
        <v>15.9</v>
      </c>
      <c r="G3260">
        <v>23.7</v>
      </c>
      <c r="H3260">
        <v>12.9</v>
      </c>
      <c r="I3260">
        <v>12.8</v>
      </c>
    </row>
    <row r="3261" spans="1:9" ht="24" customHeight="1">
      <c r="A3261" s="6" t="s">
        <v>4306</v>
      </c>
      <c r="B3261">
        <v>27750</v>
      </c>
      <c r="C3261">
        <v>21253</v>
      </c>
      <c r="D3261">
        <v>335067</v>
      </c>
      <c r="E3261">
        <v>285503</v>
      </c>
      <c r="F3261">
        <v>18.100000000000001</v>
      </c>
      <c r="G3261">
        <v>15.2</v>
      </c>
      <c r="H3261">
        <v>8.3000000000000007</v>
      </c>
      <c r="I3261">
        <v>6.6</v>
      </c>
    </row>
    <row r="3262" spans="1:9" ht="24" customHeight="1">
      <c r="A3262" s="6" t="s">
        <v>864</v>
      </c>
      <c r="B3262">
        <v>2413</v>
      </c>
      <c r="C3262">
        <v>327</v>
      </c>
      <c r="D3262">
        <v>912903</v>
      </c>
      <c r="E3262">
        <v>533401</v>
      </c>
      <c r="F3262">
        <v>1.3</v>
      </c>
      <c r="G3262">
        <v>1.7</v>
      </c>
      <c r="H3262">
        <v>23.9</v>
      </c>
      <c r="I3262">
        <v>15.4</v>
      </c>
    </row>
    <row r="3263" spans="1:9" ht="24" customHeight="1">
      <c r="A3263" s="6" t="s">
        <v>865</v>
      </c>
      <c r="B3263">
        <v>6525</v>
      </c>
      <c r="C3263">
        <v>1500</v>
      </c>
      <c r="D3263">
        <v>701571</v>
      </c>
      <c r="E3263">
        <v>562787</v>
      </c>
      <c r="F3263">
        <v>6.5</v>
      </c>
      <c r="G3263">
        <v>10.6</v>
      </c>
      <c r="H3263">
        <v>20</v>
      </c>
      <c r="I3263">
        <v>16.7</v>
      </c>
    </row>
    <row r="3264" spans="1:9" ht="24" customHeight="1">
      <c r="A3264" s="6" t="s">
        <v>866</v>
      </c>
      <c r="B3264">
        <v>6988</v>
      </c>
      <c r="C3264">
        <v>1887</v>
      </c>
      <c r="D3264">
        <v>541935</v>
      </c>
      <c r="E3264">
        <v>487956</v>
      </c>
      <c r="F3264">
        <v>16.5</v>
      </c>
      <c r="G3264">
        <v>16</v>
      </c>
      <c r="H3264">
        <v>17</v>
      </c>
      <c r="I3264">
        <v>15.6</v>
      </c>
    </row>
    <row r="3265" spans="1:9" ht="24" customHeight="1">
      <c r="A3265" s="6" t="s">
        <v>867</v>
      </c>
      <c r="B3265">
        <v>12739</v>
      </c>
      <c r="C3265">
        <v>2480</v>
      </c>
      <c r="D3265">
        <v>500551</v>
      </c>
      <c r="E3265">
        <v>397259</v>
      </c>
      <c r="F3265">
        <v>7.1</v>
      </c>
      <c r="G3265">
        <v>11.2</v>
      </c>
      <c r="H3265">
        <v>15.5</v>
      </c>
      <c r="I3265">
        <v>11.8</v>
      </c>
    </row>
    <row r="3266" spans="1:9" ht="24" customHeight="1">
      <c r="A3266" s="6" t="s">
        <v>868</v>
      </c>
      <c r="B3266">
        <v>36638</v>
      </c>
      <c r="C3266">
        <v>40889</v>
      </c>
      <c r="D3266">
        <v>403232</v>
      </c>
      <c r="E3266">
        <v>318362</v>
      </c>
      <c r="F3266">
        <v>14.5</v>
      </c>
      <c r="G3266">
        <v>11.4</v>
      </c>
      <c r="H3266">
        <v>11.2</v>
      </c>
      <c r="I3266">
        <v>8.3000000000000007</v>
      </c>
    </row>
    <row r="3267" spans="1:9" ht="24" customHeight="1">
      <c r="A3267" s="6" t="s">
        <v>4307</v>
      </c>
      <c r="B3267">
        <v>6993</v>
      </c>
      <c r="C3267">
        <v>1185</v>
      </c>
      <c r="D3267">
        <v>556424</v>
      </c>
      <c r="E3267">
        <v>560321</v>
      </c>
      <c r="F3267">
        <v>3</v>
      </c>
      <c r="G3267">
        <v>1.9</v>
      </c>
      <c r="H3267">
        <v>17.5</v>
      </c>
      <c r="I3267">
        <v>18.100000000000001</v>
      </c>
    </row>
    <row r="3268" spans="1:9" ht="24" customHeight="1">
      <c r="A3268" s="6" t="s">
        <v>4308</v>
      </c>
      <c r="B3268">
        <v>9338</v>
      </c>
      <c r="C3268">
        <v>2570</v>
      </c>
      <c r="D3268">
        <v>482795</v>
      </c>
      <c r="E3268">
        <v>427763</v>
      </c>
      <c r="F3268">
        <v>5.3</v>
      </c>
      <c r="G3268">
        <v>6.2</v>
      </c>
      <c r="H3268">
        <v>15.5</v>
      </c>
      <c r="I3268">
        <v>16.399999999999999</v>
      </c>
    </row>
    <row r="3269" spans="1:9" ht="24" customHeight="1">
      <c r="A3269" s="6" t="s">
        <v>4309</v>
      </c>
      <c r="B3269">
        <v>6696</v>
      </c>
      <c r="C3269">
        <v>3113</v>
      </c>
      <c r="D3269">
        <v>444706</v>
      </c>
      <c r="E3269">
        <v>378706</v>
      </c>
      <c r="F3269">
        <v>8.1999999999999993</v>
      </c>
      <c r="G3269">
        <v>8</v>
      </c>
      <c r="H3269">
        <v>12.7</v>
      </c>
      <c r="I3269">
        <v>13</v>
      </c>
    </row>
    <row r="3270" spans="1:9" ht="24" customHeight="1">
      <c r="A3270" s="6" t="s">
        <v>4310</v>
      </c>
      <c r="B3270">
        <v>9639</v>
      </c>
      <c r="C3270">
        <v>4185</v>
      </c>
      <c r="D3270">
        <v>415382</v>
      </c>
      <c r="E3270">
        <v>342647</v>
      </c>
      <c r="F3270">
        <v>6.7</v>
      </c>
      <c r="G3270">
        <v>7.4</v>
      </c>
      <c r="H3270">
        <v>14</v>
      </c>
      <c r="I3270">
        <v>12.9</v>
      </c>
    </row>
    <row r="3271" spans="1:9" ht="24" customHeight="1">
      <c r="A3271" s="6" t="s">
        <v>4311</v>
      </c>
      <c r="B3271">
        <v>65672</v>
      </c>
      <c r="C3271">
        <v>65416</v>
      </c>
      <c r="D3271">
        <v>336125</v>
      </c>
      <c r="E3271">
        <v>264164</v>
      </c>
      <c r="F3271">
        <v>8</v>
      </c>
      <c r="G3271">
        <v>5.0999999999999996</v>
      </c>
      <c r="H3271">
        <v>10.199999999999999</v>
      </c>
      <c r="I3271">
        <v>8</v>
      </c>
    </row>
    <row r="3272" spans="1:9" ht="24" customHeight="1">
      <c r="A3272" s="6" t="s">
        <v>4312</v>
      </c>
      <c r="B3272">
        <v>2962</v>
      </c>
      <c r="C3272">
        <v>145</v>
      </c>
      <c r="D3272">
        <v>601944</v>
      </c>
      <c r="E3272">
        <v>459550</v>
      </c>
      <c r="F3272">
        <v>1.4</v>
      </c>
      <c r="G3272">
        <v>0</v>
      </c>
      <c r="H3272">
        <v>21</v>
      </c>
      <c r="I3272">
        <v>13.6</v>
      </c>
    </row>
    <row r="3273" spans="1:9" ht="24" customHeight="1">
      <c r="A3273" s="6" t="s">
        <v>4313</v>
      </c>
      <c r="B3273">
        <v>5788</v>
      </c>
      <c r="C3273">
        <v>1080</v>
      </c>
      <c r="D3273">
        <v>505933</v>
      </c>
      <c r="E3273">
        <v>451996</v>
      </c>
      <c r="F3273">
        <v>3.3</v>
      </c>
      <c r="G3273">
        <v>4</v>
      </c>
      <c r="H3273">
        <v>17.100000000000001</v>
      </c>
      <c r="I3273">
        <v>16.2</v>
      </c>
    </row>
    <row r="3274" spans="1:9" ht="24" customHeight="1">
      <c r="A3274" s="6" t="s">
        <v>4314</v>
      </c>
      <c r="B3274">
        <v>5699</v>
      </c>
      <c r="C3274">
        <v>1408</v>
      </c>
      <c r="D3274">
        <v>428069</v>
      </c>
      <c r="E3274">
        <v>398642</v>
      </c>
      <c r="F3274">
        <v>11.1</v>
      </c>
      <c r="G3274">
        <v>10.8</v>
      </c>
      <c r="H3274">
        <v>13.6</v>
      </c>
      <c r="I3274">
        <v>17.2</v>
      </c>
    </row>
    <row r="3275" spans="1:9" ht="24" customHeight="1">
      <c r="A3275" s="6" t="s">
        <v>4315</v>
      </c>
      <c r="B3275">
        <v>5535</v>
      </c>
      <c r="C3275">
        <v>1468</v>
      </c>
      <c r="D3275">
        <v>421187</v>
      </c>
      <c r="E3275">
        <v>307375</v>
      </c>
      <c r="F3275">
        <v>7.4</v>
      </c>
      <c r="G3275">
        <v>8.3000000000000007</v>
      </c>
      <c r="H3275">
        <v>14</v>
      </c>
      <c r="I3275">
        <v>12.4</v>
      </c>
    </row>
    <row r="3276" spans="1:9" ht="24" customHeight="1">
      <c r="A3276" s="6" t="s">
        <v>4316</v>
      </c>
      <c r="B3276">
        <v>33640</v>
      </c>
      <c r="C3276">
        <v>28935</v>
      </c>
      <c r="D3276">
        <v>342387</v>
      </c>
      <c r="E3276">
        <v>277620</v>
      </c>
      <c r="F3276">
        <v>13.8</v>
      </c>
      <c r="G3276">
        <v>5.8</v>
      </c>
      <c r="H3276">
        <v>8.9</v>
      </c>
      <c r="I3276">
        <v>7.6</v>
      </c>
    </row>
    <row r="3277" spans="1:9" ht="24" customHeight="1">
      <c r="A3277" s="6" t="s">
        <v>4317</v>
      </c>
      <c r="B3277">
        <v>2240</v>
      </c>
      <c r="C3277">
        <v>252</v>
      </c>
      <c r="D3277">
        <v>698627</v>
      </c>
      <c r="E3277">
        <v>690216</v>
      </c>
      <c r="F3277">
        <v>1.1000000000000001</v>
      </c>
      <c r="G3277">
        <v>0</v>
      </c>
      <c r="H3277">
        <v>23.5</v>
      </c>
      <c r="I3277">
        <v>21.2</v>
      </c>
    </row>
    <row r="3278" spans="1:9" ht="24" customHeight="1">
      <c r="A3278" s="6" t="s">
        <v>4318</v>
      </c>
      <c r="B3278">
        <v>4674</v>
      </c>
      <c r="C3278">
        <v>846</v>
      </c>
      <c r="D3278">
        <v>560104</v>
      </c>
      <c r="E3278">
        <v>598836</v>
      </c>
      <c r="F3278">
        <v>2.6</v>
      </c>
      <c r="G3278">
        <v>0.7</v>
      </c>
      <c r="H3278">
        <v>22.1</v>
      </c>
      <c r="I3278">
        <v>19.3</v>
      </c>
    </row>
    <row r="3279" spans="1:9" ht="24" customHeight="1">
      <c r="A3279" s="6" t="s">
        <v>4319</v>
      </c>
      <c r="B3279">
        <v>5304</v>
      </c>
      <c r="C3279">
        <v>1296</v>
      </c>
      <c r="D3279">
        <v>450919</v>
      </c>
      <c r="E3279">
        <v>432270</v>
      </c>
      <c r="F3279">
        <v>14</v>
      </c>
      <c r="G3279">
        <v>11.2</v>
      </c>
      <c r="H3279">
        <v>17.600000000000001</v>
      </c>
      <c r="I3279">
        <v>17.5</v>
      </c>
    </row>
    <row r="3280" spans="1:9" ht="24" customHeight="1">
      <c r="A3280" s="6" t="s">
        <v>4320</v>
      </c>
      <c r="B3280">
        <v>5413</v>
      </c>
      <c r="C3280">
        <v>1248</v>
      </c>
      <c r="D3280">
        <v>483576</v>
      </c>
      <c r="E3280">
        <v>428068</v>
      </c>
      <c r="F3280">
        <v>7.4</v>
      </c>
      <c r="G3280">
        <v>8.9</v>
      </c>
      <c r="H3280">
        <v>15.7</v>
      </c>
      <c r="I3280">
        <v>14.7</v>
      </c>
    </row>
    <row r="3281" spans="1:9" ht="24" customHeight="1">
      <c r="A3281" s="6" t="s">
        <v>4321</v>
      </c>
      <c r="B3281">
        <v>25383</v>
      </c>
      <c r="C3281">
        <v>19356</v>
      </c>
      <c r="D3281">
        <v>365634</v>
      </c>
      <c r="E3281">
        <v>316127</v>
      </c>
      <c r="F3281">
        <v>9.9</v>
      </c>
      <c r="G3281">
        <v>7.7</v>
      </c>
      <c r="H3281">
        <v>11.4</v>
      </c>
      <c r="I3281">
        <v>9.3000000000000007</v>
      </c>
    </row>
    <row r="3282" spans="1:9" ht="24" customHeight="1">
      <c r="A3282" s="6" t="s">
        <v>869</v>
      </c>
      <c r="B3282">
        <v>3225</v>
      </c>
      <c r="C3282">
        <v>470</v>
      </c>
      <c r="D3282">
        <v>912773</v>
      </c>
      <c r="E3282">
        <v>802828</v>
      </c>
      <c r="F3282">
        <v>0.6</v>
      </c>
      <c r="G3282">
        <v>2.6</v>
      </c>
      <c r="H3282">
        <v>24.1</v>
      </c>
      <c r="I3282">
        <v>19.600000000000001</v>
      </c>
    </row>
    <row r="3283" spans="1:9" ht="24" customHeight="1">
      <c r="A3283" s="6" t="s">
        <v>870</v>
      </c>
      <c r="B3283">
        <v>7771</v>
      </c>
      <c r="C3283">
        <v>2620</v>
      </c>
      <c r="D3283">
        <v>784580</v>
      </c>
      <c r="E3283">
        <v>723077</v>
      </c>
      <c r="F3283">
        <v>1.8</v>
      </c>
      <c r="G3283">
        <v>1.4</v>
      </c>
      <c r="H3283">
        <v>23.3</v>
      </c>
      <c r="I3283">
        <v>25.8</v>
      </c>
    </row>
    <row r="3284" spans="1:9" ht="24" customHeight="1">
      <c r="A3284" s="6" t="s">
        <v>871</v>
      </c>
      <c r="B3284">
        <v>11375</v>
      </c>
      <c r="C3284">
        <v>5229</v>
      </c>
      <c r="D3284">
        <v>628386</v>
      </c>
      <c r="E3284">
        <v>575953</v>
      </c>
      <c r="F3284">
        <v>16.600000000000001</v>
      </c>
      <c r="G3284">
        <v>13.3</v>
      </c>
      <c r="H3284">
        <v>18.7</v>
      </c>
      <c r="I3284">
        <v>18.899999999999999</v>
      </c>
    </row>
    <row r="3285" spans="1:9" ht="24" customHeight="1">
      <c r="A3285" s="6" t="s">
        <v>872</v>
      </c>
      <c r="B3285">
        <v>10825</v>
      </c>
      <c r="C3285">
        <v>3925</v>
      </c>
      <c r="D3285">
        <v>759767</v>
      </c>
      <c r="E3285">
        <v>683336</v>
      </c>
      <c r="F3285">
        <v>5</v>
      </c>
      <c r="G3285">
        <v>7.8</v>
      </c>
      <c r="H3285">
        <v>19.8</v>
      </c>
      <c r="I3285">
        <v>20.8</v>
      </c>
    </row>
    <row r="3286" spans="1:9" ht="24" customHeight="1">
      <c r="A3286" s="6" t="s">
        <v>873</v>
      </c>
      <c r="B3286">
        <v>93110</v>
      </c>
      <c r="C3286">
        <v>54433</v>
      </c>
      <c r="D3286">
        <v>705275</v>
      </c>
      <c r="E3286">
        <v>548599</v>
      </c>
      <c r="F3286">
        <v>6.3</v>
      </c>
      <c r="G3286">
        <v>7.9</v>
      </c>
      <c r="H3286">
        <v>13.6</v>
      </c>
      <c r="I3286">
        <v>11.2</v>
      </c>
    </row>
    <row r="3287" spans="1:9" ht="24" customHeight="1">
      <c r="A3287" s="6" t="s">
        <v>4322</v>
      </c>
      <c r="B3287">
        <v>4569</v>
      </c>
      <c r="C3287">
        <v>2218</v>
      </c>
      <c r="D3287">
        <v>566759</v>
      </c>
      <c r="E3287">
        <v>507664</v>
      </c>
      <c r="F3287">
        <v>5.5</v>
      </c>
      <c r="G3287">
        <v>2.1</v>
      </c>
      <c r="H3287">
        <v>19.100000000000001</v>
      </c>
      <c r="I3287">
        <v>22.1</v>
      </c>
    </row>
    <row r="3288" spans="1:9" ht="24" customHeight="1">
      <c r="A3288" s="6" t="s">
        <v>4323</v>
      </c>
      <c r="B3288">
        <v>5810</v>
      </c>
      <c r="C3288">
        <v>3931</v>
      </c>
      <c r="D3288">
        <v>493911</v>
      </c>
      <c r="E3288">
        <v>447526</v>
      </c>
      <c r="F3288">
        <v>10.3</v>
      </c>
      <c r="G3288">
        <v>5</v>
      </c>
      <c r="H3288">
        <v>18.2</v>
      </c>
      <c r="I3288">
        <v>17.100000000000001</v>
      </c>
    </row>
    <row r="3289" spans="1:9" ht="24" customHeight="1">
      <c r="A3289" s="6" t="s">
        <v>4324</v>
      </c>
      <c r="B3289">
        <v>3828</v>
      </c>
      <c r="C3289">
        <v>4736</v>
      </c>
      <c r="D3289">
        <v>455078</v>
      </c>
      <c r="E3289">
        <v>404996</v>
      </c>
      <c r="F3289">
        <v>19.3</v>
      </c>
      <c r="G3289">
        <v>7.4</v>
      </c>
      <c r="H3289">
        <v>14.2</v>
      </c>
      <c r="I3289">
        <v>15</v>
      </c>
    </row>
    <row r="3290" spans="1:9" ht="24" customHeight="1">
      <c r="A3290" s="6" t="s">
        <v>4325</v>
      </c>
      <c r="B3290">
        <v>6918</v>
      </c>
      <c r="C3290">
        <v>6874</v>
      </c>
      <c r="D3290">
        <v>502412</v>
      </c>
      <c r="E3290">
        <v>454985</v>
      </c>
      <c r="F3290">
        <v>6.2</v>
      </c>
      <c r="G3290">
        <v>3.3</v>
      </c>
      <c r="H3290">
        <v>16.600000000000001</v>
      </c>
      <c r="I3290">
        <v>19</v>
      </c>
    </row>
    <row r="3291" spans="1:9" ht="24" customHeight="1">
      <c r="A3291" s="6" t="s">
        <v>4326</v>
      </c>
      <c r="B3291">
        <v>46301</v>
      </c>
      <c r="C3291">
        <v>121302</v>
      </c>
      <c r="D3291">
        <v>397098</v>
      </c>
      <c r="E3291">
        <v>324598</v>
      </c>
      <c r="F3291">
        <v>10.3</v>
      </c>
      <c r="G3291">
        <v>3.5</v>
      </c>
      <c r="H3291">
        <v>10.7</v>
      </c>
      <c r="I3291">
        <v>8</v>
      </c>
    </row>
    <row r="3292" spans="1:9" ht="24" customHeight="1">
      <c r="A3292" s="6" t="s">
        <v>4327</v>
      </c>
      <c r="B3292">
        <v>3706</v>
      </c>
      <c r="C3292">
        <v>1257</v>
      </c>
      <c r="D3292">
        <v>676564</v>
      </c>
      <c r="E3292">
        <v>524381</v>
      </c>
      <c r="F3292">
        <v>3</v>
      </c>
      <c r="G3292">
        <v>1.8</v>
      </c>
      <c r="H3292">
        <v>22.3</v>
      </c>
      <c r="I3292">
        <v>20.399999999999999</v>
      </c>
    </row>
    <row r="3293" spans="1:9" ht="24" customHeight="1">
      <c r="A3293" s="6" t="s">
        <v>4328</v>
      </c>
      <c r="B3293">
        <v>4180</v>
      </c>
      <c r="C3293">
        <v>1380</v>
      </c>
      <c r="D3293">
        <v>538858</v>
      </c>
      <c r="E3293">
        <v>589820</v>
      </c>
      <c r="F3293">
        <v>6.8</v>
      </c>
      <c r="G3293">
        <v>3.4</v>
      </c>
      <c r="H3293">
        <v>18</v>
      </c>
      <c r="I3293">
        <v>20.100000000000001</v>
      </c>
    </row>
    <row r="3294" spans="1:9" ht="24" customHeight="1">
      <c r="A3294" s="6" t="s">
        <v>4329</v>
      </c>
      <c r="B3294">
        <v>2694</v>
      </c>
      <c r="C3294">
        <v>1839</v>
      </c>
      <c r="D3294">
        <v>496964</v>
      </c>
      <c r="E3294">
        <v>446615</v>
      </c>
      <c r="F3294">
        <v>18.2</v>
      </c>
      <c r="G3294">
        <v>7.5</v>
      </c>
      <c r="H3294">
        <v>16.100000000000001</v>
      </c>
      <c r="I3294">
        <v>16.3</v>
      </c>
    </row>
    <row r="3295" spans="1:9" ht="24" customHeight="1">
      <c r="A3295" s="6" t="s">
        <v>4330</v>
      </c>
      <c r="B3295">
        <v>6070</v>
      </c>
      <c r="C3295">
        <v>2698</v>
      </c>
      <c r="D3295">
        <v>615646</v>
      </c>
      <c r="E3295">
        <v>511652</v>
      </c>
      <c r="F3295">
        <v>5.4</v>
      </c>
      <c r="G3295">
        <v>5.4</v>
      </c>
      <c r="H3295">
        <v>17.3</v>
      </c>
      <c r="I3295">
        <v>20.6</v>
      </c>
    </row>
    <row r="3296" spans="1:9" ht="24" customHeight="1">
      <c r="A3296" s="6" t="s">
        <v>4331</v>
      </c>
      <c r="B3296">
        <v>44024</v>
      </c>
      <c r="C3296">
        <v>41683</v>
      </c>
      <c r="D3296">
        <v>565419</v>
      </c>
      <c r="E3296">
        <v>414878</v>
      </c>
      <c r="F3296">
        <v>5.7</v>
      </c>
      <c r="G3296">
        <v>3.8</v>
      </c>
      <c r="H3296">
        <v>12.9</v>
      </c>
      <c r="I3296">
        <v>9.8000000000000007</v>
      </c>
    </row>
    <row r="3297" spans="1:9" ht="24" customHeight="1">
      <c r="A3297" s="6" t="s">
        <v>4332</v>
      </c>
      <c r="B3297">
        <v>2532</v>
      </c>
      <c r="C3297">
        <v>499</v>
      </c>
      <c r="D3297">
        <v>793957</v>
      </c>
      <c r="E3297">
        <v>760943</v>
      </c>
      <c r="F3297">
        <v>0.4</v>
      </c>
      <c r="G3297">
        <v>0.2</v>
      </c>
      <c r="H3297">
        <v>21.3</v>
      </c>
      <c r="I3297">
        <v>25.3</v>
      </c>
    </row>
    <row r="3298" spans="1:9" ht="24" customHeight="1">
      <c r="A3298" s="6" t="s">
        <v>4333</v>
      </c>
      <c r="B3298">
        <v>4275</v>
      </c>
      <c r="C3298">
        <v>1936</v>
      </c>
      <c r="D3298">
        <v>644661</v>
      </c>
      <c r="E3298">
        <v>699474</v>
      </c>
      <c r="F3298">
        <v>3.2</v>
      </c>
      <c r="G3298">
        <v>1.3</v>
      </c>
      <c r="H3298">
        <v>18.8</v>
      </c>
      <c r="I3298">
        <v>25.4</v>
      </c>
    </row>
    <row r="3299" spans="1:9" ht="24" customHeight="1">
      <c r="A3299" s="6" t="s">
        <v>4334</v>
      </c>
      <c r="B3299">
        <v>2777</v>
      </c>
      <c r="C3299">
        <v>2026</v>
      </c>
      <c r="D3299">
        <v>516113</v>
      </c>
      <c r="E3299">
        <v>532794</v>
      </c>
      <c r="F3299">
        <v>12.1</v>
      </c>
      <c r="G3299">
        <v>12.3</v>
      </c>
      <c r="H3299">
        <v>13</v>
      </c>
      <c r="I3299">
        <v>17.7</v>
      </c>
    </row>
    <row r="3300" spans="1:9" ht="24" customHeight="1">
      <c r="A3300" s="6" t="s">
        <v>4335</v>
      </c>
      <c r="B3300">
        <v>5238</v>
      </c>
      <c r="C3300">
        <v>2473</v>
      </c>
      <c r="D3300">
        <v>688566</v>
      </c>
      <c r="E3300">
        <v>622267</v>
      </c>
      <c r="F3300">
        <v>5</v>
      </c>
      <c r="G3300">
        <v>11.5</v>
      </c>
      <c r="H3300">
        <v>19.2</v>
      </c>
      <c r="I3300">
        <v>18.5</v>
      </c>
    </row>
    <row r="3301" spans="1:9" ht="24" customHeight="1">
      <c r="A3301" s="6" t="s">
        <v>4336</v>
      </c>
      <c r="B3301">
        <v>42707</v>
      </c>
      <c r="C3301">
        <v>36740</v>
      </c>
      <c r="D3301">
        <v>632769</v>
      </c>
      <c r="E3301">
        <v>505264</v>
      </c>
      <c r="F3301">
        <v>4.4000000000000004</v>
      </c>
      <c r="G3301">
        <v>4.8</v>
      </c>
      <c r="H3301">
        <v>13.1</v>
      </c>
      <c r="I3301">
        <v>10.4</v>
      </c>
    </row>
    <row r="3302" spans="1:9" ht="24" customHeight="1">
      <c r="A3302" s="6" t="s">
        <v>874</v>
      </c>
      <c r="B3302">
        <v>11889</v>
      </c>
      <c r="C3302">
        <v>2550</v>
      </c>
      <c r="D3302">
        <v>1286263</v>
      </c>
      <c r="E3302">
        <v>970597</v>
      </c>
      <c r="F3302">
        <v>15.1</v>
      </c>
      <c r="G3302">
        <v>6.1</v>
      </c>
      <c r="H3302">
        <v>14.4</v>
      </c>
      <c r="I3302">
        <v>19.899999999999999</v>
      </c>
    </row>
    <row r="3303" spans="1:9" ht="24" customHeight="1">
      <c r="A3303" s="6" t="s">
        <v>875</v>
      </c>
      <c r="B3303">
        <v>16179</v>
      </c>
      <c r="C3303">
        <v>16342</v>
      </c>
      <c r="D3303">
        <v>837866</v>
      </c>
      <c r="E3303">
        <v>654476</v>
      </c>
      <c r="F3303">
        <v>13</v>
      </c>
      <c r="G3303">
        <v>7</v>
      </c>
      <c r="H3303">
        <v>19.5</v>
      </c>
      <c r="I3303">
        <v>22</v>
      </c>
    </row>
    <row r="3304" spans="1:9" ht="24" customHeight="1">
      <c r="A3304" s="6" t="s">
        <v>876</v>
      </c>
      <c r="B3304">
        <v>19687</v>
      </c>
      <c r="C3304">
        <v>21418</v>
      </c>
      <c r="D3304">
        <v>689274</v>
      </c>
      <c r="E3304">
        <v>610380</v>
      </c>
      <c r="F3304">
        <v>18.3</v>
      </c>
      <c r="G3304">
        <v>13.4</v>
      </c>
      <c r="H3304">
        <v>16.100000000000001</v>
      </c>
      <c r="I3304">
        <v>18.600000000000001</v>
      </c>
    </row>
    <row r="3305" spans="1:9" ht="24" customHeight="1">
      <c r="A3305" s="6" t="s">
        <v>877</v>
      </c>
      <c r="B3305">
        <v>26041</v>
      </c>
      <c r="C3305">
        <v>24476</v>
      </c>
      <c r="D3305">
        <v>843007</v>
      </c>
      <c r="E3305">
        <v>552799</v>
      </c>
      <c r="F3305">
        <v>14.8</v>
      </c>
      <c r="G3305">
        <v>10.9</v>
      </c>
      <c r="H3305">
        <v>16.100000000000001</v>
      </c>
      <c r="I3305">
        <v>17.100000000000001</v>
      </c>
    </row>
    <row r="3306" spans="1:9" ht="24" customHeight="1">
      <c r="A3306" s="6" t="s">
        <v>878</v>
      </c>
      <c r="B3306">
        <v>185393</v>
      </c>
      <c r="C3306">
        <v>517383</v>
      </c>
      <c r="D3306">
        <v>489406</v>
      </c>
      <c r="E3306">
        <v>400353</v>
      </c>
      <c r="F3306">
        <v>12.7</v>
      </c>
      <c r="G3306">
        <v>7.7</v>
      </c>
      <c r="H3306">
        <v>7.6</v>
      </c>
      <c r="I3306">
        <v>8</v>
      </c>
    </row>
    <row r="3307" spans="1:9" ht="24" customHeight="1">
      <c r="A3307" s="6" t="s">
        <v>4337</v>
      </c>
      <c r="B3307">
        <v>20507</v>
      </c>
      <c r="C3307">
        <v>13423</v>
      </c>
      <c r="D3307">
        <v>635045</v>
      </c>
      <c r="E3307">
        <v>512094</v>
      </c>
      <c r="F3307">
        <v>2.7</v>
      </c>
      <c r="G3307">
        <v>4.9000000000000004</v>
      </c>
      <c r="H3307">
        <v>13.5</v>
      </c>
      <c r="I3307">
        <v>17.2</v>
      </c>
    </row>
    <row r="3308" spans="1:9" ht="24" customHeight="1">
      <c r="A3308" s="6" t="s">
        <v>4338</v>
      </c>
      <c r="B3308">
        <v>16569</v>
      </c>
      <c r="C3308">
        <v>27394</v>
      </c>
      <c r="D3308">
        <v>497300</v>
      </c>
      <c r="E3308">
        <v>426171</v>
      </c>
      <c r="F3308">
        <v>3.9</v>
      </c>
      <c r="G3308">
        <v>3.8</v>
      </c>
      <c r="H3308">
        <v>14.8</v>
      </c>
      <c r="I3308">
        <v>13.8</v>
      </c>
    </row>
    <row r="3309" spans="1:9" ht="24" customHeight="1">
      <c r="A3309" s="6" t="s">
        <v>4339</v>
      </c>
      <c r="B3309">
        <v>17000</v>
      </c>
      <c r="C3309">
        <v>33211</v>
      </c>
      <c r="D3309">
        <v>433795</v>
      </c>
      <c r="E3309">
        <v>377611</v>
      </c>
      <c r="F3309">
        <v>8.6999999999999993</v>
      </c>
      <c r="G3309">
        <v>5.4</v>
      </c>
      <c r="H3309">
        <v>11.9</v>
      </c>
      <c r="I3309">
        <v>12.2</v>
      </c>
    </row>
    <row r="3310" spans="1:9" ht="24" customHeight="1">
      <c r="A3310" s="6" t="s">
        <v>4340</v>
      </c>
      <c r="B3310">
        <v>31278</v>
      </c>
      <c r="C3310">
        <v>44042</v>
      </c>
      <c r="D3310">
        <v>557584</v>
      </c>
      <c r="E3310">
        <v>402134</v>
      </c>
      <c r="F3310">
        <v>5.0999999999999996</v>
      </c>
      <c r="G3310">
        <v>6.3</v>
      </c>
      <c r="H3310">
        <v>12.6</v>
      </c>
      <c r="I3310">
        <v>12.9</v>
      </c>
    </row>
    <row r="3311" spans="1:9" ht="24" customHeight="1">
      <c r="A3311" s="6" t="s">
        <v>4341</v>
      </c>
      <c r="B3311">
        <v>235348</v>
      </c>
      <c r="C3311">
        <v>782646</v>
      </c>
      <c r="D3311">
        <v>367354</v>
      </c>
      <c r="E3311">
        <v>317295</v>
      </c>
      <c r="F3311">
        <v>6.4</v>
      </c>
      <c r="G3311">
        <v>5.2</v>
      </c>
      <c r="H3311">
        <v>7.3</v>
      </c>
      <c r="I3311">
        <v>7.5</v>
      </c>
    </row>
    <row r="3312" spans="1:9" ht="24" customHeight="1">
      <c r="A3312" s="6" t="s">
        <v>4342</v>
      </c>
      <c r="B3312">
        <v>16440</v>
      </c>
      <c r="C3312">
        <v>8999</v>
      </c>
      <c r="D3312">
        <v>756412</v>
      </c>
      <c r="E3312">
        <v>581901</v>
      </c>
      <c r="F3312">
        <v>2.6</v>
      </c>
      <c r="G3312">
        <v>2.1</v>
      </c>
      <c r="H3312">
        <v>17.3</v>
      </c>
      <c r="I3312">
        <v>21.7</v>
      </c>
    </row>
    <row r="3313" spans="1:9" ht="24" customHeight="1">
      <c r="A3313" s="6" t="s">
        <v>4343</v>
      </c>
      <c r="B3313">
        <v>23237</v>
      </c>
      <c r="C3313">
        <v>21517</v>
      </c>
      <c r="D3313">
        <v>532075</v>
      </c>
      <c r="E3313">
        <v>479183</v>
      </c>
      <c r="F3313">
        <v>3.2</v>
      </c>
      <c r="G3313">
        <v>4</v>
      </c>
      <c r="H3313">
        <v>17.2</v>
      </c>
      <c r="I3313">
        <v>18.600000000000001</v>
      </c>
    </row>
    <row r="3314" spans="1:9" ht="24" customHeight="1">
      <c r="A3314" s="6" t="s">
        <v>4344</v>
      </c>
      <c r="B3314">
        <v>24076</v>
      </c>
      <c r="C3314">
        <v>24324</v>
      </c>
      <c r="D3314">
        <v>436483</v>
      </c>
      <c r="E3314">
        <v>415835</v>
      </c>
      <c r="F3314">
        <v>5.3</v>
      </c>
      <c r="G3314">
        <v>6.1</v>
      </c>
      <c r="H3314">
        <v>14</v>
      </c>
      <c r="I3314">
        <v>15</v>
      </c>
    </row>
    <row r="3315" spans="1:9" ht="24" customHeight="1">
      <c r="A3315" s="6" t="s">
        <v>4345</v>
      </c>
      <c r="B3315">
        <v>29417</v>
      </c>
      <c r="C3315">
        <v>38176</v>
      </c>
      <c r="D3315">
        <v>553613</v>
      </c>
      <c r="E3315">
        <v>404452</v>
      </c>
      <c r="F3315">
        <v>5.8</v>
      </c>
      <c r="G3315">
        <v>4.8</v>
      </c>
      <c r="H3315">
        <v>14.1</v>
      </c>
      <c r="I3315">
        <v>14.7</v>
      </c>
    </row>
    <row r="3316" spans="1:9" ht="24" customHeight="1">
      <c r="A3316" s="6" t="s">
        <v>4346</v>
      </c>
      <c r="B3316">
        <v>228614</v>
      </c>
      <c r="C3316">
        <v>574504</v>
      </c>
      <c r="D3316">
        <v>366998</v>
      </c>
      <c r="E3316">
        <v>331683</v>
      </c>
      <c r="F3316">
        <v>4.5</v>
      </c>
      <c r="G3316">
        <v>4.2</v>
      </c>
      <c r="H3316">
        <v>7.5</v>
      </c>
      <c r="I3316">
        <v>8.1</v>
      </c>
    </row>
    <row r="3317" spans="1:9" ht="24" customHeight="1">
      <c r="A3317" s="6" t="s">
        <v>4347</v>
      </c>
      <c r="B3317">
        <v>10865</v>
      </c>
      <c r="C3317">
        <v>6901</v>
      </c>
      <c r="D3317">
        <v>945716</v>
      </c>
      <c r="E3317">
        <v>638255</v>
      </c>
      <c r="F3317">
        <v>4.0999999999999996</v>
      </c>
      <c r="G3317">
        <v>1.4</v>
      </c>
      <c r="H3317">
        <v>16.8</v>
      </c>
      <c r="I3317">
        <v>17.600000000000001</v>
      </c>
    </row>
    <row r="3318" spans="1:9" ht="24" customHeight="1">
      <c r="A3318" s="6" t="s">
        <v>4348</v>
      </c>
      <c r="B3318">
        <v>16137</v>
      </c>
      <c r="C3318">
        <v>19420</v>
      </c>
      <c r="D3318">
        <v>533638</v>
      </c>
      <c r="E3318">
        <v>517794</v>
      </c>
      <c r="F3318">
        <v>4.0999999999999996</v>
      </c>
      <c r="G3318">
        <v>3.5</v>
      </c>
      <c r="H3318">
        <v>18.399999999999999</v>
      </c>
      <c r="I3318">
        <v>18.7</v>
      </c>
    </row>
    <row r="3319" spans="1:9" ht="24" customHeight="1">
      <c r="A3319" s="6" t="s">
        <v>4349</v>
      </c>
      <c r="B3319">
        <v>16317</v>
      </c>
      <c r="C3319">
        <v>18771</v>
      </c>
      <c r="D3319">
        <v>486231</v>
      </c>
      <c r="E3319">
        <v>470262</v>
      </c>
      <c r="F3319">
        <v>9.1999999999999993</v>
      </c>
      <c r="G3319">
        <v>7.1</v>
      </c>
      <c r="H3319">
        <v>14.5</v>
      </c>
      <c r="I3319">
        <v>16.2</v>
      </c>
    </row>
    <row r="3320" spans="1:9" ht="24" customHeight="1">
      <c r="A3320" s="6" t="s">
        <v>4350</v>
      </c>
      <c r="B3320">
        <v>27484</v>
      </c>
      <c r="C3320">
        <v>28456</v>
      </c>
      <c r="D3320">
        <v>607655</v>
      </c>
      <c r="E3320">
        <v>466602</v>
      </c>
      <c r="F3320">
        <v>8.8000000000000007</v>
      </c>
      <c r="G3320">
        <v>7.8</v>
      </c>
      <c r="H3320">
        <v>13.4</v>
      </c>
      <c r="I3320">
        <v>16.100000000000001</v>
      </c>
    </row>
    <row r="3321" spans="1:9" ht="24" customHeight="1">
      <c r="A3321" s="6" t="s">
        <v>4351</v>
      </c>
      <c r="B3321">
        <v>236310</v>
      </c>
      <c r="C3321">
        <v>507198</v>
      </c>
      <c r="D3321">
        <v>408253</v>
      </c>
      <c r="E3321">
        <v>349881</v>
      </c>
      <c r="F3321">
        <v>6</v>
      </c>
      <c r="G3321">
        <v>4.4000000000000004</v>
      </c>
      <c r="H3321">
        <v>8.1999999999999993</v>
      </c>
      <c r="I3321">
        <v>8</v>
      </c>
    </row>
    <row r="3322" spans="1:9" ht="24" customHeight="1">
      <c r="A3322" s="6" t="s">
        <v>879</v>
      </c>
      <c r="B3322">
        <v>5432</v>
      </c>
      <c r="C3322">
        <v>417</v>
      </c>
      <c r="D3322">
        <v>778518</v>
      </c>
      <c r="E3322">
        <v>717869</v>
      </c>
      <c r="F3322">
        <v>0.6</v>
      </c>
      <c r="G3322">
        <v>1.1000000000000001</v>
      </c>
      <c r="H3322">
        <v>31.7</v>
      </c>
      <c r="I3322">
        <v>24.1</v>
      </c>
    </row>
    <row r="3323" spans="1:9" ht="24" customHeight="1">
      <c r="A3323" s="6" t="s">
        <v>880</v>
      </c>
      <c r="B3323">
        <v>11230</v>
      </c>
      <c r="C3323">
        <v>1277</v>
      </c>
      <c r="D3323">
        <v>664645</v>
      </c>
      <c r="E3323">
        <v>605420</v>
      </c>
      <c r="F3323">
        <v>12.1</v>
      </c>
      <c r="G3323">
        <v>6.9</v>
      </c>
      <c r="H3323">
        <v>27</v>
      </c>
      <c r="I3323">
        <v>27.1</v>
      </c>
    </row>
    <row r="3324" spans="1:9" ht="24" customHeight="1">
      <c r="A3324" s="6" t="s">
        <v>881</v>
      </c>
      <c r="B3324">
        <v>7551</v>
      </c>
      <c r="C3324">
        <v>1790</v>
      </c>
      <c r="D3324">
        <v>609528</v>
      </c>
      <c r="E3324">
        <v>526577</v>
      </c>
      <c r="F3324">
        <v>14.8</v>
      </c>
      <c r="G3324">
        <v>11.5</v>
      </c>
      <c r="H3324">
        <v>22.5</v>
      </c>
      <c r="I3324">
        <v>21.5</v>
      </c>
    </row>
    <row r="3325" spans="1:9" ht="24" customHeight="1">
      <c r="A3325" s="6" t="s">
        <v>882</v>
      </c>
      <c r="B3325">
        <v>17442</v>
      </c>
      <c r="C3325">
        <v>4350</v>
      </c>
      <c r="D3325">
        <v>565999</v>
      </c>
      <c r="E3325">
        <v>498422</v>
      </c>
      <c r="F3325">
        <v>13.4</v>
      </c>
      <c r="G3325">
        <v>8.8000000000000007</v>
      </c>
      <c r="H3325">
        <v>22.2</v>
      </c>
      <c r="I3325">
        <v>18.2</v>
      </c>
    </row>
    <row r="3326" spans="1:9" ht="24" customHeight="1">
      <c r="A3326" s="6" t="s">
        <v>883</v>
      </c>
      <c r="B3326">
        <v>44860</v>
      </c>
      <c r="C3326">
        <v>20778</v>
      </c>
      <c r="D3326">
        <v>432810</v>
      </c>
      <c r="E3326">
        <v>358300</v>
      </c>
      <c r="F3326">
        <v>13.7</v>
      </c>
      <c r="G3326">
        <v>7.1</v>
      </c>
      <c r="H3326">
        <v>14.7</v>
      </c>
      <c r="I3326">
        <v>11.5</v>
      </c>
    </row>
    <row r="3327" spans="1:9" ht="24" customHeight="1">
      <c r="A3327" s="6" t="s">
        <v>4352</v>
      </c>
      <c r="B3327">
        <v>1047</v>
      </c>
      <c r="C3327">
        <v>9</v>
      </c>
      <c r="D3327">
        <v>596537</v>
      </c>
      <c r="E3327">
        <v>567927</v>
      </c>
      <c r="F3327">
        <v>3.2</v>
      </c>
      <c r="G3327">
        <v>0</v>
      </c>
      <c r="H3327">
        <v>30.6</v>
      </c>
      <c r="I3327">
        <v>38</v>
      </c>
    </row>
    <row r="3328" spans="1:9" ht="24" customHeight="1">
      <c r="A3328" s="6" t="s">
        <v>4353</v>
      </c>
      <c r="B3328">
        <v>1590</v>
      </c>
      <c r="C3328">
        <v>209</v>
      </c>
      <c r="D3328">
        <v>495666</v>
      </c>
      <c r="E3328">
        <v>475824</v>
      </c>
      <c r="F3328">
        <v>10.6</v>
      </c>
      <c r="G3328">
        <v>3.3</v>
      </c>
      <c r="H3328">
        <v>22.4</v>
      </c>
      <c r="I3328">
        <v>23.6</v>
      </c>
    </row>
    <row r="3329" spans="1:9" ht="24" customHeight="1">
      <c r="A3329" s="6" t="s">
        <v>4354</v>
      </c>
      <c r="B3329">
        <v>1440</v>
      </c>
      <c r="C3329">
        <v>485</v>
      </c>
      <c r="D3329">
        <v>453652</v>
      </c>
      <c r="E3329">
        <v>411755</v>
      </c>
      <c r="F3329">
        <v>18.100000000000001</v>
      </c>
      <c r="G3329">
        <v>2.2000000000000002</v>
      </c>
      <c r="H3329">
        <v>17.600000000000001</v>
      </c>
      <c r="I3329">
        <v>20.3</v>
      </c>
    </row>
    <row r="3330" spans="1:9" ht="24" customHeight="1">
      <c r="A3330" s="6" t="s">
        <v>4355</v>
      </c>
      <c r="B3330">
        <v>968</v>
      </c>
      <c r="C3330">
        <v>303</v>
      </c>
      <c r="D3330">
        <v>561890</v>
      </c>
      <c r="E3330">
        <v>463650</v>
      </c>
      <c r="F3330">
        <v>9.4</v>
      </c>
      <c r="G3330">
        <v>2</v>
      </c>
      <c r="H3330">
        <v>27</v>
      </c>
      <c r="I3330">
        <v>29.3</v>
      </c>
    </row>
    <row r="3331" spans="1:9" ht="24" customHeight="1">
      <c r="A3331" s="6" t="s">
        <v>4356</v>
      </c>
      <c r="B3331">
        <v>3339</v>
      </c>
      <c r="C3331">
        <v>3800</v>
      </c>
      <c r="D3331">
        <v>336867</v>
      </c>
      <c r="E3331">
        <v>296857</v>
      </c>
      <c r="F3331">
        <v>14.7</v>
      </c>
      <c r="G3331">
        <v>4.0999999999999996</v>
      </c>
      <c r="H3331">
        <v>8</v>
      </c>
      <c r="I3331">
        <v>9.5</v>
      </c>
    </row>
    <row r="3332" spans="1:9" ht="24" customHeight="1">
      <c r="A3332" s="6" t="s">
        <v>4357</v>
      </c>
      <c r="B3332">
        <v>1164</v>
      </c>
      <c r="C3332">
        <v>26</v>
      </c>
      <c r="D3332">
        <v>582195</v>
      </c>
      <c r="E3332">
        <v>517901</v>
      </c>
      <c r="F3332">
        <v>0.1</v>
      </c>
      <c r="G3332">
        <v>0</v>
      </c>
      <c r="H3332">
        <v>31.1</v>
      </c>
      <c r="I3332">
        <v>39.700000000000003</v>
      </c>
    </row>
    <row r="3333" spans="1:9" ht="24" customHeight="1">
      <c r="A3333" s="6" t="s">
        <v>4358</v>
      </c>
      <c r="B3333">
        <v>2358</v>
      </c>
      <c r="C3333">
        <v>730</v>
      </c>
      <c r="D3333">
        <v>536018</v>
      </c>
      <c r="E3333">
        <v>463263</v>
      </c>
      <c r="F3333">
        <v>0.4</v>
      </c>
      <c r="G3333">
        <v>0.2</v>
      </c>
      <c r="H3333">
        <v>26.2</v>
      </c>
      <c r="I3333">
        <v>28.2</v>
      </c>
    </row>
    <row r="3334" spans="1:9" ht="24" customHeight="1">
      <c r="A3334" s="6" t="s">
        <v>4359</v>
      </c>
      <c r="B3334">
        <v>1417</v>
      </c>
      <c r="C3334">
        <v>710</v>
      </c>
      <c r="D3334">
        <v>477774</v>
      </c>
      <c r="E3334">
        <v>430014</v>
      </c>
      <c r="F3334">
        <v>9</v>
      </c>
      <c r="G3334">
        <v>3.6</v>
      </c>
      <c r="H3334">
        <v>17.5</v>
      </c>
      <c r="I3334">
        <v>22.9</v>
      </c>
    </row>
    <row r="3335" spans="1:9" ht="24" customHeight="1">
      <c r="A3335" s="6" t="s">
        <v>4360</v>
      </c>
      <c r="B3335">
        <v>1547</v>
      </c>
      <c r="C3335">
        <v>755</v>
      </c>
      <c r="D3335">
        <v>508747</v>
      </c>
      <c r="E3335">
        <v>426184</v>
      </c>
      <c r="F3335">
        <v>4</v>
      </c>
      <c r="G3335">
        <v>2.1</v>
      </c>
      <c r="H3335">
        <v>23.4</v>
      </c>
      <c r="I3335">
        <v>24.7</v>
      </c>
    </row>
    <row r="3336" spans="1:9" ht="24" customHeight="1">
      <c r="A3336" s="6" t="s">
        <v>4361</v>
      </c>
      <c r="B3336">
        <v>5751</v>
      </c>
      <c r="C3336">
        <v>5198</v>
      </c>
      <c r="D3336">
        <v>343757</v>
      </c>
      <c r="E3336">
        <v>316372</v>
      </c>
      <c r="F3336">
        <v>7.2</v>
      </c>
      <c r="G3336">
        <v>3.9</v>
      </c>
      <c r="H3336">
        <v>10</v>
      </c>
      <c r="I3336">
        <v>10.6</v>
      </c>
    </row>
    <row r="3337" spans="1:9" ht="24" customHeight="1">
      <c r="A3337" s="6" t="s">
        <v>4362</v>
      </c>
      <c r="B3337">
        <v>1895</v>
      </c>
      <c r="C3337">
        <v>146</v>
      </c>
      <c r="D3337">
        <v>635846</v>
      </c>
      <c r="E3337">
        <v>570799</v>
      </c>
      <c r="F3337">
        <v>0.5</v>
      </c>
      <c r="G3337">
        <v>0.1</v>
      </c>
      <c r="H3337">
        <v>32.5</v>
      </c>
      <c r="I3337">
        <v>33</v>
      </c>
    </row>
    <row r="3338" spans="1:9" ht="24" customHeight="1">
      <c r="A3338" s="6" t="s">
        <v>4363</v>
      </c>
      <c r="B3338">
        <v>4738</v>
      </c>
      <c r="C3338">
        <v>1063</v>
      </c>
      <c r="D3338">
        <v>545607</v>
      </c>
      <c r="E3338">
        <v>510125</v>
      </c>
      <c r="F3338">
        <v>1.2</v>
      </c>
      <c r="G3338">
        <v>1.4</v>
      </c>
      <c r="H3338">
        <v>27.1</v>
      </c>
      <c r="I3338">
        <v>30.1</v>
      </c>
    </row>
    <row r="3339" spans="1:9" ht="24" customHeight="1">
      <c r="A3339" s="6" t="s">
        <v>4364</v>
      </c>
      <c r="B3339">
        <v>2774</v>
      </c>
      <c r="C3339">
        <v>1686</v>
      </c>
      <c r="D3339">
        <v>471689</v>
      </c>
      <c r="E3339">
        <v>455066</v>
      </c>
      <c r="F3339">
        <v>5.5</v>
      </c>
      <c r="G3339">
        <v>4.2</v>
      </c>
      <c r="H3339">
        <v>20</v>
      </c>
      <c r="I3339">
        <v>24.5</v>
      </c>
    </row>
    <row r="3340" spans="1:9" ht="24" customHeight="1">
      <c r="A3340" s="6" t="s">
        <v>4365</v>
      </c>
      <c r="B3340">
        <v>3425</v>
      </c>
      <c r="C3340">
        <v>1442</v>
      </c>
      <c r="D3340">
        <v>508240</v>
      </c>
      <c r="E3340">
        <v>475434</v>
      </c>
      <c r="F3340">
        <v>3.6</v>
      </c>
      <c r="G3340">
        <v>3.3</v>
      </c>
      <c r="H3340">
        <v>24.6</v>
      </c>
      <c r="I3340">
        <v>25.3</v>
      </c>
    </row>
    <row r="3341" spans="1:9" ht="24" customHeight="1">
      <c r="A3341" s="6" t="s">
        <v>4366</v>
      </c>
      <c r="B3341">
        <v>11502</v>
      </c>
      <c r="C3341">
        <v>13347</v>
      </c>
      <c r="D3341">
        <v>353677</v>
      </c>
      <c r="E3341">
        <v>308970</v>
      </c>
      <c r="F3341">
        <v>6.1</v>
      </c>
      <c r="G3341">
        <v>4.7</v>
      </c>
      <c r="H3341">
        <v>10.6</v>
      </c>
      <c r="I3341">
        <v>9.8000000000000007</v>
      </c>
    </row>
    <row r="3342" spans="1:9" ht="24" customHeight="1">
      <c r="A3342" s="6" t="s">
        <v>884</v>
      </c>
      <c r="B3342">
        <v>17429</v>
      </c>
      <c r="C3342">
        <v>2603</v>
      </c>
      <c r="D3342">
        <v>864610</v>
      </c>
      <c r="E3342">
        <v>814264</v>
      </c>
      <c r="F3342">
        <v>0.2</v>
      </c>
      <c r="G3342">
        <v>2</v>
      </c>
      <c r="H3342">
        <v>19.5</v>
      </c>
      <c r="I3342">
        <v>27.4</v>
      </c>
    </row>
    <row r="3343" spans="1:9" ht="24" customHeight="1">
      <c r="A3343" s="6" t="s">
        <v>885</v>
      </c>
      <c r="B3343">
        <v>39992</v>
      </c>
      <c r="C3343">
        <v>4065</v>
      </c>
      <c r="D3343">
        <v>714257</v>
      </c>
      <c r="E3343">
        <v>559970</v>
      </c>
      <c r="F3343">
        <v>2.5</v>
      </c>
      <c r="G3343">
        <v>1.4</v>
      </c>
      <c r="H3343">
        <v>19.5</v>
      </c>
      <c r="I3343">
        <v>19</v>
      </c>
    </row>
    <row r="3344" spans="1:9" ht="24" customHeight="1">
      <c r="A3344" s="6" t="s">
        <v>886</v>
      </c>
      <c r="B3344">
        <v>29219</v>
      </c>
      <c r="C3344">
        <v>5490</v>
      </c>
      <c r="D3344">
        <v>586375</v>
      </c>
      <c r="E3344">
        <v>497896</v>
      </c>
      <c r="F3344">
        <v>18.100000000000001</v>
      </c>
      <c r="G3344">
        <v>9.1</v>
      </c>
      <c r="H3344">
        <v>19.100000000000001</v>
      </c>
      <c r="I3344">
        <v>18.3</v>
      </c>
    </row>
    <row r="3345" spans="1:9" ht="24" customHeight="1">
      <c r="A3345" s="6" t="s">
        <v>887</v>
      </c>
      <c r="B3345">
        <v>24721</v>
      </c>
      <c r="C3345">
        <v>9970</v>
      </c>
      <c r="D3345">
        <v>679862</v>
      </c>
      <c r="E3345">
        <v>382413</v>
      </c>
      <c r="F3345">
        <v>11.9</v>
      </c>
      <c r="G3345">
        <v>6.9</v>
      </c>
      <c r="H3345">
        <v>22.5</v>
      </c>
      <c r="I3345">
        <v>11.4</v>
      </c>
    </row>
    <row r="3346" spans="1:9" ht="24" customHeight="1">
      <c r="A3346" s="6" t="s">
        <v>888</v>
      </c>
      <c r="B3346">
        <v>397497</v>
      </c>
      <c r="C3346">
        <v>164148</v>
      </c>
      <c r="D3346">
        <v>487467</v>
      </c>
      <c r="E3346">
        <v>350298</v>
      </c>
      <c r="F3346">
        <v>19</v>
      </c>
      <c r="G3346">
        <v>11.1</v>
      </c>
      <c r="H3346">
        <v>11.8</v>
      </c>
      <c r="I3346">
        <v>8.6</v>
      </c>
    </row>
    <row r="3347" spans="1:9" ht="24" customHeight="1">
      <c r="A3347" s="6" t="s">
        <v>4367</v>
      </c>
      <c r="B3347">
        <v>19762</v>
      </c>
      <c r="C3347">
        <v>2433</v>
      </c>
      <c r="D3347">
        <v>582094</v>
      </c>
      <c r="E3347">
        <v>496867</v>
      </c>
      <c r="F3347">
        <v>3.5</v>
      </c>
      <c r="G3347">
        <v>2.2999999999999998</v>
      </c>
      <c r="H3347">
        <v>18.7</v>
      </c>
      <c r="I3347">
        <v>19.8</v>
      </c>
    </row>
    <row r="3348" spans="1:9" ht="24" customHeight="1">
      <c r="A3348" s="6" t="s">
        <v>4368</v>
      </c>
      <c r="B3348">
        <v>25572</v>
      </c>
      <c r="C3348">
        <v>5459</v>
      </c>
      <c r="D3348">
        <v>516489</v>
      </c>
      <c r="E3348">
        <v>483557</v>
      </c>
      <c r="F3348">
        <v>6.2</v>
      </c>
      <c r="G3348">
        <v>2.5</v>
      </c>
      <c r="H3348">
        <v>18.2</v>
      </c>
      <c r="I3348">
        <v>17.899999999999999</v>
      </c>
    </row>
    <row r="3349" spans="1:9" ht="24" customHeight="1">
      <c r="A3349" s="6" t="s">
        <v>4369</v>
      </c>
      <c r="B3349">
        <v>18580</v>
      </c>
      <c r="C3349">
        <v>6419</v>
      </c>
      <c r="D3349">
        <v>453751</v>
      </c>
      <c r="E3349">
        <v>407999</v>
      </c>
      <c r="F3349">
        <v>12.1</v>
      </c>
      <c r="G3349">
        <v>7</v>
      </c>
      <c r="H3349">
        <v>15.8</v>
      </c>
      <c r="I3349">
        <v>15.4</v>
      </c>
    </row>
    <row r="3350" spans="1:9" ht="24" customHeight="1">
      <c r="A3350" s="6" t="s">
        <v>4370</v>
      </c>
      <c r="B3350">
        <v>20266</v>
      </c>
      <c r="C3350">
        <v>5455</v>
      </c>
      <c r="D3350">
        <v>468680</v>
      </c>
      <c r="E3350">
        <v>421816</v>
      </c>
      <c r="F3350">
        <v>11.2</v>
      </c>
      <c r="G3350">
        <v>6.4</v>
      </c>
      <c r="H3350">
        <v>15.1</v>
      </c>
      <c r="I3350">
        <v>15.7</v>
      </c>
    </row>
    <row r="3351" spans="1:9" ht="24" customHeight="1">
      <c r="A3351" s="6" t="s">
        <v>4371</v>
      </c>
      <c r="B3351">
        <v>298682</v>
      </c>
      <c r="C3351">
        <v>116024</v>
      </c>
      <c r="D3351">
        <v>346228</v>
      </c>
      <c r="E3351">
        <v>291036</v>
      </c>
      <c r="F3351">
        <v>11.9</v>
      </c>
      <c r="G3351">
        <v>6.2</v>
      </c>
      <c r="H3351">
        <v>9.1999999999999993</v>
      </c>
      <c r="I3351">
        <v>8.6</v>
      </c>
    </row>
    <row r="3352" spans="1:9" ht="24" customHeight="1">
      <c r="A3352" s="6" t="s">
        <v>4372</v>
      </c>
      <c r="B3352">
        <v>9661</v>
      </c>
      <c r="C3352">
        <v>732</v>
      </c>
      <c r="D3352">
        <v>701578</v>
      </c>
      <c r="E3352">
        <v>819334</v>
      </c>
      <c r="F3352">
        <v>1.2</v>
      </c>
      <c r="G3352">
        <v>1.9</v>
      </c>
      <c r="H3352">
        <v>18.899999999999999</v>
      </c>
      <c r="I3352">
        <v>21.2</v>
      </c>
    </row>
    <row r="3353" spans="1:9" ht="24" customHeight="1">
      <c r="A3353" s="6" t="s">
        <v>4373</v>
      </c>
      <c r="B3353">
        <v>16934</v>
      </c>
      <c r="C3353">
        <v>2982</v>
      </c>
      <c r="D3353">
        <v>576878</v>
      </c>
      <c r="E3353">
        <v>525437</v>
      </c>
      <c r="F3353">
        <v>5.0999999999999996</v>
      </c>
      <c r="G3353">
        <v>2.7</v>
      </c>
      <c r="H3353">
        <v>17.899999999999999</v>
      </c>
      <c r="I3353">
        <v>16.5</v>
      </c>
    </row>
    <row r="3354" spans="1:9" ht="24" customHeight="1">
      <c r="A3354" s="6" t="s">
        <v>4374</v>
      </c>
      <c r="B3354">
        <v>14455</v>
      </c>
      <c r="C3354">
        <v>5070</v>
      </c>
      <c r="D3354">
        <v>513578</v>
      </c>
      <c r="E3354">
        <v>457767</v>
      </c>
      <c r="F3354">
        <v>17.5</v>
      </c>
      <c r="G3354">
        <v>10.1</v>
      </c>
      <c r="H3354">
        <v>15.5</v>
      </c>
      <c r="I3354">
        <v>14.8</v>
      </c>
    </row>
    <row r="3355" spans="1:9" ht="24" customHeight="1">
      <c r="A3355" s="6" t="s">
        <v>4375</v>
      </c>
      <c r="B3355">
        <v>14904</v>
      </c>
      <c r="C3355">
        <v>3447</v>
      </c>
      <c r="D3355">
        <v>485196</v>
      </c>
      <c r="E3355">
        <v>424897</v>
      </c>
      <c r="F3355">
        <v>17.8</v>
      </c>
      <c r="G3355">
        <v>11.2</v>
      </c>
      <c r="H3355">
        <v>14.4</v>
      </c>
      <c r="I3355">
        <v>12.7</v>
      </c>
    </row>
    <row r="3356" spans="1:9" ht="24" customHeight="1">
      <c r="A3356" s="6" t="s">
        <v>4376</v>
      </c>
      <c r="B3356">
        <v>162922</v>
      </c>
      <c r="C3356">
        <v>62919</v>
      </c>
      <c r="D3356">
        <v>355863</v>
      </c>
      <c r="E3356">
        <v>320266</v>
      </c>
      <c r="F3356">
        <v>14.2</v>
      </c>
      <c r="G3356">
        <v>10</v>
      </c>
      <c r="H3356">
        <v>9.6999999999999993</v>
      </c>
      <c r="I3356">
        <v>8.9</v>
      </c>
    </row>
    <row r="3357" spans="1:9" ht="24" customHeight="1">
      <c r="A3357" s="6" t="s">
        <v>4377</v>
      </c>
      <c r="B3357">
        <v>8198</v>
      </c>
      <c r="C3357">
        <v>1281</v>
      </c>
      <c r="D3357">
        <v>775721</v>
      </c>
      <c r="E3357">
        <v>753442</v>
      </c>
      <c r="F3357">
        <v>0.7</v>
      </c>
      <c r="G3357">
        <v>0.9</v>
      </c>
      <c r="H3357">
        <v>19.100000000000001</v>
      </c>
      <c r="I3357">
        <v>18.2</v>
      </c>
    </row>
    <row r="3358" spans="1:9" ht="24" customHeight="1">
      <c r="A3358" s="6" t="s">
        <v>4378</v>
      </c>
      <c r="B3358">
        <v>15627</v>
      </c>
      <c r="C3358">
        <v>3008</v>
      </c>
      <c r="D3358">
        <v>622182</v>
      </c>
      <c r="E3358">
        <v>543708</v>
      </c>
      <c r="F3358">
        <v>2.7</v>
      </c>
      <c r="G3358">
        <v>1.8</v>
      </c>
      <c r="H3358">
        <v>19.5</v>
      </c>
      <c r="I3358">
        <v>18.100000000000001</v>
      </c>
    </row>
    <row r="3359" spans="1:9" ht="24" customHeight="1">
      <c r="A3359" s="6" t="s">
        <v>4379</v>
      </c>
      <c r="B3359">
        <v>12680</v>
      </c>
      <c r="C3359">
        <v>3927</v>
      </c>
      <c r="D3359">
        <v>479472</v>
      </c>
      <c r="E3359">
        <v>446307</v>
      </c>
      <c r="F3359">
        <v>22</v>
      </c>
      <c r="G3359">
        <v>9.6</v>
      </c>
      <c r="H3359">
        <v>16.399999999999999</v>
      </c>
      <c r="I3359">
        <v>14.2</v>
      </c>
    </row>
    <row r="3360" spans="1:9" ht="24" customHeight="1">
      <c r="A3360" s="6" t="s">
        <v>4380</v>
      </c>
      <c r="B3360">
        <v>21573</v>
      </c>
      <c r="C3360">
        <v>4463</v>
      </c>
      <c r="D3360">
        <v>491204</v>
      </c>
      <c r="E3360">
        <v>359233</v>
      </c>
      <c r="F3360">
        <v>20.399999999999999</v>
      </c>
      <c r="G3360">
        <v>9</v>
      </c>
      <c r="H3360">
        <v>16.7</v>
      </c>
      <c r="I3360">
        <v>10.3</v>
      </c>
    </row>
    <row r="3361" spans="1:9" ht="24" customHeight="1">
      <c r="A3361" s="6" t="s">
        <v>4381</v>
      </c>
      <c r="B3361">
        <v>125713</v>
      </c>
      <c r="C3361">
        <v>69173</v>
      </c>
      <c r="D3361">
        <v>371580</v>
      </c>
      <c r="E3361">
        <v>324182</v>
      </c>
      <c r="F3361">
        <v>20.7</v>
      </c>
      <c r="G3361">
        <v>10.1</v>
      </c>
      <c r="H3361">
        <v>9.6999999999999993</v>
      </c>
      <c r="I3361">
        <v>7.5</v>
      </c>
    </row>
    <row r="3362" spans="1:9" ht="24" customHeight="1">
      <c r="A3362" s="6" t="s">
        <v>889</v>
      </c>
      <c r="B3362">
        <v>24019</v>
      </c>
      <c r="C3362">
        <v>835</v>
      </c>
      <c r="D3362">
        <v>711535</v>
      </c>
      <c r="E3362">
        <v>443204</v>
      </c>
      <c r="F3362">
        <v>4</v>
      </c>
      <c r="G3362">
        <v>1.2</v>
      </c>
      <c r="H3362">
        <v>26.2</v>
      </c>
      <c r="I3362">
        <v>18.5</v>
      </c>
    </row>
    <row r="3363" spans="1:9" ht="24" customHeight="1">
      <c r="A3363" s="6" t="s">
        <v>890</v>
      </c>
      <c r="B3363">
        <v>47671</v>
      </c>
      <c r="C3363">
        <v>2788</v>
      </c>
      <c r="D3363">
        <v>575172</v>
      </c>
      <c r="E3363">
        <v>443413</v>
      </c>
      <c r="F3363">
        <v>5.9</v>
      </c>
      <c r="G3363">
        <v>0.8</v>
      </c>
      <c r="H3363">
        <v>19.7</v>
      </c>
      <c r="I3363">
        <v>20.9</v>
      </c>
    </row>
    <row r="3364" spans="1:9" ht="24" customHeight="1">
      <c r="A3364" s="6" t="s">
        <v>891</v>
      </c>
      <c r="B3364">
        <v>38007</v>
      </c>
      <c r="C3364">
        <v>10528</v>
      </c>
      <c r="D3364">
        <v>470304</v>
      </c>
      <c r="E3364">
        <v>395221</v>
      </c>
      <c r="F3364">
        <v>28.8</v>
      </c>
      <c r="G3364">
        <v>14.1</v>
      </c>
      <c r="H3364">
        <v>17.5</v>
      </c>
      <c r="I3364">
        <v>17.600000000000001</v>
      </c>
    </row>
    <row r="3365" spans="1:9" ht="24" customHeight="1">
      <c r="A3365" s="6" t="s">
        <v>892</v>
      </c>
      <c r="B3365">
        <v>39961</v>
      </c>
      <c r="C3365">
        <v>10504</v>
      </c>
      <c r="D3365">
        <v>442832</v>
      </c>
      <c r="E3365">
        <v>334224</v>
      </c>
      <c r="F3365">
        <v>25</v>
      </c>
      <c r="G3365">
        <v>19.2</v>
      </c>
      <c r="H3365">
        <v>14.3</v>
      </c>
      <c r="I3365">
        <v>9.5</v>
      </c>
    </row>
    <row r="3366" spans="1:9" ht="24" customHeight="1">
      <c r="A3366" s="6" t="s">
        <v>893</v>
      </c>
      <c r="B3366">
        <v>31451</v>
      </c>
      <c r="C3366">
        <v>7375</v>
      </c>
      <c r="D3366">
        <v>621689</v>
      </c>
      <c r="E3366">
        <v>417943</v>
      </c>
      <c r="F3366">
        <v>7.9</v>
      </c>
      <c r="G3366">
        <v>12.4</v>
      </c>
      <c r="H3366">
        <v>21.5</v>
      </c>
      <c r="I3366">
        <v>15.8</v>
      </c>
    </row>
    <row r="3367" spans="1:9" ht="24" customHeight="1">
      <c r="A3367" s="6" t="s">
        <v>894</v>
      </c>
      <c r="B3367">
        <v>246716</v>
      </c>
      <c r="C3367">
        <v>173352</v>
      </c>
      <c r="D3367">
        <v>366607</v>
      </c>
      <c r="E3367">
        <v>275923</v>
      </c>
      <c r="F3367">
        <v>16.600000000000001</v>
      </c>
      <c r="G3367">
        <v>12.3</v>
      </c>
      <c r="H3367">
        <v>11.2</v>
      </c>
      <c r="I3367">
        <v>8.5</v>
      </c>
    </row>
    <row r="3368" spans="1:9" ht="24" customHeight="1">
      <c r="A3368" s="6" t="s">
        <v>895</v>
      </c>
      <c r="B3368">
        <v>2836</v>
      </c>
      <c r="C3368">
        <v>95</v>
      </c>
      <c r="D3368">
        <v>687053</v>
      </c>
      <c r="E3368">
        <v>517971</v>
      </c>
      <c r="F3368">
        <v>2.1</v>
      </c>
      <c r="G3368">
        <v>1</v>
      </c>
      <c r="H3368">
        <v>24.3</v>
      </c>
      <c r="I3368">
        <v>14.7</v>
      </c>
    </row>
    <row r="3369" spans="1:9" ht="24" customHeight="1">
      <c r="A3369" s="6" t="s">
        <v>896</v>
      </c>
      <c r="B3369">
        <v>5527</v>
      </c>
      <c r="C3369">
        <v>533</v>
      </c>
      <c r="D3369">
        <v>604953</v>
      </c>
      <c r="E3369">
        <v>498725</v>
      </c>
      <c r="F3369">
        <v>4.0999999999999996</v>
      </c>
      <c r="G3369">
        <v>3</v>
      </c>
      <c r="H3369">
        <v>21.5</v>
      </c>
      <c r="I3369">
        <v>19.100000000000001</v>
      </c>
    </row>
    <row r="3370" spans="1:9" ht="24" customHeight="1">
      <c r="A3370" s="6" t="s">
        <v>897</v>
      </c>
      <c r="B3370">
        <v>4458</v>
      </c>
      <c r="C3370">
        <v>949</v>
      </c>
      <c r="D3370">
        <v>492265</v>
      </c>
      <c r="E3370">
        <v>427383</v>
      </c>
      <c r="F3370">
        <v>15.2</v>
      </c>
      <c r="G3370">
        <v>10.5</v>
      </c>
      <c r="H3370">
        <v>18.899999999999999</v>
      </c>
      <c r="I3370">
        <v>17.899999999999999</v>
      </c>
    </row>
    <row r="3371" spans="1:9" ht="24" customHeight="1">
      <c r="A3371" s="6" t="s">
        <v>898</v>
      </c>
      <c r="B3371">
        <v>2899</v>
      </c>
      <c r="C3371">
        <v>311</v>
      </c>
      <c r="D3371">
        <v>478646</v>
      </c>
      <c r="E3371">
        <v>382458</v>
      </c>
      <c r="F3371">
        <v>22</v>
      </c>
      <c r="G3371">
        <v>9.8000000000000007</v>
      </c>
      <c r="H3371">
        <v>19.7</v>
      </c>
      <c r="I3371">
        <v>17</v>
      </c>
    </row>
    <row r="3372" spans="1:9" ht="24" customHeight="1">
      <c r="A3372" s="6" t="s">
        <v>899</v>
      </c>
      <c r="B3372">
        <v>3269</v>
      </c>
      <c r="C3372">
        <v>429</v>
      </c>
      <c r="D3372">
        <v>583326</v>
      </c>
      <c r="E3372">
        <v>419510</v>
      </c>
      <c r="F3372">
        <v>9.4</v>
      </c>
      <c r="G3372">
        <v>8.3000000000000007</v>
      </c>
      <c r="H3372">
        <v>20.399999999999999</v>
      </c>
      <c r="I3372">
        <v>20.3</v>
      </c>
    </row>
    <row r="3373" spans="1:9" ht="24" customHeight="1">
      <c r="A3373" s="6" t="s">
        <v>900</v>
      </c>
      <c r="B3373">
        <v>38425</v>
      </c>
      <c r="C3373">
        <v>14524</v>
      </c>
      <c r="D3373">
        <v>410647</v>
      </c>
      <c r="E3373">
        <v>317779</v>
      </c>
      <c r="F3373">
        <v>15.1</v>
      </c>
      <c r="G3373">
        <v>9.5</v>
      </c>
      <c r="H3373">
        <v>12</v>
      </c>
      <c r="I3373">
        <v>10.9</v>
      </c>
    </row>
    <row r="3374" spans="1:9" ht="24" customHeight="1">
      <c r="A3374" s="6" t="s">
        <v>901</v>
      </c>
      <c r="B3374">
        <v>5042</v>
      </c>
      <c r="C3374">
        <v>354</v>
      </c>
      <c r="D3374">
        <v>584446</v>
      </c>
      <c r="E3374">
        <v>333183</v>
      </c>
      <c r="F3374">
        <v>3.3</v>
      </c>
      <c r="G3374">
        <v>3.8</v>
      </c>
      <c r="H3374">
        <v>22.5</v>
      </c>
      <c r="I3374">
        <v>14.7</v>
      </c>
    </row>
    <row r="3375" spans="1:9" ht="24" customHeight="1">
      <c r="A3375" s="6" t="s">
        <v>902</v>
      </c>
      <c r="B3375">
        <v>7132</v>
      </c>
      <c r="C3375">
        <v>658</v>
      </c>
      <c r="D3375">
        <v>532797</v>
      </c>
      <c r="E3375">
        <v>412778</v>
      </c>
      <c r="F3375">
        <v>6.8</v>
      </c>
      <c r="G3375">
        <v>3.1</v>
      </c>
      <c r="H3375">
        <v>21.6</v>
      </c>
      <c r="I3375">
        <v>22.3</v>
      </c>
    </row>
    <row r="3376" spans="1:9" ht="24" customHeight="1">
      <c r="A3376" s="6" t="s">
        <v>903</v>
      </c>
      <c r="B3376">
        <v>5128</v>
      </c>
      <c r="C3376">
        <v>2326</v>
      </c>
      <c r="D3376">
        <v>441186</v>
      </c>
      <c r="E3376">
        <v>309262</v>
      </c>
      <c r="F3376">
        <v>11.7</v>
      </c>
      <c r="G3376">
        <v>9.3000000000000007</v>
      </c>
      <c r="H3376">
        <v>18.600000000000001</v>
      </c>
      <c r="I3376">
        <v>19</v>
      </c>
    </row>
    <row r="3377" spans="1:9" ht="24" customHeight="1">
      <c r="A3377" s="6" t="s">
        <v>904</v>
      </c>
      <c r="B3377">
        <v>2956</v>
      </c>
      <c r="C3377">
        <v>2548</v>
      </c>
      <c r="D3377">
        <v>431044</v>
      </c>
      <c r="E3377">
        <v>248546</v>
      </c>
      <c r="F3377">
        <v>10.7</v>
      </c>
      <c r="G3377">
        <v>7.3</v>
      </c>
      <c r="H3377">
        <v>24</v>
      </c>
      <c r="I3377">
        <v>20.5</v>
      </c>
    </row>
    <row r="3378" spans="1:9" ht="24" customHeight="1">
      <c r="A3378" s="6" t="s">
        <v>905</v>
      </c>
      <c r="B3378">
        <v>4057</v>
      </c>
      <c r="C3378">
        <v>1543</v>
      </c>
      <c r="D3378">
        <v>443164</v>
      </c>
      <c r="E3378">
        <v>305183</v>
      </c>
      <c r="F3378">
        <v>9.5</v>
      </c>
      <c r="G3378">
        <v>4</v>
      </c>
      <c r="H3378">
        <v>21</v>
      </c>
      <c r="I3378">
        <v>19.8</v>
      </c>
    </row>
    <row r="3379" spans="1:9" ht="24" customHeight="1">
      <c r="A3379" s="6" t="s">
        <v>906</v>
      </c>
      <c r="B3379">
        <v>48369</v>
      </c>
      <c r="C3379">
        <v>66252</v>
      </c>
      <c r="D3379">
        <v>337694</v>
      </c>
      <c r="E3379">
        <v>231904</v>
      </c>
      <c r="F3379">
        <v>10.6</v>
      </c>
      <c r="G3379">
        <v>5.4</v>
      </c>
      <c r="H3379">
        <v>11</v>
      </c>
      <c r="I3379">
        <v>12.9</v>
      </c>
    </row>
    <row r="3380" spans="1:9" ht="24" customHeight="1">
      <c r="A3380" s="6" t="s">
        <v>907</v>
      </c>
      <c r="B3380">
        <v>2026</v>
      </c>
      <c r="C3380">
        <v>81</v>
      </c>
      <c r="D3380">
        <v>641551</v>
      </c>
      <c r="E3380">
        <v>304814</v>
      </c>
      <c r="F3380">
        <v>1</v>
      </c>
      <c r="G3380">
        <v>1.5</v>
      </c>
      <c r="H3380">
        <v>24.4</v>
      </c>
      <c r="I3380">
        <v>20</v>
      </c>
    </row>
    <row r="3381" spans="1:9" ht="24" customHeight="1">
      <c r="A3381" s="6" t="s">
        <v>908</v>
      </c>
      <c r="B3381">
        <v>2966</v>
      </c>
      <c r="C3381">
        <v>305</v>
      </c>
      <c r="D3381">
        <v>542709</v>
      </c>
      <c r="E3381">
        <v>393026</v>
      </c>
      <c r="F3381">
        <v>5.8</v>
      </c>
      <c r="G3381">
        <v>2.5</v>
      </c>
      <c r="H3381">
        <v>21</v>
      </c>
      <c r="I3381">
        <v>14.8</v>
      </c>
    </row>
    <row r="3382" spans="1:9" ht="24" customHeight="1">
      <c r="A3382" s="6" t="s">
        <v>909</v>
      </c>
      <c r="B3382">
        <v>3148</v>
      </c>
      <c r="C3382">
        <v>269</v>
      </c>
      <c r="D3382">
        <v>452635</v>
      </c>
      <c r="E3382">
        <v>383633</v>
      </c>
      <c r="F3382">
        <v>19.899999999999999</v>
      </c>
      <c r="G3382">
        <v>7.5</v>
      </c>
      <c r="H3382">
        <v>16.8</v>
      </c>
      <c r="I3382">
        <v>17.100000000000001</v>
      </c>
    </row>
    <row r="3383" spans="1:9" ht="24" customHeight="1">
      <c r="A3383" s="6" t="s">
        <v>910</v>
      </c>
      <c r="B3383">
        <v>3899</v>
      </c>
      <c r="C3383">
        <v>259</v>
      </c>
      <c r="D3383">
        <v>434034</v>
      </c>
      <c r="E3383">
        <v>298006</v>
      </c>
      <c r="F3383">
        <v>20.399999999999999</v>
      </c>
      <c r="G3383">
        <v>9.4</v>
      </c>
      <c r="H3383">
        <v>16</v>
      </c>
      <c r="I3383">
        <v>12.3</v>
      </c>
    </row>
    <row r="3384" spans="1:9" ht="24" customHeight="1">
      <c r="A3384" s="6" t="s">
        <v>911</v>
      </c>
      <c r="B3384">
        <v>1980</v>
      </c>
      <c r="C3384">
        <v>206</v>
      </c>
      <c r="D3384">
        <v>499251</v>
      </c>
      <c r="E3384">
        <v>349705</v>
      </c>
      <c r="F3384">
        <v>11.3</v>
      </c>
      <c r="G3384">
        <v>10.8</v>
      </c>
      <c r="H3384">
        <v>16.399999999999999</v>
      </c>
      <c r="I3384">
        <v>14</v>
      </c>
    </row>
    <row r="3385" spans="1:9" ht="24" customHeight="1">
      <c r="A3385" s="6" t="s">
        <v>912</v>
      </c>
      <c r="B3385">
        <v>34495</v>
      </c>
      <c r="C3385">
        <v>9586</v>
      </c>
      <c r="D3385">
        <v>345130</v>
      </c>
      <c r="E3385">
        <v>273132</v>
      </c>
      <c r="F3385">
        <v>13.5</v>
      </c>
      <c r="G3385">
        <v>5.7</v>
      </c>
      <c r="H3385">
        <v>10.7</v>
      </c>
      <c r="I3385">
        <v>11.1</v>
      </c>
    </row>
    <row r="3386" spans="1:9" ht="24" customHeight="1">
      <c r="A3386" s="6" t="s">
        <v>913</v>
      </c>
      <c r="B3386">
        <v>2259</v>
      </c>
      <c r="C3386">
        <v>148</v>
      </c>
      <c r="D3386">
        <v>633442</v>
      </c>
      <c r="E3386">
        <v>622666</v>
      </c>
      <c r="F3386">
        <v>6.6</v>
      </c>
      <c r="G3386">
        <v>6.1</v>
      </c>
      <c r="H3386">
        <v>26.3</v>
      </c>
      <c r="I3386">
        <v>30.2</v>
      </c>
    </row>
    <row r="3387" spans="1:9" ht="24" customHeight="1">
      <c r="A3387" s="6" t="s">
        <v>914</v>
      </c>
      <c r="B3387">
        <v>3174</v>
      </c>
      <c r="C3387">
        <v>189</v>
      </c>
      <c r="D3387">
        <v>562129</v>
      </c>
      <c r="E3387">
        <v>462570</v>
      </c>
      <c r="F3387">
        <v>3.8</v>
      </c>
      <c r="G3387">
        <v>1.9</v>
      </c>
      <c r="H3387">
        <v>22</v>
      </c>
      <c r="I3387">
        <v>20.100000000000001</v>
      </c>
    </row>
    <row r="3388" spans="1:9" ht="24" customHeight="1">
      <c r="A3388" s="6" t="s">
        <v>915</v>
      </c>
      <c r="B3388">
        <v>2633</v>
      </c>
      <c r="C3388">
        <v>387</v>
      </c>
      <c r="D3388">
        <v>492515</v>
      </c>
      <c r="E3388">
        <v>391558</v>
      </c>
      <c r="F3388">
        <v>12.4</v>
      </c>
      <c r="G3388">
        <v>5.9</v>
      </c>
      <c r="H3388">
        <v>19.100000000000001</v>
      </c>
      <c r="I3388">
        <v>18.8</v>
      </c>
    </row>
    <row r="3389" spans="1:9" ht="24" customHeight="1">
      <c r="A3389" s="6" t="s">
        <v>916</v>
      </c>
      <c r="B3389">
        <v>2005</v>
      </c>
      <c r="C3389">
        <v>307</v>
      </c>
      <c r="D3389">
        <v>425110</v>
      </c>
      <c r="E3389">
        <v>305551</v>
      </c>
      <c r="F3389">
        <v>12</v>
      </c>
      <c r="G3389">
        <v>11.6</v>
      </c>
      <c r="H3389">
        <v>19.3</v>
      </c>
      <c r="I3389">
        <v>16.7</v>
      </c>
    </row>
    <row r="3390" spans="1:9" ht="24" customHeight="1">
      <c r="A3390" s="6" t="s">
        <v>917</v>
      </c>
      <c r="B3390">
        <v>1755</v>
      </c>
      <c r="C3390">
        <v>289</v>
      </c>
      <c r="D3390">
        <v>521938</v>
      </c>
      <c r="E3390">
        <v>426100</v>
      </c>
      <c r="F3390">
        <v>10</v>
      </c>
      <c r="G3390">
        <v>14.4</v>
      </c>
      <c r="H3390">
        <v>18.2</v>
      </c>
      <c r="I3390">
        <v>16.600000000000001</v>
      </c>
    </row>
    <row r="3391" spans="1:9" ht="24" customHeight="1">
      <c r="A3391" s="6" t="s">
        <v>918</v>
      </c>
      <c r="B3391">
        <v>30208</v>
      </c>
      <c r="C3391">
        <v>10670</v>
      </c>
      <c r="D3391">
        <v>356910</v>
      </c>
      <c r="E3391">
        <v>295658</v>
      </c>
      <c r="F3391">
        <v>13.3</v>
      </c>
      <c r="G3391">
        <v>7.6</v>
      </c>
      <c r="H3391">
        <v>13.5</v>
      </c>
      <c r="I3391">
        <v>11</v>
      </c>
    </row>
    <row r="3392" spans="1:9" ht="24" customHeight="1">
      <c r="A3392" s="6" t="s">
        <v>919</v>
      </c>
      <c r="B3392">
        <v>4464</v>
      </c>
      <c r="C3392">
        <v>211</v>
      </c>
      <c r="D3392">
        <v>654628</v>
      </c>
      <c r="E3392">
        <v>527135</v>
      </c>
      <c r="F3392">
        <v>0.6</v>
      </c>
      <c r="G3392">
        <v>1.1000000000000001</v>
      </c>
      <c r="H3392">
        <v>25.3</v>
      </c>
      <c r="I3392">
        <v>24</v>
      </c>
    </row>
    <row r="3393" spans="1:9" ht="24" customHeight="1">
      <c r="A3393" s="6" t="s">
        <v>920</v>
      </c>
      <c r="B3393">
        <v>7121</v>
      </c>
      <c r="C3393">
        <v>549</v>
      </c>
      <c r="D3393">
        <v>554687</v>
      </c>
      <c r="E3393">
        <v>448271</v>
      </c>
      <c r="F3393">
        <v>1.8</v>
      </c>
      <c r="G3393">
        <v>2</v>
      </c>
      <c r="H3393">
        <v>22.8</v>
      </c>
      <c r="I3393">
        <v>20.8</v>
      </c>
    </row>
    <row r="3394" spans="1:9" ht="24" customHeight="1">
      <c r="A3394" s="6" t="s">
        <v>921</v>
      </c>
      <c r="B3394">
        <v>7036</v>
      </c>
      <c r="C3394">
        <v>471</v>
      </c>
      <c r="D3394">
        <v>470442</v>
      </c>
      <c r="E3394">
        <v>381052</v>
      </c>
      <c r="F3394">
        <v>14.7</v>
      </c>
      <c r="G3394">
        <v>11.2</v>
      </c>
      <c r="H3394">
        <v>21.5</v>
      </c>
      <c r="I3394">
        <v>25.5</v>
      </c>
    </row>
    <row r="3395" spans="1:9" ht="24" customHeight="1">
      <c r="A3395" s="6" t="s">
        <v>922</v>
      </c>
      <c r="B3395">
        <v>9193</v>
      </c>
      <c r="C3395">
        <v>611</v>
      </c>
      <c r="D3395">
        <v>497587</v>
      </c>
      <c r="E3395">
        <v>339265</v>
      </c>
      <c r="F3395">
        <v>16.2</v>
      </c>
      <c r="G3395">
        <v>3.8</v>
      </c>
      <c r="H3395">
        <v>21</v>
      </c>
      <c r="I3395">
        <v>20.9</v>
      </c>
    </row>
    <row r="3396" spans="1:9" ht="24" customHeight="1">
      <c r="A3396" s="6" t="s">
        <v>923</v>
      </c>
      <c r="B3396">
        <v>5403</v>
      </c>
      <c r="C3396">
        <v>552</v>
      </c>
      <c r="D3396">
        <v>597265</v>
      </c>
      <c r="E3396">
        <v>388696</v>
      </c>
      <c r="F3396">
        <v>9.5</v>
      </c>
      <c r="G3396">
        <v>5.3</v>
      </c>
      <c r="H3396">
        <v>21.4</v>
      </c>
      <c r="I3396">
        <v>23.6</v>
      </c>
    </row>
    <row r="3397" spans="1:9" ht="24" customHeight="1">
      <c r="A3397" s="6" t="s">
        <v>924</v>
      </c>
      <c r="B3397">
        <v>72165</v>
      </c>
      <c r="C3397">
        <v>23529</v>
      </c>
      <c r="D3397">
        <v>377898</v>
      </c>
      <c r="E3397">
        <v>273884</v>
      </c>
      <c r="F3397">
        <v>13.8</v>
      </c>
      <c r="G3397">
        <v>5.4</v>
      </c>
      <c r="H3397">
        <v>12.5</v>
      </c>
      <c r="I3397">
        <v>10.7</v>
      </c>
    </row>
    <row r="3398" spans="1:9" ht="24" customHeight="1">
      <c r="A3398" s="6" t="s">
        <v>925</v>
      </c>
      <c r="B3398">
        <v>10519</v>
      </c>
      <c r="C3398">
        <v>221</v>
      </c>
      <c r="D3398">
        <v>640897</v>
      </c>
      <c r="E3398">
        <v>502887</v>
      </c>
      <c r="F3398">
        <v>1.9</v>
      </c>
      <c r="G3398">
        <v>1.6</v>
      </c>
      <c r="H3398">
        <v>21.6</v>
      </c>
      <c r="I3398">
        <v>20.8</v>
      </c>
    </row>
    <row r="3399" spans="1:9" ht="24" customHeight="1">
      <c r="A3399" s="6" t="s">
        <v>926</v>
      </c>
      <c r="B3399">
        <v>11863</v>
      </c>
      <c r="C3399">
        <v>895</v>
      </c>
      <c r="D3399">
        <v>553991</v>
      </c>
      <c r="E3399">
        <v>463411</v>
      </c>
      <c r="F3399">
        <v>1.9</v>
      </c>
      <c r="G3399">
        <v>6</v>
      </c>
      <c r="H3399">
        <v>22.5</v>
      </c>
      <c r="I3399">
        <v>22.3</v>
      </c>
    </row>
    <row r="3400" spans="1:9" ht="24" customHeight="1">
      <c r="A3400" s="6" t="s">
        <v>927</v>
      </c>
      <c r="B3400">
        <v>14651</v>
      </c>
      <c r="C3400">
        <v>1634</v>
      </c>
      <c r="D3400">
        <v>459075</v>
      </c>
      <c r="E3400">
        <v>382484</v>
      </c>
      <c r="F3400">
        <v>21.2</v>
      </c>
      <c r="G3400">
        <v>11.6</v>
      </c>
      <c r="H3400">
        <v>19.5</v>
      </c>
      <c r="I3400">
        <v>22.6</v>
      </c>
    </row>
    <row r="3401" spans="1:9" ht="24" customHeight="1">
      <c r="A3401" s="6" t="s">
        <v>928</v>
      </c>
      <c r="B3401">
        <v>7026</v>
      </c>
      <c r="C3401">
        <v>761</v>
      </c>
      <c r="D3401">
        <v>503835</v>
      </c>
      <c r="E3401">
        <v>332351</v>
      </c>
      <c r="F3401">
        <v>28.3</v>
      </c>
      <c r="G3401">
        <v>9.6</v>
      </c>
      <c r="H3401">
        <v>21.1</v>
      </c>
      <c r="I3401">
        <v>11.4</v>
      </c>
    </row>
    <row r="3402" spans="1:9" ht="24" customHeight="1">
      <c r="A3402" s="6" t="s">
        <v>929</v>
      </c>
      <c r="B3402">
        <v>6907</v>
      </c>
      <c r="C3402">
        <v>929</v>
      </c>
      <c r="D3402">
        <v>522284</v>
      </c>
      <c r="E3402">
        <v>348162</v>
      </c>
      <c r="F3402">
        <v>6.8</v>
      </c>
      <c r="G3402">
        <v>13.5</v>
      </c>
      <c r="H3402">
        <v>21.6</v>
      </c>
      <c r="I3402">
        <v>16.899999999999999</v>
      </c>
    </row>
    <row r="3403" spans="1:9" ht="24" customHeight="1">
      <c r="A3403" s="6" t="s">
        <v>930</v>
      </c>
      <c r="B3403">
        <v>81784</v>
      </c>
      <c r="C3403">
        <v>43782</v>
      </c>
      <c r="D3403">
        <v>393953</v>
      </c>
      <c r="E3403">
        <v>302610</v>
      </c>
      <c r="F3403">
        <v>19</v>
      </c>
      <c r="G3403">
        <v>11.4</v>
      </c>
      <c r="H3403">
        <v>15.5</v>
      </c>
      <c r="I3403">
        <v>11.8</v>
      </c>
    </row>
    <row r="3404" spans="1:9" ht="24" customHeight="1">
      <c r="A3404" s="6" t="s">
        <v>931</v>
      </c>
      <c r="B3404">
        <v>12647</v>
      </c>
      <c r="C3404">
        <v>805</v>
      </c>
      <c r="D3404">
        <v>1071007</v>
      </c>
      <c r="E3404">
        <v>1063455</v>
      </c>
      <c r="F3404">
        <v>0.5</v>
      </c>
      <c r="G3404">
        <v>0.3</v>
      </c>
      <c r="H3404">
        <v>25.1</v>
      </c>
      <c r="I3404">
        <v>22.1</v>
      </c>
    </row>
    <row r="3405" spans="1:9" ht="24" customHeight="1">
      <c r="A3405" s="6" t="s">
        <v>932</v>
      </c>
      <c r="B3405">
        <v>27187</v>
      </c>
      <c r="C3405">
        <v>4333</v>
      </c>
      <c r="D3405">
        <v>808364</v>
      </c>
      <c r="E3405">
        <v>776285</v>
      </c>
      <c r="F3405">
        <v>2.2999999999999998</v>
      </c>
      <c r="G3405">
        <v>1.2</v>
      </c>
      <c r="H3405">
        <v>23.9</v>
      </c>
      <c r="I3405">
        <v>21</v>
      </c>
    </row>
    <row r="3406" spans="1:9" ht="24" customHeight="1">
      <c r="A3406" s="6" t="s">
        <v>933</v>
      </c>
      <c r="B3406">
        <v>18889</v>
      </c>
      <c r="C3406">
        <v>4474</v>
      </c>
      <c r="D3406">
        <v>644487</v>
      </c>
      <c r="E3406">
        <v>592919</v>
      </c>
      <c r="F3406">
        <v>16.899999999999999</v>
      </c>
      <c r="G3406">
        <v>8.4</v>
      </c>
      <c r="H3406">
        <v>19.3</v>
      </c>
      <c r="I3406">
        <v>18.600000000000001</v>
      </c>
    </row>
    <row r="3407" spans="1:9" ht="24" customHeight="1">
      <c r="A3407" s="6" t="s">
        <v>934</v>
      </c>
      <c r="B3407">
        <v>14573</v>
      </c>
      <c r="C3407">
        <v>2676</v>
      </c>
      <c r="D3407">
        <v>593813</v>
      </c>
      <c r="E3407">
        <v>467829</v>
      </c>
      <c r="F3407">
        <v>16.899999999999999</v>
      </c>
      <c r="G3407">
        <v>11.7</v>
      </c>
      <c r="H3407">
        <v>19.5</v>
      </c>
      <c r="I3407">
        <v>15.3</v>
      </c>
    </row>
    <row r="3408" spans="1:9" ht="24" customHeight="1">
      <c r="A3408" s="6" t="s">
        <v>935</v>
      </c>
      <c r="B3408">
        <v>13902</v>
      </c>
      <c r="C3408">
        <v>2066</v>
      </c>
      <c r="D3408">
        <v>823947</v>
      </c>
      <c r="E3408">
        <v>616627</v>
      </c>
      <c r="F3408">
        <v>5.9</v>
      </c>
      <c r="G3408">
        <v>6.3</v>
      </c>
      <c r="H3408">
        <v>20.6</v>
      </c>
      <c r="I3408">
        <v>20.100000000000001</v>
      </c>
    </row>
    <row r="3409" spans="1:9" ht="24" customHeight="1">
      <c r="A3409" s="6" t="s">
        <v>936</v>
      </c>
      <c r="B3409">
        <v>190381</v>
      </c>
      <c r="C3409">
        <v>69658</v>
      </c>
      <c r="D3409">
        <v>511751</v>
      </c>
      <c r="E3409">
        <v>419413</v>
      </c>
      <c r="F3409">
        <v>14.4</v>
      </c>
      <c r="G3409">
        <v>10</v>
      </c>
      <c r="H3409">
        <v>12.5</v>
      </c>
      <c r="I3409">
        <v>10.6</v>
      </c>
    </row>
    <row r="3410" spans="1:9" ht="24" customHeight="1">
      <c r="A3410" s="6" t="s">
        <v>937</v>
      </c>
      <c r="B3410">
        <v>356</v>
      </c>
      <c r="C3410">
        <v>0</v>
      </c>
      <c r="D3410">
        <v>869121</v>
      </c>
      <c r="E3410"/>
      <c r="F3410">
        <v>3.7</v>
      </c>
      <c r="G3410"/>
      <c r="H3410">
        <v>25.8</v>
      </c>
      <c r="I3410"/>
    </row>
    <row r="3411" spans="1:9" ht="24" customHeight="1">
      <c r="A3411" s="6" t="s">
        <v>938</v>
      </c>
      <c r="B3411">
        <v>632</v>
      </c>
      <c r="C3411">
        <v>46</v>
      </c>
      <c r="D3411">
        <v>736105</v>
      </c>
      <c r="E3411">
        <v>435987</v>
      </c>
      <c r="F3411">
        <v>8.6999999999999993</v>
      </c>
      <c r="G3411">
        <v>5.7</v>
      </c>
      <c r="H3411">
        <v>19.399999999999999</v>
      </c>
      <c r="I3411">
        <v>16.600000000000001</v>
      </c>
    </row>
    <row r="3412" spans="1:9" ht="24" customHeight="1">
      <c r="A3412" s="6" t="s">
        <v>939</v>
      </c>
      <c r="B3412">
        <v>528</v>
      </c>
      <c r="C3412">
        <v>127</v>
      </c>
      <c r="D3412">
        <v>638090</v>
      </c>
      <c r="E3412">
        <v>479349</v>
      </c>
      <c r="F3412">
        <v>20.6</v>
      </c>
      <c r="G3412">
        <v>6.8</v>
      </c>
      <c r="H3412">
        <v>16.8</v>
      </c>
      <c r="I3412">
        <v>19.3</v>
      </c>
    </row>
    <row r="3413" spans="1:9" ht="24" customHeight="1">
      <c r="A3413" s="6" t="s">
        <v>940</v>
      </c>
      <c r="B3413">
        <v>615</v>
      </c>
      <c r="C3413">
        <v>17</v>
      </c>
      <c r="D3413">
        <v>630436</v>
      </c>
      <c r="E3413">
        <v>530220</v>
      </c>
      <c r="F3413">
        <v>22.7</v>
      </c>
      <c r="G3413">
        <v>11</v>
      </c>
      <c r="H3413">
        <v>21.9</v>
      </c>
      <c r="I3413">
        <v>27</v>
      </c>
    </row>
    <row r="3414" spans="1:9" ht="24" customHeight="1">
      <c r="A3414" s="6" t="s">
        <v>941</v>
      </c>
      <c r="B3414">
        <v>206</v>
      </c>
      <c r="C3414">
        <v>0</v>
      </c>
      <c r="D3414">
        <v>807226</v>
      </c>
      <c r="E3414"/>
      <c r="F3414">
        <v>8.6999999999999993</v>
      </c>
      <c r="G3414"/>
      <c r="H3414">
        <v>19.100000000000001</v>
      </c>
      <c r="I3414"/>
    </row>
    <row r="3415" spans="1:9" ht="24" customHeight="1">
      <c r="A3415" s="6" t="s">
        <v>942</v>
      </c>
      <c r="B3415">
        <v>7468</v>
      </c>
      <c r="C3415">
        <v>1421</v>
      </c>
      <c r="D3415">
        <v>533809</v>
      </c>
      <c r="E3415">
        <v>384951</v>
      </c>
      <c r="F3415">
        <v>24.4</v>
      </c>
      <c r="G3415">
        <v>13.9</v>
      </c>
      <c r="H3415">
        <v>12.2</v>
      </c>
      <c r="I3415">
        <v>11.5</v>
      </c>
    </row>
    <row r="3416" spans="1:9" ht="24" customHeight="1">
      <c r="A3416" s="6" t="s">
        <v>943</v>
      </c>
      <c r="B3416">
        <v>8082</v>
      </c>
      <c r="C3416">
        <v>268</v>
      </c>
      <c r="D3416">
        <v>670099</v>
      </c>
      <c r="E3416">
        <v>519597</v>
      </c>
      <c r="F3416">
        <v>2.2999999999999998</v>
      </c>
      <c r="G3416">
        <v>3.8</v>
      </c>
      <c r="H3416">
        <v>22.9</v>
      </c>
      <c r="I3416">
        <v>16.8</v>
      </c>
    </row>
    <row r="3417" spans="1:9" ht="24" customHeight="1">
      <c r="A3417" s="6" t="s">
        <v>944</v>
      </c>
      <c r="B3417">
        <v>17484</v>
      </c>
      <c r="C3417">
        <v>974</v>
      </c>
      <c r="D3417">
        <v>580180</v>
      </c>
      <c r="E3417">
        <v>489648</v>
      </c>
      <c r="F3417">
        <v>4.4000000000000004</v>
      </c>
      <c r="G3417">
        <v>1.3</v>
      </c>
      <c r="H3417">
        <v>22.6</v>
      </c>
      <c r="I3417">
        <v>21.9</v>
      </c>
    </row>
    <row r="3418" spans="1:9" ht="24" customHeight="1">
      <c r="A3418" s="6" t="s">
        <v>945</v>
      </c>
      <c r="B3418">
        <v>17350</v>
      </c>
      <c r="C3418">
        <v>2565</v>
      </c>
      <c r="D3418">
        <v>494448</v>
      </c>
      <c r="E3418">
        <v>397339</v>
      </c>
      <c r="F3418">
        <v>13.8</v>
      </c>
      <c r="G3418">
        <v>12</v>
      </c>
      <c r="H3418">
        <v>21.1</v>
      </c>
      <c r="I3418">
        <v>19.2</v>
      </c>
    </row>
    <row r="3419" spans="1:9" ht="24" customHeight="1">
      <c r="A3419" s="6" t="s">
        <v>946</v>
      </c>
      <c r="B3419">
        <v>18698</v>
      </c>
      <c r="C3419">
        <v>2802</v>
      </c>
      <c r="D3419">
        <v>475976</v>
      </c>
      <c r="E3419">
        <v>323719</v>
      </c>
      <c r="F3419">
        <v>22.2</v>
      </c>
      <c r="G3419">
        <v>8</v>
      </c>
      <c r="H3419">
        <v>18</v>
      </c>
      <c r="I3419">
        <v>17.7</v>
      </c>
    </row>
    <row r="3420" spans="1:9" ht="24" customHeight="1">
      <c r="A3420" s="6" t="s">
        <v>947</v>
      </c>
      <c r="B3420">
        <v>10104</v>
      </c>
      <c r="C3420">
        <v>1123</v>
      </c>
      <c r="D3420">
        <v>495826</v>
      </c>
      <c r="E3420">
        <v>323198</v>
      </c>
      <c r="F3420">
        <v>9.3000000000000007</v>
      </c>
      <c r="G3420">
        <v>5.2</v>
      </c>
      <c r="H3420">
        <v>19.5</v>
      </c>
      <c r="I3420">
        <v>19.8</v>
      </c>
    </row>
    <row r="3421" spans="1:9" ht="24" customHeight="1">
      <c r="A3421" s="6" t="s">
        <v>948</v>
      </c>
      <c r="B3421">
        <v>159124</v>
      </c>
      <c r="C3421">
        <v>62319</v>
      </c>
      <c r="D3421">
        <v>390018</v>
      </c>
      <c r="E3421">
        <v>285514</v>
      </c>
      <c r="F3421">
        <v>15.2</v>
      </c>
      <c r="G3421">
        <v>8.8000000000000007</v>
      </c>
      <c r="H3421">
        <v>12</v>
      </c>
      <c r="I3421">
        <v>10.7</v>
      </c>
    </row>
    <row r="3422" spans="1:9" ht="24" customHeight="1">
      <c r="A3422" s="6" t="s">
        <v>949</v>
      </c>
      <c r="B3422">
        <v>2487</v>
      </c>
      <c r="C3422">
        <v>95</v>
      </c>
      <c r="D3422">
        <v>866900</v>
      </c>
      <c r="E3422">
        <v>663594</v>
      </c>
      <c r="F3422">
        <v>1.1000000000000001</v>
      </c>
      <c r="G3422">
        <v>0</v>
      </c>
      <c r="H3422">
        <v>25.5</v>
      </c>
      <c r="I3422">
        <v>24.9</v>
      </c>
    </row>
    <row r="3423" spans="1:9" ht="24" customHeight="1">
      <c r="A3423" s="6" t="s">
        <v>950</v>
      </c>
      <c r="B3423">
        <v>5253</v>
      </c>
      <c r="C3423">
        <v>303</v>
      </c>
      <c r="D3423">
        <v>742591</v>
      </c>
      <c r="E3423">
        <v>451887</v>
      </c>
      <c r="F3423">
        <v>2.5</v>
      </c>
      <c r="G3423">
        <v>3.4</v>
      </c>
      <c r="H3423">
        <v>22.1</v>
      </c>
      <c r="I3423">
        <v>17.600000000000001</v>
      </c>
    </row>
    <row r="3424" spans="1:9" ht="24" customHeight="1">
      <c r="A3424" s="6" t="s">
        <v>951</v>
      </c>
      <c r="B3424">
        <v>3264</v>
      </c>
      <c r="C3424">
        <v>248</v>
      </c>
      <c r="D3424">
        <v>521249</v>
      </c>
      <c r="E3424">
        <v>416222</v>
      </c>
      <c r="F3424">
        <v>20.8</v>
      </c>
      <c r="G3424">
        <v>10.5</v>
      </c>
      <c r="H3424">
        <v>20.100000000000001</v>
      </c>
      <c r="I3424">
        <v>19.7</v>
      </c>
    </row>
    <row r="3425" spans="1:9" ht="24" customHeight="1">
      <c r="A3425" s="6" t="s">
        <v>952</v>
      </c>
      <c r="B3425">
        <v>3944</v>
      </c>
      <c r="C3425">
        <v>405</v>
      </c>
      <c r="D3425">
        <v>543438</v>
      </c>
      <c r="E3425">
        <v>351229</v>
      </c>
      <c r="F3425">
        <v>25.7</v>
      </c>
      <c r="G3425">
        <v>13.9</v>
      </c>
      <c r="H3425">
        <v>18.8</v>
      </c>
      <c r="I3425">
        <v>16.5</v>
      </c>
    </row>
    <row r="3426" spans="1:9" ht="24" customHeight="1">
      <c r="A3426" s="6" t="s">
        <v>953</v>
      </c>
      <c r="B3426">
        <v>3651</v>
      </c>
      <c r="C3426">
        <v>306</v>
      </c>
      <c r="D3426">
        <v>629046</v>
      </c>
      <c r="E3426">
        <v>429024</v>
      </c>
      <c r="F3426">
        <v>14.3</v>
      </c>
      <c r="G3426">
        <v>6.2</v>
      </c>
      <c r="H3426">
        <v>20.5</v>
      </c>
      <c r="I3426">
        <v>15.5</v>
      </c>
    </row>
    <row r="3427" spans="1:9" ht="24" customHeight="1">
      <c r="A3427" s="6" t="s">
        <v>954</v>
      </c>
      <c r="B3427">
        <v>52462</v>
      </c>
      <c r="C3427">
        <v>16820</v>
      </c>
      <c r="D3427">
        <v>439376</v>
      </c>
      <c r="E3427">
        <v>321722</v>
      </c>
      <c r="F3427">
        <v>18.2</v>
      </c>
      <c r="G3427">
        <v>8.9</v>
      </c>
      <c r="H3427">
        <v>13.2</v>
      </c>
      <c r="I3427">
        <v>12.4</v>
      </c>
    </row>
    <row r="3428" spans="1:9" ht="24" customHeight="1">
      <c r="A3428" s="6" t="s">
        <v>955</v>
      </c>
      <c r="B3428">
        <v>341</v>
      </c>
      <c r="C3428">
        <v>29</v>
      </c>
      <c r="D3428">
        <v>456375</v>
      </c>
      <c r="E3428">
        <v>416574</v>
      </c>
      <c r="F3428">
        <v>0.2</v>
      </c>
      <c r="G3428">
        <v>4.9000000000000004</v>
      </c>
      <c r="H3428">
        <v>17.7</v>
      </c>
      <c r="I3428">
        <v>15.8</v>
      </c>
    </row>
    <row r="3429" spans="1:9" ht="24" customHeight="1">
      <c r="A3429" s="6" t="s">
        <v>956</v>
      </c>
      <c r="B3429">
        <v>476</v>
      </c>
      <c r="C3429">
        <v>47</v>
      </c>
      <c r="D3429">
        <v>463749</v>
      </c>
      <c r="E3429">
        <v>377107</v>
      </c>
      <c r="F3429">
        <v>0.5</v>
      </c>
      <c r="G3429">
        <v>1</v>
      </c>
      <c r="H3429">
        <v>21.8</v>
      </c>
      <c r="I3429">
        <v>22.3</v>
      </c>
    </row>
    <row r="3430" spans="1:9" ht="24" customHeight="1">
      <c r="A3430" s="6" t="s">
        <v>957</v>
      </c>
      <c r="B3430">
        <v>555</v>
      </c>
      <c r="C3430">
        <v>70</v>
      </c>
      <c r="D3430">
        <v>369089</v>
      </c>
      <c r="E3430">
        <v>322902</v>
      </c>
      <c r="F3430">
        <v>5.5</v>
      </c>
      <c r="G3430">
        <v>4.5</v>
      </c>
      <c r="H3430">
        <v>14.3</v>
      </c>
      <c r="I3430">
        <v>18.5</v>
      </c>
    </row>
    <row r="3431" spans="1:9" ht="24" customHeight="1">
      <c r="A3431" s="6" t="s">
        <v>958</v>
      </c>
      <c r="B3431">
        <v>306</v>
      </c>
      <c r="C3431">
        <v>115</v>
      </c>
      <c r="D3431">
        <v>395196</v>
      </c>
      <c r="E3431">
        <v>276271</v>
      </c>
      <c r="F3431">
        <v>16.600000000000001</v>
      </c>
      <c r="G3431">
        <v>2.2000000000000002</v>
      </c>
      <c r="H3431">
        <v>15.5</v>
      </c>
      <c r="I3431">
        <v>16.8</v>
      </c>
    </row>
    <row r="3432" spans="1:9" ht="24" customHeight="1">
      <c r="A3432" s="6" t="s">
        <v>959</v>
      </c>
      <c r="B3432">
        <v>168</v>
      </c>
      <c r="C3432">
        <v>17</v>
      </c>
      <c r="D3432">
        <v>463770</v>
      </c>
      <c r="E3432">
        <v>387573</v>
      </c>
      <c r="F3432">
        <v>4.5999999999999996</v>
      </c>
      <c r="G3432">
        <v>4.8</v>
      </c>
      <c r="H3432">
        <v>18.8</v>
      </c>
      <c r="I3432">
        <v>15.8</v>
      </c>
    </row>
    <row r="3433" spans="1:9" ht="24" customHeight="1">
      <c r="A3433" s="6" t="s">
        <v>960</v>
      </c>
      <c r="B3433">
        <v>4003</v>
      </c>
      <c r="C3433">
        <v>4183</v>
      </c>
      <c r="D3433">
        <v>309144</v>
      </c>
      <c r="E3433">
        <v>246717</v>
      </c>
      <c r="F3433">
        <v>4.4000000000000004</v>
      </c>
      <c r="G3433">
        <v>2.7</v>
      </c>
      <c r="H3433">
        <v>11.2</v>
      </c>
      <c r="I3433">
        <v>12.1</v>
      </c>
    </row>
    <row r="3434" spans="1:9" ht="24" customHeight="1">
      <c r="A3434" s="6" t="s">
        <v>961</v>
      </c>
      <c r="B3434">
        <v>7376</v>
      </c>
      <c r="C3434">
        <v>112</v>
      </c>
      <c r="D3434">
        <v>695408</v>
      </c>
      <c r="E3434">
        <v>889533</v>
      </c>
      <c r="F3434">
        <v>2.1</v>
      </c>
      <c r="G3434">
        <v>1.2</v>
      </c>
      <c r="H3434">
        <v>21.8</v>
      </c>
      <c r="I3434">
        <v>22.2</v>
      </c>
    </row>
    <row r="3435" spans="1:9" ht="24" customHeight="1">
      <c r="A3435" s="6" t="s">
        <v>962</v>
      </c>
      <c r="B3435">
        <v>11565</v>
      </c>
      <c r="C3435">
        <v>670</v>
      </c>
      <c r="D3435">
        <v>625574</v>
      </c>
      <c r="E3435">
        <v>542379</v>
      </c>
      <c r="F3435">
        <v>4.9000000000000004</v>
      </c>
      <c r="G3435">
        <v>4.8</v>
      </c>
      <c r="H3435">
        <v>21.2</v>
      </c>
      <c r="I3435">
        <v>18.100000000000001</v>
      </c>
    </row>
    <row r="3436" spans="1:9" ht="24" customHeight="1">
      <c r="A3436" s="6" t="s">
        <v>963</v>
      </c>
      <c r="B3436">
        <v>8902</v>
      </c>
      <c r="C3436">
        <v>991</v>
      </c>
      <c r="D3436">
        <v>559772</v>
      </c>
      <c r="E3436">
        <v>434158</v>
      </c>
      <c r="F3436">
        <v>15.4</v>
      </c>
      <c r="G3436">
        <v>5.0999999999999996</v>
      </c>
      <c r="H3436">
        <v>18.2</v>
      </c>
      <c r="I3436">
        <v>18.899999999999999</v>
      </c>
    </row>
    <row r="3437" spans="1:9" ht="24" customHeight="1">
      <c r="A3437" s="6" t="s">
        <v>964</v>
      </c>
      <c r="B3437">
        <v>10577</v>
      </c>
      <c r="C3437">
        <v>822</v>
      </c>
      <c r="D3437">
        <v>487491</v>
      </c>
      <c r="E3437">
        <v>316439</v>
      </c>
      <c r="F3437">
        <v>18</v>
      </c>
      <c r="G3437">
        <v>12.7</v>
      </c>
      <c r="H3437">
        <v>18.399999999999999</v>
      </c>
      <c r="I3437">
        <v>14.4</v>
      </c>
    </row>
    <row r="3438" spans="1:9" ht="24" customHeight="1">
      <c r="A3438" s="6" t="s">
        <v>965</v>
      </c>
      <c r="B3438">
        <v>7943</v>
      </c>
      <c r="C3438">
        <v>945</v>
      </c>
      <c r="D3438">
        <v>565512</v>
      </c>
      <c r="E3438">
        <v>458260</v>
      </c>
      <c r="F3438">
        <v>15.3</v>
      </c>
      <c r="G3438">
        <v>17.100000000000001</v>
      </c>
      <c r="H3438">
        <v>19.5</v>
      </c>
      <c r="I3438">
        <v>23</v>
      </c>
    </row>
    <row r="3439" spans="1:9" ht="24" customHeight="1">
      <c r="A3439" s="6" t="s">
        <v>966</v>
      </c>
      <c r="B3439">
        <v>99797</v>
      </c>
      <c r="C3439">
        <v>25233</v>
      </c>
      <c r="D3439">
        <v>400183</v>
      </c>
      <c r="E3439">
        <v>321685</v>
      </c>
      <c r="F3439">
        <v>14.9</v>
      </c>
      <c r="G3439">
        <v>6.8</v>
      </c>
      <c r="H3439">
        <v>12.8</v>
      </c>
      <c r="I3439">
        <v>12.7</v>
      </c>
    </row>
    <row r="3440" spans="1:9" ht="24" customHeight="1">
      <c r="A3440" s="6" t="s">
        <v>967</v>
      </c>
      <c r="B3440">
        <v>4133</v>
      </c>
      <c r="C3440">
        <v>58</v>
      </c>
      <c r="D3440">
        <v>987805</v>
      </c>
      <c r="E3440">
        <v>517404</v>
      </c>
      <c r="F3440">
        <v>0.7</v>
      </c>
      <c r="G3440">
        <v>35.1</v>
      </c>
      <c r="H3440">
        <v>26.3</v>
      </c>
      <c r="I3440">
        <v>2.7</v>
      </c>
    </row>
    <row r="3441" spans="1:9" ht="24" customHeight="1">
      <c r="A3441" s="6" t="s">
        <v>968</v>
      </c>
      <c r="B3441">
        <v>9054</v>
      </c>
      <c r="C3441">
        <v>438</v>
      </c>
      <c r="D3441">
        <v>786412</v>
      </c>
      <c r="E3441">
        <v>690055</v>
      </c>
      <c r="F3441">
        <v>1.9</v>
      </c>
      <c r="G3441">
        <v>0.3</v>
      </c>
      <c r="H3441">
        <v>22.1</v>
      </c>
      <c r="I3441">
        <v>19.600000000000001</v>
      </c>
    </row>
    <row r="3442" spans="1:9" ht="24" customHeight="1">
      <c r="A3442" s="6" t="s">
        <v>969</v>
      </c>
      <c r="B3442">
        <v>11253</v>
      </c>
      <c r="C3442">
        <v>831</v>
      </c>
      <c r="D3442">
        <v>629839</v>
      </c>
      <c r="E3442">
        <v>510638</v>
      </c>
      <c r="F3442">
        <v>22.7</v>
      </c>
      <c r="G3442">
        <v>12</v>
      </c>
      <c r="H3442">
        <v>20.399999999999999</v>
      </c>
      <c r="I3442">
        <v>17.899999999999999</v>
      </c>
    </row>
    <row r="3443" spans="1:9" ht="24" customHeight="1">
      <c r="A3443" s="6" t="s">
        <v>970</v>
      </c>
      <c r="B3443">
        <v>18683</v>
      </c>
      <c r="C3443">
        <v>667</v>
      </c>
      <c r="D3443">
        <v>616176</v>
      </c>
      <c r="E3443">
        <v>400641</v>
      </c>
      <c r="F3443">
        <v>27.7</v>
      </c>
      <c r="G3443">
        <v>15.5</v>
      </c>
      <c r="H3443">
        <v>21.3</v>
      </c>
      <c r="I3443">
        <v>18.399999999999999</v>
      </c>
    </row>
    <row r="3444" spans="1:9" ht="24" customHeight="1">
      <c r="A3444" s="6" t="s">
        <v>971</v>
      </c>
      <c r="B3444">
        <v>6639</v>
      </c>
      <c r="C3444">
        <v>448</v>
      </c>
      <c r="D3444">
        <v>785368</v>
      </c>
      <c r="E3444">
        <v>506109</v>
      </c>
      <c r="F3444">
        <v>12.4</v>
      </c>
      <c r="G3444">
        <v>14.5</v>
      </c>
      <c r="H3444">
        <v>22.4</v>
      </c>
      <c r="I3444">
        <v>18.100000000000001</v>
      </c>
    </row>
    <row r="3445" spans="1:9" ht="24" customHeight="1">
      <c r="A3445" s="6" t="s">
        <v>972</v>
      </c>
      <c r="B3445">
        <v>115305</v>
      </c>
      <c r="C3445">
        <v>16155</v>
      </c>
      <c r="D3445">
        <v>464144</v>
      </c>
      <c r="E3445">
        <v>367234</v>
      </c>
      <c r="F3445">
        <v>23</v>
      </c>
      <c r="G3445">
        <v>10.9</v>
      </c>
      <c r="H3445">
        <v>12.3</v>
      </c>
      <c r="I3445">
        <v>12.3</v>
      </c>
    </row>
    <row r="3446" spans="1:9" ht="24" customHeight="1">
      <c r="A3446" s="6" t="s">
        <v>973</v>
      </c>
      <c r="B3446">
        <v>3029</v>
      </c>
      <c r="C3446">
        <v>42</v>
      </c>
      <c r="D3446">
        <v>971663</v>
      </c>
      <c r="E3446">
        <v>885171</v>
      </c>
      <c r="F3446">
        <v>0.9</v>
      </c>
      <c r="G3446">
        <v>0.9</v>
      </c>
      <c r="H3446">
        <v>24.7</v>
      </c>
      <c r="I3446">
        <v>21</v>
      </c>
    </row>
    <row r="3447" spans="1:9" ht="24" customHeight="1">
      <c r="A3447" s="6" t="s">
        <v>974</v>
      </c>
      <c r="B3447">
        <v>7006</v>
      </c>
      <c r="C3447">
        <v>368</v>
      </c>
      <c r="D3447">
        <v>696922</v>
      </c>
      <c r="E3447">
        <v>682912</v>
      </c>
      <c r="F3447">
        <v>2.2000000000000002</v>
      </c>
      <c r="G3447">
        <v>1.1000000000000001</v>
      </c>
      <c r="H3447">
        <v>23.5</v>
      </c>
      <c r="I3447">
        <v>21.5</v>
      </c>
    </row>
    <row r="3448" spans="1:9" ht="24" customHeight="1">
      <c r="A3448" s="6" t="s">
        <v>975</v>
      </c>
      <c r="B3448">
        <v>4973</v>
      </c>
      <c r="C3448">
        <v>305</v>
      </c>
      <c r="D3448">
        <v>603003</v>
      </c>
      <c r="E3448">
        <v>546120</v>
      </c>
      <c r="F3448">
        <v>16.8</v>
      </c>
      <c r="G3448">
        <v>11.8</v>
      </c>
      <c r="H3448">
        <v>21.6</v>
      </c>
      <c r="I3448">
        <v>15.6</v>
      </c>
    </row>
    <row r="3449" spans="1:9" ht="24" customHeight="1">
      <c r="A3449" s="6" t="s">
        <v>976</v>
      </c>
      <c r="B3449">
        <v>7484</v>
      </c>
      <c r="C3449">
        <v>697</v>
      </c>
      <c r="D3449">
        <v>574589</v>
      </c>
      <c r="E3449">
        <v>399056</v>
      </c>
      <c r="F3449">
        <v>22.6</v>
      </c>
      <c r="G3449">
        <v>17.3</v>
      </c>
      <c r="H3449">
        <v>20.399999999999999</v>
      </c>
      <c r="I3449">
        <v>13.2</v>
      </c>
    </row>
    <row r="3450" spans="1:9" ht="24" customHeight="1">
      <c r="A3450" s="6" t="s">
        <v>977</v>
      </c>
      <c r="B3450">
        <v>3413</v>
      </c>
      <c r="C3450">
        <v>378</v>
      </c>
      <c r="D3450">
        <v>667221</v>
      </c>
      <c r="E3450">
        <v>565450</v>
      </c>
      <c r="F3450">
        <v>11</v>
      </c>
      <c r="G3450">
        <v>4.9000000000000004</v>
      </c>
      <c r="H3450">
        <v>20.9</v>
      </c>
      <c r="I3450">
        <v>21</v>
      </c>
    </row>
    <row r="3451" spans="1:9" ht="24" customHeight="1">
      <c r="A3451" s="6" t="s">
        <v>978</v>
      </c>
      <c r="B3451">
        <v>59048</v>
      </c>
      <c r="C3451">
        <v>13724</v>
      </c>
      <c r="D3451">
        <v>452360</v>
      </c>
      <c r="E3451">
        <v>333858</v>
      </c>
      <c r="F3451">
        <v>16.3</v>
      </c>
      <c r="G3451">
        <v>7.4</v>
      </c>
      <c r="H3451">
        <v>14.1</v>
      </c>
      <c r="I3451">
        <v>12.2</v>
      </c>
    </row>
    <row r="3452" spans="1:9" ht="24" customHeight="1">
      <c r="A3452" s="6" t="s">
        <v>979</v>
      </c>
      <c r="B3452">
        <v>13923</v>
      </c>
      <c r="C3452">
        <v>577</v>
      </c>
      <c r="D3452">
        <v>707363</v>
      </c>
      <c r="E3452">
        <v>643282</v>
      </c>
      <c r="F3452">
        <v>2.2000000000000002</v>
      </c>
      <c r="G3452">
        <v>29.3</v>
      </c>
      <c r="H3452">
        <v>22.5</v>
      </c>
      <c r="I3452">
        <v>16.5</v>
      </c>
    </row>
    <row r="3453" spans="1:9" ht="24" customHeight="1">
      <c r="A3453" s="6" t="s">
        <v>980</v>
      </c>
      <c r="B3453">
        <v>25617</v>
      </c>
      <c r="C3453">
        <v>2084</v>
      </c>
      <c r="D3453">
        <v>590553</v>
      </c>
      <c r="E3453">
        <v>441424</v>
      </c>
      <c r="F3453">
        <v>5.8</v>
      </c>
      <c r="G3453">
        <v>6.2</v>
      </c>
      <c r="H3453">
        <v>21.6</v>
      </c>
      <c r="I3453">
        <v>14.8</v>
      </c>
    </row>
    <row r="3454" spans="1:9" ht="24" customHeight="1">
      <c r="A3454" s="6" t="s">
        <v>981</v>
      </c>
      <c r="B3454">
        <v>21048</v>
      </c>
      <c r="C3454">
        <v>1426</v>
      </c>
      <c r="D3454">
        <v>530017</v>
      </c>
      <c r="E3454">
        <v>412575</v>
      </c>
      <c r="F3454">
        <v>16.5</v>
      </c>
      <c r="G3454">
        <v>11</v>
      </c>
      <c r="H3454">
        <v>18.3</v>
      </c>
      <c r="I3454">
        <v>19.899999999999999</v>
      </c>
    </row>
    <row r="3455" spans="1:9" ht="24" customHeight="1">
      <c r="A3455" s="6" t="s">
        <v>982</v>
      </c>
      <c r="B3455">
        <v>20170</v>
      </c>
      <c r="C3455">
        <v>2798</v>
      </c>
      <c r="D3455">
        <v>490386</v>
      </c>
      <c r="E3455">
        <v>379349</v>
      </c>
      <c r="F3455">
        <v>19.3</v>
      </c>
      <c r="G3455">
        <v>11.9</v>
      </c>
      <c r="H3455">
        <v>18.399999999999999</v>
      </c>
      <c r="I3455">
        <v>13.8</v>
      </c>
    </row>
    <row r="3456" spans="1:9" ht="24" customHeight="1">
      <c r="A3456" s="6" t="s">
        <v>983</v>
      </c>
      <c r="B3456">
        <v>15288</v>
      </c>
      <c r="C3456">
        <v>2147</v>
      </c>
      <c r="D3456">
        <v>609548</v>
      </c>
      <c r="E3456">
        <v>518505</v>
      </c>
      <c r="F3456">
        <v>11.3</v>
      </c>
      <c r="G3456">
        <v>7.4</v>
      </c>
      <c r="H3456">
        <v>19.5</v>
      </c>
      <c r="I3456">
        <v>24.7</v>
      </c>
    </row>
    <row r="3457" spans="1:9" ht="24" customHeight="1">
      <c r="A3457" s="6" t="s">
        <v>984</v>
      </c>
      <c r="B3457">
        <v>218646</v>
      </c>
      <c r="C3457">
        <v>66998</v>
      </c>
      <c r="D3457">
        <v>377092</v>
      </c>
      <c r="E3457">
        <v>298297</v>
      </c>
      <c r="F3457">
        <v>14.5</v>
      </c>
      <c r="G3457">
        <v>6.2</v>
      </c>
      <c r="H3457">
        <v>11.5</v>
      </c>
      <c r="I3457">
        <v>10</v>
      </c>
    </row>
    <row r="3458" spans="1:9" ht="24" customHeight="1">
      <c r="A3458" s="6" t="s">
        <v>985</v>
      </c>
      <c r="B3458">
        <v>8165</v>
      </c>
      <c r="C3458">
        <v>288</v>
      </c>
      <c r="D3458">
        <v>830952</v>
      </c>
      <c r="E3458">
        <v>1039341</v>
      </c>
      <c r="F3458">
        <v>1.6</v>
      </c>
      <c r="G3458">
        <v>0</v>
      </c>
      <c r="H3458">
        <v>25.3</v>
      </c>
      <c r="I3458">
        <v>28.6</v>
      </c>
    </row>
    <row r="3459" spans="1:9" ht="24" customHeight="1">
      <c r="A3459" s="6" t="s">
        <v>986</v>
      </c>
      <c r="B3459">
        <v>20331</v>
      </c>
      <c r="C3459">
        <v>958</v>
      </c>
      <c r="D3459">
        <v>757761</v>
      </c>
      <c r="E3459">
        <v>728509</v>
      </c>
      <c r="F3459">
        <v>2.4</v>
      </c>
      <c r="G3459">
        <v>1</v>
      </c>
      <c r="H3459">
        <v>23.1</v>
      </c>
      <c r="I3459">
        <v>21</v>
      </c>
    </row>
    <row r="3460" spans="1:9" ht="24" customHeight="1">
      <c r="A3460" s="6" t="s">
        <v>987</v>
      </c>
      <c r="B3460">
        <v>15828</v>
      </c>
      <c r="C3460">
        <v>1295</v>
      </c>
      <c r="D3460">
        <v>639357</v>
      </c>
      <c r="E3460">
        <v>542338</v>
      </c>
      <c r="F3460">
        <v>20.100000000000001</v>
      </c>
      <c r="G3460">
        <v>11.5</v>
      </c>
      <c r="H3460">
        <v>20</v>
      </c>
      <c r="I3460">
        <v>21.9</v>
      </c>
    </row>
    <row r="3461" spans="1:9" ht="24" customHeight="1">
      <c r="A3461" s="6" t="s">
        <v>988</v>
      </c>
      <c r="B3461">
        <v>11787</v>
      </c>
      <c r="C3461">
        <v>916</v>
      </c>
      <c r="D3461">
        <v>566152</v>
      </c>
      <c r="E3461">
        <v>523394</v>
      </c>
      <c r="F3461">
        <v>20</v>
      </c>
      <c r="G3461">
        <v>7.6</v>
      </c>
      <c r="H3461">
        <v>18.8</v>
      </c>
      <c r="I3461">
        <v>21.6</v>
      </c>
    </row>
    <row r="3462" spans="1:9" ht="24" customHeight="1">
      <c r="A3462" s="6" t="s">
        <v>989</v>
      </c>
      <c r="B3462">
        <v>12138</v>
      </c>
      <c r="C3462">
        <v>1214</v>
      </c>
      <c r="D3462">
        <v>692461</v>
      </c>
      <c r="E3462">
        <v>387562</v>
      </c>
      <c r="F3462">
        <v>10.4</v>
      </c>
      <c r="G3462">
        <v>14.1</v>
      </c>
      <c r="H3462">
        <v>21.9</v>
      </c>
      <c r="I3462">
        <v>16.7</v>
      </c>
    </row>
    <row r="3463" spans="1:9" ht="24" customHeight="1">
      <c r="A3463" s="6" t="s">
        <v>990</v>
      </c>
      <c r="B3463">
        <v>143312</v>
      </c>
      <c r="C3463">
        <v>38749</v>
      </c>
      <c r="D3463">
        <v>451642</v>
      </c>
      <c r="E3463">
        <v>350464</v>
      </c>
      <c r="F3463">
        <v>17.2</v>
      </c>
      <c r="G3463">
        <v>9.6</v>
      </c>
      <c r="H3463">
        <v>12.5</v>
      </c>
      <c r="I3463">
        <v>12</v>
      </c>
    </row>
    <row r="3464" spans="1:9" ht="24" customHeight="1">
      <c r="A3464" s="6" t="s">
        <v>991</v>
      </c>
      <c r="B3464">
        <v>19452</v>
      </c>
      <c r="C3464">
        <v>565</v>
      </c>
      <c r="D3464">
        <v>803974</v>
      </c>
      <c r="E3464">
        <v>560875</v>
      </c>
      <c r="F3464">
        <v>4.0999999999999996</v>
      </c>
      <c r="G3464">
        <v>5.0999999999999996</v>
      </c>
      <c r="H3464">
        <v>25.1</v>
      </c>
      <c r="I3464">
        <v>19.899999999999999</v>
      </c>
    </row>
    <row r="3465" spans="1:9" ht="24" customHeight="1">
      <c r="A3465" s="6" t="s">
        <v>992</v>
      </c>
      <c r="B3465">
        <v>35445</v>
      </c>
      <c r="C3465">
        <v>1376</v>
      </c>
      <c r="D3465">
        <v>737441</v>
      </c>
      <c r="E3465">
        <v>567831</v>
      </c>
      <c r="F3465">
        <v>5.2</v>
      </c>
      <c r="G3465">
        <v>2.1</v>
      </c>
      <c r="H3465">
        <v>22.3</v>
      </c>
      <c r="I3465">
        <v>22.4</v>
      </c>
    </row>
    <row r="3466" spans="1:9" ht="24" customHeight="1">
      <c r="A3466" s="6" t="s">
        <v>993</v>
      </c>
      <c r="B3466">
        <v>23021</v>
      </c>
      <c r="C3466">
        <v>3606</v>
      </c>
      <c r="D3466">
        <v>562633</v>
      </c>
      <c r="E3466">
        <v>485995</v>
      </c>
      <c r="F3466">
        <v>18.5</v>
      </c>
      <c r="G3466">
        <v>10.4</v>
      </c>
      <c r="H3466">
        <v>19.2</v>
      </c>
      <c r="I3466">
        <v>19.100000000000001</v>
      </c>
    </row>
    <row r="3467" spans="1:9" ht="24" customHeight="1">
      <c r="A3467" s="6" t="s">
        <v>994</v>
      </c>
      <c r="B3467">
        <v>19714</v>
      </c>
      <c r="C3467">
        <v>1276</v>
      </c>
      <c r="D3467">
        <v>561543</v>
      </c>
      <c r="E3467">
        <v>368994</v>
      </c>
      <c r="F3467">
        <v>20.7</v>
      </c>
      <c r="G3467">
        <v>7.8</v>
      </c>
      <c r="H3467">
        <v>20</v>
      </c>
      <c r="I3467">
        <v>17.100000000000001</v>
      </c>
    </row>
    <row r="3468" spans="1:9" ht="24" customHeight="1">
      <c r="A3468" s="6" t="s">
        <v>995</v>
      </c>
      <c r="B3468">
        <v>14255</v>
      </c>
      <c r="C3468">
        <v>2013</v>
      </c>
      <c r="D3468">
        <v>580656</v>
      </c>
      <c r="E3468">
        <v>524501</v>
      </c>
      <c r="F3468">
        <v>14</v>
      </c>
      <c r="G3468">
        <v>8.9</v>
      </c>
      <c r="H3468">
        <v>20.3</v>
      </c>
      <c r="I3468">
        <v>18.600000000000001</v>
      </c>
    </row>
    <row r="3469" spans="1:9" ht="24" customHeight="1">
      <c r="A3469" s="6" t="s">
        <v>996</v>
      </c>
      <c r="B3469">
        <v>262454</v>
      </c>
      <c r="C3469">
        <v>61929</v>
      </c>
      <c r="D3469">
        <v>443826</v>
      </c>
      <c r="E3469">
        <v>350510</v>
      </c>
      <c r="F3469">
        <v>17.399999999999999</v>
      </c>
      <c r="G3469">
        <v>8.8000000000000007</v>
      </c>
      <c r="H3469">
        <v>12.8</v>
      </c>
      <c r="I3469">
        <v>10.5</v>
      </c>
    </row>
    <row r="3470" spans="1:9" ht="24" customHeight="1">
      <c r="A3470" s="6" t="s">
        <v>997</v>
      </c>
      <c r="B3470">
        <v>7274</v>
      </c>
      <c r="C3470">
        <v>197</v>
      </c>
      <c r="D3470">
        <v>834687</v>
      </c>
      <c r="E3470">
        <v>767911</v>
      </c>
      <c r="F3470">
        <v>1.5</v>
      </c>
      <c r="G3470">
        <v>0</v>
      </c>
      <c r="H3470">
        <v>24.9</v>
      </c>
      <c r="I3470">
        <v>25.9</v>
      </c>
    </row>
    <row r="3471" spans="1:9" ht="24" customHeight="1">
      <c r="A3471" s="6" t="s">
        <v>998</v>
      </c>
      <c r="B3471">
        <v>13376</v>
      </c>
      <c r="C3471">
        <v>936</v>
      </c>
      <c r="D3471">
        <v>720617</v>
      </c>
      <c r="E3471">
        <v>650030</v>
      </c>
      <c r="F3471">
        <v>1.6</v>
      </c>
      <c r="G3471">
        <v>0.4</v>
      </c>
      <c r="H3471">
        <v>22.3</v>
      </c>
      <c r="I3471">
        <v>19.3</v>
      </c>
    </row>
    <row r="3472" spans="1:9" ht="24" customHeight="1">
      <c r="A3472" s="6" t="s">
        <v>999</v>
      </c>
      <c r="B3472">
        <v>11271</v>
      </c>
      <c r="C3472">
        <v>1991</v>
      </c>
      <c r="D3472">
        <v>591430</v>
      </c>
      <c r="E3472">
        <v>506501</v>
      </c>
      <c r="F3472">
        <v>18.8</v>
      </c>
      <c r="G3472">
        <v>13.8</v>
      </c>
      <c r="H3472">
        <v>17.899999999999999</v>
      </c>
      <c r="I3472">
        <v>16.5</v>
      </c>
    </row>
    <row r="3473" spans="1:9" ht="24" customHeight="1">
      <c r="A3473" s="6" t="s">
        <v>1000</v>
      </c>
      <c r="B3473">
        <v>4180</v>
      </c>
      <c r="C3473">
        <v>576</v>
      </c>
      <c r="D3473">
        <v>492509</v>
      </c>
      <c r="E3473">
        <v>420635</v>
      </c>
      <c r="F3473">
        <v>13</v>
      </c>
      <c r="G3473">
        <v>13.9</v>
      </c>
      <c r="H3473">
        <v>18.100000000000001</v>
      </c>
      <c r="I3473">
        <v>20.7</v>
      </c>
    </row>
    <row r="3474" spans="1:9" ht="24" customHeight="1">
      <c r="A3474" s="6" t="s">
        <v>1001</v>
      </c>
      <c r="B3474">
        <v>7566</v>
      </c>
      <c r="C3474">
        <v>1191</v>
      </c>
      <c r="D3474">
        <v>721193</v>
      </c>
      <c r="E3474">
        <v>536471</v>
      </c>
      <c r="F3474">
        <v>11.6</v>
      </c>
      <c r="G3474">
        <v>7.3</v>
      </c>
      <c r="H3474">
        <v>20.9</v>
      </c>
      <c r="I3474">
        <v>24.2</v>
      </c>
    </row>
    <row r="3475" spans="1:9" ht="24" customHeight="1">
      <c r="A3475" s="6" t="s">
        <v>1002</v>
      </c>
      <c r="B3475">
        <v>82477</v>
      </c>
      <c r="C3475">
        <v>35020</v>
      </c>
      <c r="D3475">
        <v>459577</v>
      </c>
      <c r="E3475">
        <v>355440</v>
      </c>
      <c r="F3475">
        <v>15.5</v>
      </c>
      <c r="G3475">
        <v>8.6999999999999993</v>
      </c>
      <c r="H3475">
        <v>13.2</v>
      </c>
      <c r="I3475">
        <v>12.6</v>
      </c>
    </row>
    <row r="3476" spans="1:9" ht="24" customHeight="1">
      <c r="A3476" s="6" t="s">
        <v>1003</v>
      </c>
      <c r="B3476">
        <v>9364</v>
      </c>
      <c r="C3476">
        <v>353</v>
      </c>
      <c r="D3476">
        <v>888352</v>
      </c>
      <c r="E3476">
        <v>735914</v>
      </c>
      <c r="F3476">
        <v>3.5</v>
      </c>
      <c r="G3476">
        <v>5.9</v>
      </c>
      <c r="H3476">
        <v>26.6</v>
      </c>
      <c r="I3476">
        <v>21.2</v>
      </c>
    </row>
    <row r="3477" spans="1:9" ht="24" customHeight="1">
      <c r="A3477" s="6" t="s">
        <v>1004</v>
      </c>
      <c r="B3477">
        <v>19695</v>
      </c>
      <c r="C3477">
        <v>1076</v>
      </c>
      <c r="D3477">
        <v>744165</v>
      </c>
      <c r="E3477">
        <v>639667</v>
      </c>
      <c r="F3477">
        <v>3.8</v>
      </c>
      <c r="G3477">
        <v>2.6</v>
      </c>
      <c r="H3477">
        <v>24.3</v>
      </c>
      <c r="I3477">
        <v>20.2</v>
      </c>
    </row>
    <row r="3478" spans="1:9" ht="24" customHeight="1">
      <c r="A3478" s="6" t="s">
        <v>1005</v>
      </c>
      <c r="B3478">
        <v>23441</v>
      </c>
      <c r="C3478">
        <v>2705</v>
      </c>
      <c r="D3478">
        <v>644801</v>
      </c>
      <c r="E3478">
        <v>503614</v>
      </c>
      <c r="F3478">
        <v>18.3</v>
      </c>
      <c r="G3478">
        <v>12.2</v>
      </c>
      <c r="H3478">
        <v>21.3</v>
      </c>
      <c r="I3478">
        <v>21.6</v>
      </c>
    </row>
    <row r="3479" spans="1:9" ht="24" customHeight="1">
      <c r="A3479" s="6" t="s">
        <v>1006</v>
      </c>
      <c r="B3479">
        <v>12604</v>
      </c>
      <c r="C3479">
        <v>2178</v>
      </c>
      <c r="D3479">
        <v>498353</v>
      </c>
      <c r="E3479">
        <v>411304</v>
      </c>
      <c r="F3479">
        <v>18.5</v>
      </c>
      <c r="G3479">
        <v>17</v>
      </c>
      <c r="H3479">
        <v>20.7</v>
      </c>
      <c r="I3479">
        <v>20.8</v>
      </c>
    </row>
    <row r="3480" spans="1:9" ht="24" customHeight="1">
      <c r="A3480" s="6" t="s">
        <v>1007</v>
      </c>
      <c r="B3480">
        <v>14144</v>
      </c>
      <c r="C3480">
        <v>2955</v>
      </c>
      <c r="D3480">
        <v>648279</v>
      </c>
      <c r="E3480">
        <v>501672</v>
      </c>
      <c r="F3480">
        <v>8.6999999999999993</v>
      </c>
      <c r="G3480">
        <v>11.7</v>
      </c>
      <c r="H3480">
        <v>20.8</v>
      </c>
      <c r="I3480">
        <v>14.9</v>
      </c>
    </row>
    <row r="3481" spans="1:9" ht="24" customHeight="1">
      <c r="A3481" s="6" t="s">
        <v>1008</v>
      </c>
      <c r="B3481">
        <v>147555</v>
      </c>
      <c r="C3481">
        <v>59681</v>
      </c>
      <c r="D3481">
        <v>454909</v>
      </c>
      <c r="E3481">
        <v>333320</v>
      </c>
      <c r="F3481">
        <v>14.8</v>
      </c>
      <c r="G3481">
        <v>8.1</v>
      </c>
      <c r="H3481">
        <v>14</v>
      </c>
      <c r="I3481">
        <v>14.6</v>
      </c>
    </row>
    <row r="3482" spans="1:9" ht="24" customHeight="1">
      <c r="A3482" s="6" t="s">
        <v>1009</v>
      </c>
      <c r="B3482">
        <v>14904</v>
      </c>
      <c r="C3482">
        <v>313</v>
      </c>
      <c r="D3482">
        <v>851206</v>
      </c>
      <c r="E3482">
        <v>758146</v>
      </c>
      <c r="F3482">
        <v>2.4</v>
      </c>
      <c r="G3482">
        <v>2.8</v>
      </c>
      <c r="H3482">
        <v>26</v>
      </c>
      <c r="I3482">
        <v>26.7</v>
      </c>
    </row>
    <row r="3483" spans="1:9" ht="24" customHeight="1">
      <c r="A3483" s="6" t="s">
        <v>1010</v>
      </c>
      <c r="B3483">
        <v>26080</v>
      </c>
      <c r="C3483">
        <v>1063</v>
      </c>
      <c r="D3483">
        <v>769029</v>
      </c>
      <c r="E3483">
        <v>613187</v>
      </c>
      <c r="F3483">
        <v>1.1000000000000001</v>
      </c>
      <c r="G3483">
        <v>1.2</v>
      </c>
      <c r="H3483">
        <v>23.1</v>
      </c>
      <c r="I3483">
        <v>20.8</v>
      </c>
    </row>
    <row r="3484" spans="1:9" ht="24" customHeight="1">
      <c r="A3484" s="6" t="s">
        <v>1011</v>
      </c>
      <c r="B3484">
        <v>25851</v>
      </c>
      <c r="C3484">
        <v>2513</v>
      </c>
      <c r="D3484">
        <v>619863</v>
      </c>
      <c r="E3484">
        <v>482539</v>
      </c>
      <c r="F3484">
        <v>18.399999999999999</v>
      </c>
      <c r="G3484">
        <v>11.1</v>
      </c>
      <c r="H3484">
        <v>20.3</v>
      </c>
      <c r="I3484">
        <v>21.7</v>
      </c>
    </row>
    <row r="3485" spans="1:9" ht="24" customHeight="1">
      <c r="A3485" s="6" t="s">
        <v>1012</v>
      </c>
      <c r="B3485">
        <v>12084</v>
      </c>
      <c r="C3485">
        <v>1723</v>
      </c>
      <c r="D3485">
        <v>519597</v>
      </c>
      <c r="E3485">
        <v>395780</v>
      </c>
      <c r="F3485">
        <v>17.100000000000001</v>
      </c>
      <c r="G3485">
        <v>14.3</v>
      </c>
      <c r="H3485">
        <v>18.399999999999999</v>
      </c>
      <c r="I3485">
        <v>17.600000000000001</v>
      </c>
    </row>
    <row r="3486" spans="1:9" ht="24" customHeight="1">
      <c r="A3486" s="6" t="s">
        <v>1013</v>
      </c>
      <c r="B3486">
        <v>13062</v>
      </c>
      <c r="C3486">
        <v>1211</v>
      </c>
      <c r="D3486">
        <v>692853</v>
      </c>
      <c r="E3486">
        <v>487328</v>
      </c>
      <c r="F3486">
        <v>10.8</v>
      </c>
      <c r="G3486">
        <v>8.5</v>
      </c>
      <c r="H3486">
        <v>22.2</v>
      </c>
      <c r="I3486">
        <v>21.7</v>
      </c>
    </row>
    <row r="3487" spans="1:9" ht="24" customHeight="1">
      <c r="A3487" s="6" t="s">
        <v>1014</v>
      </c>
      <c r="B3487">
        <v>185907</v>
      </c>
      <c r="C3487">
        <v>81002</v>
      </c>
      <c r="D3487">
        <v>479405</v>
      </c>
      <c r="E3487">
        <v>339834</v>
      </c>
      <c r="F3487">
        <v>15.9</v>
      </c>
      <c r="G3487">
        <v>8.3000000000000007</v>
      </c>
      <c r="H3487">
        <v>13.6</v>
      </c>
      <c r="I3487">
        <v>13.8</v>
      </c>
    </row>
    <row r="3488" spans="1:9" ht="24" customHeight="1">
      <c r="A3488" s="6" t="s">
        <v>1015</v>
      </c>
      <c r="B3488">
        <v>4913</v>
      </c>
      <c r="C3488">
        <v>796</v>
      </c>
      <c r="D3488">
        <v>918162</v>
      </c>
      <c r="E3488">
        <v>1011414</v>
      </c>
      <c r="F3488">
        <v>4</v>
      </c>
      <c r="G3488">
        <v>9.5</v>
      </c>
      <c r="H3488">
        <v>26.6</v>
      </c>
      <c r="I3488">
        <v>22.9</v>
      </c>
    </row>
    <row r="3489" spans="1:9" ht="24" customHeight="1">
      <c r="A3489" s="6" t="s">
        <v>1016</v>
      </c>
      <c r="B3489">
        <v>10225</v>
      </c>
      <c r="C3489">
        <v>903</v>
      </c>
      <c r="D3489">
        <v>778599</v>
      </c>
      <c r="E3489">
        <v>538928</v>
      </c>
      <c r="F3489">
        <v>3.1</v>
      </c>
      <c r="G3489">
        <v>3.3</v>
      </c>
      <c r="H3489">
        <v>25.3</v>
      </c>
      <c r="I3489">
        <v>15.3</v>
      </c>
    </row>
    <row r="3490" spans="1:9" ht="24" customHeight="1">
      <c r="A3490" s="6" t="s">
        <v>1017</v>
      </c>
      <c r="B3490">
        <v>8339</v>
      </c>
      <c r="C3490">
        <v>737</v>
      </c>
      <c r="D3490">
        <v>671163</v>
      </c>
      <c r="E3490">
        <v>568212</v>
      </c>
      <c r="F3490">
        <v>19.3</v>
      </c>
      <c r="G3490">
        <v>11.8</v>
      </c>
      <c r="H3490">
        <v>21.7</v>
      </c>
      <c r="I3490">
        <v>18.899999999999999</v>
      </c>
    </row>
    <row r="3491" spans="1:9" ht="24" customHeight="1">
      <c r="A3491" s="6" t="s">
        <v>1018</v>
      </c>
      <c r="B3491">
        <v>2758</v>
      </c>
      <c r="C3491">
        <v>356</v>
      </c>
      <c r="D3491">
        <v>534775</v>
      </c>
      <c r="E3491">
        <v>362683</v>
      </c>
      <c r="F3491">
        <v>20.7</v>
      </c>
      <c r="G3491">
        <v>16.600000000000001</v>
      </c>
      <c r="H3491">
        <v>21.4</v>
      </c>
      <c r="I3491">
        <v>15.5</v>
      </c>
    </row>
    <row r="3492" spans="1:9" ht="24" customHeight="1">
      <c r="A3492" s="6" t="s">
        <v>1019</v>
      </c>
      <c r="B3492">
        <v>4342</v>
      </c>
      <c r="C3492">
        <v>451</v>
      </c>
      <c r="D3492">
        <v>776949</v>
      </c>
      <c r="E3492">
        <v>544891</v>
      </c>
      <c r="F3492">
        <v>11.2</v>
      </c>
      <c r="G3492">
        <v>5.7</v>
      </c>
      <c r="H3492">
        <v>24.8</v>
      </c>
      <c r="I3492">
        <v>22</v>
      </c>
    </row>
    <row r="3493" spans="1:9" ht="24" customHeight="1">
      <c r="A3493" s="6" t="s">
        <v>1020</v>
      </c>
      <c r="B3493">
        <v>57787</v>
      </c>
      <c r="C3493">
        <v>21764</v>
      </c>
      <c r="D3493">
        <v>486866</v>
      </c>
      <c r="E3493">
        <v>358334</v>
      </c>
      <c r="F3493">
        <v>16.2</v>
      </c>
      <c r="G3493">
        <v>8.6999999999999993</v>
      </c>
      <c r="H3493">
        <v>14.8</v>
      </c>
      <c r="I3493">
        <v>15.6</v>
      </c>
    </row>
    <row r="3494" spans="1:9" ht="24" customHeight="1">
      <c r="A3494" s="6" t="s">
        <v>1021</v>
      </c>
      <c r="B3494">
        <v>20845</v>
      </c>
      <c r="C3494">
        <v>155</v>
      </c>
      <c r="D3494">
        <v>924571</v>
      </c>
      <c r="E3494">
        <v>1176346</v>
      </c>
      <c r="F3494">
        <v>0.7</v>
      </c>
      <c r="G3494">
        <v>0</v>
      </c>
      <c r="H3494">
        <v>26.9</v>
      </c>
      <c r="I3494">
        <v>19.8</v>
      </c>
    </row>
    <row r="3495" spans="1:9" ht="24" customHeight="1">
      <c r="A3495" s="6" t="s">
        <v>1022</v>
      </c>
      <c r="B3495">
        <v>40294</v>
      </c>
      <c r="C3495">
        <v>2188</v>
      </c>
      <c r="D3495">
        <v>761759</v>
      </c>
      <c r="E3495">
        <v>697245</v>
      </c>
      <c r="F3495">
        <v>1.7</v>
      </c>
      <c r="G3495">
        <v>0.9</v>
      </c>
      <c r="H3495">
        <v>23.9</v>
      </c>
      <c r="I3495">
        <v>19.3</v>
      </c>
    </row>
    <row r="3496" spans="1:9" ht="24" customHeight="1">
      <c r="A3496" s="6" t="s">
        <v>1023</v>
      </c>
      <c r="B3496">
        <v>39439</v>
      </c>
      <c r="C3496">
        <v>3161</v>
      </c>
      <c r="D3496">
        <v>614471</v>
      </c>
      <c r="E3496">
        <v>519718</v>
      </c>
      <c r="F3496">
        <v>24.3</v>
      </c>
      <c r="G3496">
        <v>20.8</v>
      </c>
      <c r="H3496">
        <v>20.5</v>
      </c>
      <c r="I3496">
        <v>16.600000000000001</v>
      </c>
    </row>
    <row r="3497" spans="1:9" ht="24" customHeight="1">
      <c r="A3497" s="6" t="s">
        <v>1024</v>
      </c>
      <c r="B3497">
        <v>57127</v>
      </c>
      <c r="C3497">
        <v>2501</v>
      </c>
      <c r="D3497">
        <v>584167</v>
      </c>
      <c r="E3497">
        <v>394659</v>
      </c>
      <c r="F3497">
        <v>27.3</v>
      </c>
      <c r="G3497">
        <v>12.1</v>
      </c>
      <c r="H3497">
        <v>19.7</v>
      </c>
      <c r="I3497">
        <v>17.7</v>
      </c>
    </row>
    <row r="3498" spans="1:9" ht="24" customHeight="1">
      <c r="A3498" s="6" t="s">
        <v>1025</v>
      </c>
      <c r="B3498">
        <v>24284</v>
      </c>
      <c r="C3498">
        <v>1261</v>
      </c>
      <c r="D3498">
        <v>678389</v>
      </c>
      <c r="E3498">
        <v>487528</v>
      </c>
      <c r="F3498">
        <v>15.7</v>
      </c>
      <c r="G3498">
        <v>5.8</v>
      </c>
      <c r="H3498">
        <v>22.5</v>
      </c>
      <c r="I3498">
        <v>15</v>
      </c>
    </row>
    <row r="3499" spans="1:9" ht="24" customHeight="1">
      <c r="A3499" s="6" t="s">
        <v>1026</v>
      </c>
      <c r="B3499">
        <v>427682</v>
      </c>
      <c r="C3499">
        <v>104375</v>
      </c>
      <c r="D3499">
        <v>454238</v>
      </c>
      <c r="E3499">
        <v>335803</v>
      </c>
      <c r="F3499">
        <v>20.399999999999999</v>
      </c>
      <c r="G3499">
        <v>7.9</v>
      </c>
      <c r="H3499">
        <v>14.1</v>
      </c>
      <c r="I3499">
        <v>11</v>
      </c>
    </row>
    <row r="3500" spans="1:9" ht="24" customHeight="1">
      <c r="A3500" s="6" t="s">
        <v>1027</v>
      </c>
      <c r="B3500">
        <v>4577</v>
      </c>
      <c r="C3500">
        <v>325</v>
      </c>
      <c r="D3500">
        <v>770543</v>
      </c>
      <c r="E3500">
        <v>470873</v>
      </c>
      <c r="F3500">
        <v>1.5</v>
      </c>
      <c r="G3500">
        <v>21.6</v>
      </c>
      <c r="H3500">
        <v>23.2</v>
      </c>
      <c r="I3500">
        <v>11.9</v>
      </c>
    </row>
    <row r="3501" spans="1:9" ht="24" customHeight="1">
      <c r="A3501" s="6" t="s">
        <v>1028</v>
      </c>
      <c r="B3501">
        <v>6950</v>
      </c>
      <c r="C3501">
        <v>1005</v>
      </c>
      <c r="D3501">
        <v>634675</v>
      </c>
      <c r="E3501">
        <v>450943</v>
      </c>
      <c r="F3501">
        <v>2.7</v>
      </c>
      <c r="G3501">
        <v>1.9</v>
      </c>
      <c r="H3501">
        <v>22</v>
      </c>
      <c r="I3501">
        <v>12.6</v>
      </c>
    </row>
    <row r="3502" spans="1:9" ht="24" customHeight="1">
      <c r="A3502" s="6" t="s">
        <v>1029</v>
      </c>
      <c r="B3502">
        <v>6541</v>
      </c>
      <c r="C3502">
        <v>1206</v>
      </c>
      <c r="D3502">
        <v>554235</v>
      </c>
      <c r="E3502">
        <v>493857</v>
      </c>
      <c r="F3502">
        <v>14.2</v>
      </c>
      <c r="G3502">
        <v>8.6</v>
      </c>
      <c r="H3502">
        <v>20.100000000000001</v>
      </c>
      <c r="I3502">
        <v>18</v>
      </c>
    </row>
    <row r="3503" spans="1:9" ht="24" customHeight="1">
      <c r="A3503" s="6" t="s">
        <v>1030</v>
      </c>
      <c r="B3503">
        <v>3092</v>
      </c>
      <c r="C3503">
        <v>610</v>
      </c>
      <c r="D3503">
        <v>556781</v>
      </c>
      <c r="E3503">
        <v>427920</v>
      </c>
      <c r="F3503">
        <v>21.6</v>
      </c>
      <c r="G3503">
        <v>13.2</v>
      </c>
      <c r="H3503">
        <v>20.8</v>
      </c>
      <c r="I3503">
        <v>16.600000000000001</v>
      </c>
    </row>
    <row r="3504" spans="1:9" ht="24" customHeight="1">
      <c r="A3504" s="6" t="s">
        <v>1031</v>
      </c>
      <c r="B3504">
        <v>3290</v>
      </c>
      <c r="C3504">
        <v>913</v>
      </c>
      <c r="D3504">
        <v>623607</v>
      </c>
      <c r="E3504">
        <v>385363</v>
      </c>
      <c r="F3504">
        <v>9.6</v>
      </c>
      <c r="G3504">
        <v>4.5999999999999996</v>
      </c>
      <c r="H3504">
        <v>22.1</v>
      </c>
      <c r="I3504">
        <v>17.399999999999999</v>
      </c>
    </row>
    <row r="3505" spans="1:9" ht="24" customHeight="1">
      <c r="A3505" s="6" t="s">
        <v>1032</v>
      </c>
      <c r="B3505">
        <v>52150</v>
      </c>
      <c r="C3505">
        <v>27402</v>
      </c>
      <c r="D3505">
        <v>419449</v>
      </c>
      <c r="E3505">
        <v>326705</v>
      </c>
      <c r="F3505">
        <v>13.4</v>
      </c>
      <c r="G3505">
        <v>8.1</v>
      </c>
      <c r="H3505">
        <v>12.5</v>
      </c>
      <c r="I3505">
        <v>11.2</v>
      </c>
    </row>
    <row r="3506" spans="1:9" ht="24" customHeight="1">
      <c r="A3506" s="6" t="s">
        <v>1033</v>
      </c>
      <c r="B3506">
        <v>363</v>
      </c>
      <c r="C3506">
        <v>21</v>
      </c>
      <c r="D3506">
        <v>933766</v>
      </c>
      <c r="E3506">
        <v>1122346</v>
      </c>
      <c r="F3506">
        <v>1.7</v>
      </c>
      <c r="G3506">
        <v>1.4</v>
      </c>
      <c r="H3506">
        <v>22.1</v>
      </c>
      <c r="I3506">
        <v>28</v>
      </c>
    </row>
    <row r="3507" spans="1:9" ht="24" customHeight="1">
      <c r="A3507" s="6" t="s">
        <v>1034</v>
      </c>
      <c r="B3507">
        <v>601</v>
      </c>
      <c r="C3507">
        <v>29</v>
      </c>
      <c r="D3507">
        <v>896654</v>
      </c>
      <c r="E3507">
        <v>919811</v>
      </c>
      <c r="F3507">
        <v>4.3</v>
      </c>
      <c r="G3507">
        <v>0.9</v>
      </c>
      <c r="H3507">
        <v>22.2</v>
      </c>
      <c r="I3507">
        <v>15.4</v>
      </c>
    </row>
    <row r="3508" spans="1:9" ht="24" customHeight="1">
      <c r="A3508" s="6" t="s">
        <v>1035</v>
      </c>
      <c r="B3508">
        <v>239</v>
      </c>
      <c r="C3508">
        <v>61</v>
      </c>
      <c r="D3508">
        <v>583530</v>
      </c>
      <c r="E3508">
        <v>462937</v>
      </c>
      <c r="F3508">
        <v>10.9</v>
      </c>
      <c r="G3508">
        <v>3.1</v>
      </c>
      <c r="H3508">
        <v>19.2</v>
      </c>
      <c r="I3508">
        <v>20</v>
      </c>
    </row>
    <row r="3509" spans="1:9" ht="24" customHeight="1">
      <c r="A3509" s="6" t="s">
        <v>1036</v>
      </c>
      <c r="B3509">
        <v>515</v>
      </c>
      <c r="C3509">
        <v>0</v>
      </c>
      <c r="D3509">
        <v>510428</v>
      </c>
      <c r="E3509"/>
      <c r="F3509">
        <v>17.600000000000001</v>
      </c>
      <c r="G3509"/>
      <c r="H3509">
        <v>19.100000000000001</v>
      </c>
      <c r="I3509"/>
    </row>
    <row r="3510" spans="1:9" ht="24" customHeight="1">
      <c r="A3510" s="6" t="s">
        <v>1037</v>
      </c>
      <c r="B3510">
        <v>524</v>
      </c>
      <c r="C3510">
        <v>39</v>
      </c>
      <c r="D3510">
        <v>950940</v>
      </c>
      <c r="E3510">
        <v>905230</v>
      </c>
      <c r="F3510">
        <v>2.1</v>
      </c>
      <c r="G3510">
        <v>0.9</v>
      </c>
      <c r="H3510">
        <v>19.3</v>
      </c>
      <c r="I3510">
        <v>13.7</v>
      </c>
    </row>
    <row r="3511" spans="1:9" ht="24" customHeight="1">
      <c r="A3511" s="6" t="s">
        <v>1038</v>
      </c>
      <c r="B3511">
        <v>6320</v>
      </c>
      <c r="C3511">
        <v>1429</v>
      </c>
      <c r="D3511">
        <v>452608</v>
      </c>
      <c r="E3511">
        <v>401433</v>
      </c>
      <c r="F3511">
        <v>14.6</v>
      </c>
      <c r="G3511">
        <v>8.3000000000000007</v>
      </c>
      <c r="H3511">
        <v>11.6</v>
      </c>
      <c r="I3511">
        <v>9.4</v>
      </c>
    </row>
    <row r="3512" spans="1:9" ht="24" customHeight="1">
      <c r="A3512" s="6" t="s">
        <v>1039</v>
      </c>
      <c r="B3512">
        <v>107595</v>
      </c>
      <c r="C3512">
        <v>6232</v>
      </c>
      <c r="D3512">
        <v>740804</v>
      </c>
      <c r="E3512">
        <v>520732</v>
      </c>
      <c r="F3512">
        <v>4.7</v>
      </c>
      <c r="G3512">
        <v>2.9</v>
      </c>
      <c r="H3512">
        <v>24.2</v>
      </c>
      <c r="I3512">
        <v>19.8</v>
      </c>
    </row>
    <row r="3513" spans="1:9" ht="24" customHeight="1">
      <c r="A3513" s="6" t="s">
        <v>1040</v>
      </c>
      <c r="B3513">
        <v>157109</v>
      </c>
      <c r="C3513">
        <v>8175</v>
      </c>
      <c r="D3513">
        <v>690501</v>
      </c>
      <c r="E3513">
        <v>548915</v>
      </c>
      <c r="F3513">
        <v>6.8</v>
      </c>
      <c r="G3513">
        <v>4.9000000000000004</v>
      </c>
      <c r="H3513">
        <v>20</v>
      </c>
      <c r="I3513">
        <v>20.100000000000001</v>
      </c>
    </row>
    <row r="3514" spans="1:9" ht="24" customHeight="1">
      <c r="A3514" s="6" t="s">
        <v>1041</v>
      </c>
      <c r="B3514">
        <v>84159</v>
      </c>
      <c r="C3514">
        <v>19165</v>
      </c>
      <c r="D3514">
        <v>567212</v>
      </c>
      <c r="E3514">
        <v>452347</v>
      </c>
      <c r="F3514">
        <v>19.899999999999999</v>
      </c>
      <c r="G3514">
        <v>13</v>
      </c>
      <c r="H3514">
        <v>16.7</v>
      </c>
      <c r="I3514">
        <v>16.399999999999999</v>
      </c>
    </row>
    <row r="3515" spans="1:9" ht="24" customHeight="1">
      <c r="A3515" s="6" t="s">
        <v>1042</v>
      </c>
      <c r="B3515">
        <v>131806</v>
      </c>
      <c r="C3515">
        <v>3930</v>
      </c>
      <c r="D3515">
        <v>499548</v>
      </c>
      <c r="E3515">
        <v>370034</v>
      </c>
      <c r="F3515">
        <v>13.1</v>
      </c>
      <c r="G3515">
        <v>4.4000000000000004</v>
      </c>
      <c r="H3515">
        <v>15.6</v>
      </c>
      <c r="I3515">
        <v>11.4</v>
      </c>
    </row>
    <row r="3516" spans="1:9" ht="24" customHeight="1">
      <c r="A3516" s="6" t="s">
        <v>1043</v>
      </c>
      <c r="B3516">
        <v>66190</v>
      </c>
      <c r="C3516">
        <v>7244</v>
      </c>
      <c r="D3516">
        <v>628413</v>
      </c>
      <c r="E3516">
        <v>449919</v>
      </c>
      <c r="F3516">
        <v>12.7</v>
      </c>
      <c r="G3516">
        <v>11.1</v>
      </c>
      <c r="H3516">
        <v>18.7</v>
      </c>
      <c r="I3516">
        <v>15.9</v>
      </c>
    </row>
    <row r="3517" spans="1:9" ht="24" customHeight="1">
      <c r="A3517" s="6" t="s">
        <v>1044</v>
      </c>
      <c r="B3517">
        <v>831966</v>
      </c>
      <c r="C3517">
        <v>219881</v>
      </c>
      <c r="D3517">
        <v>429145</v>
      </c>
      <c r="E3517">
        <v>337159</v>
      </c>
      <c r="F3517">
        <v>16.100000000000001</v>
      </c>
      <c r="G3517">
        <v>8.6</v>
      </c>
      <c r="H3517">
        <v>10.199999999999999</v>
      </c>
      <c r="I3517">
        <v>9.1</v>
      </c>
    </row>
    <row r="3518" spans="1:9" ht="24" customHeight="1">
      <c r="A3518" s="6" t="s">
        <v>1045</v>
      </c>
      <c r="B3518">
        <v>193036</v>
      </c>
      <c r="C3518">
        <v>6924</v>
      </c>
      <c r="D3518">
        <v>801810</v>
      </c>
      <c r="E3518">
        <v>706192</v>
      </c>
      <c r="F3518">
        <v>2.2999999999999998</v>
      </c>
      <c r="G3518">
        <v>6.5</v>
      </c>
      <c r="H3518">
        <v>24.9</v>
      </c>
      <c r="I3518">
        <v>20.5</v>
      </c>
    </row>
    <row r="3519" spans="1:9" ht="24" customHeight="1">
      <c r="A3519" s="6" t="s">
        <v>1046</v>
      </c>
      <c r="B3519">
        <v>362124</v>
      </c>
      <c r="C3519">
        <v>24685</v>
      </c>
      <c r="D3519">
        <v>686269</v>
      </c>
      <c r="E3519">
        <v>582828</v>
      </c>
      <c r="F3519">
        <v>3.6</v>
      </c>
      <c r="G3519">
        <v>2.1</v>
      </c>
      <c r="H3519">
        <v>22.5</v>
      </c>
      <c r="I3519">
        <v>19.600000000000001</v>
      </c>
    </row>
    <row r="3520" spans="1:9" ht="24" customHeight="1">
      <c r="A3520" s="6" t="s">
        <v>1047</v>
      </c>
      <c r="B3520">
        <v>315556</v>
      </c>
      <c r="C3520">
        <v>44816</v>
      </c>
      <c r="D3520">
        <v>566126</v>
      </c>
      <c r="E3520">
        <v>457624</v>
      </c>
      <c r="F3520">
        <v>19.899999999999999</v>
      </c>
      <c r="G3520">
        <v>12.1</v>
      </c>
      <c r="H3520">
        <v>19.600000000000001</v>
      </c>
      <c r="I3520">
        <v>18.899999999999999</v>
      </c>
    </row>
    <row r="3521" spans="1:9" ht="24" customHeight="1">
      <c r="A3521" s="6" t="s">
        <v>1048</v>
      </c>
      <c r="B3521">
        <v>286336</v>
      </c>
      <c r="C3521">
        <v>36433</v>
      </c>
      <c r="D3521">
        <v>527396</v>
      </c>
      <c r="E3521">
        <v>363663</v>
      </c>
      <c r="F3521">
        <v>22.4</v>
      </c>
      <c r="G3521">
        <v>13.6</v>
      </c>
      <c r="H3521">
        <v>18.8</v>
      </c>
      <c r="I3521">
        <v>15</v>
      </c>
    </row>
    <row r="3522" spans="1:9" ht="24" customHeight="1">
      <c r="A3522" s="6" t="s">
        <v>1049</v>
      </c>
      <c r="B3522">
        <v>209218</v>
      </c>
      <c r="C3522">
        <v>29961</v>
      </c>
      <c r="D3522">
        <v>643164</v>
      </c>
      <c r="E3522">
        <v>456519</v>
      </c>
      <c r="F3522">
        <v>10.7</v>
      </c>
      <c r="G3522">
        <v>9.6</v>
      </c>
      <c r="H3522">
        <v>21.1</v>
      </c>
      <c r="I3522">
        <v>18.5</v>
      </c>
    </row>
    <row r="3523" spans="1:9" ht="24" customHeight="1">
      <c r="A3523" s="6" t="s">
        <v>1050</v>
      </c>
      <c r="B3523">
        <v>2817720</v>
      </c>
      <c r="C3523">
        <v>1048129</v>
      </c>
      <c r="D3523">
        <v>431114</v>
      </c>
      <c r="E3523">
        <v>317564</v>
      </c>
      <c r="F3523">
        <v>16.7</v>
      </c>
      <c r="G3523">
        <v>8.9</v>
      </c>
      <c r="H3523">
        <v>12.9</v>
      </c>
      <c r="I3523">
        <v>11.3</v>
      </c>
    </row>
    <row r="3524" spans="1:9" ht="24" customHeight="1">
      <c r="A3524" s="6" t="s">
        <v>1051</v>
      </c>
      <c r="B3524">
        <v>1829</v>
      </c>
      <c r="C3524">
        <v>64</v>
      </c>
      <c r="D3524">
        <v>1027355</v>
      </c>
      <c r="E3524">
        <v>995558</v>
      </c>
      <c r="F3524">
        <v>1.1000000000000001</v>
      </c>
      <c r="G3524">
        <v>0</v>
      </c>
      <c r="H3524">
        <v>26.9</v>
      </c>
      <c r="I3524">
        <v>14.7</v>
      </c>
    </row>
    <row r="3525" spans="1:9" ht="24" customHeight="1">
      <c r="A3525" s="6" t="s">
        <v>1052</v>
      </c>
      <c r="B3525">
        <v>8836</v>
      </c>
      <c r="C3525">
        <v>460</v>
      </c>
      <c r="D3525">
        <v>816735</v>
      </c>
      <c r="E3525">
        <v>764912</v>
      </c>
      <c r="F3525">
        <v>3.7</v>
      </c>
      <c r="G3525">
        <v>5.8</v>
      </c>
      <c r="H3525">
        <v>28.3</v>
      </c>
      <c r="I3525">
        <v>22.9</v>
      </c>
    </row>
    <row r="3526" spans="1:9" ht="24" customHeight="1">
      <c r="A3526" s="6" t="s">
        <v>1053</v>
      </c>
      <c r="B3526">
        <v>13546</v>
      </c>
      <c r="C3526">
        <v>1017</v>
      </c>
      <c r="D3526">
        <v>777363</v>
      </c>
      <c r="E3526">
        <v>683177</v>
      </c>
      <c r="F3526">
        <v>18.7</v>
      </c>
      <c r="G3526">
        <v>15</v>
      </c>
      <c r="H3526">
        <v>26</v>
      </c>
      <c r="I3526">
        <v>24.3</v>
      </c>
    </row>
    <row r="3527" spans="1:9" ht="24" customHeight="1">
      <c r="A3527" s="6" t="s">
        <v>1054</v>
      </c>
      <c r="B3527">
        <v>9135</v>
      </c>
      <c r="C3527">
        <v>525</v>
      </c>
      <c r="D3527">
        <v>785640</v>
      </c>
      <c r="E3527">
        <v>664275</v>
      </c>
      <c r="F3527">
        <v>11.8</v>
      </c>
      <c r="G3527">
        <v>12.2</v>
      </c>
      <c r="H3527">
        <v>25.5</v>
      </c>
      <c r="I3527">
        <v>23.7</v>
      </c>
    </row>
    <row r="3528" spans="1:9" ht="24" customHeight="1">
      <c r="A3528" s="6" t="s">
        <v>1055</v>
      </c>
      <c r="B3528">
        <v>77676</v>
      </c>
      <c r="C3528">
        <v>15464</v>
      </c>
      <c r="D3528">
        <v>542228</v>
      </c>
      <c r="E3528">
        <v>473295</v>
      </c>
      <c r="F3528">
        <v>17.5</v>
      </c>
      <c r="G3528">
        <v>12.5</v>
      </c>
      <c r="H3528">
        <v>16.399999999999999</v>
      </c>
      <c r="I3528">
        <v>16.100000000000001</v>
      </c>
    </row>
    <row r="3529" spans="1:9" ht="24" customHeight="1">
      <c r="A3529" s="6" t="s">
        <v>1056</v>
      </c>
      <c r="B3529">
        <v>70566</v>
      </c>
      <c r="C3529">
        <v>6065</v>
      </c>
      <c r="D3529">
        <v>875166</v>
      </c>
      <c r="E3529">
        <v>877373</v>
      </c>
      <c r="F3529">
        <v>0.8</v>
      </c>
      <c r="G3529">
        <v>2.2000000000000002</v>
      </c>
      <c r="H3529">
        <v>19.7</v>
      </c>
      <c r="I3529">
        <v>15.6</v>
      </c>
    </row>
    <row r="3530" spans="1:9" ht="24" customHeight="1">
      <c r="A3530" s="6" t="s">
        <v>1057</v>
      </c>
      <c r="B3530">
        <v>115186</v>
      </c>
      <c r="C3530">
        <v>19792</v>
      </c>
      <c r="D3530">
        <v>710392</v>
      </c>
      <c r="E3530">
        <v>677090</v>
      </c>
      <c r="F3530">
        <v>3.3</v>
      </c>
      <c r="G3530">
        <v>4.0999999999999996</v>
      </c>
      <c r="H3530">
        <v>19.600000000000001</v>
      </c>
      <c r="I3530">
        <v>20.100000000000001</v>
      </c>
    </row>
    <row r="3531" spans="1:9" ht="24" customHeight="1">
      <c r="A3531" s="6" t="s">
        <v>1058</v>
      </c>
      <c r="B3531">
        <v>85366</v>
      </c>
      <c r="C3531">
        <v>27238</v>
      </c>
      <c r="D3531">
        <v>571064</v>
      </c>
      <c r="E3531">
        <v>500146</v>
      </c>
      <c r="F3531">
        <v>16.3</v>
      </c>
      <c r="G3531">
        <v>10.5</v>
      </c>
      <c r="H3531">
        <v>15.6</v>
      </c>
      <c r="I3531">
        <v>13.5</v>
      </c>
    </row>
    <row r="3532" spans="1:9" ht="24" customHeight="1">
      <c r="A3532" s="6" t="s">
        <v>1059</v>
      </c>
      <c r="B3532">
        <v>49850</v>
      </c>
      <c r="C3532">
        <v>12892</v>
      </c>
      <c r="D3532">
        <v>661823</v>
      </c>
      <c r="E3532">
        <v>539242</v>
      </c>
      <c r="F3532">
        <v>10.4</v>
      </c>
      <c r="G3532">
        <v>7.1</v>
      </c>
      <c r="H3532">
        <v>18.5</v>
      </c>
      <c r="I3532">
        <v>18.100000000000001</v>
      </c>
    </row>
    <row r="3533" spans="1:9" ht="24" customHeight="1">
      <c r="A3533" s="6" t="s">
        <v>1060</v>
      </c>
      <c r="B3533">
        <v>617937</v>
      </c>
      <c r="C3533">
        <v>309943</v>
      </c>
      <c r="D3533">
        <v>475938</v>
      </c>
      <c r="E3533">
        <v>390061</v>
      </c>
      <c r="F3533">
        <v>12.7</v>
      </c>
      <c r="G3533">
        <v>9.8000000000000007</v>
      </c>
      <c r="H3533">
        <v>10.1</v>
      </c>
      <c r="I3533">
        <v>7.5</v>
      </c>
    </row>
    <row r="3534" spans="1:9" ht="24" customHeight="1">
      <c r="A3534" s="6" t="s">
        <v>1061</v>
      </c>
      <c r="B3534">
        <v>34682</v>
      </c>
      <c r="C3534">
        <v>2082</v>
      </c>
      <c r="D3534">
        <v>673607</v>
      </c>
      <c r="E3534">
        <v>495506</v>
      </c>
      <c r="F3534">
        <v>4.2</v>
      </c>
      <c r="G3534">
        <v>9.5</v>
      </c>
      <c r="H3534">
        <v>21.6</v>
      </c>
      <c r="I3534">
        <v>17.3</v>
      </c>
    </row>
    <row r="3535" spans="1:9" ht="24" customHeight="1">
      <c r="A3535" s="6" t="s">
        <v>1062</v>
      </c>
      <c r="B3535">
        <v>81654</v>
      </c>
      <c r="C3535">
        <v>5965</v>
      </c>
      <c r="D3535">
        <v>605791</v>
      </c>
      <c r="E3535">
        <v>566376</v>
      </c>
      <c r="F3535">
        <v>6.3</v>
      </c>
      <c r="G3535">
        <v>5.7</v>
      </c>
      <c r="H3535">
        <v>21.9</v>
      </c>
      <c r="I3535">
        <v>22.9</v>
      </c>
    </row>
    <row r="3536" spans="1:9" ht="24" customHeight="1">
      <c r="A3536" s="6" t="s">
        <v>1063</v>
      </c>
      <c r="B3536">
        <v>65894</v>
      </c>
      <c r="C3536">
        <v>10967</v>
      </c>
      <c r="D3536">
        <v>528171</v>
      </c>
      <c r="E3536">
        <v>454769</v>
      </c>
      <c r="F3536">
        <v>26.7</v>
      </c>
      <c r="G3536">
        <v>15.8</v>
      </c>
      <c r="H3536">
        <v>18.5</v>
      </c>
      <c r="I3536">
        <v>17.100000000000001</v>
      </c>
    </row>
    <row r="3537" spans="1:9" ht="24" customHeight="1">
      <c r="A3537" s="6" t="s">
        <v>1064</v>
      </c>
      <c r="B3537">
        <v>73619</v>
      </c>
      <c r="C3537">
        <v>12225</v>
      </c>
      <c r="D3537">
        <v>529987</v>
      </c>
      <c r="E3537">
        <v>419252</v>
      </c>
      <c r="F3537">
        <v>18.7</v>
      </c>
      <c r="G3537">
        <v>12.8</v>
      </c>
      <c r="H3537">
        <v>18.8</v>
      </c>
      <c r="I3537">
        <v>15.4</v>
      </c>
    </row>
    <row r="3538" spans="1:9" ht="24" customHeight="1">
      <c r="A3538" s="6" t="s">
        <v>1065</v>
      </c>
      <c r="B3538">
        <v>1418269</v>
      </c>
      <c r="C3538">
        <v>229897</v>
      </c>
      <c r="D3538">
        <v>406532</v>
      </c>
      <c r="E3538">
        <v>322595</v>
      </c>
      <c r="F3538">
        <v>30</v>
      </c>
      <c r="G3538">
        <v>14.2</v>
      </c>
      <c r="H3538">
        <v>11.9</v>
      </c>
      <c r="I3538">
        <v>9</v>
      </c>
    </row>
    <row r="3539" spans="1:9" ht="24" customHeight="1">
      <c r="A3539" s="6" t="s">
        <v>1066</v>
      </c>
      <c r="B3539">
        <v>173961</v>
      </c>
      <c r="C3539">
        <v>16131</v>
      </c>
      <c r="D3539">
        <v>748845</v>
      </c>
      <c r="E3539">
        <v>660338</v>
      </c>
      <c r="F3539">
        <v>1.6</v>
      </c>
      <c r="G3539">
        <v>0.7</v>
      </c>
      <c r="H3539">
        <v>23.6</v>
      </c>
      <c r="I3539">
        <v>18.100000000000001</v>
      </c>
    </row>
    <row r="3540" spans="1:9" ht="24" customHeight="1">
      <c r="A3540" s="6" t="s">
        <v>1067</v>
      </c>
      <c r="B3540">
        <v>368086</v>
      </c>
      <c r="C3540">
        <v>39122</v>
      </c>
      <c r="D3540">
        <v>647991</v>
      </c>
      <c r="E3540">
        <v>589332</v>
      </c>
      <c r="F3540">
        <v>2.4</v>
      </c>
      <c r="G3540">
        <v>2.7</v>
      </c>
      <c r="H3540">
        <v>21</v>
      </c>
      <c r="I3540">
        <v>18.399999999999999</v>
      </c>
    </row>
    <row r="3541" spans="1:9" ht="24" customHeight="1">
      <c r="A3541" s="6" t="s">
        <v>1068</v>
      </c>
      <c r="B3541">
        <v>289804</v>
      </c>
      <c r="C3541">
        <v>91567</v>
      </c>
      <c r="D3541">
        <v>515217</v>
      </c>
      <c r="E3541">
        <v>418406</v>
      </c>
      <c r="F3541">
        <v>15.9</v>
      </c>
      <c r="G3541">
        <v>10.5</v>
      </c>
      <c r="H3541">
        <v>17.5</v>
      </c>
      <c r="I3541">
        <v>16</v>
      </c>
    </row>
    <row r="3542" spans="1:9" ht="24" customHeight="1">
      <c r="A3542" s="6" t="s">
        <v>1069</v>
      </c>
      <c r="B3542">
        <v>343530</v>
      </c>
      <c r="C3542">
        <v>79190</v>
      </c>
      <c r="D3542">
        <v>534102</v>
      </c>
      <c r="E3542">
        <v>422264</v>
      </c>
      <c r="F3542">
        <v>10.4</v>
      </c>
      <c r="G3542">
        <v>10.8</v>
      </c>
      <c r="H3542">
        <v>16.8</v>
      </c>
      <c r="I3542">
        <v>15</v>
      </c>
    </row>
    <row r="3543" spans="1:9" ht="24" customHeight="1">
      <c r="A3543" s="6" t="s">
        <v>1070</v>
      </c>
      <c r="B3543">
        <v>1789401</v>
      </c>
      <c r="C3543">
        <v>1085215</v>
      </c>
      <c r="D3543">
        <v>419433</v>
      </c>
      <c r="E3543">
        <v>333466</v>
      </c>
      <c r="F3543">
        <v>12.9</v>
      </c>
      <c r="G3543">
        <v>7.7</v>
      </c>
      <c r="H3543">
        <v>10.6</v>
      </c>
      <c r="I3543">
        <v>8.8000000000000007</v>
      </c>
    </row>
    <row r="3544" spans="1:9" ht="24" customHeight="1">
      <c r="A3544" s="6" t="s">
        <v>1071</v>
      </c>
      <c r="B3544">
        <v>33319</v>
      </c>
      <c r="C3544">
        <v>2500</v>
      </c>
      <c r="D3544">
        <v>1172220</v>
      </c>
      <c r="E3544">
        <v>1054015</v>
      </c>
      <c r="F3544">
        <v>0.9</v>
      </c>
      <c r="G3544">
        <v>1.2</v>
      </c>
      <c r="H3544">
        <v>23.9</v>
      </c>
      <c r="I3544">
        <v>22</v>
      </c>
    </row>
    <row r="3545" spans="1:9" ht="24" customHeight="1">
      <c r="A3545" s="6" t="s">
        <v>1072</v>
      </c>
      <c r="B3545">
        <v>67505</v>
      </c>
      <c r="C3545">
        <v>15167</v>
      </c>
      <c r="D3545">
        <v>959195</v>
      </c>
      <c r="E3545">
        <v>769809</v>
      </c>
      <c r="F3545">
        <v>6.1</v>
      </c>
      <c r="G3545">
        <v>10</v>
      </c>
      <c r="H3545">
        <v>21.2</v>
      </c>
      <c r="I3545">
        <v>22.2</v>
      </c>
    </row>
    <row r="3546" spans="1:9" ht="24" customHeight="1">
      <c r="A3546" s="6" t="s">
        <v>1073</v>
      </c>
      <c r="B3546">
        <v>27719</v>
      </c>
      <c r="C3546">
        <v>24071</v>
      </c>
      <c r="D3546">
        <v>633458</v>
      </c>
      <c r="E3546">
        <v>532636</v>
      </c>
      <c r="F3546">
        <v>18.8</v>
      </c>
      <c r="G3546">
        <v>12</v>
      </c>
      <c r="H3546">
        <v>15.5</v>
      </c>
      <c r="I3546">
        <v>18.8</v>
      </c>
    </row>
    <row r="3547" spans="1:9" ht="24" customHeight="1">
      <c r="A3547" s="6" t="s">
        <v>1074</v>
      </c>
      <c r="B3547">
        <v>101646</v>
      </c>
      <c r="C3547">
        <v>54491</v>
      </c>
      <c r="D3547">
        <v>776110</v>
      </c>
      <c r="E3547">
        <v>612969</v>
      </c>
      <c r="F3547">
        <v>14</v>
      </c>
      <c r="G3547">
        <v>18.5</v>
      </c>
      <c r="H3547">
        <v>19.899999999999999</v>
      </c>
      <c r="I3547">
        <v>18.8</v>
      </c>
    </row>
    <row r="3548" spans="1:9" ht="24" customHeight="1">
      <c r="A3548" s="6" t="s">
        <v>1075</v>
      </c>
      <c r="B3548">
        <v>199120</v>
      </c>
      <c r="C3548">
        <v>452135</v>
      </c>
      <c r="D3548">
        <v>576606</v>
      </c>
      <c r="E3548">
        <v>367874</v>
      </c>
      <c r="F3548">
        <v>15.8</v>
      </c>
      <c r="G3548">
        <v>7.5</v>
      </c>
      <c r="H3548">
        <v>10</v>
      </c>
      <c r="I3548">
        <v>10.9</v>
      </c>
    </row>
    <row r="3549" spans="1:9" ht="24" customHeight="1">
      <c r="A3549" s="6" t="s">
        <v>1076</v>
      </c>
      <c r="B3549">
        <v>26403</v>
      </c>
      <c r="C3549">
        <v>2660</v>
      </c>
      <c r="D3549">
        <v>892652</v>
      </c>
      <c r="E3549">
        <v>799865</v>
      </c>
      <c r="F3549">
        <v>1.1000000000000001</v>
      </c>
      <c r="G3549">
        <v>1.3</v>
      </c>
      <c r="H3549">
        <v>18.100000000000001</v>
      </c>
      <c r="I3549">
        <v>13.3</v>
      </c>
    </row>
    <row r="3550" spans="1:9" ht="24" customHeight="1">
      <c r="A3550" s="6" t="s">
        <v>1077</v>
      </c>
      <c r="B3550">
        <v>37044</v>
      </c>
      <c r="C3550">
        <v>6777</v>
      </c>
      <c r="D3550">
        <v>745923</v>
      </c>
      <c r="E3550">
        <v>623847</v>
      </c>
      <c r="F3550">
        <v>2.7</v>
      </c>
      <c r="G3550">
        <v>3.2</v>
      </c>
      <c r="H3550">
        <v>17.2</v>
      </c>
      <c r="I3550">
        <v>17.5</v>
      </c>
    </row>
    <row r="3551" spans="1:9" ht="24" customHeight="1">
      <c r="A3551" s="6" t="s">
        <v>1078</v>
      </c>
      <c r="B3551">
        <v>20791</v>
      </c>
      <c r="C3551">
        <v>8779</v>
      </c>
      <c r="D3551">
        <v>586888</v>
      </c>
      <c r="E3551">
        <v>516777</v>
      </c>
      <c r="F3551">
        <v>10.9</v>
      </c>
      <c r="G3551">
        <v>7.6</v>
      </c>
      <c r="H3551">
        <v>13.8</v>
      </c>
      <c r="I3551">
        <v>14.2</v>
      </c>
    </row>
    <row r="3552" spans="1:9" ht="24" customHeight="1">
      <c r="A3552" s="6" t="s">
        <v>1079</v>
      </c>
      <c r="B3552">
        <v>28929</v>
      </c>
      <c r="C3552">
        <v>8462</v>
      </c>
      <c r="D3552">
        <v>664028</v>
      </c>
      <c r="E3552">
        <v>484715</v>
      </c>
      <c r="F3552">
        <v>9.8000000000000007</v>
      </c>
      <c r="G3552">
        <v>9.9</v>
      </c>
      <c r="H3552">
        <v>15.5</v>
      </c>
      <c r="I3552">
        <v>13.7</v>
      </c>
    </row>
    <row r="3553" spans="1:9" ht="24" customHeight="1">
      <c r="A3553" s="6" t="s">
        <v>1080</v>
      </c>
      <c r="B3553">
        <v>176506</v>
      </c>
      <c r="C3553">
        <v>133289</v>
      </c>
      <c r="D3553">
        <v>452891</v>
      </c>
      <c r="E3553">
        <v>362907</v>
      </c>
      <c r="F3553">
        <v>14.8</v>
      </c>
      <c r="G3553">
        <v>8.6999999999999993</v>
      </c>
      <c r="H3553">
        <v>7.7</v>
      </c>
      <c r="I3553">
        <v>7.5</v>
      </c>
    </row>
    <row r="3554" spans="1:9" ht="24" customHeight="1">
      <c r="A3554" s="6" t="s">
        <v>1081</v>
      </c>
      <c r="B3554">
        <v>61155</v>
      </c>
      <c r="C3554">
        <v>5240</v>
      </c>
      <c r="D3554">
        <v>885700</v>
      </c>
      <c r="E3554">
        <v>711261</v>
      </c>
      <c r="F3554">
        <v>3.1</v>
      </c>
      <c r="G3554">
        <v>3.7</v>
      </c>
      <c r="H3554">
        <v>21.1</v>
      </c>
      <c r="I3554">
        <v>17.899999999999999</v>
      </c>
    </row>
    <row r="3555" spans="1:9" ht="24" customHeight="1">
      <c r="A3555" s="6" t="s">
        <v>1082</v>
      </c>
      <c r="B3555">
        <v>96317</v>
      </c>
      <c r="C3555">
        <v>13832</v>
      </c>
      <c r="D3555">
        <v>794758</v>
      </c>
      <c r="E3555">
        <v>619945</v>
      </c>
      <c r="F3555">
        <v>6.3</v>
      </c>
      <c r="G3555">
        <v>6.2</v>
      </c>
      <c r="H3555">
        <v>19.2</v>
      </c>
      <c r="I3555">
        <v>16</v>
      </c>
    </row>
    <row r="3556" spans="1:9" ht="24" customHeight="1">
      <c r="A3556" s="6" t="s">
        <v>1083</v>
      </c>
      <c r="B3556">
        <v>54304</v>
      </c>
      <c r="C3556">
        <v>17556</v>
      </c>
      <c r="D3556">
        <v>628446</v>
      </c>
      <c r="E3556">
        <v>532631</v>
      </c>
      <c r="F3556">
        <v>15.4</v>
      </c>
      <c r="G3556">
        <v>10.9</v>
      </c>
      <c r="H3556">
        <v>15</v>
      </c>
      <c r="I3556">
        <v>15.2</v>
      </c>
    </row>
    <row r="3557" spans="1:9" ht="24" customHeight="1">
      <c r="A3557" s="6" t="s">
        <v>1084</v>
      </c>
      <c r="B3557">
        <v>70830</v>
      </c>
      <c r="C3557">
        <v>19208</v>
      </c>
      <c r="D3557">
        <v>748619</v>
      </c>
      <c r="E3557">
        <v>549247</v>
      </c>
      <c r="F3557">
        <v>11.2</v>
      </c>
      <c r="G3557">
        <v>11.8</v>
      </c>
      <c r="H3557">
        <v>15.3</v>
      </c>
      <c r="I3557">
        <v>11.9</v>
      </c>
    </row>
    <row r="3558" spans="1:9" ht="24" customHeight="1">
      <c r="A3558" s="6" t="s">
        <v>1085</v>
      </c>
      <c r="B3558">
        <v>488532</v>
      </c>
      <c r="C3558">
        <v>261663</v>
      </c>
      <c r="D3558">
        <v>509426</v>
      </c>
      <c r="E3558">
        <v>388192</v>
      </c>
      <c r="F3558">
        <v>15.2</v>
      </c>
      <c r="G3558">
        <v>9.8000000000000007</v>
      </c>
      <c r="H3558">
        <v>9.6</v>
      </c>
      <c r="I3558">
        <v>7.4</v>
      </c>
    </row>
    <row r="3559" spans="1:9" ht="24" customHeight="1">
      <c r="A3559" s="6" t="s">
        <v>1086</v>
      </c>
      <c r="B3559">
        <v>16454</v>
      </c>
      <c r="C3559">
        <v>2246</v>
      </c>
      <c r="D3559">
        <v>524466</v>
      </c>
      <c r="E3559">
        <v>417943</v>
      </c>
      <c r="F3559">
        <v>5.4</v>
      </c>
      <c r="G3559">
        <v>3.7</v>
      </c>
      <c r="H3559">
        <v>17.2</v>
      </c>
      <c r="I3559">
        <v>14.8</v>
      </c>
    </row>
    <row r="3560" spans="1:9" ht="24" customHeight="1">
      <c r="A3560" s="6" t="s">
        <v>1087</v>
      </c>
      <c r="B3560">
        <v>28822</v>
      </c>
      <c r="C3560">
        <v>6458</v>
      </c>
      <c r="D3560">
        <v>469295</v>
      </c>
      <c r="E3560">
        <v>387113</v>
      </c>
      <c r="F3560">
        <v>7.1</v>
      </c>
      <c r="G3560">
        <v>4.9000000000000004</v>
      </c>
      <c r="H3560">
        <v>16</v>
      </c>
      <c r="I3560">
        <v>15.3</v>
      </c>
    </row>
    <row r="3561" spans="1:9" ht="24" customHeight="1">
      <c r="A3561" s="6" t="s">
        <v>1088</v>
      </c>
      <c r="B3561">
        <v>23131</v>
      </c>
      <c r="C3561">
        <v>9403</v>
      </c>
      <c r="D3561">
        <v>416948</v>
      </c>
      <c r="E3561">
        <v>376653</v>
      </c>
      <c r="F3561">
        <v>16.5</v>
      </c>
      <c r="G3561">
        <v>11.6</v>
      </c>
      <c r="H3561">
        <v>14.1</v>
      </c>
      <c r="I3561">
        <v>13.5</v>
      </c>
    </row>
    <row r="3562" spans="1:9" ht="24" customHeight="1">
      <c r="A3562" s="6" t="s">
        <v>1089</v>
      </c>
      <c r="B3562">
        <v>62603</v>
      </c>
      <c r="C3562">
        <v>17186</v>
      </c>
      <c r="D3562">
        <v>436304</v>
      </c>
      <c r="E3562">
        <v>377412</v>
      </c>
      <c r="F3562">
        <v>14.6</v>
      </c>
      <c r="G3562">
        <v>15</v>
      </c>
      <c r="H3562">
        <v>13.3</v>
      </c>
      <c r="I3562">
        <v>11.6</v>
      </c>
    </row>
    <row r="3563" spans="1:9" ht="24" customHeight="1">
      <c r="A3563" s="6" t="s">
        <v>1090</v>
      </c>
      <c r="B3563">
        <v>219383</v>
      </c>
      <c r="C3563">
        <v>171528</v>
      </c>
      <c r="D3563">
        <v>335196</v>
      </c>
      <c r="E3563">
        <v>277410</v>
      </c>
      <c r="F3563">
        <v>16.5</v>
      </c>
      <c r="G3563">
        <v>11.7</v>
      </c>
      <c r="H3563">
        <v>9.1999999999999993</v>
      </c>
      <c r="I3563">
        <v>7.4</v>
      </c>
    </row>
    <row r="3564" spans="1:9" ht="24" customHeight="1">
      <c r="A3564" s="6" t="s">
        <v>1091</v>
      </c>
      <c r="B3564">
        <v>14608</v>
      </c>
      <c r="C3564">
        <v>1909</v>
      </c>
      <c r="D3564">
        <v>646345</v>
      </c>
      <c r="E3564">
        <v>565231</v>
      </c>
      <c r="F3564">
        <v>2.1</v>
      </c>
      <c r="G3564">
        <v>1.5</v>
      </c>
      <c r="H3564">
        <v>20.2</v>
      </c>
      <c r="I3564">
        <v>17.7</v>
      </c>
    </row>
    <row r="3565" spans="1:9" ht="24" customHeight="1">
      <c r="A3565" s="6" t="s">
        <v>1092</v>
      </c>
      <c r="B3565">
        <v>26325</v>
      </c>
      <c r="C3565">
        <v>5996</v>
      </c>
      <c r="D3565">
        <v>555834</v>
      </c>
      <c r="E3565">
        <v>490053</v>
      </c>
      <c r="F3565">
        <v>4.7</v>
      </c>
      <c r="G3565">
        <v>6.1</v>
      </c>
      <c r="H3565">
        <v>18.100000000000001</v>
      </c>
      <c r="I3565">
        <v>16.8</v>
      </c>
    </row>
    <row r="3566" spans="1:9" ht="24" customHeight="1">
      <c r="A3566" s="6" t="s">
        <v>1093</v>
      </c>
      <c r="B3566">
        <v>24687</v>
      </c>
      <c r="C3566">
        <v>7705</v>
      </c>
      <c r="D3566">
        <v>469722</v>
      </c>
      <c r="E3566">
        <v>418127</v>
      </c>
      <c r="F3566">
        <v>12.4</v>
      </c>
      <c r="G3566">
        <v>11</v>
      </c>
      <c r="H3566">
        <v>15.2</v>
      </c>
      <c r="I3566">
        <v>15.2</v>
      </c>
    </row>
    <row r="3567" spans="1:9" ht="24" customHeight="1">
      <c r="A3567" s="6" t="s">
        <v>1094</v>
      </c>
      <c r="B3567">
        <v>33326</v>
      </c>
      <c r="C3567">
        <v>9382</v>
      </c>
      <c r="D3567">
        <v>459980</v>
      </c>
      <c r="E3567">
        <v>362928</v>
      </c>
      <c r="F3567">
        <v>7.1</v>
      </c>
      <c r="G3567">
        <v>8.6999999999999993</v>
      </c>
      <c r="H3567">
        <v>14.8</v>
      </c>
      <c r="I3567">
        <v>12.7</v>
      </c>
    </row>
    <row r="3568" spans="1:9" ht="24" customHeight="1">
      <c r="A3568" s="6" t="s">
        <v>1095</v>
      </c>
      <c r="B3568">
        <v>161332</v>
      </c>
      <c r="C3568">
        <v>154596</v>
      </c>
      <c r="D3568">
        <v>357313</v>
      </c>
      <c r="E3568">
        <v>287523</v>
      </c>
      <c r="F3568">
        <v>11</v>
      </c>
      <c r="G3568">
        <v>7.2</v>
      </c>
      <c r="H3568">
        <v>10.3</v>
      </c>
      <c r="I3568">
        <v>8.1999999999999993</v>
      </c>
    </row>
    <row r="3569" spans="1:9" ht="24" customHeight="1">
      <c r="A3569" s="6" t="s">
        <v>1096</v>
      </c>
      <c r="B3569">
        <v>14032</v>
      </c>
      <c r="C3569">
        <v>4444</v>
      </c>
      <c r="D3569">
        <v>716273</v>
      </c>
      <c r="E3569">
        <v>572058</v>
      </c>
      <c r="F3569">
        <v>2.8</v>
      </c>
      <c r="G3569">
        <v>1.8</v>
      </c>
      <c r="H3569">
        <v>21.5</v>
      </c>
      <c r="I3569">
        <v>21.7</v>
      </c>
    </row>
    <row r="3570" spans="1:9" ht="24" customHeight="1">
      <c r="A3570" s="6" t="s">
        <v>1097</v>
      </c>
      <c r="B3570">
        <v>22035</v>
      </c>
      <c r="C3570">
        <v>9867</v>
      </c>
      <c r="D3570">
        <v>634187</v>
      </c>
      <c r="E3570">
        <v>590038</v>
      </c>
      <c r="F3570">
        <v>5.2</v>
      </c>
      <c r="G3570">
        <v>3.1</v>
      </c>
      <c r="H3570">
        <v>20.100000000000001</v>
      </c>
      <c r="I3570">
        <v>21.5</v>
      </c>
    </row>
    <row r="3571" spans="1:9" ht="24" customHeight="1">
      <c r="A3571" s="6" t="s">
        <v>1098</v>
      </c>
      <c r="B3571">
        <v>20673</v>
      </c>
      <c r="C3571">
        <v>13829</v>
      </c>
      <c r="D3571">
        <v>564091</v>
      </c>
      <c r="E3571">
        <v>493883</v>
      </c>
      <c r="F3571">
        <v>16.7</v>
      </c>
      <c r="G3571">
        <v>10.4</v>
      </c>
      <c r="H3571">
        <v>16.8</v>
      </c>
      <c r="I3571">
        <v>17</v>
      </c>
    </row>
    <row r="3572" spans="1:9" ht="24" customHeight="1">
      <c r="A3572" s="6" t="s">
        <v>1099</v>
      </c>
      <c r="B3572">
        <v>29051</v>
      </c>
      <c r="C3572">
        <v>15971</v>
      </c>
      <c r="D3572">
        <v>655533</v>
      </c>
      <c r="E3572">
        <v>546589</v>
      </c>
      <c r="F3572">
        <v>5.4</v>
      </c>
      <c r="G3572">
        <v>6</v>
      </c>
      <c r="H3572">
        <v>18.399999999999999</v>
      </c>
      <c r="I3572">
        <v>19.600000000000001</v>
      </c>
    </row>
    <row r="3573" spans="1:9" ht="24" customHeight="1">
      <c r="A3573" s="6" t="s">
        <v>1100</v>
      </c>
      <c r="B3573">
        <v>226143</v>
      </c>
      <c r="C3573">
        <v>254157</v>
      </c>
      <c r="D3573">
        <v>601259</v>
      </c>
      <c r="E3573">
        <v>413494</v>
      </c>
      <c r="F3573">
        <v>6.6</v>
      </c>
      <c r="G3573">
        <v>4.7</v>
      </c>
      <c r="H3573">
        <v>12.8</v>
      </c>
      <c r="I3573">
        <v>9.3000000000000007</v>
      </c>
    </row>
    <row r="3574" spans="1:9" ht="24" customHeight="1">
      <c r="A3574" s="6" t="s">
        <v>1101</v>
      </c>
      <c r="B3574">
        <v>59701</v>
      </c>
      <c r="C3574">
        <v>31873</v>
      </c>
      <c r="D3574">
        <v>854689</v>
      </c>
      <c r="E3574">
        <v>595803</v>
      </c>
      <c r="F3574">
        <v>5.4</v>
      </c>
      <c r="G3574">
        <v>3.4</v>
      </c>
      <c r="H3574">
        <v>15.3</v>
      </c>
      <c r="I3574">
        <v>18.8</v>
      </c>
    </row>
    <row r="3575" spans="1:9" ht="24" customHeight="1">
      <c r="A3575" s="6" t="s">
        <v>1102</v>
      </c>
      <c r="B3575">
        <v>72121</v>
      </c>
      <c r="C3575">
        <v>84673</v>
      </c>
      <c r="D3575">
        <v>593032</v>
      </c>
      <c r="E3575">
        <v>504719</v>
      </c>
      <c r="F3575">
        <v>5.8</v>
      </c>
      <c r="G3575">
        <v>4.4000000000000004</v>
      </c>
      <c r="H3575">
        <v>17.5</v>
      </c>
      <c r="I3575">
        <v>17.7</v>
      </c>
    </row>
    <row r="3576" spans="1:9" ht="24" customHeight="1">
      <c r="A3576" s="6" t="s">
        <v>1103</v>
      </c>
      <c r="B3576">
        <v>77081</v>
      </c>
      <c r="C3576">
        <v>97725</v>
      </c>
      <c r="D3576">
        <v>510985</v>
      </c>
      <c r="E3576">
        <v>455937</v>
      </c>
      <c r="F3576">
        <v>10.199999999999999</v>
      </c>
      <c r="G3576">
        <v>7.7</v>
      </c>
      <c r="H3576">
        <v>14.2</v>
      </c>
      <c r="I3576">
        <v>15.1</v>
      </c>
    </row>
    <row r="3577" spans="1:9" ht="24" customHeight="1">
      <c r="A3577" s="6" t="s">
        <v>1104</v>
      </c>
      <c r="B3577">
        <v>114221</v>
      </c>
      <c r="C3577">
        <v>135149</v>
      </c>
      <c r="D3577">
        <v>633683</v>
      </c>
      <c r="E3577">
        <v>443648</v>
      </c>
      <c r="F3577">
        <v>8.4</v>
      </c>
      <c r="G3577">
        <v>7.1</v>
      </c>
      <c r="H3577">
        <v>14</v>
      </c>
      <c r="I3577">
        <v>14.8</v>
      </c>
    </row>
    <row r="3578" spans="1:9" ht="24" customHeight="1">
      <c r="A3578" s="6" t="s">
        <v>1105</v>
      </c>
      <c r="B3578">
        <v>885665</v>
      </c>
      <c r="C3578">
        <v>2381731</v>
      </c>
      <c r="D3578">
        <v>403723</v>
      </c>
      <c r="E3578">
        <v>345748</v>
      </c>
      <c r="F3578">
        <v>7.1</v>
      </c>
      <c r="G3578">
        <v>5.3</v>
      </c>
      <c r="H3578">
        <v>7.7</v>
      </c>
      <c r="I3578">
        <v>7.8</v>
      </c>
    </row>
    <row r="3579" spans="1:9" ht="24" customHeight="1">
      <c r="A3579" s="6" t="s">
        <v>1106</v>
      </c>
      <c r="B3579">
        <v>9537</v>
      </c>
      <c r="C3579">
        <v>599</v>
      </c>
      <c r="D3579">
        <v>706239</v>
      </c>
      <c r="E3579">
        <v>670886</v>
      </c>
      <c r="F3579">
        <v>0.8</v>
      </c>
      <c r="G3579">
        <v>0.8</v>
      </c>
      <c r="H3579">
        <v>31.7</v>
      </c>
      <c r="I3579">
        <v>27.2</v>
      </c>
    </row>
    <row r="3580" spans="1:9" ht="24" customHeight="1">
      <c r="A3580" s="6" t="s">
        <v>1107</v>
      </c>
      <c r="B3580">
        <v>19916</v>
      </c>
      <c r="C3580">
        <v>3279</v>
      </c>
      <c r="D3580">
        <v>607602</v>
      </c>
      <c r="E3580">
        <v>534611</v>
      </c>
      <c r="F3580">
        <v>8</v>
      </c>
      <c r="G3580">
        <v>3.4</v>
      </c>
      <c r="H3580">
        <v>26.5</v>
      </c>
      <c r="I3580">
        <v>28.1</v>
      </c>
    </row>
    <row r="3581" spans="1:9" ht="24" customHeight="1">
      <c r="A3581" s="6" t="s">
        <v>1108</v>
      </c>
      <c r="B3581">
        <v>13182</v>
      </c>
      <c r="C3581">
        <v>4671</v>
      </c>
      <c r="D3581">
        <v>549335</v>
      </c>
      <c r="E3581">
        <v>474161</v>
      </c>
      <c r="F3581">
        <v>12.6</v>
      </c>
      <c r="G3581">
        <v>6.7</v>
      </c>
      <c r="H3581">
        <v>20.9</v>
      </c>
      <c r="I3581">
        <v>22.7</v>
      </c>
    </row>
    <row r="3582" spans="1:9" ht="24" customHeight="1">
      <c r="A3582" s="6" t="s">
        <v>1109</v>
      </c>
      <c r="B3582">
        <v>23382</v>
      </c>
      <c r="C3582">
        <v>6849</v>
      </c>
      <c r="D3582">
        <v>553580</v>
      </c>
      <c r="E3582">
        <v>484084</v>
      </c>
      <c r="F3582">
        <v>11.1</v>
      </c>
      <c r="G3582">
        <v>6.6</v>
      </c>
      <c r="H3582">
        <v>22.8</v>
      </c>
      <c r="I3582">
        <v>20.9</v>
      </c>
    </row>
    <row r="3583" spans="1:9" ht="24" customHeight="1">
      <c r="A3583" s="6" t="s">
        <v>1110</v>
      </c>
      <c r="B3583">
        <v>65452</v>
      </c>
      <c r="C3583">
        <v>43123</v>
      </c>
      <c r="D3583">
        <v>406184</v>
      </c>
      <c r="E3583">
        <v>332564</v>
      </c>
      <c r="F3583">
        <v>11.9</v>
      </c>
      <c r="G3583">
        <v>5.7</v>
      </c>
      <c r="H3583">
        <v>13.2</v>
      </c>
      <c r="I3583">
        <v>10.7</v>
      </c>
    </row>
    <row r="3584" spans="1:9" ht="24" customHeight="1">
      <c r="A3584" s="6" t="s">
        <v>1111</v>
      </c>
      <c r="B3584">
        <v>55050</v>
      </c>
      <c r="C3584">
        <v>7049</v>
      </c>
      <c r="D3584">
        <v>721342</v>
      </c>
      <c r="E3584">
        <v>694177</v>
      </c>
      <c r="F3584">
        <v>1.6</v>
      </c>
      <c r="G3584">
        <v>1.9</v>
      </c>
      <c r="H3584">
        <v>19</v>
      </c>
      <c r="I3584">
        <v>22.5</v>
      </c>
    </row>
    <row r="3585" spans="1:9" ht="24" customHeight="1">
      <c r="A3585" s="6" t="s">
        <v>1112</v>
      </c>
      <c r="B3585">
        <v>98125</v>
      </c>
      <c r="C3585">
        <v>15513</v>
      </c>
      <c r="D3585">
        <v>624346</v>
      </c>
      <c r="E3585">
        <v>523292</v>
      </c>
      <c r="F3585">
        <v>4</v>
      </c>
      <c r="G3585">
        <v>2.1</v>
      </c>
      <c r="H3585">
        <v>18.899999999999999</v>
      </c>
      <c r="I3585">
        <v>17.899999999999999</v>
      </c>
    </row>
    <row r="3586" spans="1:9" ht="24" customHeight="1">
      <c r="A3586" s="6" t="s">
        <v>1113</v>
      </c>
      <c r="B3586">
        <v>74934</v>
      </c>
      <c r="C3586">
        <v>20905</v>
      </c>
      <c r="D3586">
        <v>521358</v>
      </c>
      <c r="E3586">
        <v>450872</v>
      </c>
      <c r="F3586">
        <v>17.100000000000001</v>
      </c>
      <c r="G3586">
        <v>8.8000000000000007</v>
      </c>
      <c r="H3586">
        <v>17.100000000000001</v>
      </c>
      <c r="I3586">
        <v>15.8</v>
      </c>
    </row>
    <row r="3587" spans="1:9" ht="24" customHeight="1">
      <c r="A3587" s="6" t="s">
        <v>1114</v>
      </c>
      <c r="B3587">
        <v>81464</v>
      </c>
      <c r="C3587">
        <v>23334</v>
      </c>
      <c r="D3587">
        <v>541753</v>
      </c>
      <c r="E3587">
        <v>393466</v>
      </c>
      <c r="F3587">
        <v>15.1</v>
      </c>
      <c r="G3587">
        <v>7.8</v>
      </c>
      <c r="H3587">
        <v>17.600000000000001</v>
      </c>
      <c r="I3587">
        <v>12.4</v>
      </c>
    </row>
    <row r="3588" spans="1:9" ht="24" customHeight="1">
      <c r="A3588" s="6" t="s">
        <v>1115</v>
      </c>
      <c r="B3588">
        <v>984814</v>
      </c>
      <c r="C3588">
        <v>412264</v>
      </c>
      <c r="D3588">
        <v>408066</v>
      </c>
      <c r="E3588">
        <v>324655</v>
      </c>
      <c r="F3588">
        <v>16.2</v>
      </c>
      <c r="G3588">
        <v>9.4</v>
      </c>
      <c r="H3588">
        <v>10.4</v>
      </c>
      <c r="I3588">
        <v>8.4</v>
      </c>
    </row>
    <row r="3589" spans="1:9" ht="24" customHeight="1">
      <c r="A3589" s="6" t="s">
        <v>1116</v>
      </c>
      <c r="B3589">
        <v>213436</v>
      </c>
      <c r="C3589">
        <v>15006</v>
      </c>
      <c r="D3589">
        <v>1049692</v>
      </c>
      <c r="E3589">
        <v>940423</v>
      </c>
      <c r="F3589">
        <v>1.8</v>
      </c>
      <c r="G3589">
        <v>2.2999999999999998</v>
      </c>
      <c r="H3589">
        <v>25.7</v>
      </c>
      <c r="I3589">
        <v>22.2</v>
      </c>
    </row>
    <row r="3590" spans="1:9" ht="24" customHeight="1">
      <c r="A3590" s="6" t="s">
        <v>1117</v>
      </c>
      <c r="B3590">
        <v>532350</v>
      </c>
      <c r="C3590">
        <v>66537</v>
      </c>
      <c r="D3590">
        <v>847306</v>
      </c>
      <c r="E3590">
        <v>744132</v>
      </c>
      <c r="F3590">
        <v>3.9</v>
      </c>
      <c r="G3590">
        <v>5.6</v>
      </c>
      <c r="H3590">
        <v>22.7</v>
      </c>
      <c r="I3590">
        <v>21.6</v>
      </c>
    </row>
    <row r="3591" spans="1:9" ht="24" customHeight="1">
      <c r="A3591" s="6" t="s">
        <v>1118</v>
      </c>
      <c r="B3591">
        <v>437981</v>
      </c>
      <c r="C3591">
        <v>125432</v>
      </c>
      <c r="D3591">
        <v>628321</v>
      </c>
      <c r="E3591">
        <v>519406</v>
      </c>
      <c r="F3591">
        <v>22.2</v>
      </c>
      <c r="G3591">
        <v>14.9</v>
      </c>
      <c r="H3591">
        <v>19.3</v>
      </c>
      <c r="I3591">
        <v>16.8</v>
      </c>
    </row>
    <row r="3592" spans="1:9" ht="24" customHeight="1">
      <c r="A3592" s="6" t="s">
        <v>1119</v>
      </c>
      <c r="B3592">
        <v>116767</v>
      </c>
      <c r="C3592">
        <v>9827</v>
      </c>
      <c r="D3592">
        <v>630458</v>
      </c>
      <c r="E3592">
        <v>412223</v>
      </c>
      <c r="F3592">
        <v>26.8</v>
      </c>
      <c r="G3592">
        <v>20.9</v>
      </c>
      <c r="H3592">
        <v>20.6</v>
      </c>
      <c r="I3592">
        <v>13.2</v>
      </c>
    </row>
    <row r="3593" spans="1:9" ht="24" customHeight="1">
      <c r="A3593" s="6" t="s">
        <v>1120</v>
      </c>
      <c r="B3593">
        <v>557897</v>
      </c>
      <c r="C3593">
        <v>149224</v>
      </c>
      <c r="D3593">
        <v>686171</v>
      </c>
      <c r="E3593">
        <v>554479</v>
      </c>
      <c r="F3593">
        <v>11.6</v>
      </c>
      <c r="G3593">
        <v>14.5</v>
      </c>
      <c r="H3593">
        <v>18.8</v>
      </c>
      <c r="I3593">
        <v>15.9</v>
      </c>
    </row>
    <row r="3594" spans="1:9" ht="24" customHeight="1">
      <c r="A3594" s="6" t="s">
        <v>1121</v>
      </c>
      <c r="B3594">
        <v>3692581</v>
      </c>
      <c r="C3594">
        <v>2191113</v>
      </c>
      <c r="D3594">
        <v>510909</v>
      </c>
      <c r="E3594">
        <v>389858</v>
      </c>
      <c r="F3594">
        <v>19.399999999999999</v>
      </c>
      <c r="G3594">
        <v>10.1</v>
      </c>
      <c r="H3594">
        <v>12.8</v>
      </c>
      <c r="I3594">
        <v>9.8000000000000007</v>
      </c>
    </row>
    <row r="3595" spans="1:9" ht="24" customHeight="1">
      <c r="A3595" s="6" t="s">
        <v>4382</v>
      </c>
      <c r="B3595">
        <v>333158</v>
      </c>
      <c r="C3595">
        <v>47227</v>
      </c>
      <c r="D3595">
        <v>620221</v>
      </c>
      <c r="E3595">
        <v>517401</v>
      </c>
      <c r="F3595">
        <v>3.7</v>
      </c>
      <c r="G3595">
        <v>4.0999999999999996</v>
      </c>
      <c r="H3595">
        <v>19.8</v>
      </c>
      <c r="I3595">
        <v>18</v>
      </c>
    </row>
    <row r="3596" spans="1:9" ht="24" customHeight="1">
      <c r="A3596" s="6" t="s">
        <v>4383</v>
      </c>
      <c r="B3596">
        <v>431727</v>
      </c>
      <c r="C3596">
        <v>86721</v>
      </c>
      <c r="D3596">
        <v>526722</v>
      </c>
      <c r="E3596">
        <v>441012</v>
      </c>
      <c r="F3596">
        <v>5.5</v>
      </c>
      <c r="G3596">
        <v>4.2</v>
      </c>
      <c r="H3596">
        <v>18.100000000000001</v>
      </c>
      <c r="I3596">
        <v>16.3</v>
      </c>
    </row>
    <row r="3597" spans="1:9" ht="24" customHeight="1">
      <c r="A3597" s="6" t="s">
        <v>4384</v>
      </c>
      <c r="B3597">
        <v>287620</v>
      </c>
      <c r="C3597">
        <v>114968</v>
      </c>
      <c r="D3597">
        <v>461490</v>
      </c>
      <c r="E3597">
        <v>394330</v>
      </c>
      <c r="F3597">
        <v>12.4</v>
      </c>
      <c r="G3597">
        <v>6.4</v>
      </c>
      <c r="H3597">
        <v>15.5</v>
      </c>
      <c r="I3597">
        <v>14.4</v>
      </c>
    </row>
    <row r="3598" spans="1:9" ht="24" customHeight="1">
      <c r="A3598" s="6" t="s">
        <v>4385</v>
      </c>
      <c r="B3598">
        <v>167029</v>
      </c>
      <c r="C3598">
        <v>15963</v>
      </c>
      <c r="D3598">
        <v>447109</v>
      </c>
      <c r="E3598">
        <v>307744</v>
      </c>
      <c r="F3598">
        <v>13.2</v>
      </c>
      <c r="G3598">
        <v>6.8</v>
      </c>
      <c r="H3598">
        <v>15.4</v>
      </c>
      <c r="I3598">
        <v>13.6</v>
      </c>
    </row>
    <row r="3599" spans="1:9" ht="24" customHeight="1">
      <c r="A3599" s="6" t="s">
        <v>4386</v>
      </c>
      <c r="B3599">
        <v>289047</v>
      </c>
      <c r="C3599">
        <v>115846</v>
      </c>
      <c r="D3599">
        <v>499128</v>
      </c>
      <c r="E3599">
        <v>391331</v>
      </c>
      <c r="F3599">
        <v>8.9</v>
      </c>
      <c r="G3599">
        <v>6.9</v>
      </c>
      <c r="H3599">
        <v>15.3</v>
      </c>
      <c r="I3599">
        <v>14</v>
      </c>
    </row>
    <row r="3600" spans="1:9" ht="24" customHeight="1">
      <c r="A3600" s="6" t="s">
        <v>4387</v>
      </c>
      <c r="B3600">
        <v>3472216</v>
      </c>
      <c r="C3600">
        <v>2305740</v>
      </c>
      <c r="D3600">
        <v>364102</v>
      </c>
      <c r="E3600">
        <v>298763</v>
      </c>
      <c r="F3600">
        <v>12.7</v>
      </c>
      <c r="G3600">
        <v>5.5</v>
      </c>
      <c r="H3600">
        <v>9.6999999999999993</v>
      </c>
      <c r="I3600">
        <v>8.1999999999999993</v>
      </c>
    </row>
    <row r="3601" spans="1:9" ht="24" customHeight="1">
      <c r="A3601" s="6" t="s">
        <v>4388</v>
      </c>
      <c r="B3601">
        <v>169829</v>
      </c>
      <c r="C3601">
        <v>19286</v>
      </c>
      <c r="D3601">
        <v>764752</v>
      </c>
      <c r="E3601">
        <v>688426</v>
      </c>
      <c r="F3601">
        <v>1.4</v>
      </c>
      <c r="G3601">
        <v>1.8</v>
      </c>
      <c r="H3601">
        <v>21.1</v>
      </c>
      <c r="I3601">
        <v>18.399999999999999</v>
      </c>
    </row>
    <row r="3602" spans="1:9" ht="24" customHeight="1">
      <c r="A3602" s="6" t="s">
        <v>4389</v>
      </c>
      <c r="B3602">
        <v>300755</v>
      </c>
      <c r="C3602">
        <v>59410</v>
      </c>
      <c r="D3602">
        <v>599469</v>
      </c>
      <c r="E3602">
        <v>536021</v>
      </c>
      <c r="F3602">
        <v>3.5</v>
      </c>
      <c r="G3602">
        <v>2.8</v>
      </c>
      <c r="H3602">
        <v>19.899999999999999</v>
      </c>
      <c r="I3602">
        <v>18</v>
      </c>
    </row>
    <row r="3603" spans="1:9" ht="24" customHeight="1">
      <c r="A3603" s="6" t="s">
        <v>4390</v>
      </c>
      <c r="B3603">
        <v>230514</v>
      </c>
      <c r="C3603">
        <v>81492</v>
      </c>
      <c r="D3603">
        <v>495065</v>
      </c>
      <c r="E3603">
        <v>441475</v>
      </c>
      <c r="F3603">
        <v>14.8</v>
      </c>
      <c r="G3603">
        <v>7.9</v>
      </c>
      <c r="H3603">
        <v>16.5</v>
      </c>
      <c r="I3603">
        <v>16.7</v>
      </c>
    </row>
    <row r="3604" spans="1:9" ht="24" customHeight="1">
      <c r="A3604" s="6" t="s">
        <v>4391</v>
      </c>
      <c r="B3604">
        <v>67332</v>
      </c>
      <c r="C3604">
        <v>7217</v>
      </c>
      <c r="D3604">
        <v>483882</v>
      </c>
      <c r="E3604">
        <v>364027</v>
      </c>
      <c r="F3604">
        <v>18.8</v>
      </c>
      <c r="G3604">
        <v>11.6</v>
      </c>
      <c r="H3604">
        <v>17.8</v>
      </c>
      <c r="I3604">
        <v>16.3</v>
      </c>
    </row>
    <row r="3605" spans="1:9" ht="24" customHeight="1">
      <c r="A3605" s="6" t="s">
        <v>4392</v>
      </c>
      <c r="B3605">
        <v>214059</v>
      </c>
      <c r="C3605">
        <v>86183</v>
      </c>
      <c r="D3605">
        <v>533530</v>
      </c>
      <c r="E3605">
        <v>418231</v>
      </c>
      <c r="F3605">
        <v>10</v>
      </c>
      <c r="G3605">
        <v>7</v>
      </c>
      <c r="H3605">
        <v>17.100000000000001</v>
      </c>
      <c r="I3605">
        <v>16.100000000000001</v>
      </c>
    </row>
    <row r="3606" spans="1:9" ht="24" customHeight="1">
      <c r="A3606" s="6" t="s">
        <v>4393</v>
      </c>
      <c r="B3606">
        <v>1901729</v>
      </c>
      <c r="C3606">
        <v>1378474</v>
      </c>
      <c r="D3606">
        <v>394263</v>
      </c>
      <c r="E3606">
        <v>328867</v>
      </c>
      <c r="F3606">
        <v>15.6</v>
      </c>
      <c r="G3606">
        <v>6.7</v>
      </c>
      <c r="H3606">
        <v>10.1</v>
      </c>
      <c r="I3606">
        <v>8.6</v>
      </c>
    </row>
    <row r="3607" spans="1:9" ht="24" customHeight="1">
      <c r="A3607" s="6" t="s">
        <v>4394</v>
      </c>
      <c r="B3607">
        <v>155869</v>
      </c>
      <c r="C3607">
        <v>14523</v>
      </c>
      <c r="D3607">
        <v>859221</v>
      </c>
      <c r="E3607">
        <v>739508</v>
      </c>
      <c r="F3607">
        <v>2.6</v>
      </c>
      <c r="G3607">
        <v>0.9</v>
      </c>
      <c r="H3607">
        <v>24.2</v>
      </c>
      <c r="I3607">
        <v>18.899999999999999</v>
      </c>
    </row>
    <row r="3608" spans="1:9" ht="24" customHeight="1">
      <c r="A3608" s="6" t="s">
        <v>4395</v>
      </c>
      <c r="B3608">
        <v>296976</v>
      </c>
      <c r="C3608">
        <v>47122</v>
      </c>
      <c r="D3608">
        <v>683577</v>
      </c>
      <c r="E3608">
        <v>590627</v>
      </c>
      <c r="F3608">
        <v>4</v>
      </c>
      <c r="G3608">
        <v>3.9</v>
      </c>
      <c r="H3608">
        <v>21.5</v>
      </c>
      <c r="I3608">
        <v>20</v>
      </c>
    </row>
    <row r="3609" spans="1:9" ht="24" customHeight="1">
      <c r="A3609" s="6" t="s">
        <v>4396</v>
      </c>
      <c r="B3609">
        <v>234949</v>
      </c>
      <c r="C3609">
        <v>77582</v>
      </c>
      <c r="D3609">
        <v>554816</v>
      </c>
      <c r="E3609">
        <v>475106</v>
      </c>
      <c r="F3609">
        <v>17.399999999999999</v>
      </c>
      <c r="G3609">
        <v>10.7</v>
      </c>
      <c r="H3609">
        <v>17.600000000000001</v>
      </c>
      <c r="I3609">
        <v>17</v>
      </c>
    </row>
    <row r="3610" spans="1:9" ht="24" customHeight="1">
      <c r="A3610" s="6" t="s">
        <v>4397</v>
      </c>
      <c r="B3610">
        <v>67529</v>
      </c>
      <c r="C3610">
        <v>7357</v>
      </c>
      <c r="D3610">
        <v>536678</v>
      </c>
      <c r="E3610">
        <v>423175</v>
      </c>
      <c r="F3610">
        <v>23</v>
      </c>
      <c r="G3610">
        <v>15.5</v>
      </c>
      <c r="H3610">
        <v>19</v>
      </c>
      <c r="I3610">
        <v>17.5</v>
      </c>
    </row>
    <row r="3611" spans="1:9" ht="24" customHeight="1">
      <c r="A3611" s="6" t="s">
        <v>4398</v>
      </c>
      <c r="B3611">
        <v>236516</v>
      </c>
      <c r="C3611">
        <v>80856</v>
      </c>
      <c r="D3611">
        <v>593180</v>
      </c>
      <c r="E3611">
        <v>468075</v>
      </c>
      <c r="F3611">
        <v>15.6</v>
      </c>
      <c r="G3611">
        <v>10.6</v>
      </c>
      <c r="H3611">
        <v>18.600000000000001</v>
      </c>
      <c r="I3611">
        <v>16.5</v>
      </c>
    </row>
    <row r="3612" spans="1:9" ht="24" customHeight="1">
      <c r="A3612" s="6" t="s">
        <v>4399</v>
      </c>
      <c r="B3612">
        <v>1899711</v>
      </c>
      <c r="C3612">
        <v>1299117</v>
      </c>
      <c r="D3612">
        <v>439105</v>
      </c>
      <c r="E3612">
        <v>354438</v>
      </c>
      <c r="F3612">
        <v>17.3</v>
      </c>
      <c r="G3612">
        <v>7.9</v>
      </c>
      <c r="H3612">
        <v>10.9</v>
      </c>
      <c r="I3612">
        <v>8.6</v>
      </c>
    </row>
    <row r="3613" spans="1:9" ht="24" customHeight="1">
      <c r="A3613" s="6" t="s">
        <v>1122</v>
      </c>
      <c r="B3613">
        <v>872292</v>
      </c>
      <c r="C3613">
        <v>96041</v>
      </c>
      <c r="D3613">
        <v>796152</v>
      </c>
      <c r="E3613">
        <v>651423</v>
      </c>
      <c r="F3613">
        <v>2.6</v>
      </c>
      <c r="G3613">
        <v>2.9</v>
      </c>
      <c r="H3613">
        <v>22.3</v>
      </c>
      <c r="I3613">
        <v>18.899999999999999</v>
      </c>
    </row>
    <row r="3614" spans="1:9" ht="24" customHeight="1">
      <c r="A3614" s="6" t="s">
        <v>1123</v>
      </c>
      <c r="B3614">
        <v>1561808</v>
      </c>
      <c r="C3614">
        <v>259790</v>
      </c>
      <c r="D3614">
        <v>679829</v>
      </c>
      <c r="E3614">
        <v>567512</v>
      </c>
      <c r="F3614">
        <v>4.3</v>
      </c>
      <c r="G3614">
        <v>4.2</v>
      </c>
      <c r="H3614">
        <v>20.7</v>
      </c>
      <c r="I3614">
        <v>18.7</v>
      </c>
    </row>
    <row r="3615" spans="1:9" ht="24" customHeight="1">
      <c r="A3615" s="6" t="s">
        <v>1124</v>
      </c>
      <c r="B3615">
        <v>1191064</v>
      </c>
      <c r="C3615">
        <v>399474</v>
      </c>
      <c r="D3615">
        <v>547745</v>
      </c>
      <c r="E3615">
        <v>458908</v>
      </c>
      <c r="F3615">
        <v>17.5</v>
      </c>
      <c r="G3615">
        <v>10.199999999999999</v>
      </c>
      <c r="H3615">
        <v>17.5</v>
      </c>
      <c r="I3615">
        <v>16.100000000000001</v>
      </c>
    </row>
    <row r="3616" spans="1:9" ht="24" customHeight="1">
      <c r="A3616" s="6" t="s">
        <v>1125</v>
      </c>
      <c r="B3616">
        <v>418657</v>
      </c>
      <c r="C3616">
        <v>40363</v>
      </c>
      <c r="D3616">
        <v>518608</v>
      </c>
      <c r="E3616">
        <v>364283</v>
      </c>
      <c r="F3616">
        <v>19.5</v>
      </c>
      <c r="G3616">
        <v>12.7</v>
      </c>
      <c r="H3616">
        <v>17.8</v>
      </c>
      <c r="I3616">
        <v>14.7</v>
      </c>
    </row>
    <row r="3617" spans="1:9" ht="24" customHeight="1">
      <c r="A3617" s="6" t="s">
        <v>1126</v>
      </c>
      <c r="B3617">
        <v>1297519</v>
      </c>
      <c r="C3617">
        <v>432109</v>
      </c>
      <c r="D3617">
        <v>602371</v>
      </c>
      <c r="E3617">
        <v>467398</v>
      </c>
      <c r="F3617">
        <v>11.5</v>
      </c>
      <c r="G3617">
        <v>10.199999999999999</v>
      </c>
      <c r="H3617">
        <v>17.7</v>
      </c>
      <c r="I3617">
        <v>15.6</v>
      </c>
    </row>
    <row r="3618" spans="1:9" ht="24" customHeight="1">
      <c r="A3618" s="6" t="s">
        <v>1127</v>
      </c>
      <c r="B3618">
        <v>10966237</v>
      </c>
      <c r="C3618">
        <v>7174444</v>
      </c>
      <c r="D3618">
        <v>431759</v>
      </c>
      <c r="E3618">
        <v>342449</v>
      </c>
      <c r="F3618">
        <v>16.3</v>
      </c>
      <c r="G3618">
        <v>7.6</v>
      </c>
      <c r="H3618">
        <v>11</v>
      </c>
      <c r="I3618">
        <v>8.8000000000000007</v>
      </c>
    </row>
    <row r="3619" spans="1:9" ht="24" customHeight="1">
      <c r="A3619" s="5" t="s">
        <v>403</v>
      </c>
      <c r="B3619">
        <v>6218873</v>
      </c>
      <c r="C3619">
        <v>11549356</v>
      </c>
      <c r="D3619">
        <v>195707</v>
      </c>
      <c r="E3619">
        <v>135273</v>
      </c>
      <c r="F3619">
        <v>5.4</v>
      </c>
      <c r="G3619">
        <v>2.6</v>
      </c>
      <c r="H3619">
        <v>7.3</v>
      </c>
      <c r="I3619">
        <v>6.5</v>
      </c>
    </row>
    <row r="3620" spans="1:9" ht="24" customHeight="1">
      <c r="A3620" s="5" t="s">
        <v>401</v>
      </c>
      <c r="B3620">
        <v>2775272</v>
      </c>
      <c r="C3620">
        <v>4977320</v>
      </c>
      <c r="D3620">
        <v>187963</v>
      </c>
      <c r="E3620">
        <v>139721</v>
      </c>
      <c r="F3620">
        <v>5.4</v>
      </c>
      <c r="G3620">
        <v>3.5</v>
      </c>
      <c r="H3620">
        <v>6.3</v>
      </c>
      <c r="I3620">
        <v>6.2</v>
      </c>
    </row>
    <row r="3621" spans="1:9" ht="24" customHeight="1">
      <c r="A3621" s="5" t="s">
        <v>4400</v>
      </c>
      <c r="B3621">
        <v>1678656</v>
      </c>
      <c r="C3621">
        <v>3331411</v>
      </c>
      <c r="D3621">
        <v>178830</v>
      </c>
      <c r="E3621">
        <v>116982</v>
      </c>
      <c r="F3621">
        <v>4.5999999999999996</v>
      </c>
      <c r="G3621">
        <v>1.4</v>
      </c>
      <c r="H3621">
        <v>7.4</v>
      </c>
      <c r="I3621">
        <v>6.5</v>
      </c>
    </row>
    <row r="3622" spans="1:9" ht="24" customHeight="1">
      <c r="A3622" s="5" t="s">
        <v>4401</v>
      </c>
      <c r="B3622">
        <v>870135</v>
      </c>
      <c r="C3622">
        <v>1536247</v>
      </c>
      <c r="D3622">
        <v>228124</v>
      </c>
      <c r="E3622">
        <v>149769</v>
      </c>
      <c r="F3622">
        <v>6.3</v>
      </c>
      <c r="G3622">
        <v>2.6</v>
      </c>
      <c r="H3622">
        <v>9.1999999999999993</v>
      </c>
      <c r="I3622">
        <v>7.4</v>
      </c>
    </row>
    <row r="3623" spans="1:9" ht="24" customHeight="1">
      <c r="A3623" s="5" t="s">
        <v>4402</v>
      </c>
      <c r="B3623">
        <v>894809</v>
      </c>
      <c r="C3623">
        <v>1704378</v>
      </c>
      <c r="D3623">
        <v>219868</v>
      </c>
      <c r="E3623">
        <v>144968</v>
      </c>
      <c r="F3623">
        <v>6.3</v>
      </c>
      <c r="G3623">
        <v>2.6</v>
      </c>
      <c r="H3623">
        <v>8.5</v>
      </c>
      <c r="I3623">
        <v>6.8</v>
      </c>
    </row>
    <row r="3624" spans="1:9" ht="24" customHeight="1">
      <c r="A3624" s="5" t="s">
        <v>368</v>
      </c>
      <c r="B3624">
        <v>1455</v>
      </c>
      <c r="C3624">
        <v>364</v>
      </c>
      <c r="D3624">
        <v>369119</v>
      </c>
      <c r="E3624">
        <v>194957</v>
      </c>
      <c r="F3624">
        <v>9.9</v>
      </c>
      <c r="G3624">
        <v>2.6</v>
      </c>
      <c r="H3624">
        <v>17.2</v>
      </c>
      <c r="I3624">
        <v>13.3</v>
      </c>
    </row>
    <row r="3625" spans="1:9" ht="24" customHeight="1">
      <c r="A3625" s="5" t="s">
        <v>273</v>
      </c>
      <c r="B3625">
        <v>144</v>
      </c>
      <c r="C3625">
        <v>124</v>
      </c>
      <c r="D3625">
        <v>401579</v>
      </c>
      <c r="E3625">
        <v>237025</v>
      </c>
      <c r="F3625">
        <v>6</v>
      </c>
      <c r="G3625">
        <v>3.2</v>
      </c>
      <c r="H3625">
        <v>21.1</v>
      </c>
      <c r="I3625">
        <v>10.6</v>
      </c>
    </row>
    <row r="3626" spans="1:9" ht="24" customHeight="1">
      <c r="A3626" s="5" t="s">
        <v>4403</v>
      </c>
      <c r="B3626">
        <v>1053</v>
      </c>
      <c r="C3626">
        <v>179</v>
      </c>
      <c r="D3626">
        <v>300011</v>
      </c>
      <c r="E3626">
        <v>172950</v>
      </c>
      <c r="F3626">
        <v>11.6</v>
      </c>
      <c r="G3626">
        <v>2.9</v>
      </c>
      <c r="H3626">
        <v>12.9</v>
      </c>
      <c r="I3626">
        <v>15.1</v>
      </c>
    </row>
    <row r="3627" spans="1:9" ht="24" customHeight="1">
      <c r="A3627" s="5" t="s">
        <v>4404</v>
      </c>
      <c r="B3627">
        <v>94</v>
      </c>
      <c r="C3627">
        <v>43</v>
      </c>
      <c r="D3627">
        <v>326405</v>
      </c>
      <c r="E3627">
        <v>177909</v>
      </c>
      <c r="F3627">
        <v>2.9</v>
      </c>
      <c r="G3627">
        <v>0.5</v>
      </c>
      <c r="H3627">
        <v>27.6</v>
      </c>
      <c r="I3627">
        <v>14.8</v>
      </c>
    </row>
    <row r="3628" spans="1:9" ht="24" customHeight="1">
      <c r="A3628" s="5" t="s">
        <v>4405</v>
      </c>
      <c r="B3628">
        <v>163</v>
      </c>
      <c r="C3628">
        <v>19</v>
      </c>
      <c r="D3628">
        <v>810455</v>
      </c>
      <c r="E3628">
        <v>164538</v>
      </c>
      <c r="F3628">
        <v>6.6</v>
      </c>
      <c r="G3628">
        <v>0</v>
      </c>
      <c r="H3628">
        <v>35.6</v>
      </c>
      <c r="I3628">
        <v>9.9</v>
      </c>
    </row>
    <row r="3629" spans="1:9" ht="24" customHeight="1">
      <c r="A3629" s="5" t="s">
        <v>370</v>
      </c>
      <c r="B3629">
        <v>218801</v>
      </c>
      <c r="C3629">
        <v>80247</v>
      </c>
      <c r="D3629">
        <v>330740</v>
      </c>
      <c r="E3629">
        <v>162143</v>
      </c>
      <c r="F3629">
        <v>9.4</v>
      </c>
      <c r="G3629">
        <v>3.2</v>
      </c>
      <c r="H3629">
        <v>11.8</v>
      </c>
      <c r="I3629">
        <v>8.1999999999999993</v>
      </c>
    </row>
    <row r="3630" spans="1:9" ht="24" customHeight="1">
      <c r="A3630" s="5" t="s">
        <v>276</v>
      </c>
      <c r="B3630">
        <v>31419</v>
      </c>
      <c r="C3630">
        <v>14882</v>
      </c>
      <c r="D3630">
        <v>439973</v>
      </c>
      <c r="E3630">
        <v>217989</v>
      </c>
      <c r="F3630">
        <v>11.2</v>
      </c>
      <c r="G3630">
        <v>6</v>
      </c>
      <c r="H3630">
        <v>13.9</v>
      </c>
      <c r="I3630">
        <v>6.6</v>
      </c>
    </row>
    <row r="3631" spans="1:9" ht="24" customHeight="1">
      <c r="A3631" s="5" t="s">
        <v>4406</v>
      </c>
      <c r="B3631">
        <v>142660</v>
      </c>
      <c r="C3631">
        <v>46029</v>
      </c>
      <c r="D3631">
        <v>292839</v>
      </c>
      <c r="E3631">
        <v>125101</v>
      </c>
      <c r="F3631">
        <v>9.6999999999999993</v>
      </c>
      <c r="G3631">
        <v>1.5</v>
      </c>
      <c r="H3631">
        <v>10.199999999999999</v>
      </c>
      <c r="I3631">
        <v>9</v>
      </c>
    </row>
    <row r="3632" spans="1:9" ht="24" customHeight="1">
      <c r="A3632" s="5" t="s">
        <v>4407</v>
      </c>
      <c r="B3632">
        <v>24091</v>
      </c>
      <c r="C3632">
        <v>7621</v>
      </c>
      <c r="D3632">
        <v>370067</v>
      </c>
      <c r="E3632">
        <v>234193</v>
      </c>
      <c r="F3632">
        <v>5.5</v>
      </c>
      <c r="G3632">
        <v>5.0999999999999996</v>
      </c>
      <c r="H3632">
        <v>15.1</v>
      </c>
      <c r="I3632">
        <v>8.4</v>
      </c>
    </row>
    <row r="3633" spans="1:9" ht="24" customHeight="1">
      <c r="A3633" s="5" t="s">
        <v>4408</v>
      </c>
      <c r="B3633">
        <v>20630</v>
      </c>
      <c r="C3633">
        <v>11714</v>
      </c>
      <c r="D3633">
        <v>380541</v>
      </c>
      <c r="E3633">
        <v>189875</v>
      </c>
      <c r="F3633">
        <v>9.9</v>
      </c>
      <c r="G3633">
        <v>4.7</v>
      </c>
      <c r="H3633">
        <v>15.4</v>
      </c>
      <c r="I3633">
        <v>7.1</v>
      </c>
    </row>
    <row r="3634" spans="1:9" ht="24" customHeight="1">
      <c r="A3634" s="5" t="s">
        <v>372</v>
      </c>
      <c r="B3634">
        <v>717665</v>
      </c>
      <c r="C3634">
        <v>1245928</v>
      </c>
      <c r="D3634">
        <v>268680</v>
      </c>
      <c r="E3634">
        <v>162641</v>
      </c>
      <c r="F3634">
        <v>10.4</v>
      </c>
      <c r="G3634">
        <v>8.1999999999999993</v>
      </c>
      <c r="H3634">
        <v>13.5</v>
      </c>
      <c r="I3634">
        <v>8.6999999999999993</v>
      </c>
    </row>
    <row r="3635" spans="1:9" ht="24" customHeight="1">
      <c r="A3635" s="5" t="s">
        <v>279</v>
      </c>
      <c r="B3635">
        <v>232176</v>
      </c>
      <c r="C3635">
        <v>419267</v>
      </c>
      <c r="D3635">
        <v>310612</v>
      </c>
      <c r="E3635">
        <v>185824</v>
      </c>
      <c r="F3635">
        <v>14.1</v>
      </c>
      <c r="G3635">
        <v>14.9</v>
      </c>
      <c r="H3635">
        <v>15.1</v>
      </c>
      <c r="I3635">
        <v>8.3000000000000007</v>
      </c>
    </row>
    <row r="3636" spans="1:9" ht="24" customHeight="1">
      <c r="A3636" s="5" t="s">
        <v>4409</v>
      </c>
      <c r="B3636">
        <v>208410</v>
      </c>
      <c r="C3636">
        <v>391351</v>
      </c>
      <c r="D3636">
        <v>230323</v>
      </c>
      <c r="E3636">
        <v>138034</v>
      </c>
      <c r="F3636">
        <v>8.1</v>
      </c>
      <c r="G3636">
        <v>3.5</v>
      </c>
      <c r="H3636">
        <v>12</v>
      </c>
      <c r="I3636">
        <v>8.9</v>
      </c>
    </row>
    <row r="3637" spans="1:9" ht="24" customHeight="1">
      <c r="A3637" s="5" t="s">
        <v>4410</v>
      </c>
      <c r="B3637">
        <v>129362</v>
      </c>
      <c r="C3637">
        <v>219956</v>
      </c>
      <c r="D3637">
        <v>278128</v>
      </c>
      <c r="E3637">
        <v>171129</v>
      </c>
      <c r="F3637">
        <v>9.5</v>
      </c>
      <c r="G3637">
        <v>6.2</v>
      </c>
      <c r="H3637">
        <v>14.5</v>
      </c>
      <c r="I3637">
        <v>9.5</v>
      </c>
    </row>
    <row r="3638" spans="1:9" ht="24" customHeight="1">
      <c r="A3638" s="5" t="s">
        <v>4411</v>
      </c>
      <c r="B3638">
        <v>147718</v>
      </c>
      <c r="C3638">
        <v>215354</v>
      </c>
      <c r="D3638">
        <v>248616</v>
      </c>
      <c r="E3638">
        <v>153555</v>
      </c>
      <c r="F3638">
        <v>8.8000000000000007</v>
      </c>
      <c r="G3638">
        <v>5.9</v>
      </c>
      <c r="H3638">
        <v>12.1</v>
      </c>
      <c r="I3638">
        <v>8.5</v>
      </c>
    </row>
    <row r="3639" spans="1:9" ht="24" customHeight="1">
      <c r="A3639" s="5" t="s">
        <v>322</v>
      </c>
      <c r="B3639">
        <v>9965</v>
      </c>
      <c r="C3639">
        <v>15826</v>
      </c>
      <c r="D3639">
        <v>238355</v>
      </c>
      <c r="E3639">
        <v>151258</v>
      </c>
      <c r="F3639">
        <v>7.4</v>
      </c>
      <c r="G3639">
        <v>2.5</v>
      </c>
      <c r="H3639">
        <v>12.4</v>
      </c>
      <c r="I3639">
        <v>7.6</v>
      </c>
    </row>
    <row r="3640" spans="1:9" ht="24" customHeight="1">
      <c r="A3640" s="5" t="s">
        <v>173</v>
      </c>
      <c r="B3640">
        <v>1473</v>
      </c>
      <c r="C3640">
        <v>1080</v>
      </c>
      <c r="D3640">
        <v>286091</v>
      </c>
      <c r="E3640">
        <v>218410</v>
      </c>
      <c r="F3640">
        <v>9.1</v>
      </c>
      <c r="G3640">
        <v>5.4</v>
      </c>
      <c r="H3640">
        <v>10.9</v>
      </c>
      <c r="I3640">
        <v>7.6</v>
      </c>
    </row>
    <row r="3641" spans="1:9" ht="24" customHeight="1">
      <c r="A3641" s="5" t="s">
        <v>4412</v>
      </c>
      <c r="B3641">
        <v>4638</v>
      </c>
      <c r="C3641">
        <v>9790</v>
      </c>
      <c r="D3641">
        <v>209210</v>
      </c>
      <c r="E3641">
        <v>136511</v>
      </c>
      <c r="F3641">
        <v>4.4000000000000004</v>
      </c>
      <c r="G3641">
        <v>1.5</v>
      </c>
      <c r="H3641">
        <v>9.8000000000000007</v>
      </c>
      <c r="I3641">
        <v>7</v>
      </c>
    </row>
    <row r="3642" spans="1:9" ht="24" customHeight="1">
      <c r="A3642" s="5" t="s">
        <v>4413</v>
      </c>
      <c r="B3642">
        <v>2136</v>
      </c>
      <c r="C3642">
        <v>3462</v>
      </c>
      <c r="D3642">
        <v>244886</v>
      </c>
      <c r="E3642">
        <v>156460</v>
      </c>
      <c r="F3642">
        <v>7.4</v>
      </c>
      <c r="G3642">
        <v>2.4</v>
      </c>
      <c r="H3642">
        <v>17.899999999999999</v>
      </c>
      <c r="I3642">
        <v>9.4</v>
      </c>
    </row>
    <row r="3643" spans="1:9" ht="24" customHeight="1">
      <c r="A3643" s="5" t="s">
        <v>4414</v>
      </c>
      <c r="B3643">
        <v>1717</v>
      </c>
      <c r="C3643">
        <v>1495</v>
      </c>
      <c r="D3643">
        <v>268008</v>
      </c>
      <c r="E3643">
        <v>187269</v>
      </c>
      <c r="F3643">
        <v>14.1</v>
      </c>
      <c r="G3643">
        <v>6.6</v>
      </c>
      <c r="H3643">
        <v>13.8</v>
      </c>
      <c r="I3643">
        <v>7.3</v>
      </c>
    </row>
    <row r="3644" spans="1:9" ht="24" customHeight="1">
      <c r="A3644" s="5" t="s">
        <v>324</v>
      </c>
      <c r="B3644">
        <v>11801</v>
      </c>
      <c r="C3644">
        <v>54215</v>
      </c>
      <c r="D3644">
        <v>235349</v>
      </c>
      <c r="E3644">
        <v>154543</v>
      </c>
      <c r="F3644">
        <v>7.5</v>
      </c>
      <c r="G3644">
        <v>7.6</v>
      </c>
      <c r="H3644">
        <v>18</v>
      </c>
      <c r="I3644">
        <v>10.4</v>
      </c>
    </row>
    <row r="3645" spans="1:9" ht="24" customHeight="1">
      <c r="A3645" s="5" t="s">
        <v>177</v>
      </c>
      <c r="B3645">
        <v>615</v>
      </c>
      <c r="C3645">
        <v>1517</v>
      </c>
      <c r="D3645">
        <v>337875</v>
      </c>
      <c r="E3645">
        <v>192604</v>
      </c>
      <c r="F3645">
        <v>2.6</v>
      </c>
      <c r="G3645">
        <v>7.5</v>
      </c>
      <c r="H3645">
        <v>26.5</v>
      </c>
      <c r="I3645">
        <v>15.6</v>
      </c>
    </row>
    <row r="3646" spans="1:9" ht="24" customHeight="1">
      <c r="A3646" s="5" t="s">
        <v>4415</v>
      </c>
      <c r="B3646">
        <v>7446</v>
      </c>
      <c r="C3646">
        <v>41673</v>
      </c>
      <c r="D3646">
        <v>212730</v>
      </c>
      <c r="E3646">
        <v>145381</v>
      </c>
      <c r="F3646">
        <v>9.3000000000000007</v>
      </c>
      <c r="G3646">
        <v>7.4</v>
      </c>
      <c r="H3646">
        <v>16.2</v>
      </c>
      <c r="I3646">
        <v>9.5</v>
      </c>
    </row>
    <row r="3647" spans="1:9" ht="24" customHeight="1">
      <c r="A3647" s="5" t="s">
        <v>4416</v>
      </c>
      <c r="B3647">
        <v>2716</v>
      </c>
      <c r="C3647">
        <v>8167</v>
      </c>
      <c r="D3647">
        <v>271241</v>
      </c>
      <c r="E3647">
        <v>190173</v>
      </c>
      <c r="F3647">
        <v>3.6</v>
      </c>
      <c r="G3647">
        <v>9.5</v>
      </c>
      <c r="H3647">
        <v>20.2</v>
      </c>
      <c r="I3647">
        <v>13.4</v>
      </c>
    </row>
    <row r="3648" spans="1:9" ht="24" customHeight="1">
      <c r="A3648" s="5" t="s">
        <v>4417</v>
      </c>
      <c r="B3648">
        <v>1024</v>
      </c>
      <c r="C3648">
        <v>2858</v>
      </c>
      <c r="D3648">
        <v>243034</v>
      </c>
      <c r="E3648">
        <v>166117</v>
      </c>
      <c r="F3648">
        <v>7.1</v>
      </c>
      <c r="G3648">
        <v>5.8</v>
      </c>
      <c r="H3648">
        <v>20.399999999999999</v>
      </c>
      <c r="I3648">
        <v>11.8</v>
      </c>
    </row>
    <row r="3649" spans="1:9" ht="24" customHeight="1">
      <c r="A3649" s="5" t="s">
        <v>326</v>
      </c>
      <c r="B3649">
        <v>10419</v>
      </c>
      <c r="C3649">
        <v>5152</v>
      </c>
      <c r="D3649">
        <v>240577</v>
      </c>
      <c r="E3649">
        <v>140877</v>
      </c>
      <c r="F3649">
        <v>12</v>
      </c>
      <c r="G3649">
        <v>2.6</v>
      </c>
      <c r="H3649">
        <v>10.6</v>
      </c>
      <c r="I3649">
        <v>9.8000000000000007</v>
      </c>
    </row>
    <row r="3650" spans="1:9" ht="24" customHeight="1">
      <c r="A3650" s="5" t="s">
        <v>181</v>
      </c>
      <c r="B3650">
        <v>566</v>
      </c>
      <c r="C3650">
        <v>132</v>
      </c>
      <c r="D3650">
        <v>326407</v>
      </c>
      <c r="E3650">
        <v>256879</v>
      </c>
      <c r="F3650">
        <v>28.2</v>
      </c>
      <c r="G3650">
        <v>10.3</v>
      </c>
      <c r="H3650">
        <v>8.8000000000000007</v>
      </c>
      <c r="I3650">
        <v>10.7</v>
      </c>
    </row>
    <row r="3651" spans="1:9" ht="24" customHeight="1">
      <c r="A3651" s="5" t="s">
        <v>4418</v>
      </c>
      <c r="B3651">
        <v>5564</v>
      </c>
      <c r="C3651">
        <v>3801</v>
      </c>
      <c r="D3651">
        <v>217063</v>
      </c>
      <c r="E3651">
        <v>127654</v>
      </c>
      <c r="F3651">
        <v>6.4</v>
      </c>
      <c r="G3651">
        <v>1.8</v>
      </c>
      <c r="H3651">
        <v>11.5</v>
      </c>
      <c r="I3651">
        <v>9.9</v>
      </c>
    </row>
    <row r="3652" spans="1:9" ht="24" customHeight="1">
      <c r="A3652" s="5" t="s">
        <v>4419</v>
      </c>
      <c r="B3652">
        <v>1652</v>
      </c>
      <c r="C3652">
        <v>840</v>
      </c>
      <c r="D3652">
        <v>263821</v>
      </c>
      <c r="E3652">
        <v>152731</v>
      </c>
      <c r="F3652">
        <v>11.8</v>
      </c>
      <c r="G3652">
        <v>1.8</v>
      </c>
      <c r="H3652">
        <v>13</v>
      </c>
      <c r="I3652">
        <v>11.6</v>
      </c>
    </row>
    <row r="3653" spans="1:9" ht="24" customHeight="1">
      <c r="A3653" s="5" t="s">
        <v>4420</v>
      </c>
      <c r="B3653">
        <v>2637</v>
      </c>
      <c r="C3653">
        <v>379</v>
      </c>
      <c r="D3653">
        <v>257215</v>
      </c>
      <c r="E3653">
        <v>206772</v>
      </c>
      <c r="F3653">
        <v>20.5</v>
      </c>
      <c r="G3653">
        <v>10.3</v>
      </c>
      <c r="H3653">
        <v>7.4</v>
      </c>
      <c r="I3653">
        <v>5.2</v>
      </c>
    </row>
    <row r="3654" spans="1:9" ht="24" customHeight="1">
      <c r="A3654" s="5" t="s">
        <v>328</v>
      </c>
      <c r="B3654">
        <v>7778</v>
      </c>
      <c r="C3654">
        <v>7224</v>
      </c>
      <c r="D3654">
        <v>231897</v>
      </c>
      <c r="E3654">
        <v>157833</v>
      </c>
      <c r="F3654">
        <v>5.9</v>
      </c>
      <c r="G3654">
        <v>3</v>
      </c>
      <c r="H3654">
        <v>14.4</v>
      </c>
      <c r="I3654">
        <v>8.9</v>
      </c>
    </row>
    <row r="3655" spans="1:9" ht="24" customHeight="1">
      <c r="A3655" s="5" t="s">
        <v>185</v>
      </c>
      <c r="B3655">
        <v>1440</v>
      </c>
      <c r="C3655">
        <v>1722</v>
      </c>
      <c r="D3655">
        <v>303847</v>
      </c>
      <c r="E3655">
        <v>221990</v>
      </c>
      <c r="F3655">
        <v>12.1</v>
      </c>
      <c r="G3655">
        <v>6.8</v>
      </c>
      <c r="H3655">
        <v>11.8</v>
      </c>
      <c r="I3655">
        <v>9.6999999999999993</v>
      </c>
    </row>
    <row r="3656" spans="1:9" ht="24" customHeight="1">
      <c r="A3656" s="5" t="s">
        <v>4421</v>
      </c>
      <c r="B3656">
        <v>3606</v>
      </c>
      <c r="C3656">
        <v>4339</v>
      </c>
      <c r="D3656">
        <v>193531</v>
      </c>
      <c r="E3656">
        <v>126690</v>
      </c>
      <c r="F3656">
        <v>4.2</v>
      </c>
      <c r="G3656">
        <v>1.5</v>
      </c>
      <c r="H3656">
        <v>12.9</v>
      </c>
      <c r="I3656">
        <v>8.4</v>
      </c>
    </row>
    <row r="3657" spans="1:9" ht="24" customHeight="1">
      <c r="A3657" s="5" t="s">
        <v>4422</v>
      </c>
      <c r="B3657">
        <v>2187</v>
      </c>
      <c r="C3657">
        <v>895</v>
      </c>
      <c r="D3657">
        <v>241447</v>
      </c>
      <c r="E3657">
        <v>174383</v>
      </c>
      <c r="F3657">
        <v>4.9000000000000004</v>
      </c>
      <c r="G3657">
        <v>2.7</v>
      </c>
      <c r="H3657">
        <v>17.2</v>
      </c>
      <c r="I3657">
        <v>8.6999999999999993</v>
      </c>
    </row>
    <row r="3658" spans="1:9" ht="24" customHeight="1">
      <c r="A3658" s="5" t="s">
        <v>4423</v>
      </c>
      <c r="B3658">
        <v>545</v>
      </c>
      <c r="C3658">
        <v>269</v>
      </c>
      <c r="D3658">
        <v>257381</v>
      </c>
      <c r="E3658">
        <v>194531</v>
      </c>
      <c r="F3658">
        <v>3.9</v>
      </c>
      <c r="G3658">
        <v>3</v>
      </c>
      <c r="H3658">
        <v>19.600000000000001</v>
      </c>
      <c r="I3658">
        <v>11.5</v>
      </c>
    </row>
    <row r="3659" spans="1:9" ht="24" customHeight="1">
      <c r="A3659" s="5" t="s">
        <v>330</v>
      </c>
      <c r="B3659">
        <v>12280</v>
      </c>
      <c r="C3659">
        <v>22303</v>
      </c>
      <c r="D3659">
        <v>238003</v>
      </c>
      <c r="E3659">
        <v>148110</v>
      </c>
      <c r="F3659">
        <v>7</v>
      </c>
      <c r="G3659">
        <v>3</v>
      </c>
      <c r="H3659">
        <v>14.8</v>
      </c>
      <c r="I3659">
        <v>8.9</v>
      </c>
    </row>
    <row r="3660" spans="1:9" ht="24" customHeight="1">
      <c r="A3660" s="5" t="s">
        <v>189</v>
      </c>
      <c r="B3660">
        <v>1361</v>
      </c>
      <c r="C3660">
        <v>762</v>
      </c>
      <c r="D3660">
        <v>334286</v>
      </c>
      <c r="E3660">
        <v>244662</v>
      </c>
      <c r="F3660">
        <v>8.4</v>
      </c>
      <c r="G3660">
        <v>7.7</v>
      </c>
      <c r="H3660">
        <v>25.2</v>
      </c>
      <c r="I3660">
        <v>11.4</v>
      </c>
    </row>
    <row r="3661" spans="1:9" ht="24" customHeight="1">
      <c r="A3661" s="5" t="s">
        <v>4424</v>
      </c>
      <c r="B3661">
        <v>5681</v>
      </c>
      <c r="C3661">
        <v>14179</v>
      </c>
      <c r="D3661">
        <v>219933</v>
      </c>
      <c r="E3661">
        <v>133183</v>
      </c>
      <c r="F3661">
        <v>6.6</v>
      </c>
      <c r="G3661">
        <v>2.2999999999999998</v>
      </c>
      <c r="H3661">
        <v>11.9</v>
      </c>
      <c r="I3661">
        <v>8.3000000000000007</v>
      </c>
    </row>
    <row r="3662" spans="1:9" ht="24" customHeight="1">
      <c r="A3662" s="5" t="s">
        <v>4425</v>
      </c>
      <c r="B3662">
        <v>3811</v>
      </c>
      <c r="C3662">
        <v>5028</v>
      </c>
      <c r="D3662">
        <v>230581</v>
      </c>
      <c r="E3662">
        <v>165339</v>
      </c>
      <c r="F3662">
        <v>7</v>
      </c>
      <c r="G3662">
        <v>3.3</v>
      </c>
      <c r="H3662">
        <v>14.2</v>
      </c>
      <c r="I3662">
        <v>9</v>
      </c>
    </row>
    <row r="3663" spans="1:9" ht="24" customHeight="1">
      <c r="A3663" s="5" t="s">
        <v>4426</v>
      </c>
      <c r="B3663">
        <v>1427</v>
      </c>
      <c r="C3663">
        <v>2334</v>
      </c>
      <c r="D3663">
        <v>237946</v>
      </c>
      <c r="E3663">
        <v>170159</v>
      </c>
      <c r="F3663">
        <v>7.5</v>
      </c>
      <c r="G3663">
        <v>5.0999999999999996</v>
      </c>
      <c r="H3663">
        <v>17.7</v>
      </c>
      <c r="I3663">
        <v>11.6</v>
      </c>
    </row>
    <row r="3664" spans="1:9" ht="24" customHeight="1">
      <c r="A3664" s="5" t="s">
        <v>332</v>
      </c>
      <c r="B3664">
        <v>16067</v>
      </c>
      <c r="C3664">
        <v>33325</v>
      </c>
      <c r="D3664">
        <v>252006</v>
      </c>
      <c r="E3664">
        <v>142102</v>
      </c>
      <c r="F3664">
        <v>10</v>
      </c>
      <c r="G3664">
        <v>3.6</v>
      </c>
      <c r="H3664">
        <v>17.5</v>
      </c>
      <c r="I3664">
        <v>8.1</v>
      </c>
    </row>
    <row r="3665" spans="1:9" ht="24" customHeight="1">
      <c r="A3665" s="5" t="s">
        <v>193</v>
      </c>
      <c r="B3665">
        <v>3503</v>
      </c>
      <c r="C3665">
        <v>6412</v>
      </c>
      <c r="D3665">
        <v>244323</v>
      </c>
      <c r="E3665">
        <v>156774</v>
      </c>
      <c r="F3665">
        <v>15.4</v>
      </c>
      <c r="G3665">
        <v>5.6</v>
      </c>
      <c r="H3665">
        <v>13.5</v>
      </c>
      <c r="I3665">
        <v>7.1</v>
      </c>
    </row>
    <row r="3666" spans="1:9" ht="24" customHeight="1">
      <c r="A3666" s="5" t="s">
        <v>4427</v>
      </c>
      <c r="B3666">
        <v>6669</v>
      </c>
      <c r="C3666">
        <v>16344</v>
      </c>
      <c r="D3666">
        <v>239465</v>
      </c>
      <c r="E3666">
        <v>124363</v>
      </c>
      <c r="F3666">
        <v>5.2</v>
      </c>
      <c r="G3666">
        <v>1.4</v>
      </c>
      <c r="H3666">
        <v>17.2</v>
      </c>
      <c r="I3666">
        <v>8.4</v>
      </c>
    </row>
    <row r="3667" spans="1:9" ht="24" customHeight="1">
      <c r="A3667" s="5" t="s">
        <v>4428</v>
      </c>
      <c r="B3667">
        <v>3550</v>
      </c>
      <c r="C3667">
        <v>8093</v>
      </c>
      <c r="D3667">
        <v>268399</v>
      </c>
      <c r="E3667">
        <v>151690</v>
      </c>
      <c r="F3667">
        <v>14.9</v>
      </c>
      <c r="G3667">
        <v>6.3</v>
      </c>
      <c r="H3667">
        <v>17.2</v>
      </c>
      <c r="I3667">
        <v>8.3000000000000007</v>
      </c>
    </row>
    <row r="3668" spans="1:9" ht="24" customHeight="1">
      <c r="A3668" s="5" t="s">
        <v>4429</v>
      </c>
      <c r="B3668">
        <v>2345</v>
      </c>
      <c r="C3668">
        <v>2476</v>
      </c>
      <c r="D3668">
        <v>274326</v>
      </c>
      <c r="E3668">
        <v>189875</v>
      </c>
      <c r="F3668">
        <v>7.8</v>
      </c>
      <c r="G3668">
        <v>4</v>
      </c>
      <c r="H3668">
        <v>24.7</v>
      </c>
      <c r="I3668">
        <v>8.5</v>
      </c>
    </row>
    <row r="3669" spans="1:9" ht="24" customHeight="1">
      <c r="A3669" s="5" t="s">
        <v>334</v>
      </c>
      <c r="B3669">
        <v>24963</v>
      </c>
      <c r="C3669">
        <v>37724</v>
      </c>
      <c r="D3669">
        <v>362492</v>
      </c>
      <c r="E3669">
        <v>176489</v>
      </c>
      <c r="F3669">
        <v>5.6</v>
      </c>
      <c r="G3669">
        <v>3.4</v>
      </c>
      <c r="H3669">
        <v>19.8</v>
      </c>
      <c r="I3669">
        <v>10</v>
      </c>
    </row>
    <row r="3670" spans="1:9" ht="24" customHeight="1">
      <c r="A3670" s="5" t="s">
        <v>197</v>
      </c>
      <c r="B3670">
        <v>7499</v>
      </c>
      <c r="C3670">
        <v>5714</v>
      </c>
      <c r="D3670">
        <v>426762</v>
      </c>
      <c r="E3670">
        <v>248548</v>
      </c>
      <c r="F3670">
        <v>6.9</v>
      </c>
      <c r="G3670">
        <v>5.0999999999999996</v>
      </c>
      <c r="H3670">
        <v>22.6</v>
      </c>
      <c r="I3670">
        <v>11.7</v>
      </c>
    </row>
    <row r="3671" spans="1:9" ht="24" customHeight="1">
      <c r="A3671" s="5" t="s">
        <v>4430</v>
      </c>
      <c r="B3671">
        <v>4722</v>
      </c>
      <c r="C3671">
        <v>10877</v>
      </c>
      <c r="D3671">
        <v>299732</v>
      </c>
      <c r="E3671">
        <v>132171</v>
      </c>
      <c r="F3671">
        <v>3</v>
      </c>
      <c r="G3671">
        <v>0.8</v>
      </c>
      <c r="H3671">
        <v>15</v>
      </c>
      <c r="I3671">
        <v>10.9</v>
      </c>
    </row>
    <row r="3672" spans="1:9" ht="24" customHeight="1">
      <c r="A3672" s="5" t="s">
        <v>4431</v>
      </c>
      <c r="B3672">
        <v>6614</v>
      </c>
      <c r="C3672">
        <v>14086</v>
      </c>
      <c r="D3672">
        <v>319098</v>
      </c>
      <c r="E3672">
        <v>164177</v>
      </c>
      <c r="F3672">
        <v>4</v>
      </c>
      <c r="G3672">
        <v>4.9000000000000004</v>
      </c>
      <c r="H3672">
        <v>17.600000000000001</v>
      </c>
      <c r="I3672">
        <v>8.3000000000000007</v>
      </c>
    </row>
    <row r="3673" spans="1:9" ht="24" customHeight="1">
      <c r="A3673" s="5" t="s">
        <v>4432</v>
      </c>
      <c r="B3673">
        <v>6128</v>
      </c>
      <c r="C3673">
        <v>7047</v>
      </c>
      <c r="D3673">
        <v>379035</v>
      </c>
      <c r="E3673">
        <v>211072</v>
      </c>
      <c r="F3673">
        <v>7.7</v>
      </c>
      <c r="G3673">
        <v>3.3</v>
      </c>
      <c r="H3673">
        <v>22.3</v>
      </c>
      <c r="I3673">
        <v>10.7</v>
      </c>
    </row>
    <row r="3674" spans="1:9" ht="24" customHeight="1">
      <c r="A3674" s="5" t="s">
        <v>336</v>
      </c>
      <c r="B3674">
        <v>546</v>
      </c>
      <c r="C3674">
        <v>491</v>
      </c>
      <c r="D3674">
        <v>330157</v>
      </c>
      <c r="E3674">
        <v>213863</v>
      </c>
      <c r="F3674">
        <v>10</v>
      </c>
      <c r="G3674">
        <v>1.8</v>
      </c>
      <c r="H3674">
        <v>11.2</v>
      </c>
      <c r="I3674">
        <v>12.8</v>
      </c>
    </row>
    <row r="3675" spans="1:9" ht="24" customHeight="1">
      <c r="A3675" s="5" t="s">
        <v>201</v>
      </c>
      <c r="B3675">
        <v>104</v>
      </c>
      <c r="C3675">
        <v>70</v>
      </c>
      <c r="D3675">
        <v>491974</v>
      </c>
      <c r="E3675">
        <v>264191</v>
      </c>
      <c r="F3675">
        <v>7</v>
      </c>
      <c r="G3675">
        <v>1.8</v>
      </c>
      <c r="H3675">
        <v>33</v>
      </c>
      <c r="I3675">
        <v>29.5</v>
      </c>
    </row>
    <row r="3676" spans="1:9" ht="24" customHeight="1">
      <c r="A3676" s="5" t="s">
        <v>4433</v>
      </c>
      <c r="B3676">
        <v>242</v>
      </c>
      <c r="C3676">
        <v>195</v>
      </c>
      <c r="D3676">
        <v>255721</v>
      </c>
      <c r="E3676">
        <v>182629</v>
      </c>
      <c r="F3676">
        <v>10</v>
      </c>
      <c r="G3676">
        <v>0</v>
      </c>
      <c r="H3676">
        <v>6.3</v>
      </c>
      <c r="I3676">
        <v>10.7</v>
      </c>
    </row>
    <row r="3677" spans="1:9" ht="24" customHeight="1">
      <c r="A3677" s="5" t="s">
        <v>4434</v>
      </c>
      <c r="B3677">
        <v>11</v>
      </c>
      <c r="C3677">
        <v>0</v>
      </c>
      <c r="D3677">
        <v>215872</v>
      </c>
      <c r="E3677"/>
      <c r="F3677">
        <v>0</v>
      </c>
      <c r="G3677"/>
      <c r="H3677">
        <v>18</v>
      </c>
      <c r="I3677"/>
    </row>
    <row r="3678" spans="1:9" ht="24" customHeight="1">
      <c r="A3678" s="5" t="s">
        <v>4435</v>
      </c>
      <c r="B3678">
        <v>189</v>
      </c>
      <c r="C3678">
        <v>227</v>
      </c>
      <c r="D3678">
        <v>342542</v>
      </c>
      <c r="E3678">
        <v>225268</v>
      </c>
      <c r="F3678">
        <v>12.2</v>
      </c>
      <c r="G3678">
        <v>3.3</v>
      </c>
      <c r="H3678">
        <v>5.3</v>
      </c>
      <c r="I3678">
        <v>9.5</v>
      </c>
    </row>
    <row r="3679" spans="1:9" ht="24" customHeight="1">
      <c r="A3679" s="5" t="s">
        <v>338</v>
      </c>
      <c r="B3679">
        <v>33602</v>
      </c>
      <c r="C3679">
        <v>60155</v>
      </c>
      <c r="D3679">
        <v>255276</v>
      </c>
      <c r="E3679">
        <v>165647</v>
      </c>
      <c r="F3679">
        <v>9.1999999999999993</v>
      </c>
      <c r="G3679">
        <v>6.1</v>
      </c>
      <c r="H3679">
        <v>15.1</v>
      </c>
      <c r="I3679">
        <v>8.9</v>
      </c>
    </row>
    <row r="3680" spans="1:9" ht="24" customHeight="1">
      <c r="A3680" s="5" t="s">
        <v>205</v>
      </c>
      <c r="B3680">
        <v>4977</v>
      </c>
      <c r="C3680">
        <v>5716</v>
      </c>
      <c r="D3680">
        <v>326558</v>
      </c>
      <c r="E3680">
        <v>197061</v>
      </c>
      <c r="F3680">
        <v>13.2</v>
      </c>
      <c r="G3680">
        <v>6.9</v>
      </c>
      <c r="H3680">
        <v>16.899999999999999</v>
      </c>
      <c r="I3680">
        <v>8.5</v>
      </c>
    </row>
    <row r="3681" spans="1:9" ht="24" customHeight="1">
      <c r="A3681" s="5" t="s">
        <v>4436</v>
      </c>
      <c r="B3681">
        <v>13710</v>
      </c>
      <c r="C3681">
        <v>34292</v>
      </c>
      <c r="D3681">
        <v>212993</v>
      </c>
      <c r="E3681">
        <v>148158</v>
      </c>
      <c r="F3681">
        <v>9.8000000000000007</v>
      </c>
      <c r="G3681">
        <v>5.6</v>
      </c>
      <c r="H3681">
        <v>14</v>
      </c>
      <c r="I3681">
        <v>8.3000000000000007</v>
      </c>
    </row>
    <row r="3682" spans="1:9" ht="24" customHeight="1">
      <c r="A3682" s="5" t="s">
        <v>4437</v>
      </c>
      <c r="B3682">
        <v>7635</v>
      </c>
      <c r="C3682">
        <v>10494</v>
      </c>
      <c r="D3682">
        <v>278921</v>
      </c>
      <c r="E3682">
        <v>198754</v>
      </c>
      <c r="F3682">
        <v>7.7</v>
      </c>
      <c r="G3682">
        <v>9.3000000000000007</v>
      </c>
      <c r="H3682">
        <v>17.899999999999999</v>
      </c>
      <c r="I3682">
        <v>10.7</v>
      </c>
    </row>
    <row r="3683" spans="1:9" ht="24" customHeight="1">
      <c r="A3683" s="5" t="s">
        <v>4438</v>
      </c>
      <c r="B3683">
        <v>7281</v>
      </c>
      <c r="C3683">
        <v>9653</v>
      </c>
      <c r="D3683">
        <v>261378</v>
      </c>
      <c r="E3683">
        <v>173184</v>
      </c>
      <c r="F3683">
        <v>6.8</v>
      </c>
      <c r="G3683">
        <v>3.8</v>
      </c>
      <c r="H3683">
        <v>13</v>
      </c>
      <c r="I3683">
        <v>9.5</v>
      </c>
    </row>
    <row r="3684" spans="1:9" ht="24" customHeight="1">
      <c r="A3684" s="5" t="s">
        <v>340</v>
      </c>
      <c r="B3684">
        <v>9903</v>
      </c>
      <c r="C3684">
        <v>14356</v>
      </c>
      <c r="D3684">
        <v>300163</v>
      </c>
      <c r="E3684">
        <v>165387</v>
      </c>
      <c r="F3684">
        <v>9.8000000000000007</v>
      </c>
      <c r="G3684">
        <v>4.5</v>
      </c>
      <c r="H3684">
        <v>16.899999999999999</v>
      </c>
      <c r="I3684">
        <v>9</v>
      </c>
    </row>
    <row r="3685" spans="1:9" ht="24" customHeight="1">
      <c r="A3685" s="5" t="s">
        <v>209</v>
      </c>
      <c r="B3685">
        <v>4698</v>
      </c>
      <c r="C3685">
        <v>2239</v>
      </c>
      <c r="D3685">
        <v>355629</v>
      </c>
      <c r="E3685">
        <v>238023</v>
      </c>
      <c r="F3685">
        <v>12.9</v>
      </c>
      <c r="G3685">
        <v>10.3</v>
      </c>
      <c r="H3685">
        <v>16.3</v>
      </c>
      <c r="I3685">
        <v>11.2</v>
      </c>
    </row>
    <row r="3686" spans="1:9" ht="24" customHeight="1">
      <c r="A3686" s="5" t="s">
        <v>4439</v>
      </c>
      <c r="B3686">
        <v>2084</v>
      </c>
      <c r="C3686">
        <v>6942</v>
      </c>
      <c r="D3686">
        <v>193876</v>
      </c>
      <c r="E3686">
        <v>129897</v>
      </c>
      <c r="F3686">
        <v>5.6</v>
      </c>
      <c r="G3686">
        <v>1.8</v>
      </c>
      <c r="H3686">
        <v>15.4</v>
      </c>
      <c r="I3686">
        <v>7.9</v>
      </c>
    </row>
    <row r="3687" spans="1:9" ht="24" customHeight="1">
      <c r="A3687" s="5" t="s">
        <v>4440</v>
      </c>
      <c r="B3687">
        <v>1512</v>
      </c>
      <c r="C3687">
        <v>3429</v>
      </c>
      <c r="D3687">
        <v>260863</v>
      </c>
      <c r="E3687">
        <v>165618</v>
      </c>
      <c r="F3687">
        <v>9</v>
      </c>
      <c r="G3687">
        <v>4</v>
      </c>
      <c r="H3687">
        <v>16.2</v>
      </c>
      <c r="I3687">
        <v>9.4</v>
      </c>
    </row>
    <row r="3688" spans="1:9" ht="24" customHeight="1">
      <c r="A3688" s="5" t="s">
        <v>4441</v>
      </c>
      <c r="B3688">
        <v>1610</v>
      </c>
      <c r="C3688">
        <v>1747</v>
      </c>
      <c r="D3688">
        <v>312800</v>
      </c>
      <c r="E3688">
        <v>212892</v>
      </c>
      <c r="F3688">
        <v>6.8</v>
      </c>
      <c r="G3688">
        <v>9.1</v>
      </c>
      <c r="H3688">
        <v>20.9</v>
      </c>
      <c r="I3688">
        <v>9.8000000000000007</v>
      </c>
    </row>
    <row r="3689" spans="1:9" ht="24" customHeight="1">
      <c r="A3689" s="5" t="s">
        <v>342</v>
      </c>
      <c r="B3689">
        <v>1767</v>
      </c>
      <c r="C3689">
        <v>5066</v>
      </c>
      <c r="D3689">
        <v>197557</v>
      </c>
      <c r="E3689">
        <v>133067</v>
      </c>
      <c r="F3689">
        <v>1.4</v>
      </c>
      <c r="G3689">
        <v>1.7</v>
      </c>
      <c r="H3689">
        <v>24.4</v>
      </c>
      <c r="I3689">
        <v>10.7</v>
      </c>
    </row>
    <row r="3690" spans="1:9" ht="24" customHeight="1">
      <c r="A3690" s="5" t="s">
        <v>406</v>
      </c>
      <c r="B3690">
        <v>1</v>
      </c>
      <c r="C3690">
        <v>12</v>
      </c>
      <c r="D3690">
        <v>319479</v>
      </c>
      <c r="E3690">
        <v>187799</v>
      </c>
      <c r="F3690">
        <v>0</v>
      </c>
      <c r="G3690">
        <v>0</v>
      </c>
      <c r="H3690">
        <v>39</v>
      </c>
      <c r="I3690">
        <v>4.4000000000000004</v>
      </c>
    </row>
    <row r="3691" spans="1:9" ht="24" customHeight="1">
      <c r="A3691" s="5" t="s">
        <v>4442</v>
      </c>
      <c r="B3691">
        <v>1334</v>
      </c>
      <c r="C3691">
        <v>3072</v>
      </c>
      <c r="D3691">
        <v>174904</v>
      </c>
      <c r="E3691">
        <v>123302</v>
      </c>
      <c r="F3691">
        <v>0.4</v>
      </c>
      <c r="G3691">
        <v>0.6</v>
      </c>
      <c r="H3691">
        <v>27.8</v>
      </c>
      <c r="I3691">
        <v>10.5</v>
      </c>
    </row>
    <row r="3692" spans="1:9" ht="24" customHeight="1">
      <c r="A3692" s="5" t="s">
        <v>4443</v>
      </c>
      <c r="B3692">
        <v>419</v>
      </c>
      <c r="C3692">
        <v>1973</v>
      </c>
      <c r="D3692">
        <v>267454</v>
      </c>
      <c r="E3692">
        <v>147072</v>
      </c>
      <c r="F3692">
        <v>4.0999999999999996</v>
      </c>
      <c r="G3692">
        <v>3.3</v>
      </c>
      <c r="H3692">
        <v>13.8</v>
      </c>
      <c r="I3692">
        <v>10.9</v>
      </c>
    </row>
    <row r="3693" spans="1:9" ht="24" customHeight="1">
      <c r="A3693" s="5" t="s">
        <v>4444</v>
      </c>
      <c r="B3693">
        <v>12</v>
      </c>
      <c r="C3693">
        <v>10</v>
      </c>
      <c r="D3693">
        <v>261122</v>
      </c>
      <c r="E3693">
        <v>304267</v>
      </c>
      <c r="F3693">
        <v>10.8</v>
      </c>
      <c r="G3693">
        <v>28.5</v>
      </c>
      <c r="H3693">
        <v>18.8</v>
      </c>
      <c r="I3693">
        <v>10.5</v>
      </c>
    </row>
    <row r="3694" spans="1:9" ht="24" customHeight="1">
      <c r="A3694" s="5" t="s">
        <v>344</v>
      </c>
      <c r="B3694">
        <v>26117</v>
      </c>
      <c r="C3694">
        <v>11548</v>
      </c>
      <c r="D3694">
        <v>292703</v>
      </c>
      <c r="E3694">
        <v>195770</v>
      </c>
      <c r="F3694">
        <v>8.6</v>
      </c>
      <c r="G3694">
        <v>3.2</v>
      </c>
      <c r="H3694">
        <v>14.6</v>
      </c>
      <c r="I3694">
        <v>11.4</v>
      </c>
    </row>
    <row r="3695" spans="1:9" ht="24" customHeight="1">
      <c r="A3695" s="5" t="s">
        <v>214</v>
      </c>
      <c r="B3695">
        <v>3355</v>
      </c>
      <c r="C3695">
        <v>1111</v>
      </c>
      <c r="D3695">
        <v>376780</v>
      </c>
      <c r="E3695">
        <v>263198</v>
      </c>
      <c r="F3695">
        <v>16.5</v>
      </c>
      <c r="G3695">
        <v>7.7</v>
      </c>
      <c r="H3695">
        <v>13</v>
      </c>
      <c r="I3695">
        <v>9.9</v>
      </c>
    </row>
    <row r="3696" spans="1:9" ht="24" customHeight="1">
      <c r="A3696" s="5" t="s">
        <v>4445</v>
      </c>
      <c r="B3696">
        <v>16132</v>
      </c>
      <c r="C3696">
        <v>6640</v>
      </c>
      <c r="D3696">
        <v>269105</v>
      </c>
      <c r="E3696">
        <v>163685</v>
      </c>
      <c r="F3696">
        <v>7.9</v>
      </c>
      <c r="G3696">
        <v>2.2999999999999998</v>
      </c>
      <c r="H3696">
        <v>11.8</v>
      </c>
      <c r="I3696">
        <v>9.5</v>
      </c>
    </row>
    <row r="3697" spans="1:9" ht="24" customHeight="1">
      <c r="A3697" s="5" t="s">
        <v>4446</v>
      </c>
      <c r="B3697">
        <v>4508</v>
      </c>
      <c r="C3697">
        <v>3011</v>
      </c>
      <c r="D3697">
        <v>311878</v>
      </c>
      <c r="E3697">
        <v>230448</v>
      </c>
      <c r="F3697">
        <v>4.8</v>
      </c>
      <c r="G3697">
        <v>2.5</v>
      </c>
      <c r="H3697">
        <v>24.2</v>
      </c>
      <c r="I3697">
        <v>15.8</v>
      </c>
    </row>
    <row r="3698" spans="1:9" ht="24" customHeight="1">
      <c r="A3698" s="5" t="s">
        <v>4447</v>
      </c>
      <c r="B3698">
        <v>2121</v>
      </c>
      <c r="C3698">
        <v>786</v>
      </c>
      <c r="D3698">
        <v>298437</v>
      </c>
      <c r="E3698">
        <v>238668</v>
      </c>
      <c r="F3698">
        <v>10.1</v>
      </c>
      <c r="G3698">
        <v>6.9</v>
      </c>
      <c r="H3698">
        <v>18.7</v>
      </c>
      <c r="I3698">
        <v>12.8</v>
      </c>
    </row>
    <row r="3699" spans="1:9" ht="24" customHeight="1">
      <c r="A3699" s="5" t="s">
        <v>346</v>
      </c>
      <c r="B3699">
        <v>16003</v>
      </c>
      <c r="C3699">
        <v>4259</v>
      </c>
      <c r="D3699">
        <v>293618</v>
      </c>
      <c r="E3699">
        <v>209803</v>
      </c>
      <c r="F3699">
        <v>15.2</v>
      </c>
      <c r="G3699">
        <v>4.7</v>
      </c>
      <c r="H3699">
        <v>14.7</v>
      </c>
      <c r="I3699">
        <v>11</v>
      </c>
    </row>
    <row r="3700" spans="1:9" ht="24" customHeight="1">
      <c r="A3700" s="5" t="s">
        <v>218</v>
      </c>
      <c r="B3700">
        <v>3090</v>
      </c>
      <c r="C3700">
        <v>892</v>
      </c>
      <c r="D3700">
        <v>407155</v>
      </c>
      <c r="E3700">
        <v>278205</v>
      </c>
      <c r="F3700">
        <v>11.9</v>
      </c>
      <c r="G3700">
        <v>10.8</v>
      </c>
      <c r="H3700">
        <v>29.1</v>
      </c>
      <c r="I3700">
        <v>19.5</v>
      </c>
    </row>
    <row r="3701" spans="1:9" ht="24" customHeight="1">
      <c r="A3701" s="5" t="s">
        <v>4448</v>
      </c>
      <c r="B3701">
        <v>5429</v>
      </c>
      <c r="C3701">
        <v>1561</v>
      </c>
      <c r="D3701">
        <v>246179</v>
      </c>
      <c r="E3701">
        <v>163812</v>
      </c>
      <c r="F3701">
        <v>14.1</v>
      </c>
      <c r="G3701">
        <v>2.1</v>
      </c>
      <c r="H3701">
        <v>6.8</v>
      </c>
      <c r="I3701">
        <v>6.3</v>
      </c>
    </row>
    <row r="3702" spans="1:9" ht="24" customHeight="1">
      <c r="A3702" s="5" t="s">
        <v>4449</v>
      </c>
      <c r="B3702">
        <v>4508</v>
      </c>
      <c r="C3702">
        <v>1240</v>
      </c>
      <c r="D3702">
        <v>266558</v>
      </c>
      <c r="E3702">
        <v>205396</v>
      </c>
      <c r="F3702">
        <v>21.7</v>
      </c>
      <c r="G3702">
        <v>3.3</v>
      </c>
      <c r="H3702">
        <v>11.1</v>
      </c>
      <c r="I3702">
        <v>10.6</v>
      </c>
    </row>
    <row r="3703" spans="1:9" ht="24" customHeight="1">
      <c r="A3703" s="5" t="s">
        <v>4450</v>
      </c>
      <c r="B3703">
        <v>2976</v>
      </c>
      <c r="C3703">
        <v>566</v>
      </c>
      <c r="D3703">
        <v>303274</v>
      </c>
      <c r="E3703">
        <v>238500</v>
      </c>
      <c r="F3703">
        <v>10.8</v>
      </c>
      <c r="G3703">
        <v>4.9000000000000004</v>
      </c>
      <c r="H3703">
        <v>19.8</v>
      </c>
      <c r="I3703">
        <v>11.1</v>
      </c>
    </row>
    <row r="3704" spans="1:9" ht="24" customHeight="1">
      <c r="A3704" s="5" t="s">
        <v>348</v>
      </c>
      <c r="B3704">
        <v>10753</v>
      </c>
      <c r="C3704">
        <v>9444</v>
      </c>
      <c r="D3704">
        <v>292782</v>
      </c>
      <c r="E3704">
        <v>191951</v>
      </c>
      <c r="F3704">
        <v>11.2</v>
      </c>
      <c r="G3704">
        <v>6.1</v>
      </c>
      <c r="H3704">
        <v>14.1</v>
      </c>
      <c r="I3704">
        <v>9.6999999999999993</v>
      </c>
    </row>
    <row r="3705" spans="1:9" ht="24" customHeight="1">
      <c r="A3705" s="5" t="s">
        <v>222</v>
      </c>
      <c r="B3705">
        <v>1837</v>
      </c>
      <c r="C3705">
        <v>786</v>
      </c>
      <c r="D3705">
        <v>354587</v>
      </c>
      <c r="E3705">
        <v>234349</v>
      </c>
      <c r="F3705">
        <v>7.1</v>
      </c>
      <c r="G3705">
        <v>5.4</v>
      </c>
      <c r="H3705">
        <v>21.6</v>
      </c>
      <c r="I3705">
        <v>12.8</v>
      </c>
    </row>
    <row r="3706" spans="1:9" ht="24" customHeight="1">
      <c r="A3706" s="5" t="s">
        <v>4451</v>
      </c>
      <c r="B3706">
        <v>4635</v>
      </c>
      <c r="C3706">
        <v>4435</v>
      </c>
      <c r="D3706">
        <v>247159</v>
      </c>
      <c r="E3706">
        <v>163587</v>
      </c>
      <c r="F3706">
        <v>14.2</v>
      </c>
      <c r="G3706">
        <v>4.8</v>
      </c>
      <c r="H3706">
        <v>7.6</v>
      </c>
      <c r="I3706">
        <v>8.6</v>
      </c>
    </row>
    <row r="3707" spans="1:9" ht="24" customHeight="1">
      <c r="A3707" s="5" t="s">
        <v>4452</v>
      </c>
      <c r="B3707">
        <v>1943</v>
      </c>
      <c r="C3707">
        <v>2137</v>
      </c>
      <c r="D3707">
        <v>327346</v>
      </c>
      <c r="E3707">
        <v>212802</v>
      </c>
      <c r="F3707">
        <v>8.9</v>
      </c>
      <c r="G3707">
        <v>6.9</v>
      </c>
      <c r="H3707">
        <v>17.5</v>
      </c>
      <c r="I3707">
        <v>9.8000000000000007</v>
      </c>
    </row>
    <row r="3708" spans="1:9" ht="24" customHeight="1">
      <c r="A3708" s="5" t="s">
        <v>4453</v>
      </c>
      <c r="B3708">
        <v>2338</v>
      </c>
      <c r="C3708">
        <v>2086</v>
      </c>
      <c r="D3708">
        <v>305939</v>
      </c>
      <c r="E3708">
        <v>214905</v>
      </c>
      <c r="F3708">
        <v>10.4</v>
      </c>
      <c r="G3708">
        <v>8.5</v>
      </c>
      <c r="H3708">
        <v>18.3</v>
      </c>
      <c r="I3708">
        <v>10.8</v>
      </c>
    </row>
    <row r="3709" spans="1:9" ht="24" customHeight="1">
      <c r="A3709" s="5" t="s">
        <v>350</v>
      </c>
      <c r="B3709">
        <v>41219</v>
      </c>
      <c r="C3709">
        <v>35276</v>
      </c>
      <c r="D3709">
        <v>265289</v>
      </c>
      <c r="E3709">
        <v>171030</v>
      </c>
      <c r="F3709">
        <v>11.2</v>
      </c>
      <c r="G3709">
        <v>3.2</v>
      </c>
      <c r="H3709">
        <v>13</v>
      </c>
      <c r="I3709">
        <v>9.1</v>
      </c>
    </row>
    <row r="3710" spans="1:9" ht="24" customHeight="1">
      <c r="A3710" s="5" t="s">
        <v>226</v>
      </c>
      <c r="B3710">
        <v>3878</v>
      </c>
      <c r="C3710">
        <v>1893</v>
      </c>
      <c r="D3710">
        <v>332579</v>
      </c>
      <c r="E3710">
        <v>255223</v>
      </c>
      <c r="F3710">
        <v>18.899999999999999</v>
      </c>
      <c r="G3710">
        <v>11.4</v>
      </c>
      <c r="H3710">
        <v>11.8</v>
      </c>
      <c r="I3710">
        <v>10.199999999999999</v>
      </c>
    </row>
    <row r="3711" spans="1:9" ht="24" customHeight="1">
      <c r="A3711" s="5" t="s">
        <v>4454</v>
      </c>
      <c r="B3711">
        <v>23262</v>
      </c>
      <c r="C3711">
        <v>21888</v>
      </c>
      <c r="D3711">
        <v>245272</v>
      </c>
      <c r="E3711">
        <v>139709</v>
      </c>
      <c r="F3711">
        <v>9.1</v>
      </c>
      <c r="G3711">
        <v>1.4</v>
      </c>
      <c r="H3711">
        <v>12.1</v>
      </c>
      <c r="I3711">
        <v>8</v>
      </c>
    </row>
    <row r="3712" spans="1:9" ht="24" customHeight="1">
      <c r="A3712" s="5" t="s">
        <v>4455</v>
      </c>
      <c r="B3712">
        <v>7320</v>
      </c>
      <c r="C3712">
        <v>6992</v>
      </c>
      <c r="D3712">
        <v>268346</v>
      </c>
      <c r="E3712">
        <v>198345</v>
      </c>
      <c r="F3712">
        <v>14</v>
      </c>
      <c r="G3712">
        <v>5.0999999999999996</v>
      </c>
      <c r="H3712">
        <v>15.2</v>
      </c>
      <c r="I3712">
        <v>12.7</v>
      </c>
    </row>
    <row r="3713" spans="1:9" ht="24" customHeight="1">
      <c r="A3713" s="5" t="s">
        <v>4456</v>
      </c>
      <c r="B3713">
        <v>6758</v>
      </c>
      <c r="C3713">
        <v>4503</v>
      </c>
      <c r="D3713">
        <v>292265</v>
      </c>
      <c r="E3713">
        <v>245465</v>
      </c>
      <c r="F3713">
        <v>11</v>
      </c>
      <c r="G3713">
        <v>6.1</v>
      </c>
      <c r="H3713">
        <v>14.5</v>
      </c>
      <c r="I3713">
        <v>8.1</v>
      </c>
    </row>
    <row r="3714" spans="1:9" ht="24" customHeight="1">
      <c r="A3714" s="5" t="s">
        <v>352</v>
      </c>
      <c r="B3714">
        <v>28536</v>
      </c>
      <c r="C3714">
        <v>19915</v>
      </c>
      <c r="D3714">
        <v>312651</v>
      </c>
      <c r="E3714">
        <v>204586</v>
      </c>
      <c r="F3714">
        <v>8.6</v>
      </c>
      <c r="G3714">
        <v>5</v>
      </c>
      <c r="H3714">
        <v>16.100000000000001</v>
      </c>
      <c r="I3714">
        <v>9.1999999999999993</v>
      </c>
    </row>
    <row r="3715" spans="1:9" ht="24" customHeight="1">
      <c r="A3715" s="5" t="s">
        <v>230</v>
      </c>
      <c r="B3715">
        <v>10115</v>
      </c>
      <c r="C3715">
        <v>5940</v>
      </c>
      <c r="D3715">
        <v>388131</v>
      </c>
      <c r="E3715">
        <v>250659</v>
      </c>
      <c r="F3715">
        <v>9.4</v>
      </c>
      <c r="G3715">
        <v>9.1999999999999993</v>
      </c>
      <c r="H3715">
        <v>18.399999999999999</v>
      </c>
      <c r="I3715">
        <v>8.1999999999999993</v>
      </c>
    </row>
    <row r="3716" spans="1:9" ht="24" customHeight="1">
      <c r="A3716" s="5" t="s">
        <v>4457</v>
      </c>
      <c r="B3716">
        <v>7720</v>
      </c>
      <c r="C3716">
        <v>5460</v>
      </c>
      <c r="D3716">
        <v>223074</v>
      </c>
      <c r="E3716">
        <v>153656</v>
      </c>
      <c r="F3716">
        <v>8.1</v>
      </c>
      <c r="G3716">
        <v>2.6</v>
      </c>
      <c r="H3716">
        <v>11</v>
      </c>
      <c r="I3716">
        <v>8.1999999999999993</v>
      </c>
    </row>
    <row r="3717" spans="1:9" ht="24" customHeight="1">
      <c r="A3717" s="5" t="s">
        <v>4458</v>
      </c>
      <c r="B3717">
        <v>5655</v>
      </c>
      <c r="C3717">
        <v>5394</v>
      </c>
      <c r="D3717">
        <v>278892</v>
      </c>
      <c r="E3717">
        <v>203848</v>
      </c>
      <c r="F3717">
        <v>8.1999999999999993</v>
      </c>
      <c r="G3717">
        <v>3.3</v>
      </c>
      <c r="H3717">
        <v>19.899999999999999</v>
      </c>
      <c r="I3717">
        <v>10.9</v>
      </c>
    </row>
    <row r="3718" spans="1:9" ht="24" customHeight="1">
      <c r="A3718" s="5" t="s">
        <v>4459</v>
      </c>
      <c r="B3718">
        <v>5046</v>
      </c>
      <c r="C3718">
        <v>3120</v>
      </c>
      <c r="D3718">
        <v>336230</v>
      </c>
      <c r="E3718">
        <v>207263</v>
      </c>
      <c r="F3718">
        <v>8.1999999999999993</v>
      </c>
      <c r="G3718">
        <v>4.2</v>
      </c>
      <c r="H3718">
        <v>15.1</v>
      </c>
      <c r="I3718">
        <v>9.9</v>
      </c>
    </row>
    <row r="3719" spans="1:9" ht="24" customHeight="1">
      <c r="A3719" s="5" t="s">
        <v>354</v>
      </c>
      <c r="B3719">
        <v>43767</v>
      </c>
      <c r="C3719">
        <v>28269</v>
      </c>
      <c r="D3719">
        <v>313147</v>
      </c>
      <c r="E3719">
        <v>191021</v>
      </c>
      <c r="F3719">
        <v>9.3000000000000007</v>
      </c>
      <c r="G3719">
        <v>4.8</v>
      </c>
      <c r="H3719">
        <v>15.7</v>
      </c>
      <c r="I3719">
        <v>7.8</v>
      </c>
    </row>
    <row r="3720" spans="1:9" ht="24" customHeight="1">
      <c r="A3720" s="5" t="s">
        <v>234</v>
      </c>
      <c r="B3720">
        <v>6728</v>
      </c>
      <c r="C3720">
        <v>4515</v>
      </c>
      <c r="D3720">
        <v>362144</v>
      </c>
      <c r="E3720">
        <v>275035</v>
      </c>
      <c r="F3720">
        <v>8</v>
      </c>
      <c r="G3720">
        <v>9.8000000000000007</v>
      </c>
      <c r="H3720">
        <v>21.9</v>
      </c>
      <c r="I3720">
        <v>7.2</v>
      </c>
    </row>
    <row r="3721" spans="1:9" ht="24" customHeight="1">
      <c r="A3721" s="5" t="s">
        <v>4460</v>
      </c>
      <c r="B3721">
        <v>18211</v>
      </c>
      <c r="C3721">
        <v>11639</v>
      </c>
      <c r="D3721">
        <v>286061</v>
      </c>
      <c r="E3721">
        <v>152909</v>
      </c>
      <c r="F3721">
        <v>9.1999999999999993</v>
      </c>
      <c r="G3721">
        <v>3.7</v>
      </c>
      <c r="H3721">
        <v>12.7</v>
      </c>
      <c r="I3721">
        <v>7.9</v>
      </c>
    </row>
    <row r="3722" spans="1:9" ht="24" customHeight="1">
      <c r="A3722" s="5" t="s">
        <v>4461</v>
      </c>
      <c r="B3722">
        <v>11322</v>
      </c>
      <c r="C3722">
        <v>7221</v>
      </c>
      <c r="D3722">
        <v>288574</v>
      </c>
      <c r="E3722">
        <v>191835</v>
      </c>
      <c r="F3722">
        <v>9.6999999999999993</v>
      </c>
      <c r="G3722">
        <v>5.4</v>
      </c>
      <c r="H3722">
        <v>16.7</v>
      </c>
      <c r="I3722">
        <v>10.6</v>
      </c>
    </row>
    <row r="3723" spans="1:9" ht="24" customHeight="1">
      <c r="A3723" s="5" t="s">
        <v>4462</v>
      </c>
      <c r="B3723">
        <v>7507</v>
      </c>
      <c r="C3723">
        <v>4894</v>
      </c>
      <c r="D3723">
        <v>372011</v>
      </c>
      <c r="E3723">
        <v>202942</v>
      </c>
      <c r="F3723">
        <v>10</v>
      </c>
      <c r="G3723">
        <v>1.6</v>
      </c>
      <c r="H3723">
        <v>16.100000000000001</v>
      </c>
      <c r="I3723">
        <v>4.3</v>
      </c>
    </row>
    <row r="3724" spans="1:9" ht="24" customHeight="1">
      <c r="A3724" s="5" t="s">
        <v>356</v>
      </c>
      <c r="B3724">
        <v>17118</v>
      </c>
      <c r="C3724">
        <v>24469</v>
      </c>
      <c r="D3724">
        <v>314325</v>
      </c>
      <c r="E3724">
        <v>189908</v>
      </c>
      <c r="F3724">
        <v>6.1</v>
      </c>
      <c r="G3724">
        <v>3.8</v>
      </c>
      <c r="H3724">
        <v>18.600000000000001</v>
      </c>
      <c r="I3724">
        <v>9.8000000000000007</v>
      </c>
    </row>
    <row r="3725" spans="1:9" ht="24" customHeight="1">
      <c r="A3725" s="5" t="s">
        <v>238</v>
      </c>
      <c r="B3725">
        <v>6656</v>
      </c>
      <c r="C3725">
        <v>4274</v>
      </c>
      <c r="D3725">
        <v>377083</v>
      </c>
      <c r="E3725">
        <v>246659</v>
      </c>
      <c r="F3725">
        <v>7.7</v>
      </c>
      <c r="G3725">
        <v>6.3</v>
      </c>
      <c r="H3725">
        <v>22.7</v>
      </c>
      <c r="I3725">
        <v>13.7</v>
      </c>
    </row>
    <row r="3726" spans="1:9" ht="24" customHeight="1">
      <c r="A3726" s="5" t="s">
        <v>4463</v>
      </c>
      <c r="B3726">
        <v>4064</v>
      </c>
      <c r="C3726">
        <v>5980</v>
      </c>
      <c r="D3726">
        <v>220293</v>
      </c>
      <c r="E3726">
        <v>149768</v>
      </c>
      <c r="F3726">
        <v>3.7</v>
      </c>
      <c r="G3726">
        <v>2.1</v>
      </c>
      <c r="H3726">
        <v>12.3</v>
      </c>
      <c r="I3726">
        <v>8.1</v>
      </c>
    </row>
    <row r="3727" spans="1:9" ht="24" customHeight="1">
      <c r="A3727" s="5" t="s">
        <v>4464</v>
      </c>
      <c r="B3727">
        <v>3130</v>
      </c>
      <c r="C3727">
        <v>9059</v>
      </c>
      <c r="D3727">
        <v>314914</v>
      </c>
      <c r="E3727">
        <v>174810</v>
      </c>
      <c r="F3727">
        <v>4.3</v>
      </c>
      <c r="G3727">
        <v>2.8</v>
      </c>
      <c r="H3727">
        <v>16.7</v>
      </c>
      <c r="I3727">
        <v>8.8000000000000007</v>
      </c>
    </row>
    <row r="3728" spans="1:9" ht="24" customHeight="1">
      <c r="A3728" s="5" t="s">
        <v>4465</v>
      </c>
      <c r="B3728">
        <v>3268</v>
      </c>
      <c r="C3728">
        <v>5157</v>
      </c>
      <c r="D3728">
        <v>302888</v>
      </c>
      <c r="E3728">
        <v>215947</v>
      </c>
      <c r="F3728">
        <v>7.6</v>
      </c>
      <c r="G3728">
        <v>5.4</v>
      </c>
      <c r="H3728">
        <v>20</v>
      </c>
      <c r="I3728">
        <v>10.1</v>
      </c>
    </row>
    <row r="3729" spans="1:9" ht="24" customHeight="1">
      <c r="A3729" s="5" t="s">
        <v>358</v>
      </c>
      <c r="B3729">
        <v>28668</v>
      </c>
      <c r="C3729">
        <v>41274</v>
      </c>
      <c r="D3729">
        <v>348355</v>
      </c>
      <c r="E3729">
        <v>172195</v>
      </c>
      <c r="F3729">
        <v>7.4</v>
      </c>
      <c r="G3729">
        <v>4.2</v>
      </c>
      <c r="H3729">
        <v>19.7</v>
      </c>
      <c r="I3729">
        <v>10.1</v>
      </c>
    </row>
    <row r="3730" spans="1:9" ht="24" customHeight="1">
      <c r="A3730" s="5" t="s">
        <v>242</v>
      </c>
      <c r="B3730">
        <v>12920</v>
      </c>
      <c r="C3730">
        <v>6996</v>
      </c>
      <c r="D3730">
        <v>428945</v>
      </c>
      <c r="E3730">
        <v>226967</v>
      </c>
      <c r="F3730">
        <v>8.3000000000000007</v>
      </c>
      <c r="G3730">
        <v>4.5</v>
      </c>
      <c r="H3730">
        <v>22.5</v>
      </c>
      <c r="I3730">
        <v>11.2</v>
      </c>
    </row>
    <row r="3731" spans="1:9" ht="24" customHeight="1">
      <c r="A3731" s="5" t="s">
        <v>4466</v>
      </c>
      <c r="B3731">
        <v>4141</v>
      </c>
      <c r="C3731">
        <v>16175</v>
      </c>
      <c r="D3731">
        <v>242573</v>
      </c>
      <c r="E3731">
        <v>135580</v>
      </c>
      <c r="F3731">
        <v>7</v>
      </c>
      <c r="G3731">
        <v>2</v>
      </c>
      <c r="H3731">
        <v>11</v>
      </c>
      <c r="I3731">
        <v>9.1</v>
      </c>
    </row>
    <row r="3732" spans="1:9" ht="24" customHeight="1">
      <c r="A3732" s="5" t="s">
        <v>4467</v>
      </c>
      <c r="B3732">
        <v>6710</v>
      </c>
      <c r="C3732">
        <v>11589</v>
      </c>
      <c r="D3732">
        <v>286283</v>
      </c>
      <c r="E3732">
        <v>171393</v>
      </c>
      <c r="F3732">
        <v>5</v>
      </c>
      <c r="G3732">
        <v>5.2</v>
      </c>
      <c r="H3732">
        <v>19.399999999999999</v>
      </c>
      <c r="I3732">
        <v>9.5</v>
      </c>
    </row>
    <row r="3733" spans="1:9" ht="24" customHeight="1">
      <c r="A3733" s="5" t="s">
        <v>4468</v>
      </c>
      <c r="B3733">
        <v>4897</v>
      </c>
      <c r="C3733">
        <v>6514</v>
      </c>
      <c r="D3733">
        <v>310254</v>
      </c>
      <c r="E3733">
        <v>205713</v>
      </c>
      <c r="F3733">
        <v>8.8000000000000007</v>
      </c>
      <c r="G3733">
        <v>7.9</v>
      </c>
      <c r="H3733">
        <v>20.2</v>
      </c>
      <c r="I3733">
        <v>12.6</v>
      </c>
    </row>
    <row r="3734" spans="1:9" ht="24" customHeight="1">
      <c r="A3734" s="5" t="s">
        <v>360</v>
      </c>
      <c r="B3734">
        <v>40575</v>
      </c>
      <c r="C3734">
        <v>67011</v>
      </c>
      <c r="D3734">
        <v>339775</v>
      </c>
      <c r="E3734">
        <v>194625</v>
      </c>
      <c r="F3734">
        <v>9.5</v>
      </c>
      <c r="G3734">
        <v>6.7</v>
      </c>
      <c r="H3734">
        <v>17.2</v>
      </c>
      <c r="I3734">
        <v>10</v>
      </c>
    </row>
    <row r="3735" spans="1:9" ht="24" customHeight="1">
      <c r="A3735" s="5" t="s">
        <v>246</v>
      </c>
      <c r="B3735">
        <v>16319</v>
      </c>
      <c r="C3735">
        <v>8215</v>
      </c>
      <c r="D3735">
        <v>418512</v>
      </c>
      <c r="E3735">
        <v>280348</v>
      </c>
      <c r="F3735">
        <v>14.5</v>
      </c>
      <c r="G3735">
        <v>11.9</v>
      </c>
      <c r="H3735">
        <v>19.899999999999999</v>
      </c>
      <c r="I3735">
        <v>12.1</v>
      </c>
    </row>
    <row r="3736" spans="1:9" ht="24" customHeight="1">
      <c r="A3736" s="5" t="s">
        <v>4469</v>
      </c>
      <c r="B3736">
        <v>12698</v>
      </c>
      <c r="C3736">
        <v>31689</v>
      </c>
      <c r="D3736">
        <v>235501</v>
      </c>
      <c r="E3736">
        <v>171402</v>
      </c>
      <c r="F3736">
        <v>5.7</v>
      </c>
      <c r="G3736">
        <v>4.2</v>
      </c>
      <c r="H3736">
        <v>14.4</v>
      </c>
      <c r="I3736">
        <v>9.6999999999999993</v>
      </c>
    </row>
    <row r="3737" spans="1:9" ht="24" customHeight="1">
      <c r="A3737" s="5" t="s">
        <v>4470</v>
      </c>
      <c r="B3737">
        <v>5773</v>
      </c>
      <c r="C3737">
        <v>13372</v>
      </c>
      <c r="D3737">
        <v>310105</v>
      </c>
      <c r="E3737">
        <v>180689</v>
      </c>
      <c r="F3737">
        <v>7</v>
      </c>
      <c r="G3737">
        <v>3.9</v>
      </c>
      <c r="H3737">
        <v>16.8</v>
      </c>
      <c r="I3737">
        <v>10.4</v>
      </c>
    </row>
    <row r="3738" spans="1:9" ht="24" customHeight="1">
      <c r="A3738" s="5" t="s">
        <v>4471</v>
      </c>
      <c r="B3738">
        <v>5785</v>
      </c>
      <c r="C3738">
        <v>13735</v>
      </c>
      <c r="D3738">
        <v>376148</v>
      </c>
      <c r="E3738">
        <v>210501</v>
      </c>
      <c r="F3738">
        <v>6.1</v>
      </c>
      <c r="G3738">
        <v>12</v>
      </c>
      <c r="H3738">
        <v>16</v>
      </c>
      <c r="I3738">
        <v>9</v>
      </c>
    </row>
    <row r="3739" spans="1:9" ht="24" customHeight="1">
      <c r="A3739" s="5" t="s">
        <v>362</v>
      </c>
      <c r="B3739">
        <v>9988</v>
      </c>
      <c r="C3739">
        <v>12613</v>
      </c>
      <c r="D3739">
        <v>345335</v>
      </c>
      <c r="E3739">
        <v>160832</v>
      </c>
      <c r="F3739">
        <v>6.3</v>
      </c>
      <c r="G3739">
        <v>3.2</v>
      </c>
      <c r="H3739">
        <v>22.8</v>
      </c>
      <c r="I3739">
        <v>10.9</v>
      </c>
    </row>
    <row r="3740" spans="1:9" ht="24" customHeight="1">
      <c r="A3740" s="5" t="s">
        <v>250</v>
      </c>
      <c r="B3740">
        <v>3811</v>
      </c>
      <c r="C3740">
        <v>1458</v>
      </c>
      <c r="D3740">
        <v>432077</v>
      </c>
      <c r="E3740">
        <v>249957</v>
      </c>
      <c r="F3740">
        <v>9.1</v>
      </c>
      <c r="G3740">
        <v>7.8</v>
      </c>
      <c r="H3740">
        <v>30.2</v>
      </c>
      <c r="I3740">
        <v>16.2</v>
      </c>
    </row>
    <row r="3741" spans="1:9" ht="24" customHeight="1">
      <c r="A3741" s="5" t="s">
        <v>4472</v>
      </c>
      <c r="B3741">
        <v>1510</v>
      </c>
      <c r="C3741">
        <v>5098</v>
      </c>
      <c r="D3741">
        <v>214877</v>
      </c>
      <c r="E3741">
        <v>121493</v>
      </c>
      <c r="F3741">
        <v>3.2</v>
      </c>
      <c r="G3741">
        <v>1.8</v>
      </c>
      <c r="H3741">
        <v>15.5</v>
      </c>
      <c r="I3741">
        <v>8.5</v>
      </c>
    </row>
    <row r="3742" spans="1:9" ht="24" customHeight="1">
      <c r="A3742" s="5" t="s">
        <v>4473</v>
      </c>
      <c r="B3742">
        <v>2603</v>
      </c>
      <c r="C3742">
        <v>4152</v>
      </c>
      <c r="D3742">
        <v>270267</v>
      </c>
      <c r="E3742">
        <v>160375</v>
      </c>
      <c r="F3742">
        <v>4.9000000000000004</v>
      </c>
      <c r="G3742">
        <v>1.5</v>
      </c>
      <c r="H3742">
        <v>13</v>
      </c>
      <c r="I3742">
        <v>10.3</v>
      </c>
    </row>
    <row r="3743" spans="1:9" ht="24" customHeight="1">
      <c r="A3743" s="5" t="s">
        <v>4474</v>
      </c>
      <c r="B3743">
        <v>2065</v>
      </c>
      <c r="C3743">
        <v>1905</v>
      </c>
      <c r="D3743">
        <v>375241</v>
      </c>
      <c r="E3743">
        <v>198859</v>
      </c>
      <c r="F3743">
        <v>5.4</v>
      </c>
      <c r="G3743">
        <v>7.4</v>
      </c>
      <c r="H3743">
        <v>26.9</v>
      </c>
      <c r="I3743">
        <v>14.8</v>
      </c>
    </row>
    <row r="3744" spans="1:9" ht="24" customHeight="1">
      <c r="A3744" s="5" t="s">
        <v>364</v>
      </c>
      <c r="B3744">
        <v>79433</v>
      </c>
      <c r="C3744">
        <v>52003</v>
      </c>
      <c r="D3744">
        <v>335773</v>
      </c>
      <c r="E3744">
        <v>183169</v>
      </c>
      <c r="F3744">
        <v>12.9</v>
      </c>
      <c r="G3744">
        <v>7.1</v>
      </c>
      <c r="H3744">
        <v>13.4</v>
      </c>
      <c r="I3744">
        <v>9.5</v>
      </c>
    </row>
    <row r="3745" spans="1:9" ht="24" customHeight="1">
      <c r="A3745" s="5" t="s">
        <v>254</v>
      </c>
      <c r="B3745">
        <v>30787</v>
      </c>
      <c r="C3745">
        <v>10302</v>
      </c>
      <c r="D3745">
        <v>401357</v>
      </c>
      <c r="E3745">
        <v>313929</v>
      </c>
      <c r="F3745">
        <v>14.3</v>
      </c>
      <c r="G3745">
        <v>15.3</v>
      </c>
      <c r="H3745">
        <v>18.100000000000001</v>
      </c>
      <c r="I3745">
        <v>7.9</v>
      </c>
    </row>
    <row r="3746" spans="1:9" ht="24" customHeight="1">
      <c r="A3746" s="5" t="s">
        <v>4475</v>
      </c>
      <c r="B3746">
        <v>15442</v>
      </c>
      <c r="C3746">
        <v>20121</v>
      </c>
      <c r="D3746">
        <v>234880</v>
      </c>
      <c r="E3746">
        <v>114286</v>
      </c>
      <c r="F3746">
        <v>14</v>
      </c>
      <c r="G3746">
        <v>1.7</v>
      </c>
      <c r="H3746">
        <v>9.6</v>
      </c>
      <c r="I3746">
        <v>10.6</v>
      </c>
    </row>
    <row r="3747" spans="1:9" ht="24" customHeight="1">
      <c r="A3747" s="5" t="s">
        <v>4476</v>
      </c>
      <c r="B3747">
        <v>13285</v>
      </c>
      <c r="C3747">
        <v>13796</v>
      </c>
      <c r="D3747">
        <v>367954</v>
      </c>
      <c r="E3747">
        <v>181286</v>
      </c>
      <c r="F3747">
        <v>11.4</v>
      </c>
      <c r="G3747">
        <v>6.2</v>
      </c>
      <c r="H3747">
        <v>9.6</v>
      </c>
      <c r="I3747">
        <v>9.6</v>
      </c>
    </row>
    <row r="3748" spans="1:9" ht="24" customHeight="1">
      <c r="A3748" s="5" t="s">
        <v>4477</v>
      </c>
      <c r="B3748">
        <v>19919</v>
      </c>
      <c r="C3748">
        <v>7784</v>
      </c>
      <c r="D3748">
        <v>291158</v>
      </c>
      <c r="E3748">
        <v>191513</v>
      </c>
      <c r="F3748">
        <v>10.9</v>
      </c>
      <c r="G3748">
        <v>11.6</v>
      </c>
      <c r="H3748">
        <v>11.4</v>
      </c>
      <c r="I3748">
        <v>8.6</v>
      </c>
    </row>
    <row r="3749" spans="1:9" ht="24" customHeight="1">
      <c r="A3749" s="5" t="s">
        <v>366</v>
      </c>
      <c r="B3749">
        <v>12320</v>
      </c>
      <c r="C3749">
        <v>25591</v>
      </c>
      <c r="D3749">
        <v>265599</v>
      </c>
      <c r="E3749">
        <v>160739</v>
      </c>
      <c r="F3749">
        <v>5.0999999999999996</v>
      </c>
      <c r="G3749">
        <v>2</v>
      </c>
      <c r="H3749">
        <v>15.5</v>
      </c>
      <c r="I3749">
        <v>9</v>
      </c>
    </row>
    <row r="3750" spans="1:9" ht="24" customHeight="1">
      <c r="A3750" s="5" t="s">
        <v>258</v>
      </c>
      <c r="B3750">
        <v>1628</v>
      </c>
      <c r="C3750">
        <v>2032</v>
      </c>
      <c r="D3750">
        <v>341806</v>
      </c>
      <c r="E3750">
        <v>239220</v>
      </c>
      <c r="F3750">
        <v>11.2</v>
      </c>
      <c r="G3750">
        <v>7.6</v>
      </c>
      <c r="H3750">
        <v>22</v>
      </c>
      <c r="I3750">
        <v>11.7</v>
      </c>
    </row>
    <row r="3751" spans="1:9" ht="24" customHeight="1">
      <c r="A3751" s="5" t="s">
        <v>4478</v>
      </c>
      <c r="B3751">
        <v>5496</v>
      </c>
      <c r="C3751">
        <v>14221</v>
      </c>
      <c r="D3751">
        <v>190673</v>
      </c>
      <c r="E3751">
        <v>131103</v>
      </c>
      <c r="F3751">
        <v>1.7</v>
      </c>
      <c r="G3751">
        <v>0.7</v>
      </c>
      <c r="H3751">
        <v>11.3</v>
      </c>
      <c r="I3751">
        <v>9.1</v>
      </c>
    </row>
    <row r="3752" spans="1:9" ht="24" customHeight="1">
      <c r="A3752" s="5" t="s">
        <v>4479</v>
      </c>
      <c r="B3752">
        <v>3409</v>
      </c>
      <c r="C3752">
        <v>6284</v>
      </c>
      <c r="D3752">
        <v>353758</v>
      </c>
      <c r="E3752">
        <v>194323</v>
      </c>
      <c r="F3752">
        <v>6.5</v>
      </c>
      <c r="G3752">
        <v>1.9</v>
      </c>
      <c r="H3752">
        <v>20</v>
      </c>
      <c r="I3752">
        <v>8</v>
      </c>
    </row>
    <row r="3753" spans="1:9" ht="24" customHeight="1">
      <c r="A3753" s="5" t="s">
        <v>4480</v>
      </c>
      <c r="B3753">
        <v>1786</v>
      </c>
      <c r="C3753">
        <v>3054</v>
      </c>
      <c r="D3753">
        <v>258417</v>
      </c>
      <c r="E3753">
        <v>177419</v>
      </c>
      <c r="F3753">
        <v>7.7</v>
      </c>
      <c r="G3753">
        <v>4.4000000000000004</v>
      </c>
      <c r="H3753">
        <v>13.9</v>
      </c>
      <c r="I3753">
        <v>8.9</v>
      </c>
    </row>
    <row r="3754" spans="1:9" ht="24" customHeight="1">
      <c r="A3754" s="5" t="s">
        <v>320</v>
      </c>
      <c r="B3754">
        <v>224078</v>
      </c>
      <c r="C3754">
        <v>658418</v>
      </c>
      <c r="D3754">
        <v>194839</v>
      </c>
      <c r="E3754">
        <v>153775</v>
      </c>
      <c r="F3754">
        <v>12.4</v>
      </c>
      <c r="G3754">
        <v>11.2</v>
      </c>
      <c r="H3754">
        <v>8.6</v>
      </c>
      <c r="I3754">
        <v>8.1</v>
      </c>
    </row>
    <row r="3755" spans="1:9" ht="24" customHeight="1">
      <c r="A3755" s="5" t="s">
        <v>169</v>
      </c>
      <c r="B3755">
        <v>104818</v>
      </c>
      <c r="C3755">
        <v>345477</v>
      </c>
      <c r="D3755">
        <v>216953</v>
      </c>
      <c r="E3755">
        <v>172820</v>
      </c>
      <c r="F3755">
        <v>16.8</v>
      </c>
      <c r="G3755">
        <v>16.2</v>
      </c>
      <c r="H3755">
        <v>9.6</v>
      </c>
      <c r="I3755">
        <v>7.9</v>
      </c>
    </row>
    <row r="3756" spans="1:9" ht="24" customHeight="1">
      <c r="A3756" s="5" t="s">
        <v>4481</v>
      </c>
      <c r="B3756">
        <v>33974</v>
      </c>
      <c r="C3756">
        <v>100943</v>
      </c>
      <c r="D3756">
        <v>185747</v>
      </c>
      <c r="E3756">
        <v>126673</v>
      </c>
      <c r="F3756">
        <v>7.2</v>
      </c>
      <c r="G3756">
        <v>4</v>
      </c>
      <c r="H3756">
        <v>10.1</v>
      </c>
      <c r="I3756">
        <v>8.8000000000000007</v>
      </c>
    </row>
    <row r="3757" spans="1:9" ht="24" customHeight="1">
      <c r="A3757" s="5" t="s">
        <v>4482</v>
      </c>
      <c r="B3757">
        <v>26951</v>
      </c>
      <c r="C3757">
        <v>79244</v>
      </c>
      <c r="D3757">
        <v>208811</v>
      </c>
      <c r="E3757">
        <v>155188</v>
      </c>
      <c r="F3757">
        <v>11.9</v>
      </c>
      <c r="G3757">
        <v>8.3000000000000007</v>
      </c>
      <c r="H3757">
        <v>7.7</v>
      </c>
      <c r="I3757">
        <v>8.5</v>
      </c>
    </row>
    <row r="3758" spans="1:9" ht="24" customHeight="1">
      <c r="A3758" s="5" t="s">
        <v>4483</v>
      </c>
      <c r="B3758">
        <v>58335</v>
      </c>
      <c r="C3758">
        <v>132754</v>
      </c>
      <c r="D3758">
        <v>153944</v>
      </c>
      <c r="E3758">
        <v>123974</v>
      </c>
      <c r="F3758">
        <v>7.8</v>
      </c>
      <c r="G3758">
        <v>5.3</v>
      </c>
      <c r="H3758">
        <v>6.2</v>
      </c>
      <c r="I3758">
        <v>7.8</v>
      </c>
    </row>
    <row r="3759" spans="1:9" ht="24" customHeight="1">
      <c r="A3759" s="5" t="s">
        <v>374</v>
      </c>
      <c r="B3759">
        <v>10804</v>
      </c>
      <c r="C3759">
        <v>3765</v>
      </c>
      <c r="D3759">
        <v>352806</v>
      </c>
      <c r="E3759">
        <v>231289</v>
      </c>
      <c r="F3759">
        <v>5.7</v>
      </c>
      <c r="G3759">
        <v>2.4</v>
      </c>
      <c r="H3759">
        <v>13.5</v>
      </c>
      <c r="I3759">
        <v>7.2</v>
      </c>
    </row>
    <row r="3760" spans="1:9" ht="24" customHeight="1">
      <c r="A3760" s="5" t="s">
        <v>282</v>
      </c>
      <c r="B3760">
        <v>6464</v>
      </c>
      <c r="C3760">
        <v>2443</v>
      </c>
      <c r="D3760">
        <v>377004</v>
      </c>
      <c r="E3760">
        <v>252948</v>
      </c>
      <c r="F3760">
        <v>6.4</v>
      </c>
      <c r="G3760">
        <v>2.6</v>
      </c>
      <c r="H3760">
        <v>13.3</v>
      </c>
      <c r="I3760">
        <v>7.1</v>
      </c>
    </row>
    <row r="3761" spans="1:9" ht="24" customHeight="1">
      <c r="A3761" s="5" t="s">
        <v>4484</v>
      </c>
      <c r="B3761">
        <v>1728</v>
      </c>
      <c r="C3761">
        <v>639</v>
      </c>
      <c r="D3761">
        <v>307296</v>
      </c>
      <c r="E3761">
        <v>168928</v>
      </c>
      <c r="F3761">
        <v>3.2</v>
      </c>
      <c r="G3761">
        <v>1.2</v>
      </c>
      <c r="H3761">
        <v>14.8</v>
      </c>
      <c r="I3761">
        <v>6.5</v>
      </c>
    </row>
    <row r="3762" spans="1:9" ht="24" customHeight="1">
      <c r="A3762" s="5" t="s">
        <v>4485</v>
      </c>
      <c r="B3762">
        <v>1115</v>
      </c>
      <c r="C3762">
        <v>322</v>
      </c>
      <c r="D3762">
        <v>337708</v>
      </c>
      <c r="E3762">
        <v>173561</v>
      </c>
      <c r="F3762">
        <v>5.0999999999999996</v>
      </c>
      <c r="G3762">
        <v>1</v>
      </c>
      <c r="H3762">
        <v>12.4</v>
      </c>
      <c r="I3762">
        <v>8.4</v>
      </c>
    </row>
    <row r="3763" spans="1:9" ht="24" customHeight="1">
      <c r="A3763" s="5" t="s">
        <v>4486</v>
      </c>
      <c r="B3763">
        <v>1498</v>
      </c>
      <c r="C3763">
        <v>361</v>
      </c>
      <c r="D3763">
        <v>312113</v>
      </c>
      <c r="E3763">
        <v>246494</v>
      </c>
      <c r="F3763">
        <v>5.8</v>
      </c>
      <c r="G3763">
        <v>4.4000000000000004</v>
      </c>
      <c r="H3763">
        <v>13.6</v>
      </c>
      <c r="I3763">
        <v>8.6</v>
      </c>
    </row>
    <row r="3764" spans="1:9" ht="24" customHeight="1">
      <c r="A3764" s="5" t="s">
        <v>376</v>
      </c>
      <c r="B3764">
        <v>96460</v>
      </c>
      <c r="C3764">
        <v>94746</v>
      </c>
      <c r="D3764">
        <v>365594</v>
      </c>
      <c r="E3764">
        <v>223403</v>
      </c>
      <c r="F3764">
        <v>5.6</v>
      </c>
      <c r="G3764">
        <v>4.0999999999999996</v>
      </c>
      <c r="H3764">
        <v>12.3</v>
      </c>
      <c r="I3764">
        <v>5.9</v>
      </c>
    </row>
    <row r="3765" spans="1:9" ht="24" customHeight="1">
      <c r="A3765" s="5" t="s">
        <v>285</v>
      </c>
      <c r="B3765">
        <v>36868</v>
      </c>
      <c r="C3765">
        <v>30307</v>
      </c>
      <c r="D3765">
        <v>354552</v>
      </c>
      <c r="E3765">
        <v>225927</v>
      </c>
      <c r="F3765">
        <v>6.1</v>
      </c>
      <c r="G3765">
        <v>3.5</v>
      </c>
      <c r="H3765">
        <v>15.2</v>
      </c>
      <c r="I3765">
        <v>5.2</v>
      </c>
    </row>
    <row r="3766" spans="1:9" ht="24" customHeight="1">
      <c r="A3766" s="5" t="s">
        <v>4487</v>
      </c>
      <c r="B3766">
        <v>28787</v>
      </c>
      <c r="C3766">
        <v>28121</v>
      </c>
      <c r="D3766">
        <v>376765</v>
      </c>
      <c r="E3766">
        <v>202934</v>
      </c>
      <c r="F3766">
        <v>3.2</v>
      </c>
      <c r="G3766">
        <v>3.3</v>
      </c>
      <c r="H3766">
        <v>9</v>
      </c>
      <c r="I3766">
        <v>5.4</v>
      </c>
    </row>
    <row r="3767" spans="1:9" ht="24" customHeight="1">
      <c r="A3767" s="5" t="s">
        <v>4488</v>
      </c>
      <c r="B3767">
        <v>18540</v>
      </c>
      <c r="C3767">
        <v>21660</v>
      </c>
      <c r="D3767">
        <v>376368</v>
      </c>
      <c r="E3767">
        <v>259761</v>
      </c>
      <c r="F3767">
        <v>8.1999999999999993</v>
      </c>
      <c r="G3767">
        <v>5.9</v>
      </c>
      <c r="H3767">
        <v>10.6</v>
      </c>
      <c r="I3767">
        <v>5.7</v>
      </c>
    </row>
    <row r="3768" spans="1:9" ht="24" customHeight="1">
      <c r="A3768" s="5" t="s">
        <v>4489</v>
      </c>
      <c r="B3768">
        <v>12265</v>
      </c>
      <c r="C3768">
        <v>14657</v>
      </c>
      <c r="D3768">
        <v>356278</v>
      </c>
      <c r="E3768">
        <v>203730</v>
      </c>
      <c r="F3768">
        <v>5.9</v>
      </c>
      <c r="G3768">
        <v>3.9</v>
      </c>
      <c r="H3768">
        <v>14.5</v>
      </c>
      <c r="I3768">
        <v>8.8000000000000007</v>
      </c>
    </row>
    <row r="3769" spans="1:9" ht="24" customHeight="1">
      <c r="A3769" s="5" t="s">
        <v>378</v>
      </c>
      <c r="B3769">
        <v>405802</v>
      </c>
      <c r="C3769">
        <v>303036</v>
      </c>
      <c r="D3769">
        <v>236267</v>
      </c>
      <c r="E3769">
        <v>143356</v>
      </c>
      <c r="F3769">
        <v>13.6</v>
      </c>
      <c r="G3769">
        <v>5</v>
      </c>
      <c r="H3769">
        <v>11.4</v>
      </c>
      <c r="I3769">
        <v>7.6</v>
      </c>
    </row>
    <row r="3770" spans="1:9" ht="24" customHeight="1">
      <c r="A3770" s="5" t="s">
        <v>288</v>
      </c>
      <c r="B3770">
        <v>131400</v>
      </c>
      <c r="C3770">
        <v>132897</v>
      </c>
      <c r="D3770">
        <v>230263</v>
      </c>
      <c r="E3770">
        <v>152241</v>
      </c>
      <c r="F3770">
        <v>12.3</v>
      </c>
      <c r="G3770">
        <v>6.5</v>
      </c>
      <c r="H3770">
        <v>10.7</v>
      </c>
      <c r="I3770">
        <v>7.6</v>
      </c>
    </row>
    <row r="3771" spans="1:9" ht="24" customHeight="1">
      <c r="A3771" s="5" t="s">
        <v>4490</v>
      </c>
      <c r="B3771">
        <v>115063</v>
      </c>
      <c r="C3771">
        <v>47376</v>
      </c>
      <c r="D3771">
        <v>229558</v>
      </c>
      <c r="E3771">
        <v>134265</v>
      </c>
      <c r="F3771">
        <v>13.3</v>
      </c>
      <c r="G3771">
        <v>2.7</v>
      </c>
      <c r="H3771">
        <v>11.1</v>
      </c>
      <c r="I3771">
        <v>7.7</v>
      </c>
    </row>
    <row r="3772" spans="1:9" ht="24" customHeight="1">
      <c r="A3772" s="5" t="s">
        <v>4491</v>
      </c>
      <c r="B3772">
        <v>98312</v>
      </c>
      <c r="C3772">
        <v>44231</v>
      </c>
      <c r="D3772">
        <v>250884</v>
      </c>
      <c r="E3772">
        <v>150827</v>
      </c>
      <c r="F3772">
        <v>16</v>
      </c>
      <c r="G3772">
        <v>4.4000000000000004</v>
      </c>
      <c r="H3772">
        <v>13.3</v>
      </c>
      <c r="I3772">
        <v>8.6999999999999993</v>
      </c>
    </row>
    <row r="3773" spans="1:9" ht="24" customHeight="1">
      <c r="A3773" s="5" t="s">
        <v>4492</v>
      </c>
      <c r="B3773">
        <v>61026</v>
      </c>
      <c r="C3773">
        <v>78533</v>
      </c>
      <c r="D3773">
        <v>238296</v>
      </c>
      <c r="E3773">
        <v>129595</v>
      </c>
      <c r="F3773">
        <v>12.8</v>
      </c>
      <c r="G3773">
        <v>4.0999999999999996</v>
      </c>
      <c r="H3773">
        <v>10.3</v>
      </c>
      <c r="I3773">
        <v>7.1</v>
      </c>
    </row>
    <row r="3774" spans="1:9" ht="24" customHeight="1">
      <c r="A3774" s="5" t="s">
        <v>380</v>
      </c>
      <c r="B3774">
        <v>1583094</v>
      </c>
      <c r="C3774">
        <v>3266422</v>
      </c>
      <c r="D3774">
        <v>144000</v>
      </c>
      <c r="E3774">
        <v>119488</v>
      </c>
      <c r="F3774">
        <v>2.9</v>
      </c>
      <c r="G3774">
        <v>1.6</v>
      </c>
      <c r="H3774">
        <v>6.3</v>
      </c>
      <c r="I3774">
        <v>7</v>
      </c>
    </row>
    <row r="3775" spans="1:9" ht="24" customHeight="1">
      <c r="A3775" s="5" t="s">
        <v>291</v>
      </c>
      <c r="B3775">
        <v>923267</v>
      </c>
      <c r="C3775">
        <v>1891466</v>
      </c>
      <c r="D3775">
        <v>135528</v>
      </c>
      <c r="E3775">
        <v>124873</v>
      </c>
      <c r="F3775">
        <v>2.9</v>
      </c>
      <c r="G3775">
        <v>1.7</v>
      </c>
      <c r="H3775">
        <v>5</v>
      </c>
      <c r="I3775">
        <v>7</v>
      </c>
    </row>
    <row r="3776" spans="1:9" ht="24" customHeight="1">
      <c r="A3776" s="5" t="s">
        <v>4493</v>
      </c>
      <c r="B3776">
        <v>393814</v>
      </c>
      <c r="C3776">
        <v>775859</v>
      </c>
      <c r="D3776">
        <v>122831</v>
      </c>
      <c r="E3776">
        <v>97922</v>
      </c>
      <c r="F3776">
        <v>2.2999999999999998</v>
      </c>
      <c r="G3776">
        <v>1</v>
      </c>
      <c r="H3776">
        <v>6.5</v>
      </c>
      <c r="I3776">
        <v>6.6</v>
      </c>
    </row>
    <row r="3777" spans="1:9" ht="24" customHeight="1">
      <c r="A3777" s="5" t="s">
        <v>4494</v>
      </c>
      <c r="B3777">
        <v>119927</v>
      </c>
      <c r="C3777">
        <v>225677</v>
      </c>
      <c r="D3777">
        <v>186692</v>
      </c>
      <c r="E3777">
        <v>132891</v>
      </c>
      <c r="F3777">
        <v>3.6</v>
      </c>
      <c r="G3777">
        <v>2.2999999999999998</v>
      </c>
      <c r="H3777">
        <v>9.4</v>
      </c>
      <c r="I3777">
        <v>8</v>
      </c>
    </row>
    <row r="3778" spans="1:9" ht="24" customHeight="1">
      <c r="A3778" s="5" t="s">
        <v>4495</v>
      </c>
      <c r="B3778">
        <v>146086</v>
      </c>
      <c r="C3778">
        <v>373419</v>
      </c>
      <c r="D3778">
        <v>219563</v>
      </c>
      <c r="E3778">
        <v>128919</v>
      </c>
      <c r="F3778">
        <v>4</v>
      </c>
      <c r="G3778">
        <v>1.9</v>
      </c>
      <c r="H3778">
        <v>11.8</v>
      </c>
      <c r="I3778">
        <v>7.4</v>
      </c>
    </row>
    <row r="3779" spans="1:9" ht="24" customHeight="1">
      <c r="A3779" s="5" t="s">
        <v>382</v>
      </c>
      <c r="B3779">
        <v>48247</v>
      </c>
      <c r="C3779">
        <v>140430</v>
      </c>
      <c r="D3779">
        <v>416095</v>
      </c>
      <c r="E3779">
        <v>199304</v>
      </c>
      <c r="F3779">
        <v>5.0999999999999996</v>
      </c>
      <c r="G3779">
        <v>3.8</v>
      </c>
      <c r="H3779">
        <v>17.2</v>
      </c>
      <c r="I3779">
        <v>11.1</v>
      </c>
    </row>
    <row r="3780" spans="1:9" ht="24" customHeight="1">
      <c r="A3780" s="5" t="s">
        <v>294</v>
      </c>
      <c r="B3780">
        <v>23689</v>
      </c>
      <c r="C3780">
        <v>113150</v>
      </c>
      <c r="D3780">
        <v>436475</v>
      </c>
      <c r="E3780">
        <v>196195</v>
      </c>
      <c r="F3780">
        <v>6.9</v>
      </c>
      <c r="G3780">
        <v>3.9</v>
      </c>
      <c r="H3780">
        <v>17.8</v>
      </c>
      <c r="I3780">
        <v>11.2</v>
      </c>
    </row>
    <row r="3781" spans="1:9" ht="24" customHeight="1">
      <c r="A3781" s="5" t="s">
        <v>4496</v>
      </c>
      <c r="B3781">
        <v>7709</v>
      </c>
      <c r="C3781">
        <v>8730</v>
      </c>
      <c r="D3781">
        <v>349707</v>
      </c>
      <c r="E3781">
        <v>185103</v>
      </c>
      <c r="F3781">
        <v>1.6</v>
      </c>
      <c r="G3781">
        <v>1.4</v>
      </c>
      <c r="H3781">
        <v>11.7</v>
      </c>
      <c r="I3781">
        <v>10.1</v>
      </c>
    </row>
    <row r="3782" spans="1:9" ht="24" customHeight="1">
      <c r="A3782" s="5" t="s">
        <v>4497</v>
      </c>
      <c r="B3782">
        <v>6751</v>
      </c>
      <c r="C3782">
        <v>5641</v>
      </c>
      <c r="D3782">
        <v>444095</v>
      </c>
      <c r="E3782">
        <v>235818</v>
      </c>
      <c r="F3782">
        <v>3.3</v>
      </c>
      <c r="G3782">
        <v>3.1</v>
      </c>
      <c r="H3782">
        <v>18.2</v>
      </c>
      <c r="I3782">
        <v>10.1</v>
      </c>
    </row>
    <row r="3783" spans="1:9" ht="24" customHeight="1">
      <c r="A3783" s="5" t="s">
        <v>4498</v>
      </c>
      <c r="B3783">
        <v>10099</v>
      </c>
      <c r="C3783">
        <v>12908</v>
      </c>
      <c r="D3783">
        <v>400245</v>
      </c>
      <c r="E3783">
        <v>220207</v>
      </c>
      <c r="F3783">
        <v>4.9000000000000004</v>
      </c>
      <c r="G3783">
        <v>4.7</v>
      </c>
      <c r="H3783">
        <v>19.5</v>
      </c>
      <c r="I3783">
        <v>10.8</v>
      </c>
    </row>
    <row r="3784" spans="1:9" ht="24" customHeight="1">
      <c r="A3784" s="5" t="s">
        <v>384</v>
      </c>
      <c r="B3784">
        <v>101286</v>
      </c>
      <c r="C3784">
        <v>129055</v>
      </c>
      <c r="D3784">
        <v>201147</v>
      </c>
      <c r="E3784">
        <v>134319</v>
      </c>
      <c r="F3784">
        <v>4</v>
      </c>
      <c r="G3784">
        <v>1.8</v>
      </c>
      <c r="H3784">
        <v>6.9</v>
      </c>
      <c r="I3784">
        <v>5.6</v>
      </c>
    </row>
    <row r="3785" spans="1:9" ht="24" customHeight="1">
      <c r="A3785" s="5" t="s">
        <v>297</v>
      </c>
      <c r="B3785">
        <v>48200</v>
      </c>
      <c r="C3785">
        <v>38129</v>
      </c>
      <c r="D3785">
        <v>187340</v>
      </c>
      <c r="E3785">
        <v>148257</v>
      </c>
      <c r="F3785">
        <v>4.3</v>
      </c>
      <c r="G3785">
        <v>2.6</v>
      </c>
      <c r="H3785">
        <v>6.4</v>
      </c>
      <c r="I3785">
        <v>6.2</v>
      </c>
    </row>
    <row r="3786" spans="1:9" ht="24" customHeight="1">
      <c r="A3786" s="5" t="s">
        <v>4499</v>
      </c>
      <c r="B3786">
        <v>24067</v>
      </c>
      <c r="C3786">
        <v>42455</v>
      </c>
      <c r="D3786">
        <v>208159</v>
      </c>
      <c r="E3786">
        <v>122756</v>
      </c>
      <c r="F3786">
        <v>2.2999999999999998</v>
      </c>
      <c r="G3786">
        <v>1.1000000000000001</v>
      </c>
      <c r="H3786">
        <v>6.9</v>
      </c>
      <c r="I3786">
        <v>5.5</v>
      </c>
    </row>
    <row r="3787" spans="1:9" ht="24" customHeight="1">
      <c r="A3787" s="5" t="s">
        <v>4500</v>
      </c>
      <c r="B3787">
        <v>16938</v>
      </c>
      <c r="C3787">
        <v>24212</v>
      </c>
      <c r="D3787">
        <v>198887</v>
      </c>
      <c r="E3787">
        <v>144396</v>
      </c>
      <c r="F3787">
        <v>3.8</v>
      </c>
      <c r="G3787">
        <v>1.1000000000000001</v>
      </c>
      <c r="H3787">
        <v>7.2</v>
      </c>
      <c r="I3787">
        <v>4.8</v>
      </c>
    </row>
    <row r="3788" spans="1:9" ht="24" customHeight="1">
      <c r="A3788" s="5" t="s">
        <v>4501</v>
      </c>
      <c r="B3788">
        <v>12081</v>
      </c>
      <c r="C3788">
        <v>24259</v>
      </c>
      <c r="D3788">
        <v>245431</v>
      </c>
      <c r="E3788">
        <v>122591</v>
      </c>
      <c r="F3788">
        <v>6.6</v>
      </c>
      <c r="G3788">
        <v>2.5</v>
      </c>
      <c r="H3788">
        <v>8.6</v>
      </c>
      <c r="I3788">
        <v>5.8</v>
      </c>
    </row>
    <row r="3789" spans="1:9" ht="24" customHeight="1">
      <c r="A3789" s="5" t="s">
        <v>386</v>
      </c>
      <c r="B3789">
        <v>120996</v>
      </c>
      <c r="C3789">
        <v>124198</v>
      </c>
      <c r="D3789">
        <v>379077</v>
      </c>
      <c r="E3789">
        <v>192762</v>
      </c>
      <c r="F3789">
        <v>5</v>
      </c>
      <c r="G3789">
        <v>3.4</v>
      </c>
      <c r="H3789">
        <v>11.4</v>
      </c>
      <c r="I3789">
        <v>6.2</v>
      </c>
    </row>
    <row r="3790" spans="1:9" ht="24" customHeight="1">
      <c r="A3790" s="5" t="s">
        <v>300</v>
      </c>
      <c r="B3790">
        <v>46827</v>
      </c>
      <c r="C3790">
        <v>37461</v>
      </c>
      <c r="D3790">
        <v>409582</v>
      </c>
      <c r="E3790">
        <v>231086</v>
      </c>
      <c r="F3790">
        <v>6.1</v>
      </c>
      <c r="G3790">
        <v>6.2</v>
      </c>
      <c r="H3790">
        <v>14.5</v>
      </c>
      <c r="I3790">
        <v>6.8</v>
      </c>
    </row>
    <row r="3791" spans="1:9" ht="24" customHeight="1">
      <c r="A3791" s="5" t="s">
        <v>4502</v>
      </c>
      <c r="B3791">
        <v>36368</v>
      </c>
      <c r="C3791">
        <v>54202</v>
      </c>
      <c r="D3791">
        <v>322330</v>
      </c>
      <c r="E3791">
        <v>152598</v>
      </c>
      <c r="F3791">
        <v>4.2</v>
      </c>
      <c r="G3791">
        <v>1.5</v>
      </c>
      <c r="H3791">
        <v>9.1</v>
      </c>
      <c r="I3791">
        <v>5.6</v>
      </c>
    </row>
    <row r="3792" spans="1:9" ht="24" customHeight="1">
      <c r="A3792" s="5" t="s">
        <v>4503</v>
      </c>
      <c r="B3792">
        <v>26197</v>
      </c>
      <c r="C3792">
        <v>24916</v>
      </c>
      <c r="D3792">
        <v>395475</v>
      </c>
      <c r="E3792">
        <v>218582</v>
      </c>
      <c r="F3792">
        <v>3.8</v>
      </c>
      <c r="G3792">
        <v>3</v>
      </c>
      <c r="H3792">
        <v>9.3000000000000007</v>
      </c>
      <c r="I3792">
        <v>6.7</v>
      </c>
    </row>
    <row r="3793" spans="1:9" ht="24" customHeight="1">
      <c r="A3793" s="5" t="s">
        <v>4504</v>
      </c>
      <c r="B3793">
        <v>11604</v>
      </c>
      <c r="C3793">
        <v>7620</v>
      </c>
      <c r="D3793">
        <v>396812</v>
      </c>
      <c r="E3793">
        <v>205617</v>
      </c>
      <c r="F3793">
        <v>5.4</v>
      </c>
      <c r="G3793">
        <v>4.5999999999999996</v>
      </c>
      <c r="H3793">
        <v>11.3</v>
      </c>
      <c r="I3793">
        <v>6.5</v>
      </c>
    </row>
    <row r="3794" spans="1:9" ht="24" customHeight="1">
      <c r="A3794" s="5" t="s">
        <v>388</v>
      </c>
      <c r="B3794">
        <v>876643</v>
      </c>
      <c r="C3794">
        <v>1799044</v>
      </c>
      <c r="D3794">
        <v>86268</v>
      </c>
      <c r="E3794">
        <v>83237</v>
      </c>
      <c r="F3794">
        <v>2.2999999999999998</v>
      </c>
      <c r="G3794">
        <v>1.6</v>
      </c>
      <c r="H3794">
        <v>2.6</v>
      </c>
      <c r="I3794">
        <v>4.3</v>
      </c>
    </row>
    <row r="3795" spans="1:9" ht="24" customHeight="1">
      <c r="A3795" s="5" t="s">
        <v>303</v>
      </c>
      <c r="B3795">
        <v>505662</v>
      </c>
      <c r="C3795">
        <v>983411</v>
      </c>
      <c r="D3795">
        <v>82659</v>
      </c>
      <c r="E3795">
        <v>85551</v>
      </c>
      <c r="F3795">
        <v>2.4</v>
      </c>
      <c r="G3795">
        <v>1.8</v>
      </c>
      <c r="H3795">
        <v>2.2999999999999998</v>
      </c>
      <c r="I3795">
        <v>4.3</v>
      </c>
    </row>
    <row r="3796" spans="1:9" ht="24" customHeight="1">
      <c r="A3796" s="5" t="s">
        <v>4505</v>
      </c>
      <c r="B3796">
        <v>204834</v>
      </c>
      <c r="C3796">
        <v>487726</v>
      </c>
      <c r="D3796">
        <v>86163</v>
      </c>
      <c r="E3796">
        <v>77293</v>
      </c>
      <c r="F3796">
        <v>1.9</v>
      </c>
      <c r="G3796">
        <v>1</v>
      </c>
      <c r="H3796">
        <v>3.1</v>
      </c>
      <c r="I3796">
        <v>4.5</v>
      </c>
    </row>
    <row r="3797" spans="1:9" ht="24" customHeight="1">
      <c r="A3797" s="5" t="s">
        <v>4506</v>
      </c>
      <c r="B3797">
        <v>75057</v>
      </c>
      <c r="C3797">
        <v>152179</v>
      </c>
      <c r="D3797">
        <v>93746</v>
      </c>
      <c r="E3797">
        <v>82623</v>
      </c>
      <c r="F3797">
        <v>2.8</v>
      </c>
      <c r="G3797">
        <v>1.5</v>
      </c>
      <c r="H3797">
        <v>3.1</v>
      </c>
      <c r="I3797">
        <v>4.4000000000000004</v>
      </c>
    </row>
    <row r="3798" spans="1:9" ht="24" customHeight="1">
      <c r="A3798" s="5" t="s">
        <v>4507</v>
      </c>
      <c r="B3798">
        <v>91090</v>
      </c>
      <c r="C3798">
        <v>175728</v>
      </c>
      <c r="D3798">
        <v>100374</v>
      </c>
      <c r="E3798">
        <v>87322</v>
      </c>
      <c r="F3798">
        <v>3</v>
      </c>
      <c r="G3798">
        <v>1.7</v>
      </c>
      <c r="H3798">
        <v>2.9</v>
      </c>
      <c r="I3798">
        <v>4</v>
      </c>
    </row>
    <row r="3799" spans="1:9" ht="24" customHeight="1">
      <c r="A3799" s="5" t="s">
        <v>390</v>
      </c>
      <c r="B3799">
        <v>238182</v>
      </c>
      <c r="C3799">
        <v>468493</v>
      </c>
      <c r="D3799">
        <v>132281</v>
      </c>
      <c r="E3799">
        <v>117234</v>
      </c>
      <c r="F3799">
        <v>2.8</v>
      </c>
      <c r="G3799">
        <v>1.8</v>
      </c>
      <c r="H3799">
        <v>5.0999999999999996</v>
      </c>
      <c r="I3799">
        <v>6.7</v>
      </c>
    </row>
    <row r="3800" spans="1:9" ht="24" customHeight="1">
      <c r="A3800" s="5" t="s">
        <v>306</v>
      </c>
      <c r="B3800">
        <v>97134</v>
      </c>
      <c r="C3800">
        <v>173279</v>
      </c>
      <c r="D3800">
        <v>120767</v>
      </c>
      <c r="E3800">
        <v>119666</v>
      </c>
      <c r="F3800">
        <v>2.8</v>
      </c>
      <c r="G3800">
        <v>2.2000000000000002</v>
      </c>
      <c r="H3800">
        <v>4.5999999999999996</v>
      </c>
      <c r="I3800">
        <v>5.2</v>
      </c>
    </row>
    <row r="3801" spans="1:9" ht="24" customHeight="1">
      <c r="A3801" s="5" t="s">
        <v>4508</v>
      </c>
      <c r="B3801">
        <v>71360</v>
      </c>
      <c r="C3801">
        <v>155208</v>
      </c>
      <c r="D3801">
        <v>140837</v>
      </c>
      <c r="E3801">
        <v>114423</v>
      </c>
      <c r="F3801">
        <v>2.6</v>
      </c>
      <c r="G3801">
        <v>1.5</v>
      </c>
      <c r="H3801">
        <v>5.6</v>
      </c>
      <c r="I3801">
        <v>7.9</v>
      </c>
    </row>
    <row r="3802" spans="1:9" ht="24" customHeight="1">
      <c r="A3802" s="5" t="s">
        <v>4509</v>
      </c>
      <c r="B3802">
        <v>40931</v>
      </c>
      <c r="C3802">
        <v>79936</v>
      </c>
      <c r="D3802">
        <v>142458</v>
      </c>
      <c r="E3802">
        <v>118679</v>
      </c>
      <c r="F3802">
        <v>3.3</v>
      </c>
      <c r="G3802">
        <v>1.6</v>
      </c>
      <c r="H3802">
        <v>5.6</v>
      </c>
      <c r="I3802">
        <v>7.2</v>
      </c>
    </row>
    <row r="3803" spans="1:9" ht="24" customHeight="1">
      <c r="A3803" s="5" t="s">
        <v>4510</v>
      </c>
      <c r="B3803">
        <v>28757</v>
      </c>
      <c r="C3803">
        <v>60070</v>
      </c>
      <c r="D3803">
        <v>135453</v>
      </c>
      <c r="E3803">
        <v>115559</v>
      </c>
      <c r="F3803">
        <v>3</v>
      </c>
      <c r="G3803">
        <v>1.9</v>
      </c>
      <c r="H3803">
        <v>4.5999999999999996</v>
      </c>
      <c r="I3803">
        <v>6.8</v>
      </c>
    </row>
    <row r="3804" spans="1:9" ht="24" customHeight="1">
      <c r="A3804" s="5" t="s">
        <v>392</v>
      </c>
      <c r="B3804">
        <v>339282</v>
      </c>
      <c r="C3804">
        <v>475337</v>
      </c>
      <c r="D3804">
        <v>182752</v>
      </c>
      <c r="E3804">
        <v>139737</v>
      </c>
      <c r="F3804">
        <v>1.3</v>
      </c>
      <c r="G3804">
        <v>1.1000000000000001</v>
      </c>
      <c r="H3804">
        <v>5.8</v>
      </c>
      <c r="I3804">
        <v>5.7</v>
      </c>
    </row>
    <row r="3805" spans="1:9" ht="24" customHeight="1">
      <c r="A3805" s="5" t="s">
        <v>309</v>
      </c>
      <c r="B3805">
        <v>164766</v>
      </c>
      <c r="C3805">
        <v>172567</v>
      </c>
      <c r="D3805">
        <v>199499</v>
      </c>
      <c r="E3805">
        <v>144364</v>
      </c>
      <c r="F3805">
        <v>1</v>
      </c>
      <c r="G3805">
        <v>1.5</v>
      </c>
      <c r="H3805">
        <v>5</v>
      </c>
      <c r="I3805">
        <v>5</v>
      </c>
    </row>
    <row r="3806" spans="1:9" ht="24" customHeight="1">
      <c r="A3806" s="5" t="s">
        <v>4511</v>
      </c>
      <c r="B3806">
        <v>64043</v>
      </c>
      <c r="C3806">
        <v>154802</v>
      </c>
      <c r="D3806">
        <v>141114</v>
      </c>
      <c r="E3806">
        <v>118893</v>
      </c>
      <c r="F3806">
        <v>1.9</v>
      </c>
      <c r="G3806">
        <v>0.6</v>
      </c>
      <c r="H3806">
        <v>6.3</v>
      </c>
      <c r="I3806">
        <v>6.4</v>
      </c>
    </row>
    <row r="3807" spans="1:9" ht="24" customHeight="1">
      <c r="A3807" s="5" t="s">
        <v>4512</v>
      </c>
      <c r="B3807">
        <v>49644</v>
      </c>
      <c r="C3807">
        <v>65945</v>
      </c>
      <c r="D3807">
        <v>202688</v>
      </c>
      <c r="E3807">
        <v>158765</v>
      </c>
      <c r="F3807">
        <v>2.1</v>
      </c>
      <c r="G3807">
        <v>1.1000000000000001</v>
      </c>
      <c r="H3807">
        <v>6.9</v>
      </c>
      <c r="I3807">
        <v>5.9</v>
      </c>
    </row>
    <row r="3808" spans="1:9" ht="24" customHeight="1">
      <c r="A3808" s="5" t="s">
        <v>4513</v>
      </c>
      <c r="B3808">
        <v>60829</v>
      </c>
      <c r="C3808">
        <v>82023</v>
      </c>
      <c r="D3808">
        <v>164956</v>
      </c>
      <c r="E3808">
        <v>154045</v>
      </c>
      <c r="F3808">
        <v>1</v>
      </c>
      <c r="G3808">
        <v>1.3</v>
      </c>
      <c r="H3808">
        <v>6.3</v>
      </c>
      <c r="I3808">
        <v>5.8</v>
      </c>
    </row>
    <row r="3809" spans="1:9" ht="24" customHeight="1">
      <c r="A3809" s="5" t="s">
        <v>394</v>
      </c>
      <c r="B3809">
        <v>487815</v>
      </c>
      <c r="C3809">
        <v>2038061</v>
      </c>
      <c r="D3809">
        <v>225457</v>
      </c>
      <c r="E3809">
        <v>157275</v>
      </c>
      <c r="F3809">
        <v>3.2</v>
      </c>
      <c r="G3809">
        <v>1.4</v>
      </c>
      <c r="H3809">
        <v>5.8</v>
      </c>
      <c r="I3809">
        <v>7</v>
      </c>
    </row>
    <row r="3810" spans="1:9" ht="24" customHeight="1">
      <c r="A3810" s="5" t="s">
        <v>312</v>
      </c>
      <c r="B3810">
        <v>102234</v>
      </c>
      <c r="C3810">
        <v>306435</v>
      </c>
      <c r="D3810">
        <v>321974</v>
      </c>
      <c r="E3810">
        <v>186309</v>
      </c>
      <c r="F3810">
        <v>9</v>
      </c>
      <c r="G3810">
        <v>3.1</v>
      </c>
      <c r="H3810">
        <v>5.5</v>
      </c>
      <c r="I3810">
        <v>6.9</v>
      </c>
    </row>
    <row r="3811" spans="1:9" ht="24" customHeight="1">
      <c r="A3811" s="5" t="s">
        <v>4514</v>
      </c>
      <c r="B3811">
        <v>183813</v>
      </c>
      <c r="C3811">
        <v>915266</v>
      </c>
      <c r="D3811">
        <v>164810</v>
      </c>
      <c r="E3811">
        <v>136058</v>
      </c>
      <c r="F3811">
        <v>1.2</v>
      </c>
      <c r="G3811">
        <v>1</v>
      </c>
      <c r="H3811">
        <v>5.2</v>
      </c>
      <c r="I3811">
        <v>6.2</v>
      </c>
    </row>
    <row r="3812" spans="1:9" ht="24" customHeight="1">
      <c r="A3812" s="5" t="s">
        <v>4515</v>
      </c>
      <c r="B3812">
        <v>112284</v>
      </c>
      <c r="C3812">
        <v>461813</v>
      </c>
      <c r="D3812">
        <v>235397</v>
      </c>
      <c r="E3812">
        <v>165078</v>
      </c>
      <c r="F3812">
        <v>1.7</v>
      </c>
      <c r="G3812">
        <v>1.2</v>
      </c>
      <c r="H3812">
        <v>7.2</v>
      </c>
      <c r="I3812">
        <v>8</v>
      </c>
    </row>
    <row r="3813" spans="1:9" ht="24" customHeight="1">
      <c r="A3813" s="5" t="s">
        <v>4516</v>
      </c>
      <c r="B3813">
        <v>89484</v>
      </c>
      <c r="C3813">
        <v>354547</v>
      </c>
      <c r="D3813">
        <v>227293</v>
      </c>
      <c r="E3813">
        <v>176792</v>
      </c>
      <c r="F3813">
        <v>2.2999999999999998</v>
      </c>
      <c r="G3813">
        <v>1.2</v>
      </c>
      <c r="H3813">
        <v>5.9</v>
      </c>
      <c r="I3813">
        <v>7.8</v>
      </c>
    </row>
    <row r="3814" spans="1:9" ht="24" customHeight="1">
      <c r="A3814" s="5" t="s">
        <v>396</v>
      </c>
      <c r="B3814">
        <v>61825</v>
      </c>
      <c r="C3814">
        <v>56929</v>
      </c>
      <c r="D3814">
        <v>266519</v>
      </c>
      <c r="E3814">
        <v>183583</v>
      </c>
      <c r="F3814">
        <v>9</v>
      </c>
      <c r="G3814">
        <v>4.9000000000000004</v>
      </c>
      <c r="H3814">
        <v>12.2</v>
      </c>
      <c r="I3814">
        <v>10.5</v>
      </c>
    </row>
    <row r="3815" spans="1:9" ht="24" customHeight="1">
      <c r="A3815" s="5" t="s">
        <v>315</v>
      </c>
      <c r="B3815">
        <v>51099</v>
      </c>
      <c r="C3815">
        <v>41605</v>
      </c>
      <c r="D3815">
        <v>275346</v>
      </c>
      <c r="E3815">
        <v>186516</v>
      </c>
      <c r="F3815">
        <v>9.9</v>
      </c>
      <c r="G3815">
        <v>5</v>
      </c>
      <c r="H3815">
        <v>11.6</v>
      </c>
      <c r="I3815">
        <v>10.1</v>
      </c>
    </row>
    <row r="3816" spans="1:9" ht="24" customHeight="1">
      <c r="A3816" s="5" t="s">
        <v>4517</v>
      </c>
      <c r="B3816">
        <v>2871</v>
      </c>
      <c r="C3816">
        <v>2330</v>
      </c>
      <c r="D3816">
        <v>229694</v>
      </c>
      <c r="E3816">
        <v>170029</v>
      </c>
      <c r="F3816">
        <v>3.2</v>
      </c>
      <c r="G3816">
        <v>4.7</v>
      </c>
      <c r="H3816">
        <v>15.1</v>
      </c>
      <c r="I3816">
        <v>8.8000000000000007</v>
      </c>
    </row>
    <row r="3817" spans="1:9" ht="24" customHeight="1">
      <c r="A3817" s="5" t="s">
        <v>4518</v>
      </c>
      <c r="B3817">
        <v>2735</v>
      </c>
      <c r="C3817">
        <v>4266</v>
      </c>
      <c r="D3817">
        <v>230307</v>
      </c>
      <c r="E3817">
        <v>183321</v>
      </c>
      <c r="F3817">
        <v>5.6</v>
      </c>
      <c r="G3817">
        <v>3.9</v>
      </c>
      <c r="H3817">
        <v>12.8</v>
      </c>
      <c r="I3817">
        <v>11.4</v>
      </c>
    </row>
    <row r="3818" spans="1:9" ht="24" customHeight="1">
      <c r="A3818" s="5" t="s">
        <v>4519</v>
      </c>
      <c r="B3818">
        <v>5119</v>
      </c>
      <c r="C3818">
        <v>8729</v>
      </c>
      <c r="D3818">
        <v>218419</v>
      </c>
      <c r="E3818">
        <v>173352</v>
      </c>
      <c r="F3818">
        <v>5</v>
      </c>
      <c r="G3818">
        <v>4.5999999999999996</v>
      </c>
      <c r="H3818">
        <v>16</v>
      </c>
      <c r="I3818">
        <v>12.4</v>
      </c>
    </row>
    <row r="3819" spans="1:9" ht="24" customHeight="1">
      <c r="A3819" s="5" t="s">
        <v>398</v>
      </c>
      <c r="B3819">
        <v>910516</v>
      </c>
      <c r="C3819">
        <v>1323302</v>
      </c>
      <c r="D3819">
        <v>226819</v>
      </c>
      <c r="E3819">
        <v>165853</v>
      </c>
      <c r="F3819">
        <v>7.8</v>
      </c>
      <c r="G3819">
        <v>3.2</v>
      </c>
      <c r="H3819">
        <v>5.9</v>
      </c>
      <c r="I3819">
        <v>4.9000000000000004</v>
      </c>
    </row>
    <row r="3820" spans="1:9" ht="24" customHeight="1">
      <c r="A3820" s="5" t="s">
        <v>318</v>
      </c>
      <c r="B3820">
        <v>373922</v>
      </c>
      <c r="C3820">
        <v>619895</v>
      </c>
      <c r="D3820">
        <v>248236</v>
      </c>
      <c r="E3820">
        <v>192329</v>
      </c>
      <c r="F3820">
        <v>8.4</v>
      </c>
      <c r="G3820">
        <v>3.8</v>
      </c>
      <c r="H3820">
        <v>5.2</v>
      </c>
      <c r="I3820">
        <v>4.3</v>
      </c>
    </row>
    <row r="3821" spans="1:9" ht="24" customHeight="1">
      <c r="A3821" s="5" t="s">
        <v>4520</v>
      </c>
      <c r="B3821">
        <v>192076</v>
      </c>
      <c r="C3821">
        <v>221139</v>
      </c>
      <c r="D3821">
        <v>191688</v>
      </c>
      <c r="E3821">
        <v>126037</v>
      </c>
      <c r="F3821">
        <v>5.0999999999999996</v>
      </c>
      <c r="G3821">
        <v>2</v>
      </c>
      <c r="H3821">
        <v>6.7</v>
      </c>
      <c r="I3821">
        <v>6.2</v>
      </c>
    </row>
    <row r="3822" spans="1:9" ht="24" customHeight="1">
      <c r="A3822" s="5" t="s">
        <v>4521</v>
      </c>
      <c r="B3822">
        <v>148158</v>
      </c>
      <c r="C3822">
        <v>197831</v>
      </c>
      <c r="D3822">
        <v>219002</v>
      </c>
      <c r="E3822">
        <v>143991</v>
      </c>
      <c r="F3822">
        <v>7.7</v>
      </c>
      <c r="G3822">
        <v>2.8</v>
      </c>
      <c r="H3822">
        <v>6.5</v>
      </c>
      <c r="I3822">
        <v>5.7</v>
      </c>
    </row>
    <row r="3823" spans="1:9" ht="24" customHeight="1">
      <c r="A3823" s="5" t="s">
        <v>4522</v>
      </c>
      <c r="B3823">
        <v>196360</v>
      </c>
      <c r="C3823">
        <v>284437</v>
      </c>
      <c r="D3823">
        <v>226300</v>
      </c>
      <c r="E3823">
        <v>154312</v>
      </c>
      <c r="F3823">
        <v>9.1999999999999993</v>
      </c>
      <c r="G3823">
        <v>3</v>
      </c>
      <c r="H3823">
        <v>5.7</v>
      </c>
      <c r="I3823">
        <v>4.9000000000000004</v>
      </c>
    </row>
    <row r="3824" spans="1:9" ht="24" customHeight="1">
      <c r="A3824" s="9" t="s">
        <v>1150</v>
      </c>
      <c r="B3824">
        <v>22526451</v>
      </c>
      <c r="C3824">
        <v>19951577</v>
      </c>
      <c r="D3824">
        <v>415476</v>
      </c>
      <c r="E3824">
        <v>232021</v>
      </c>
      <c r="F3824">
        <v>11.8</v>
      </c>
      <c r="G3824">
        <v>4.8</v>
      </c>
      <c r="H3824">
        <v>11.9</v>
      </c>
      <c r="I3824">
        <v>8</v>
      </c>
    </row>
    <row r="3825" spans="1:3" ht="24" customHeight="1">
      <c r="A3825" s="5" t="s">
        <v>4539</v>
      </c>
      <c r="B3825">
        <v>17</v>
      </c>
      <c r="C3825">
        <v>2</v>
      </c>
    </row>
    <row r="3826" spans="1:3" ht="24" customHeight="1">
      <c r="A3826" s="5" t="s">
        <v>4541</v>
      </c>
      <c r="B3826">
        <v>3559</v>
      </c>
      <c r="C3826">
        <v>849</v>
      </c>
    </row>
    <row r="3827" spans="1:3" ht="24" customHeight="1">
      <c r="A3827" s="5" t="s">
        <v>4545</v>
      </c>
      <c r="B3827">
        <v>10120</v>
      </c>
      <c r="C3827">
        <v>17691</v>
      </c>
    </row>
    <row r="3828" spans="1:3" ht="24" customHeight="1">
      <c r="A3828" s="5" t="s">
        <v>4546</v>
      </c>
      <c r="B3828">
        <v>3740</v>
      </c>
      <c r="C3828">
        <v>11459</v>
      </c>
    </row>
    <row r="3829" spans="1:3" ht="24" customHeight="1">
      <c r="A3829" s="5" t="s">
        <v>4547</v>
      </c>
      <c r="B3829">
        <v>900</v>
      </c>
      <c r="C3829">
        <v>6270</v>
      </c>
    </row>
    <row r="3830" spans="1:3" ht="24" customHeight="1">
      <c r="A3830" s="5" t="s">
        <v>4728</v>
      </c>
      <c r="B3830">
        <v>574</v>
      </c>
      <c r="C3830">
        <v>1168</v>
      </c>
    </row>
    <row r="3831" spans="1:3" ht="24" customHeight="1">
      <c r="A3831" s="5" t="s">
        <v>4727</v>
      </c>
      <c r="B3831">
        <v>456</v>
      </c>
      <c r="C3831">
        <v>1057</v>
      </c>
    </row>
    <row r="3832" spans="1:3" ht="24" customHeight="1">
      <c r="A3832" s="5" t="s">
        <v>4808</v>
      </c>
      <c r="B3832">
        <v>1809</v>
      </c>
      <c r="C3832">
        <v>2965</v>
      </c>
    </row>
    <row r="3833" spans="1:3" ht="24" customHeight="1">
      <c r="A3833" s="5" t="s">
        <v>4548</v>
      </c>
      <c r="B3833">
        <v>130</v>
      </c>
      <c r="C3833">
        <v>194</v>
      </c>
    </row>
    <row r="3834" spans="1:3" ht="24" customHeight="1">
      <c r="A3834" s="5" t="s">
        <v>4549</v>
      </c>
      <c r="B3834">
        <v>13</v>
      </c>
      <c r="C3834">
        <v>8</v>
      </c>
    </row>
    <row r="3835" spans="1:3" ht="24" customHeight="1">
      <c r="A3835" s="5" t="s">
        <v>4729</v>
      </c>
      <c r="B3835">
        <v>83</v>
      </c>
      <c r="C3835">
        <v>140</v>
      </c>
    </row>
    <row r="3836" spans="1:3" ht="24" customHeight="1">
      <c r="A3836" s="5" t="s">
        <v>4888</v>
      </c>
      <c r="B3836">
        <v>17</v>
      </c>
      <c r="C3836">
        <v>24</v>
      </c>
    </row>
    <row r="3837" spans="1:3" ht="24" customHeight="1">
      <c r="A3837" s="5" t="s">
        <v>4809</v>
      </c>
      <c r="B3837">
        <v>16</v>
      </c>
      <c r="C3837">
        <v>22</v>
      </c>
    </row>
    <row r="3838" spans="1:3" ht="24" customHeight="1">
      <c r="A3838" s="5" t="s">
        <v>4550</v>
      </c>
      <c r="B3838">
        <v>120</v>
      </c>
      <c r="C3838">
        <v>628</v>
      </c>
    </row>
    <row r="3839" spans="1:3" ht="24" customHeight="1">
      <c r="A3839" s="5" t="s">
        <v>4551</v>
      </c>
      <c r="B3839">
        <v>2</v>
      </c>
      <c r="C3839">
        <v>18</v>
      </c>
    </row>
    <row r="3840" spans="1:3" ht="24" customHeight="1">
      <c r="A3840" s="5" t="s">
        <v>4730</v>
      </c>
      <c r="B3840">
        <v>100</v>
      </c>
      <c r="C3840">
        <v>478</v>
      </c>
    </row>
    <row r="3841" spans="1:3" ht="24" customHeight="1">
      <c r="A3841" s="5" t="s">
        <v>4889</v>
      </c>
      <c r="B3841">
        <v>14</v>
      </c>
      <c r="C3841">
        <v>81</v>
      </c>
    </row>
    <row r="3842" spans="1:3" ht="24" customHeight="1">
      <c r="A3842" s="5" t="s">
        <v>4810</v>
      </c>
      <c r="B3842">
        <v>4</v>
      </c>
      <c r="C3842">
        <v>50</v>
      </c>
    </row>
    <row r="3843" spans="1:3" ht="24" customHeight="1">
      <c r="A3843" s="5" t="s">
        <v>4552</v>
      </c>
      <c r="B3843">
        <v>146</v>
      </c>
      <c r="C3843">
        <v>91</v>
      </c>
    </row>
    <row r="3844" spans="1:3" ht="24" customHeight="1">
      <c r="A3844" s="5" t="s">
        <v>4553</v>
      </c>
      <c r="B3844">
        <v>15</v>
      </c>
      <c r="C3844">
        <v>3</v>
      </c>
    </row>
    <row r="3845" spans="1:3" ht="24" customHeight="1">
      <c r="A3845" s="5" t="s">
        <v>4731</v>
      </c>
      <c r="B3845">
        <v>59</v>
      </c>
      <c r="C3845">
        <v>66</v>
      </c>
    </row>
    <row r="3846" spans="1:3" ht="24" customHeight="1">
      <c r="A3846" s="5" t="s">
        <v>4890</v>
      </c>
      <c r="B3846">
        <v>27</v>
      </c>
      <c r="C3846">
        <v>12</v>
      </c>
    </row>
    <row r="3847" spans="1:3" ht="24" customHeight="1">
      <c r="A3847" s="5" t="s">
        <v>4811</v>
      </c>
      <c r="B3847">
        <v>44</v>
      </c>
      <c r="C3847">
        <v>10</v>
      </c>
    </row>
    <row r="3848" spans="1:3" ht="24" customHeight="1">
      <c r="A3848" s="5" t="s">
        <v>4554</v>
      </c>
      <c r="B3848">
        <v>113</v>
      </c>
      <c r="C3848">
        <v>76</v>
      </c>
    </row>
    <row r="3849" spans="1:3" ht="24" customHeight="1">
      <c r="A3849" s="5" t="s">
        <v>4555</v>
      </c>
      <c r="B3849">
        <v>18</v>
      </c>
      <c r="C3849">
        <v>10</v>
      </c>
    </row>
    <row r="3850" spans="1:3" ht="24" customHeight="1">
      <c r="A3850" s="5" t="s">
        <v>4732</v>
      </c>
      <c r="B3850">
        <v>47</v>
      </c>
      <c r="C3850">
        <v>53</v>
      </c>
    </row>
    <row r="3851" spans="1:3" ht="24" customHeight="1">
      <c r="A3851" s="5" t="s">
        <v>4891</v>
      </c>
      <c r="B3851">
        <v>38</v>
      </c>
      <c r="C3851">
        <v>10</v>
      </c>
    </row>
    <row r="3852" spans="1:3" ht="24" customHeight="1">
      <c r="A3852" s="5" t="s">
        <v>4812</v>
      </c>
      <c r="B3852">
        <v>9</v>
      </c>
      <c r="C3852">
        <v>3</v>
      </c>
    </row>
    <row r="3853" spans="1:3" ht="24" customHeight="1">
      <c r="A3853" s="5" t="s">
        <v>4556</v>
      </c>
      <c r="B3853">
        <v>136</v>
      </c>
      <c r="C3853">
        <v>182</v>
      </c>
    </row>
    <row r="3854" spans="1:3" ht="24" customHeight="1">
      <c r="A3854" s="5" t="s">
        <v>4557</v>
      </c>
      <c r="B3854">
        <v>11</v>
      </c>
      <c r="C3854">
        <v>7</v>
      </c>
    </row>
    <row r="3855" spans="1:3" ht="24" customHeight="1">
      <c r="A3855" s="5" t="s">
        <v>4733</v>
      </c>
      <c r="B3855">
        <v>80</v>
      </c>
      <c r="C3855">
        <v>121</v>
      </c>
    </row>
    <row r="3856" spans="1:3" ht="24" customHeight="1">
      <c r="A3856" s="5" t="s">
        <v>4892</v>
      </c>
      <c r="B3856">
        <v>35</v>
      </c>
      <c r="C3856">
        <v>44</v>
      </c>
    </row>
    <row r="3857" spans="1:3" ht="24" customHeight="1">
      <c r="A3857" s="5" t="s">
        <v>4813</v>
      </c>
      <c r="B3857">
        <v>10</v>
      </c>
      <c r="C3857">
        <v>10</v>
      </c>
    </row>
    <row r="3858" spans="1:3" ht="24" customHeight="1">
      <c r="A3858" s="5" t="s">
        <v>4558</v>
      </c>
      <c r="B3858">
        <v>163</v>
      </c>
      <c r="C3858">
        <v>337</v>
      </c>
    </row>
    <row r="3859" spans="1:3" ht="24" customHeight="1">
      <c r="A3859" s="5" t="s">
        <v>4559</v>
      </c>
      <c r="B3859">
        <v>44</v>
      </c>
      <c r="C3859">
        <v>47</v>
      </c>
    </row>
    <row r="3860" spans="1:3" ht="24" customHeight="1">
      <c r="A3860" s="5" t="s">
        <v>4734</v>
      </c>
      <c r="B3860">
        <v>50</v>
      </c>
      <c r="C3860">
        <v>172</v>
      </c>
    </row>
    <row r="3861" spans="1:3" ht="24" customHeight="1">
      <c r="A3861" s="5" t="s">
        <v>4893</v>
      </c>
      <c r="B3861">
        <v>46</v>
      </c>
      <c r="C3861">
        <v>87</v>
      </c>
    </row>
    <row r="3862" spans="1:3" ht="24" customHeight="1">
      <c r="A3862" s="5" t="s">
        <v>4814</v>
      </c>
      <c r="B3862">
        <v>23</v>
      </c>
      <c r="C3862">
        <v>32</v>
      </c>
    </row>
    <row r="3863" spans="1:3" ht="24" customHeight="1">
      <c r="A3863" s="5" t="s">
        <v>4560</v>
      </c>
      <c r="B3863">
        <v>179</v>
      </c>
      <c r="C3863">
        <v>373</v>
      </c>
    </row>
    <row r="3864" spans="1:3" ht="24" customHeight="1">
      <c r="A3864" s="5" t="s">
        <v>4561</v>
      </c>
      <c r="B3864">
        <v>59</v>
      </c>
      <c r="C3864">
        <v>43</v>
      </c>
    </row>
    <row r="3865" spans="1:3" ht="24" customHeight="1">
      <c r="A3865" s="5" t="s">
        <v>4735</v>
      </c>
      <c r="B3865">
        <v>41</v>
      </c>
      <c r="C3865">
        <v>45</v>
      </c>
    </row>
    <row r="3866" spans="1:3" ht="24" customHeight="1">
      <c r="A3866" s="5" t="s">
        <v>4894</v>
      </c>
      <c r="B3866">
        <v>49</v>
      </c>
      <c r="C3866">
        <v>235</v>
      </c>
    </row>
    <row r="3867" spans="1:3" ht="24" customHeight="1">
      <c r="A3867" s="5" t="s">
        <v>4815</v>
      </c>
      <c r="B3867">
        <v>30</v>
      </c>
      <c r="C3867">
        <v>50</v>
      </c>
    </row>
    <row r="3868" spans="1:3" ht="24" customHeight="1">
      <c r="A3868" s="5" t="s">
        <v>4562</v>
      </c>
      <c r="B3868">
        <v>2</v>
      </c>
      <c r="C3868">
        <v>1</v>
      </c>
    </row>
    <row r="3869" spans="1:3" ht="24" customHeight="1">
      <c r="A3869" s="5" t="s">
        <v>4563</v>
      </c>
      <c r="B3869">
        <v>2</v>
      </c>
      <c r="C3869">
        <v>0</v>
      </c>
    </row>
    <row r="3870" spans="1:3" ht="24" customHeight="1">
      <c r="A3870" s="5" t="s">
        <v>4736</v>
      </c>
      <c r="B3870">
        <v>0</v>
      </c>
      <c r="C3870">
        <v>0</v>
      </c>
    </row>
    <row r="3871" spans="1:3" ht="24" customHeight="1">
      <c r="A3871" s="5" t="s">
        <v>4816</v>
      </c>
      <c r="B3871">
        <v>0</v>
      </c>
      <c r="C3871">
        <v>1</v>
      </c>
    </row>
    <row r="3872" spans="1:3" ht="24" customHeight="1">
      <c r="A3872" s="5" t="s">
        <v>4564</v>
      </c>
      <c r="B3872">
        <v>432</v>
      </c>
      <c r="C3872">
        <v>711</v>
      </c>
    </row>
    <row r="3873" spans="1:3" ht="24" customHeight="1">
      <c r="A3873" s="5" t="s">
        <v>4565</v>
      </c>
      <c r="B3873">
        <v>71</v>
      </c>
      <c r="C3873">
        <v>23</v>
      </c>
    </row>
    <row r="3874" spans="1:3" ht="24" customHeight="1">
      <c r="A3874" s="5" t="s">
        <v>4737</v>
      </c>
      <c r="B3874">
        <v>217</v>
      </c>
      <c r="C3874">
        <v>433</v>
      </c>
    </row>
    <row r="3875" spans="1:3" ht="24" customHeight="1">
      <c r="A3875" s="5" t="s">
        <v>4895</v>
      </c>
      <c r="B3875">
        <v>27</v>
      </c>
      <c r="C3875">
        <v>114</v>
      </c>
    </row>
    <row r="3876" spans="1:3" ht="24" customHeight="1">
      <c r="A3876" s="5" t="s">
        <v>4817</v>
      </c>
      <c r="B3876">
        <v>118</v>
      </c>
      <c r="C3876">
        <v>142</v>
      </c>
    </row>
    <row r="3877" spans="1:3" ht="24" customHeight="1">
      <c r="A3877" s="5" t="s">
        <v>4566</v>
      </c>
      <c r="B3877">
        <v>104</v>
      </c>
      <c r="C3877">
        <v>150</v>
      </c>
    </row>
    <row r="3878" spans="1:3" ht="24" customHeight="1">
      <c r="A3878" s="5" t="s">
        <v>4567</v>
      </c>
      <c r="B3878">
        <v>63</v>
      </c>
      <c r="C3878">
        <v>21</v>
      </c>
    </row>
    <row r="3879" spans="1:3" ht="24" customHeight="1">
      <c r="A3879" s="5" t="s">
        <v>4738</v>
      </c>
      <c r="B3879">
        <v>18</v>
      </c>
      <c r="C3879">
        <v>74</v>
      </c>
    </row>
    <row r="3880" spans="1:3" ht="24" customHeight="1">
      <c r="A3880" s="5" t="s">
        <v>4896</v>
      </c>
      <c r="B3880">
        <v>10</v>
      </c>
      <c r="C3880">
        <v>30</v>
      </c>
    </row>
    <row r="3881" spans="1:3" ht="24" customHeight="1">
      <c r="A3881" s="5" t="s">
        <v>4818</v>
      </c>
      <c r="B3881">
        <v>13</v>
      </c>
      <c r="C3881">
        <v>25</v>
      </c>
    </row>
    <row r="3882" spans="1:3" ht="24" customHeight="1">
      <c r="A3882" s="5" t="s">
        <v>4568</v>
      </c>
      <c r="B3882">
        <v>11</v>
      </c>
      <c r="C3882">
        <v>56</v>
      </c>
    </row>
    <row r="3883" spans="1:3" ht="24" customHeight="1">
      <c r="A3883" s="5" t="s">
        <v>4569</v>
      </c>
      <c r="B3883">
        <v>0</v>
      </c>
      <c r="C3883">
        <v>0</v>
      </c>
    </row>
    <row r="3884" spans="1:3" ht="24" customHeight="1">
      <c r="A3884" s="5" t="s">
        <v>4739</v>
      </c>
      <c r="B3884">
        <v>6</v>
      </c>
      <c r="C3884">
        <v>50</v>
      </c>
    </row>
    <row r="3885" spans="1:3" ht="24" customHeight="1">
      <c r="A3885" s="5" t="s">
        <v>4897</v>
      </c>
      <c r="B3885">
        <v>4</v>
      </c>
      <c r="C3885">
        <v>6</v>
      </c>
    </row>
    <row r="3886" spans="1:3" ht="24" customHeight="1">
      <c r="A3886" s="5" t="s">
        <v>4570</v>
      </c>
      <c r="B3886">
        <v>279</v>
      </c>
      <c r="C3886">
        <v>105</v>
      </c>
    </row>
    <row r="3887" spans="1:3" ht="24" customHeight="1">
      <c r="A3887" s="5" t="s">
        <v>4571</v>
      </c>
      <c r="B3887">
        <v>41</v>
      </c>
      <c r="C3887">
        <v>19</v>
      </c>
    </row>
    <row r="3888" spans="1:3" ht="24" customHeight="1">
      <c r="A3888" s="5" t="s">
        <v>4740</v>
      </c>
      <c r="B3888">
        <v>197</v>
      </c>
      <c r="C3888">
        <v>70</v>
      </c>
    </row>
    <row r="3889" spans="1:3" ht="24" customHeight="1">
      <c r="A3889" s="5" t="s">
        <v>4898</v>
      </c>
      <c r="B3889">
        <v>21</v>
      </c>
      <c r="C3889">
        <v>11</v>
      </c>
    </row>
    <row r="3890" spans="1:3" ht="24" customHeight="1">
      <c r="A3890" s="5" t="s">
        <v>4819</v>
      </c>
      <c r="B3890">
        <v>19</v>
      </c>
      <c r="C3890">
        <v>5</v>
      </c>
    </row>
    <row r="3891" spans="1:3" ht="24" customHeight="1">
      <c r="A3891" s="5" t="s">
        <v>4572</v>
      </c>
      <c r="B3891">
        <v>300</v>
      </c>
      <c r="C3891">
        <v>41</v>
      </c>
    </row>
    <row r="3892" spans="1:3" ht="24" customHeight="1">
      <c r="A3892" s="5" t="s">
        <v>4573</v>
      </c>
      <c r="B3892">
        <v>19</v>
      </c>
      <c r="C3892">
        <v>12</v>
      </c>
    </row>
    <row r="3893" spans="1:3" ht="24" customHeight="1">
      <c r="A3893" s="5" t="s">
        <v>4741</v>
      </c>
      <c r="B3893">
        <v>106</v>
      </c>
      <c r="C3893">
        <v>21</v>
      </c>
    </row>
    <row r="3894" spans="1:3" ht="24" customHeight="1">
      <c r="A3894" s="5" t="s">
        <v>4899</v>
      </c>
      <c r="B3894">
        <v>155</v>
      </c>
      <c r="C3894">
        <v>1</v>
      </c>
    </row>
    <row r="3895" spans="1:3" ht="24" customHeight="1">
      <c r="A3895" s="5" t="s">
        <v>4820</v>
      </c>
      <c r="B3895">
        <v>20</v>
      </c>
      <c r="C3895">
        <v>6</v>
      </c>
    </row>
    <row r="3896" spans="1:3" ht="24" customHeight="1">
      <c r="A3896" s="5" t="s">
        <v>4574</v>
      </c>
      <c r="B3896">
        <v>161</v>
      </c>
      <c r="C3896">
        <v>100</v>
      </c>
    </row>
    <row r="3897" spans="1:3" ht="24" customHeight="1">
      <c r="A3897" s="5" t="s">
        <v>4575</v>
      </c>
      <c r="B3897">
        <v>15</v>
      </c>
      <c r="C3897">
        <v>12</v>
      </c>
    </row>
    <row r="3898" spans="1:3" ht="24" customHeight="1">
      <c r="A3898" s="5" t="s">
        <v>4742</v>
      </c>
      <c r="B3898">
        <v>88</v>
      </c>
      <c r="C3898">
        <v>44</v>
      </c>
    </row>
    <row r="3899" spans="1:3" ht="24" customHeight="1">
      <c r="A3899" s="5" t="s">
        <v>4900</v>
      </c>
      <c r="B3899">
        <v>21</v>
      </c>
      <c r="C3899">
        <v>17</v>
      </c>
    </row>
    <row r="3900" spans="1:3" ht="24" customHeight="1">
      <c r="A3900" s="5" t="s">
        <v>4821</v>
      </c>
      <c r="B3900">
        <v>36</v>
      </c>
      <c r="C3900">
        <v>27</v>
      </c>
    </row>
    <row r="3901" spans="1:3" ht="24" customHeight="1">
      <c r="A3901" s="5" t="s">
        <v>4576</v>
      </c>
      <c r="B3901">
        <v>638</v>
      </c>
      <c r="C3901">
        <v>300</v>
      </c>
    </row>
    <row r="3902" spans="1:3" ht="24" customHeight="1">
      <c r="A3902" s="5" t="s">
        <v>4577</v>
      </c>
      <c r="B3902">
        <v>77</v>
      </c>
      <c r="C3902">
        <v>22</v>
      </c>
    </row>
    <row r="3903" spans="1:3" ht="24" customHeight="1">
      <c r="A3903" s="5" t="s">
        <v>4743</v>
      </c>
      <c r="B3903">
        <v>406</v>
      </c>
      <c r="C3903">
        <v>215</v>
      </c>
    </row>
    <row r="3904" spans="1:3" ht="24" customHeight="1">
      <c r="A3904" s="5" t="s">
        <v>4901</v>
      </c>
      <c r="B3904">
        <v>42</v>
      </c>
      <c r="C3904">
        <v>27</v>
      </c>
    </row>
    <row r="3905" spans="1:3" ht="24" customHeight="1">
      <c r="A3905" s="5" t="s">
        <v>4822</v>
      </c>
      <c r="B3905">
        <v>113</v>
      </c>
      <c r="C3905">
        <v>37</v>
      </c>
    </row>
    <row r="3906" spans="1:3" ht="24" customHeight="1">
      <c r="A3906" s="5" t="s">
        <v>4578</v>
      </c>
      <c r="B3906">
        <v>343</v>
      </c>
      <c r="C3906">
        <v>216</v>
      </c>
    </row>
    <row r="3907" spans="1:3" ht="24" customHeight="1">
      <c r="A3907" s="5" t="s">
        <v>4579</v>
      </c>
      <c r="B3907">
        <v>86</v>
      </c>
      <c r="C3907">
        <v>83</v>
      </c>
    </row>
    <row r="3908" spans="1:3" ht="24" customHeight="1">
      <c r="A3908" s="5" t="s">
        <v>4744</v>
      </c>
      <c r="B3908">
        <v>148</v>
      </c>
      <c r="C3908">
        <v>47</v>
      </c>
    </row>
    <row r="3909" spans="1:3" ht="24" customHeight="1">
      <c r="A3909" s="5" t="s">
        <v>4902</v>
      </c>
      <c r="B3909">
        <v>39</v>
      </c>
      <c r="C3909">
        <v>43</v>
      </c>
    </row>
    <row r="3910" spans="1:3" ht="24" customHeight="1">
      <c r="A3910" s="5" t="s">
        <v>4823</v>
      </c>
      <c r="B3910">
        <v>70</v>
      </c>
      <c r="C3910">
        <v>43</v>
      </c>
    </row>
    <row r="3911" spans="1:3" ht="24" customHeight="1">
      <c r="A3911" s="5" t="s">
        <v>4580</v>
      </c>
      <c r="B3911">
        <v>371</v>
      </c>
      <c r="C3911">
        <v>448</v>
      </c>
    </row>
    <row r="3912" spans="1:3" ht="24" customHeight="1">
      <c r="A3912" s="5" t="s">
        <v>4581</v>
      </c>
      <c r="B3912">
        <v>37</v>
      </c>
      <c r="C3912">
        <v>47</v>
      </c>
    </row>
    <row r="3913" spans="1:3" ht="24" customHeight="1">
      <c r="A3913" s="5" t="s">
        <v>4745</v>
      </c>
      <c r="B3913">
        <v>152</v>
      </c>
      <c r="C3913">
        <v>233</v>
      </c>
    </row>
    <row r="3914" spans="1:3" ht="24" customHeight="1">
      <c r="A3914" s="5" t="s">
        <v>4903</v>
      </c>
      <c r="B3914">
        <v>134</v>
      </c>
      <c r="C3914">
        <v>45</v>
      </c>
    </row>
    <row r="3915" spans="1:3" ht="24" customHeight="1">
      <c r="A3915" s="5" t="s">
        <v>4824</v>
      </c>
      <c r="B3915">
        <v>49</v>
      </c>
      <c r="C3915">
        <v>123</v>
      </c>
    </row>
    <row r="3916" spans="1:3" ht="24" customHeight="1">
      <c r="A3916" s="5" t="s">
        <v>4582</v>
      </c>
      <c r="B3916">
        <v>127</v>
      </c>
      <c r="C3916">
        <v>193</v>
      </c>
    </row>
    <row r="3917" spans="1:3" ht="24" customHeight="1">
      <c r="A3917" s="5" t="s">
        <v>4583</v>
      </c>
      <c r="B3917">
        <v>35</v>
      </c>
      <c r="C3917">
        <v>34</v>
      </c>
    </row>
    <row r="3918" spans="1:3" ht="24" customHeight="1">
      <c r="A3918" s="5" t="s">
        <v>4746</v>
      </c>
      <c r="B3918">
        <v>45</v>
      </c>
      <c r="C3918">
        <v>60</v>
      </c>
    </row>
    <row r="3919" spans="1:3" ht="24" customHeight="1">
      <c r="A3919" s="5" t="s">
        <v>4904</v>
      </c>
      <c r="B3919">
        <v>21</v>
      </c>
      <c r="C3919">
        <v>62</v>
      </c>
    </row>
    <row r="3920" spans="1:3" ht="24" customHeight="1">
      <c r="A3920" s="5" t="s">
        <v>4825</v>
      </c>
      <c r="B3920">
        <v>25</v>
      </c>
      <c r="C3920">
        <v>37</v>
      </c>
    </row>
    <row r="3921" spans="1:3" ht="24" customHeight="1">
      <c r="A3921" s="5" t="s">
        <v>4584</v>
      </c>
      <c r="B3921">
        <v>291</v>
      </c>
      <c r="C3921">
        <v>381</v>
      </c>
    </row>
    <row r="3922" spans="1:3" ht="24" customHeight="1">
      <c r="A3922" s="5" t="s">
        <v>4585</v>
      </c>
      <c r="B3922">
        <v>141</v>
      </c>
      <c r="C3922">
        <v>61</v>
      </c>
    </row>
    <row r="3923" spans="1:3" ht="24" customHeight="1">
      <c r="A3923" s="5" t="s">
        <v>4747</v>
      </c>
      <c r="B3923">
        <v>48</v>
      </c>
      <c r="C3923">
        <v>174</v>
      </c>
    </row>
    <row r="3924" spans="1:3" ht="24" customHeight="1">
      <c r="A3924" s="5" t="s">
        <v>4905</v>
      </c>
      <c r="B3924">
        <v>43</v>
      </c>
      <c r="C3924">
        <v>115</v>
      </c>
    </row>
    <row r="3925" spans="1:3" ht="24" customHeight="1">
      <c r="A3925" s="5" t="s">
        <v>4826</v>
      </c>
      <c r="B3925">
        <v>59</v>
      </c>
      <c r="C3925">
        <v>31</v>
      </c>
    </row>
    <row r="3926" spans="1:3" ht="24" customHeight="1">
      <c r="A3926" s="5" t="s">
        <v>4586</v>
      </c>
      <c r="B3926">
        <v>499</v>
      </c>
      <c r="C3926">
        <v>478</v>
      </c>
    </row>
    <row r="3927" spans="1:3" ht="24" customHeight="1">
      <c r="A3927" s="5" t="s">
        <v>4587</v>
      </c>
      <c r="B3927">
        <v>225</v>
      </c>
      <c r="C3927">
        <v>53</v>
      </c>
    </row>
    <row r="3928" spans="1:3" ht="24" customHeight="1">
      <c r="A3928" s="5" t="s">
        <v>4748</v>
      </c>
      <c r="B3928">
        <v>124</v>
      </c>
      <c r="C3928">
        <v>249</v>
      </c>
    </row>
    <row r="3929" spans="1:3" ht="24" customHeight="1">
      <c r="A3929" s="5" t="s">
        <v>4906</v>
      </c>
      <c r="B3929">
        <v>49</v>
      </c>
      <c r="C3929">
        <v>93</v>
      </c>
    </row>
    <row r="3930" spans="1:3" ht="24" customHeight="1">
      <c r="A3930" s="5" t="s">
        <v>4827</v>
      </c>
      <c r="B3930">
        <v>102</v>
      </c>
      <c r="C3930">
        <v>83</v>
      </c>
    </row>
    <row r="3931" spans="1:3" ht="24" customHeight="1">
      <c r="A3931" s="5" t="s">
        <v>4588</v>
      </c>
      <c r="B3931">
        <v>62</v>
      </c>
      <c r="C3931">
        <v>100</v>
      </c>
    </row>
    <row r="3932" spans="1:3" ht="24" customHeight="1">
      <c r="A3932" s="5" t="s">
        <v>4589</v>
      </c>
      <c r="B3932">
        <v>6</v>
      </c>
      <c r="C3932">
        <v>15</v>
      </c>
    </row>
    <row r="3933" spans="1:3" ht="24" customHeight="1">
      <c r="A3933" s="5" t="s">
        <v>4749</v>
      </c>
      <c r="B3933">
        <v>7</v>
      </c>
      <c r="C3933">
        <v>39</v>
      </c>
    </row>
    <row r="3934" spans="1:3" ht="24" customHeight="1">
      <c r="A3934" s="5" t="s">
        <v>4907</v>
      </c>
      <c r="B3934">
        <v>38</v>
      </c>
      <c r="C3934">
        <v>35</v>
      </c>
    </row>
    <row r="3935" spans="1:3" ht="24" customHeight="1">
      <c r="A3935" s="5" t="s">
        <v>4828</v>
      </c>
      <c r="B3935">
        <v>12</v>
      </c>
      <c r="C3935">
        <v>10</v>
      </c>
    </row>
    <row r="3936" spans="1:3" ht="24" customHeight="1">
      <c r="A3936" s="5" t="s">
        <v>4590</v>
      </c>
      <c r="B3936">
        <v>1608</v>
      </c>
      <c r="C3936">
        <v>755</v>
      </c>
    </row>
    <row r="3937" spans="1:3" ht="24" customHeight="1">
      <c r="A3937" s="5" t="s">
        <v>4591</v>
      </c>
      <c r="B3937">
        <v>628</v>
      </c>
      <c r="C3937">
        <v>222</v>
      </c>
    </row>
    <row r="3938" spans="1:3" ht="24" customHeight="1">
      <c r="A3938" s="5" t="s">
        <v>4750</v>
      </c>
      <c r="B3938">
        <v>321</v>
      </c>
      <c r="C3938">
        <v>177</v>
      </c>
    </row>
    <row r="3939" spans="1:3" ht="24" customHeight="1">
      <c r="A3939" s="5" t="s">
        <v>4908</v>
      </c>
      <c r="B3939">
        <v>371</v>
      </c>
      <c r="C3939">
        <v>319</v>
      </c>
    </row>
    <row r="3940" spans="1:3" ht="24" customHeight="1">
      <c r="A3940" s="5" t="s">
        <v>4829</v>
      </c>
      <c r="B3940">
        <v>288</v>
      </c>
      <c r="C3940">
        <v>37</v>
      </c>
    </row>
    <row r="3941" spans="1:3" ht="24" customHeight="1">
      <c r="A3941" s="5" t="s">
        <v>4592</v>
      </c>
      <c r="B3941">
        <v>166</v>
      </c>
      <c r="C3941">
        <v>315</v>
      </c>
    </row>
    <row r="3942" spans="1:3" ht="24" customHeight="1">
      <c r="A3942" s="5" t="s">
        <v>4593</v>
      </c>
      <c r="B3942">
        <v>15</v>
      </c>
      <c r="C3942">
        <v>19</v>
      </c>
    </row>
    <row r="3943" spans="1:3" ht="24" customHeight="1">
      <c r="A3943" s="5" t="s">
        <v>4751</v>
      </c>
      <c r="B3943">
        <v>98</v>
      </c>
      <c r="C3943">
        <v>157</v>
      </c>
    </row>
    <row r="3944" spans="1:3" ht="24" customHeight="1">
      <c r="A3944" s="5" t="s">
        <v>4909</v>
      </c>
      <c r="B3944">
        <v>29</v>
      </c>
      <c r="C3944">
        <v>103</v>
      </c>
    </row>
    <row r="3945" spans="1:3" ht="24" customHeight="1">
      <c r="A3945" s="5" t="s">
        <v>4830</v>
      </c>
      <c r="B3945">
        <v>24</v>
      </c>
      <c r="C3945">
        <v>37</v>
      </c>
    </row>
    <row r="3946" spans="1:3" ht="24" customHeight="1">
      <c r="A3946" s="5" t="s">
        <v>4594</v>
      </c>
      <c r="B3946">
        <v>214</v>
      </c>
      <c r="C3946">
        <v>81</v>
      </c>
    </row>
    <row r="3947" spans="1:3" ht="24" customHeight="1">
      <c r="A3947" s="5" t="s">
        <v>4599</v>
      </c>
      <c r="B3947">
        <v>1257</v>
      </c>
      <c r="C3947">
        <v>2221</v>
      </c>
    </row>
    <row r="3948" spans="1:3" ht="24" customHeight="1">
      <c r="A3948" s="5" t="s">
        <v>4605</v>
      </c>
      <c r="B3948">
        <v>3991</v>
      </c>
      <c r="C3948">
        <v>3516</v>
      </c>
    </row>
    <row r="3949" spans="1:3" ht="24" customHeight="1">
      <c r="A3949" s="5" t="s">
        <v>4614</v>
      </c>
      <c r="B3949">
        <v>45815</v>
      </c>
      <c r="C3949">
        <v>52168</v>
      </c>
    </row>
    <row r="3950" spans="1:3" ht="24" customHeight="1">
      <c r="A3950" s="5" t="s">
        <v>4633</v>
      </c>
      <c r="B3950">
        <v>349</v>
      </c>
      <c r="C3950">
        <v>767</v>
      </c>
    </row>
    <row r="3951" spans="1:3" ht="24" customHeight="1">
      <c r="A3951" s="5" t="s">
        <v>4646</v>
      </c>
      <c r="B3951">
        <v>1457</v>
      </c>
      <c r="C3951">
        <v>2222</v>
      </c>
    </row>
    <row r="3952" spans="1:3" ht="24" customHeight="1">
      <c r="A3952" s="5" t="s">
        <v>4653</v>
      </c>
      <c r="B3952">
        <v>2089</v>
      </c>
      <c r="C3952">
        <v>2646</v>
      </c>
    </row>
    <row r="3953" spans="1:3" ht="24" customHeight="1">
      <c r="A3953" s="5" t="s">
        <v>4662</v>
      </c>
      <c r="B3953">
        <v>35175</v>
      </c>
      <c r="C3953">
        <v>54693</v>
      </c>
    </row>
    <row r="3954" spans="1:3" ht="24" customHeight="1">
      <c r="A3954" s="5" t="s">
        <v>4669</v>
      </c>
      <c r="B3954">
        <v>6555</v>
      </c>
      <c r="C3954">
        <v>9392</v>
      </c>
    </row>
    <row r="3955" spans="1:3" ht="24" customHeight="1">
      <c r="A3955" s="5" t="s">
        <v>4676</v>
      </c>
      <c r="B3955">
        <v>8167</v>
      </c>
      <c r="C3955">
        <v>10290</v>
      </c>
    </row>
    <row r="3956" spans="1:3" ht="24" customHeight="1">
      <c r="A3956" s="5" t="s">
        <v>4681</v>
      </c>
      <c r="B3956">
        <v>9488</v>
      </c>
      <c r="C3956">
        <v>25574</v>
      </c>
    </row>
    <row r="3957" spans="1:3" ht="24" customHeight="1">
      <c r="A3957" s="5" t="s">
        <v>4688</v>
      </c>
      <c r="B3957">
        <v>402</v>
      </c>
      <c r="C3957">
        <v>379</v>
      </c>
    </row>
    <row r="3958" spans="1:3" ht="24" customHeight="1">
      <c r="A3958" s="5" t="s">
        <v>4693</v>
      </c>
      <c r="B3958">
        <v>20675</v>
      </c>
      <c r="C3958">
        <v>29754</v>
      </c>
    </row>
    <row r="3959" spans="1:3" ht="24" customHeight="1">
      <c r="A3959" s="5" t="s">
        <v>4539</v>
      </c>
      <c r="B3959">
        <v>17</v>
      </c>
      <c r="C3959">
        <v>2</v>
      </c>
    </row>
    <row r="3960" spans="1:3" ht="24" customHeight="1">
      <c r="A3960" s="5" t="s">
        <v>4710</v>
      </c>
      <c r="B3960">
        <v>2</v>
      </c>
      <c r="C3960">
        <v>0</v>
      </c>
    </row>
    <row r="3961" spans="1:3" ht="24" customHeight="1">
      <c r="A3961" s="5" t="s">
        <v>4752</v>
      </c>
      <c r="B3961">
        <v>15</v>
      </c>
      <c r="C3961">
        <v>1</v>
      </c>
    </row>
    <row r="3962" spans="1:3" ht="24" customHeight="1">
      <c r="A3962" s="5" t="s">
        <v>4910</v>
      </c>
      <c r="B3962">
        <v>0</v>
      </c>
      <c r="C3962">
        <v>0</v>
      </c>
    </row>
    <row r="3963" spans="1:3" ht="24" customHeight="1">
      <c r="A3963" s="5" t="s">
        <v>4831</v>
      </c>
      <c r="B3963">
        <v>0</v>
      </c>
      <c r="C3963">
        <v>1</v>
      </c>
    </row>
    <row r="3964" spans="1:3" ht="24" customHeight="1">
      <c r="A3964" s="5" t="s">
        <v>4541</v>
      </c>
      <c r="B3964">
        <v>3559</v>
      </c>
      <c r="C3964">
        <v>849</v>
      </c>
    </row>
    <row r="3965" spans="1:3" ht="24" customHeight="1">
      <c r="A3965" s="5" t="s">
        <v>4711</v>
      </c>
      <c r="B3965">
        <v>349</v>
      </c>
      <c r="C3965">
        <v>161</v>
      </c>
    </row>
    <row r="3966" spans="1:3" ht="24" customHeight="1">
      <c r="A3966" s="5" t="s">
        <v>4753</v>
      </c>
      <c r="B3966">
        <v>2761</v>
      </c>
      <c r="C3966">
        <v>537</v>
      </c>
    </row>
    <row r="3967" spans="1:3" ht="24" customHeight="1">
      <c r="A3967" s="5" t="s">
        <v>4911</v>
      </c>
      <c r="B3967">
        <v>195</v>
      </c>
      <c r="C3967">
        <v>58</v>
      </c>
    </row>
    <row r="3968" spans="1:3" ht="24" customHeight="1">
      <c r="A3968" s="5" t="s">
        <v>4832</v>
      </c>
      <c r="B3968">
        <v>255</v>
      </c>
      <c r="C3968">
        <v>94</v>
      </c>
    </row>
    <row r="3969" spans="1:3" ht="24" customHeight="1">
      <c r="A3969" s="5" t="s">
        <v>4545</v>
      </c>
      <c r="B3969">
        <v>10120</v>
      </c>
      <c r="C3969">
        <v>17691</v>
      </c>
    </row>
    <row r="3970" spans="1:3" ht="24" customHeight="1">
      <c r="A3970" s="5" t="s">
        <v>4712</v>
      </c>
      <c r="B3970">
        <v>2524</v>
      </c>
      <c r="C3970">
        <v>7049</v>
      </c>
    </row>
    <row r="3971" spans="1:3" ht="24" customHeight="1">
      <c r="A3971" s="5" t="s">
        <v>4754</v>
      </c>
      <c r="B3971">
        <v>3017</v>
      </c>
      <c r="C3971">
        <v>4286</v>
      </c>
    </row>
    <row r="3972" spans="1:3" ht="24" customHeight="1">
      <c r="A3972" s="5" t="s">
        <v>4912</v>
      </c>
      <c r="B3972">
        <v>1686</v>
      </c>
      <c r="C3972">
        <v>2571</v>
      </c>
    </row>
    <row r="3973" spans="1:3" ht="24" customHeight="1">
      <c r="A3973" s="5" t="s">
        <v>4833</v>
      </c>
      <c r="B3973">
        <v>2893</v>
      </c>
      <c r="C3973">
        <v>3784</v>
      </c>
    </row>
    <row r="3974" spans="1:3" ht="24" customHeight="1">
      <c r="A3974" s="5" t="s">
        <v>4594</v>
      </c>
      <c r="B3974">
        <v>214</v>
      </c>
      <c r="C3974">
        <v>81</v>
      </c>
    </row>
    <row r="3975" spans="1:3" ht="24" customHeight="1">
      <c r="A3975" s="5" t="s">
        <v>4713</v>
      </c>
      <c r="B3975">
        <v>169</v>
      </c>
      <c r="C3975">
        <v>61</v>
      </c>
    </row>
    <row r="3976" spans="1:3" ht="24" customHeight="1">
      <c r="A3976" s="5" t="s">
        <v>4755</v>
      </c>
      <c r="B3976">
        <v>17</v>
      </c>
      <c r="C3976">
        <v>12</v>
      </c>
    </row>
    <row r="3977" spans="1:3" ht="24" customHeight="1">
      <c r="A3977" s="5" t="s">
        <v>4913</v>
      </c>
      <c r="B3977">
        <v>9</v>
      </c>
      <c r="C3977">
        <v>4</v>
      </c>
    </row>
    <row r="3978" spans="1:3" ht="24" customHeight="1">
      <c r="A3978" s="5" t="s">
        <v>4834</v>
      </c>
      <c r="B3978">
        <v>19</v>
      </c>
      <c r="C3978">
        <v>5</v>
      </c>
    </row>
    <row r="3979" spans="1:3" ht="24" customHeight="1">
      <c r="A3979" s="5" t="s">
        <v>4599</v>
      </c>
      <c r="B3979">
        <v>1257</v>
      </c>
      <c r="C3979">
        <v>2221</v>
      </c>
    </row>
    <row r="3980" spans="1:3" ht="24" customHeight="1">
      <c r="A3980" s="5" t="s">
        <v>4714</v>
      </c>
      <c r="B3980">
        <v>609</v>
      </c>
      <c r="C3980">
        <v>829</v>
      </c>
    </row>
    <row r="3981" spans="1:3" ht="24" customHeight="1">
      <c r="A3981" s="5" t="s">
        <v>4756</v>
      </c>
      <c r="B3981">
        <v>251</v>
      </c>
      <c r="C3981">
        <v>777</v>
      </c>
    </row>
    <row r="3982" spans="1:3" ht="24" customHeight="1">
      <c r="A3982" s="5" t="s">
        <v>4914</v>
      </c>
      <c r="B3982">
        <v>298</v>
      </c>
      <c r="C3982">
        <v>414</v>
      </c>
    </row>
    <row r="3983" spans="1:3" ht="24" customHeight="1">
      <c r="A3983" s="5" t="s">
        <v>4835</v>
      </c>
      <c r="B3983">
        <v>99</v>
      </c>
      <c r="C3983">
        <v>201</v>
      </c>
    </row>
    <row r="3984" spans="1:3" ht="24" customHeight="1">
      <c r="A3984" s="5" t="s">
        <v>4605</v>
      </c>
      <c r="B3984">
        <v>3991</v>
      </c>
      <c r="C3984">
        <v>3516</v>
      </c>
    </row>
    <row r="3985" spans="1:3" ht="24" customHeight="1">
      <c r="A3985" s="5" t="s">
        <v>4715</v>
      </c>
      <c r="B3985">
        <v>1754</v>
      </c>
      <c r="C3985">
        <v>1507</v>
      </c>
    </row>
    <row r="3986" spans="1:3" ht="24" customHeight="1">
      <c r="A3986" s="5" t="s">
        <v>4757</v>
      </c>
      <c r="B3986">
        <v>1009</v>
      </c>
      <c r="C3986">
        <v>455</v>
      </c>
    </row>
    <row r="3987" spans="1:3" ht="24" customHeight="1">
      <c r="A3987" s="5" t="s">
        <v>4915</v>
      </c>
      <c r="B3987">
        <v>656</v>
      </c>
      <c r="C3987">
        <v>338</v>
      </c>
    </row>
    <row r="3988" spans="1:3" ht="24" customHeight="1">
      <c r="A3988" s="5" t="s">
        <v>4836</v>
      </c>
      <c r="B3988">
        <v>572</v>
      </c>
      <c r="C3988">
        <v>1216</v>
      </c>
    </row>
    <row r="3989" spans="1:3" ht="24" customHeight="1">
      <c r="A3989" s="5" t="s">
        <v>4614</v>
      </c>
      <c r="B3989">
        <v>45815</v>
      </c>
      <c r="C3989">
        <v>52168</v>
      </c>
    </row>
    <row r="3990" spans="1:3" ht="24" customHeight="1">
      <c r="A3990" s="5" t="s">
        <v>4716</v>
      </c>
      <c r="B3990">
        <v>32633</v>
      </c>
      <c r="C3990">
        <v>31239</v>
      </c>
    </row>
    <row r="3991" spans="1:3" ht="24" customHeight="1">
      <c r="A3991" s="5" t="s">
        <v>4758</v>
      </c>
      <c r="B3991">
        <v>7915</v>
      </c>
      <c r="C3991">
        <v>12393</v>
      </c>
    </row>
    <row r="3992" spans="1:3" ht="24" customHeight="1">
      <c r="A3992" s="5" t="s">
        <v>4916</v>
      </c>
      <c r="B3992">
        <v>2653</v>
      </c>
      <c r="C3992">
        <v>3043</v>
      </c>
    </row>
    <row r="3993" spans="1:3" ht="24" customHeight="1">
      <c r="A3993" s="5" t="s">
        <v>4837</v>
      </c>
      <c r="B3993">
        <v>2614</v>
      </c>
      <c r="C3993">
        <v>5492</v>
      </c>
    </row>
    <row r="3994" spans="1:3" ht="24" customHeight="1">
      <c r="A3994" s="5" t="s">
        <v>4633</v>
      </c>
      <c r="B3994">
        <v>349</v>
      </c>
      <c r="C3994">
        <v>767</v>
      </c>
    </row>
    <row r="3995" spans="1:3" ht="24" customHeight="1">
      <c r="A3995" s="5" t="s">
        <v>4717</v>
      </c>
      <c r="B3995">
        <v>170</v>
      </c>
      <c r="C3995">
        <v>478</v>
      </c>
    </row>
    <row r="3996" spans="1:3" ht="24" customHeight="1">
      <c r="A3996" s="5" t="s">
        <v>4759</v>
      </c>
      <c r="B3996">
        <v>48</v>
      </c>
      <c r="C3996">
        <v>130</v>
      </c>
    </row>
    <row r="3997" spans="1:3" ht="24" customHeight="1">
      <c r="A3997" s="5" t="s">
        <v>4917</v>
      </c>
      <c r="B3997">
        <v>48</v>
      </c>
      <c r="C3997">
        <v>73</v>
      </c>
    </row>
    <row r="3998" spans="1:3" ht="24" customHeight="1">
      <c r="A3998" s="5" t="s">
        <v>4838</v>
      </c>
      <c r="B3998">
        <v>82</v>
      </c>
      <c r="C3998">
        <v>86</v>
      </c>
    </row>
    <row r="3999" spans="1:3" ht="24" customHeight="1">
      <c r="A3999" s="5" t="s">
        <v>4646</v>
      </c>
      <c r="B3999">
        <v>1457</v>
      </c>
      <c r="C3999">
        <v>2222</v>
      </c>
    </row>
    <row r="4000" spans="1:3" ht="24" customHeight="1">
      <c r="A4000" s="5" t="s">
        <v>4718</v>
      </c>
      <c r="B4000">
        <v>487</v>
      </c>
      <c r="C4000">
        <v>609</v>
      </c>
    </row>
    <row r="4001" spans="1:3" ht="24" customHeight="1">
      <c r="A4001" s="5" t="s">
        <v>4760</v>
      </c>
      <c r="B4001">
        <v>469</v>
      </c>
      <c r="C4001">
        <v>764</v>
      </c>
    </row>
    <row r="4002" spans="1:3" ht="24" customHeight="1">
      <c r="A4002" s="5" t="s">
        <v>4918</v>
      </c>
      <c r="B4002">
        <v>316</v>
      </c>
      <c r="C4002">
        <v>411</v>
      </c>
    </row>
    <row r="4003" spans="1:3" ht="24" customHeight="1">
      <c r="A4003" s="5" t="s">
        <v>4839</v>
      </c>
      <c r="B4003">
        <v>185</v>
      </c>
      <c r="C4003">
        <v>438</v>
      </c>
    </row>
    <row r="4004" spans="1:3" ht="24" customHeight="1">
      <c r="A4004" s="5" t="s">
        <v>4653</v>
      </c>
      <c r="B4004">
        <v>2089</v>
      </c>
      <c r="C4004">
        <v>2646</v>
      </c>
    </row>
    <row r="4005" spans="1:3" ht="24" customHeight="1">
      <c r="A4005" s="5" t="s">
        <v>4719</v>
      </c>
      <c r="B4005">
        <v>849</v>
      </c>
      <c r="C4005">
        <v>770</v>
      </c>
    </row>
    <row r="4006" spans="1:3" ht="24" customHeight="1">
      <c r="A4006" s="5" t="s">
        <v>4761</v>
      </c>
      <c r="B4006">
        <v>660</v>
      </c>
      <c r="C4006">
        <v>1253</v>
      </c>
    </row>
    <row r="4007" spans="1:3" ht="24" customHeight="1">
      <c r="A4007" s="5" t="s">
        <v>4919</v>
      </c>
      <c r="B4007">
        <v>402</v>
      </c>
      <c r="C4007">
        <v>512</v>
      </c>
    </row>
    <row r="4008" spans="1:3" ht="24" customHeight="1">
      <c r="A4008" s="5" t="s">
        <v>4840</v>
      </c>
      <c r="B4008">
        <v>178</v>
      </c>
      <c r="C4008">
        <v>111</v>
      </c>
    </row>
    <row r="4009" spans="1:3" ht="24" customHeight="1">
      <c r="A4009" s="5" t="s">
        <v>4662</v>
      </c>
      <c r="B4009">
        <v>35175</v>
      </c>
      <c r="C4009">
        <v>54693</v>
      </c>
    </row>
    <row r="4010" spans="1:3" ht="24" customHeight="1">
      <c r="A4010" s="5" t="s">
        <v>4720</v>
      </c>
      <c r="B4010">
        <v>21113</v>
      </c>
      <c r="C4010">
        <v>30846</v>
      </c>
    </row>
    <row r="4011" spans="1:3" ht="24" customHeight="1">
      <c r="A4011" s="5" t="s">
        <v>4762</v>
      </c>
      <c r="B4011">
        <v>7754</v>
      </c>
      <c r="C4011">
        <v>13763</v>
      </c>
    </row>
    <row r="4012" spans="1:3" ht="24" customHeight="1">
      <c r="A4012" s="5" t="s">
        <v>4920</v>
      </c>
      <c r="B4012">
        <v>2781</v>
      </c>
      <c r="C4012">
        <v>4567</v>
      </c>
    </row>
    <row r="4013" spans="1:3" ht="24" customHeight="1">
      <c r="A4013" s="5" t="s">
        <v>4841</v>
      </c>
      <c r="B4013">
        <v>3528</v>
      </c>
      <c r="C4013">
        <v>5517</v>
      </c>
    </row>
    <row r="4014" spans="1:3" ht="24" customHeight="1">
      <c r="A4014" s="5" t="s">
        <v>4669</v>
      </c>
      <c r="B4014">
        <v>6555</v>
      </c>
      <c r="C4014">
        <v>9392</v>
      </c>
    </row>
    <row r="4015" spans="1:3" ht="24" customHeight="1">
      <c r="A4015" s="5" t="s">
        <v>4721</v>
      </c>
      <c r="B4015">
        <v>3138</v>
      </c>
      <c r="C4015">
        <v>4455</v>
      </c>
    </row>
    <row r="4016" spans="1:3" ht="24" customHeight="1">
      <c r="A4016" s="5" t="s">
        <v>4763</v>
      </c>
      <c r="B4016">
        <v>1503</v>
      </c>
      <c r="C4016">
        <v>2371</v>
      </c>
    </row>
    <row r="4017" spans="1:3" ht="24" customHeight="1">
      <c r="A4017" s="5" t="s">
        <v>4921</v>
      </c>
      <c r="B4017">
        <v>1012</v>
      </c>
      <c r="C4017">
        <v>1272</v>
      </c>
    </row>
    <row r="4018" spans="1:3" ht="24" customHeight="1">
      <c r="A4018" s="5" t="s">
        <v>4842</v>
      </c>
      <c r="B4018">
        <v>903</v>
      </c>
      <c r="C4018">
        <v>1294</v>
      </c>
    </row>
    <row r="4019" spans="1:3" ht="24" customHeight="1">
      <c r="A4019" s="5" t="s">
        <v>4676</v>
      </c>
      <c r="B4019">
        <v>8167</v>
      </c>
      <c r="C4019">
        <v>10290</v>
      </c>
    </row>
    <row r="4020" spans="1:3" ht="24" customHeight="1">
      <c r="A4020" s="5" t="s">
        <v>4722</v>
      </c>
      <c r="B4020">
        <v>4433</v>
      </c>
      <c r="C4020">
        <v>4335</v>
      </c>
    </row>
    <row r="4021" spans="1:3" ht="24" customHeight="1">
      <c r="A4021" s="5" t="s">
        <v>4764</v>
      </c>
      <c r="B4021">
        <v>1250</v>
      </c>
      <c r="C4021">
        <v>2495</v>
      </c>
    </row>
    <row r="4022" spans="1:3" ht="24" customHeight="1">
      <c r="A4022" s="5" t="s">
        <v>4922</v>
      </c>
      <c r="B4022">
        <v>1135</v>
      </c>
      <c r="C4022">
        <v>1383</v>
      </c>
    </row>
    <row r="4023" spans="1:3" ht="24" customHeight="1">
      <c r="A4023" s="5" t="s">
        <v>4843</v>
      </c>
      <c r="B4023">
        <v>1349</v>
      </c>
      <c r="C4023">
        <v>2078</v>
      </c>
    </row>
    <row r="4024" spans="1:3" ht="24" customHeight="1">
      <c r="A4024" s="5" t="s">
        <v>4681</v>
      </c>
      <c r="B4024">
        <v>9488</v>
      </c>
      <c r="C4024">
        <v>25574</v>
      </c>
    </row>
    <row r="4025" spans="1:3" ht="24" customHeight="1">
      <c r="A4025" s="5" t="s">
        <v>4723</v>
      </c>
      <c r="B4025">
        <v>2765</v>
      </c>
      <c r="C4025">
        <v>4188</v>
      </c>
    </row>
    <row r="4026" spans="1:3" ht="24" customHeight="1">
      <c r="A4026" s="5" t="s">
        <v>4765</v>
      </c>
      <c r="B4026">
        <v>3112</v>
      </c>
      <c r="C4026">
        <v>12479</v>
      </c>
    </row>
    <row r="4027" spans="1:3" ht="24" customHeight="1">
      <c r="A4027" s="5" t="s">
        <v>4923</v>
      </c>
      <c r="B4027">
        <v>1698</v>
      </c>
      <c r="C4027">
        <v>4722</v>
      </c>
    </row>
    <row r="4028" spans="1:3" ht="24" customHeight="1">
      <c r="A4028" s="5" t="s">
        <v>4844</v>
      </c>
      <c r="B4028">
        <v>1913</v>
      </c>
      <c r="C4028">
        <v>4184</v>
      </c>
    </row>
    <row r="4029" spans="1:3" ht="24" customHeight="1">
      <c r="A4029" s="5" t="s">
        <v>4688</v>
      </c>
      <c r="B4029">
        <v>402</v>
      </c>
      <c r="C4029">
        <v>379</v>
      </c>
    </row>
    <row r="4030" spans="1:3" ht="24" customHeight="1">
      <c r="A4030" s="5" t="s">
        <v>4724</v>
      </c>
      <c r="B4030">
        <v>283</v>
      </c>
      <c r="C4030">
        <v>263</v>
      </c>
    </row>
    <row r="4031" spans="1:3" ht="24" customHeight="1">
      <c r="A4031" s="5" t="s">
        <v>4766</v>
      </c>
      <c r="B4031">
        <v>31</v>
      </c>
      <c r="C4031">
        <v>24</v>
      </c>
    </row>
    <row r="4032" spans="1:3" ht="24" customHeight="1">
      <c r="A4032" s="5" t="s">
        <v>4924</v>
      </c>
      <c r="B4032">
        <v>34</v>
      </c>
      <c r="C4032">
        <v>27</v>
      </c>
    </row>
    <row r="4033" spans="1:3" ht="24" customHeight="1">
      <c r="A4033" s="5" t="s">
        <v>4845</v>
      </c>
      <c r="B4033">
        <v>54</v>
      </c>
      <c r="C4033">
        <v>65</v>
      </c>
    </row>
    <row r="4034" spans="1:3" ht="24" customHeight="1">
      <c r="A4034" s="5" t="s">
        <v>4693</v>
      </c>
      <c r="B4034">
        <v>20675</v>
      </c>
      <c r="C4034">
        <v>29754</v>
      </c>
    </row>
    <row r="4035" spans="1:3" ht="24" customHeight="1">
      <c r="A4035" s="5" t="s">
        <v>4725</v>
      </c>
      <c r="B4035">
        <v>11144</v>
      </c>
      <c r="C4035">
        <v>16508</v>
      </c>
    </row>
    <row r="4036" spans="1:3" ht="24" customHeight="1">
      <c r="A4036" s="5" t="s">
        <v>4767</v>
      </c>
      <c r="B4036">
        <v>2937</v>
      </c>
      <c r="C4036">
        <v>3395</v>
      </c>
    </row>
    <row r="4037" spans="1:3" ht="24" customHeight="1">
      <c r="A4037" s="5" t="s">
        <v>4925</v>
      </c>
      <c r="B4037">
        <v>2773</v>
      </c>
      <c r="C4037">
        <v>3786</v>
      </c>
    </row>
    <row r="4038" spans="1:3" ht="24" customHeight="1">
      <c r="A4038" s="5" t="s">
        <v>4846</v>
      </c>
      <c r="B4038">
        <v>3820</v>
      </c>
      <c r="C4038">
        <v>6065</v>
      </c>
    </row>
    <row r="4039" spans="1:3" ht="24" customHeight="1">
      <c r="A4039" s="5" t="s">
        <v>4539</v>
      </c>
      <c r="B4039">
        <v>17</v>
      </c>
      <c r="C4039">
        <v>2</v>
      </c>
    </row>
    <row r="4040" spans="1:3" ht="24" customHeight="1">
      <c r="A4040" s="5" t="s">
        <v>4541</v>
      </c>
      <c r="B4040">
        <v>3559</v>
      </c>
      <c r="C4040">
        <v>849</v>
      </c>
    </row>
    <row r="4041" spans="1:3" ht="24" customHeight="1">
      <c r="A4041" s="5" t="s">
        <v>4545</v>
      </c>
      <c r="B4041">
        <v>10120</v>
      </c>
      <c r="C4041">
        <v>17691</v>
      </c>
    </row>
    <row r="4042" spans="1:3" ht="24" customHeight="1">
      <c r="A4042" s="5" t="s">
        <v>4546</v>
      </c>
      <c r="B4042">
        <v>3740</v>
      </c>
      <c r="C4042">
        <v>11459</v>
      </c>
    </row>
    <row r="4043" spans="1:3" ht="24" customHeight="1">
      <c r="A4043" s="5" t="s">
        <v>4548</v>
      </c>
      <c r="B4043">
        <v>130</v>
      </c>
      <c r="C4043">
        <v>194</v>
      </c>
    </row>
    <row r="4044" spans="1:3" ht="24" customHeight="1">
      <c r="A4044" s="5" t="s">
        <v>4550</v>
      </c>
      <c r="B4044">
        <v>120</v>
      </c>
      <c r="C4044">
        <v>628</v>
      </c>
    </row>
    <row r="4045" spans="1:3" ht="24" customHeight="1">
      <c r="A4045" s="5" t="s">
        <v>4552</v>
      </c>
      <c r="B4045">
        <v>146</v>
      </c>
      <c r="C4045">
        <v>91</v>
      </c>
    </row>
    <row r="4046" spans="1:3" ht="24" customHeight="1">
      <c r="A4046" s="5" t="s">
        <v>4554</v>
      </c>
      <c r="B4046">
        <v>113</v>
      </c>
      <c r="C4046">
        <v>76</v>
      </c>
    </row>
    <row r="4047" spans="1:3" ht="24" customHeight="1">
      <c r="A4047" s="5" t="s">
        <v>4556</v>
      </c>
      <c r="B4047">
        <v>136</v>
      </c>
      <c r="C4047">
        <v>182</v>
      </c>
    </row>
    <row r="4048" spans="1:3" ht="24" customHeight="1">
      <c r="A4048" s="5" t="s">
        <v>4558</v>
      </c>
      <c r="B4048">
        <v>163</v>
      </c>
      <c r="C4048">
        <v>337</v>
      </c>
    </row>
    <row r="4049" spans="1:3" ht="24" customHeight="1">
      <c r="A4049" s="5" t="s">
        <v>4560</v>
      </c>
      <c r="B4049">
        <v>179</v>
      </c>
      <c r="C4049">
        <v>373</v>
      </c>
    </row>
    <row r="4050" spans="1:3" ht="24" customHeight="1">
      <c r="A4050" s="5" t="s">
        <v>4562</v>
      </c>
      <c r="B4050">
        <v>2</v>
      </c>
      <c r="C4050">
        <v>1</v>
      </c>
    </row>
    <row r="4051" spans="1:3" ht="24" customHeight="1">
      <c r="A4051" s="5" t="s">
        <v>4564</v>
      </c>
      <c r="B4051">
        <v>432</v>
      </c>
      <c r="C4051">
        <v>711</v>
      </c>
    </row>
    <row r="4052" spans="1:3" ht="24" customHeight="1">
      <c r="A4052" s="5" t="s">
        <v>4566</v>
      </c>
      <c r="B4052">
        <v>104</v>
      </c>
      <c r="C4052">
        <v>150</v>
      </c>
    </row>
    <row r="4053" spans="1:3" ht="24" customHeight="1">
      <c r="A4053" s="5" t="s">
        <v>4568</v>
      </c>
      <c r="B4053">
        <v>11</v>
      </c>
      <c r="C4053">
        <v>56</v>
      </c>
    </row>
    <row r="4054" spans="1:3" ht="24" customHeight="1">
      <c r="A4054" s="5" t="s">
        <v>4570</v>
      </c>
      <c r="B4054">
        <v>279</v>
      </c>
      <c r="C4054">
        <v>105</v>
      </c>
    </row>
    <row r="4055" spans="1:3" ht="24" customHeight="1">
      <c r="A4055" s="5" t="s">
        <v>4572</v>
      </c>
      <c r="B4055">
        <v>300</v>
      </c>
      <c r="C4055">
        <v>41</v>
      </c>
    </row>
    <row r="4056" spans="1:3" ht="24" customHeight="1">
      <c r="A4056" s="5" t="s">
        <v>4574</v>
      </c>
      <c r="B4056">
        <v>161</v>
      </c>
      <c r="C4056">
        <v>100</v>
      </c>
    </row>
    <row r="4057" spans="1:3" ht="24" customHeight="1">
      <c r="A4057" s="5" t="s">
        <v>4576</v>
      </c>
      <c r="B4057">
        <v>638</v>
      </c>
      <c r="C4057">
        <v>300</v>
      </c>
    </row>
    <row r="4058" spans="1:3" ht="24" customHeight="1">
      <c r="A4058" s="5" t="s">
        <v>4578</v>
      </c>
      <c r="B4058">
        <v>343</v>
      </c>
      <c r="C4058">
        <v>216</v>
      </c>
    </row>
    <row r="4059" spans="1:3" ht="24" customHeight="1">
      <c r="A4059" s="5" t="s">
        <v>4580</v>
      </c>
      <c r="B4059">
        <v>371</v>
      </c>
      <c r="C4059">
        <v>448</v>
      </c>
    </row>
    <row r="4060" spans="1:3" ht="24" customHeight="1">
      <c r="A4060" s="5" t="s">
        <v>4582</v>
      </c>
      <c r="B4060">
        <v>127</v>
      </c>
      <c r="C4060">
        <v>193</v>
      </c>
    </row>
    <row r="4061" spans="1:3" ht="24" customHeight="1">
      <c r="A4061" s="5" t="s">
        <v>4584</v>
      </c>
      <c r="B4061">
        <v>291</v>
      </c>
      <c r="C4061">
        <v>381</v>
      </c>
    </row>
    <row r="4062" spans="1:3" ht="24" customHeight="1">
      <c r="A4062" s="5" t="s">
        <v>4586</v>
      </c>
      <c r="B4062">
        <v>499</v>
      </c>
      <c r="C4062">
        <v>478</v>
      </c>
    </row>
    <row r="4063" spans="1:3" ht="24" customHeight="1">
      <c r="A4063" s="5" t="s">
        <v>4588</v>
      </c>
      <c r="B4063">
        <v>62</v>
      </c>
      <c r="C4063">
        <v>100</v>
      </c>
    </row>
    <row r="4064" spans="1:3" ht="24" customHeight="1">
      <c r="A4064" s="5" t="s">
        <v>4590</v>
      </c>
      <c r="B4064">
        <v>1608</v>
      </c>
      <c r="C4064">
        <v>755</v>
      </c>
    </row>
    <row r="4065" spans="1:3" ht="24" customHeight="1">
      <c r="A4065" s="5" t="s">
        <v>4592</v>
      </c>
      <c r="B4065">
        <v>166</v>
      </c>
      <c r="C4065">
        <v>315</v>
      </c>
    </row>
    <row r="4066" spans="1:3" ht="24" customHeight="1">
      <c r="A4066" s="5" t="s">
        <v>4594</v>
      </c>
      <c r="B4066">
        <v>214</v>
      </c>
      <c r="C4066">
        <v>81</v>
      </c>
    </row>
    <row r="4067" spans="1:3" ht="24" customHeight="1">
      <c r="A4067" s="5" t="s">
        <v>4599</v>
      </c>
      <c r="B4067">
        <v>1257</v>
      </c>
      <c r="C4067">
        <v>2221</v>
      </c>
    </row>
    <row r="4068" spans="1:3" ht="24" customHeight="1">
      <c r="A4068" s="5" t="s">
        <v>4605</v>
      </c>
      <c r="B4068">
        <v>3991</v>
      </c>
      <c r="C4068">
        <v>3516</v>
      </c>
    </row>
    <row r="4069" spans="1:3" ht="24" customHeight="1">
      <c r="A4069" s="5" t="s">
        <v>4614</v>
      </c>
      <c r="B4069">
        <v>45815</v>
      </c>
      <c r="C4069">
        <v>52168</v>
      </c>
    </row>
    <row r="4070" spans="1:3" ht="24" customHeight="1">
      <c r="A4070" s="5" t="s">
        <v>4633</v>
      </c>
      <c r="B4070">
        <v>349</v>
      </c>
      <c r="C4070">
        <v>767</v>
      </c>
    </row>
    <row r="4071" spans="1:3" ht="24" customHeight="1">
      <c r="A4071" s="5" t="s">
        <v>4646</v>
      </c>
      <c r="B4071">
        <v>1457</v>
      </c>
      <c r="C4071">
        <v>2222</v>
      </c>
    </row>
    <row r="4072" spans="1:3" ht="24" customHeight="1">
      <c r="A4072" s="5" t="s">
        <v>4653</v>
      </c>
      <c r="B4072">
        <v>2089</v>
      </c>
      <c r="C4072">
        <v>2646</v>
      </c>
    </row>
    <row r="4073" spans="1:3" ht="24" customHeight="1">
      <c r="A4073" s="5" t="s">
        <v>4662</v>
      </c>
      <c r="B4073">
        <v>35175</v>
      </c>
      <c r="C4073">
        <v>54693</v>
      </c>
    </row>
    <row r="4074" spans="1:3" ht="24" customHeight="1">
      <c r="A4074" s="5" t="s">
        <v>4669</v>
      </c>
      <c r="B4074">
        <v>6555</v>
      </c>
      <c r="C4074">
        <v>9392</v>
      </c>
    </row>
    <row r="4075" spans="1:3" ht="24" customHeight="1">
      <c r="A4075" s="5" t="s">
        <v>4676</v>
      </c>
      <c r="B4075">
        <v>8167</v>
      </c>
      <c r="C4075">
        <v>10290</v>
      </c>
    </row>
    <row r="4076" spans="1:3" ht="24" customHeight="1">
      <c r="A4076" s="5" t="s">
        <v>4681</v>
      </c>
      <c r="B4076">
        <v>9488</v>
      </c>
      <c r="C4076">
        <v>25574</v>
      </c>
    </row>
    <row r="4077" spans="1:3" ht="24" customHeight="1">
      <c r="A4077" s="5" t="s">
        <v>4688</v>
      </c>
      <c r="B4077">
        <v>402</v>
      </c>
      <c r="C4077">
        <v>379</v>
      </c>
    </row>
    <row r="4078" spans="1:3" ht="24" customHeight="1">
      <c r="A4078" s="5" t="s">
        <v>4693</v>
      </c>
      <c r="B4078">
        <v>20675</v>
      </c>
      <c r="C4078">
        <v>29754</v>
      </c>
    </row>
    <row r="4079" spans="1:3" ht="24" customHeight="1">
      <c r="A4079" s="5" t="s">
        <v>4726</v>
      </c>
      <c r="B4079">
        <v>149329</v>
      </c>
      <c r="C4079">
        <v>212244</v>
      </c>
    </row>
    <row r="4080" spans="1:3" ht="24" customHeight="1">
      <c r="A4080" s="5" t="s">
        <v>4847</v>
      </c>
      <c r="B4080">
        <v>218</v>
      </c>
      <c r="C4080">
        <v>466</v>
      </c>
    </row>
    <row r="4081" spans="1:3" ht="24" customHeight="1">
      <c r="A4081" s="5" t="s">
        <v>4621</v>
      </c>
      <c r="B4081">
        <v>760</v>
      </c>
      <c r="C4081">
        <v>1734</v>
      </c>
    </row>
    <row r="4082" spans="1:3" ht="24" customHeight="1">
      <c r="A4082" s="5" t="s">
        <v>4622</v>
      </c>
      <c r="B4082">
        <v>634</v>
      </c>
      <c r="C4082">
        <v>1358</v>
      </c>
    </row>
    <row r="4083" spans="1:3" ht="24" customHeight="1">
      <c r="A4083" s="5" t="s">
        <v>4768</v>
      </c>
      <c r="B4083">
        <v>3</v>
      </c>
      <c r="C4083">
        <v>1</v>
      </c>
    </row>
    <row r="4084" spans="1:3" ht="24" customHeight="1">
      <c r="A4084" s="5" t="s">
        <v>4926</v>
      </c>
      <c r="B4084">
        <v>75</v>
      </c>
      <c r="C4084">
        <v>193</v>
      </c>
    </row>
    <row r="4085" spans="1:3" ht="24" customHeight="1">
      <c r="A4085" s="5" t="s">
        <v>4848</v>
      </c>
      <c r="B4085">
        <v>48</v>
      </c>
      <c r="C4085">
        <v>183</v>
      </c>
    </row>
    <row r="4086" spans="1:3" ht="24" customHeight="1">
      <c r="A4086" s="5" t="s">
        <v>4623</v>
      </c>
      <c r="B4086">
        <v>928</v>
      </c>
      <c r="C4086">
        <v>2043</v>
      </c>
    </row>
    <row r="4087" spans="1:3" ht="24" customHeight="1">
      <c r="A4087" s="5" t="s">
        <v>4624</v>
      </c>
      <c r="B4087">
        <v>395</v>
      </c>
      <c r="C4087">
        <v>1002</v>
      </c>
    </row>
    <row r="4088" spans="1:3" ht="24" customHeight="1">
      <c r="A4088" s="5" t="s">
        <v>4769</v>
      </c>
      <c r="B4088">
        <v>423</v>
      </c>
      <c r="C4088">
        <v>774</v>
      </c>
    </row>
    <row r="4089" spans="1:3" ht="24" customHeight="1">
      <c r="A4089" s="5" t="s">
        <v>4927</v>
      </c>
      <c r="B4089">
        <v>102</v>
      </c>
      <c r="C4089">
        <v>165</v>
      </c>
    </row>
    <row r="4090" spans="1:3" ht="24" customHeight="1">
      <c r="A4090" s="5" t="s">
        <v>4849</v>
      </c>
      <c r="B4090">
        <v>8</v>
      </c>
      <c r="C4090">
        <v>102</v>
      </c>
    </row>
    <row r="4091" spans="1:3" ht="24" customHeight="1">
      <c r="A4091" s="5" t="s">
        <v>4625</v>
      </c>
      <c r="B4091">
        <v>12575</v>
      </c>
      <c r="C4091">
        <v>23474</v>
      </c>
    </row>
    <row r="4092" spans="1:3" ht="24" customHeight="1">
      <c r="A4092" s="5" t="s">
        <v>4626</v>
      </c>
      <c r="B4092">
        <v>5541</v>
      </c>
      <c r="C4092">
        <v>11330</v>
      </c>
    </row>
    <row r="4093" spans="1:3" ht="24" customHeight="1">
      <c r="A4093" s="5" t="s">
        <v>4770</v>
      </c>
      <c r="B4093">
        <v>5458</v>
      </c>
      <c r="C4093">
        <v>8420</v>
      </c>
    </row>
    <row r="4094" spans="1:3" ht="24" customHeight="1">
      <c r="A4094" s="5" t="s">
        <v>4928</v>
      </c>
      <c r="B4094">
        <v>1007</v>
      </c>
      <c r="C4094">
        <v>1223</v>
      </c>
    </row>
    <row r="4095" spans="1:3" ht="24" customHeight="1">
      <c r="A4095" s="5" t="s">
        <v>4850</v>
      </c>
      <c r="B4095">
        <v>569</v>
      </c>
      <c r="C4095">
        <v>2501</v>
      </c>
    </row>
    <row r="4096" spans="1:3" ht="24" customHeight="1">
      <c r="A4096" s="5" t="s">
        <v>4627</v>
      </c>
      <c r="B4096">
        <v>808</v>
      </c>
      <c r="C4096">
        <v>468</v>
      </c>
    </row>
    <row r="4097" spans="1:3" ht="24" customHeight="1">
      <c r="A4097" s="5" t="s">
        <v>4628</v>
      </c>
      <c r="B4097">
        <v>425</v>
      </c>
      <c r="C4097">
        <v>326</v>
      </c>
    </row>
    <row r="4098" spans="1:3" ht="24" customHeight="1">
      <c r="A4098" s="5" t="s">
        <v>4771</v>
      </c>
      <c r="B4098">
        <v>115</v>
      </c>
      <c r="C4098">
        <v>99</v>
      </c>
    </row>
    <row r="4099" spans="1:3" ht="24" customHeight="1">
      <c r="A4099" s="5" t="s">
        <v>4929</v>
      </c>
      <c r="B4099">
        <v>100</v>
      </c>
      <c r="C4099">
        <v>23</v>
      </c>
    </row>
    <row r="4100" spans="1:3" ht="24" customHeight="1">
      <c r="A4100" s="5" t="s">
        <v>4851</v>
      </c>
      <c r="B4100">
        <v>169</v>
      </c>
      <c r="C4100">
        <v>20</v>
      </c>
    </row>
    <row r="4101" spans="1:3" ht="24" customHeight="1">
      <c r="A4101" s="5" t="s">
        <v>4629</v>
      </c>
      <c r="B4101">
        <v>5919</v>
      </c>
      <c r="C4101">
        <v>13255</v>
      </c>
    </row>
    <row r="4102" spans="1:3" ht="24" customHeight="1">
      <c r="A4102" s="5" t="s">
        <v>4630</v>
      </c>
      <c r="B4102">
        <v>3667</v>
      </c>
      <c r="C4102">
        <v>10199</v>
      </c>
    </row>
    <row r="4103" spans="1:3" ht="24" customHeight="1">
      <c r="A4103" s="5" t="s">
        <v>4772</v>
      </c>
      <c r="B4103">
        <v>613</v>
      </c>
      <c r="C4103">
        <v>1099</v>
      </c>
    </row>
    <row r="4104" spans="1:3" ht="24" customHeight="1">
      <c r="A4104" s="5" t="s">
        <v>4930</v>
      </c>
      <c r="B4104">
        <v>774</v>
      </c>
      <c r="C4104">
        <v>709</v>
      </c>
    </row>
    <row r="4105" spans="1:3" ht="24" customHeight="1">
      <c r="A4105" s="5" t="s">
        <v>4852</v>
      </c>
      <c r="B4105">
        <v>866</v>
      </c>
      <c r="C4105">
        <v>1248</v>
      </c>
    </row>
    <row r="4106" spans="1:3" ht="24" customHeight="1">
      <c r="A4106" s="5" t="s">
        <v>4631</v>
      </c>
      <c r="B4106">
        <v>594</v>
      </c>
      <c r="C4106">
        <v>1303</v>
      </c>
    </row>
    <row r="4107" spans="1:3" ht="24" customHeight="1">
      <c r="A4107" s="5" t="s">
        <v>4632</v>
      </c>
      <c r="B4107">
        <v>153</v>
      </c>
      <c r="C4107">
        <v>265</v>
      </c>
    </row>
    <row r="4108" spans="1:3" ht="24" customHeight="1">
      <c r="A4108" s="5" t="s">
        <v>4773</v>
      </c>
      <c r="B4108">
        <v>369</v>
      </c>
      <c r="C4108">
        <v>603</v>
      </c>
    </row>
    <row r="4109" spans="1:3" ht="24" customHeight="1">
      <c r="A4109" s="5" t="s">
        <v>4931</v>
      </c>
      <c r="B4109">
        <v>44</v>
      </c>
      <c r="C4109">
        <v>216</v>
      </c>
    </row>
    <row r="4110" spans="1:3" ht="24" customHeight="1">
      <c r="A4110" s="5" t="s">
        <v>4853</v>
      </c>
      <c r="B4110">
        <v>27</v>
      </c>
      <c r="C4110">
        <v>218</v>
      </c>
    </row>
    <row r="4111" spans="1:3" ht="24" customHeight="1">
      <c r="A4111" s="5" t="s">
        <v>4633</v>
      </c>
      <c r="B4111">
        <v>349</v>
      </c>
      <c r="C4111">
        <v>767</v>
      </c>
    </row>
    <row r="4112" spans="1:3" ht="24" customHeight="1">
      <c r="A4112" s="5" t="s">
        <v>4634</v>
      </c>
      <c r="B4112">
        <v>92</v>
      </c>
      <c r="C4112">
        <v>282</v>
      </c>
    </row>
    <row r="4113" spans="1:3" ht="24" customHeight="1">
      <c r="A4113" s="5" t="s">
        <v>4635</v>
      </c>
      <c r="B4113">
        <v>79</v>
      </c>
      <c r="C4113">
        <v>245</v>
      </c>
    </row>
    <row r="4114" spans="1:3" ht="24" customHeight="1">
      <c r="A4114" s="5" t="s">
        <v>4774</v>
      </c>
      <c r="B4114">
        <v>3</v>
      </c>
      <c r="C4114">
        <v>16</v>
      </c>
    </row>
    <row r="4115" spans="1:3" ht="24" customHeight="1">
      <c r="A4115" s="5" t="s">
        <v>4932</v>
      </c>
      <c r="B4115">
        <v>1</v>
      </c>
      <c r="C4115">
        <v>1</v>
      </c>
    </row>
    <row r="4116" spans="1:3" ht="24" customHeight="1">
      <c r="A4116" s="5" t="s">
        <v>4854</v>
      </c>
      <c r="B4116">
        <v>9</v>
      </c>
      <c r="C4116">
        <v>21</v>
      </c>
    </row>
    <row r="4117" spans="1:3" ht="24" customHeight="1">
      <c r="A4117" s="5" t="s">
        <v>4636</v>
      </c>
      <c r="B4117">
        <v>19</v>
      </c>
      <c r="C4117">
        <v>90</v>
      </c>
    </row>
    <row r="4118" spans="1:3" ht="24" customHeight="1">
      <c r="A4118" s="5" t="s">
        <v>4637</v>
      </c>
      <c r="B4118">
        <v>7</v>
      </c>
      <c r="C4118">
        <v>27</v>
      </c>
    </row>
    <row r="4119" spans="1:3" ht="24" customHeight="1">
      <c r="A4119" s="5" t="s">
        <v>4775</v>
      </c>
      <c r="B4119">
        <v>0</v>
      </c>
      <c r="C4119">
        <v>36</v>
      </c>
    </row>
    <row r="4120" spans="1:3" ht="24" customHeight="1">
      <c r="A4120" s="5" t="s">
        <v>4933</v>
      </c>
      <c r="B4120">
        <v>2</v>
      </c>
      <c r="C4120">
        <v>11</v>
      </c>
    </row>
    <row r="4121" spans="1:3" ht="24" customHeight="1">
      <c r="A4121" s="5" t="s">
        <v>4855</v>
      </c>
      <c r="B4121">
        <v>9</v>
      </c>
      <c r="C4121">
        <v>16</v>
      </c>
    </row>
    <row r="4122" spans="1:3" ht="24" customHeight="1">
      <c r="A4122" s="5" t="s">
        <v>4638</v>
      </c>
      <c r="B4122">
        <v>58</v>
      </c>
      <c r="C4122">
        <v>101</v>
      </c>
    </row>
    <row r="4123" spans="1:3" ht="24" customHeight="1">
      <c r="A4123" s="5" t="s">
        <v>4639</v>
      </c>
      <c r="B4123">
        <v>15</v>
      </c>
      <c r="C4123">
        <v>69</v>
      </c>
    </row>
    <row r="4124" spans="1:3" ht="24" customHeight="1">
      <c r="A4124" s="5" t="s">
        <v>4776</v>
      </c>
      <c r="B4124">
        <v>8</v>
      </c>
      <c r="C4124">
        <v>13</v>
      </c>
    </row>
    <row r="4125" spans="1:3" ht="24" customHeight="1">
      <c r="A4125" s="5" t="s">
        <v>4934</v>
      </c>
      <c r="B4125">
        <v>15</v>
      </c>
      <c r="C4125">
        <v>4</v>
      </c>
    </row>
    <row r="4126" spans="1:3" ht="24" customHeight="1">
      <c r="A4126" s="5" t="s">
        <v>4856</v>
      </c>
      <c r="B4126">
        <v>20</v>
      </c>
      <c r="C4126">
        <v>15</v>
      </c>
    </row>
    <row r="4127" spans="1:3" ht="24" customHeight="1">
      <c r="A4127" s="5" t="s">
        <v>4640</v>
      </c>
      <c r="B4127">
        <v>34</v>
      </c>
      <c r="C4127">
        <v>27</v>
      </c>
    </row>
    <row r="4128" spans="1:3" ht="24" customHeight="1">
      <c r="A4128" s="5" t="s">
        <v>4641</v>
      </c>
      <c r="B4128">
        <v>13</v>
      </c>
      <c r="C4128">
        <v>13</v>
      </c>
    </row>
    <row r="4129" spans="1:3" ht="24" customHeight="1">
      <c r="A4129" s="5" t="s">
        <v>4777</v>
      </c>
      <c r="B4129">
        <v>11</v>
      </c>
      <c r="C4129">
        <v>8</v>
      </c>
    </row>
    <row r="4130" spans="1:3" ht="24" customHeight="1">
      <c r="A4130" s="5" t="s">
        <v>4935</v>
      </c>
      <c r="B4130">
        <v>4</v>
      </c>
      <c r="C4130">
        <v>2</v>
      </c>
    </row>
    <row r="4131" spans="1:3" ht="24" customHeight="1">
      <c r="A4131" s="5" t="s">
        <v>4857</v>
      </c>
      <c r="B4131">
        <v>7</v>
      </c>
      <c r="C4131">
        <v>4</v>
      </c>
    </row>
    <row r="4132" spans="1:3" ht="24" customHeight="1">
      <c r="A4132" s="5" t="s">
        <v>4642</v>
      </c>
      <c r="B4132">
        <v>23</v>
      </c>
      <c r="C4132">
        <v>33</v>
      </c>
    </row>
    <row r="4133" spans="1:3" ht="24" customHeight="1">
      <c r="A4133" s="5" t="s">
        <v>4643</v>
      </c>
      <c r="B4133">
        <v>0</v>
      </c>
      <c r="C4133">
        <v>1</v>
      </c>
    </row>
    <row r="4134" spans="1:3" ht="24" customHeight="1">
      <c r="A4134" s="5" t="s">
        <v>4778</v>
      </c>
      <c r="B4134">
        <v>9</v>
      </c>
      <c r="C4134">
        <v>8</v>
      </c>
    </row>
    <row r="4135" spans="1:3" ht="24" customHeight="1">
      <c r="A4135" s="5" t="s">
        <v>4936</v>
      </c>
      <c r="B4135">
        <v>12</v>
      </c>
      <c r="C4135">
        <v>18</v>
      </c>
    </row>
    <row r="4136" spans="1:3" ht="24" customHeight="1">
      <c r="A4136" s="5" t="s">
        <v>4858</v>
      </c>
      <c r="B4136">
        <v>3</v>
      </c>
      <c r="C4136">
        <v>7</v>
      </c>
    </row>
    <row r="4137" spans="1:3" ht="24" customHeight="1">
      <c r="A4137" s="5" t="s">
        <v>4644</v>
      </c>
      <c r="B4137">
        <v>123</v>
      </c>
      <c r="C4137">
        <v>234</v>
      </c>
    </row>
    <row r="4138" spans="1:3" ht="24" customHeight="1">
      <c r="A4138" s="5" t="s">
        <v>4645</v>
      </c>
      <c r="B4138">
        <v>57</v>
      </c>
      <c r="C4138">
        <v>124</v>
      </c>
    </row>
    <row r="4139" spans="1:3" ht="24" customHeight="1">
      <c r="A4139" s="5" t="s">
        <v>4779</v>
      </c>
      <c r="B4139">
        <v>17</v>
      </c>
      <c r="C4139">
        <v>49</v>
      </c>
    </row>
    <row r="4140" spans="1:3" ht="24" customHeight="1">
      <c r="A4140" s="5" t="s">
        <v>4937</v>
      </c>
      <c r="B4140">
        <v>14</v>
      </c>
      <c r="C4140">
        <v>37</v>
      </c>
    </row>
    <row r="4141" spans="1:3" ht="24" customHeight="1">
      <c r="A4141" s="5" t="s">
        <v>4859</v>
      </c>
      <c r="B4141">
        <v>35</v>
      </c>
      <c r="C4141">
        <v>23</v>
      </c>
    </row>
    <row r="4142" spans="1:3" ht="24" customHeight="1">
      <c r="A4142" s="5" t="s">
        <v>4646</v>
      </c>
      <c r="B4142">
        <v>1457</v>
      </c>
      <c r="C4142">
        <v>2222</v>
      </c>
    </row>
    <row r="4143" spans="1:3" ht="24" customHeight="1">
      <c r="A4143" s="5" t="s">
        <v>4647</v>
      </c>
      <c r="B4143">
        <v>137</v>
      </c>
      <c r="C4143">
        <v>467</v>
      </c>
    </row>
    <row r="4144" spans="1:3" ht="24" customHeight="1">
      <c r="A4144" s="5" t="s">
        <v>4648</v>
      </c>
      <c r="B4144">
        <v>36</v>
      </c>
      <c r="C4144">
        <v>203</v>
      </c>
    </row>
    <row r="4145" spans="1:3" ht="24" customHeight="1">
      <c r="A4145" s="5" t="s">
        <v>4780</v>
      </c>
      <c r="B4145">
        <v>64</v>
      </c>
      <c r="C4145">
        <v>137</v>
      </c>
    </row>
    <row r="4146" spans="1:3" ht="24" customHeight="1">
      <c r="A4146" s="5" t="s">
        <v>4938</v>
      </c>
      <c r="B4146">
        <v>22</v>
      </c>
      <c r="C4146">
        <v>98</v>
      </c>
    </row>
    <row r="4147" spans="1:3" ht="24" customHeight="1">
      <c r="A4147" s="5" t="s">
        <v>4860</v>
      </c>
      <c r="B4147">
        <v>15</v>
      </c>
      <c r="C4147">
        <v>28</v>
      </c>
    </row>
    <row r="4148" spans="1:3" ht="24" customHeight="1">
      <c r="A4148" s="5" t="s">
        <v>4649</v>
      </c>
      <c r="B4148">
        <v>766</v>
      </c>
      <c r="C4148">
        <v>1291</v>
      </c>
    </row>
    <row r="4149" spans="1:3" ht="24" customHeight="1">
      <c r="A4149" s="5" t="s">
        <v>4650</v>
      </c>
      <c r="B4149">
        <v>238</v>
      </c>
      <c r="C4149">
        <v>273</v>
      </c>
    </row>
    <row r="4150" spans="1:3" ht="24" customHeight="1">
      <c r="A4150" s="5" t="s">
        <v>4781</v>
      </c>
      <c r="B4150">
        <v>324</v>
      </c>
      <c r="C4150">
        <v>481</v>
      </c>
    </row>
    <row r="4151" spans="1:3" ht="24" customHeight="1">
      <c r="A4151" s="5" t="s">
        <v>4939</v>
      </c>
      <c r="B4151">
        <v>118</v>
      </c>
      <c r="C4151">
        <v>179</v>
      </c>
    </row>
    <row r="4152" spans="1:3" ht="24" customHeight="1">
      <c r="A4152" s="5" t="s">
        <v>4861</v>
      </c>
      <c r="B4152">
        <v>86</v>
      </c>
      <c r="C4152">
        <v>358</v>
      </c>
    </row>
    <row r="4153" spans="1:3" ht="24" customHeight="1">
      <c r="A4153" s="5" t="s">
        <v>4651</v>
      </c>
      <c r="B4153">
        <v>554</v>
      </c>
      <c r="C4153">
        <v>464</v>
      </c>
    </row>
    <row r="4154" spans="1:3" ht="24" customHeight="1">
      <c r="A4154" s="5" t="s">
        <v>4652</v>
      </c>
      <c r="B4154">
        <v>213</v>
      </c>
      <c r="C4154">
        <v>133</v>
      </c>
    </row>
    <row r="4155" spans="1:3" ht="24" customHeight="1">
      <c r="A4155" s="5" t="s">
        <v>4782</v>
      </c>
      <c r="B4155">
        <v>81</v>
      </c>
      <c r="C4155">
        <v>146</v>
      </c>
    </row>
    <row r="4156" spans="1:3" ht="24" customHeight="1">
      <c r="A4156" s="5" t="s">
        <v>4940</v>
      </c>
      <c r="B4156">
        <v>176</v>
      </c>
      <c r="C4156">
        <v>133</v>
      </c>
    </row>
    <row r="4157" spans="1:3" ht="24" customHeight="1">
      <c r="A4157" s="5" t="s">
        <v>4862</v>
      </c>
      <c r="B4157">
        <v>83</v>
      </c>
      <c r="C4157">
        <v>52</v>
      </c>
    </row>
    <row r="4158" spans="1:3" ht="24" customHeight="1">
      <c r="A4158" s="5" t="s">
        <v>4653</v>
      </c>
      <c r="B4158">
        <v>2089</v>
      </c>
      <c r="C4158">
        <v>2646</v>
      </c>
    </row>
    <row r="4159" spans="1:3" ht="24" customHeight="1">
      <c r="A4159" s="5" t="s">
        <v>4654</v>
      </c>
      <c r="B4159">
        <v>757</v>
      </c>
      <c r="C4159">
        <v>615</v>
      </c>
    </row>
    <row r="4160" spans="1:3" ht="24" customHeight="1">
      <c r="A4160" s="5" t="s">
        <v>4655</v>
      </c>
      <c r="B4160">
        <v>577</v>
      </c>
      <c r="C4160">
        <v>498</v>
      </c>
    </row>
    <row r="4161" spans="1:3" ht="24" customHeight="1">
      <c r="A4161" s="5" t="s">
        <v>4783</v>
      </c>
      <c r="B4161">
        <v>113</v>
      </c>
      <c r="C4161">
        <v>76</v>
      </c>
    </row>
    <row r="4162" spans="1:3" ht="24" customHeight="1">
      <c r="A4162" s="5" t="s">
        <v>4941</v>
      </c>
      <c r="B4162">
        <v>45</v>
      </c>
      <c r="C4162">
        <v>25</v>
      </c>
    </row>
    <row r="4163" spans="1:3" ht="24" customHeight="1">
      <c r="A4163" s="5" t="s">
        <v>4863</v>
      </c>
      <c r="B4163">
        <v>22</v>
      </c>
      <c r="C4163">
        <v>16</v>
      </c>
    </row>
    <row r="4164" spans="1:3" ht="24" customHeight="1">
      <c r="A4164" s="5" t="s">
        <v>4656</v>
      </c>
      <c r="B4164">
        <v>367</v>
      </c>
      <c r="C4164">
        <v>1145</v>
      </c>
    </row>
    <row r="4165" spans="1:3" ht="24" customHeight="1">
      <c r="A4165" s="5" t="s">
        <v>4657</v>
      </c>
      <c r="B4165">
        <v>17</v>
      </c>
      <c r="C4165">
        <v>42</v>
      </c>
    </row>
    <row r="4166" spans="1:3" ht="24" customHeight="1">
      <c r="A4166" s="5" t="s">
        <v>4784</v>
      </c>
      <c r="B4166">
        <v>270</v>
      </c>
      <c r="C4166">
        <v>869</v>
      </c>
    </row>
    <row r="4167" spans="1:3" ht="24" customHeight="1">
      <c r="A4167" s="5" t="s">
        <v>4942</v>
      </c>
      <c r="B4167">
        <v>59</v>
      </c>
      <c r="C4167">
        <v>212</v>
      </c>
    </row>
    <row r="4168" spans="1:3" ht="24" customHeight="1">
      <c r="A4168" s="5" t="s">
        <v>4864</v>
      </c>
      <c r="B4168">
        <v>21</v>
      </c>
      <c r="C4168">
        <v>22</v>
      </c>
    </row>
    <row r="4169" spans="1:3" ht="24" customHeight="1">
      <c r="A4169" s="5" t="s">
        <v>4658</v>
      </c>
      <c r="B4169">
        <v>177</v>
      </c>
      <c r="C4169">
        <v>276</v>
      </c>
    </row>
    <row r="4170" spans="1:3" ht="24" customHeight="1">
      <c r="A4170" s="5" t="s">
        <v>4659</v>
      </c>
      <c r="B4170">
        <v>6</v>
      </c>
      <c r="C4170">
        <v>3</v>
      </c>
    </row>
    <row r="4171" spans="1:3" ht="24" customHeight="1">
      <c r="A4171" s="5" t="s">
        <v>4785</v>
      </c>
      <c r="B4171">
        <v>48</v>
      </c>
      <c r="C4171">
        <v>118</v>
      </c>
    </row>
    <row r="4172" spans="1:3" ht="24" customHeight="1">
      <c r="A4172" s="5" t="s">
        <v>4943</v>
      </c>
      <c r="B4172">
        <v>103</v>
      </c>
      <c r="C4172">
        <v>135</v>
      </c>
    </row>
    <row r="4173" spans="1:3" ht="24" customHeight="1">
      <c r="A4173" s="5" t="s">
        <v>4865</v>
      </c>
      <c r="B4173">
        <v>20</v>
      </c>
      <c r="C4173">
        <v>20</v>
      </c>
    </row>
    <row r="4174" spans="1:3" ht="24" customHeight="1">
      <c r="A4174" s="5" t="s">
        <v>4660</v>
      </c>
      <c r="B4174">
        <v>788</v>
      </c>
      <c r="C4174">
        <v>610</v>
      </c>
    </row>
    <row r="4175" spans="1:3" ht="24" customHeight="1">
      <c r="A4175" s="5" t="s">
        <v>4661</v>
      </c>
      <c r="B4175">
        <v>250</v>
      </c>
      <c r="C4175">
        <v>226</v>
      </c>
    </row>
    <row r="4176" spans="1:3" ht="24" customHeight="1">
      <c r="A4176" s="5" t="s">
        <v>4786</v>
      </c>
      <c r="B4176">
        <v>229</v>
      </c>
      <c r="C4176">
        <v>190</v>
      </c>
    </row>
    <row r="4177" spans="1:3" ht="24" customHeight="1">
      <c r="A4177" s="5" t="s">
        <v>4944</v>
      </c>
      <c r="B4177">
        <v>195</v>
      </c>
      <c r="C4177">
        <v>140</v>
      </c>
    </row>
    <row r="4178" spans="1:3" ht="24" customHeight="1">
      <c r="A4178" s="5" t="s">
        <v>4866</v>
      </c>
      <c r="B4178">
        <v>115</v>
      </c>
      <c r="C4178">
        <v>53</v>
      </c>
    </row>
    <row r="4179" spans="1:3" ht="24" customHeight="1">
      <c r="A4179" s="5" t="s">
        <v>4662</v>
      </c>
      <c r="B4179">
        <v>35175</v>
      </c>
      <c r="C4179">
        <v>54693</v>
      </c>
    </row>
    <row r="4180" spans="1:3" ht="24" customHeight="1">
      <c r="A4180" s="5" t="s">
        <v>4663</v>
      </c>
      <c r="B4180">
        <v>2516</v>
      </c>
      <c r="C4180">
        <v>4452</v>
      </c>
    </row>
    <row r="4181" spans="1:3" ht="24" customHeight="1">
      <c r="A4181" s="5" t="s">
        <v>4664</v>
      </c>
      <c r="B4181">
        <v>697</v>
      </c>
      <c r="C4181">
        <v>1380</v>
      </c>
    </row>
    <row r="4182" spans="1:3" ht="24" customHeight="1">
      <c r="A4182" s="5" t="s">
        <v>4787</v>
      </c>
      <c r="B4182">
        <v>953</v>
      </c>
      <c r="C4182">
        <v>1742</v>
      </c>
    </row>
    <row r="4183" spans="1:3" ht="24" customHeight="1">
      <c r="A4183" s="5" t="s">
        <v>4945</v>
      </c>
      <c r="B4183">
        <v>501</v>
      </c>
      <c r="C4183">
        <v>762</v>
      </c>
    </row>
    <row r="4184" spans="1:3" ht="24" customHeight="1">
      <c r="A4184" s="5" t="s">
        <v>4867</v>
      </c>
      <c r="B4184">
        <v>365</v>
      </c>
      <c r="C4184">
        <v>568</v>
      </c>
    </row>
    <row r="4185" spans="1:3" ht="24" customHeight="1">
      <c r="A4185" s="5" t="s">
        <v>4665</v>
      </c>
      <c r="B4185">
        <v>30736</v>
      </c>
      <c r="C4185">
        <v>46904</v>
      </c>
    </row>
    <row r="4186" spans="1:3" ht="24" customHeight="1">
      <c r="A4186" s="5" t="s">
        <v>4666</v>
      </c>
      <c r="B4186">
        <v>19412</v>
      </c>
      <c r="C4186">
        <v>27720</v>
      </c>
    </row>
    <row r="4187" spans="1:3" ht="24" customHeight="1">
      <c r="A4187" s="5" t="s">
        <v>4788</v>
      </c>
      <c r="B4187">
        <v>6312</v>
      </c>
      <c r="C4187">
        <v>11257</v>
      </c>
    </row>
    <row r="4188" spans="1:3" ht="24" customHeight="1">
      <c r="A4188" s="5" t="s">
        <v>4946</v>
      </c>
      <c r="B4188">
        <v>2028</v>
      </c>
      <c r="C4188">
        <v>3286</v>
      </c>
    </row>
    <row r="4189" spans="1:3" ht="24" customHeight="1">
      <c r="A4189" s="5" t="s">
        <v>4868</v>
      </c>
      <c r="B4189">
        <v>2983</v>
      </c>
      <c r="C4189">
        <v>4641</v>
      </c>
    </row>
    <row r="4190" spans="1:3" ht="24" customHeight="1">
      <c r="A4190" s="5" t="s">
        <v>4667</v>
      </c>
      <c r="B4190">
        <v>1924</v>
      </c>
      <c r="C4190">
        <v>3337</v>
      </c>
    </row>
    <row r="4191" spans="1:3" ht="24" customHeight="1">
      <c r="A4191" s="5" t="s">
        <v>4668</v>
      </c>
      <c r="B4191">
        <v>1004</v>
      </c>
      <c r="C4191">
        <v>1746</v>
      </c>
    </row>
    <row r="4192" spans="1:3" ht="24" customHeight="1">
      <c r="A4192" s="5" t="s">
        <v>4789</v>
      </c>
      <c r="B4192">
        <v>488</v>
      </c>
      <c r="C4192">
        <v>764</v>
      </c>
    </row>
    <row r="4193" spans="1:3" ht="24" customHeight="1">
      <c r="A4193" s="5" t="s">
        <v>4947</v>
      </c>
      <c r="B4193">
        <v>252</v>
      </c>
      <c r="C4193">
        <v>518</v>
      </c>
    </row>
    <row r="4194" spans="1:3" ht="24" customHeight="1">
      <c r="A4194" s="5" t="s">
        <v>4869</v>
      </c>
      <c r="B4194">
        <v>179</v>
      </c>
      <c r="C4194">
        <v>308</v>
      </c>
    </row>
    <row r="4195" spans="1:3" ht="24" customHeight="1">
      <c r="A4195" s="5" t="s">
        <v>4669</v>
      </c>
      <c r="B4195">
        <v>6555</v>
      </c>
      <c r="C4195">
        <v>9392</v>
      </c>
    </row>
    <row r="4196" spans="1:3" ht="24" customHeight="1">
      <c r="A4196" s="5" t="s">
        <v>4670</v>
      </c>
      <c r="B4196">
        <v>723</v>
      </c>
      <c r="C4196">
        <v>2101</v>
      </c>
    </row>
    <row r="4197" spans="1:3" ht="24" customHeight="1">
      <c r="A4197" s="5" t="s">
        <v>4671</v>
      </c>
      <c r="B4197">
        <v>137</v>
      </c>
      <c r="C4197">
        <v>662</v>
      </c>
    </row>
    <row r="4198" spans="1:3" ht="24" customHeight="1">
      <c r="A4198" s="5" t="s">
        <v>4790</v>
      </c>
      <c r="B4198">
        <v>320</v>
      </c>
      <c r="C4198">
        <v>875</v>
      </c>
    </row>
    <row r="4199" spans="1:3" ht="24" customHeight="1">
      <c r="A4199" s="5" t="s">
        <v>4948</v>
      </c>
      <c r="B4199">
        <v>132</v>
      </c>
      <c r="C4199">
        <v>263</v>
      </c>
    </row>
    <row r="4200" spans="1:3" ht="24" customHeight="1">
      <c r="A4200" s="5" t="s">
        <v>4870</v>
      </c>
      <c r="B4200">
        <v>133</v>
      </c>
      <c r="C4200">
        <v>301</v>
      </c>
    </row>
    <row r="4201" spans="1:3" ht="24" customHeight="1">
      <c r="A4201" s="5" t="s">
        <v>4672</v>
      </c>
      <c r="B4201">
        <v>713</v>
      </c>
      <c r="C4201">
        <v>1644</v>
      </c>
    </row>
    <row r="4202" spans="1:3" ht="24" customHeight="1">
      <c r="A4202" s="5" t="s">
        <v>4673</v>
      </c>
      <c r="B4202">
        <v>334</v>
      </c>
      <c r="C4202">
        <v>695</v>
      </c>
    </row>
    <row r="4203" spans="1:3" ht="24" customHeight="1">
      <c r="A4203" s="5" t="s">
        <v>4791</v>
      </c>
      <c r="B4203">
        <v>212</v>
      </c>
      <c r="C4203">
        <v>477</v>
      </c>
    </row>
    <row r="4204" spans="1:3" ht="24" customHeight="1">
      <c r="A4204" s="5" t="s">
        <v>4949</v>
      </c>
      <c r="B4204">
        <v>98</v>
      </c>
      <c r="C4204">
        <v>227</v>
      </c>
    </row>
    <row r="4205" spans="1:3" ht="24" customHeight="1">
      <c r="A4205" s="5" t="s">
        <v>4871</v>
      </c>
      <c r="B4205">
        <v>69</v>
      </c>
      <c r="C4205">
        <v>246</v>
      </c>
    </row>
    <row r="4206" spans="1:3" ht="24" customHeight="1">
      <c r="A4206" s="5" t="s">
        <v>4674</v>
      </c>
      <c r="B4206">
        <v>5119</v>
      </c>
      <c r="C4206">
        <v>5647</v>
      </c>
    </row>
    <row r="4207" spans="1:3" ht="24" customHeight="1">
      <c r="A4207" s="5" t="s">
        <v>4675</v>
      </c>
      <c r="B4207">
        <v>2667</v>
      </c>
      <c r="C4207">
        <v>3098</v>
      </c>
    </row>
    <row r="4208" spans="1:3" ht="24" customHeight="1">
      <c r="A4208" s="5" t="s">
        <v>4792</v>
      </c>
      <c r="B4208">
        <v>970</v>
      </c>
      <c r="C4208">
        <v>1019</v>
      </c>
    </row>
    <row r="4209" spans="1:3" ht="24" customHeight="1">
      <c r="A4209" s="5" t="s">
        <v>4950</v>
      </c>
      <c r="B4209">
        <v>782</v>
      </c>
      <c r="C4209">
        <v>783</v>
      </c>
    </row>
    <row r="4210" spans="1:3" ht="24" customHeight="1">
      <c r="A4210" s="5" t="s">
        <v>4872</v>
      </c>
      <c r="B4210">
        <v>700</v>
      </c>
      <c r="C4210">
        <v>747</v>
      </c>
    </row>
    <row r="4211" spans="1:3" ht="24" customHeight="1">
      <c r="A4211" s="5" t="s">
        <v>4676</v>
      </c>
      <c r="B4211">
        <v>8167</v>
      </c>
      <c r="C4211">
        <v>10290</v>
      </c>
    </row>
    <row r="4212" spans="1:3" ht="24" customHeight="1">
      <c r="A4212" s="5" t="s">
        <v>4677</v>
      </c>
      <c r="B4212">
        <v>5019</v>
      </c>
      <c r="C4212">
        <v>6381</v>
      </c>
    </row>
    <row r="4213" spans="1:3" ht="24" customHeight="1">
      <c r="A4213" s="5" t="s">
        <v>4678</v>
      </c>
      <c r="B4213">
        <v>2894</v>
      </c>
      <c r="C4213">
        <v>2464</v>
      </c>
    </row>
    <row r="4214" spans="1:3" ht="24" customHeight="1">
      <c r="A4214" s="5" t="s">
        <v>4793</v>
      </c>
      <c r="B4214">
        <v>429</v>
      </c>
      <c r="C4214">
        <v>1263</v>
      </c>
    </row>
    <row r="4215" spans="1:3" ht="24" customHeight="1">
      <c r="A4215" s="5" t="s">
        <v>4951</v>
      </c>
      <c r="B4215">
        <v>678</v>
      </c>
      <c r="C4215">
        <v>922</v>
      </c>
    </row>
    <row r="4216" spans="1:3" ht="24" customHeight="1">
      <c r="A4216" s="5" t="s">
        <v>4873</v>
      </c>
      <c r="B4216">
        <v>1018</v>
      </c>
      <c r="C4216">
        <v>1732</v>
      </c>
    </row>
    <row r="4217" spans="1:3" ht="24" customHeight="1">
      <c r="A4217" s="5" t="s">
        <v>4679</v>
      </c>
      <c r="B4217">
        <v>3148</v>
      </c>
      <c r="C4217">
        <v>3909</v>
      </c>
    </row>
    <row r="4218" spans="1:3" ht="24" customHeight="1">
      <c r="A4218" s="5" t="s">
        <v>4680</v>
      </c>
      <c r="B4218">
        <v>1539</v>
      </c>
      <c r="C4218">
        <v>1871</v>
      </c>
    </row>
    <row r="4219" spans="1:3" ht="24" customHeight="1">
      <c r="A4219" s="5" t="s">
        <v>4794</v>
      </c>
      <c r="B4219">
        <v>821</v>
      </c>
      <c r="C4219">
        <v>1231</v>
      </c>
    </row>
    <row r="4220" spans="1:3" ht="24" customHeight="1">
      <c r="A4220" s="5" t="s">
        <v>4952</v>
      </c>
      <c r="B4220">
        <v>457</v>
      </c>
      <c r="C4220">
        <v>461</v>
      </c>
    </row>
    <row r="4221" spans="1:3" ht="24" customHeight="1">
      <c r="A4221" s="5" t="s">
        <v>4874</v>
      </c>
      <c r="B4221">
        <v>331</v>
      </c>
      <c r="C4221">
        <v>346</v>
      </c>
    </row>
    <row r="4222" spans="1:3" ht="24" customHeight="1">
      <c r="A4222" s="5" t="s">
        <v>4681</v>
      </c>
      <c r="B4222">
        <v>9488</v>
      </c>
      <c r="C4222">
        <v>25574</v>
      </c>
    </row>
    <row r="4223" spans="1:3" ht="24" customHeight="1">
      <c r="A4223" s="5" t="s">
        <v>4682</v>
      </c>
      <c r="B4223">
        <v>3946</v>
      </c>
      <c r="C4223">
        <v>8762</v>
      </c>
    </row>
    <row r="4224" spans="1:3" ht="24" customHeight="1">
      <c r="A4224" s="5" t="s">
        <v>4683</v>
      </c>
      <c r="B4224">
        <v>2046</v>
      </c>
      <c r="C4224">
        <v>2273</v>
      </c>
    </row>
    <row r="4225" spans="1:3" ht="24" customHeight="1">
      <c r="A4225" s="5" t="s">
        <v>4795</v>
      </c>
      <c r="B4225">
        <v>633</v>
      </c>
      <c r="C4225">
        <v>3639</v>
      </c>
    </row>
    <row r="4226" spans="1:3" ht="24" customHeight="1">
      <c r="A4226" s="5" t="s">
        <v>4953</v>
      </c>
      <c r="B4226">
        <v>557</v>
      </c>
      <c r="C4226">
        <v>1579</v>
      </c>
    </row>
    <row r="4227" spans="1:3" ht="24" customHeight="1">
      <c r="A4227" s="5" t="s">
        <v>4875</v>
      </c>
      <c r="B4227">
        <v>710</v>
      </c>
      <c r="C4227">
        <v>1271</v>
      </c>
    </row>
    <row r="4228" spans="1:3" ht="24" customHeight="1">
      <c r="A4228" s="5" t="s">
        <v>4684</v>
      </c>
      <c r="B4228">
        <v>92</v>
      </c>
      <c r="C4228">
        <v>214</v>
      </c>
    </row>
    <row r="4229" spans="1:3" ht="24" customHeight="1">
      <c r="A4229" s="5" t="s">
        <v>4685</v>
      </c>
      <c r="B4229">
        <v>0</v>
      </c>
      <c r="C4229">
        <v>18</v>
      </c>
    </row>
    <row r="4230" spans="1:3" ht="24" customHeight="1">
      <c r="A4230" s="5" t="s">
        <v>4796</v>
      </c>
      <c r="B4230">
        <v>69</v>
      </c>
      <c r="C4230">
        <v>96</v>
      </c>
    </row>
    <row r="4231" spans="1:3" ht="24" customHeight="1">
      <c r="A4231" s="5" t="s">
        <v>4954</v>
      </c>
      <c r="B4231">
        <v>14</v>
      </c>
      <c r="C4231">
        <v>64</v>
      </c>
    </row>
    <row r="4232" spans="1:3" ht="24" customHeight="1">
      <c r="A4232" s="5" t="s">
        <v>4876</v>
      </c>
      <c r="B4232">
        <v>9</v>
      </c>
      <c r="C4232">
        <v>37</v>
      </c>
    </row>
    <row r="4233" spans="1:3" ht="24" customHeight="1">
      <c r="A4233" s="5" t="s">
        <v>4686</v>
      </c>
      <c r="B4233">
        <v>5450</v>
      </c>
      <c r="C4233">
        <v>16597</v>
      </c>
    </row>
    <row r="4234" spans="1:3" ht="24" customHeight="1">
      <c r="A4234" s="5" t="s">
        <v>4687</v>
      </c>
      <c r="B4234">
        <v>719</v>
      </c>
      <c r="C4234">
        <v>1898</v>
      </c>
    </row>
    <row r="4235" spans="1:3" ht="24" customHeight="1">
      <c r="A4235" s="5" t="s">
        <v>4797</v>
      </c>
      <c r="B4235">
        <v>2410</v>
      </c>
      <c r="C4235">
        <v>8745</v>
      </c>
    </row>
    <row r="4236" spans="1:3" ht="24" customHeight="1">
      <c r="A4236" s="5" t="s">
        <v>4955</v>
      </c>
      <c r="B4236">
        <v>1127</v>
      </c>
      <c r="C4236">
        <v>3079</v>
      </c>
    </row>
    <row r="4237" spans="1:3" ht="24" customHeight="1">
      <c r="A4237" s="5" t="s">
        <v>4877</v>
      </c>
      <c r="B4237">
        <v>1194</v>
      </c>
      <c r="C4237">
        <v>2876</v>
      </c>
    </row>
    <row r="4238" spans="1:3" ht="24" customHeight="1">
      <c r="A4238" s="5" t="s">
        <v>4688</v>
      </c>
      <c r="B4238">
        <v>402</v>
      </c>
      <c r="C4238">
        <v>379</v>
      </c>
    </row>
    <row r="4239" spans="1:3" ht="24" customHeight="1">
      <c r="A4239" s="5" t="s">
        <v>4689</v>
      </c>
      <c r="B4239">
        <v>265</v>
      </c>
      <c r="C4239">
        <v>248</v>
      </c>
    </row>
    <row r="4240" spans="1:3" ht="24" customHeight="1">
      <c r="A4240" s="5" t="s">
        <v>4690</v>
      </c>
      <c r="B4240">
        <v>265</v>
      </c>
      <c r="C4240">
        <v>246</v>
      </c>
    </row>
    <row r="4241" spans="1:3" ht="24" customHeight="1">
      <c r="A4241" s="5" t="s">
        <v>4798</v>
      </c>
      <c r="B4241">
        <v>0</v>
      </c>
      <c r="C4241">
        <v>0</v>
      </c>
    </row>
    <row r="4242" spans="1:3" ht="24" customHeight="1">
      <c r="A4242" s="5" t="s">
        <v>4878</v>
      </c>
      <c r="B4242">
        <v>0</v>
      </c>
      <c r="C4242">
        <v>2</v>
      </c>
    </row>
    <row r="4243" spans="1:3" ht="24" customHeight="1">
      <c r="A4243" s="5" t="s">
        <v>4691</v>
      </c>
      <c r="B4243">
        <v>137</v>
      </c>
      <c r="C4243">
        <v>131</v>
      </c>
    </row>
    <row r="4244" spans="1:3" ht="24" customHeight="1">
      <c r="A4244" s="5" t="s">
        <v>4692</v>
      </c>
      <c r="B4244">
        <v>18</v>
      </c>
      <c r="C4244">
        <v>16</v>
      </c>
    </row>
    <row r="4245" spans="1:3" ht="24" customHeight="1">
      <c r="A4245" s="5" t="s">
        <v>4799</v>
      </c>
      <c r="B4245">
        <v>31</v>
      </c>
      <c r="C4245">
        <v>24</v>
      </c>
    </row>
    <row r="4246" spans="1:3" ht="24" customHeight="1">
      <c r="A4246" s="5" t="s">
        <v>4956</v>
      </c>
      <c r="B4246">
        <v>34</v>
      </c>
      <c r="C4246">
        <v>27</v>
      </c>
    </row>
    <row r="4247" spans="1:3" ht="24" customHeight="1">
      <c r="A4247" s="5" t="s">
        <v>4879</v>
      </c>
      <c r="B4247">
        <v>54</v>
      </c>
      <c r="C4247">
        <v>63</v>
      </c>
    </row>
    <row r="4248" spans="1:3" ht="24" customHeight="1">
      <c r="A4248" s="5" t="s">
        <v>4693</v>
      </c>
      <c r="B4248">
        <v>20675</v>
      </c>
      <c r="C4248">
        <v>29754</v>
      </c>
    </row>
    <row r="4249" spans="1:3" ht="24" customHeight="1">
      <c r="A4249" s="5" t="s">
        <v>4694</v>
      </c>
      <c r="B4249">
        <v>499</v>
      </c>
      <c r="C4249">
        <v>1159</v>
      </c>
    </row>
    <row r="4250" spans="1:3" ht="24" customHeight="1">
      <c r="A4250" s="5" t="s">
        <v>4695</v>
      </c>
      <c r="B4250">
        <v>151</v>
      </c>
      <c r="C4250">
        <v>1003</v>
      </c>
    </row>
    <row r="4251" spans="1:3" ht="24" customHeight="1">
      <c r="A4251" s="5" t="s">
        <v>4800</v>
      </c>
      <c r="B4251">
        <v>277</v>
      </c>
      <c r="C4251">
        <v>135</v>
      </c>
    </row>
    <row r="4252" spans="1:3" ht="24" customHeight="1">
      <c r="A4252" s="5" t="s">
        <v>4957</v>
      </c>
      <c r="B4252">
        <v>52</v>
      </c>
      <c r="C4252">
        <v>18</v>
      </c>
    </row>
    <row r="4253" spans="1:3" ht="24" customHeight="1">
      <c r="A4253" s="5" t="s">
        <v>4880</v>
      </c>
      <c r="B4253">
        <v>19</v>
      </c>
      <c r="C4253">
        <v>3</v>
      </c>
    </row>
    <row r="4254" spans="1:3" ht="24" customHeight="1">
      <c r="A4254" s="5" t="s">
        <v>4696</v>
      </c>
      <c r="B4254">
        <v>101</v>
      </c>
      <c r="C4254">
        <v>44</v>
      </c>
    </row>
    <row r="4255" spans="1:3" ht="24" customHeight="1">
      <c r="A4255" s="5" t="s">
        <v>4697</v>
      </c>
      <c r="B4255">
        <v>6</v>
      </c>
      <c r="C4255">
        <v>6</v>
      </c>
    </row>
    <row r="4256" spans="1:3" ht="24" customHeight="1">
      <c r="A4256" s="5" t="s">
        <v>4801</v>
      </c>
      <c r="B4256">
        <v>58</v>
      </c>
      <c r="C4256">
        <v>14</v>
      </c>
    </row>
    <row r="4257" spans="1:3" ht="24" customHeight="1">
      <c r="A4257" s="5" t="s">
        <v>4958</v>
      </c>
      <c r="B4257">
        <v>17</v>
      </c>
      <c r="C4257">
        <v>10</v>
      </c>
    </row>
    <row r="4258" spans="1:3" ht="24" customHeight="1">
      <c r="A4258" s="5" t="s">
        <v>4881</v>
      </c>
      <c r="B4258">
        <v>20</v>
      </c>
      <c r="C4258">
        <v>15</v>
      </c>
    </row>
    <row r="4259" spans="1:3" ht="24" customHeight="1">
      <c r="A4259" s="5" t="s">
        <v>4698</v>
      </c>
      <c r="B4259">
        <v>247</v>
      </c>
      <c r="C4259">
        <v>62</v>
      </c>
    </row>
    <row r="4260" spans="1:3" ht="24" customHeight="1">
      <c r="A4260" s="5" t="s">
        <v>4699</v>
      </c>
      <c r="B4260">
        <v>142</v>
      </c>
      <c r="C4260">
        <v>24</v>
      </c>
    </row>
    <row r="4261" spans="1:3" ht="24" customHeight="1">
      <c r="A4261" s="5" t="s">
        <v>4802</v>
      </c>
      <c r="B4261">
        <v>62</v>
      </c>
      <c r="C4261">
        <v>21</v>
      </c>
    </row>
    <row r="4262" spans="1:3" ht="24" customHeight="1">
      <c r="A4262" s="5" t="s">
        <v>4959</v>
      </c>
      <c r="B4262">
        <v>24</v>
      </c>
      <c r="C4262">
        <v>13</v>
      </c>
    </row>
    <row r="4263" spans="1:3" ht="24" customHeight="1">
      <c r="A4263" s="5" t="s">
        <v>4882</v>
      </c>
      <c r="B4263">
        <v>19</v>
      </c>
      <c r="C4263">
        <v>5</v>
      </c>
    </row>
    <row r="4264" spans="1:3" ht="24" customHeight="1">
      <c r="A4264" s="5" t="s">
        <v>4700</v>
      </c>
      <c r="B4264">
        <v>12772</v>
      </c>
      <c r="C4264">
        <v>17516</v>
      </c>
    </row>
    <row r="4265" spans="1:3" ht="24" customHeight="1">
      <c r="A4265" s="5" t="s">
        <v>4701</v>
      </c>
      <c r="B4265">
        <v>8626</v>
      </c>
      <c r="C4265">
        <v>11994</v>
      </c>
    </row>
    <row r="4266" spans="1:3" ht="24" customHeight="1">
      <c r="A4266" s="5" t="s">
        <v>4803</v>
      </c>
      <c r="B4266">
        <v>616</v>
      </c>
      <c r="C4266">
        <v>690</v>
      </c>
    </row>
    <row r="4267" spans="1:3" ht="24" customHeight="1">
      <c r="A4267" s="5" t="s">
        <v>4960</v>
      </c>
      <c r="B4267">
        <v>1371</v>
      </c>
      <c r="C4267">
        <v>1764</v>
      </c>
    </row>
    <row r="4268" spans="1:3" ht="24" customHeight="1">
      <c r="A4268" s="5" t="s">
        <v>4883</v>
      </c>
      <c r="B4268">
        <v>2160</v>
      </c>
      <c r="C4268">
        <v>3067</v>
      </c>
    </row>
    <row r="4269" spans="1:3" ht="24" customHeight="1">
      <c r="A4269" s="5" t="s">
        <v>4702</v>
      </c>
      <c r="B4269">
        <v>6523</v>
      </c>
      <c r="C4269">
        <v>10108</v>
      </c>
    </row>
    <row r="4270" spans="1:3" ht="24" customHeight="1">
      <c r="A4270" s="5" t="s">
        <v>4703</v>
      </c>
      <c r="B4270">
        <v>2183</v>
      </c>
      <c r="C4270">
        <v>3395</v>
      </c>
    </row>
    <row r="4271" spans="1:3" ht="24" customHeight="1">
      <c r="A4271" s="5" t="s">
        <v>4804</v>
      </c>
      <c r="B4271">
        <v>1590</v>
      </c>
      <c r="C4271">
        <v>2019</v>
      </c>
    </row>
    <row r="4272" spans="1:3" ht="24" customHeight="1">
      <c r="A4272" s="5" t="s">
        <v>4961</v>
      </c>
      <c r="B4272">
        <v>1252</v>
      </c>
      <c r="C4272">
        <v>1866</v>
      </c>
    </row>
    <row r="4273" spans="1:3" ht="24" customHeight="1">
      <c r="A4273" s="5" t="s">
        <v>4884</v>
      </c>
      <c r="B4273">
        <v>1498</v>
      </c>
      <c r="C4273">
        <v>2828</v>
      </c>
    </row>
    <row r="4274" spans="1:3" ht="24" customHeight="1">
      <c r="A4274" s="5" t="s">
        <v>4704</v>
      </c>
      <c r="B4274">
        <v>400</v>
      </c>
      <c r="C4274">
        <v>604</v>
      </c>
    </row>
    <row r="4275" spans="1:3" ht="24" customHeight="1">
      <c r="A4275" s="5" t="s">
        <v>4705</v>
      </c>
      <c r="B4275">
        <v>12</v>
      </c>
      <c r="C4275">
        <v>30</v>
      </c>
    </row>
    <row r="4276" spans="1:3" ht="24" customHeight="1">
      <c r="A4276" s="5" t="s">
        <v>4805</v>
      </c>
      <c r="B4276">
        <v>249</v>
      </c>
      <c r="C4276">
        <v>352</v>
      </c>
    </row>
    <row r="4277" spans="1:3" ht="24" customHeight="1">
      <c r="A4277" s="5" t="s">
        <v>4962</v>
      </c>
      <c r="B4277">
        <v>47</v>
      </c>
      <c r="C4277">
        <v>91</v>
      </c>
    </row>
    <row r="4278" spans="1:3" ht="24" customHeight="1">
      <c r="A4278" s="5" t="s">
        <v>4885</v>
      </c>
      <c r="B4278">
        <v>92</v>
      </c>
      <c r="C4278">
        <v>131</v>
      </c>
    </row>
    <row r="4279" spans="1:3" ht="24" customHeight="1">
      <c r="A4279" s="5" t="s">
        <v>4706</v>
      </c>
      <c r="B4279">
        <v>42</v>
      </c>
      <c r="C4279">
        <v>135</v>
      </c>
    </row>
    <row r="4280" spans="1:3" ht="24" customHeight="1">
      <c r="A4280" s="5" t="s">
        <v>4707</v>
      </c>
      <c r="B4280">
        <v>10</v>
      </c>
      <c r="C4280">
        <v>27</v>
      </c>
    </row>
    <row r="4281" spans="1:3" ht="24" customHeight="1">
      <c r="A4281" s="5" t="s">
        <v>4806</v>
      </c>
      <c r="B4281">
        <v>31</v>
      </c>
      <c r="C4281">
        <v>81</v>
      </c>
    </row>
    <row r="4282" spans="1:3" ht="24" customHeight="1">
      <c r="A4282" s="5" t="s">
        <v>4963</v>
      </c>
      <c r="B4282">
        <v>1</v>
      </c>
      <c r="C4282">
        <v>15</v>
      </c>
    </row>
    <row r="4283" spans="1:3" ht="24" customHeight="1">
      <c r="A4283" s="5" t="s">
        <v>4886</v>
      </c>
      <c r="B4283">
        <v>0</v>
      </c>
      <c r="C4283">
        <v>12</v>
      </c>
    </row>
    <row r="4284" spans="1:3" ht="24" customHeight="1">
      <c r="A4284" s="5" t="s">
        <v>4708</v>
      </c>
      <c r="B4284">
        <v>90</v>
      </c>
      <c r="C4284">
        <v>126</v>
      </c>
    </row>
    <row r="4285" spans="1:3" ht="24" customHeight="1">
      <c r="A4285" s="5" t="s">
        <v>4709</v>
      </c>
      <c r="B4285">
        <v>14</v>
      </c>
      <c r="C4285">
        <v>30</v>
      </c>
    </row>
    <row r="4286" spans="1:3" ht="24" customHeight="1">
      <c r="A4286" s="5" t="s">
        <v>4807</v>
      </c>
      <c r="B4286">
        <v>55</v>
      </c>
      <c r="C4286">
        <v>82</v>
      </c>
    </row>
    <row r="4287" spans="1:3" ht="24" customHeight="1">
      <c r="A4287" s="5" t="s">
        <v>4964</v>
      </c>
      <c r="B4287">
        <v>10</v>
      </c>
      <c r="C4287">
        <v>9</v>
      </c>
    </row>
    <row r="4288" spans="1:3" ht="24" customHeight="1">
      <c r="A4288" s="5" t="s">
        <v>4887</v>
      </c>
      <c r="B4288">
        <v>12</v>
      </c>
      <c r="C4288">
        <v>5</v>
      </c>
    </row>
    <row r="4289" spans="1:3" ht="24" customHeight="1">
      <c r="A4289" s="5" t="s">
        <v>4539</v>
      </c>
      <c r="B4289">
        <v>17</v>
      </c>
      <c r="C4289">
        <v>2</v>
      </c>
    </row>
    <row r="4290" spans="1:3" ht="24" customHeight="1">
      <c r="A4290" s="5" t="s">
        <v>4710</v>
      </c>
      <c r="B4290">
        <v>2</v>
      </c>
      <c r="C4290">
        <v>0</v>
      </c>
    </row>
    <row r="4291" spans="1:3" ht="24" customHeight="1">
      <c r="A4291" s="5" t="s">
        <v>4752</v>
      </c>
      <c r="B4291">
        <v>15</v>
      </c>
      <c r="C4291">
        <v>1</v>
      </c>
    </row>
    <row r="4292" spans="1:3" ht="24" customHeight="1">
      <c r="A4292" s="5" t="s">
        <v>4910</v>
      </c>
      <c r="B4292">
        <v>0</v>
      </c>
      <c r="C4292">
        <v>0</v>
      </c>
    </row>
    <row r="4293" spans="1:3" ht="24" customHeight="1">
      <c r="A4293" s="5" t="s">
        <v>4831</v>
      </c>
      <c r="B4293">
        <v>0</v>
      </c>
      <c r="C4293">
        <v>1</v>
      </c>
    </row>
    <row r="4294" spans="1:3" ht="24" customHeight="1">
      <c r="A4294" s="5" t="s">
        <v>4541</v>
      </c>
      <c r="B4294">
        <v>3559</v>
      </c>
      <c r="C4294">
        <v>849</v>
      </c>
    </row>
    <row r="4295" spans="1:3" ht="24" customHeight="1">
      <c r="A4295" s="5" t="s">
        <v>4711</v>
      </c>
      <c r="B4295">
        <v>349</v>
      </c>
      <c r="C4295">
        <v>161</v>
      </c>
    </row>
    <row r="4296" spans="1:3" ht="24" customHeight="1">
      <c r="A4296" s="5" t="s">
        <v>4753</v>
      </c>
      <c r="B4296">
        <v>2761</v>
      </c>
      <c r="C4296">
        <v>537</v>
      </c>
    </row>
    <row r="4297" spans="1:3" ht="24" customHeight="1">
      <c r="A4297" s="5" t="s">
        <v>4911</v>
      </c>
      <c r="B4297">
        <v>195</v>
      </c>
      <c r="C4297">
        <v>58</v>
      </c>
    </row>
    <row r="4298" spans="1:3" ht="24" customHeight="1">
      <c r="A4298" s="5" t="s">
        <v>4832</v>
      </c>
      <c r="B4298">
        <v>255</v>
      </c>
      <c r="C4298">
        <v>94</v>
      </c>
    </row>
    <row r="4299" spans="1:3" ht="24" customHeight="1">
      <c r="A4299" s="5" t="s">
        <v>4545</v>
      </c>
      <c r="B4299">
        <v>10120</v>
      </c>
      <c r="C4299">
        <v>17691</v>
      </c>
    </row>
    <row r="4300" spans="1:3" ht="24" customHeight="1">
      <c r="A4300" s="5" t="s">
        <v>4712</v>
      </c>
      <c r="B4300">
        <v>2524</v>
      </c>
      <c r="C4300">
        <v>7049</v>
      </c>
    </row>
    <row r="4301" spans="1:3" ht="24" customHeight="1">
      <c r="A4301" s="5" t="s">
        <v>4754</v>
      </c>
      <c r="B4301">
        <v>3017</v>
      </c>
      <c r="C4301">
        <v>4286</v>
      </c>
    </row>
    <row r="4302" spans="1:3" ht="24" customHeight="1">
      <c r="A4302" s="5" t="s">
        <v>4912</v>
      </c>
      <c r="B4302">
        <v>1686</v>
      </c>
      <c r="C4302">
        <v>2571</v>
      </c>
    </row>
    <row r="4303" spans="1:3" ht="24" customHeight="1">
      <c r="A4303" s="5" t="s">
        <v>4833</v>
      </c>
      <c r="B4303">
        <v>2893</v>
      </c>
      <c r="C4303">
        <v>3784</v>
      </c>
    </row>
    <row r="4304" spans="1:3" ht="24" customHeight="1">
      <c r="A4304" s="5" t="s">
        <v>4594</v>
      </c>
      <c r="B4304">
        <v>214</v>
      </c>
      <c r="C4304">
        <v>81</v>
      </c>
    </row>
    <row r="4305" spans="1:3" ht="24" customHeight="1">
      <c r="A4305" s="5" t="s">
        <v>4713</v>
      </c>
      <c r="B4305">
        <v>169</v>
      </c>
      <c r="C4305">
        <v>61</v>
      </c>
    </row>
    <row r="4306" spans="1:3" ht="24" customHeight="1">
      <c r="A4306" s="5" t="s">
        <v>4755</v>
      </c>
      <c r="B4306">
        <v>17</v>
      </c>
      <c r="C4306">
        <v>12</v>
      </c>
    </row>
    <row r="4307" spans="1:3" ht="24" customHeight="1">
      <c r="A4307" s="5" t="s">
        <v>4913</v>
      </c>
      <c r="B4307">
        <v>9</v>
      </c>
      <c r="C4307">
        <v>4</v>
      </c>
    </row>
    <row r="4308" spans="1:3" ht="24" customHeight="1">
      <c r="A4308" s="5" t="s">
        <v>4834</v>
      </c>
      <c r="B4308">
        <v>19</v>
      </c>
      <c r="C4308">
        <v>5</v>
      </c>
    </row>
    <row r="4309" spans="1:3" ht="24" customHeight="1">
      <c r="A4309" s="5" t="s">
        <v>4599</v>
      </c>
      <c r="B4309">
        <v>1257</v>
      </c>
      <c r="C4309">
        <v>2221</v>
      </c>
    </row>
    <row r="4310" spans="1:3" ht="24" customHeight="1">
      <c r="A4310" s="5" t="s">
        <v>4714</v>
      </c>
      <c r="B4310">
        <v>609</v>
      </c>
      <c r="C4310">
        <v>829</v>
      </c>
    </row>
    <row r="4311" spans="1:3" ht="24" customHeight="1">
      <c r="A4311" s="5" t="s">
        <v>4756</v>
      </c>
      <c r="B4311">
        <v>251</v>
      </c>
      <c r="C4311">
        <v>777</v>
      </c>
    </row>
    <row r="4312" spans="1:3" ht="24" customHeight="1">
      <c r="A4312" s="5" t="s">
        <v>4914</v>
      </c>
      <c r="B4312">
        <v>298</v>
      </c>
      <c r="C4312">
        <v>414</v>
      </c>
    </row>
    <row r="4313" spans="1:3" ht="24" customHeight="1">
      <c r="A4313" s="5" t="s">
        <v>4835</v>
      </c>
      <c r="B4313">
        <v>99</v>
      </c>
      <c r="C4313">
        <v>201</v>
      </c>
    </row>
    <row r="4314" spans="1:3" ht="24" customHeight="1">
      <c r="A4314" s="5" t="s">
        <v>4605</v>
      </c>
      <c r="B4314">
        <v>3991</v>
      </c>
      <c r="C4314">
        <v>3516</v>
      </c>
    </row>
    <row r="4315" spans="1:3" ht="24" customHeight="1">
      <c r="A4315" s="5" t="s">
        <v>4715</v>
      </c>
      <c r="B4315">
        <v>1754</v>
      </c>
      <c r="C4315">
        <v>1507</v>
      </c>
    </row>
    <row r="4316" spans="1:3" ht="24" customHeight="1">
      <c r="A4316" s="5" t="s">
        <v>4757</v>
      </c>
      <c r="B4316">
        <v>1009</v>
      </c>
      <c r="C4316">
        <v>455</v>
      </c>
    </row>
    <row r="4317" spans="1:3" ht="24" customHeight="1">
      <c r="A4317" s="5" t="s">
        <v>4915</v>
      </c>
      <c r="B4317">
        <v>656</v>
      </c>
      <c r="C4317">
        <v>338</v>
      </c>
    </row>
    <row r="4318" spans="1:3" ht="24" customHeight="1">
      <c r="A4318" s="5" t="s">
        <v>4836</v>
      </c>
      <c r="B4318">
        <v>572</v>
      </c>
      <c r="C4318">
        <v>1216</v>
      </c>
    </row>
    <row r="4319" spans="1:3" ht="24" customHeight="1">
      <c r="A4319" s="5" t="s">
        <v>4614</v>
      </c>
      <c r="B4319">
        <v>45815</v>
      </c>
      <c r="C4319">
        <v>52168</v>
      </c>
    </row>
    <row r="4320" spans="1:3" ht="24" customHeight="1">
      <c r="A4320" s="5" t="s">
        <v>4716</v>
      </c>
      <c r="B4320">
        <v>32633</v>
      </c>
      <c r="C4320">
        <v>31239</v>
      </c>
    </row>
    <row r="4321" spans="1:3" ht="24" customHeight="1">
      <c r="A4321" s="5" t="s">
        <v>4758</v>
      </c>
      <c r="B4321">
        <v>7915</v>
      </c>
      <c r="C4321">
        <v>12393</v>
      </c>
    </row>
    <row r="4322" spans="1:3" ht="24" customHeight="1">
      <c r="A4322" s="5" t="s">
        <v>4916</v>
      </c>
      <c r="B4322">
        <v>2653</v>
      </c>
      <c r="C4322">
        <v>3043</v>
      </c>
    </row>
    <row r="4323" spans="1:3" ht="24" customHeight="1">
      <c r="A4323" s="5" t="s">
        <v>4837</v>
      </c>
      <c r="B4323">
        <v>2614</v>
      </c>
      <c r="C4323">
        <v>5492</v>
      </c>
    </row>
    <row r="4324" spans="1:3" ht="24" customHeight="1">
      <c r="A4324" s="5" t="s">
        <v>4633</v>
      </c>
      <c r="B4324">
        <v>349</v>
      </c>
      <c r="C4324">
        <v>767</v>
      </c>
    </row>
    <row r="4325" spans="1:3" ht="24" customHeight="1">
      <c r="A4325" s="5" t="s">
        <v>4717</v>
      </c>
      <c r="B4325">
        <v>170</v>
      </c>
      <c r="C4325">
        <v>478</v>
      </c>
    </row>
    <row r="4326" spans="1:3" ht="24" customHeight="1">
      <c r="A4326" s="5" t="s">
        <v>4759</v>
      </c>
      <c r="B4326">
        <v>48</v>
      </c>
      <c r="C4326">
        <v>130</v>
      </c>
    </row>
    <row r="4327" spans="1:3" ht="24" customHeight="1">
      <c r="A4327" s="5" t="s">
        <v>4917</v>
      </c>
      <c r="B4327">
        <v>48</v>
      </c>
      <c r="C4327">
        <v>73</v>
      </c>
    </row>
    <row r="4328" spans="1:3" ht="24" customHeight="1">
      <c r="A4328" s="5" t="s">
        <v>4838</v>
      </c>
      <c r="B4328">
        <v>82</v>
      </c>
      <c r="C4328">
        <v>86</v>
      </c>
    </row>
    <row r="4329" spans="1:3" ht="24" customHeight="1">
      <c r="A4329" s="5" t="s">
        <v>4646</v>
      </c>
      <c r="B4329">
        <v>1457</v>
      </c>
      <c r="C4329">
        <v>2222</v>
      </c>
    </row>
    <row r="4330" spans="1:3" ht="24" customHeight="1">
      <c r="A4330" s="5" t="s">
        <v>4718</v>
      </c>
      <c r="B4330">
        <v>487</v>
      </c>
      <c r="C4330">
        <v>609</v>
      </c>
    </row>
    <row r="4331" spans="1:3" ht="24" customHeight="1">
      <c r="A4331" s="5" t="s">
        <v>4760</v>
      </c>
      <c r="B4331">
        <v>469</v>
      </c>
      <c r="C4331">
        <v>764</v>
      </c>
    </row>
    <row r="4332" spans="1:3" ht="24" customHeight="1">
      <c r="A4332" s="5" t="s">
        <v>4918</v>
      </c>
      <c r="B4332">
        <v>316</v>
      </c>
      <c r="C4332">
        <v>411</v>
      </c>
    </row>
    <row r="4333" spans="1:3" ht="24" customHeight="1">
      <c r="A4333" s="5" t="s">
        <v>4839</v>
      </c>
      <c r="B4333">
        <v>185</v>
      </c>
      <c r="C4333">
        <v>438</v>
      </c>
    </row>
    <row r="4334" spans="1:3" ht="24" customHeight="1">
      <c r="A4334" s="5" t="s">
        <v>4653</v>
      </c>
      <c r="B4334">
        <v>2089</v>
      </c>
      <c r="C4334">
        <v>2646</v>
      </c>
    </row>
    <row r="4335" spans="1:3" ht="24" customHeight="1">
      <c r="A4335" s="5" t="s">
        <v>4719</v>
      </c>
      <c r="B4335">
        <v>849</v>
      </c>
      <c r="C4335">
        <v>770</v>
      </c>
    </row>
    <row r="4336" spans="1:3" ht="24" customHeight="1">
      <c r="A4336" s="5" t="s">
        <v>4761</v>
      </c>
      <c r="B4336">
        <v>660</v>
      </c>
      <c r="C4336">
        <v>1253</v>
      </c>
    </row>
    <row r="4337" spans="1:3" ht="24" customHeight="1">
      <c r="A4337" s="5" t="s">
        <v>4919</v>
      </c>
      <c r="B4337">
        <v>402</v>
      </c>
      <c r="C4337">
        <v>512</v>
      </c>
    </row>
    <row r="4338" spans="1:3" ht="24" customHeight="1">
      <c r="A4338" s="5" t="s">
        <v>4840</v>
      </c>
      <c r="B4338">
        <v>178</v>
      </c>
      <c r="C4338">
        <v>111</v>
      </c>
    </row>
    <row r="4339" spans="1:3" ht="24" customHeight="1">
      <c r="A4339" s="5" t="s">
        <v>4662</v>
      </c>
      <c r="B4339">
        <v>35175</v>
      </c>
      <c r="C4339">
        <v>54693</v>
      </c>
    </row>
    <row r="4340" spans="1:3" ht="24" customHeight="1">
      <c r="A4340" s="5" t="s">
        <v>4720</v>
      </c>
      <c r="B4340">
        <v>21113</v>
      </c>
      <c r="C4340">
        <v>30846</v>
      </c>
    </row>
    <row r="4341" spans="1:3" ht="24" customHeight="1">
      <c r="A4341" s="5" t="s">
        <v>4762</v>
      </c>
      <c r="B4341">
        <v>7754</v>
      </c>
      <c r="C4341">
        <v>13763</v>
      </c>
    </row>
    <row r="4342" spans="1:3" ht="24" customHeight="1">
      <c r="A4342" s="5" t="s">
        <v>4920</v>
      </c>
      <c r="B4342">
        <v>2781</v>
      </c>
      <c r="C4342">
        <v>4567</v>
      </c>
    </row>
    <row r="4343" spans="1:3" ht="24" customHeight="1">
      <c r="A4343" s="5" t="s">
        <v>4841</v>
      </c>
      <c r="B4343">
        <v>3528</v>
      </c>
      <c r="C4343">
        <v>5517</v>
      </c>
    </row>
    <row r="4344" spans="1:3" ht="24" customHeight="1">
      <c r="A4344" s="5" t="s">
        <v>4669</v>
      </c>
      <c r="B4344">
        <v>6555</v>
      </c>
      <c r="C4344">
        <v>9392</v>
      </c>
    </row>
    <row r="4345" spans="1:3" ht="24" customHeight="1">
      <c r="A4345" s="5" t="s">
        <v>4721</v>
      </c>
      <c r="B4345">
        <v>3138</v>
      </c>
      <c r="C4345">
        <v>4455</v>
      </c>
    </row>
    <row r="4346" spans="1:3" ht="24" customHeight="1">
      <c r="A4346" s="5" t="s">
        <v>4763</v>
      </c>
      <c r="B4346">
        <v>1503</v>
      </c>
      <c r="C4346">
        <v>2371</v>
      </c>
    </row>
    <row r="4347" spans="1:3" ht="24" customHeight="1">
      <c r="A4347" s="5" t="s">
        <v>4921</v>
      </c>
      <c r="B4347">
        <v>1012</v>
      </c>
      <c r="C4347">
        <v>1272</v>
      </c>
    </row>
    <row r="4348" spans="1:3" ht="24" customHeight="1">
      <c r="A4348" s="5" t="s">
        <v>4842</v>
      </c>
      <c r="B4348">
        <v>903</v>
      </c>
      <c r="C4348">
        <v>1294</v>
      </c>
    </row>
    <row r="4349" spans="1:3" ht="24" customHeight="1">
      <c r="A4349" s="5" t="s">
        <v>4676</v>
      </c>
      <c r="B4349">
        <v>8167</v>
      </c>
      <c r="C4349">
        <v>10290</v>
      </c>
    </row>
    <row r="4350" spans="1:3" ht="24" customHeight="1">
      <c r="A4350" s="5" t="s">
        <v>4722</v>
      </c>
      <c r="B4350">
        <v>4433</v>
      </c>
      <c r="C4350">
        <v>4335</v>
      </c>
    </row>
    <row r="4351" spans="1:3" ht="24" customHeight="1">
      <c r="A4351" s="5" t="s">
        <v>4764</v>
      </c>
      <c r="B4351">
        <v>1250</v>
      </c>
      <c r="C4351">
        <v>2495</v>
      </c>
    </row>
    <row r="4352" spans="1:3" ht="24" customHeight="1">
      <c r="A4352" s="5" t="s">
        <v>4922</v>
      </c>
      <c r="B4352">
        <v>1135</v>
      </c>
      <c r="C4352">
        <v>1383</v>
      </c>
    </row>
    <row r="4353" spans="1:3" ht="24" customHeight="1">
      <c r="A4353" s="5" t="s">
        <v>4843</v>
      </c>
      <c r="B4353">
        <v>1349</v>
      </c>
      <c r="C4353">
        <v>2078</v>
      </c>
    </row>
    <row r="4354" spans="1:3" ht="24" customHeight="1">
      <c r="A4354" s="5" t="s">
        <v>4681</v>
      </c>
      <c r="B4354">
        <v>9488</v>
      </c>
      <c r="C4354">
        <v>25574</v>
      </c>
    </row>
    <row r="4355" spans="1:3" ht="24" customHeight="1">
      <c r="A4355" s="5" t="s">
        <v>4723</v>
      </c>
      <c r="B4355">
        <v>2765</v>
      </c>
      <c r="C4355">
        <v>4188</v>
      </c>
    </row>
    <row r="4356" spans="1:3" ht="24" customHeight="1">
      <c r="A4356" s="5" t="s">
        <v>4765</v>
      </c>
      <c r="B4356">
        <v>3112</v>
      </c>
      <c r="C4356">
        <v>12479</v>
      </c>
    </row>
    <row r="4357" spans="1:3" ht="24" customHeight="1">
      <c r="A4357" s="5" t="s">
        <v>4923</v>
      </c>
      <c r="B4357">
        <v>1698</v>
      </c>
      <c r="C4357">
        <v>4722</v>
      </c>
    </row>
    <row r="4358" spans="1:3" ht="24" customHeight="1">
      <c r="A4358" s="5" t="s">
        <v>4844</v>
      </c>
      <c r="B4358">
        <v>1913</v>
      </c>
      <c r="C4358">
        <v>4184</v>
      </c>
    </row>
    <row r="4359" spans="1:3" ht="24" customHeight="1">
      <c r="A4359" s="5" t="s">
        <v>4688</v>
      </c>
      <c r="B4359">
        <v>402</v>
      </c>
      <c r="C4359">
        <v>379</v>
      </c>
    </row>
    <row r="4360" spans="1:3" ht="24" customHeight="1">
      <c r="A4360" s="5" t="s">
        <v>4724</v>
      </c>
      <c r="B4360">
        <v>283</v>
      </c>
      <c r="C4360">
        <v>263</v>
      </c>
    </row>
    <row r="4361" spans="1:3" ht="24" customHeight="1">
      <c r="A4361" s="5" t="s">
        <v>4766</v>
      </c>
      <c r="B4361">
        <v>31</v>
      </c>
      <c r="C4361">
        <v>24</v>
      </c>
    </row>
    <row r="4362" spans="1:3" ht="24" customHeight="1">
      <c r="A4362" s="5" t="s">
        <v>4924</v>
      </c>
      <c r="B4362">
        <v>34</v>
      </c>
      <c r="C4362">
        <v>27</v>
      </c>
    </row>
    <row r="4363" spans="1:3" ht="24" customHeight="1">
      <c r="A4363" s="5" t="s">
        <v>4845</v>
      </c>
      <c r="B4363">
        <v>54</v>
      </c>
      <c r="C4363">
        <v>65</v>
      </c>
    </row>
    <row r="4364" spans="1:3" ht="24" customHeight="1">
      <c r="A4364" s="5" t="s">
        <v>4693</v>
      </c>
      <c r="B4364">
        <v>20675</v>
      </c>
      <c r="C4364">
        <v>29754</v>
      </c>
    </row>
    <row r="4365" spans="1:3" ht="24" customHeight="1">
      <c r="A4365" s="5" t="s">
        <v>4725</v>
      </c>
      <c r="B4365">
        <v>11144</v>
      </c>
      <c r="C4365">
        <v>16508</v>
      </c>
    </row>
    <row r="4366" spans="1:3" ht="24" customHeight="1">
      <c r="A4366" s="5" t="s">
        <v>4767</v>
      </c>
      <c r="B4366">
        <v>2937</v>
      </c>
      <c r="C4366">
        <v>3395</v>
      </c>
    </row>
    <row r="4367" spans="1:3" ht="24" customHeight="1">
      <c r="A4367" s="5" t="s">
        <v>4925</v>
      </c>
      <c r="B4367">
        <v>2773</v>
      </c>
      <c r="C4367">
        <v>3786</v>
      </c>
    </row>
    <row r="4368" spans="1:3" ht="24" customHeight="1">
      <c r="A4368" s="5" t="s">
        <v>4846</v>
      </c>
      <c r="B4368">
        <v>3820</v>
      </c>
      <c r="C4368">
        <v>6065</v>
      </c>
    </row>
    <row r="4369" spans="1:3" ht="24" customHeight="1">
      <c r="A4369" s="5" t="s">
        <v>4539</v>
      </c>
      <c r="B4369">
        <v>17</v>
      </c>
      <c r="C4369">
        <v>2</v>
      </c>
    </row>
    <row r="4370" spans="1:3" ht="24" customHeight="1">
      <c r="A4370" s="5" t="s">
        <v>4540</v>
      </c>
      <c r="B4370">
        <v>17</v>
      </c>
      <c r="C4370">
        <v>2</v>
      </c>
    </row>
    <row r="4371" spans="1:3" ht="24" customHeight="1">
      <c r="A4371" s="5" t="s">
        <v>4541</v>
      </c>
      <c r="B4371">
        <v>3559</v>
      </c>
      <c r="C4371">
        <v>849</v>
      </c>
    </row>
    <row r="4372" spans="1:3" ht="24" customHeight="1">
      <c r="A4372" s="5" t="s">
        <v>4542</v>
      </c>
      <c r="B4372">
        <v>2203</v>
      </c>
      <c r="C4372">
        <v>507</v>
      </c>
    </row>
    <row r="4373" spans="1:3" ht="24" customHeight="1">
      <c r="A4373" s="5" t="s">
        <v>4543</v>
      </c>
      <c r="B4373">
        <v>791</v>
      </c>
      <c r="C4373">
        <v>134</v>
      </c>
    </row>
    <row r="4374" spans="1:3" ht="24" customHeight="1">
      <c r="A4374" s="5" t="s">
        <v>4544</v>
      </c>
      <c r="B4374">
        <v>566</v>
      </c>
      <c r="C4374">
        <v>208</v>
      </c>
    </row>
    <row r="4375" spans="1:3" ht="24" customHeight="1">
      <c r="A4375" s="5" t="s">
        <v>4545</v>
      </c>
      <c r="B4375">
        <v>10120</v>
      </c>
      <c r="C4375">
        <v>17691</v>
      </c>
    </row>
    <row r="4376" spans="1:3" ht="24" customHeight="1">
      <c r="A4376" s="5" t="s">
        <v>4546</v>
      </c>
      <c r="B4376">
        <v>3740</v>
      </c>
      <c r="C4376">
        <v>11459</v>
      </c>
    </row>
    <row r="4377" spans="1:3" ht="24" customHeight="1">
      <c r="A4377" s="5" t="s">
        <v>4548</v>
      </c>
      <c r="B4377">
        <v>130</v>
      </c>
      <c r="C4377">
        <v>194</v>
      </c>
    </row>
    <row r="4378" spans="1:3" ht="24" customHeight="1">
      <c r="A4378" s="5" t="s">
        <v>4550</v>
      </c>
      <c r="B4378">
        <v>120</v>
      </c>
      <c r="C4378">
        <v>628</v>
      </c>
    </row>
    <row r="4379" spans="1:3" ht="24" customHeight="1">
      <c r="A4379" s="5" t="s">
        <v>4552</v>
      </c>
      <c r="B4379">
        <v>146</v>
      </c>
      <c r="C4379">
        <v>91</v>
      </c>
    </row>
    <row r="4380" spans="1:3" ht="24" customHeight="1">
      <c r="A4380" s="5" t="s">
        <v>4554</v>
      </c>
      <c r="B4380">
        <v>113</v>
      </c>
      <c r="C4380">
        <v>76</v>
      </c>
    </row>
    <row r="4381" spans="1:3" ht="24" customHeight="1">
      <c r="A4381" s="5" t="s">
        <v>4556</v>
      </c>
      <c r="B4381">
        <v>136</v>
      </c>
      <c r="C4381">
        <v>182</v>
      </c>
    </row>
    <row r="4382" spans="1:3" ht="24" customHeight="1">
      <c r="A4382" s="5" t="s">
        <v>4558</v>
      </c>
      <c r="B4382">
        <v>163</v>
      </c>
      <c r="C4382">
        <v>337</v>
      </c>
    </row>
    <row r="4383" spans="1:3" ht="24" customHeight="1">
      <c r="A4383" s="5" t="s">
        <v>4560</v>
      </c>
      <c r="B4383">
        <v>179</v>
      </c>
      <c r="C4383">
        <v>373</v>
      </c>
    </row>
    <row r="4384" spans="1:3" ht="24" customHeight="1">
      <c r="A4384" s="5" t="s">
        <v>4562</v>
      </c>
      <c r="B4384">
        <v>2</v>
      </c>
      <c r="C4384">
        <v>1</v>
      </c>
    </row>
    <row r="4385" spans="1:3" ht="24" customHeight="1">
      <c r="A4385" s="5" t="s">
        <v>4564</v>
      </c>
      <c r="B4385">
        <v>432</v>
      </c>
      <c r="C4385">
        <v>711</v>
      </c>
    </row>
    <row r="4386" spans="1:3" ht="24" customHeight="1">
      <c r="A4386" s="5" t="s">
        <v>4566</v>
      </c>
      <c r="B4386">
        <v>104</v>
      </c>
      <c r="C4386">
        <v>150</v>
      </c>
    </row>
    <row r="4387" spans="1:3" ht="24" customHeight="1">
      <c r="A4387" s="5" t="s">
        <v>4568</v>
      </c>
      <c r="B4387">
        <v>11</v>
      </c>
      <c r="C4387">
        <v>56</v>
      </c>
    </row>
    <row r="4388" spans="1:3" ht="24" customHeight="1">
      <c r="A4388" s="5" t="s">
        <v>4570</v>
      </c>
      <c r="B4388">
        <v>279</v>
      </c>
      <c r="C4388">
        <v>105</v>
      </c>
    </row>
    <row r="4389" spans="1:3" ht="24" customHeight="1">
      <c r="A4389" s="5" t="s">
        <v>4572</v>
      </c>
      <c r="B4389">
        <v>300</v>
      </c>
      <c r="C4389">
        <v>41</v>
      </c>
    </row>
    <row r="4390" spans="1:3" ht="24" customHeight="1">
      <c r="A4390" s="5" t="s">
        <v>4574</v>
      </c>
      <c r="B4390">
        <v>161</v>
      </c>
      <c r="C4390">
        <v>100</v>
      </c>
    </row>
    <row r="4391" spans="1:3" ht="24" customHeight="1">
      <c r="A4391" s="5" t="s">
        <v>4576</v>
      </c>
      <c r="B4391">
        <v>638</v>
      </c>
      <c r="C4391">
        <v>300</v>
      </c>
    </row>
    <row r="4392" spans="1:3" ht="24" customHeight="1">
      <c r="A4392" s="5" t="s">
        <v>4578</v>
      </c>
      <c r="B4392">
        <v>343</v>
      </c>
      <c r="C4392">
        <v>216</v>
      </c>
    </row>
    <row r="4393" spans="1:3" ht="24" customHeight="1">
      <c r="A4393" s="5" t="s">
        <v>4580</v>
      </c>
      <c r="B4393">
        <v>371</v>
      </c>
      <c r="C4393">
        <v>448</v>
      </c>
    </row>
    <row r="4394" spans="1:3" ht="24" customHeight="1">
      <c r="A4394" s="5" t="s">
        <v>4582</v>
      </c>
      <c r="B4394">
        <v>127</v>
      </c>
      <c r="C4394">
        <v>193</v>
      </c>
    </row>
    <row r="4395" spans="1:3" ht="24" customHeight="1">
      <c r="A4395" s="5" t="s">
        <v>4584</v>
      </c>
      <c r="B4395">
        <v>291</v>
      </c>
      <c r="C4395">
        <v>381</v>
      </c>
    </row>
    <row r="4396" spans="1:3" ht="24" customHeight="1">
      <c r="A4396" s="5" t="s">
        <v>4586</v>
      </c>
      <c r="B4396">
        <v>499</v>
      </c>
      <c r="C4396">
        <v>478</v>
      </c>
    </row>
    <row r="4397" spans="1:3" ht="24" customHeight="1">
      <c r="A4397" s="5" t="s">
        <v>4588</v>
      </c>
      <c r="B4397">
        <v>62</v>
      </c>
      <c r="C4397">
        <v>100</v>
      </c>
    </row>
    <row r="4398" spans="1:3" ht="24" customHeight="1">
      <c r="A4398" s="5" t="s">
        <v>4590</v>
      </c>
      <c r="B4398">
        <v>1608</v>
      </c>
      <c r="C4398">
        <v>755</v>
      </c>
    </row>
    <row r="4399" spans="1:3" ht="24" customHeight="1">
      <c r="A4399" s="5" t="s">
        <v>4592</v>
      </c>
      <c r="B4399">
        <v>166</v>
      </c>
      <c r="C4399">
        <v>315</v>
      </c>
    </row>
    <row r="4400" spans="1:3" ht="24" customHeight="1">
      <c r="A4400" s="5" t="s">
        <v>4594</v>
      </c>
      <c r="B4400">
        <v>214</v>
      </c>
      <c r="C4400">
        <v>81</v>
      </c>
    </row>
    <row r="4401" spans="1:3" ht="24" customHeight="1">
      <c r="A4401" s="5" t="s">
        <v>4595</v>
      </c>
      <c r="B4401">
        <v>165</v>
      </c>
      <c r="C4401">
        <v>70</v>
      </c>
    </row>
    <row r="4402" spans="1:3" ht="24" customHeight="1">
      <c r="A4402" s="5" t="s">
        <v>4596</v>
      </c>
      <c r="B4402">
        <v>7</v>
      </c>
      <c r="C4402">
        <v>4</v>
      </c>
    </row>
    <row r="4403" spans="1:3" ht="24" customHeight="1">
      <c r="A4403" s="5" t="s">
        <v>4597</v>
      </c>
      <c r="B4403">
        <v>3</v>
      </c>
      <c r="C4403">
        <v>1</v>
      </c>
    </row>
    <row r="4404" spans="1:3" ht="24" customHeight="1">
      <c r="A4404" s="5" t="s">
        <v>4598</v>
      </c>
      <c r="B4404">
        <v>39</v>
      </c>
      <c r="C4404">
        <v>6</v>
      </c>
    </row>
    <row r="4405" spans="1:3" ht="24" customHeight="1">
      <c r="A4405" s="5" t="s">
        <v>4599</v>
      </c>
      <c r="B4405">
        <v>1257</v>
      </c>
      <c r="C4405">
        <v>2221</v>
      </c>
    </row>
    <row r="4406" spans="1:3" ht="24" customHeight="1">
      <c r="A4406" s="5" t="s">
        <v>4600</v>
      </c>
      <c r="B4406">
        <v>55</v>
      </c>
      <c r="C4406">
        <v>17</v>
      </c>
    </row>
    <row r="4407" spans="1:3" ht="24" customHeight="1">
      <c r="A4407" s="5" t="s">
        <v>4601</v>
      </c>
      <c r="B4407">
        <v>206</v>
      </c>
      <c r="C4407">
        <v>294</v>
      </c>
    </row>
    <row r="4408" spans="1:3" ht="24" customHeight="1">
      <c r="A4408" s="5" t="s">
        <v>4602</v>
      </c>
      <c r="B4408">
        <v>573</v>
      </c>
      <c r="C4408">
        <v>736</v>
      </c>
    </row>
    <row r="4409" spans="1:3" ht="24" customHeight="1">
      <c r="A4409" s="5" t="s">
        <v>4603</v>
      </c>
      <c r="B4409">
        <v>190</v>
      </c>
      <c r="C4409">
        <v>349</v>
      </c>
    </row>
    <row r="4410" spans="1:3" ht="24" customHeight="1">
      <c r="A4410" s="5" t="s">
        <v>4604</v>
      </c>
      <c r="B4410">
        <v>233</v>
      </c>
      <c r="C4410">
        <v>826</v>
      </c>
    </row>
    <row r="4411" spans="1:3" ht="24" customHeight="1">
      <c r="A4411" s="5" t="s">
        <v>4605</v>
      </c>
      <c r="B4411">
        <v>3991</v>
      </c>
      <c r="C4411">
        <v>3516</v>
      </c>
    </row>
    <row r="4412" spans="1:3" ht="24" customHeight="1">
      <c r="A4412" s="5" t="s">
        <v>4606</v>
      </c>
      <c r="B4412">
        <v>131</v>
      </c>
      <c r="C4412">
        <v>32</v>
      </c>
    </row>
    <row r="4413" spans="1:3" ht="24" customHeight="1">
      <c r="A4413" s="5" t="s">
        <v>4607</v>
      </c>
      <c r="B4413">
        <v>677</v>
      </c>
      <c r="C4413">
        <v>183</v>
      </c>
    </row>
    <row r="4414" spans="1:3" ht="24" customHeight="1">
      <c r="A4414" s="5" t="s">
        <v>4608</v>
      </c>
      <c r="B4414">
        <v>2107</v>
      </c>
      <c r="C4414">
        <v>2136</v>
      </c>
    </row>
    <row r="4415" spans="1:3" ht="24" customHeight="1">
      <c r="A4415" s="5" t="s">
        <v>4609</v>
      </c>
      <c r="B4415">
        <v>34</v>
      </c>
      <c r="C4415">
        <v>21</v>
      </c>
    </row>
    <row r="4416" spans="1:3" ht="24" customHeight="1">
      <c r="A4416" s="5" t="s">
        <v>4610</v>
      </c>
      <c r="B4416">
        <v>43</v>
      </c>
      <c r="C4416">
        <v>48</v>
      </c>
    </row>
    <row r="4417" spans="1:3" ht="24" customHeight="1">
      <c r="A4417" s="5" t="s">
        <v>4611</v>
      </c>
      <c r="B4417">
        <v>237</v>
      </c>
      <c r="C4417">
        <v>480</v>
      </c>
    </row>
    <row r="4418" spans="1:3" ht="24" customHeight="1">
      <c r="A4418" s="5" t="s">
        <v>4612</v>
      </c>
      <c r="B4418">
        <v>680</v>
      </c>
      <c r="C4418">
        <v>567</v>
      </c>
    </row>
    <row r="4419" spans="1:3" ht="24" customHeight="1">
      <c r="A4419" s="5" t="s">
        <v>4613</v>
      </c>
      <c r="B4419">
        <v>81</v>
      </c>
      <c r="C4419">
        <v>48</v>
      </c>
    </row>
    <row r="4420" spans="1:3" ht="24" customHeight="1">
      <c r="A4420" s="5" t="s">
        <v>4614</v>
      </c>
      <c r="B4420">
        <v>45815</v>
      </c>
      <c r="C4420">
        <v>52168</v>
      </c>
    </row>
    <row r="4421" spans="1:3" ht="24" customHeight="1">
      <c r="A4421" s="5" t="s">
        <v>4615</v>
      </c>
      <c r="B4421">
        <v>18</v>
      </c>
      <c r="C4421">
        <v>38</v>
      </c>
    </row>
    <row r="4422" spans="1:3" ht="24" customHeight="1">
      <c r="A4422" s="5" t="s">
        <v>4616</v>
      </c>
      <c r="B4422">
        <v>71</v>
      </c>
      <c r="C4422">
        <v>289</v>
      </c>
    </row>
    <row r="4423" spans="1:3" ht="24" customHeight="1">
      <c r="A4423" s="5" t="s">
        <v>4617</v>
      </c>
      <c r="B4423">
        <v>22496</v>
      </c>
      <c r="C4423">
        <v>7696</v>
      </c>
    </row>
    <row r="4424" spans="1:3" ht="24" customHeight="1">
      <c r="A4424" s="5" t="s">
        <v>4618</v>
      </c>
      <c r="B4424">
        <v>517</v>
      </c>
      <c r="C4424">
        <v>436</v>
      </c>
    </row>
    <row r="4425" spans="1:3" ht="24" customHeight="1">
      <c r="A4425" s="5" t="s">
        <v>4619</v>
      </c>
      <c r="B4425">
        <v>555</v>
      </c>
      <c r="C4425">
        <v>335</v>
      </c>
    </row>
    <row r="4426" spans="1:3" ht="24" customHeight="1">
      <c r="A4426" s="5" t="s">
        <v>4620</v>
      </c>
      <c r="B4426">
        <v>574</v>
      </c>
      <c r="C4426">
        <v>1096</v>
      </c>
    </row>
    <row r="4427" spans="1:3" ht="24" customHeight="1">
      <c r="A4427" s="5" t="s">
        <v>4621</v>
      </c>
      <c r="B4427">
        <v>760</v>
      </c>
      <c r="C4427">
        <v>1734</v>
      </c>
    </row>
    <row r="4428" spans="1:3" ht="24" customHeight="1">
      <c r="A4428" s="5" t="s">
        <v>4623</v>
      </c>
      <c r="B4428">
        <v>928</v>
      </c>
      <c r="C4428">
        <v>2043</v>
      </c>
    </row>
    <row r="4429" spans="1:3" ht="24" customHeight="1">
      <c r="A4429" s="5" t="s">
        <v>4625</v>
      </c>
      <c r="B4429">
        <v>12575</v>
      </c>
      <c r="C4429">
        <v>23474</v>
      </c>
    </row>
    <row r="4430" spans="1:3" ht="24" customHeight="1">
      <c r="A4430" s="5" t="s">
        <v>4627</v>
      </c>
      <c r="B4430">
        <v>808</v>
      </c>
      <c r="C4430">
        <v>468</v>
      </c>
    </row>
    <row r="4431" spans="1:3" ht="24" customHeight="1">
      <c r="A4431" s="5" t="s">
        <v>4629</v>
      </c>
      <c r="B4431">
        <v>5919</v>
      </c>
      <c r="C4431">
        <v>13255</v>
      </c>
    </row>
    <row r="4432" spans="1:3" ht="24" customHeight="1">
      <c r="A4432" s="5" t="s">
        <v>4631</v>
      </c>
      <c r="B4432">
        <v>594</v>
      </c>
      <c r="C4432">
        <v>1303</v>
      </c>
    </row>
    <row r="4433" spans="1:3" ht="24" customHeight="1">
      <c r="A4433" s="5" t="s">
        <v>4633</v>
      </c>
      <c r="B4433">
        <v>349</v>
      </c>
      <c r="C4433">
        <v>767</v>
      </c>
    </row>
    <row r="4434" spans="1:3" ht="24" customHeight="1">
      <c r="A4434" s="5" t="s">
        <v>4634</v>
      </c>
      <c r="B4434">
        <v>92</v>
      </c>
      <c r="C4434">
        <v>282</v>
      </c>
    </row>
    <row r="4435" spans="1:3" ht="24" customHeight="1">
      <c r="A4435" s="5" t="s">
        <v>4636</v>
      </c>
      <c r="B4435">
        <v>19</v>
      </c>
      <c r="C4435">
        <v>90</v>
      </c>
    </row>
    <row r="4436" spans="1:3" ht="24" customHeight="1">
      <c r="A4436" s="5" t="s">
        <v>4638</v>
      </c>
      <c r="B4436">
        <v>58</v>
      </c>
      <c r="C4436">
        <v>101</v>
      </c>
    </row>
    <row r="4437" spans="1:3" ht="24" customHeight="1">
      <c r="A4437" s="5" t="s">
        <v>4640</v>
      </c>
      <c r="B4437">
        <v>34</v>
      </c>
      <c r="C4437">
        <v>27</v>
      </c>
    </row>
    <row r="4438" spans="1:3" ht="24" customHeight="1">
      <c r="A4438" s="5" t="s">
        <v>4642</v>
      </c>
      <c r="B4438">
        <v>23</v>
      </c>
      <c r="C4438">
        <v>33</v>
      </c>
    </row>
    <row r="4439" spans="1:3" ht="24" customHeight="1">
      <c r="A4439" s="5" t="s">
        <v>4644</v>
      </c>
      <c r="B4439">
        <v>123</v>
      </c>
      <c r="C4439">
        <v>234</v>
      </c>
    </row>
    <row r="4440" spans="1:3" ht="24" customHeight="1">
      <c r="A4440" s="5" t="s">
        <v>4646</v>
      </c>
      <c r="B4440">
        <v>1457</v>
      </c>
      <c r="C4440">
        <v>2222</v>
      </c>
    </row>
    <row r="4441" spans="1:3" ht="24" customHeight="1">
      <c r="A4441" s="5" t="s">
        <v>4647</v>
      </c>
      <c r="B4441">
        <v>137</v>
      </c>
      <c r="C4441">
        <v>467</v>
      </c>
    </row>
    <row r="4442" spans="1:3" ht="24" customHeight="1">
      <c r="A4442" s="5" t="s">
        <v>4649</v>
      </c>
      <c r="B4442">
        <v>766</v>
      </c>
      <c r="C4442">
        <v>1291</v>
      </c>
    </row>
    <row r="4443" spans="1:3" ht="24" customHeight="1">
      <c r="A4443" s="5" t="s">
        <v>4651</v>
      </c>
      <c r="B4443">
        <v>554</v>
      </c>
      <c r="C4443">
        <v>464</v>
      </c>
    </row>
    <row r="4444" spans="1:3" ht="24" customHeight="1">
      <c r="A4444" s="5" t="s">
        <v>4653</v>
      </c>
      <c r="B4444">
        <v>2089</v>
      </c>
      <c r="C4444">
        <v>2646</v>
      </c>
    </row>
    <row r="4445" spans="1:3" ht="24" customHeight="1">
      <c r="A4445" s="5" t="s">
        <v>4654</v>
      </c>
      <c r="B4445">
        <v>757</v>
      </c>
      <c r="C4445">
        <v>615</v>
      </c>
    </row>
    <row r="4446" spans="1:3" ht="24" customHeight="1">
      <c r="A4446" s="5" t="s">
        <v>4656</v>
      </c>
      <c r="B4446">
        <v>367</v>
      </c>
      <c r="C4446">
        <v>1145</v>
      </c>
    </row>
    <row r="4447" spans="1:3" ht="24" customHeight="1">
      <c r="A4447" s="5" t="s">
        <v>4658</v>
      </c>
      <c r="B4447">
        <v>177</v>
      </c>
      <c r="C4447">
        <v>276</v>
      </c>
    </row>
    <row r="4448" spans="1:3" ht="24" customHeight="1">
      <c r="A4448" s="5" t="s">
        <v>4660</v>
      </c>
      <c r="B4448">
        <v>788</v>
      </c>
      <c r="C4448">
        <v>610</v>
      </c>
    </row>
    <row r="4449" spans="1:3" ht="24" customHeight="1">
      <c r="A4449" s="5" t="s">
        <v>4662</v>
      </c>
      <c r="B4449">
        <v>35175</v>
      </c>
      <c r="C4449">
        <v>54693</v>
      </c>
    </row>
    <row r="4450" spans="1:3" ht="24" customHeight="1">
      <c r="A4450" s="5" t="s">
        <v>4663</v>
      </c>
      <c r="B4450">
        <v>2516</v>
      </c>
      <c r="C4450">
        <v>4452</v>
      </c>
    </row>
    <row r="4451" spans="1:3" ht="24" customHeight="1">
      <c r="A4451" s="5" t="s">
        <v>4665</v>
      </c>
      <c r="B4451">
        <v>30736</v>
      </c>
      <c r="C4451">
        <v>46904</v>
      </c>
    </row>
    <row r="4452" spans="1:3" ht="24" customHeight="1">
      <c r="A4452" s="5" t="s">
        <v>4667</v>
      </c>
      <c r="B4452">
        <v>1924</v>
      </c>
      <c r="C4452">
        <v>3337</v>
      </c>
    </row>
    <row r="4453" spans="1:3" ht="24" customHeight="1">
      <c r="A4453" s="5" t="s">
        <v>4669</v>
      </c>
      <c r="B4453">
        <v>6555</v>
      </c>
      <c r="C4453">
        <v>9392</v>
      </c>
    </row>
    <row r="4454" spans="1:3" ht="24" customHeight="1">
      <c r="A4454" s="5" t="s">
        <v>4670</v>
      </c>
      <c r="B4454">
        <v>723</v>
      </c>
      <c r="C4454">
        <v>2101</v>
      </c>
    </row>
    <row r="4455" spans="1:3" ht="24" customHeight="1">
      <c r="A4455" s="5" t="s">
        <v>4672</v>
      </c>
      <c r="B4455">
        <v>713</v>
      </c>
      <c r="C4455">
        <v>1644</v>
      </c>
    </row>
    <row r="4456" spans="1:3" ht="24" customHeight="1">
      <c r="A4456" s="5" t="s">
        <v>4674</v>
      </c>
      <c r="B4456">
        <v>5119</v>
      </c>
      <c r="C4456">
        <v>5647</v>
      </c>
    </row>
    <row r="4457" spans="1:3" ht="24" customHeight="1">
      <c r="A4457" s="5" t="s">
        <v>4676</v>
      </c>
      <c r="B4457">
        <v>8167</v>
      </c>
      <c r="C4457">
        <v>10290</v>
      </c>
    </row>
    <row r="4458" spans="1:3" ht="24" customHeight="1">
      <c r="A4458" s="5" t="s">
        <v>4677</v>
      </c>
      <c r="B4458">
        <v>5019</v>
      </c>
      <c r="C4458">
        <v>6381</v>
      </c>
    </row>
    <row r="4459" spans="1:3" ht="24" customHeight="1">
      <c r="A4459" s="5" t="s">
        <v>4679</v>
      </c>
      <c r="B4459">
        <v>3148</v>
      </c>
      <c r="C4459">
        <v>3909</v>
      </c>
    </row>
    <row r="4460" spans="1:3" ht="24" customHeight="1">
      <c r="A4460" s="5" t="s">
        <v>4681</v>
      </c>
      <c r="B4460">
        <v>9488</v>
      </c>
      <c r="C4460">
        <v>25574</v>
      </c>
    </row>
    <row r="4461" spans="1:3" ht="24" customHeight="1">
      <c r="A4461" s="5" t="s">
        <v>4682</v>
      </c>
      <c r="B4461">
        <v>3946</v>
      </c>
      <c r="C4461">
        <v>8762</v>
      </c>
    </row>
    <row r="4462" spans="1:3" ht="24" customHeight="1">
      <c r="A4462" s="5" t="s">
        <v>4684</v>
      </c>
      <c r="B4462">
        <v>92</v>
      </c>
      <c r="C4462">
        <v>214</v>
      </c>
    </row>
    <row r="4463" spans="1:3" ht="24" customHeight="1">
      <c r="A4463" s="5" t="s">
        <v>4686</v>
      </c>
      <c r="B4463">
        <v>5450</v>
      </c>
      <c r="C4463">
        <v>16597</v>
      </c>
    </row>
    <row r="4464" spans="1:3" ht="24" customHeight="1">
      <c r="A4464" s="5" t="s">
        <v>4688</v>
      </c>
      <c r="B4464">
        <v>402</v>
      </c>
      <c r="C4464">
        <v>379</v>
      </c>
    </row>
    <row r="4465" spans="1:3" ht="24" customHeight="1">
      <c r="A4465" s="5" t="s">
        <v>4689</v>
      </c>
      <c r="B4465">
        <v>265</v>
      </c>
      <c r="C4465">
        <v>248</v>
      </c>
    </row>
    <row r="4466" spans="1:3" ht="24" customHeight="1">
      <c r="A4466" s="5" t="s">
        <v>4691</v>
      </c>
      <c r="B4466">
        <v>137</v>
      </c>
      <c r="C4466">
        <v>131</v>
      </c>
    </row>
    <row r="4467" spans="1:3" ht="24" customHeight="1">
      <c r="A4467" s="5" t="s">
        <v>4693</v>
      </c>
      <c r="B4467">
        <v>20675</v>
      </c>
      <c r="C4467">
        <v>29754</v>
      </c>
    </row>
    <row r="4468" spans="1:3" ht="24" customHeight="1">
      <c r="A4468" s="5" t="s">
        <v>4694</v>
      </c>
      <c r="B4468">
        <v>499</v>
      </c>
      <c r="C4468">
        <v>1159</v>
      </c>
    </row>
    <row r="4469" spans="1:3" ht="24" customHeight="1">
      <c r="A4469" s="5" t="s">
        <v>4696</v>
      </c>
      <c r="B4469">
        <v>101</v>
      </c>
      <c r="C4469">
        <v>44</v>
      </c>
    </row>
    <row r="4470" spans="1:3" ht="24" customHeight="1">
      <c r="A4470" s="5" t="s">
        <v>4698</v>
      </c>
      <c r="B4470">
        <v>247</v>
      </c>
      <c r="C4470">
        <v>62</v>
      </c>
    </row>
    <row r="4471" spans="1:3" ht="24" customHeight="1">
      <c r="A4471" s="5" t="s">
        <v>4700</v>
      </c>
      <c r="B4471">
        <v>12772</v>
      </c>
      <c r="C4471">
        <v>17516</v>
      </c>
    </row>
    <row r="4472" spans="1:3" ht="24" customHeight="1">
      <c r="A4472" s="5" t="s">
        <v>4702</v>
      </c>
      <c r="B4472">
        <v>6523</v>
      </c>
      <c r="C4472">
        <v>10108</v>
      </c>
    </row>
    <row r="4473" spans="1:3" ht="24" customHeight="1">
      <c r="A4473" s="5" t="s">
        <v>4704</v>
      </c>
      <c r="B4473">
        <v>400</v>
      </c>
      <c r="C4473">
        <v>604</v>
      </c>
    </row>
    <row r="4474" spans="1:3" ht="24" customHeight="1">
      <c r="A4474" s="5" t="s">
        <v>4706</v>
      </c>
      <c r="B4474">
        <v>42</v>
      </c>
      <c r="C4474">
        <v>135</v>
      </c>
    </row>
    <row r="4475" spans="1:3" ht="24" customHeight="1">
      <c r="A4475" s="5" t="s">
        <v>4708</v>
      </c>
      <c r="B4475">
        <v>90</v>
      </c>
      <c r="C4475">
        <v>126</v>
      </c>
    </row>
    <row r="4476" spans="1:3" ht="24" customHeight="1">
      <c r="A4476" s="5" t="s">
        <v>4726</v>
      </c>
      <c r="B4476">
        <v>149329</v>
      </c>
      <c r="C4476">
        <v>212244</v>
      </c>
    </row>
  </sheetData>
  <sheetProtection algorithmName="SHA-512" hashValue="qhnHk9/KoNoklrrINOD9vifXQP1tuf9r6W3i23D28LlKoUmJfIGwkoQ1kGucb9ZissXGI7OD9JNusesmfhm9ZQ==" saltValue="ETFvCGCkxrLS/+yjv4bqUQ==" spinCount="100000" sheet="1" selectLockedCells="1" selectUnlockedCells="1"/>
  <autoFilter ref="A3:I4476" xr:uid="{76D06DF8-DEC1-3F46-A866-7FF39B31F97D}"/>
  <mergeCells count="1">
    <mergeCell ref="A2:A3"/>
  </mergeCells>
  <phoneticPr fontId="3"/>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A1BE8-0207-6E4D-9DD1-238833F59492}">
  <dimension ref="A1:C417"/>
  <sheetViews>
    <sheetView topLeftCell="XFD399" workbookViewId="0">
      <selection activeCell="A403" sqref="A1:XFD1048576"/>
    </sheetView>
  </sheetViews>
  <sheetFormatPr defaultColWidth="0" defaultRowHeight="19.8"/>
  <cols>
    <col min="1" max="1" width="5.36328125" hidden="1" customWidth="1"/>
    <col min="2" max="3" width="5.36328125" style="245" hidden="1" customWidth="1"/>
    <col min="4" max="16384" width="5.36328125" hidden="1"/>
  </cols>
  <sheetData>
    <row r="1" spans="1:3" ht="19.8" customHeight="1">
      <c r="A1" s="242" t="s">
        <v>1239</v>
      </c>
      <c r="B1" s="242" t="s">
        <v>1236</v>
      </c>
      <c r="C1" s="242" t="s">
        <v>1237</v>
      </c>
    </row>
    <row r="2" spans="1:3" s="242" customFormat="1" ht="15" customHeight="1">
      <c r="A2" s="242" t="s">
        <v>1240</v>
      </c>
      <c r="B2" s="244">
        <v>1816</v>
      </c>
      <c r="C2" s="244">
        <v>1470.5</v>
      </c>
    </row>
    <row r="3" spans="1:3" s="242" customFormat="1" ht="15" customHeight="1">
      <c r="A3" s="242" t="s">
        <v>1245</v>
      </c>
      <c r="B3" s="244">
        <v>0.6</v>
      </c>
      <c r="C3" s="244">
        <v>0.2</v>
      </c>
    </row>
    <row r="4" spans="1:3" s="242" customFormat="1" ht="15" customHeight="1">
      <c r="A4" s="242" t="s">
        <v>1246</v>
      </c>
      <c r="B4" s="244">
        <v>165.1</v>
      </c>
      <c r="C4" s="244">
        <v>46.5</v>
      </c>
    </row>
    <row r="5" spans="1:3" s="242" customFormat="1" ht="15" customHeight="1">
      <c r="A5" s="242" t="s">
        <v>1247</v>
      </c>
      <c r="B5" s="244">
        <v>303.10000000000002</v>
      </c>
      <c r="C5" s="244">
        <v>115.2</v>
      </c>
    </row>
    <row r="6" spans="1:3" s="242" customFormat="1" ht="15" customHeight="1">
      <c r="A6" s="242" t="s">
        <v>1248</v>
      </c>
      <c r="B6" s="244">
        <v>35.799999999999997</v>
      </c>
      <c r="C6" s="244">
        <v>32</v>
      </c>
    </row>
    <row r="7" spans="1:3" s="242" customFormat="1" ht="15" customHeight="1">
      <c r="A7" s="242" t="s">
        <v>1249</v>
      </c>
      <c r="B7" s="244">
        <v>3.1</v>
      </c>
      <c r="C7" s="244">
        <v>8.1</v>
      </c>
    </row>
    <row r="8" spans="1:3" s="242" customFormat="1" ht="15" customHeight="1">
      <c r="A8" s="242" t="s">
        <v>1250</v>
      </c>
      <c r="B8" s="244">
        <v>3</v>
      </c>
      <c r="C8" s="244">
        <v>0.2</v>
      </c>
    </row>
    <row r="9" spans="1:3" s="242" customFormat="1" ht="15" customHeight="1">
      <c r="A9" s="242" t="s">
        <v>1251</v>
      </c>
      <c r="B9" s="244">
        <v>3.6</v>
      </c>
      <c r="C9" s="244">
        <v>1.5</v>
      </c>
    </row>
    <row r="10" spans="1:3" s="242" customFormat="1" ht="15" customHeight="1">
      <c r="A10" s="242" t="s">
        <v>1252</v>
      </c>
      <c r="B10" s="244">
        <v>4.5999999999999996</v>
      </c>
      <c r="C10" s="244">
        <v>2</v>
      </c>
    </row>
    <row r="11" spans="1:3" s="242" customFormat="1" ht="15" customHeight="1">
      <c r="A11" s="242" t="s">
        <v>1253</v>
      </c>
      <c r="B11" s="244">
        <v>5.2</v>
      </c>
      <c r="C11" s="244">
        <v>3.3</v>
      </c>
    </row>
    <row r="12" spans="1:3" s="242" customFormat="1" ht="15" customHeight="1">
      <c r="A12" s="242" t="s">
        <v>1254</v>
      </c>
      <c r="B12" s="244">
        <v>20.100000000000001</v>
      </c>
      <c r="C12" s="244">
        <v>5.4</v>
      </c>
    </row>
    <row r="13" spans="1:3" s="242" customFormat="1" ht="15" customHeight="1">
      <c r="A13" s="242" t="s">
        <v>1255</v>
      </c>
      <c r="B13" s="244">
        <v>18.8</v>
      </c>
      <c r="C13" s="244">
        <v>7.9</v>
      </c>
    </row>
    <row r="14" spans="1:3" s="242" customFormat="1" ht="15" customHeight="1">
      <c r="A14" s="242" t="s">
        <v>1256</v>
      </c>
      <c r="B14" s="244">
        <v>4.4000000000000004</v>
      </c>
      <c r="C14" s="244">
        <v>0.6</v>
      </c>
    </row>
    <row r="15" spans="1:3" s="242" customFormat="1" ht="15" customHeight="1">
      <c r="A15" s="242" t="s">
        <v>1257</v>
      </c>
      <c r="B15" s="244">
        <v>12.1</v>
      </c>
      <c r="C15" s="244">
        <v>2</v>
      </c>
    </row>
    <row r="16" spans="1:3" s="242" customFormat="1" ht="15" customHeight="1">
      <c r="A16" s="242" t="s">
        <v>1258</v>
      </c>
      <c r="B16" s="244">
        <v>10</v>
      </c>
      <c r="C16" s="244">
        <v>1</v>
      </c>
    </row>
    <row r="17" spans="1:3" s="242" customFormat="1" ht="15" customHeight="1">
      <c r="A17" s="242" t="s">
        <v>1244</v>
      </c>
      <c r="B17" s="244">
        <v>7.8</v>
      </c>
      <c r="C17" s="244">
        <v>2.2999999999999998</v>
      </c>
    </row>
    <row r="18" spans="1:3" s="242" customFormat="1" ht="15" customHeight="1">
      <c r="A18" s="242" t="s">
        <v>1259</v>
      </c>
      <c r="B18" s="244">
        <v>22.5</v>
      </c>
      <c r="C18" s="244">
        <v>7.4</v>
      </c>
    </row>
    <row r="19" spans="1:3" s="242" customFormat="1" ht="15" customHeight="1">
      <c r="A19" s="242" t="s">
        <v>1260</v>
      </c>
      <c r="B19" s="244">
        <v>15.1</v>
      </c>
      <c r="C19" s="244">
        <v>4.8</v>
      </c>
    </row>
    <row r="20" spans="1:3" s="242" customFormat="1" ht="15" customHeight="1">
      <c r="A20" s="242" t="s">
        <v>1261</v>
      </c>
      <c r="B20" s="244">
        <v>25.5</v>
      </c>
      <c r="C20" s="244">
        <v>6.6</v>
      </c>
    </row>
    <row r="21" spans="1:3" s="242" customFormat="1" ht="15" customHeight="1">
      <c r="A21" s="242" t="s">
        <v>1262</v>
      </c>
      <c r="B21" s="244">
        <v>5.7</v>
      </c>
      <c r="C21" s="244">
        <v>3.3</v>
      </c>
    </row>
    <row r="22" spans="1:3" s="242" customFormat="1" ht="15" customHeight="1">
      <c r="A22" s="242" t="s">
        <v>1263</v>
      </c>
      <c r="B22" s="244">
        <v>14.8</v>
      </c>
      <c r="C22" s="244">
        <v>4.0999999999999996</v>
      </c>
    </row>
    <row r="23" spans="1:3" s="242" customFormat="1" ht="15" customHeight="1">
      <c r="A23" s="242" t="s">
        <v>1264</v>
      </c>
      <c r="B23" s="244">
        <v>23</v>
      </c>
      <c r="C23" s="244">
        <v>6.7</v>
      </c>
    </row>
    <row r="24" spans="1:3" s="242" customFormat="1" ht="15" customHeight="1">
      <c r="A24" s="242" t="s">
        <v>1265</v>
      </c>
      <c r="B24" s="244">
        <v>6.7</v>
      </c>
      <c r="C24" s="244">
        <v>2.2000000000000002</v>
      </c>
    </row>
    <row r="25" spans="1:3" s="242" customFormat="1" ht="15" customHeight="1">
      <c r="A25" s="242" t="s">
        <v>1266</v>
      </c>
      <c r="B25" s="244">
        <v>51.7</v>
      </c>
      <c r="C25" s="244">
        <v>9.9</v>
      </c>
    </row>
    <row r="26" spans="1:3" s="242" customFormat="1" ht="15" customHeight="1">
      <c r="A26" s="242" t="s">
        <v>1267</v>
      </c>
      <c r="B26" s="244">
        <v>9.6</v>
      </c>
      <c r="C26" s="244">
        <v>3.9</v>
      </c>
    </row>
    <row r="27" spans="1:3" s="242" customFormat="1" ht="15" customHeight="1">
      <c r="A27" s="242" t="s">
        <v>1268</v>
      </c>
      <c r="B27" s="244">
        <v>11.1</v>
      </c>
      <c r="C27" s="244">
        <v>1.7</v>
      </c>
    </row>
    <row r="28" spans="1:3" s="242" customFormat="1" ht="15" customHeight="1">
      <c r="A28" s="242" t="s">
        <v>1269</v>
      </c>
      <c r="B28" s="244">
        <v>97.6</v>
      </c>
      <c r="C28" s="244">
        <v>45.7</v>
      </c>
    </row>
    <row r="29" spans="1:3" s="242" customFormat="1" ht="15" customHeight="1">
      <c r="A29" s="242" t="s">
        <v>1270</v>
      </c>
      <c r="B29" s="244">
        <v>140.5</v>
      </c>
      <c r="C29" s="244">
        <v>38.6</v>
      </c>
    </row>
    <row r="30" spans="1:3" s="242" customFormat="1" ht="15" customHeight="1">
      <c r="A30" s="242" t="s">
        <v>1271</v>
      </c>
      <c r="B30" s="244">
        <v>276</v>
      </c>
      <c r="C30" s="244">
        <v>223</v>
      </c>
    </row>
    <row r="31" spans="1:3" s="242" customFormat="1" ht="15" customHeight="1">
      <c r="A31" s="242" t="s">
        <v>1272</v>
      </c>
      <c r="B31" s="244">
        <v>32.799999999999997</v>
      </c>
      <c r="C31" s="244">
        <v>51</v>
      </c>
    </row>
    <row r="32" spans="1:3" s="242" customFormat="1" ht="15" customHeight="1">
      <c r="A32" s="242" t="s">
        <v>1273</v>
      </c>
      <c r="B32" s="244">
        <v>34.799999999999997</v>
      </c>
      <c r="C32" s="244">
        <v>26.5</v>
      </c>
    </row>
    <row r="33" spans="1:3" s="242" customFormat="1" ht="15" customHeight="1">
      <c r="A33" s="242" t="s">
        <v>1274</v>
      </c>
      <c r="B33" s="244">
        <v>74.2</v>
      </c>
      <c r="C33" s="244">
        <v>37.700000000000003</v>
      </c>
    </row>
    <row r="34" spans="1:3" s="242" customFormat="1" ht="15" customHeight="1">
      <c r="A34" s="242" t="s">
        <v>1275</v>
      </c>
      <c r="B34" s="244">
        <v>167.6</v>
      </c>
      <c r="C34" s="244">
        <v>153.30000000000001</v>
      </c>
    </row>
    <row r="35" spans="1:3" s="242" customFormat="1" ht="15" customHeight="1">
      <c r="A35" s="242" t="s">
        <v>1276</v>
      </c>
      <c r="B35" s="244">
        <v>59.3</v>
      </c>
      <c r="C35" s="244">
        <v>44.7</v>
      </c>
    </row>
    <row r="36" spans="1:3" s="242" customFormat="1" ht="15" customHeight="1">
      <c r="A36" s="242" t="s">
        <v>1277</v>
      </c>
      <c r="B36" s="244">
        <v>68.400000000000006</v>
      </c>
      <c r="C36" s="244">
        <v>65.8</v>
      </c>
    </row>
    <row r="37" spans="1:3" s="242" customFormat="1" ht="15" customHeight="1">
      <c r="A37" s="242" t="s">
        <v>1278</v>
      </c>
      <c r="B37" s="244">
        <v>174.5</v>
      </c>
      <c r="C37" s="244">
        <v>440.6</v>
      </c>
    </row>
    <row r="38" spans="1:3" s="242" customFormat="1" ht="15" customHeight="1">
      <c r="A38" s="242" t="s">
        <v>1279</v>
      </c>
      <c r="B38" s="244">
        <v>4.7</v>
      </c>
      <c r="C38" s="244">
        <v>6.6</v>
      </c>
    </row>
    <row r="39" spans="1:3" s="242" customFormat="1" ht="15" customHeight="1">
      <c r="A39" s="242" t="s">
        <v>1280</v>
      </c>
      <c r="B39" s="244">
        <v>205.7</v>
      </c>
      <c r="C39" s="244">
        <v>173.5</v>
      </c>
    </row>
    <row r="40" spans="1:3" s="242" customFormat="1" ht="15" customHeight="1">
      <c r="A40" s="242" t="s">
        <v>1241</v>
      </c>
      <c r="B40" s="244">
        <v>590.79999999999995</v>
      </c>
      <c r="C40" s="244">
        <v>441.3</v>
      </c>
    </row>
    <row r="41" spans="1:3" s="242" customFormat="1" ht="15" customHeight="1">
      <c r="A41" s="242" t="s">
        <v>1281</v>
      </c>
      <c r="B41" s="244">
        <v>0.1</v>
      </c>
      <c r="C41" s="244">
        <v>0</v>
      </c>
    </row>
    <row r="42" spans="1:3" s="242" customFormat="1" ht="15" customHeight="1">
      <c r="A42" s="242" t="s">
        <v>1282</v>
      </c>
      <c r="B42" s="244">
        <v>17.8</v>
      </c>
      <c r="C42" s="244">
        <v>8.5</v>
      </c>
    </row>
    <row r="43" spans="1:3" s="242" customFormat="1" ht="15" customHeight="1">
      <c r="A43" s="242" t="s">
        <v>1283</v>
      </c>
      <c r="B43" s="244">
        <v>106</v>
      </c>
      <c r="C43" s="244">
        <v>29.3</v>
      </c>
    </row>
    <row r="44" spans="1:3" s="242" customFormat="1" ht="15" customHeight="1">
      <c r="A44" s="242" t="s">
        <v>1284</v>
      </c>
      <c r="B44" s="244">
        <v>9</v>
      </c>
      <c r="C44" s="244">
        <v>8.6</v>
      </c>
    </row>
    <row r="45" spans="1:3" s="242" customFormat="1" ht="15" customHeight="1">
      <c r="A45" s="242" t="s">
        <v>1285</v>
      </c>
      <c r="B45" s="244">
        <v>0.2</v>
      </c>
      <c r="C45" s="244">
        <v>0.7</v>
      </c>
    </row>
    <row r="46" spans="1:3" s="242" customFormat="1" ht="15" customHeight="1">
      <c r="A46" s="242" t="s">
        <v>1286</v>
      </c>
      <c r="B46" s="244" t="s">
        <v>1238</v>
      </c>
      <c r="C46" s="244">
        <v>0.2</v>
      </c>
    </row>
    <row r="47" spans="1:3" s="242" customFormat="1" ht="15" customHeight="1">
      <c r="A47" s="242" t="s">
        <v>1287</v>
      </c>
      <c r="B47" s="244">
        <v>0.6</v>
      </c>
      <c r="C47" s="244">
        <v>0.2</v>
      </c>
    </row>
    <row r="48" spans="1:3" s="242" customFormat="1" ht="15" customHeight="1">
      <c r="A48" s="242" t="s">
        <v>1288</v>
      </c>
      <c r="B48" s="244">
        <v>1.6</v>
      </c>
      <c r="C48" s="244">
        <v>0.1</v>
      </c>
    </row>
    <row r="49" spans="1:3" s="242" customFormat="1" ht="15" customHeight="1">
      <c r="A49" s="242" t="s">
        <v>1289</v>
      </c>
      <c r="B49" s="244">
        <v>0.9</v>
      </c>
      <c r="C49" s="244">
        <v>0.5</v>
      </c>
    </row>
    <row r="50" spans="1:3" s="242" customFormat="1" ht="15" customHeight="1">
      <c r="A50" s="242" t="s">
        <v>1290</v>
      </c>
      <c r="B50" s="244">
        <v>4.8</v>
      </c>
      <c r="C50" s="244">
        <v>1.2</v>
      </c>
    </row>
    <row r="51" spans="1:3" s="242" customFormat="1" ht="15" customHeight="1">
      <c r="A51" s="242" t="s">
        <v>1291</v>
      </c>
      <c r="B51" s="244">
        <v>6.1</v>
      </c>
      <c r="C51" s="244">
        <v>1.6</v>
      </c>
    </row>
    <row r="52" spans="1:3" s="242" customFormat="1" ht="15" customHeight="1">
      <c r="A52" s="242" t="s">
        <v>1292</v>
      </c>
      <c r="B52" s="244">
        <v>1.7</v>
      </c>
      <c r="C52" s="244">
        <v>0.2</v>
      </c>
    </row>
    <row r="53" spans="1:3" s="242" customFormat="1" ht="15" customHeight="1">
      <c r="A53" s="242" t="s">
        <v>1293</v>
      </c>
      <c r="B53" s="244">
        <v>2.9</v>
      </c>
      <c r="C53" s="244">
        <v>0.5</v>
      </c>
    </row>
    <row r="54" spans="1:3" s="242" customFormat="1" ht="15" customHeight="1">
      <c r="A54" s="242" t="s">
        <v>1294</v>
      </c>
      <c r="B54" s="244">
        <v>2</v>
      </c>
      <c r="C54" s="244">
        <v>0.2</v>
      </c>
    </row>
    <row r="55" spans="1:3" s="242" customFormat="1" ht="15" customHeight="1">
      <c r="A55" s="242" t="s">
        <v>1295</v>
      </c>
      <c r="B55" s="244">
        <v>4.4000000000000004</v>
      </c>
      <c r="C55" s="244">
        <v>0.7</v>
      </c>
    </row>
    <row r="56" spans="1:3" s="242" customFormat="1" ht="15" customHeight="1">
      <c r="A56" s="242" t="s">
        <v>1296</v>
      </c>
      <c r="B56" s="244">
        <v>2.1</v>
      </c>
      <c r="C56" s="244">
        <v>0.4</v>
      </c>
    </row>
    <row r="57" spans="1:3" s="242" customFormat="1" ht="15" customHeight="1">
      <c r="A57" s="242" t="s">
        <v>1297</v>
      </c>
      <c r="B57" s="244">
        <v>6</v>
      </c>
      <c r="C57" s="244">
        <v>1.6</v>
      </c>
    </row>
    <row r="58" spans="1:3" s="242" customFormat="1" ht="15" customHeight="1">
      <c r="A58" s="242" t="s">
        <v>1298</v>
      </c>
      <c r="B58" s="244">
        <v>6.3</v>
      </c>
      <c r="C58" s="244">
        <v>1</v>
      </c>
    </row>
    <row r="59" spans="1:3" s="242" customFormat="1" ht="15" customHeight="1">
      <c r="A59" s="242" t="s">
        <v>1299</v>
      </c>
      <c r="B59" s="244">
        <v>2.6</v>
      </c>
      <c r="C59" s="244">
        <v>0.9</v>
      </c>
    </row>
    <row r="60" spans="1:3" s="242" customFormat="1" ht="15" customHeight="1">
      <c r="A60" s="242" t="s">
        <v>1300</v>
      </c>
      <c r="B60" s="244">
        <v>8</v>
      </c>
      <c r="C60" s="244">
        <v>1.8</v>
      </c>
    </row>
    <row r="61" spans="1:3" s="242" customFormat="1" ht="15" customHeight="1">
      <c r="A61" s="242" t="s">
        <v>1301</v>
      </c>
      <c r="B61" s="244">
        <v>11.9</v>
      </c>
      <c r="C61" s="244">
        <v>2.5</v>
      </c>
    </row>
    <row r="62" spans="1:3" s="242" customFormat="1" ht="15" customHeight="1">
      <c r="A62" s="242" t="s">
        <v>1302</v>
      </c>
      <c r="B62" s="244">
        <v>3.2</v>
      </c>
      <c r="C62" s="244">
        <v>1</v>
      </c>
    </row>
    <row r="63" spans="1:3" s="242" customFormat="1" ht="15" customHeight="1">
      <c r="A63" s="242" t="s">
        <v>1303</v>
      </c>
      <c r="B63" s="244">
        <v>30.9</v>
      </c>
      <c r="C63" s="244">
        <v>5</v>
      </c>
    </row>
    <row r="64" spans="1:3" s="242" customFormat="1" ht="15" customHeight="1">
      <c r="A64" s="242" t="s">
        <v>1304</v>
      </c>
      <c r="B64" s="244">
        <v>1</v>
      </c>
      <c r="C64" s="244">
        <v>0.3</v>
      </c>
    </row>
    <row r="65" spans="1:3" s="242" customFormat="1" ht="15" customHeight="1">
      <c r="A65" s="242" t="s">
        <v>1305</v>
      </c>
      <c r="B65" s="244">
        <v>3.4</v>
      </c>
      <c r="C65" s="244">
        <v>0.6</v>
      </c>
    </row>
    <row r="66" spans="1:3" s="242" customFormat="1" ht="15" customHeight="1">
      <c r="A66" s="242" t="s">
        <v>1306</v>
      </c>
      <c r="B66" s="244">
        <v>44.8</v>
      </c>
      <c r="C66" s="244">
        <v>18.100000000000001</v>
      </c>
    </row>
    <row r="67" spans="1:3" s="242" customFormat="1" ht="15" customHeight="1">
      <c r="A67" s="242" t="s">
        <v>1307</v>
      </c>
      <c r="B67" s="244">
        <v>59.2</v>
      </c>
      <c r="C67" s="244">
        <v>17.100000000000001</v>
      </c>
    </row>
    <row r="68" spans="1:3" s="242" customFormat="1" ht="15" customHeight="1">
      <c r="A68" s="242" t="s">
        <v>1308</v>
      </c>
      <c r="B68" s="244">
        <v>74.7</v>
      </c>
      <c r="C68" s="244">
        <v>54</v>
      </c>
    </row>
    <row r="69" spans="1:3" s="242" customFormat="1" ht="15" customHeight="1">
      <c r="A69" s="242" t="s">
        <v>1309</v>
      </c>
      <c r="B69" s="244">
        <v>15.6</v>
      </c>
      <c r="C69" s="244">
        <v>39.5</v>
      </c>
    </row>
    <row r="70" spans="1:3" s="242" customFormat="1" ht="15" customHeight="1">
      <c r="A70" s="242" t="s">
        <v>1310</v>
      </c>
      <c r="B70" s="244">
        <v>9</v>
      </c>
      <c r="C70" s="244">
        <v>3.7</v>
      </c>
    </row>
    <row r="71" spans="1:3" s="242" customFormat="1" ht="15" customHeight="1">
      <c r="A71" s="242" t="s">
        <v>1311</v>
      </c>
      <c r="B71" s="244">
        <v>31.3</v>
      </c>
      <c r="C71" s="244">
        <v>12.4</v>
      </c>
    </row>
    <row r="72" spans="1:3" s="242" customFormat="1" ht="15" customHeight="1">
      <c r="A72" s="242" t="s">
        <v>1312</v>
      </c>
      <c r="B72" s="244">
        <v>52.7</v>
      </c>
      <c r="C72" s="244">
        <v>31.6</v>
      </c>
    </row>
    <row r="73" spans="1:3" s="242" customFormat="1" ht="15" customHeight="1">
      <c r="A73" s="242" t="s">
        <v>1313</v>
      </c>
      <c r="B73" s="244">
        <v>13</v>
      </c>
      <c r="C73" s="244">
        <v>10.6</v>
      </c>
    </row>
    <row r="74" spans="1:3" s="242" customFormat="1" ht="15" customHeight="1">
      <c r="A74" s="242" t="s">
        <v>1314</v>
      </c>
      <c r="B74" s="244">
        <v>15</v>
      </c>
      <c r="C74" s="244">
        <v>13.6</v>
      </c>
    </row>
    <row r="75" spans="1:3" s="242" customFormat="1" ht="15" customHeight="1">
      <c r="A75" s="242" t="s">
        <v>1315</v>
      </c>
      <c r="B75" s="244">
        <v>55.3</v>
      </c>
      <c r="C75" s="244">
        <v>136.69999999999999</v>
      </c>
    </row>
    <row r="76" spans="1:3" s="242" customFormat="1" ht="15" customHeight="1">
      <c r="A76" s="242" t="s">
        <v>1316</v>
      </c>
      <c r="B76" s="244">
        <v>2.2999999999999998</v>
      </c>
      <c r="C76" s="244">
        <v>1.8</v>
      </c>
    </row>
    <row r="77" spans="1:3" s="242" customFormat="1" ht="15" customHeight="1">
      <c r="A77" s="242" t="s">
        <v>1317</v>
      </c>
      <c r="B77" s="244">
        <v>90.5</v>
      </c>
      <c r="C77" s="244">
        <v>63.7</v>
      </c>
    </row>
    <row r="78" spans="1:3" s="242" customFormat="1" ht="15" customHeight="1">
      <c r="A78" s="242" t="s">
        <v>1404</v>
      </c>
      <c r="B78" s="244">
        <v>356.3</v>
      </c>
      <c r="C78" s="244">
        <v>333.6</v>
      </c>
    </row>
    <row r="79" spans="1:3" s="242" customFormat="1" ht="15" customHeight="1">
      <c r="A79" s="242" t="s">
        <v>1405</v>
      </c>
      <c r="B79" s="244">
        <v>0</v>
      </c>
      <c r="C79" s="244">
        <v>0</v>
      </c>
    </row>
    <row r="80" spans="1:3" s="242" customFormat="1" ht="15" customHeight="1">
      <c r="A80" s="242" t="s">
        <v>1406</v>
      </c>
      <c r="B80" s="244">
        <v>11.8</v>
      </c>
      <c r="C80" s="244">
        <v>1.7</v>
      </c>
    </row>
    <row r="81" spans="1:3" s="242" customFormat="1" ht="15" customHeight="1">
      <c r="A81" s="242" t="s">
        <v>1407</v>
      </c>
      <c r="B81" s="244">
        <v>49.5</v>
      </c>
      <c r="C81" s="244">
        <v>16.899999999999999</v>
      </c>
    </row>
    <row r="82" spans="1:3" s="242" customFormat="1" ht="15" customHeight="1">
      <c r="A82" s="242" t="s">
        <v>1408</v>
      </c>
      <c r="B82" s="244">
        <v>7</v>
      </c>
      <c r="C82" s="244">
        <v>5.2</v>
      </c>
    </row>
    <row r="83" spans="1:3" s="242" customFormat="1" ht="15" customHeight="1">
      <c r="A83" s="242" t="s">
        <v>1409</v>
      </c>
      <c r="B83" s="244">
        <v>0.3</v>
      </c>
      <c r="C83" s="244">
        <v>0</v>
      </c>
    </row>
    <row r="84" spans="1:3" s="242" customFormat="1" ht="15" customHeight="1">
      <c r="A84" s="242" t="s">
        <v>1410</v>
      </c>
      <c r="B84" s="244" t="s">
        <v>1238</v>
      </c>
      <c r="C84" s="244" t="s">
        <v>1238</v>
      </c>
    </row>
    <row r="85" spans="1:3" s="242" customFormat="1" ht="15" customHeight="1">
      <c r="A85" s="242" t="s">
        <v>1411</v>
      </c>
      <c r="B85" s="244">
        <v>0.7</v>
      </c>
      <c r="C85" s="244">
        <v>0.1</v>
      </c>
    </row>
    <row r="86" spans="1:3" s="242" customFormat="1" ht="15" customHeight="1">
      <c r="A86" s="242" t="s">
        <v>1412</v>
      </c>
      <c r="B86" s="244">
        <v>0.3</v>
      </c>
      <c r="C86" s="244" t="s">
        <v>1238</v>
      </c>
    </row>
    <row r="87" spans="1:3" s="242" customFormat="1" ht="15" customHeight="1">
      <c r="A87" s="242" t="s">
        <v>1413</v>
      </c>
      <c r="B87" s="244">
        <v>0.1</v>
      </c>
      <c r="C87" s="244">
        <v>0.1</v>
      </c>
    </row>
    <row r="88" spans="1:3" s="242" customFormat="1" ht="15" customHeight="1">
      <c r="A88" s="242" t="s">
        <v>1414</v>
      </c>
      <c r="B88" s="244">
        <v>5.4</v>
      </c>
      <c r="C88" s="244">
        <v>2</v>
      </c>
    </row>
    <row r="89" spans="1:3" s="242" customFormat="1" ht="15" customHeight="1">
      <c r="A89" s="242" t="s">
        <v>1415</v>
      </c>
      <c r="B89" s="244">
        <v>4.0999999999999996</v>
      </c>
      <c r="C89" s="244">
        <v>1.2</v>
      </c>
    </row>
    <row r="90" spans="1:3" s="242" customFormat="1" ht="15" customHeight="1">
      <c r="A90" s="242" t="s">
        <v>1416</v>
      </c>
      <c r="B90" s="244">
        <v>0.6</v>
      </c>
      <c r="C90" s="244">
        <v>0.3</v>
      </c>
    </row>
    <row r="91" spans="1:3" s="242" customFormat="1" ht="15" customHeight="1">
      <c r="A91" s="242" t="s">
        <v>1417</v>
      </c>
      <c r="B91" s="244">
        <v>1.9</v>
      </c>
      <c r="C91" s="244" t="s">
        <v>1238</v>
      </c>
    </row>
    <row r="92" spans="1:3" s="242" customFormat="1" ht="15" customHeight="1">
      <c r="A92" s="242" t="s">
        <v>1418</v>
      </c>
      <c r="B92" s="244">
        <v>1.3</v>
      </c>
      <c r="C92" s="244">
        <v>0</v>
      </c>
    </row>
    <row r="93" spans="1:3" s="242" customFormat="1" ht="15" customHeight="1">
      <c r="A93" s="242" t="s">
        <v>1419</v>
      </c>
      <c r="B93" s="244">
        <v>1.2</v>
      </c>
      <c r="C93" s="244">
        <v>0.2</v>
      </c>
    </row>
    <row r="94" spans="1:3" s="242" customFormat="1" ht="15" customHeight="1">
      <c r="A94" s="242" t="s">
        <v>1420</v>
      </c>
      <c r="B94" s="244">
        <v>2.2000000000000002</v>
      </c>
      <c r="C94" s="244">
        <v>0.2</v>
      </c>
    </row>
    <row r="95" spans="1:3" s="242" customFormat="1" ht="15" customHeight="1">
      <c r="A95" s="242" t="s">
        <v>1421</v>
      </c>
      <c r="B95" s="244">
        <v>1</v>
      </c>
      <c r="C95" s="244">
        <v>0.1</v>
      </c>
    </row>
    <row r="96" spans="1:3" s="242" customFormat="1" ht="15" customHeight="1">
      <c r="A96" s="242" t="s">
        <v>1422</v>
      </c>
      <c r="B96" s="244">
        <v>7.6</v>
      </c>
      <c r="C96" s="244">
        <v>1.9</v>
      </c>
    </row>
    <row r="97" spans="1:3" s="242" customFormat="1" ht="15" customHeight="1">
      <c r="A97" s="242" t="s">
        <v>1423</v>
      </c>
      <c r="B97" s="244">
        <v>1.9</v>
      </c>
      <c r="C97" s="244">
        <v>1.6</v>
      </c>
    </row>
    <row r="98" spans="1:3" s="242" customFormat="1" ht="15" customHeight="1">
      <c r="A98" s="242" t="s">
        <v>1424</v>
      </c>
      <c r="B98" s="244">
        <v>2.4</v>
      </c>
      <c r="C98" s="244">
        <v>0.8</v>
      </c>
    </row>
    <row r="99" spans="1:3" s="242" customFormat="1" ht="15" customHeight="1">
      <c r="A99" s="242" t="s">
        <v>1425</v>
      </c>
      <c r="B99" s="244">
        <v>2.9</v>
      </c>
      <c r="C99" s="244">
        <v>0.7</v>
      </c>
    </row>
    <row r="100" spans="1:3" s="242" customFormat="1" ht="15" customHeight="1">
      <c r="A100" s="242" t="s">
        <v>1426</v>
      </c>
      <c r="B100" s="244">
        <v>1.7</v>
      </c>
      <c r="C100" s="244">
        <v>0.5</v>
      </c>
    </row>
    <row r="101" spans="1:3" s="242" customFormat="1" ht="15" customHeight="1">
      <c r="A101" s="242" t="s">
        <v>1427</v>
      </c>
      <c r="B101" s="244">
        <v>6.4</v>
      </c>
      <c r="C101" s="244">
        <v>1.8</v>
      </c>
    </row>
    <row r="102" spans="1:3" s="242" customFormat="1" ht="15" customHeight="1">
      <c r="A102" s="242" t="s">
        <v>1428</v>
      </c>
      <c r="B102" s="244">
        <v>0.3</v>
      </c>
      <c r="C102" s="244">
        <v>0.2</v>
      </c>
    </row>
    <row r="103" spans="1:3" s="242" customFormat="1" ht="15" customHeight="1">
      <c r="A103" s="242" t="s">
        <v>1429</v>
      </c>
      <c r="B103" s="244">
        <v>1.2</v>
      </c>
      <c r="C103" s="244">
        <v>0.1</v>
      </c>
    </row>
    <row r="104" spans="1:3" s="242" customFormat="1" ht="15" customHeight="1">
      <c r="A104" s="242" t="s">
        <v>1430</v>
      </c>
      <c r="B104" s="244">
        <v>22.2</v>
      </c>
      <c r="C104" s="244">
        <v>10.5</v>
      </c>
    </row>
    <row r="105" spans="1:3" s="242" customFormat="1" ht="15" customHeight="1">
      <c r="A105" s="242" t="s">
        <v>1431</v>
      </c>
      <c r="B105" s="244">
        <v>36.4</v>
      </c>
      <c r="C105" s="244">
        <v>14.1</v>
      </c>
    </row>
    <row r="106" spans="1:3" s="242" customFormat="1" ht="15" customHeight="1">
      <c r="A106" s="242" t="s">
        <v>1432</v>
      </c>
      <c r="B106" s="244">
        <v>57</v>
      </c>
      <c r="C106" s="244">
        <v>40.9</v>
      </c>
    </row>
    <row r="107" spans="1:3" s="242" customFormat="1" ht="15" customHeight="1">
      <c r="A107" s="242" t="s">
        <v>1433</v>
      </c>
      <c r="B107" s="244">
        <v>12.2</v>
      </c>
      <c r="C107" s="244">
        <v>8.9</v>
      </c>
    </row>
    <row r="108" spans="1:3" s="242" customFormat="1" ht="15" customHeight="1">
      <c r="A108" s="242" t="s">
        <v>1434</v>
      </c>
      <c r="B108" s="244">
        <v>6.1</v>
      </c>
      <c r="C108" s="244">
        <v>4.5</v>
      </c>
    </row>
    <row r="109" spans="1:3" s="242" customFormat="1" ht="15" customHeight="1">
      <c r="A109" s="242" t="s">
        <v>1435</v>
      </c>
      <c r="B109" s="244">
        <v>8.8000000000000007</v>
      </c>
      <c r="C109" s="244">
        <v>0.9</v>
      </c>
    </row>
    <row r="110" spans="1:3" s="242" customFormat="1" ht="15" customHeight="1">
      <c r="A110" s="242" t="s">
        <v>1436</v>
      </c>
      <c r="B110" s="244">
        <v>31.3</v>
      </c>
      <c r="C110" s="244">
        <v>29.8</v>
      </c>
    </row>
    <row r="111" spans="1:3" s="242" customFormat="1" ht="15" customHeight="1">
      <c r="A111" s="242" t="s">
        <v>1437</v>
      </c>
      <c r="B111" s="244">
        <v>8.6</v>
      </c>
      <c r="C111" s="244">
        <v>11.8</v>
      </c>
    </row>
    <row r="112" spans="1:3" s="242" customFormat="1" ht="15" customHeight="1">
      <c r="A112" s="242" t="s">
        <v>1438</v>
      </c>
      <c r="B112" s="244">
        <v>24</v>
      </c>
      <c r="C112" s="244">
        <v>6.6</v>
      </c>
    </row>
    <row r="113" spans="1:3" s="242" customFormat="1" ht="15" customHeight="1">
      <c r="A113" s="242" t="s">
        <v>1439</v>
      </c>
      <c r="B113" s="244">
        <v>31.6</v>
      </c>
      <c r="C113" s="244">
        <v>108.2</v>
      </c>
    </row>
    <row r="114" spans="1:3" s="242" customFormat="1" ht="15" customHeight="1">
      <c r="A114" s="242" t="s">
        <v>1440</v>
      </c>
      <c r="B114" s="244">
        <v>1.3</v>
      </c>
      <c r="C114" s="244">
        <v>3.5</v>
      </c>
    </row>
    <row r="115" spans="1:3" s="242" customFormat="1" ht="15" customHeight="1">
      <c r="A115" s="242" t="s">
        <v>1441</v>
      </c>
      <c r="B115" s="244">
        <v>54.2</v>
      </c>
      <c r="C115" s="244">
        <v>75.099999999999994</v>
      </c>
    </row>
    <row r="116" spans="1:3" s="242" customFormat="1" ht="15" customHeight="1">
      <c r="A116" s="242" t="s">
        <v>1442</v>
      </c>
      <c r="B116" s="244">
        <v>192.9</v>
      </c>
      <c r="C116" s="244">
        <v>179.8</v>
      </c>
    </row>
    <row r="117" spans="1:3" s="242" customFormat="1" ht="15" customHeight="1">
      <c r="A117" s="242" t="s">
        <v>1443</v>
      </c>
      <c r="B117" s="244">
        <v>0</v>
      </c>
      <c r="C117" s="244" t="s">
        <v>1238</v>
      </c>
    </row>
    <row r="118" spans="1:3" s="242" customFormat="1" ht="15" customHeight="1">
      <c r="A118" s="242" t="s">
        <v>1444</v>
      </c>
      <c r="B118" s="244">
        <v>9.5</v>
      </c>
      <c r="C118" s="244">
        <v>0.1</v>
      </c>
    </row>
    <row r="119" spans="1:3" s="242" customFormat="1" ht="15" customHeight="1">
      <c r="A119" s="242" t="s">
        <v>1445</v>
      </c>
      <c r="B119" s="244">
        <v>40</v>
      </c>
      <c r="C119" s="244">
        <v>18.600000000000001</v>
      </c>
    </row>
    <row r="120" spans="1:3" s="242" customFormat="1" ht="15" customHeight="1">
      <c r="A120" s="242" t="s">
        <v>1446</v>
      </c>
      <c r="B120" s="244">
        <v>5.8</v>
      </c>
      <c r="C120" s="244">
        <v>4.4000000000000004</v>
      </c>
    </row>
    <row r="121" spans="1:3" s="242" customFormat="1" ht="15" customHeight="1">
      <c r="A121" s="242" t="s">
        <v>1447</v>
      </c>
      <c r="B121" s="244">
        <v>2</v>
      </c>
      <c r="C121" s="244">
        <v>4.0999999999999996</v>
      </c>
    </row>
    <row r="122" spans="1:3" s="242" customFormat="1" ht="15" customHeight="1">
      <c r="A122" s="242" t="s">
        <v>1448</v>
      </c>
      <c r="B122" s="244">
        <v>2.7</v>
      </c>
      <c r="C122" s="244" t="s">
        <v>1238</v>
      </c>
    </row>
    <row r="123" spans="1:3" s="242" customFormat="1" ht="15" customHeight="1">
      <c r="A123" s="242" t="s">
        <v>1449</v>
      </c>
      <c r="B123" s="244">
        <v>0.4</v>
      </c>
      <c r="C123" s="244">
        <v>0</v>
      </c>
    </row>
    <row r="124" spans="1:3" s="242" customFormat="1" ht="15" customHeight="1">
      <c r="A124" s="242" t="s">
        <v>1450</v>
      </c>
      <c r="B124" s="244">
        <v>0.5</v>
      </c>
      <c r="C124" s="244" t="s">
        <v>1238</v>
      </c>
    </row>
    <row r="125" spans="1:3" s="242" customFormat="1" ht="15" customHeight="1">
      <c r="A125" s="242" t="s">
        <v>1451</v>
      </c>
      <c r="B125" s="244">
        <v>2.5</v>
      </c>
      <c r="C125" s="244">
        <v>2.1</v>
      </c>
    </row>
    <row r="126" spans="1:3" s="242" customFormat="1" ht="15" customHeight="1">
      <c r="A126" s="242" t="s">
        <v>1452</v>
      </c>
      <c r="B126" s="244">
        <v>3.7</v>
      </c>
      <c r="C126" s="244">
        <v>1.5</v>
      </c>
    </row>
    <row r="127" spans="1:3" s="242" customFormat="1" ht="15" customHeight="1">
      <c r="A127" s="242" t="s">
        <v>1453</v>
      </c>
      <c r="B127" s="244">
        <v>1.8</v>
      </c>
      <c r="C127" s="244">
        <v>1.6</v>
      </c>
    </row>
    <row r="128" spans="1:3" s="242" customFormat="1" ht="15" customHeight="1">
      <c r="A128" s="242" t="s">
        <v>1454</v>
      </c>
      <c r="B128" s="244">
        <v>0</v>
      </c>
      <c r="C128" s="244">
        <v>0</v>
      </c>
    </row>
    <row r="129" spans="1:3" s="242" customFormat="1" ht="15" customHeight="1">
      <c r="A129" s="242" t="s">
        <v>1455</v>
      </c>
      <c r="B129" s="244">
        <v>0.3</v>
      </c>
      <c r="C129" s="244" t="s">
        <v>1238</v>
      </c>
    </row>
    <row r="130" spans="1:3" s="242" customFormat="1" ht="15" customHeight="1">
      <c r="A130" s="242" t="s">
        <v>1456</v>
      </c>
      <c r="B130" s="244">
        <v>4.3</v>
      </c>
      <c r="C130" s="244">
        <v>0.2</v>
      </c>
    </row>
    <row r="131" spans="1:3" s="242" customFormat="1" ht="15" customHeight="1">
      <c r="A131" s="242" t="s">
        <v>1457</v>
      </c>
      <c r="B131" s="244">
        <v>0.4</v>
      </c>
      <c r="C131" s="244">
        <v>0.2</v>
      </c>
    </row>
    <row r="132" spans="1:3" s="242" customFormat="1" ht="15" customHeight="1">
      <c r="A132" s="242" t="s">
        <v>1458</v>
      </c>
      <c r="B132" s="244">
        <v>3.3</v>
      </c>
      <c r="C132" s="244">
        <v>0.4</v>
      </c>
    </row>
    <row r="133" spans="1:3" s="242" customFormat="1" ht="15" customHeight="1">
      <c r="A133" s="242" t="s">
        <v>1459</v>
      </c>
      <c r="B133" s="244">
        <v>1</v>
      </c>
      <c r="C133" s="244">
        <v>0.2</v>
      </c>
    </row>
    <row r="134" spans="1:3" s="242" customFormat="1" ht="15" customHeight="1">
      <c r="A134" s="242" t="s">
        <v>1460</v>
      </c>
      <c r="B134" s="244">
        <v>0.8</v>
      </c>
      <c r="C134" s="244">
        <v>0.3</v>
      </c>
    </row>
    <row r="135" spans="1:3" s="242" customFormat="1" ht="15" customHeight="1">
      <c r="A135" s="242" t="s">
        <v>1461</v>
      </c>
      <c r="B135" s="244">
        <v>0</v>
      </c>
      <c r="C135" s="244">
        <v>0</v>
      </c>
    </row>
    <row r="136" spans="1:3" s="242" customFormat="1" ht="15" customHeight="1">
      <c r="A136" s="242" t="s">
        <v>1462</v>
      </c>
      <c r="B136" s="244">
        <v>2.2999999999999998</v>
      </c>
      <c r="C136" s="244">
        <v>1.3</v>
      </c>
    </row>
    <row r="137" spans="1:3" s="242" customFormat="1" ht="15" customHeight="1">
      <c r="A137" s="242" t="s">
        <v>1463</v>
      </c>
      <c r="B137" s="244">
        <v>2</v>
      </c>
      <c r="C137" s="244">
        <v>1.2</v>
      </c>
    </row>
    <row r="138" spans="1:3" s="242" customFormat="1" ht="15" customHeight="1">
      <c r="A138" s="242" t="s">
        <v>1464</v>
      </c>
      <c r="B138" s="244">
        <v>0.6</v>
      </c>
      <c r="C138" s="244">
        <v>0.2</v>
      </c>
    </row>
    <row r="139" spans="1:3" s="242" customFormat="1" ht="15" customHeight="1">
      <c r="A139" s="242" t="s">
        <v>1465</v>
      </c>
      <c r="B139" s="244">
        <v>3.6</v>
      </c>
      <c r="C139" s="244">
        <v>0.1</v>
      </c>
    </row>
    <row r="140" spans="1:3" s="242" customFormat="1" ht="15" customHeight="1">
      <c r="A140" s="242" t="s">
        <v>1466</v>
      </c>
      <c r="B140" s="244">
        <v>1.8</v>
      </c>
      <c r="C140" s="244">
        <v>0.8</v>
      </c>
    </row>
    <row r="141" spans="1:3" s="242" customFormat="1" ht="15" customHeight="1">
      <c r="A141" s="242" t="s">
        <v>1467</v>
      </c>
      <c r="B141" s="244">
        <v>1.1000000000000001</v>
      </c>
      <c r="C141" s="244">
        <v>0.1</v>
      </c>
    </row>
    <row r="142" spans="1:3" s="242" customFormat="1" ht="15" customHeight="1">
      <c r="A142" s="242" t="s">
        <v>1468</v>
      </c>
      <c r="B142" s="244">
        <v>2.5</v>
      </c>
      <c r="C142" s="244">
        <v>1.7</v>
      </c>
    </row>
    <row r="143" spans="1:3" s="242" customFormat="1" ht="15" customHeight="1">
      <c r="A143" s="242" t="s">
        <v>1469</v>
      </c>
      <c r="B143" s="244">
        <v>5.4</v>
      </c>
      <c r="C143" s="244">
        <v>1.4</v>
      </c>
    </row>
    <row r="144" spans="1:3" s="242" customFormat="1" ht="15" customHeight="1">
      <c r="A144" s="242" t="s">
        <v>1470</v>
      </c>
      <c r="B144" s="244">
        <v>51.2</v>
      </c>
      <c r="C144" s="244">
        <v>49</v>
      </c>
    </row>
    <row r="145" spans="1:3" s="242" customFormat="1" ht="15" customHeight="1">
      <c r="A145" s="242" t="s">
        <v>1471</v>
      </c>
      <c r="B145" s="244">
        <v>1.2</v>
      </c>
      <c r="C145" s="244">
        <v>1.5</v>
      </c>
    </row>
    <row r="146" spans="1:3" s="242" customFormat="1" ht="15" customHeight="1">
      <c r="A146" s="242" t="s">
        <v>1472</v>
      </c>
      <c r="B146" s="244">
        <v>9.8000000000000007</v>
      </c>
      <c r="C146" s="244">
        <v>7.9</v>
      </c>
    </row>
    <row r="147" spans="1:3" s="242" customFormat="1" ht="15" customHeight="1">
      <c r="A147" s="242" t="s">
        <v>1473</v>
      </c>
      <c r="B147" s="244">
        <v>10.199999999999999</v>
      </c>
      <c r="C147" s="244">
        <v>8</v>
      </c>
    </row>
    <row r="148" spans="1:3" s="242" customFormat="1" ht="15" customHeight="1">
      <c r="A148" s="242" t="s">
        <v>1474</v>
      </c>
      <c r="B148" s="244">
        <v>15.8</v>
      </c>
      <c r="C148" s="244">
        <v>29.1</v>
      </c>
    </row>
    <row r="149" spans="1:3" s="242" customFormat="1" ht="15" customHeight="1">
      <c r="A149" s="242" t="s">
        <v>1475</v>
      </c>
      <c r="B149" s="244">
        <v>15.7</v>
      </c>
      <c r="C149" s="244">
        <v>7.7</v>
      </c>
    </row>
    <row r="150" spans="1:3" s="242" customFormat="1" ht="15" customHeight="1">
      <c r="A150" s="242" t="s">
        <v>1476</v>
      </c>
      <c r="B150" s="244">
        <v>3</v>
      </c>
      <c r="C150" s="244">
        <v>4.2</v>
      </c>
    </row>
    <row r="151" spans="1:3" s="242" customFormat="1" ht="15" customHeight="1">
      <c r="A151" s="242" t="s">
        <v>1477</v>
      </c>
      <c r="B151" s="244">
        <v>14.3</v>
      </c>
      <c r="C151" s="244">
        <v>36.5</v>
      </c>
    </row>
    <row r="152" spans="1:3" s="242" customFormat="1" ht="15" customHeight="1">
      <c r="A152" s="242" t="s">
        <v>1478</v>
      </c>
      <c r="B152" s="244">
        <v>0.6</v>
      </c>
      <c r="C152" s="244">
        <v>0.2</v>
      </c>
    </row>
    <row r="153" spans="1:3" s="242" customFormat="1" ht="15" customHeight="1">
      <c r="A153" s="242" t="s">
        <v>1479</v>
      </c>
      <c r="B153" s="244">
        <v>12.6</v>
      </c>
      <c r="C153" s="244">
        <v>13.9</v>
      </c>
    </row>
    <row r="154" spans="1:3" s="242" customFormat="1" ht="15" customHeight="1">
      <c r="A154" s="242" t="s">
        <v>1242</v>
      </c>
      <c r="B154" s="244">
        <v>2130.6999999999998</v>
      </c>
      <c r="C154" s="244">
        <v>3084.1</v>
      </c>
    </row>
    <row r="155" spans="1:3" s="242" customFormat="1" ht="15" customHeight="1">
      <c r="A155" s="242" t="s">
        <v>1318</v>
      </c>
      <c r="B155" s="244">
        <v>0.3</v>
      </c>
      <c r="C155" s="244">
        <v>0</v>
      </c>
    </row>
    <row r="156" spans="1:3" s="242" customFormat="1" ht="15" customHeight="1">
      <c r="A156" s="242" t="s">
        <v>1319</v>
      </c>
      <c r="B156" s="244">
        <v>56</v>
      </c>
      <c r="C156" s="244">
        <v>11.2</v>
      </c>
    </row>
    <row r="157" spans="1:3" s="242" customFormat="1" ht="15" customHeight="1">
      <c r="A157" s="242" t="s">
        <v>1320</v>
      </c>
      <c r="B157" s="244">
        <v>158</v>
      </c>
      <c r="C157" s="244">
        <v>184.5</v>
      </c>
    </row>
    <row r="158" spans="1:3" s="242" customFormat="1" ht="15" customHeight="1">
      <c r="A158" s="242" t="s">
        <v>1321</v>
      </c>
      <c r="B158" s="244">
        <v>44.5</v>
      </c>
      <c r="C158" s="244">
        <v>100.1</v>
      </c>
    </row>
    <row r="159" spans="1:3" s="242" customFormat="1" ht="15" customHeight="1">
      <c r="A159" s="242" t="s">
        <v>1322</v>
      </c>
      <c r="B159" s="244">
        <v>2.2000000000000002</v>
      </c>
      <c r="C159" s="244">
        <v>15.3</v>
      </c>
    </row>
    <row r="160" spans="1:3" s="242" customFormat="1" ht="15" customHeight="1">
      <c r="A160" s="242" t="s">
        <v>1323</v>
      </c>
      <c r="B160" s="244">
        <v>1.2</v>
      </c>
      <c r="C160" s="244" t="s">
        <v>1238</v>
      </c>
    </row>
    <row r="161" spans="1:3" s="242" customFormat="1" ht="15" customHeight="1">
      <c r="A161" s="242" t="s">
        <v>1324</v>
      </c>
      <c r="B161" s="244">
        <v>2.9</v>
      </c>
      <c r="C161" s="244">
        <v>0.6</v>
      </c>
    </row>
    <row r="162" spans="1:3" s="242" customFormat="1" ht="15" customHeight="1">
      <c r="A162" s="242" t="s">
        <v>1325</v>
      </c>
      <c r="B162" s="244">
        <v>2.2000000000000002</v>
      </c>
      <c r="C162" s="244">
        <v>2.6</v>
      </c>
    </row>
    <row r="163" spans="1:3" s="242" customFormat="1" ht="15" customHeight="1">
      <c r="A163" s="242" t="s">
        <v>1326</v>
      </c>
      <c r="B163" s="244">
        <v>7</v>
      </c>
      <c r="C163" s="244">
        <v>3.4</v>
      </c>
    </row>
    <row r="164" spans="1:3" s="242" customFormat="1" ht="15" customHeight="1">
      <c r="A164" s="242" t="s">
        <v>1327</v>
      </c>
      <c r="B164" s="244">
        <v>3.6</v>
      </c>
      <c r="C164" s="244">
        <v>2.5</v>
      </c>
    </row>
    <row r="165" spans="1:3" s="242" customFormat="1" ht="15" customHeight="1">
      <c r="A165" s="242" t="s">
        <v>1328</v>
      </c>
      <c r="B165" s="244">
        <v>3.7</v>
      </c>
      <c r="C165" s="244">
        <v>9.4</v>
      </c>
    </row>
    <row r="166" spans="1:3" s="242" customFormat="1" ht="15" customHeight="1">
      <c r="A166" s="242" t="s">
        <v>1329</v>
      </c>
      <c r="B166" s="244">
        <v>1.5</v>
      </c>
      <c r="C166" s="244">
        <v>2.4</v>
      </c>
    </row>
    <row r="167" spans="1:3" s="242" customFormat="1" ht="15" customHeight="1">
      <c r="A167" s="242" t="s">
        <v>1330</v>
      </c>
      <c r="B167" s="244">
        <v>1.8</v>
      </c>
      <c r="C167" s="244">
        <v>0.7</v>
      </c>
    </row>
    <row r="168" spans="1:3" s="242" customFormat="1" ht="15" customHeight="1">
      <c r="A168" s="242" t="s">
        <v>1331</v>
      </c>
      <c r="B168" s="244">
        <v>2.1</v>
      </c>
      <c r="C168" s="244">
        <v>0.2</v>
      </c>
    </row>
    <row r="169" spans="1:3" s="242" customFormat="1" ht="15" customHeight="1">
      <c r="A169" s="242" t="s">
        <v>1332</v>
      </c>
      <c r="B169" s="244">
        <v>1.8</v>
      </c>
      <c r="C169" s="244">
        <v>1.6</v>
      </c>
    </row>
    <row r="170" spans="1:3" s="242" customFormat="1" ht="15" customHeight="1">
      <c r="A170" s="242" t="s">
        <v>1333</v>
      </c>
      <c r="B170" s="244">
        <v>10.8</v>
      </c>
      <c r="C170" s="244">
        <v>10.7</v>
      </c>
    </row>
    <row r="171" spans="1:3" s="242" customFormat="1" ht="15" customHeight="1">
      <c r="A171" s="242" t="s">
        <v>1334</v>
      </c>
      <c r="B171" s="244">
        <v>4.8</v>
      </c>
      <c r="C171" s="244">
        <v>0.6</v>
      </c>
    </row>
    <row r="172" spans="1:3" s="242" customFormat="1" ht="15" customHeight="1">
      <c r="A172" s="242" t="s">
        <v>1335</v>
      </c>
      <c r="B172" s="244">
        <v>9.9</v>
      </c>
      <c r="C172" s="244">
        <v>2.8</v>
      </c>
    </row>
    <row r="173" spans="1:3" s="242" customFormat="1" ht="15" customHeight="1">
      <c r="A173" s="242" t="s">
        <v>1336</v>
      </c>
      <c r="B173" s="244">
        <v>2.4</v>
      </c>
      <c r="C173" s="244">
        <v>2.6</v>
      </c>
    </row>
    <row r="174" spans="1:3" s="242" customFormat="1" ht="15" customHeight="1">
      <c r="A174" s="242" t="s">
        <v>1337</v>
      </c>
      <c r="B174" s="244">
        <v>7</v>
      </c>
      <c r="C174" s="244">
        <v>4.8</v>
      </c>
    </row>
    <row r="175" spans="1:3" s="242" customFormat="1" ht="15" customHeight="1">
      <c r="A175" s="242" t="s">
        <v>1338</v>
      </c>
      <c r="B175" s="244">
        <v>9.1</v>
      </c>
      <c r="C175" s="244">
        <v>7.7</v>
      </c>
    </row>
    <row r="176" spans="1:3" s="242" customFormat="1" ht="15" customHeight="1">
      <c r="A176" s="242" t="s">
        <v>1339</v>
      </c>
      <c r="B176" s="244">
        <v>2.8</v>
      </c>
      <c r="C176" s="244">
        <v>2</v>
      </c>
    </row>
    <row r="177" spans="1:3" s="242" customFormat="1" ht="15" customHeight="1">
      <c r="A177" s="242" t="s">
        <v>1340</v>
      </c>
      <c r="B177" s="244">
        <v>32.299999999999997</v>
      </c>
      <c r="C177" s="244">
        <v>6.9</v>
      </c>
    </row>
    <row r="178" spans="1:3" s="242" customFormat="1" ht="15" customHeight="1">
      <c r="A178" s="242" t="s">
        <v>1341</v>
      </c>
      <c r="B178" s="244">
        <v>4.2</v>
      </c>
      <c r="C178" s="244">
        <v>7.3</v>
      </c>
    </row>
    <row r="179" spans="1:3" s="242" customFormat="1" ht="15" customHeight="1">
      <c r="A179" s="242" t="s">
        <v>1342</v>
      </c>
      <c r="B179" s="244">
        <v>5.3</v>
      </c>
      <c r="C179" s="244">
        <v>2.4</v>
      </c>
    </row>
    <row r="180" spans="1:3" s="242" customFormat="1" ht="15" customHeight="1">
      <c r="A180" s="242" t="s">
        <v>1343</v>
      </c>
      <c r="B180" s="244">
        <v>30.4</v>
      </c>
      <c r="C180" s="244">
        <v>19.100000000000001</v>
      </c>
    </row>
    <row r="181" spans="1:3" s="242" customFormat="1" ht="15" customHeight="1">
      <c r="A181" s="242" t="s">
        <v>1344</v>
      </c>
      <c r="B181" s="244">
        <v>72.7</v>
      </c>
      <c r="C181" s="244">
        <v>49</v>
      </c>
    </row>
    <row r="182" spans="1:3" s="242" customFormat="1" ht="15" customHeight="1">
      <c r="A182" s="242" t="s">
        <v>1345</v>
      </c>
      <c r="B182" s="244">
        <v>393.7</v>
      </c>
      <c r="C182" s="244">
        <v>532.79999999999995</v>
      </c>
    </row>
    <row r="183" spans="1:3" s="242" customFormat="1" ht="15" customHeight="1">
      <c r="A183" s="242" t="s">
        <v>1346</v>
      </c>
      <c r="B183" s="244">
        <v>16.399999999999999</v>
      </c>
      <c r="C183" s="244">
        <v>13.3</v>
      </c>
    </row>
    <row r="184" spans="1:3" s="242" customFormat="1" ht="15" customHeight="1">
      <c r="A184" s="242" t="s">
        <v>1347</v>
      </c>
      <c r="B184" s="244">
        <v>28.6</v>
      </c>
      <c r="C184" s="244">
        <v>40.200000000000003</v>
      </c>
    </row>
    <row r="185" spans="1:3" s="242" customFormat="1" ht="15" customHeight="1">
      <c r="A185" s="242" t="s">
        <v>1348</v>
      </c>
      <c r="B185" s="244">
        <v>34.700000000000003</v>
      </c>
      <c r="C185" s="244">
        <v>30</v>
      </c>
    </row>
    <row r="186" spans="1:3" s="242" customFormat="1" ht="15" customHeight="1">
      <c r="A186" s="242" t="s">
        <v>1349</v>
      </c>
      <c r="B186" s="244">
        <v>521.6</v>
      </c>
      <c r="C186" s="244">
        <v>896.6</v>
      </c>
    </row>
    <row r="187" spans="1:3" s="242" customFormat="1" ht="15" customHeight="1">
      <c r="A187" s="242" t="s">
        <v>1350</v>
      </c>
      <c r="B187" s="244">
        <v>193.8</v>
      </c>
      <c r="C187" s="244">
        <v>225.4</v>
      </c>
    </row>
    <row r="188" spans="1:3" s="242" customFormat="1" ht="15" customHeight="1">
      <c r="A188" s="242" t="s">
        <v>1351</v>
      </c>
      <c r="B188" s="244">
        <v>177.4</v>
      </c>
      <c r="C188" s="244">
        <v>240.3</v>
      </c>
    </row>
    <row r="189" spans="1:3" s="242" customFormat="1" ht="15" customHeight="1">
      <c r="A189" s="242" t="s">
        <v>1352</v>
      </c>
      <c r="B189" s="244">
        <v>178.9</v>
      </c>
      <c r="C189" s="244">
        <v>472.5</v>
      </c>
    </row>
    <row r="190" spans="1:3" s="242" customFormat="1" ht="15" customHeight="1">
      <c r="A190" s="242" t="s">
        <v>1353</v>
      </c>
      <c r="B190" s="244">
        <v>7.4</v>
      </c>
      <c r="C190" s="244">
        <v>5.9</v>
      </c>
    </row>
    <row r="191" spans="1:3" s="242" customFormat="1" ht="15" customHeight="1">
      <c r="A191" s="242" t="s">
        <v>1354</v>
      </c>
      <c r="B191" s="244">
        <v>255.6</v>
      </c>
      <c r="C191" s="244">
        <v>361</v>
      </c>
    </row>
    <row r="192" spans="1:3" s="242" customFormat="1" ht="15" customHeight="1">
      <c r="A192" s="242" t="s">
        <v>1243</v>
      </c>
      <c r="B192" s="244">
        <v>657.8</v>
      </c>
      <c r="C192" s="244">
        <v>913</v>
      </c>
    </row>
    <row r="193" spans="1:3" s="242" customFormat="1" ht="15" customHeight="1">
      <c r="A193" s="242" t="s">
        <v>1355</v>
      </c>
      <c r="B193" s="244">
        <v>0.1</v>
      </c>
      <c r="C193" s="244">
        <v>0</v>
      </c>
    </row>
    <row r="194" spans="1:3" s="242" customFormat="1" ht="15" customHeight="1">
      <c r="A194" s="242" t="s">
        <v>1356</v>
      </c>
      <c r="B194" s="244">
        <v>3.1</v>
      </c>
      <c r="C194" s="244">
        <v>2.2999999999999998</v>
      </c>
    </row>
    <row r="195" spans="1:3" s="242" customFormat="1" ht="15" customHeight="1">
      <c r="A195" s="242" t="s">
        <v>1357</v>
      </c>
      <c r="B195" s="244">
        <v>51.2</v>
      </c>
      <c r="C195" s="244">
        <v>36.799999999999997</v>
      </c>
    </row>
    <row r="196" spans="1:3" s="242" customFormat="1" ht="15" customHeight="1">
      <c r="A196" s="242" t="s">
        <v>1358</v>
      </c>
      <c r="B196" s="244">
        <v>12.7</v>
      </c>
      <c r="C196" s="244">
        <v>28.1</v>
      </c>
    </row>
    <row r="197" spans="1:3" s="242" customFormat="1" ht="15" customHeight="1">
      <c r="A197" s="242" t="s">
        <v>1359</v>
      </c>
      <c r="B197" s="244">
        <v>0</v>
      </c>
      <c r="C197" s="244">
        <v>0.5</v>
      </c>
    </row>
    <row r="198" spans="1:3" s="242" customFormat="1" ht="15" customHeight="1">
      <c r="A198" s="242" t="s">
        <v>1360</v>
      </c>
      <c r="B198" s="244">
        <v>0.7</v>
      </c>
      <c r="C198" s="244" t="s">
        <v>1238</v>
      </c>
    </row>
    <row r="199" spans="1:3" s="242" customFormat="1" ht="15" customHeight="1">
      <c r="A199" s="242" t="s">
        <v>1361</v>
      </c>
      <c r="B199" s="244">
        <v>0.2</v>
      </c>
      <c r="C199" s="244" t="s">
        <v>1238</v>
      </c>
    </row>
    <row r="200" spans="1:3" s="242" customFormat="1" ht="15" customHeight="1">
      <c r="A200" s="242" t="s">
        <v>1362</v>
      </c>
      <c r="B200" s="244">
        <v>0</v>
      </c>
      <c r="C200" s="244" t="s">
        <v>1238</v>
      </c>
    </row>
    <row r="201" spans="1:3" s="242" customFormat="1" ht="15" customHeight="1">
      <c r="A201" s="242" t="s">
        <v>1363</v>
      </c>
      <c r="B201" s="244">
        <v>0.3</v>
      </c>
      <c r="C201" s="244">
        <v>0.3</v>
      </c>
    </row>
    <row r="202" spans="1:3" s="242" customFormat="1" ht="15" customHeight="1">
      <c r="A202" s="242" t="s">
        <v>1364</v>
      </c>
      <c r="B202" s="244">
        <v>1.5</v>
      </c>
      <c r="C202" s="244">
        <v>0.3</v>
      </c>
    </row>
    <row r="203" spans="1:3" s="242" customFormat="1" ht="15" customHeight="1">
      <c r="A203" s="242" t="s">
        <v>1365</v>
      </c>
      <c r="B203" s="244">
        <v>0.1</v>
      </c>
      <c r="C203" s="244">
        <v>0.1</v>
      </c>
    </row>
    <row r="204" spans="1:3" s="242" customFormat="1" ht="15" customHeight="1">
      <c r="A204" s="242" t="s">
        <v>1366</v>
      </c>
      <c r="B204" s="244">
        <v>0.9</v>
      </c>
      <c r="C204" s="244">
        <v>0.1</v>
      </c>
    </row>
    <row r="205" spans="1:3" s="242" customFormat="1" ht="15" customHeight="1">
      <c r="A205" s="242" t="s">
        <v>1367</v>
      </c>
      <c r="B205" s="244">
        <v>0.2</v>
      </c>
      <c r="C205" s="244">
        <v>0</v>
      </c>
    </row>
    <row r="206" spans="1:3" s="242" customFormat="1" ht="15" customHeight="1">
      <c r="A206" s="242" t="s">
        <v>1368</v>
      </c>
      <c r="B206" s="244">
        <v>0.4</v>
      </c>
      <c r="C206" s="244">
        <v>0.1</v>
      </c>
    </row>
    <row r="207" spans="1:3" s="242" customFormat="1" ht="15" customHeight="1">
      <c r="A207" s="242" t="s">
        <v>1369</v>
      </c>
      <c r="B207" s="244">
        <v>0.5</v>
      </c>
      <c r="C207" s="244">
        <v>0.2</v>
      </c>
    </row>
    <row r="208" spans="1:3" s="242" customFormat="1" ht="15" customHeight="1">
      <c r="A208" s="242" t="s">
        <v>1370</v>
      </c>
      <c r="B208" s="244">
        <v>0.5</v>
      </c>
      <c r="C208" s="244">
        <v>0.3</v>
      </c>
    </row>
    <row r="209" spans="1:3" s="242" customFormat="1" ht="15" customHeight="1">
      <c r="A209" s="242" t="s">
        <v>1371</v>
      </c>
      <c r="B209" s="244">
        <v>2.4</v>
      </c>
      <c r="C209" s="244">
        <v>0.3</v>
      </c>
    </row>
    <row r="210" spans="1:3" s="242" customFormat="1" ht="15" customHeight="1">
      <c r="A210" s="242" t="s">
        <v>1372</v>
      </c>
      <c r="B210" s="244">
        <v>2.9</v>
      </c>
      <c r="C210" s="244">
        <v>0.4</v>
      </c>
    </row>
    <row r="211" spans="1:3" s="242" customFormat="1" ht="15" customHeight="1">
      <c r="A211" s="242" t="s">
        <v>1373</v>
      </c>
      <c r="B211" s="244">
        <v>0.8</v>
      </c>
      <c r="C211" s="244">
        <v>0.3</v>
      </c>
    </row>
    <row r="212" spans="1:3" s="242" customFormat="1" ht="15" customHeight="1">
      <c r="A212" s="242" t="s">
        <v>1374</v>
      </c>
      <c r="B212" s="244">
        <v>4.0999999999999996</v>
      </c>
      <c r="C212" s="244">
        <v>1.1000000000000001</v>
      </c>
    </row>
    <row r="213" spans="1:3" s="242" customFormat="1" ht="15" customHeight="1">
      <c r="A213" s="242" t="s">
        <v>1375</v>
      </c>
      <c r="B213" s="244">
        <v>3.7</v>
      </c>
      <c r="C213" s="244">
        <v>1.1000000000000001</v>
      </c>
    </row>
    <row r="214" spans="1:3" s="242" customFormat="1" ht="15" customHeight="1">
      <c r="A214" s="242" t="s">
        <v>1376</v>
      </c>
      <c r="B214" s="244">
        <v>1.5</v>
      </c>
      <c r="C214" s="244">
        <v>0.3</v>
      </c>
    </row>
    <row r="215" spans="1:3" s="242" customFormat="1" ht="15" customHeight="1">
      <c r="A215" s="242" t="s">
        <v>1377</v>
      </c>
      <c r="B215" s="244">
        <v>17.100000000000001</v>
      </c>
      <c r="C215" s="244">
        <v>3.1</v>
      </c>
    </row>
    <row r="216" spans="1:3" s="242" customFormat="1" ht="15" customHeight="1">
      <c r="A216" s="242" t="s">
        <v>1378</v>
      </c>
      <c r="B216" s="244">
        <v>0.7</v>
      </c>
      <c r="C216" s="244">
        <v>0.1</v>
      </c>
    </row>
    <row r="217" spans="1:3" s="242" customFormat="1" ht="15" customHeight="1">
      <c r="A217" s="242" t="s">
        <v>1379</v>
      </c>
      <c r="B217" s="244">
        <v>0.8</v>
      </c>
      <c r="C217" s="244">
        <v>0.2</v>
      </c>
    </row>
    <row r="218" spans="1:3" s="242" customFormat="1" ht="15" customHeight="1">
      <c r="A218" s="242" t="s">
        <v>1380</v>
      </c>
      <c r="B218" s="244">
        <v>10.199999999999999</v>
      </c>
      <c r="C218" s="244">
        <v>5.8</v>
      </c>
    </row>
    <row r="219" spans="1:3" s="242" customFormat="1" ht="15" customHeight="1">
      <c r="A219" s="242" t="s">
        <v>1381</v>
      </c>
      <c r="B219" s="244">
        <v>44.6</v>
      </c>
      <c r="C219" s="244">
        <v>35.799999999999997</v>
      </c>
    </row>
    <row r="220" spans="1:3" s="242" customFormat="1" ht="15" customHeight="1">
      <c r="A220" s="242" t="s">
        <v>1382</v>
      </c>
      <c r="B220" s="244">
        <v>198.8</v>
      </c>
      <c r="C220" s="244">
        <v>274.10000000000002</v>
      </c>
    </row>
    <row r="221" spans="1:3" s="242" customFormat="1" ht="15" customHeight="1">
      <c r="A221" s="242" t="s">
        <v>1383</v>
      </c>
      <c r="B221" s="244">
        <v>7.8</v>
      </c>
      <c r="C221" s="244">
        <v>9.4</v>
      </c>
    </row>
    <row r="222" spans="1:3" s="242" customFormat="1" ht="15" customHeight="1">
      <c r="A222" s="242" t="s">
        <v>1384</v>
      </c>
      <c r="B222" s="244">
        <v>3.9</v>
      </c>
      <c r="C222" s="244">
        <v>6.3</v>
      </c>
    </row>
    <row r="223" spans="1:3" s="242" customFormat="1" ht="15" customHeight="1">
      <c r="A223" s="242" t="s">
        <v>1385</v>
      </c>
      <c r="B223" s="244">
        <v>12.1</v>
      </c>
      <c r="C223" s="244">
        <v>9.3000000000000007</v>
      </c>
    </row>
    <row r="224" spans="1:3" s="242" customFormat="1" ht="15" customHeight="1">
      <c r="A224" s="242" t="s">
        <v>1386</v>
      </c>
      <c r="B224" s="244">
        <v>89.7</v>
      </c>
      <c r="C224" s="244">
        <v>218.9</v>
      </c>
    </row>
    <row r="225" spans="1:3" s="242" customFormat="1" ht="15" customHeight="1">
      <c r="A225" s="242" t="s">
        <v>1387</v>
      </c>
      <c r="B225" s="244">
        <v>35.6</v>
      </c>
      <c r="C225" s="244">
        <v>61.4</v>
      </c>
    </row>
    <row r="226" spans="1:3" s="242" customFormat="1" ht="15" customHeight="1">
      <c r="A226" s="242" t="s">
        <v>1388</v>
      </c>
      <c r="B226" s="244">
        <v>48.7</v>
      </c>
      <c r="C226" s="244">
        <v>62</v>
      </c>
    </row>
    <row r="227" spans="1:3" s="242" customFormat="1" ht="15" customHeight="1">
      <c r="A227" s="242" t="s">
        <v>1389</v>
      </c>
      <c r="B227" s="244">
        <v>46.8</v>
      </c>
      <c r="C227" s="244">
        <v>72.7</v>
      </c>
    </row>
    <row r="228" spans="1:3" s="242" customFormat="1" ht="15" customHeight="1">
      <c r="A228" s="242" t="s">
        <v>1390</v>
      </c>
      <c r="B228" s="244">
        <v>5.6</v>
      </c>
      <c r="C228" s="244">
        <v>3.5</v>
      </c>
    </row>
    <row r="229" spans="1:3" s="242" customFormat="1" ht="15" customHeight="1">
      <c r="A229" s="242" t="s">
        <v>1391</v>
      </c>
      <c r="B229" s="244">
        <v>98.7</v>
      </c>
      <c r="C229" s="244">
        <v>114.6</v>
      </c>
    </row>
    <row r="230" spans="1:3" s="242" customFormat="1" ht="15" customHeight="1">
      <c r="A230" s="242" t="s">
        <v>1480</v>
      </c>
      <c r="B230" s="244">
        <v>464.2</v>
      </c>
      <c r="C230" s="244">
        <v>730.7</v>
      </c>
    </row>
    <row r="231" spans="1:3" s="242" customFormat="1" ht="15" customHeight="1">
      <c r="A231" s="242" t="s">
        <v>1481</v>
      </c>
      <c r="B231" s="244" t="s">
        <v>1238</v>
      </c>
      <c r="C231" s="244">
        <v>0</v>
      </c>
    </row>
    <row r="232" spans="1:3" s="242" customFormat="1" ht="15" customHeight="1">
      <c r="A232" s="242" t="s">
        <v>1482</v>
      </c>
      <c r="B232" s="244">
        <v>7.3</v>
      </c>
      <c r="C232" s="244">
        <v>0.5</v>
      </c>
    </row>
    <row r="233" spans="1:3" s="242" customFormat="1" ht="15" customHeight="1">
      <c r="A233" s="242" t="s">
        <v>1483</v>
      </c>
      <c r="B233" s="244">
        <v>36.200000000000003</v>
      </c>
      <c r="C233" s="244">
        <v>39.4</v>
      </c>
    </row>
    <row r="234" spans="1:3" s="242" customFormat="1" ht="15" customHeight="1">
      <c r="A234" s="242" t="s">
        <v>1484</v>
      </c>
      <c r="B234" s="244">
        <v>14.4</v>
      </c>
      <c r="C234" s="244">
        <v>29.2</v>
      </c>
    </row>
    <row r="235" spans="1:3" s="242" customFormat="1" ht="15" customHeight="1">
      <c r="A235" s="242" t="s">
        <v>1485</v>
      </c>
      <c r="B235" s="244">
        <v>0</v>
      </c>
      <c r="C235" s="244">
        <v>1.1000000000000001</v>
      </c>
    </row>
    <row r="236" spans="1:3" s="242" customFormat="1" ht="15" customHeight="1">
      <c r="A236" s="242" t="s">
        <v>1486</v>
      </c>
      <c r="B236" s="244" t="s">
        <v>1238</v>
      </c>
      <c r="C236" s="244" t="s">
        <v>1238</v>
      </c>
    </row>
    <row r="237" spans="1:3" s="242" customFormat="1" ht="15" customHeight="1">
      <c r="A237" s="242" t="s">
        <v>1487</v>
      </c>
      <c r="B237" s="244">
        <v>0.2</v>
      </c>
      <c r="C237" s="244">
        <v>0.1</v>
      </c>
    </row>
    <row r="238" spans="1:3" s="242" customFormat="1" ht="15" customHeight="1">
      <c r="A238" s="242" t="s">
        <v>1488</v>
      </c>
      <c r="B238" s="244">
        <v>0.7</v>
      </c>
      <c r="C238" s="244" t="s">
        <v>1238</v>
      </c>
    </row>
    <row r="239" spans="1:3" s="242" customFormat="1" ht="15" customHeight="1">
      <c r="A239" s="242" t="s">
        <v>1489</v>
      </c>
      <c r="B239" s="244">
        <v>0.1</v>
      </c>
      <c r="C239" s="244">
        <v>0.1</v>
      </c>
    </row>
    <row r="240" spans="1:3" s="242" customFormat="1" ht="15" customHeight="1">
      <c r="A240" s="242" t="s">
        <v>1490</v>
      </c>
      <c r="B240" s="244">
        <v>1.3</v>
      </c>
      <c r="C240" s="244">
        <v>0.7</v>
      </c>
    </row>
    <row r="241" spans="1:3" s="242" customFormat="1" ht="15" customHeight="1">
      <c r="A241" s="242" t="s">
        <v>1491</v>
      </c>
      <c r="B241" s="244">
        <v>1</v>
      </c>
      <c r="C241" s="244">
        <v>0.8</v>
      </c>
    </row>
    <row r="242" spans="1:3" s="242" customFormat="1" ht="15" customHeight="1">
      <c r="A242" s="242" t="s">
        <v>1492</v>
      </c>
      <c r="B242" s="244">
        <v>0.3</v>
      </c>
      <c r="C242" s="244">
        <v>0.7</v>
      </c>
    </row>
    <row r="243" spans="1:3" s="242" customFormat="1" ht="15" customHeight="1">
      <c r="A243" s="242" t="s">
        <v>1493</v>
      </c>
      <c r="B243" s="244">
        <v>0.3</v>
      </c>
      <c r="C243" s="244" t="s">
        <v>1238</v>
      </c>
    </row>
    <row r="244" spans="1:3" s="242" customFormat="1" ht="15" customHeight="1">
      <c r="A244" s="242" t="s">
        <v>1494</v>
      </c>
      <c r="B244" s="244">
        <v>0.2</v>
      </c>
      <c r="C244" s="244" t="s">
        <v>1238</v>
      </c>
    </row>
    <row r="245" spans="1:3" s="242" customFormat="1" ht="15" customHeight="1">
      <c r="A245" s="242" t="s">
        <v>1495</v>
      </c>
      <c r="B245" s="244">
        <v>0.8</v>
      </c>
      <c r="C245" s="244">
        <v>0.1</v>
      </c>
    </row>
    <row r="246" spans="1:3" s="242" customFormat="1" ht="15" customHeight="1">
      <c r="A246" s="242" t="s">
        <v>1496</v>
      </c>
      <c r="B246" s="244">
        <v>0.8</v>
      </c>
      <c r="C246" s="244">
        <v>0.2</v>
      </c>
    </row>
    <row r="247" spans="1:3" s="242" customFormat="1" ht="15" customHeight="1">
      <c r="A247" s="242" t="s">
        <v>1497</v>
      </c>
      <c r="B247" s="244">
        <v>0.1</v>
      </c>
      <c r="C247" s="244">
        <v>0.1</v>
      </c>
    </row>
    <row r="248" spans="1:3" s="242" customFormat="1" ht="15" customHeight="1">
      <c r="A248" s="242" t="s">
        <v>1498</v>
      </c>
      <c r="B248" s="244">
        <v>3.2</v>
      </c>
      <c r="C248" s="244">
        <v>0.9</v>
      </c>
    </row>
    <row r="249" spans="1:3" s="242" customFormat="1" ht="15" customHeight="1">
      <c r="A249" s="242" t="s">
        <v>1499</v>
      </c>
      <c r="B249" s="244">
        <v>1.2</v>
      </c>
      <c r="C249" s="244">
        <v>0.2</v>
      </c>
    </row>
    <row r="250" spans="1:3" s="242" customFormat="1" ht="15" customHeight="1">
      <c r="A250" s="242" t="s">
        <v>1500</v>
      </c>
      <c r="B250" s="244">
        <v>1.5</v>
      </c>
      <c r="C250" s="244">
        <v>1.2</v>
      </c>
    </row>
    <row r="251" spans="1:3" s="242" customFormat="1" ht="15" customHeight="1">
      <c r="A251" s="242" t="s">
        <v>1501</v>
      </c>
      <c r="B251" s="244">
        <v>2</v>
      </c>
      <c r="C251" s="244">
        <v>0.4</v>
      </c>
    </row>
    <row r="252" spans="1:3" s="242" customFormat="1" ht="15" customHeight="1">
      <c r="A252" s="242" t="s">
        <v>1502</v>
      </c>
      <c r="B252" s="244">
        <v>0.3</v>
      </c>
      <c r="C252" s="244">
        <v>0</v>
      </c>
    </row>
    <row r="253" spans="1:3" s="242" customFormat="1" ht="15" customHeight="1">
      <c r="A253" s="242" t="s">
        <v>1503</v>
      </c>
      <c r="B253" s="244">
        <v>6</v>
      </c>
      <c r="C253" s="244">
        <v>1.9</v>
      </c>
    </row>
    <row r="254" spans="1:3" s="242" customFormat="1" ht="15" customHeight="1">
      <c r="A254" s="242" t="s">
        <v>1504</v>
      </c>
      <c r="B254" s="244">
        <v>2</v>
      </c>
      <c r="C254" s="244">
        <v>1.5</v>
      </c>
    </row>
    <row r="255" spans="1:3" s="242" customFormat="1" ht="15" customHeight="1">
      <c r="A255" s="242" t="s">
        <v>1505</v>
      </c>
      <c r="B255" s="244">
        <v>0.3</v>
      </c>
      <c r="C255" s="244" t="s">
        <v>1238</v>
      </c>
    </row>
    <row r="256" spans="1:3" s="242" customFormat="1" ht="15" customHeight="1">
      <c r="A256" s="242" t="s">
        <v>1506</v>
      </c>
      <c r="B256" s="244">
        <v>9.9</v>
      </c>
      <c r="C256" s="244">
        <v>10.3</v>
      </c>
    </row>
    <row r="257" spans="1:3" s="242" customFormat="1" ht="15" customHeight="1">
      <c r="A257" s="242" t="s">
        <v>1507</v>
      </c>
      <c r="B257" s="244">
        <v>9.1999999999999993</v>
      </c>
      <c r="C257" s="244">
        <v>8.4</v>
      </c>
    </row>
    <row r="258" spans="1:3" s="242" customFormat="1" ht="15" customHeight="1">
      <c r="A258" s="242" t="s">
        <v>1508</v>
      </c>
      <c r="B258" s="244">
        <v>65.400000000000006</v>
      </c>
      <c r="C258" s="244">
        <v>65.5</v>
      </c>
    </row>
    <row r="259" spans="1:3" s="242" customFormat="1" ht="15" customHeight="1">
      <c r="A259" s="242" t="s">
        <v>1509</v>
      </c>
      <c r="B259" s="244">
        <v>3.1</v>
      </c>
      <c r="C259" s="244">
        <v>2.2000000000000002</v>
      </c>
    </row>
    <row r="260" spans="1:3" s="242" customFormat="1" ht="15" customHeight="1">
      <c r="A260" s="242" t="s">
        <v>1510</v>
      </c>
      <c r="B260" s="244">
        <v>4.7</v>
      </c>
      <c r="C260" s="244">
        <v>3.3</v>
      </c>
    </row>
    <row r="261" spans="1:3" s="242" customFormat="1" ht="15" customHeight="1">
      <c r="A261" s="242" t="s">
        <v>1511</v>
      </c>
      <c r="B261" s="244">
        <v>1.4</v>
      </c>
      <c r="C261" s="244">
        <v>1.3</v>
      </c>
    </row>
    <row r="262" spans="1:3" s="242" customFormat="1" ht="15" customHeight="1">
      <c r="A262" s="242" t="s">
        <v>1512</v>
      </c>
      <c r="B262" s="244">
        <v>129.5</v>
      </c>
      <c r="C262" s="244">
        <v>220.2</v>
      </c>
    </row>
    <row r="263" spans="1:3" s="242" customFormat="1" ht="15" customHeight="1">
      <c r="A263" s="242" t="s">
        <v>1513</v>
      </c>
      <c r="B263" s="244">
        <v>48.3</v>
      </c>
      <c r="C263" s="244">
        <v>56.1</v>
      </c>
    </row>
    <row r="264" spans="1:3" s="242" customFormat="1" ht="15" customHeight="1">
      <c r="A264" s="242" t="s">
        <v>1514</v>
      </c>
      <c r="B264" s="244">
        <v>29</v>
      </c>
      <c r="C264" s="244">
        <v>46.3</v>
      </c>
    </row>
    <row r="265" spans="1:3" s="242" customFormat="1" ht="15" customHeight="1">
      <c r="A265" s="242" t="s">
        <v>1515</v>
      </c>
      <c r="B265" s="244">
        <v>19.600000000000001</v>
      </c>
      <c r="C265" s="244">
        <v>104.6</v>
      </c>
    </row>
    <row r="266" spans="1:3" s="242" customFormat="1" ht="15" customHeight="1">
      <c r="A266" s="242" t="s">
        <v>1516</v>
      </c>
      <c r="B266" s="244">
        <v>0.8</v>
      </c>
      <c r="C266" s="244">
        <v>1.7</v>
      </c>
    </row>
    <row r="267" spans="1:3" s="242" customFormat="1" ht="15" customHeight="1">
      <c r="A267" s="242" t="s">
        <v>1517</v>
      </c>
      <c r="B267" s="244">
        <v>99.5</v>
      </c>
      <c r="C267" s="244">
        <v>171</v>
      </c>
    </row>
    <row r="268" spans="1:3" s="242" customFormat="1" ht="15" customHeight="1">
      <c r="A268" s="242" t="s">
        <v>1518</v>
      </c>
      <c r="B268" s="244">
        <v>233.9</v>
      </c>
      <c r="C268" s="244">
        <v>317.89999999999998</v>
      </c>
    </row>
    <row r="269" spans="1:3" s="242" customFormat="1" ht="15" customHeight="1">
      <c r="A269" s="242" t="s">
        <v>1519</v>
      </c>
      <c r="B269" s="244">
        <v>0.1</v>
      </c>
      <c r="C269" s="244" t="s">
        <v>1238</v>
      </c>
    </row>
    <row r="270" spans="1:3" s="242" customFormat="1" ht="15" customHeight="1">
      <c r="A270" s="242" t="s">
        <v>1520</v>
      </c>
      <c r="B270" s="244">
        <v>0.7</v>
      </c>
      <c r="C270" s="244">
        <v>2.5</v>
      </c>
    </row>
    <row r="271" spans="1:3" s="242" customFormat="1" ht="15" customHeight="1">
      <c r="A271" s="242" t="s">
        <v>1521</v>
      </c>
      <c r="B271" s="244">
        <v>18.100000000000001</v>
      </c>
      <c r="C271" s="244">
        <v>25.1</v>
      </c>
    </row>
    <row r="272" spans="1:3" s="242" customFormat="1" ht="15" customHeight="1">
      <c r="A272" s="242" t="s">
        <v>1522</v>
      </c>
      <c r="B272" s="244">
        <v>7.1</v>
      </c>
      <c r="C272" s="244">
        <v>11.7</v>
      </c>
    </row>
    <row r="273" spans="1:3" s="242" customFormat="1" ht="15" customHeight="1">
      <c r="A273" s="242" t="s">
        <v>1523</v>
      </c>
      <c r="B273" s="244">
        <v>2.1</v>
      </c>
      <c r="C273" s="244">
        <v>6.3</v>
      </c>
    </row>
    <row r="274" spans="1:3" s="242" customFormat="1" ht="15" customHeight="1">
      <c r="A274" s="242" t="s">
        <v>1524</v>
      </c>
      <c r="B274" s="244" t="s">
        <v>1238</v>
      </c>
      <c r="C274" s="244" t="s">
        <v>1238</v>
      </c>
    </row>
    <row r="275" spans="1:3" s="242" customFormat="1" ht="15" customHeight="1">
      <c r="A275" s="242" t="s">
        <v>1525</v>
      </c>
      <c r="B275" s="244">
        <v>1.4</v>
      </c>
      <c r="C275" s="244">
        <v>0</v>
      </c>
    </row>
    <row r="276" spans="1:3" s="242" customFormat="1" ht="15" customHeight="1">
      <c r="A276" s="242" t="s">
        <v>1526</v>
      </c>
      <c r="B276" s="244">
        <v>0.3</v>
      </c>
      <c r="C276" s="244">
        <v>0.1</v>
      </c>
    </row>
    <row r="277" spans="1:3" s="242" customFormat="1" ht="15" customHeight="1">
      <c r="A277" s="242" t="s">
        <v>1527</v>
      </c>
      <c r="B277" s="244">
        <v>1.8</v>
      </c>
      <c r="C277" s="244">
        <v>1.3</v>
      </c>
    </row>
    <row r="278" spans="1:3" s="242" customFormat="1" ht="15" customHeight="1">
      <c r="A278" s="242" t="s">
        <v>1528</v>
      </c>
      <c r="B278" s="244">
        <v>0.3</v>
      </c>
      <c r="C278" s="244">
        <v>0.1</v>
      </c>
    </row>
    <row r="279" spans="1:3" s="242" customFormat="1" ht="15" customHeight="1">
      <c r="A279" s="242" t="s">
        <v>1529</v>
      </c>
      <c r="B279" s="244">
        <v>0.4</v>
      </c>
      <c r="C279" s="244">
        <v>0.4</v>
      </c>
    </row>
    <row r="280" spans="1:3" s="242" customFormat="1" ht="15" customHeight="1">
      <c r="A280" s="242" t="s">
        <v>1530</v>
      </c>
      <c r="B280" s="244">
        <v>0.1</v>
      </c>
      <c r="C280" s="244">
        <v>1.2</v>
      </c>
    </row>
    <row r="281" spans="1:3" s="242" customFormat="1" ht="15" customHeight="1">
      <c r="A281" s="242" t="s">
        <v>1531</v>
      </c>
      <c r="B281" s="244" t="s">
        <v>1238</v>
      </c>
      <c r="C281" s="244" t="s">
        <v>1238</v>
      </c>
    </row>
    <row r="282" spans="1:3" s="242" customFormat="1" ht="15" customHeight="1">
      <c r="A282" s="242" t="s">
        <v>1532</v>
      </c>
      <c r="B282" s="244">
        <v>0.1</v>
      </c>
      <c r="C282" s="244">
        <v>0</v>
      </c>
    </row>
    <row r="283" spans="1:3" s="242" customFormat="1" ht="15" customHeight="1">
      <c r="A283" s="242" t="s">
        <v>1533</v>
      </c>
      <c r="B283" s="244">
        <v>0.2</v>
      </c>
      <c r="C283" s="244">
        <v>0.4</v>
      </c>
    </row>
    <row r="284" spans="1:3" s="242" customFormat="1" ht="15" customHeight="1">
      <c r="A284" s="242" t="s">
        <v>1534</v>
      </c>
      <c r="B284" s="244">
        <v>0.4</v>
      </c>
      <c r="C284" s="244">
        <v>0.1</v>
      </c>
    </row>
    <row r="285" spans="1:3" s="242" customFormat="1" ht="15" customHeight="1">
      <c r="A285" s="242" t="s">
        <v>1535</v>
      </c>
      <c r="B285" s="244">
        <v>0.8</v>
      </c>
      <c r="C285" s="244">
        <v>0</v>
      </c>
    </row>
    <row r="286" spans="1:3" s="242" customFormat="1" ht="15" customHeight="1">
      <c r="A286" s="242" t="s">
        <v>1536</v>
      </c>
      <c r="B286" s="244">
        <v>0.7</v>
      </c>
      <c r="C286" s="244">
        <v>0.1</v>
      </c>
    </row>
    <row r="287" spans="1:3" s="242" customFormat="1" ht="15" customHeight="1">
      <c r="A287" s="242" t="s">
        <v>1537</v>
      </c>
      <c r="B287" s="244">
        <v>0.1</v>
      </c>
      <c r="C287" s="244">
        <v>0</v>
      </c>
    </row>
    <row r="288" spans="1:3" s="242" customFormat="1" ht="15" customHeight="1">
      <c r="A288" s="242" t="s">
        <v>1538</v>
      </c>
      <c r="B288" s="244">
        <v>0.4</v>
      </c>
      <c r="C288" s="244">
        <v>0.7</v>
      </c>
    </row>
    <row r="289" spans="1:3" s="242" customFormat="1" ht="15" customHeight="1">
      <c r="A289" s="242" t="s">
        <v>1539</v>
      </c>
      <c r="B289" s="244">
        <v>0.7</v>
      </c>
      <c r="C289" s="244">
        <v>1.6</v>
      </c>
    </row>
    <row r="290" spans="1:3" s="242" customFormat="1" ht="15" customHeight="1">
      <c r="A290" s="242" t="s">
        <v>1540</v>
      </c>
      <c r="B290" s="244">
        <v>0.6</v>
      </c>
      <c r="C290" s="244">
        <v>0.1</v>
      </c>
    </row>
    <row r="291" spans="1:3" s="242" customFormat="1" ht="15" customHeight="1">
      <c r="A291" s="242" t="s">
        <v>1541</v>
      </c>
      <c r="B291" s="244">
        <v>0.1</v>
      </c>
      <c r="C291" s="244">
        <v>0.2</v>
      </c>
    </row>
    <row r="292" spans="1:3" s="242" customFormat="1" ht="15" customHeight="1">
      <c r="A292" s="242" t="s">
        <v>1542</v>
      </c>
      <c r="B292" s="244">
        <v>0.4</v>
      </c>
      <c r="C292" s="244">
        <v>0.7</v>
      </c>
    </row>
    <row r="293" spans="1:3" s="242" customFormat="1" ht="15" customHeight="1">
      <c r="A293" s="242" t="s">
        <v>1543</v>
      </c>
      <c r="B293" s="244">
        <v>0.6</v>
      </c>
      <c r="C293" s="244">
        <v>0</v>
      </c>
    </row>
    <row r="294" spans="1:3" s="242" customFormat="1" ht="15" customHeight="1">
      <c r="A294" s="242" t="s">
        <v>1544</v>
      </c>
      <c r="B294" s="244">
        <v>0.8</v>
      </c>
      <c r="C294" s="244">
        <v>0.6</v>
      </c>
    </row>
    <row r="295" spans="1:3" s="242" customFormat="1" ht="15" customHeight="1">
      <c r="A295" s="242" t="s">
        <v>1545</v>
      </c>
      <c r="B295" s="244">
        <v>1.4</v>
      </c>
      <c r="C295" s="244">
        <v>1.4</v>
      </c>
    </row>
    <row r="296" spans="1:3" s="242" customFormat="1" ht="15" customHeight="1">
      <c r="A296" s="242" t="s">
        <v>1546</v>
      </c>
      <c r="B296" s="244">
        <v>26</v>
      </c>
      <c r="C296" s="244">
        <v>52.2</v>
      </c>
    </row>
    <row r="297" spans="1:3" s="242" customFormat="1" ht="15" customHeight="1">
      <c r="A297" s="242" t="s">
        <v>1547</v>
      </c>
      <c r="B297" s="244">
        <v>2.9</v>
      </c>
      <c r="C297" s="244">
        <v>0.2</v>
      </c>
    </row>
    <row r="298" spans="1:3" s="242" customFormat="1" ht="15" customHeight="1">
      <c r="A298" s="242" t="s">
        <v>1548</v>
      </c>
      <c r="B298" s="244">
        <v>8.5</v>
      </c>
      <c r="C298" s="244">
        <v>10.5</v>
      </c>
    </row>
    <row r="299" spans="1:3" s="242" customFormat="1" ht="15" customHeight="1">
      <c r="A299" s="242" t="s">
        <v>1549</v>
      </c>
      <c r="B299" s="244">
        <v>5.3</v>
      </c>
      <c r="C299" s="244">
        <v>2.8</v>
      </c>
    </row>
    <row r="300" spans="1:3" s="242" customFormat="1" ht="15" customHeight="1">
      <c r="A300" s="242" t="s">
        <v>1550</v>
      </c>
      <c r="B300" s="244">
        <v>81.900000000000006</v>
      </c>
      <c r="C300" s="244">
        <v>93.8</v>
      </c>
    </row>
    <row r="301" spans="1:3" s="242" customFormat="1" ht="15" customHeight="1">
      <c r="A301" s="242" t="s">
        <v>1551</v>
      </c>
      <c r="B301" s="244">
        <v>31.8</v>
      </c>
      <c r="C301" s="244">
        <v>32.5</v>
      </c>
    </row>
    <row r="302" spans="1:3" s="242" customFormat="1" ht="15" customHeight="1">
      <c r="A302" s="242" t="s">
        <v>1552</v>
      </c>
      <c r="B302" s="244">
        <v>13.6</v>
      </c>
      <c r="C302" s="244">
        <v>14.7</v>
      </c>
    </row>
    <row r="303" spans="1:3" s="242" customFormat="1" ht="15" customHeight="1">
      <c r="A303" s="242" t="s">
        <v>1553</v>
      </c>
      <c r="B303" s="244">
        <v>16.2</v>
      </c>
      <c r="C303" s="244">
        <v>41.3</v>
      </c>
    </row>
    <row r="304" spans="1:3" s="242" customFormat="1" ht="15" customHeight="1">
      <c r="A304" s="242" t="s">
        <v>1554</v>
      </c>
      <c r="B304" s="244">
        <v>0.5</v>
      </c>
      <c r="C304" s="244">
        <v>0.4</v>
      </c>
    </row>
    <row r="305" spans="1:3" s="242" customFormat="1" ht="15" customHeight="1">
      <c r="A305" s="242" t="s">
        <v>1555</v>
      </c>
      <c r="B305" s="244">
        <v>25.7</v>
      </c>
      <c r="C305" s="244">
        <v>39.799999999999997</v>
      </c>
    </row>
    <row r="306" spans="1:3" s="242" customFormat="1" ht="15" customHeight="1">
      <c r="A306" s="242" t="s">
        <v>1392</v>
      </c>
      <c r="B306" s="244">
        <v>35.799999999999997</v>
      </c>
      <c r="C306" s="244">
        <v>32</v>
      </c>
    </row>
    <row r="307" spans="1:3" s="242" customFormat="1" ht="15" customHeight="1">
      <c r="A307" s="242" t="s">
        <v>1393</v>
      </c>
      <c r="B307" s="244">
        <v>20.100000000000001</v>
      </c>
      <c r="C307" s="244">
        <v>5.4</v>
      </c>
    </row>
    <row r="308" spans="1:3" s="242" customFormat="1" ht="15" customHeight="1">
      <c r="A308" s="242" t="s">
        <v>1394</v>
      </c>
      <c r="B308" s="244">
        <v>9.6</v>
      </c>
      <c r="C308" s="244">
        <v>3.9</v>
      </c>
    </row>
    <row r="309" spans="1:3" s="242" customFormat="1" ht="15" customHeight="1">
      <c r="A309" s="242" t="s">
        <v>1395</v>
      </c>
      <c r="B309" s="244">
        <v>9</v>
      </c>
      <c r="C309" s="244">
        <v>8.6</v>
      </c>
    </row>
    <row r="310" spans="1:3" s="242" customFormat="1" ht="15" customHeight="1">
      <c r="A310" s="242" t="s">
        <v>1396</v>
      </c>
      <c r="B310" s="244">
        <v>4.8</v>
      </c>
      <c r="C310" s="244">
        <v>1.2</v>
      </c>
    </row>
    <row r="311" spans="1:3" s="242" customFormat="1" ht="15" customHeight="1">
      <c r="A311" s="242" t="s">
        <v>1397</v>
      </c>
      <c r="B311" s="244">
        <v>1</v>
      </c>
      <c r="C311" s="244">
        <v>0.3</v>
      </c>
    </row>
    <row r="312" spans="1:3" s="242" customFormat="1" ht="15" customHeight="1">
      <c r="A312" s="242" t="s">
        <v>1556</v>
      </c>
      <c r="B312" s="244">
        <v>7</v>
      </c>
      <c r="C312" s="244">
        <v>5.2</v>
      </c>
    </row>
    <row r="313" spans="1:3" s="242" customFormat="1" ht="15" customHeight="1">
      <c r="A313" s="242" t="s">
        <v>1557</v>
      </c>
      <c r="B313" s="244">
        <v>5.4</v>
      </c>
      <c r="C313" s="244">
        <v>2</v>
      </c>
    </row>
    <row r="314" spans="1:3" s="242" customFormat="1" ht="15" customHeight="1">
      <c r="A314" s="242" t="s">
        <v>1558</v>
      </c>
      <c r="B314" s="244">
        <v>0.3</v>
      </c>
      <c r="C314" s="244">
        <v>0.2</v>
      </c>
    </row>
    <row r="315" spans="1:3" s="242" customFormat="1" ht="15" customHeight="1">
      <c r="A315" s="242" t="s">
        <v>1559</v>
      </c>
      <c r="B315" s="244">
        <v>5.8</v>
      </c>
      <c r="C315" s="244">
        <v>4.4000000000000004</v>
      </c>
    </row>
    <row r="316" spans="1:3" s="242" customFormat="1" ht="15" customHeight="1">
      <c r="A316" s="242" t="s">
        <v>1560</v>
      </c>
      <c r="B316" s="244">
        <v>3.7</v>
      </c>
      <c r="C316" s="244">
        <v>1.5</v>
      </c>
    </row>
    <row r="317" spans="1:3" s="242" customFormat="1" ht="15" customHeight="1">
      <c r="A317" s="242" t="s">
        <v>1561</v>
      </c>
      <c r="B317" s="244">
        <v>1.8</v>
      </c>
      <c r="C317" s="244">
        <v>0.8</v>
      </c>
    </row>
    <row r="318" spans="1:3" s="242" customFormat="1" ht="15" customHeight="1">
      <c r="A318" s="242" t="s">
        <v>1398</v>
      </c>
      <c r="B318" s="244">
        <v>44.5</v>
      </c>
      <c r="C318" s="244">
        <v>100.1</v>
      </c>
    </row>
    <row r="319" spans="1:3" s="242" customFormat="1" ht="15" customHeight="1">
      <c r="A319" s="242" t="s">
        <v>1399</v>
      </c>
      <c r="B319" s="244">
        <v>3.6</v>
      </c>
      <c r="C319" s="244">
        <v>2.5</v>
      </c>
    </row>
    <row r="320" spans="1:3" s="242" customFormat="1" ht="15" customHeight="1">
      <c r="A320" s="242" t="s">
        <v>1400</v>
      </c>
      <c r="B320" s="244">
        <v>4.2</v>
      </c>
      <c r="C320" s="244">
        <v>7.3</v>
      </c>
    </row>
    <row r="321" spans="1:3" s="242" customFormat="1" ht="15" customHeight="1">
      <c r="A321" s="242" t="s">
        <v>1401</v>
      </c>
      <c r="B321" s="244">
        <v>12.7</v>
      </c>
      <c r="C321" s="244">
        <v>28.1</v>
      </c>
    </row>
    <row r="322" spans="1:3" s="242" customFormat="1" ht="15" customHeight="1">
      <c r="A322" s="242" t="s">
        <v>1402</v>
      </c>
      <c r="B322" s="244">
        <v>1.5</v>
      </c>
      <c r="C322" s="244">
        <v>0.3</v>
      </c>
    </row>
    <row r="323" spans="1:3" s="242" customFormat="1" ht="15" customHeight="1">
      <c r="A323" s="242" t="s">
        <v>1403</v>
      </c>
      <c r="B323" s="244">
        <v>0.7</v>
      </c>
      <c r="C323" s="244">
        <v>0.1</v>
      </c>
    </row>
    <row r="324" spans="1:3" s="242" customFormat="1" ht="15" customHeight="1">
      <c r="A324" s="242" t="s">
        <v>1562</v>
      </c>
      <c r="B324" s="244">
        <v>14.4</v>
      </c>
      <c r="C324" s="244">
        <v>29.2</v>
      </c>
    </row>
    <row r="325" spans="1:3" s="242" customFormat="1" ht="15" customHeight="1">
      <c r="A325" s="242" t="s">
        <v>1563</v>
      </c>
      <c r="B325" s="244">
        <v>1.3</v>
      </c>
      <c r="C325" s="244">
        <v>0.7</v>
      </c>
    </row>
    <row r="326" spans="1:3" s="242" customFormat="1" ht="15" customHeight="1">
      <c r="A326" s="242" t="s">
        <v>1564</v>
      </c>
      <c r="B326" s="244">
        <v>2</v>
      </c>
      <c r="C326" s="244">
        <v>1.5</v>
      </c>
    </row>
    <row r="327" spans="1:3" s="242" customFormat="1" ht="15" customHeight="1">
      <c r="A327" s="242" t="s">
        <v>1565</v>
      </c>
      <c r="B327" s="244">
        <v>7.1</v>
      </c>
      <c r="C327" s="244">
        <v>11.7</v>
      </c>
    </row>
    <row r="328" spans="1:3" s="242" customFormat="1" ht="15" customHeight="1">
      <c r="A328" s="242" t="s">
        <v>1566</v>
      </c>
      <c r="B328" s="244">
        <v>0.3</v>
      </c>
      <c r="C328" s="244">
        <v>0.1</v>
      </c>
    </row>
    <row r="329" spans="1:3" s="242" customFormat="1" ht="15" customHeight="1">
      <c r="A329" s="242" t="s">
        <v>1567</v>
      </c>
      <c r="B329" s="244">
        <v>0.4</v>
      </c>
      <c r="C329" s="244">
        <v>0.7</v>
      </c>
    </row>
    <row r="330" spans="1:3" s="242" customFormat="1" ht="15" customHeight="1">
      <c r="A330" s="242" t="s">
        <v>1568</v>
      </c>
      <c r="B330" s="244">
        <v>620.09999999999991</v>
      </c>
      <c r="C330" s="244">
        <v>466.29999999999995</v>
      </c>
    </row>
    <row r="331" spans="1:3" s="242" customFormat="1" ht="15" customHeight="1">
      <c r="A331" s="242" t="s">
        <v>1569</v>
      </c>
      <c r="B331" s="244">
        <v>0.5</v>
      </c>
      <c r="C331" s="244">
        <v>0.2</v>
      </c>
    </row>
    <row r="332" spans="1:3" s="242" customFormat="1" ht="15" customHeight="1">
      <c r="A332" s="242" t="s">
        <v>1570</v>
      </c>
      <c r="B332" s="244">
        <v>126</v>
      </c>
      <c r="C332" s="244">
        <v>36.200000000000003</v>
      </c>
    </row>
    <row r="333" spans="1:3" s="242" customFormat="1" ht="15" customHeight="1">
      <c r="A333" s="242" t="s">
        <v>1571</v>
      </c>
      <c r="B333" s="244">
        <v>107.80000000000001</v>
      </c>
      <c r="C333" s="244">
        <v>50.4</v>
      </c>
    </row>
    <row r="334" spans="1:3" s="242" customFormat="1" ht="15" customHeight="1">
      <c r="A334" s="242" t="s">
        <v>1572</v>
      </c>
      <c r="B334" s="244">
        <v>14</v>
      </c>
      <c r="C334" s="244">
        <v>13.7</v>
      </c>
    </row>
    <row r="335" spans="1:3" s="242" customFormat="1" ht="15" customHeight="1">
      <c r="A335" s="242" t="s">
        <v>1573</v>
      </c>
      <c r="B335" s="244">
        <v>0.7</v>
      </c>
      <c r="C335" s="244">
        <v>3.3000000000000003</v>
      </c>
    </row>
    <row r="336" spans="1:3" s="242" customFormat="1" ht="15" customHeight="1">
      <c r="A336" s="242" t="s">
        <v>1574</v>
      </c>
      <c r="B336" s="244">
        <v>0.3</v>
      </c>
      <c r="C336" s="244">
        <v>0</v>
      </c>
    </row>
    <row r="337" spans="1:3" s="242" customFormat="1" ht="15" customHeight="1">
      <c r="A337" s="242" t="s">
        <v>1575</v>
      </c>
      <c r="B337" s="244">
        <v>1.9000000000000001</v>
      </c>
      <c r="C337" s="244">
        <v>1.2</v>
      </c>
    </row>
    <row r="338" spans="1:3" s="242" customFormat="1" ht="15" customHeight="1">
      <c r="A338" s="242" t="s">
        <v>1576</v>
      </c>
      <c r="B338" s="244">
        <v>2.2000000000000002</v>
      </c>
      <c r="C338" s="244">
        <v>1.9</v>
      </c>
    </row>
    <row r="339" spans="1:3" s="242" customFormat="1" ht="15" customHeight="1">
      <c r="A339" s="242" t="s">
        <v>1577</v>
      </c>
      <c r="B339" s="244">
        <v>1.6</v>
      </c>
      <c r="C339" s="244">
        <v>0.6</v>
      </c>
    </row>
    <row r="340" spans="1:3" s="242" customFormat="1" ht="15" customHeight="1">
      <c r="A340" s="242" t="s">
        <v>1578</v>
      </c>
      <c r="B340" s="244">
        <v>6.2</v>
      </c>
      <c r="C340" s="244">
        <v>0.7</v>
      </c>
    </row>
    <row r="341" spans="1:3" s="242" customFormat="1" ht="15" customHeight="1">
      <c r="A341" s="242" t="s">
        <v>1579</v>
      </c>
      <c r="B341" s="244">
        <v>6.8000000000000007</v>
      </c>
      <c r="C341" s="244">
        <v>3.5</v>
      </c>
    </row>
    <row r="342" spans="1:3" s="242" customFormat="1" ht="15" customHeight="1">
      <c r="A342" s="242" t="s">
        <v>1580</v>
      </c>
      <c r="B342" s="244">
        <v>2</v>
      </c>
      <c r="C342" s="244">
        <v>0</v>
      </c>
    </row>
    <row r="343" spans="1:3" s="242" customFormat="1" ht="15" customHeight="1">
      <c r="A343" s="242" t="s">
        <v>1581</v>
      </c>
      <c r="B343" s="244">
        <v>6.9</v>
      </c>
      <c r="C343" s="244">
        <v>1.5</v>
      </c>
    </row>
    <row r="344" spans="1:3" s="242" customFormat="1" ht="15" customHeight="1">
      <c r="A344" s="242" t="s">
        <v>1582</v>
      </c>
      <c r="B344" s="244">
        <v>2.5</v>
      </c>
      <c r="C344" s="244">
        <v>0.5</v>
      </c>
    </row>
    <row r="345" spans="1:3" s="242" customFormat="1" ht="15" customHeight="1">
      <c r="A345" s="242" t="s">
        <v>1583</v>
      </c>
      <c r="B345" s="244">
        <v>1.8</v>
      </c>
      <c r="C345" s="244">
        <v>1.1000000000000001</v>
      </c>
    </row>
    <row r="346" spans="1:3" s="242" customFormat="1" ht="15" customHeight="1">
      <c r="A346" s="242" t="s">
        <v>1584</v>
      </c>
      <c r="B346" s="244">
        <v>14.899999999999999</v>
      </c>
      <c r="C346" s="244">
        <v>6.3</v>
      </c>
    </row>
    <row r="347" spans="1:3" s="242" customFormat="1" ht="15" customHeight="1">
      <c r="A347" s="242" t="s">
        <v>1585</v>
      </c>
      <c r="B347" s="244">
        <v>7.1</v>
      </c>
      <c r="C347" s="244">
        <v>2.9000000000000004</v>
      </c>
    </row>
    <row r="348" spans="1:3" s="242" customFormat="1" ht="15" customHeight="1">
      <c r="A348" s="242" t="s">
        <v>1586</v>
      </c>
      <c r="B348" s="244">
        <v>10.9</v>
      </c>
      <c r="C348" s="244">
        <v>3.5</v>
      </c>
    </row>
    <row r="349" spans="1:3" s="242" customFormat="1" ht="15" customHeight="1">
      <c r="A349" s="242" t="s">
        <v>1587</v>
      </c>
      <c r="B349" s="244">
        <v>1.2</v>
      </c>
      <c r="C349" s="244">
        <v>0.89999999999999991</v>
      </c>
    </row>
    <row r="350" spans="1:3" s="242" customFormat="1" ht="15" customHeight="1">
      <c r="A350" s="242" t="s">
        <v>1588</v>
      </c>
      <c r="B350" s="244">
        <v>2.1</v>
      </c>
      <c r="C350" s="244">
        <v>0.2</v>
      </c>
    </row>
    <row r="351" spans="1:3" s="242" customFormat="1" ht="15" customHeight="1">
      <c r="A351" s="242" t="s">
        <v>1589</v>
      </c>
      <c r="B351" s="244">
        <v>6.2</v>
      </c>
      <c r="C351" s="244">
        <v>2.2000000000000002</v>
      </c>
    </row>
    <row r="352" spans="1:3" s="242" customFormat="1" ht="15" customHeight="1">
      <c r="A352" s="242" t="s">
        <v>1590</v>
      </c>
      <c r="B352" s="244">
        <v>1.2</v>
      </c>
      <c r="C352" s="244">
        <v>0.5</v>
      </c>
    </row>
    <row r="353" spans="1:3" s="242" customFormat="1" ht="15" customHeight="1">
      <c r="A353" s="242" t="s">
        <v>1591</v>
      </c>
      <c r="B353" s="244">
        <v>10.9</v>
      </c>
      <c r="C353" s="244">
        <v>3.0999999999999996</v>
      </c>
    </row>
    <row r="354" spans="1:3" s="242" customFormat="1" ht="15" customHeight="1">
      <c r="A354" s="242" t="s">
        <v>1592</v>
      </c>
      <c r="B354" s="244">
        <v>6.5</v>
      </c>
      <c r="C354" s="244">
        <v>2.8000000000000003</v>
      </c>
    </row>
    <row r="355" spans="1:3" s="242" customFormat="1" ht="15" customHeight="1">
      <c r="A355" s="242" t="s">
        <v>1593</v>
      </c>
      <c r="B355" s="244">
        <v>0.8</v>
      </c>
      <c r="C355" s="244">
        <v>0.1</v>
      </c>
    </row>
    <row r="356" spans="1:3" s="242" customFormat="1" ht="15" customHeight="1">
      <c r="A356" s="242" t="s">
        <v>1594</v>
      </c>
      <c r="B356" s="244">
        <v>28.1</v>
      </c>
      <c r="C356" s="244">
        <v>15.299999999999999</v>
      </c>
    </row>
    <row r="357" spans="1:3" s="242" customFormat="1" ht="15" customHeight="1">
      <c r="A357" s="242" t="s">
        <v>1595</v>
      </c>
      <c r="B357" s="244">
        <v>38.9</v>
      </c>
      <c r="C357" s="244">
        <v>4.5999999999999996</v>
      </c>
    </row>
    <row r="358" spans="1:3" s="242" customFormat="1" ht="15" customHeight="1">
      <c r="A358" s="242" t="s">
        <v>1596</v>
      </c>
      <c r="B358" s="244">
        <v>93.1</v>
      </c>
      <c r="C358" s="244">
        <v>79.099999999999994</v>
      </c>
    </row>
    <row r="359" spans="1:3" s="242" customFormat="1" ht="15" customHeight="1">
      <c r="A359" s="242" t="s">
        <v>1597</v>
      </c>
      <c r="B359" s="244">
        <v>3.8000000000000003</v>
      </c>
      <c r="C359" s="244">
        <v>1.1000000000000001</v>
      </c>
    </row>
    <row r="360" spans="1:3" s="242" customFormat="1" ht="15" customHeight="1">
      <c r="A360" s="242" t="s">
        <v>1598</v>
      </c>
      <c r="B360" s="244">
        <v>9.8000000000000007</v>
      </c>
      <c r="C360" s="244">
        <v>10.199999999999999</v>
      </c>
    </row>
    <row r="361" spans="1:3" s="242" customFormat="1" ht="15" customHeight="1">
      <c r="A361" s="242" t="s">
        <v>1599</v>
      </c>
      <c r="B361" s="244">
        <v>18.600000000000001</v>
      </c>
      <c r="C361" s="244">
        <v>15</v>
      </c>
    </row>
    <row r="362" spans="1:3" s="242" customFormat="1" ht="15" customHeight="1">
      <c r="A362" s="242" t="s">
        <v>1600</v>
      </c>
      <c r="B362" s="244">
        <v>66.2</v>
      </c>
      <c r="C362" s="244">
        <v>61</v>
      </c>
    </row>
    <row r="363" spans="1:3" s="242" customFormat="1" ht="15" customHeight="1">
      <c r="A363" s="242" t="s">
        <v>1601</v>
      </c>
      <c r="B363" s="244">
        <v>22.1</v>
      </c>
      <c r="C363" s="244">
        <v>14.6</v>
      </c>
    </row>
    <row r="364" spans="1:3" s="242" customFormat="1" ht="15" customHeight="1">
      <c r="A364" s="242" t="s">
        <v>1602</v>
      </c>
      <c r="B364" s="244">
        <v>4.5</v>
      </c>
      <c r="C364" s="244">
        <v>17.700000000000003</v>
      </c>
    </row>
    <row r="365" spans="1:3" s="242" customFormat="1" ht="15" customHeight="1">
      <c r="A365" s="242" t="s">
        <v>1603</v>
      </c>
      <c r="B365" s="244">
        <v>56.6</v>
      </c>
      <c r="C365" s="244">
        <v>141.19999999999999</v>
      </c>
    </row>
    <row r="366" spans="1:3" s="242" customFormat="1" ht="15" customHeight="1">
      <c r="A366" s="242" t="s">
        <v>1604</v>
      </c>
      <c r="B366" s="244">
        <v>0.5</v>
      </c>
      <c r="C366" s="244">
        <v>1</v>
      </c>
    </row>
    <row r="367" spans="1:3" s="242" customFormat="1" ht="15" customHeight="1">
      <c r="A367" s="242" t="s">
        <v>1605</v>
      </c>
      <c r="B367" s="244">
        <v>42.9</v>
      </c>
      <c r="C367" s="244">
        <v>18.399999999999999</v>
      </c>
    </row>
    <row r="368" spans="1:3" s="242" customFormat="1" ht="15" customHeight="1">
      <c r="A368" s="242" t="s">
        <v>1606</v>
      </c>
      <c r="B368" s="244">
        <v>678.5</v>
      </c>
      <c r="C368" s="244">
        <v>975.1</v>
      </c>
    </row>
    <row r="369" spans="1:3" s="242" customFormat="1" ht="15" customHeight="1">
      <c r="A369" s="242" t="s">
        <v>1607</v>
      </c>
      <c r="B369" s="244">
        <v>0.1</v>
      </c>
      <c r="C369" s="244">
        <v>0</v>
      </c>
    </row>
    <row r="370" spans="1:3" s="242" customFormat="1" ht="15" customHeight="1">
      <c r="A370" s="242" t="s">
        <v>1608</v>
      </c>
      <c r="B370" s="244">
        <v>44.9</v>
      </c>
      <c r="C370" s="244">
        <v>5.8000000000000007</v>
      </c>
    </row>
    <row r="371" spans="1:3" s="242" customFormat="1" ht="15" customHeight="1">
      <c r="A371" s="242" t="s">
        <v>1609</v>
      </c>
      <c r="B371" s="244">
        <v>52.5</v>
      </c>
      <c r="C371" s="244">
        <v>83.1</v>
      </c>
    </row>
    <row r="372" spans="1:3" s="242" customFormat="1" ht="15" customHeight="1">
      <c r="A372" s="242" t="s">
        <v>1610</v>
      </c>
      <c r="B372" s="244">
        <v>10.5</v>
      </c>
      <c r="C372" s="244">
        <v>31.1</v>
      </c>
    </row>
    <row r="373" spans="1:3" s="242" customFormat="1" ht="15" customHeight="1">
      <c r="A373" s="242" t="s">
        <v>1611</v>
      </c>
      <c r="B373" s="244">
        <v>0.1</v>
      </c>
      <c r="C373" s="244">
        <v>7.5</v>
      </c>
    </row>
    <row r="374" spans="1:3" s="242" customFormat="1" ht="15" customHeight="1">
      <c r="A374" s="242" t="s">
        <v>1612</v>
      </c>
      <c r="B374" s="244">
        <v>0.6</v>
      </c>
      <c r="C374" s="244">
        <v>0</v>
      </c>
    </row>
    <row r="375" spans="1:3" s="242" customFormat="1" ht="15" customHeight="1">
      <c r="A375" s="242" t="s">
        <v>1613</v>
      </c>
      <c r="B375" s="244">
        <v>1.2</v>
      </c>
      <c r="C375" s="244">
        <v>0.5</v>
      </c>
    </row>
    <row r="376" spans="1:3" s="242" customFormat="1" ht="15" customHeight="1">
      <c r="A376" s="242" t="s">
        <v>1614</v>
      </c>
      <c r="B376" s="244">
        <v>1.1000000000000001</v>
      </c>
      <c r="C376" s="244">
        <v>2.5</v>
      </c>
    </row>
    <row r="377" spans="1:3" s="242" customFormat="1" ht="15" customHeight="1">
      <c r="A377" s="242" t="s">
        <v>1615</v>
      </c>
      <c r="B377" s="244">
        <v>4.8</v>
      </c>
      <c r="C377" s="244">
        <v>1.7</v>
      </c>
    </row>
    <row r="378" spans="1:3" s="242" customFormat="1" ht="15" customHeight="1">
      <c r="A378" s="242" t="s">
        <v>1616</v>
      </c>
      <c r="B378" s="244">
        <v>0.5</v>
      </c>
      <c r="C378" s="244">
        <v>1.4</v>
      </c>
    </row>
    <row r="379" spans="1:3" s="242" customFormat="1" ht="15" customHeight="1">
      <c r="A379" s="242" t="s">
        <v>1617</v>
      </c>
      <c r="B379" s="244">
        <v>2.2999999999999998</v>
      </c>
      <c r="C379" s="244">
        <v>8</v>
      </c>
    </row>
    <row r="380" spans="1:3" s="242" customFormat="1" ht="15" customHeight="1">
      <c r="A380" s="242" t="s">
        <v>1618</v>
      </c>
      <c r="B380" s="244">
        <v>7.9</v>
      </c>
      <c r="C380" s="244">
        <v>8.5</v>
      </c>
    </row>
    <row r="381" spans="1:3" s="242" customFormat="1" ht="15" customHeight="1">
      <c r="A381" s="242" t="s">
        <v>1619</v>
      </c>
      <c r="B381" s="244">
        <v>1</v>
      </c>
      <c r="C381" s="244">
        <v>0.7</v>
      </c>
    </row>
    <row r="382" spans="1:3" s="242" customFormat="1" ht="15" customHeight="1">
      <c r="A382" s="242" t="s">
        <v>1620</v>
      </c>
      <c r="B382" s="244">
        <v>1.9</v>
      </c>
      <c r="C382" s="244">
        <v>2.2000000000000002</v>
      </c>
    </row>
    <row r="383" spans="1:3" s="242" customFormat="1" ht="15" customHeight="1">
      <c r="A383" s="242" t="s">
        <v>1621</v>
      </c>
      <c r="B383" s="244">
        <v>6.1</v>
      </c>
      <c r="C383" s="244">
        <v>5.2</v>
      </c>
    </row>
    <row r="384" spans="1:3" s="242" customFormat="1" ht="15" customHeight="1">
      <c r="A384" s="242" t="s">
        <v>1622</v>
      </c>
      <c r="B384" s="244">
        <v>5.2</v>
      </c>
      <c r="C384" s="244">
        <v>0</v>
      </c>
    </row>
    <row r="385" spans="1:3" s="242" customFormat="1" ht="15" customHeight="1">
      <c r="A385" s="242" t="s">
        <v>1623</v>
      </c>
      <c r="B385" s="244">
        <v>4.5999999999999996</v>
      </c>
      <c r="C385" s="244">
        <v>0.6</v>
      </c>
    </row>
    <row r="386" spans="1:3" s="242" customFormat="1" ht="15" customHeight="1">
      <c r="A386" s="242" t="s">
        <v>1624</v>
      </c>
      <c r="B386" s="244">
        <v>5.0999999999999996</v>
      </c>
      <c r="C386" s="244">
        <v>14.4</v>
      </c>
    </row>
    <row r="387" spans="1:3" s="242" customFormat="1" ht="15" customHeight="1">
      <c r="A387" s="242" t="s">
        <v>1625</v>
      </c>
      <c r="B387" s="244">
        <v>0.3</v>
      </c>
      <c r="C387" s="244">
        <v>0.2</v>
      </c>
    </row>
    <row r="388" spans="1:3" s="242" customFormat="1" ht="15" customHeight="1">
      <c r="A388" s="242" t="s">
        <v>1626</v>
      </c>
      <c r="B388" s="244">
        <v>0.3</v>
      </c>
      <c r="C388" s="244">
        <v>2.2999999999999998</v>
      </c>
    </row>
    <row r="389" spans="1:3" s="242" customFormat="1" ht="15" customHeight="1">
      <c r="A389" s="242" t="s">
        <v>1627</v>
      </c>
      <c r="B389" s="244">
        <v>5.4</v>
      </c>
      <c r="C389" s="244">
        <v>16.7</v>
      </c>
    </row>
    <row r="390" spans="1:3" s="242" customFormat="1" ht="15" customHeight="1">
      <c r="A390" s="242" t="s">
        <v>1628</v>
      </c>
      <c r="B390" s="244">
        <v>0.2</v>
      </c>
      <c r="C390" s="244">
        <v>1.2</v>
      </c>
    </row>
    <row r="391" spans="1:3" s="242" customFormat="1" ht="15" customHeight="1">
      <c r="A391" s="242" t="s">
        <v>1629</v>
      </c>
      <c r="B391" s="244">
        <v>0.9</v>
      </c>
      <c r="C391" s="244">
        <v>2.9</v>
      </c>
    </row>
    <row r="392" spans="1:3" s="242" customFormat="1" ht="15" customHeight="1">
      <c r="A392" s="242" t="s">
        <v>1630</v>
      </c>
      <c r="B392" s="244">
        <v>0.2</v>
      </c>
      <c r="C392" s="244">
        <v>0.4</v>
      </c>
    </row>
    <row r="393" spans="1:3" s="242" customFormat="1" ht="15" customHeight="1">
      <c r="A393" s="242" t="s">
        <v>1631</v>
      </c>
      <c r="B393" s="244">
        <v>1.3</v>
      </c>
      <c r="C393" s="244">
        <v>0.7</v>
      </c>
    </row>
    <row r="394" spans="1:3" s="242" customFormat="1" ht="15" customHeight="1">
      <c r="A394" s="242" t="s">
        <v>1632</v>
      </c>
      <c r="B394" s="244">
        <v>1.4</v>
      </c>
      <c r="C394" s="244">
        <v>0.1</v>
      </c>
    </row>
    <row r="395" spans="1:3" s="242" customFormat="1" ht="15" customHeight="1">
      <c r="A395" s="242" t="s">
        <v>1633</v>
      </c>
      <c r="B395" s="244">
        <v>0.2</v>
      </c>
      <c r="C395" s="244">
        <v>0.8</v>
      </c>
    </row>
    <row r="396" spans="1:3" s="242" customFormat="1" ht="15" customHeight="1">
      <c r="A396" s="242" t="s">
        <v>1634</v>
      </c>
      <c r="B396" s="244">
        <v>9.1</v>
      </c>
      <c r="C396" s="244">
        <v>10.1</v>
      </c>
    </row>
    <row r="397" spans="1:3" s="242" customFormat="1" ht="15" customHeight="1">
      <c r="A397" s="242" t="s">
        <v>1635</v>
      </c>
      <c r="B397" s="244">
        <v>1.5</v>
      </c>
      <c r="C397" s="244">
        <v>0.1</v>
      </c>
    </row>
    <row r="398" spans="1:3" s="242" customFormat="1" ht="15" customHeight="1">
      <c r="A398" s="242" t="s">
        <v>1636</v>
      </c>
      <c r="B398" s="244">
        <v>3.2</v>
      </c>
      <c r="C398" s="244">
        <v>1.4</v>
      </c>
    </row>
    <row r="399" spans="1:3" s="242" customFormat="1" ht="15" customHeight="1">
      <c r="A399" s="242" t="s">
        <v>1637</v>
      </c>
      <c r="B399" s="244">
        <v>0.3</v>
      </c>
      <c r="C399" s="244">
        <v>2.1</v>
      </c>
    </row>
    <row r="400" spans="1:3" s="242" customFormat="1" ht="15" customHeight="1">
      <c r="A400" s="242" t="s">
        <v>1638</v>
      </c>
      <c r="B400" s="244">
        <v>1.1000000000000001</v>
      </c>
      <c r="C400" s="244">
        <v>1.7</v>
      </c>
    </row>
    <row r="401" spans="1:3" s="242" customFormat="1" ht="15" customHeight="1">
      <c r="A401" s="242" t="s">
        <v>1639</v>
      </c>
      <c r="B401" s="244">
        <v>2.6</v>
      </c>
      <c r="C401" s="244">
        <v>4.6999999999999993</v>
      </c>
    </row>
    <row r="402" spans="1:3" s="242" customFormat="1" ht="15" customHeight="1">
      <c r="A402" s="242" t="s">
        <v>1640</v>
      </c>
      <c r="B402" s="244">
        <v>0.4</v>
      </c>
      <c r="C402" s="244">
        <v>1.5</v>
      </c>
    </row>
    <row r="403" spans="1:3" s="242" customFormat="1" ht="15" customHeight="1">
      <c r="A403" s="242" t="s">
        <v>1641</v>
      </c>
      <c r="B403" s="244">
        <v>9.1</v>
      </c>
      <c r="C403" s="244">
        <v>1.6</v>
      </c>
    </row>
    <row r="404" spans="1:3" s="242" customFormat="1" ht="15" customHeight="1">
      <c r="A404" s="242" t="s">
        <v>1642</v>
      </c>
      <c r="B404" s="244">
        <v>1.2</v>
      </c>
      <c r="C404" s="244">
        <v>5.1999999999999993</v>
      </c>
    </row>
    <row r="405" spans="1:3" s="242" customFormat="1" ht="15" customHeight="1">
      <c r="A405" s="242" t="s">
        <v>1643</v>
      </c>
      <c r="B405" s="244">
        <v>0.5</v>
      </c>
      <c r="C405" s="244">
        <v>0.30000000000000004</v>
      </c>
    </row>
    <row r="406" spans="1:3" s="242" customFormat="1" ht="15" customHeight="1">
      <c r="A406" s="242" t="s">
        <v>1644</v>
      </c>
      <c r="B406" s="244">
        <v>9.3999999999999986</v>
      </c>
      <c r="C406" s="244">
        <v>2.5</v>
      </c>
    </row>
    <row r="407" spans="1:3" s="242" customFormat="1" ht="15" customHeight="1">
      <c r="A407" s="242" t="s">
        <v>1645</v>
      </c>
      <c r="B407" s="244">
        <v>17.399999999999999</v>
      </c>
      <c r="C407" s="244">
        <v>3.3</v>
      </c>
    </row>
    <row r="408" spans="1:3" s="242" customFormat="1" ht="15" customHeight="1">
      <c r="A408" s="242" t="s">
        <v>1646</v>
      </c>
      <c r="B408" s="244">
        <v>103.5</v>
      </c>
      <c r="C408" s="244">
        <v>141</v>
      </c>
    </row>
    <row r="409" spans="1:3" s="242" customFormat="1" ht="15" customHeight="1">
      <c r="A409" s="242" t="s">
        <v>1647</v>
      </c>
      <c r="B409" s="244">
        <v>2.7</v>
      </c>
      <c r="C409" s="244">
        <v>1.5</v>
      </c>
    </row>
    <row r="410" spans="1:3" s="242" customFormat="1" ht="15" customHeight="1">
      <c r="A410" s="242" t="s">
        <v>1648</v>
      </c>
      <c r="B410" s="244">
        <v>11.100000000000001</v>
      </c>
      <c r="C410" s="244">
        <v>19.7</v>
      </c>
    </row>
    <row r="411" spans="1:3" s="242" customFormat="1" ht="15" customHeight="1">
      <c r="A411" s="242" t="s">
        <v>1649</v>
      </c>
      <c r="B411" s="244">
        <v>12</v>
      </c>
      <c r="C411" s="244">
        <v>11.3</v>
      </c>
    </row>
    <row r="412" spans="1:3" s="242" customFormat="1" ht="15" customHeight="1">
      <c r="A412" s="242" t="s">
        <v>1650</v>
      </c>
      <c r="B412" s="244">
        <v>211</v>
      </c>
      <c r="C412" s="244">
        <v>351.7</v>
      </c>
    </row>
    <row r="413" spans="1:3" s="242" customFormat="1" ht="15" customHeight="1">
      <c r="A413" s="242" t="s">
        <v>1651</v>
      </c>
      <c r="B413" s="244">
        <v>77.599999999999994</v>
      </c>
      <c r="C413" s="244">
        <v>75</v>
      </c>
    </row>
    <row r="414" spans="1:3" s="242" customFormat="1" ht="15" customHeight="1">
      <c r="A414" s="242" t="s">
        <v>1652</v>
      </c>
      <c r="B414" s="244">
        <v>32.799999999999997</v>
      </c>
      <c r="C414" s="244">
        <v>40.200000000000003</v>
      </c>
    </row>
    <row r="415" spans="1:3" s="242" customFormat="1" ht="15" customHeight="1">
      <c r="A415" s="242" t="s">
        <v>1653</v>
      </c>
      <c r="B415" s="244">
        <v>72.8</v>
      </c>
      <c r="C415" s="244">
        <v>204.2</v>
      </c>
    </row>
    <row r="416" spans="1:3" s="242" customFormat="1" ht="15" customHeight="1">
      <c r="A416" s="242" t="s">
        <v>1654</v>
      </c>
      <c r="B416" s="244">
        <v>0.4</v>
      </c>
      <c r="C416" s="244">
        <v>0.30000000000000004</v>
      </c>
    </row>
    <row r="417" spans="1:3" s="242" customFormat="1" ht="17.399999999999999" customHeight="1">
      <c r="A417" s="242" t="s">
        <v>1655</v>
      </c>
      <c r="B417" s="244">
        <v>29.9</v>
      </c>
      <c r="C417" s="244">
        <v>35.200000000000003</v>
      </c>
    </row>
  </sheetData>
  <sheetProtection algorithmName="SHA-512" hashValue="Ix8i1IiaSd7qSSvovGNlEuGOkzRXIwhBBOwrQ6v4GOVrtb1wvxpGxSLGn3sXZ9mU94aI6Qahg80VXuMHXf9LYA==" saltValue="h89cfs6tFFb8TEt9/FFRGA==" spinCount="100000" sheet="1" selectLockedCells="1" selectUnlockedCells="1"/>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C526F-90AC-CA41-B5D8-F0E80889532B}">
  <dimension ref="A1:AK131"/>
  <sheetViews>
    <sheetView showGridLines="0" topLeftCell="XFD1" zoomScale="79" zoomScaleNormal="59" workbookViewId="0">
      <selection sqref="A1:XFD1048576"/>
    </sheetView>
  </sheetViews>
  <sheetFormatPr defaultColWidth="0" defaultRowHeight="15"/>
  <cols>
    <col min="1" max="3" width="9" style="160" hidden="1" customWidth="1"/>
    <col min="4" max="4" width="9" style="156" hidden="1" customWidth="1"/>
    <col min="5" max="6" width="9" style="160" hidden="1" customWidth="1"/>
    <col min="7" max="8" width="9" style="156" hidden="1" customWidth="1"/>
    <col min="9" max="9" width="9" style="425" hidden="1" customWidth="1"/>
    <col min="10" max="10" width="9" style="156" hidden="1" customWidth="1"/>
    <col min="11" max="16" width="9" style="426" hidden="1" customWidth="1"/>
    <col min="17" max="16384" width="9" style="156" hidden="1"/>
  </cols>
  <sheetData>
    <row r="1" spans="1:22" ht="7.2" customHeight="1"/>
    <row r="2" spans="1:22">
      <c r="E2" s="156"/>
    </row>
    <row r="3" spans="1:22">
      <c r="A3" s="434" t="s">
        <v>4536</v>
      </c>
      <c r="B3" s="156"/>
      <c r="C3" s="424" t="str">
        <f>IF(入力シート!$C$5=入力リスト!$C$4,"",IF(D3,"データ未",""))</f>
        <v>データ未</v>
      </c>
      <c r="D3" s="426" t="b">
        <f>OR(E3=0,F3=1,G3=1)</f>
        <v>1</v>
      </c>
      <c r="E3" s="426">
        <f>VLOOKUP(TRUE,エラー表示用!$N$4:$R$24,5,0)</f>
        <v>0</v>
      </c>
      <c r="F3" s="426">
        <f>VLOOKUP('従業員情報(給与以外)'!F1,エラー表示用!$I$28:$K$34,3,0)</f>
        <v>1</v>
      </c>
      <c r="G3" s="426">
        <f>VLOOKUP(従業員の給与情報!G1,エラー表示用!$G$36:$I$41,3,0)</f>
        <v>1</v>
      </c>
      <c r="N3" s="426" cm="1">
        <f t="array" ref="N3:N4">COUNTIF('従業員情報(給与以外)'!F1,入力リスト!K39:K40)</f>
        <v>0</v>
      </c>
    </row>
    <row r="4" spans="1:22">
      <c r="A4" s="434" t="s">
        <v>416</v>
      </c>
      <c r="B4" s="156"/>
      <c r="C4" s="429" t="str">
        <f>IF(OR(入力シート!$J$9="",入力シート!$J$9=入力リスト!$C$6),"",VLOOKUP(入力シート!$J$9,入力リスト!$C$6:$D$22,2,0))&amp;"-"&amp;IF(OR(入力シート!$J$10="",入力シート!$J$9&lt;&gt;入力リスト!$C$9),"",VLOOKUP(入力シート!$J$10,入力リスト!$C$24:$E$47,3,0))&amp;"-"&amp;IF(入力シート!$J$11=入力リスト!H3,"",入力シート!$J$11)</f>
        <v>--</v>
      </c>
      <c r="E4" s="156"/>
      <c r="F4" s="156"/>
      <c r="N4" s="426">
        <v>0</v>
      </c>
    </row>
    <row r="5" spans="1:22" ht="9.4499999999999993" customHeight="1" thickBot="1">
      <c r="B5" s="430"/>
      <c r="C5" s="430"/>
      <c r="D5" s="431"/>
      <c r="E5" s="432"/>
      <c r="F5" s="432"/>
      <c r="G5" s="432"/>
      <c r="H5" s="432"/>
      <c r="I5" s="433"/>
      <c r="J5" s="432"/>
      <c r="K5" s="431"/>
      <c r="L5" s="431"/>
      <c r="M5" s="431"/>
      <c r="N5" s="431"/>
      <c r="O5" s="431"/>
    </row>
    <row r="6" spans="1:22" ht="6.45" customHeight="1" thickTop="1">
      <c r="D6" s="426"/>
      <c r="E6" s="156"/>
      <c r="F6" s="156"/>
    </row>
    <row r="7" spans="1:22" s="183" customFormat="1">
      <c r="A7" s="434" t="s">
        <v>80</v>
      </c>
      <c r="C7" s="426"/>
      <c r="D7" s="156"/>
      <c r="E7" s="156"/>
      <c r="F7" s="426"/>
      <c r="G7" s="426"/>
      <c r="J7" s="434" t="s">
        <v>4973</v>
      </c>
      <c r="K7" s="426"/>
      <c r="L7" s="426"/>
      <c r="M7" s="426"/>
      <c r="N7" s="426"/>
      <c r="O7" s="426"/>
      <c r="P7" s="426"/>
    </row>
    <row r="8" spans="1:22">
      <c r="D8" s="428" t="s">
        <v>119</v>
      </c>
      <c r="E8" s="428"/>
      <c r="F8" s="435" t="s">
        <v>24</v>
      </c>
      <c r="G8" s="428"/>
      <c r="H8" s="436"/>
      <c r="I8" s="434"/>
      <c r="K8" s="437" t="s">
        <v>4972</v>
      </c>
      <c r="L8" s="438"/>
      <c r="M8" s="439"/>
      <c r="N8" s="437" t="s">
        <v>4967</v>
      </c>
      <c r="O8" s="438"/>
      <c r="P8" s="562"/>
    </row>
    <row r="9" spans="1:22">
      <c r="B9" s="428" t="s">
        <v>3</v>
      </c>
      <c r="D9" s="428" t="s">
        <v>22</v>
      </c>
      <c r="E9" s="428" t="s">
        <v>21</v>
      </c>
      <c r="F9" s="428" t="s">
        <v>22</v>
      </c>
      <c r="G9" s="428" t="s">
        <v>21</v>
      </c>
      <c r="H9" s="440" t="s">
        <v>134</v>
      </c>
      <c r="I9" s="440" t="s">
        <v>135</v>
      </c>
      <c r="J9" s="425"/>
      <c r="K9" s="441" t="s">
        <v>4970</v>
      </c>
      <c r="L9" s="427" t="s">
        <v>4971</v>
      </c>
      <c r="M9" s="442" t="s">
        <v>4968</v>
      </c>
      <c r="N9" s="441" t="s">
        <v>4966</v>
      </c>
      <c r="O9" s="427" t="s">
        <v>4969</v>
      </c>
      <c r="P9" s="562"/>
    </row>
    <row r="10" spans="1:22">
      <c r="B10" s="443" t="str">
        <f>入力シート!C33</f>
        <v>全労働者</v>
      </c>
      <c r="D10" s="444" t="e">
        <f>AVERAGEIF('従業員情報(給与以外)'!$R:$R,"女",'従業員情報(給与以外)'!$T:$T)+AVERAGEIF('従業員情報(給与以外)'!$R:$R,"女",'従業員情報(給与以外)'!$U:$U)+AVERAGEIF('従業員情報(給与以外)'!$R:$R,"女",'従業員情報(給与以外)'!$V:$V)</f>
        <v>#DIV/0!</v>
      </c>
      <c r="E10" s="444" t="e">
        <f>AVERAGEIF('従業員情報(給与以外)'!$R:$R,"男",'従業員情報(給与以外)'!$T:$T)+AVERAGEIF('従業員情報(給与以外)'!$R:$R,"男",'従業員情報(給与以外)'!$U:$U)+AVERAGEIF('従業員情報(給与以外)'!$R:$R,"男",'従業員情報(給与以外)'!$V:$V)</f>
        <v>#DIV/0!</v>
      </c>
      <c r="F10" s="426">
        <f>VLOOKUP($C$4&amp;"-",賃構DB!$A:$I,5,0)</f>
        <v>232021</v>
      </c>
      <c r="G10" s="426">
        <f>VLOOKUP($C$4&amp;"-",賃構DB!$A:$I,4,0)</f>
        <v>415476</v>
      </c>
      <c r="H10" s="445">
        <f>IF(入力シート!$C$5=入力リスト!$C$4,0,IF(入力シート!$J$16=入力リスト!$H$10,入力シート!$J33,IF(ISERROR($D10/$E10),0,$D10/$E10)))</f>
        <v>0</v>
      </c>
      <c r="I10" s="445">
        <f>$F10/$G10</f>
        <v>0.55844621590657462</v>
      </c>
      <c r="J10" s="425"/>
      <c r="K10" s="446" t="str">
        <f>IF(入力シート!$C$5=入力リスト!$C$4,"",IF(入力シート!$J$16=入力リスト!$H$10,"",IF(L10&lt;&gt;"","",IF(ISERROR(D10),"「"&amp;B10&amp;"」",IF(D10=0,"「"&amp;B10&amp;"」","")))))</f>
        <v/>
      </c>
      <c r="L10" s="447" t="str">
        <f>IF(入力シート!$C$5=入力リスト!$C$4,"",IF(入力シート!$J$16=入力リスト!$H$10,"",IF(ISERROR(E10),"「"&amp;B10&amp;"」",IF(E10=0,"「"&amp;B10&amp;"」",""))))</f>
        <v>「全労働者」</v>
      </c>
      <c r="M10" s="448" t="str">
        <f>IF(入力シート!$C$5=入力リスト!$C$4,"",IF(入力シート!$J$16=入力リスト!$H$10,IF(H10=0,"「"&amp;B10&amp;"」",""),""))</f>
        <v/>
      </c>
      <c r="N10" s="446" t="str">
        <f>IF(ISERROR($F10),"「"&amp;$B10&amp;"」",IF(O10&lt;&gt;"","",IF(F10=0,"「"&amp;$B10&amp;"」","")))</f>
        <v/>
      </c>
      <c r="O10" s="558" t="str">
        <f>IF(IF(ISERROR(G10),ISERROR(G10),G10=0),"「"&amp;B10&amp;"」","")</f>
        <v/>
      </c>
      <c r="P10" s="561"/>
      <c r="V10" s="464"/>
    </row>
    <row r="11" spans="1:22">
      <c r="B11" s="443" t="str">
        <f>入力シート!C34</f>
        <v>正規雇用労働者</v>
      </c>
      <c r="D11" s="444" t="e">
        <f>AVERAGEIFS('従業員情報(給与以外)'!$T:$T,'従業員情報(給与以外)'!$R:$R,"女",'従業員情報(給与以外)'!$O:$O,"正規雇用")+AVERAGEIFS('従業員情報(給与以外)'!$U:$U,'従業員情報(給与以外)'!$R:$R,"女",'従業員情報(給与以外)'!$O:$O,"正規雇用")+AVERAGEIFS('従業員情報(給与以外)'!$V:$V,'従業員情報(給与以外)'!$R:$R,"女",'従業員情報(給与以外)'!$O:$O,"正規雇用")</f>
        <v>#DIV/0!</v>
      </c>
      <c r="E11" s="444" t="e">
        <f>AVERAGEIFS('従業員情報(給与以外)'!$T:$T,'従業員情報(給与以外)'!$R:$R,"男",'従業員情報(給与以外)'!$O:$O,"正規雇用")+AVERAGEIFS('従業員情報(給与以外)'!$U:$U,'従業員情報(給与以外)'!$R:$R,"男",'従業員情報(給与以外)'!$O:$O,"正規雇用")+AVERAGEIFS('従業員情報(給与以外)'!$V:$V,'従業員情報(給与以外)'!$R:$R,"男",'従業員情報(給与以外)'!$O:$O,"正規雇用")</f>
        <v>#DIV/0!</v>
      </c>
      <c r="F11" s="426">
        <f>VLOOKUP($C$4&amp;"-正規雇用",賃構DB!$A:$I,5,0)</f>
        <v>365007</v>
      </c>
      <c r="G11" s="426">
        <f>VLOOKUP($C$4&amp;"-正規雇用",賃構DB!$A:$I,4,0)</f>
        <v>499284</v>
      </c>
      <c r="H11" s="445">
        <f>IF(入力シート!$C$5=入力リスト!$C$4,0,IF(入力シート!$J$16=入力リスト!$H$10,入力シート!$J34,IF(ISERROR($D11/$E11),0,$D11/$E11)))</f>
        <v>0</v>
      </c>
      <c r="I11" s="445">
        <f t="shared" ref="I11:I12" si="0">$F11/$G11</f>
        <v>0.73106087917898432</v>
      </c>
      <c r="J11" s="425"/>
      <c r="K11" s="446" t="str">
        <f>IF(入力シート!$C$5=入力リスト!$C$4,"",IF(入力シート!$J$16=入力リスト!$H$10,"",IF(L11&lt;&gt;"","",IF(ISERROR(D11),"「"&amp;B11&amp;"」",IF(D11=0,"「"&amp;B11&amp;"」","")))))</f>
        <v/>
      </c>
      <c r="L11" s="447" t="str">
        <f>IF(入力シート!$C$5=入力リスト!$C$4,"",IF(入力シート!$J$16=入力リスト!$H$10,"",IF(ISERROR(E11),"「"&amp;B11&amp;"」",IF(E11=0,"「"&amp;B11&amp;"」",""))))</f>
        <v>「正規雇用労働者」</v>
      </c>
      <c r="M11" s="448" t="str">
        <f>IF(入力シート!$C$5=入力リスト!$C$4,"",IF(入力シート!$J$16=入力リスト!$H$10,IF(H11=0,"「"&amp;B11&amp;"」",""),""))</f>
        <v/>
      </c>
      <c r="N11" s="446" t="str">
        <f>IF(ISERROR($F11),"「"&amp;$B11&amp;"」",IF(O11&lt;&gt;"","",IF(F11=0,"「"&amp;$B11&amp;"」","")))</f>
        <v/>
      </c>
      <c r="O11" s="558" t="str">
        <f>IF(IF(ISERROR(G11),ISERROR(G11),G11=0),"「"&amp;B11&amp;"」","")</f>
        <v/>
      </c>
      <c r="P11" s="561"/>
    </row>
    <row r="12" spans="1:22" ht="15.6" thickBot="1">
      <c r="B12" s="443" t="str">
        <f>入力シート!C35</f>
        <v>非正規雇用労働者</v>
      </c>
      <c r="D12" s="444" t="e">
        <f>AVERAGEIFS('従業員情報(給与以外)'!$T:$T,'従業員情報(給与以外)'!$R:$R,"女",'従業員情報(給与以外)'!$O:$O,"非正規雇用")+AVERAGEIFS('従業員情報(給与以外)'!$U:$U,'従業員情報(給与以外)'!$R:$R,"女",'従業員情報(給与以外)'!$O:$O,"非正規雇用")+AVERAGEIFS('従業員情報(給与以外)'!$V:$V,'従業員情報(給与以外)'!$R:$R,"女",'従業員情報(給与以外)'!$O:$O,"非正規雇用")</f>
        <v>#DIV/0!</v>
      </c>
      <c r="E12" s="444" t="e">
        <f>AVERAGEIFS('従業員情報(給与以外)'!$T:$T,'従業員情報(給与以外)'!$R:$R,"男",'従業員情報(給与以外)'!$O:$O,"非正規雇用")+AVERAGEIFS('従業員情報(給与以外)'!$U:$U,'従業員情報(給与以外)'!$R:$R,"男",'従業員情報(給与以外)'!$O:$O,"非正規雇用")+AVERAGEIFS('従業員情報(給与以外)'!$V:$V,'従業員情報(給与以外)'!$R:$R,"男",'従業員情報(給与以外)'!$O:$O,"非正規雇用")</f>
        <v>#DIV/0!</v>
      </c>
      <c r="F12" s="426">
        <f>VLOOKUP($C$4&amp;"-非正規雇用",賃構DB!$A:$I,5,0)</f>
        <v>135273</v>
      </c>
      <c r="G12" s="426">
        <f>VLOOKUP($C$4&amp;"-非正規雇用",賃構DB!$A:$I,4,0)</f>
        <v>195707</v>
      </c>
      <c r="H12" s="445">
        <f>IF(入力シート!$C$5=入力リスト!$C$4,0,IF(入力シート!$J$16=入力リスト!$H$10,入力シート!$J35,IF(ISERROR($D12/$E12),0,$D12/$E12)))</f>
        <v>0</v>
      </c>
      <c r="I12" s="445">
        <f t="shared" si="0"/>
        <v>0.69120164327285172</v>
      </c>
      <c r="J12" s="425"/>
      <c r="K12" s="449" t="str">
        <f>IF(入力シート!$C$5=入力リスト!$C$4,"",IF(入力シート!$J$16=入力リスト!$H$10,"",IF(L12&lt;&gt;"","",IF(ISERROR(D12),"「"&amp;B12&amp;"」",IF(D12=0,"「"&amp;B12&amp;"」","")))))</f>
        <v/>
      </c>
      <c r="L12" s="450" t="str">
        <f>IF(入力シート!$C$5=入力リスト!$C$4,"",IF(入力シート!$J$16=入力リスト!$H$10,"",IF(ISERROR(E12),"「"&amp;B12&amp;"」",IF(E12=0,"「"&amp;B12&amp;"」",""))))</f>
        <v>「非正規雇用労働者」</v>
      </c>
      <c r="M12" s="451" t="str">
        <f>IF(入力シート!$C$5=入力リスト!$C$4,"",IF(入力シート!$J$16=入力リスト!$H$10,IF(H12=0,"「"&amp;B12&amp;"」",""),""))</f>
        <v/>
      </c>
      <c r="N12" s="449" t="str">
        <f>IF(ISERROR($F12),"「"&amp;$B12&amp;"」",IF(O12&lt;&gt;"","",IF(F12=0,"「"&amp;$B12&amp;"」","")))</f>
        <v/>
      </c>
      <c r="O12" s="559" t="str">
        <f>IF(IF(ISERROR(G12),ISERROR(G12),G12=0),"「"&amp;B12&amp;"」","")</f>
        <v/>
      </c>
      <c r="P12" s="561"/>
    </row>
    <row r="13" spans="1:22" ht="15.6" thickTop="1">
      <c r="D13" s="160" t="s">
        <v>5217</v>
      </c>
      <c r="E13" s="160" t="s">
        <v>5218</v>
      </c>
      <c r="G13" s="443"/>
      <c r="I13" s="156"/>
      <c r="J13" s="425"/>
      <c r="K13" s="452" t="str">
        <f>K10&amp;K11&amp;K12</f>
        <v/>
      </c>
      <c r="L13" s="453" t="str">
        <f>L10&amp;L11&amp;L12</f>
        <v>「全労働者」「正規雇用労働者」「非正規雇用労働者」</v>
      </c>
      <c r="M13" s="454" t="str">
        <f>M10&amp;M11&amp;M12</f>
        <v/>
      </c>
      <c r="N13" s="452" t="str">
        <f>N10&amp;N11&amp;N12</f>
        <v/>
      </c>
      <c r="O13" s="560" t="str">
        <f>O10&amp;O11&amp;O12</f>
        <v/>
      </c>
      <c r="P13" s="561"/>
    </row>
    <row r="14" spans="1:22">
      <c r="B14" s="160" t="s">
        <v>5216</v>
      </c>
      <c r="C14" s="570" t="str">
        <f>IF($C$3=入力リスト!$K$2,"","(参考)面積比　貴社：参考値=1 : "&amp;TEXT(E14/D14,"0.0"))</f>
        <v/>
      </c>
      <c r="D14" s="571">
        <f>SIN(RADIANS(120))*(H10*H11+H11*H12+H12*H10)/2</f>
        <v>0</v>
      </c>
      <c r="E14" s="571">
        <f>ROUND((SIN(RADIANS(120))*(I10*I11+I11*I12+I12*I10)/2),2)</f>
        <v>0.56000000000000005</v>
      </c>
      <c r="G14" s="443"/>
      <c r="I14" s="156"/>
      <c r="J14" s="455" t="str">
        <f>IF(OR(N14&lt;&gt;"",O14&lt;&gt;"",P14&lt;&gt;"",M14&lt;&gt;"",K14&lt;&gt;"",L14&lt;&gt;""),"「雇用形態別」では、下記理由のために値とグラフの一部が表示できていません。","")</f>
        <v>「雇用形態別」では、下記理由のために値とグラフの一部が表示できていません。</v>
      </c>
      <c r="K14" s="446" t="str">
        <f>IF(K13="","",CHAR(10)&amp;"    ・女性"&amp;K13&amp;"の雇用形態別データが0もしくは空白(0.0%)。")</f>
        <v/>
      </c>
      <c r="L14" s="447" t="str">
        <f>IF(L13="","",CHAR(10)&amp;"    ・男性"&amp;L13&amp;"雇用形態別データが0で計算不能。")</f>
        <v xml:space="preserve">
    ・男性「全労働者」「正規雇用労働者」「非正規雇用労働者」雇用形態別データが0で計算不能。</v>
      </c>
      <c r="M14" s="448" t="str">
        <f>IF(M13="","",CHAR(10)&amp;"    ・"&amp;M13&amp;"の入力値が0もしくは空白で0.0%。")</f>
        <v/>
      </c>
      <c r="N14" s="446" t="str">
        <f>IF(N13="","",CHAR(10)&amp;"    ・女性"&amp;N13&amp;"が0(0.0%)もしくは不存在(-)。")</f>
        <v/>
      </c>
      <c r="O14" s="558" t="str">
        <f>IF(O13="","",CHAR(10)&amp;"    ・男性"&amp;O13&amp;"が0もしくは不存在で計算不能。")</f>
        <v/>
      </c>
      <c r="P14" s="561"/>
    </row>
    <row r="15" spans="1:22" ht="6.45" customHeight="1" thickBot="1">
      <c r="B15" s="456"/>
      <c r="C15" s="456"/>
      <c r="D15" s="457"/>
      <c r="E15" s="457"/>
      <c r="F15" s="456"/>
      <c r="G15" s="458"/>
      <c r="H15" s="457"/>
      <c r="I15" s="457"/>
      <c r="J15" s="459"/>
      <c r="K15" s="460"/>
      <c r="L15" s="460"/>
      <c r="M15" s="460"/>
      <c r="N15" s="460"/>
      <c r="O15" s="460"/>
    </row>
    <row r="16" spans="1:22">
      <c r="E16" s="156"/>
      <c r="G16" s="160"/>
      <c r="I16" s="156"/>
      <c r="J16" s="434" t="s">
        <v>4974</v>
      </c>
      <c r="K16" s="462"/>
      <c r="L16" s="462"/>
      <c r="M16" s="462"/>
      <c r="N16" s="462"/>
      <c r="O16" s="462"/>
    </row>
    <row r="17" spans="2:22">
      <c r="B17" s="428" t="s">
        <v>4</v>
      </c>
      <c r="D17" s="160" t="s">
        <v>119</v>
      </c>
      <c r="F17" s="443" t="s">
        <v>24</v>
      </c>
      <c r="G17" s="160"/>
      <c r="H17" s="461"/>
      <c r="I17" s="461"/>
      <c r="K17" s="437" t="s">
        <v>4972</v>
      </c>
      <c r="L17" s="438"/>
      <c r="M17" s="439"/>
      <c r="N17" s="437" t="s">
        <v>4967</v>
      </c>
      <c r="O17" s="438"/>
      <c r="P17" s="562"/>
    </row>
    <row r="18" spans="2:22">
      <c r="B18" s="428"/>
      <c r="D18" s="160" t="s">
        <v>22</v>
      </c>
      <c r="E18" s="160" t="s">
        <v>21</v>
      </c>
      <c r="F18" s="160" t="s">
        <v>22</v>
      </c>
      <c r="G18" s="160" t="s">
        <v>21</v>
      </c>
      <c r="H18" s="461" t="s">
        <v>134</v>
      </c>
      <c r="I18" s="461" t="s">
        <v>135</v>
      </c>
      <c r="J18" s="425"/>
      <c r="K18" s="441" t="s">
        <v>4970</v>
      </c>
      <c r="L18" s="427" t="s">
        <v>4971</v>
      </c>
      <c r="M18" s="442" t="s">
        <v>4968</v>
      </c>
      <c r="N18" s="441" t="s">
        <v>4966</v>
      </c>
      <c r="O18" s="427" t="s">
        <v>4969</v>
      </c>
      <c r="P18" s="562"/>
      <c r="T18" s="568"/>
      <c r="U18" s="568"/>
    </row>
    <row r="19" spans="2:22">
      <c r="B19" s="463" t="s">
        <v>0</v>
      </c>
      <c r="D19" s="444" t="e">
        <f>AVERAGEIFS('従業員情報(給与以外)'!$T:$T,'従業員情報(給与以外)'!$R:$R,"女",'従業員情報(給与以外)'!$Q:$Q,計算!$B19,'従業員情報(給与以外)'!$O:$O,"正規雇用")+AVERAGEIFS('従業員情報(給与以外)'!$U:$U,'従業員情報(給与以外)'!$R:$R,"女",'従業員情報(給与以外)'!$Q:$Q,計算!$B19,'従業員情報(給与以外)'!$O:$O,"正規雇用")+AVERAGEIFS('従業員情報(給与以外)'!$V:$V,'従業員情報(給与以外)'!$R:$R,"女",'従業員情報(給与以外)'!$Q:$Q,計算!$B19,'従業員情報(給与以外)'!$O:$O,"正規雇用")</f>
        <v>#DIV/0!</v>
      </c>
      <c r="E19" s="444" t="e">
        <f>AVERAGEIFS('従業員情報(給与以外)'!$T:$T,'従業員情報(給与以外)'!$R:$R,"男",'従業員情報(給与以外)'!$Q:$Q,計算!$B19,'従業員情報(給与以外)'!$O:$O,"正規雇用")+AVERAGEIFS('従業員情報(給与以外)'!$U:$U,'従業員情報(給与以外)'!$R:$R,"男",'従業員情報(給与以外)'!$Q:$Q,計算!$B19,'従業員情報(給与以外)'!$O:$O,"正規雇用")+AVERAGEIFS('従業員情報(給与以外)'!$V:$V,'従業員情報(給与以外)'!$R:$R,"男",'従業員情報(給与以外)'!$Q:$Q,計算!$B19,'従業員情報(給与以外)'!$O:$O,"正規雇用")</f>
        <v>#DIV/0!</v>
      </c>
      <c r="F19" s="183">
        <f>VLOOKUP("正規雇用"&amp;"-"&amp;$C$4&amp;"-"&amp;$B19,賃構DB!$A:$I,5,0)</f>
        <v>254011</v>
      </c>
      <c r="G19" s="183">
        <f>VLOOKUP("正規雇用"&amp;"-"&amp;$C$4&amp;"-"&amp;$B19,賃構DB!$A:$I,4,0)</f>
        <v>311811</v>
      </c>
      <c r="H19" s="445">
        <f>IF($C$3="データ未",0,IF(入力シート!$C$5=入力リスト!$C$4,0,IF(入力シート!$J$18=入力リスト!$H$10,入力シート!$J37,IF(ISERROR($D19/$E19),0,$D19/$E19))))</f>
        <v>0</v>
      </c>
      <c r="I19" s="445">
        <f t="shared" ref="I19:I27" si="1">$F19/$G19</f>
        <v>0.81463129908822973</v>
      </c>
      <c r="K19" s="446" t="str">
        <f>IF(入力シート!$C$5=入力リスト!$C$4,"",IF(入力シート!$J$18=入力リスト!$H$10,"",IF(L19&lt;&gt;"","",IF(ISERROR(D19),"「"&amp;B19&amp;"」",IF(D19=0,"「"&amp;B19&amp;"」","")))))</f>
        <v/>
      </c>
      <c r="L19" s="447" t="str">
        <f>IF(入力シート!$C$5=入力リスト!$C$4,"",IF(入力シート!$J$18=入力リスト!$H$10,"",IF(ISERROR(E19),"「"&amp;B19&amp;"」",IF(E19=0,"「"&amp;B19&amp;"」",""))))</f>
        <v>「0年」</v>
      </c>
      <c r="M19" s="448" t="str">
        <f>IF(入力シート!$C$5=入力リスト!$C$4,"",IF(入力シート!$J$18=入力リスト!$H$10,IF(H19=0,"「"&amp;B19&amp;"」",""),""))</f>
        <v/>
      </c>
      <c r="N19" s="446" t="str">
        <f t="shared" ref="N19:N27" si="2">IF(ISERROR($F19),"「"&amp;$B19&amp;"」",IF(O19&lt;&gt;"","",IF(F19=0,"「"&amp;$B19&amp;"」","")))</f>
        <v/>
      </c>
      <c r="O19" s="558" t="str">
        <f t="shared" ref="O19:O27" si="3">IF(IF(ISERROR(G19),ISERROR(G19),G19=0),"「"&amp;B19&amp;"」","")</f>
        <v/>
      </c>
      <c r="P19" s="561"/>
      <c r="T19" s="568"/>
      <c r="U19" s="568"/>
    </row>
    <row r="20" spans="2:22">
      <c r="B20" s="463" t="s">
        <v>4526</v>
      </c>
      <c r="D20" s="444" t="e">
        <f>AVERAGEIFS('従業員情報(給与以外)'!$T:$T,'従業員情報(給与以外)'!$R:$R,"女",'従業員情報(給与以外)'!$Q:$Q,計算!$B20,'従業員情報(給与以外)'!$O:$O,"正規雇用")+AVERAGEIFS('従業員情報(給与以外)'!$U:$U,'従業員情報(給与以外)'!$R:$R,"女",'従業員情報(給与以外)'!$Q:$Q,計算!$B20,'従業員情報(給与以外)'!$O:$O,"正規雇用")+AVERAGEIFS('従業員情報(給与以外)'!$V:$V,'従業員情報(給与以外)'!$R:$R,"女",'従業員情報(給与以外)'!$Q:$Q,計算!$B20,'従業員情報(給与以外)'!$O:$O,"正規雇用")</f>
        <v>#DIV/0!</v>
      </c>
      <c r="E20" s="444" t="e">
        <f>AVERAGEIFS('従業員情報(給与以外)'!$T:$T,'従業員情報(給与以外)'!$R:$R,"男",'従業員情報(給与以外)'!$Q:$Q,計算!$B20,'従業員情報(給与以外)'!$O:$O,"正規雇用")+AVERAGEIFS('従業員情報(給与以外)'!$U:$U,'従業員情報(給与以外)'!$R:$R,"男",'従業員情報(給与以外)'!$Q:$Q,計算!$B20,'従業員情報(給与以外)'!$O:$O,"正規雇用")+AVERAGEIFS('従業員情報(給与以外)'!$V:$V,'従業員情報(給与以外)'!$R:$R,"男",'従業員情報(給与以外)'!$Q:$Q,計算!$B20,'従業員情報(給与以外)'!$O:$O,"正規雇用")</f>
        <v>#DIV/0!</v>
      </c>
      <c r="F20" s="183">
        <f>VLOOKUP("正規雇用"&amp;"-"&amp;$C$4&amp;"-"&amp;$B20,賃構DB!$A:$I,5,0)</f>
        <v>312837</v>
      </c>
      <c r="G20" s="183">
        <f>VLOOKUP("正規雇用"&amp;"-"&amp;$C$4&amp;"-"&amp;$B20,賃構DB!$A:$I,4,0)</f>
        <v>377563</v>
      </c>
      <c r="H20" s="445">
        <f>IF($C$3="データ未",0,IF(入力シート!$C$5=入力リスト!$C$4,0,IF(入力シート!$J$18=入力リスト!$H$10,入力シート!$J38,IF(ISERROR($D20/$E20),0,$D20/$E20))))</f>
        <v>0</v>
      </c>
      <c r="I20" s="445">
        <f t="shared" si="1"/>
        <v>0.82856900702664193</v>
      </c>
      <c r="K20" s="446" t="str">
        <f>IF(入力シート!$C$5=入力リスト!$C$4,"",IF(入力シート!$J$18=入力リスト!$H$10,"",IF(L20&lt;&gt;"","",IF(ISERROR(D20),"「"&amp;B20&amp;"」",IF(D20=0,"「"&amp;B20&amp;"」","")))))</f>
        <v/>
      </c>
      <c r="L20" s="447" t="str">
        <f>IF(入力シート!$C$5=入力リスト!$C$4,"",IF(入力シート!$J$18=入力リスト!$H$10,"",IF(ISERROR(E20),"「"&amp;B20&amp;"」",IF(E20=0,"「"&amp;B20&amp;"」",""))))</f>
        <v>「1-2年」</v>
      </c>
      <c r="M20" s="448" t="str">
        <f>IF(入力シート!$C$5=入力リスト!$C$4,"",IF(入力シート!$J$18=入力リスト!$H$10,IF(H20=0,"「"&amp;B20&amp;"」",""),""))</f>
        <v/>
      </c>
      <c r="N20" s="446" t="str">
        <f t="shared" si="2"/>
        <v/>
      </c>
      <c r="O20" s="558" t="str">
        <f t="shared" si="3"/>
        <v/>
      </c>
      <c r="P20" s="561"/>
      <c r="T20" s="568"/>
      <c r="U20" s="568"/>
      <c r="V20" s="569"/>
    </row>
    <row r="21" spans="2:22">
      <c r="B21" s="463" t="s">
        <v>4527</v>
      </c>
      <c r="D21" s="444" t="e">
        <f>AVERAGEIFS('従業員情報(給与以外)'!$T:$T,'従業員情報(給与以外)'!$R:$R,"女",'従業員情報(給与以外)'!$Q:$Q,計算!$B21,'従業員情報(給与以外)'!$O:$O,"正規雇用")+AVERAGEIFS('従業員情報(給与以外)'!$U:$U,'従業員情報(給与以外)'!$R:$R,"女",'従業員情報(給与以外)'!$Q:$Q,計算!$B21,'従業員情報(給与以外)'!$O:$O,"正規雇用")+AVERAGEIFS('従業員情報(給与以外)'!$V:$V,'従業員情報(給与以外)'!$R:$R,"女",'従業員情報(給与以外)'!$Q:$Q,計算!$B21,'従業員情報(給与以外)'!$O:$O,"正規雇用")</f>
        <v>#DIV/0!</v>
      </c>
      <c r="E21" s="444" t="e">
        <f>AVERAGEIFS('従業員情報(給与以外)'!$T:$T,'従業員情報(給与以外)'!$R:$R,"男",'従業員情報(給与以外)'!$Q:$Q,計算!$B21,'従業員情報(給与以外)'!$O:$O,"正規雇用")+AVERAGEIFS('従業員情報(給与以外)'!$U:$U,'従業員情報(給与以外)'!$R:$R,"男",'従業員情報(給与以外)'!$Q:$Q,計算!$B21,'従業員情報(給与以外)'!$O:$O,"正規雇用")+AVERAGEIFS('従業員情報(給与以外)'!$V:$V,'従業員情報(給与以外)'!$R:$R,"男",'従業員情報(給与以外)'!$Q:$Q,計算!$B21,'従業員情報(給与以外)'!$O:$O,"正規雇用")</f>
        <v>#DIV/0!</v>
      </c>
      <c r="F21" s="183">
        <f>VLOOKUP("正規雇用"&amp;"-"&amp;$C$4&amp;"-"&amp;$B21,賃構DB!$A:$I,5,0)</f>
        <v>333342</v>
      </c>
      <c r="G21" s="183">
        <f>VLOOKUP("正規雇用"&amp;"-"&amp;$C$4&amp;"-"&amp;$B21,賃構DB!$A:$I,4,0)</f>
        <v>409995</v>
      </c>
      <c r="H21" s="445">
        <f>IF($C$3="データ未",0,IF(入力シート!$C$5=入力リスト!$C$4,0,IF(入力シート!$J$18=入力リスト!$H$10,入力シート!$J39,IF(ISERROR($D21/$E21),0,$D21/$E21))))</f>
        <v>0</v>
      </c>
      <c r="I21" s="445">
        <f t="shared" si="1"/>
        <v>0.81303918340467562</v>
      </c>
      <c r="K21" s="446" t="str">
        <f>IF(入力シート!$C$5=入力リスト!$C$4,"",IF(入力シート!$J$18=入力リスト!$H$10,"",IF(L21&lt;&gt;"","",IF(ISERROR(D21),"「"&amp;B21&amp;"」",IF(D21=0,"「"&amp;B21&amp;"」","")))))</f>
        <v/>
      </c>
      <c r="L21" s="447" t="str">
        <f>IF(入力シート!$C$5=入力リスト!$C$4,"",IF(入力シート!$J$18=入力リスト!$H$10,"",IF(ISERROR(E21),"「"&amp;B21&amp;"」",IF(E21=0,"「"&amp;B21&amp;"」",""))))</f>
        <v>「3-4年」</v>
      </c>
      <c r="M21" s="448" t="str">
        <f>IF(入力シート!$C$5=入力リスト!$C$4,"",IF(入力シート!$J$18=入力リスト!$H$10,IF(H21=0,"「"&amp;B21&amp;"」",""),""))</f>
        <v/>
      </c>
      <c r="N21" s="446" t="str">
        <f t="shared" si="2"/>
        <v/>
      </c>
      <c r="O21" s="558" t="str">
        <f t="shared" si="3"/>
        <v/>
      </c>
      <c r="P21" s="561"/>
    </row>
    <row r="22" spans="2:22">
      <c r="B22" s="463" t="s">
        <v>4528</v>
      </c>
      <c r="D22" s="444" t="e">
        <f>AVERAGEIFS('従業員情報(給与以外)'!$T:$T,'従業員情報(給与以外)'!$R:$R,"女",'従業員情報(給与以外)'!$Q:$Q,計算!$B22,'従業員情報(給与以外)'!$O:$O,"正規雇用")+AVERAGEIFS('従業員情報(給与以外)'!$U:$U,'従業員情報(給与以外)'!$R:$R,"女",'従業員情報(給与以外)'!$Q:$Q,計算!$B22,'従業員情報(給与以外)'!$O:$O,"正規雇用")+AVERAGEIFS('従業員情報(給与以外)'!$V:$V,'従業員情報(給与以外)'!$R:$R,"女",'従業員情報(給与以外)'!$Q:$Q,計算!$B22,'従業員情報(給与以外)'!$O:$O,"正規雇用")</f>
        <v>#DIV/0!</v>
      </c>
      <c r="E22" s="444" t="e">
        <f>AVERAGEIFS('従業員情報(給与以外)'!$T:$T,'従業員情報(給与以外)'!$R:$R,"男",'従業員情報(給与以外)'!$Q:$Q,計算!$B22,'従業員情報(給与以外)'!$O:$O,"正規雇用")+AVERAGEIFS('従業員情報(給与以外)'!$U:$U,'従業員情報(給与以外)'!$R:$R,"男",'従業員情報(給与以外)'!$Q:$Q,計算!$B22,'従業員情報(給与以外)'!$O:$O,"正規雇用")+AVERAGEIFS('従業員情報(給与以外)'!$V:$V,'従業員情報(給与以外)'!$R:$R,"男",'従業員情報(給与以外)'!$Q:$Q,計算!$B22,'従業員情報(給与以外)'!$O:$O,"正規雇用")</f>
        <v>#DIV/0!</v>
      </c>
      <c r="F22" s="183">
        <f>VLOOKUP("正規雇用"&amp;"-"&amp;$C$4&amp;"-"&amp;$B22,賃構DB!$A:$I,5,0)</f>
        <v>354158</v>
      </c>
      <c r="G22" s="183">
        <f>VLOOKUP("正規雇用"&amp;"-"&amp;$C$4&amp;"-"&amp;$B22,賃構DB!$A:$I,4,0)</f>
        <v>441678</v>
      </c>
      <c r="H22" s="445">
        <f>IF($C$3="データ未",0,IF(入力シート!$C$5=入力リスト!$C$4,0,IF(入力シート!$J$18=入力リスト!$H$10,入力シート!$J40,IF(ISERROR($D22/$E22),0,$D22/$E22))))</f>
        <v>0</v>
      </c>
      <c r="I22" s="445">
        <f t="shared" si="1"/>
        <v>0.80184659412513193</v>
      </c>
      <c r="K22" s="446" t="str">
        <f>IF(入力シート!$C$5=入力リスト!$C$4,"",IF(入力シート!$J$18=入力リスト!$H$10,"",IF(L22&lt;&gt;"","",IF(ISERROR(D22),"「"&amp;B22&amp;"」",IF(D22=0,"「"&amp;B22&amp;"」","")))))</f>
        <v/>
      </c>
      <c r="L22" s="447" t="str">
        <f>IF(入力シート!$C$5=入力リスト!$C$4,"",IF(入力シート!$J$18=入力リスト!$H$10,"",IF(ISERROR(E22),"「"&amp;B22&amp;"」",IF(E22=0,"「"&amp;B22&amp;"」",""))))</f>
        <v>「5-9年」</v>
      </c>
      <c r="M22" s="448" t="str">
        <f>IF(入力シート!$C$5=入力リスト!$C$4,"",IF(入力シート!$J$18=入力リスト!$H$10,IF(H22=0,"「"&amp;B22&amp;"」",""),""))</f>
        <v/>
      </c>
      <c r="N22" s="446" t="str">
        <f t="shared" si="2"/>
        <v/>
      </c>
      <c r="O22" s="558" t="str">
        <f t="shared" si="3"/>
        <v/>
      </c>
      <c r="P22" s="561"/>
    </row>
    <row r="23" spans="2:22" ht="16.8" customHeight="1">
      <c r="B23" s="160" t="s">
        <v>4529</v>
      </c>
      <c r="D23" s="444" t="e">
        <f>AVERAGEIFS('従業員情報(給与以外)'!$T:$T,'従業員情報(給与以外)'!$R:$R,"女",'従業員情報(給与以外)'!$Q:$Q,計算!$B23,'従業員情報(給与以外)'!$O:$O,"正規雇用")+AVERAGEIFS('従業員情報(給与以外)'!$U:$U,'従業員情報(給与以外)'!$R:$R,"女",'従業員情報(給与以外)'!$Q:$Q,計算!$B23,'従業員情報(給与以外)'!$O:$O,"正規雇用")+AVERAGEIFS('従業員情報(給与以外)'!$V:$V,'従業員情報(給与以外)'!$R:$R,"女",'従業員情報(給与以外)'!$Q:$Q,計算!$B23,'従業員情報(給与以外)'!$O:$O,"正規雇用")</f>
        <v>#DIV/0!</v>
      </c>
      <c r="E23" s="444" t="e">
        <f>AVERAGEIFS('従業員情報(給与以外)'!$T:$T,'従業員情報(給与以外)'!$R:$R,"男",'従業員情報(給与以外)'!$Q:$Q,計算!$B23,'従業員情報(給与以外)'!$O:$O,"正規雇用")+AVERAGEIFS('従業員情報(給与以外)'!$U:$U,'従業員情報(給与以外)'!$R:$R,"男",'従業員情報(給与以外)'!$Q:$Q,計算!$B23,'従業員情報(給与以外)'!$O:$O,"正規雇用")+AVERAGEIFS('従業員情報(給与以外)'!$V:$V,'従業員情報(給与以外)'!$R:$R,"男",'従業員情報(給与以外)'!$Q:$Q,計算!$B23,'従業員情報(給与以外)'!$O:$O,"正規雇用")</f>
        <v>#DIV/0!</v>
      </c>
      <c r="F23" s="183">
        <f>VLOOKUP("正規雇用"&amp;"-"&amp;$C$4&amp;"-"&amp;$B23,賃構DB!$A:$I,5,0)</f>
        <v>379804</v>
      </c>
      <c r="G23" s="183">
        <f>VLOOKUP("正規雇用"&amp;"-"&amp;$C$4&amp;"-"&amp;$B23,賃構DB!$A:$I,4,0)</f>
        <v>492975</v>
      </c>
      <c r="H23" s="445">
        <f>IF($C$3="データ未",0,IF(入力シート!$C$5=入力リスト!$C$4,0,IF(入力シート!$J$18=入力リスト!$H$10,入力シート!$J41,IF(ISERROR($D23/$E23),0,$D23/$E23))))</f>
        <v>0</v>
      </c>
      <c r="I23" s="445">
        <f t="shared" si="1"/>
        <v>0.77043257771692275</v>
      </c>
      <c r="K23" s="446" t="str">
        <f>IF(入力シート!$C$5=入力リスト!$C$4,"",IF(入力シート!$J$18=入力リスト!$H$10,"",IF(L23&lt;&gt;"","",IF(ISERROR(D23),"「"&amp;B23&amp;"」",IF(D23=0,"「"&amp;B23&amp;"」","")))))</f>
        <v/>
      </c>
      <c r="L23" s="447" t="str">
        <f>IF(入力シート!$C$5=入力リスト!$C$4,"",IF(入力シート!$J$18=入力リスト!$H$10,"",IF(ISERROR(E23),"「"&amp;B23&amp;"」",IF(E23=0,"「"&amp;B23&amp;"」",""))))</f>
        <v>「10-14年」</v>
      </c>
      <c r="M23" s="448" t="str">
        <f>IF(入力シート!$C$5=入力リスト!$C$4,"",IF(入力シート!$J$18=入力リスト!$H$10,IF(H23=0,"「"&amp;B23&amp;"」",""),""))</f>
        <v/>
      </c>
      <c r="N23" s="446" t="str">
        <f t="shared" si="2"/>
        <v/>
      </c>
      <c r="O23" s="558" t="str">
        <f t="shared" si="3"/>
        <v/>
      </c>
      <c r="P23" s="561"/>
    </row>
    <row r="24" spans="2:22">
      <c r="B24" s="461" t="s">
        <v>4530</v>
      </c>
      <c r="D24" s="444" t="e">
        <f>AVERAGEIFS('従業員情報(給与以外)'!$T:$T,'従業員情報(給与以外)'!$R:$R,"女",'従業員情報(給与以外)'!$Q:$Q,計算!$B24,'従業員情報(給与以外)'!$O:$O,"正規雇用")+AVERAGEIFS('従業員情報(給与以外)'!$U:$U,'従業員情報(給与以外)'!$R:$R,"女",'従業員情報(給与以外)'!$Q:$Q,計算!$B24,'従業員情報(給与以外)'!$O:$O,"正規雇用")+AVERAGEIFS('従業員情報(給与以外)'!$V:$V,'従業員情報(給与以外)'!$R:$R,"女",'従業員情報(給与以外)'!$Q:$Q,計算!$B24,'従業員情報(給与以外)'!$O:$O,"正規雇用")</f>
        <v>#DIV/0!</v>
      </c>
      <c r="E24" s="444" t="e">
        <f>AVERAGEIFS('従業員情報(給与以外)'!$T:$T,'従業員情報(給与以外)'!$R:$R,"男",'従業員情報(給与以外)'!$Q:$Q,計算!$B24,'従業員情報(給与以外)'!$O:$O,"正規雇用")+AVERAGEIFS('従業員情報(給与以外)'!$U:$U,'従業員情報(給与以外)'!$R:$R,"男",'従業員情報(給与以外)'!$Q:$Q,計算!$B24,'従業員情報(給与以外)'!$O:$O,"正規雇用")+AVERAGEIFS('従業員情報(給与以外)'!$V:$V,'従業員情報(給与以外)'!$R:$R,"男",'従業員情報(給与以外)'!$Q:$Q,計算!$B24,'従業員情報(給与以外)'!$O:$O,"正規雇用")</f>
        <v>#DIV/0!</v>
      </c>
      <c r="F24" s="183">
        <f>VLOOKUP("正規雇用"&amp;"-"&amp;$C$4&amp;"-"&amp;$B24,賃構DB!$A:$I,5,0)</f>
        <v>413453</v>
      </c>
      <c r="G24" s="183">
        <f>VLOOKUP("正規雇用"&amp;"-"&amp;$C$4&amp;"-"&amp;$B24,賃構DB!$A:$I,4,0)</f>
        <v>550392</v>
      </c>
      <c r="H24" s="445">
        <f>IF($C$3="データ未",0,IF(入力シート!$C$5=入力リスト!$C$4,0,IF(入力シート!$J$18=入力リスト!$H$10,入力シート!$J42,IF(ISERROR($D24/$E24),0,$D24/$E24))))</f>
        <v>0</v>
      </c>
      <c r="I24" s="445">
        <f t="shared" si="1"/>
        <v>0.75119732844954146</v>
      </c>
      <c r="K24" s="446" t="str">
        <f>IF(入力シート!$C$5=入力リスト!$C$4,"",IF(入力シート!$J$18=入力リスト!$H$10,"",IF(L24&lt;&gt;"","",IF(ISERROR(D24),"「"&amp;B24&amp;"」",IF(D24=0,"「"&amp;B24&amp;"」","")))))</f>
        <v/>
      </c>
      <c r="L24" s="447" t="str">
        <f>IF(入力シート!$C$5=入力リスト!$C$4,"",IF(入力シート!$J$18=入力リスト!$H$10,"",IF(ISERROR(E24),"「"&amp;B24&amp;"」",IF(E24=0,"「"&amp;B24&amp;"」",""))))</f>
        <v>「15-19年」</v>
      </c>
      <c r="M24" s="448" t="str">
        <f>IF(入力シート!$C$5=入力リスト!$C$4,"",IF(入力シート!$J$18=入力リスト!$H$10,IF(H24=0,"「"&amp;B24&amp;"」",""),""))</f>
        <v/>
      </c>
      <c r="N24" s="446" t="str">
        <f t="shared" si="2"/>
        <v/>
      </c>
      <c r="O24" s="558" t="str">
        <f t="shared" si="3"/>
        <v/>
      </c>
      <c r="P24" s="561"/>
    </row>
    <row r="25" spans="2:22">
      <c r="B25" s="160" t="s">
        <v>4531</v>
      </c>
      <c r="D25" s="444" t="e">
        <f>AVERAGEIFS('従業員情報(給与以外)'!$T:$T,'従業員情報(給与以外)'!$R:$R,"女",'従業員情報(給与以外)'!$Q:$Q,計算!$B25,'従業員情報(給与以外)'!$O:$O,"正規雇用")+AVERAGEIFS('従業員情報(給与以外)'!$U:$U,'従業員情報(給与以外)'!$R:$R,"女",'従業員情報(給与以外)'!$Q:$Q,計算!$B25,'従業員情報(給与以外)'!$O:$O,"正規雇用")+AVERAGEIFS('従業員情報(給与以外)'!$V:$V,'従業員情報(給与以外)'!$R:$R,"女",'従業員情報(給与以外)'!$Q:$Q,計算!$B25,'従業員情報(給与以外)'!$O:$O,"正規雇用")</f>
        <v>#DIV/0!</v>
      </c>
      <c r="E25" s="444" t="e">
        <f>AVERAGEIFS('従業員情報(給与以外)'!$T:$T,'従業員情報(給与以外)'!$R:$R,"男",'従業員情報(給与以外)'!$Q:$Q,計算!$B25,'従業員情報(給与以外)'!$O:$O,"正規雇用")+AVERAGEIFS('従業員情報(給与以外)'!$U:$U,'従業員情報(給与以外)'!$R:$R,"男",'従業員情報(給与以外)'!$Q:$Q,計算!$B25,'従業員情報(給与以外)'!$O:$O,"正規雇用")+AVERAGEIFS('従業員情報(給与以外)'!$V:$V,'従業員情報(給与以外)'!$R:$R,"男",'従業員情報(給与以外)'!$Q:$Q,計算!$B25,'従業員情報(給与以外)'!$O:$O,"正規雇用")</f>
        <v>#DIV/0!</v>
      </c>
      <c r="F25" s="183">
        <f>VLOOKUP("正規雇用"&amp;"-"&amp;$C$4&amp;"-"&amp;$B25,賃構DB!$A:$I,5,0)</f>
        <v>438175</v>
      </c>
      <c r="G25" s="183">
        <f>VLOOKUP("正規雇用"&amp;"-"&amp;$C$4&amp;"-"&amp;$B25,賃構DB!$A:$I,4,0)</f>
        <v>588470</v>
      </c>
      <c r="H25" s="445">
        <f>IF($C$3="データ未",0,IF(入力シート!$C$5=入力リスト!$C$4,0,IF(入力シート!$J$18=入力リスト!$H$10,入力シート!$J43,IF(ISERROR($D25/$E25),0,$D25/$E25))))</f>
        <v>0</v>
      </c>
      <c r="I25" s="445">
        <f t="shared" si="1"/>
        <v>0.74460040443862896</v>
      </c>
      <c r="K25" s="446" t="str">
        <f>IF(入力シート!$C$5=入力リスト!$C$4,"",IF(入力シート!$J$18=入力リスト!$H$10,"",IF(L25&lt;&gt;"","",IF(ISERROR(D25),"「"&amp;B25&amp;"」",IF(D25=0,"「"&amp;B25&amp;"」","")))))</f>
        <v/>
      </c>
      <c r="L25" s="447" t="str">
        <f>IF(入力シート!$C$5=入力リスト!$C$4,"",IF(入力シート!$J$18=入力リスト!$H$10,"",IF(ISERROR(E25),"「"&amp;B25&amp;"」",IF(E25=0,"「"&amp;B25&amp;"」",""))))</f>
        <v>「20-24年」</v>
      </c>
      <c r="M25" s="448" t="str">
        <f>IF(入力シート!$C$5=入力リスト!$C$4,"",IF(入力シート!$J$18=入力リスト!$H$10,IF(H25=0,"「"&amp;B25&amp;"」",""),""))</f>
        <v/>
      </c>
      <c r="N25" s="446" t="str">
        <f t="shared" si="2"/>
        <v/>
      </c>
      <c r="O25" s="558" t="str">
        <f t="shared" si="3"/>
        <v/>
      </c>
      <c r="P25" s="561"/>
      <c r="R25" s="572"/>
    </row>
    <row r="26" spans="2:22">
      <c r="B26" s="160" t="s">
        <v>4532</v>
      </c>
      <c r="D26" s="444" t="e">
        <f>AVERAGEIFS('従業員情報(給与以外)'!$T:$T,'従業員情報(給与以外)'!$R:$R,"女",'従業員情報(給与以外)'!$Q:$Q,計算!$B26,'従業員情報(給与以外)'!$O:$O,"正規雇用")+AVERAGEIFS('従業員情報(給与以外)'!$U:$U,'従業員情報(給与以外)'!$R:$R,"女",'従業員情報(給与以外)'!$Q:$Q,計算!$B26,'従業員情報(給与以外)'!$O:$O,"正規雇用")+AVERAGEIFS('従業員情報(給与以外)'!$V:$V,'従業員情報(給与以外)'!$R:$R,"女",'従業員情報(給与以外)'!$Q:$Q,計算!$B26,'従業員情報(給与以外)'!$O:$O,"正規雇用")</f>
        <v>#DIV/0!</v>
      </c>
      <c r="E26" s="444" t="e">
        <f>AVERAGEIFS('従業員情報(給与以外)'!$T:$T,'従業員情報(給与以外)'!$R:$R,"男",'従業員情報(給与以外)'!$Q:$Q,計算!$B26,'従業員情報(給与以外)'!$O:$O,"正規雇用")+AVERAGEIFS('従業員情報(給与以外)'!$U:$U,'従業員情報(給与以外)'!$R:$R,"男",'従業員情報(給与以外)'!$Q:$Q,計算!$B26,'従業員情報(給与以外)'!$O:$O,"正規雇用")+AVERAGEIFS('従業員情報(給与以外)'!$V:$V,'従業員情報(給与以外)'!$R:$R,"男",'従業員情報(給与以外)'!$Q:$Q,計算!$B26,'従業員情報(給与以外)'!$O:$O,"正規雇用")</f>
        <v>#DIV/0!</v>
      </c>
      <c r="F26" s="183">
        <f>VLOOKUP("正規雇用"&amp;"-"&amp;$C$4&amp;"-"&amp;$B26,賃構DB!$A:$I,5,0)</f>
        <v>481253</v>
      </c>
      <c r="G26" s="183">
        <f>VLOOKUP("正規雇用"&amp;"-"&amp;$C$4&amp;"-"&amp;$B26,賃構DB!$A:$I,4,0)</f>
        <v>631226</v>
      </c>
      <c r="H26" s="445">
        <f>IF($C$3="データ未",0,IF(入力シート!$C$5=入力リスト!$C$4,0,IF(入力シート!$J$18=入力リスト!$H$10,入力シート!$J44,IF(ISERROR($D26/$E26),0,$D26/$E26))))</f>
        <v>0</v>
      </c>
      <c r="I26" s="445">
        <f t="shared" si="1"/>
        <v>0.7624099767753546</v>
      </c>
      <c r="K26" s="446" t="str">
        <f>IF(入力シート!$C$5=入力リスト!$C$4,"",IF(入力シート!$J$18=入力リスト!$H$10,"",IF(L26&lt;&gt;"","",IF(ISERROR(D26),"「"&amp;B26&amp;"」",IF(D26=0,"「"&amp;B26&amp;"」","")))))</f>
        <v/>
      </c>
      <c r="L26" s="447" t="str">
        <f>IF(入力シート!$C$5=入力リスト!$C$4,"",IF(入力シート!$J$18=入力リスト!$H$10,"",IF(ISERROR(E26),"「"&amp;B26&amp;"」",IF(E26=0,"「"&amp;B26&amp;"」",""))))</f>
        <v>「25-29年」</v>
      </c>
      <c r="M26" s="448" t="str">
        <f>IF(入力シート!$C$5=入力リスト!$C$4,"",IF(入力シート!$J$18=入力リスト!$H$10,IF(H26=0,"「"&amp;B26&amp;"」",""),""))</f>
        <v/>
      </c>
      <c r="N26" s="446" t="str">
        <f t="shared" si="2"/>
        <v/>
      </c>
      <c r="O26" s="558" t="str">
        <f t="shared" si="3"/>
        <v/>
      </c>
      <c r="P26" s="561"/>
    </row>
    <row r="27" spans="2:22" ht="15.6" thickBot="1">
      <c r="B27" s="461" t="s">
        <v>1</v>
      </c>
      <c r="D27" s="444" t="e">
        <f>AVERAGEIFS('従業員情報(給与以外)'!$T:$T,'従業員情報(給与以外)'!$R:$R,"女",'従業員情報(給与以外)'!$Q:$Q,計算!$B27,'従業員情報(給与以外)'!$O:$O,"正規雇用")+AVERAGEIFS('従業員情報(給与以外)'!$U:$U,'従業員情報(給与以外)'!$R:$R,"女",'従業員情報(給与以外)'!$Q:$Q,計算!$B27,'従業員情報(給与以外)'!$O:$O,"正規雇用")+AVERAGEIFS('従業員情報(給与以外)'!$V:$V,'従業員情報(給与以外)'!$R:$R,"女",'従業員情報(給与以外)'!$Q:$Q,計算!$B27,'従業員情報(給与以外)'!$O:$O,"正規雇用")</f>
        <v>#DIV/0!</v>
      </c>
      <c r="E27" s="444" t="e">
        <f>AVERAGEIFS('従業員情報(給与以外)'!$T:$T,'従業員情報(給与以外)'!$R:$R,"男",'従業員情報(給与以外)'!$Q:$Q,計算!$B27,'従業員情報(給与以外)'!$O:$O,"正規雇用")+AVERAGEIFS('従業員情報(給与以外)'!$U:$U,'従業員情報(給与以外)'!$R:$R,"男",'従業員情報(給与以外)'!$Q:$Q,計算!$B27,'従業員情報(給与以外)'!$O:$O,"正規雇用")+AVERAGEIFS('従業員情報(給与以外)'!$V:$V,'従業員情報(給与以外)'!$R:$R,"男",'従業員情報(給与以外)'!$Q:$Q,計算!$B27,'従業員情報(給与以外)'!$O:$O,"正規雇用")</f>
        <v>#DIV/0!</v>
      </c>
      <c r="F27" s="183">
        <f>VLOOKUP("正規雇用"&amp;"-"&amp;$C$4&amp;"-"&amp;$B27,賃構DB!$A:$I,5,0)</f>
        <v>507818</v>
      </c>
      <c r="G27" s="183">
        <f>VLOOKUP("正規雇用"&amp;"-"&amp;$C$4&amp;"-"&amp;$B27,賃構DB!$A:$I,4,0)</f>
        <v>662618</v>
      </c>
      <c r="H27" s="445">
        <f>IF($C$3="データ未",0,IF(入力シート!$C$5=入力リスト!$C$4,0,IF(入力シート!$J$18=入力リスト!$H$10,入力シート!$J45,IF(ISERROR($D27/$E27),0,$D27/$E27))))</f>
        <v>0</v>
      </c>
      <c r="I27" s="445">
        <f t="shared" si="1"/>
        <v>0.76638123322940221</v>
      </c>
      <c r="K27" s="449" t="str">
        <f>IF(入力シート!$C$5=入力リスト!$C$4,"",IF(入力シート!$J$18=入力リスト!$H$10,"",IF(L27&lt;&gt;"","",IF(ISERROR(D27),"「"&amp;B27&amp;"」",IF(D27=0,"「"&amp;B27&amp;"」","")))))</f>
        <v/>
      </c>
      <c r="L27" s="450" t="str">
        <f>IF(入力シート!$C$5=入力リスト!$C$4,"",IF(入力シート!$J$18=入力リスト!$H$10,"",IF(ISERROR(E27),"「"&amp;B27&amp;"」",IF(E27=0,"「"&amp;B27&amp;"」",""))))</f>
        <v>「30年以上」</v>
      </c>
      <c r="M27" s="451" t="str">
        <f>IF(入力シート!$C$5=入力リスト!$C$4,"",IF(入力シート!$J$18=入力リスト!$H$10,IF(H27=0,"「"&amp;B27&amp;"」",""),""))</f>
        <v/>
      </c>
      <c r="N27" s="449" t="str">
        <f t="shared" si="2"/>
        <v/>
      </c>
      <c r="O27" s="559" t="str">
        <f t="shared" si="3"/>
        <v/>
      </c>
      <c r="P27" s="561"/>
    </row>
    <row r="28" spans="2:22" ht="15.6" thickTop="1">
      <c r="D28" s="160" t="s">
        <v>5217</v>
      </c>
      <c r="E28" s="160" t="s">
        <v>5218</v>
      </c>
      <c r="G28" s="160"/>
      <c r="I28" s="156"/>
      <c r="J28" s="425"/>
      <c r="K28" s="452" t="str">
        <f>K19&amp;K20&amp;K21&amp;K22&amp;K23&amp;K24&amp;K25&amp;K26&amp;K27</f>
        <v/>
      </c>
      <c r="L28" s="453" t="str">
        <f>L19&amp;L20&amp;L21&amp;L22&amp;L23&amp;L24&amp;L25&amp;L26&amp;L27</f>
        <v>「0年」「1-2年」「3-4年」「5-9年」「10-14年」「15-19年」「20-24年」「25-29年」「30年以上」</v>
      </c>
      <c r="M28" s="454" t="str">
        <f>M19&amp;M20&amp;M21&amp;M22&amp;M23&amp;M24&amp;M25&amp;M26&amp;M27</f>
        <v/>
      </c>
      <c r="N28" s="452" t="str">
        <f>N19&amp;N20&amp;N21&amp;N22&amp;N23&amp;N24&amp;N25&amp;N26&amp;N27</f>
        <v/>
      </c>
      <c r="O28" s="560" t="str">
        <f>O19&amp;O20&amp;O21&amp;O22&amp;O23&amp;O24&amp;O25&amp;O26&amp;O27</f>
        <v/>
      </c>
      <c r="P28" s="561"/>
    </row>
    <row r="29" spans="2:22">
      <c r="B29" s="160" t="s">
        <v>5216</v>
      </c>
      <c r="C29" s="570" t="str">
        <f>IF($C$3=入力リスト!$K$2,"","(参考)面積比 貴社：参考値=1 : "&amp;TEXT(E29/D29,"0.0"))</f>
        <v/>
      </c>
      <c r="D29" s="571">
        <f>SIN(RADIANS(40))*(H19*H20+H20*H21+H21*H22+H22*H23+H23*H24+H24*H25+H25*H26+H26*H27+H27*H19)/2</f>
        <v>0</v>
      </c>
      <c r="E29" s="571">
        <f>SIN(RADIANS(40))*(I19*I20+I20*I21+I21*I22+I22*I23+I23*I24+I24*I25+I25*I26+I26*I27+I27*I19)/2</f>
        <v>1.7781861414223861</v>
      </c>
      <c r="G29" s="160"/>
      <c r="I29" s="156"/>
      <c r="J29" s="455" t="str">
        <f>IF(OR(N29&lt;&gt;"",O29&lt;&gt;"",P29&lt;&gt;"",M29&lt;&gt;"",K29&lt;&gt;"",L29&lt;&gt;""),"「勤続年数階級別」では、下記理由のためにグラフの一部が表示できていません。","")</f>
        <v>「勤続年数階級別」では、下記理由のためにグラフの一部が表示できていません。</v>
      </c>
      <c r="K29" s="446" t="str">
        <f>IF(K28="","",CHAR(10)&amp;"    ・女性"&amp;K28&amp;"の勤続年数階級別データが0。")</f>
        <v/>
      </c>
      <c r="L29" s="447" t="str">
        <f>IF(L28="","",CHAR(10)&amp;"    ・男性"&amp;L28&amp;"勤続年数別データが0。")</f>
        <v xml:space="preserve">
    ・男性「0年」「1-2年」「3-4年」「5-9年」「10-14年」「15-19年」「20-24年」「25-29年」「30年以上」勤続年数別データが0。</v>
      </c>
      <c r="M29" s="448" t="str">
        <f>IF(M28="","",CHAR(10)&amp;"    ・"&amp;M28&amp;"の入力値が0もしくは空白。")</f>
        <v/>
      </c>
      <c r="N29" s="446" t="str">
        <f>IF(N28="","",CHAR(10)&amp;"    ・女性"&amp;N28&amp;"が0もしくは不存在。")</f>
        <v/>
      </c>
      <c r="O29" s="558" t="str">
        <f>IF(O28="","",CHAR(10)&amp;"    ・男性"&amp;O28&amp;"が0もしくは不存在で計算不能。")</f>
        <v/>
      </c>
      <c r="P29" s="561"/>
    </row>
    <row r="30" spans="2:22" ht="7.2" customHeight="1" thickBot="1">
      <c r="B30" s="456"/>
      <c r="C30" s="456"/>
      <c r="D30" s="457"/>
      <c r="E30" s="457"/>
      <c r="F30" s="456"/>
      <c r="G30" s="456"/>
      <c r="H30" s="457"/>
      <c r="I30" s="457"/>
      <c r="J30" s="459"/>
      <c r="K30" s="460"/>
      <c r="L30" s="460"/>
      <c r="M30" s="460"/>
      <c r="N30" s="460"/>
      <c r="O30" s="460"/>
    </row>
    <row r="31" spans="2:22">
      <c r="E31" s="156"/>
      <c r="G31" s="443"/>
      <c r="I31" s="156"/>
      <c r="J31" s="434" t="s">
        <v>4974</v>
      </c>
    </row>
    <row r="32" spans="2:22">
      <c r="B32" s="428" t="s">
        <v>5</v>
      </c>
      <c r="D32" s="160" t="s">
        <v>119</v>
      </c>
      <c r="F32" s="443" t="s">
        <v>24</v>
      </c>
      <c r="G32" s="160"/>
      <c r="H32" s="426"/>
      <c r="I32" s="426"/>
      <c r="K32" s="437" t="s">
        <v>4972</v>
      </c>
      <c r="L32" s="438"/>
      <c r="M32" s="439"/>
      <c r="N32" s="437" t="s">
        <v>4967</v>
      </c>
      <c r="O32" s="438"/>
      <c r="P32" s="562"/>
    </row>
    <row r="33" spans="1:16">
      <c r="D33" s="160" t="s">
        <v>22</v>
      </c>
      <c r="E33" s="160" t="s">
        <v>21</v>
      </c>
      <c r="F33" s="160" t="s">
        <v>22</v>
      </c>
      <c r="G33" s="160" t="s">
        <v>21</v>
      </c>
      <c r="H33" s="461" t="s">
        <v>134</v>
      </c>
      <c r="I33" s="461" t="s">
        <v>135</v>
      </c>
      <c r="J33" s="425"/>
      <c r="K33" s="441" t="s">
        <v>4970</v>
      </c>
      <c r="L33" s="427" t="s">
        <v>4971</v>
      </c>
      <c r="M33" s="442" t="s">
        <v>4968</v>
      </c>
      <c r="N33" s="441" t="s">
        <v>4966</v>
      </c>
      <c r="O33" s="427" t="s">
        <v>4969</v>
      </c>
      <c r="P33" s="562"/>
    </row>
    <row r="34" spans="1:16">
      <c r="B34" s="461" t="s">
        <v>34</v>
      </c>
      <c r="D34" s="444" t="e">
        <f>AVERAGEIFS('従業員情報(給与以外)'!$T:$T,'従業員情報(給与以外)'!$R:$R,"女",'従業員情報(給与以外)'!$S:$S,計算!$B34,'従業員情報(給与以外)'!$O:$O,"正規雇用")+AVERAGEIFS('従業員情報(給与以外)'!$U:$U,'従業員情報(給与以外)'!$R:$R,"女",'従業員情報(給与以外)'!$S:$S,計算!$B34,'従業員情報(給与以外)'!$O:$O,"正規雇用")+AVERAGEIFS('従業員情報(給与以外)'!$V:$V,'従業員情報(給与以外)'!$R:$R,"女",'従業員情報(給与以外)'!$S:$S,計算!$B34,'従業員情報(給与以外)'!$O:$O,"正規雇用")</f>
        <v>#DIV/0!</v>
      </c>
      <c r="E34" s="444" t="e">
        <f>AVERAGEIFS('従業員情報(給与以外)'!$T:$T,'従業員情報(給与以外)'!$R:$R,"男",'従業員情報(給与以外)'!$S:$S,計算!$B34,'従業員情報(給与以外)'!$O:$O,"正規雇用")+AVERAGEIFS('従業員情報(給与以外)'!$U:$U,'従業員情報(給与以外)'!$R:$R,"男",'従業員情報(給与以外)'!$S:$S,計算!$B34,'従業員情報(給与以外)'!$O:$O,"正規雇用")+AVERAGEIFS('従業員情報(給与以外)'!$V:$V,'従業員情報(給与以外)'!$R:$R,"男",'従業員情報(給与以外)'!$S:$S,計算!$B34,'従業員情報(給与以外)'!$O:$O,"正規雇用")</f>
        <v>#DIV/0!</v>
      </c>
      <c r="F34" s="426">
        <f>VLOOKUP("正規雇用"&amp;"-"&amp;$C$4&amp;"-"&amp;"(空白)",賃構DB!$A:$I,5,0)</f>
        <v>342449</v>
      </c>
      <c r="G34" s="426">
        <f>VLOOKUP("正規雇用"&amp;"-"&amp;$C$4&amp;"-"&amp;"(空白)",賃構DB!$A:$I,4,0)</f>
        <v>431759</v>
      </c>
      <c r="H34" s="445">
        <f>IF($C$3="データ未",0,IF(入力シート!$C$5=入力リスト!$C$4,0,IF(入力シート!$J$20=入力リスト!$H$10,入力シート!$J47,IF(ISERROR($D34/$E34),0,$D34/$E34))))</f>
        <v>0</v>
      </c>
      <c r="I34" s="445">
        <f t="shared" ref="I34:I37" si="4">$F34/$G34</f>
        <v>0.79314849256182274</v>
      </c>
      <c r="J34" s="160"/>
      <c r="K34" s="446" t="str">
        <f>IF(入力シート!$C$5=入力リスト!$C$4,"",IF(入力シート!$J$20=入力リスト!$H$10,"",IF(L34&lt;&gt;"","",IF(ISERROR(D34),"「"&amp;B34&amp;"」",IF(D34=0,"「"&amp;B34&amp;"」","")))))</f>
        <v/>
      </c>
      <c r="L34" s="447" t="str">
        <f>IF(入力シート!$C$5=入力リスト!$C$4,"",IF(入力シート!$J$20=入力リスト!$H$10,"",IF(ISERROR(E34),"「"&amp;B34&amp;"」",IF(E34=0,"「"&amp;B34&amp;"」",""))))</f>
        <v>「非役職」</v>
      </c>
      <c r="M34" s="448" t="str">
        <f>IF(入力シート!$C$5=入力リスト!$C$4,"",IF(入力シート!$J$20=入力リスト!$H$10,IF(H34=0,"「"&amp;B34&amp;"」",""),""))</f>
        <v/>
      </c>
      <c r="N34" s="446" t="str">
        <f>IF(ISERROR($F34),"「"&amp;$B34&amp;"」",IF(O34&lt;&gt;"","",IF(F34=0,"「"&amp;$B34&amp;"」","")))</f>
        <v/>
      </c>
      <c r="O34" s="558" t="str">
        <f>IF(IF(ISERROR(G34),ISERROR(G34),G34=0),"「"&amp;B34&amp;"」","")</f>
        <v/>
      </c>
      <c r="P34" s="561"/>
    </row>
    <row r="35" spans="1:16">
      <c r="B35" s="461" t="s">
        <v>33</v>
      </c>
      <c r="D35" s="444" t="e">
        <f>AVERAGEIFS('従業員情報(給与以外)'!$T:$T,'従業員情報(給与以外)'!$R:$R,"女",'従業員情報(給与以外)'!$S:$S,計算!$B35,'従業員情報(給与以外)'!$O:$O,"正規雇用")+AVERAGEIFS('従業員情報(給与以外)'!$U:$U,'従業員情報(給与以外)'!$R:$R,"女",'従業員情報(給与以外)'!$S:$S,計算!$B35,'従業員情報(給与以外)'!$O:$O,"正規雇用")+AVERAGEIFS('従業員情報(給与以外)'!$V:$V,'従業員情報(給与以外)'!$R:$R,"女",'従業員情報(給与以外)'!$S:$S,計算!$B35,'従業員情報(給与以外)'!$O:$O,"正規雇用")</f>
        <v>#DIV/0!</v>
      </c>
      <c r="E35" s="444" t="e">
        <f>AVERAGEIFS('従業員情報(給与以外)'!$T:$T,'従業員情報(給与以外)'!$R:$R,"男",'従業員情報(給与以外)'!$S:$S,計算!$B35,'従業員情報(給与以外)'!$O:$O,"正規雇用")+AVERAGEIFS('従業員情報(給与以外)'!$U:$U,'従業員情報(給与以外)'!$R:$R,"男",'従業員情報(給与以外)'!$S:$S,計算!$B35,'従業員情報(給与以外)'!$O:$O,"正規雇用")+AVERAGEIFS('従業員情報(給与以外)'!$V:$V,'従業員情報(給与以外)'!$R:$R,"男",'従業員情報(給与以外)'!$S:$S,計算!$B35,'従業員情報(給与以外)'!$O:$O,"正規雇用")</f>
        <v>#DIV/0!</v>
      </c>
      <c r="F35" s="426">
        <f>VLOOKUP("正規雇用"&amp;"-"&amp;$C$4&amp;"-"&amp;103,賃構DB!$A:$I,5,0)</f>
        <v>458908</v>
      </c>
      <c r="G35" s="426">
        <f>VLOOKUP("正規雇用"&amp;"-"&amp;$C$4&amp;"-"&amp;103,賃構DB!$A:$I,4,0)</f>
        <v>547745</v>
      </c>
      <c r="H35" s="445">
        <f>IF($C$3="データ未",0,IF(入力シート!$C$5=入力リスト!$C$4,0,IF(入力シート!$J$20=入力リスト!$H$10,入力シート!$J48,IF(ISERROR($D35/$E35),0,$D35/$E35))))</f>
        <v>0</v>
      </c>
      <c r="I35" s="445">
        <f t="shared" si="4"/>
        <v>0.83781321600379743</v>
      </c>
      <c r="J35" s="160"/>
      <c r="K35" s="446" t="str">
        <f>IF(入力シート!$C$5=入力リスト!$C$4,"",IF(入力シート!$J$20=入力リスト!$H$10,"",IF(L35&lt;&gt;"","",IF(ISERROR(D35),"「"&amp;B35&amp;"」",IF(D35=0,"「"&amp;B35&amp;"」","")))))</f>
        <v/>
      </c>
      <c r="L35" s="447" t="str">
        <f>IF(入力シート!$C$5=入力リスト!$C$4,"",IF(入力シート!$J$20=入力リスト!$H$10,"",IF(ISERROR(E35),"「"&amp;B35&amp;"」",IF(E35=0,"「"&amp;B35&amp;"」",""))))</f>
        <v>「係長級」</v>
      </c>
      <c r="M35" s="448" t="str">
        <f>IF(入力シート!$C$5=入力リスト!$C$4,"",IF(入力シート!$J$20=入力リスト!$H$10,IF(H35=0,"「"&amp;B35&amp;"」",""),""))</f>
        <v/>
      </c>
      <c r="N35" s="446" t="str">
        <f>IF(ISERROR($F35),"「"&amp;$B35&amp;"」",IF(O35&lt;&gt;"","",IF(F35=0,"「"&amp;$B35&amp;"」","")))</f>
        <v/>
      </c>
      <c r="O35" s="558" t="str">
        <f>IF(IF(ISERROR(G35),ISERROR(G35),G35=0),"「"&amp;B35&amp;"」","")</f>
        <v/>
      </c>
      <c r="P35" s="561"/>
    </row>
    <row r="36" spans="1:16">
      <c r="B36" s="461" t="s">
        <v>7</v>
      </c>
      <c r="D36" s="444" t="e">
        <f>AVERAGEIFS('従業員情報(給与以外)'!$T:$T,'従業員情報(給与以外)'!$R:$R,"女",'従業員情報(給与以外)'!$S:$S,計算!$B36,'従業員情報(給与以外)'!$O:$O,"正規雇用")+AVERAGEIFS('従業員情報(給与以外)'!$U:$U,'従業員情報(給与以外)'!$R:$R,"女",'従業員情報(給与以外)'!$S:$S,計算!$B36,'従業員情報(給与以外)'!$O:$O,"正規雇用")+AVERAGEIFS('従業員情報(給与以外)'!$V:$V,'従業員情報(給与以外)'!$R:$R,"女",'従業員情報(給与以外)'!$S:$S,計算!$B36,'従業員情報(給与以外)'!$O:$O,"正規雇用")</f>
        <v>#DIV/0!</v>
      </c>
      <c r="E36" s="444" t="e">
        <f>AVERAGEIFS('従業員情報(給与以外)'!$T:$T,'従業員情報(給与以外)'!$R:$R,"男",'従業員情報(給与以外)'!$S:$S,計算!$B36,'従業員情報(給与以外)'!$O:$O,"正規雇用")+AVERAGEIFS('従業員情報(給与以外)'!$U:$U,'従業員情報(給与以外)'!$R:$R,"男",'従業員情報(給与以外)'!$S:$S,計算!$B36,'従業員情報(給与以外)'!$O:$O,"正規雇用")+AVERAGEIFS('従業員情報(給与以外)'!$V:$V,'従業員情報(給与以外)'!$R:$R,"男",'従業員情報(給与以外)'!$S:$S,計算!$B36,'従業員情報(給与以外)'!$O:$O,"正規雇用")</f>
        <v>#DIV/0!</v>
      </c>
      <c r="F36" s="426">
        <f>VLOOKUP("正規雇用"&amp;"-"&amp;$C$4&amp;"-"&amp;102,賃構DB!$A:$I,5,0)</f>
        <v>567512</v>
      </c>
      <c r="G36" s="426">
        <f>VLOOKUP("正規雇用"&amp;"-"&amp;$C$4&amp;"-"&amp;102,賃構DB!$A:$I,4,0)</f>
        <v>679829</v>
      </c>
      <c r="H36" s="445">
        <f>IF($C$3="データ未",0,IF(入力シート!$C$5=入力リスト!$C$4,0,IF(入力シート!$J$20=入力リスト!$H$10,入力シート!$J49,IF(ISERROR($D36/$E36),0,$D36/$E36))))</f>
        <v>0</v>
      </c>
      <c r="I36" s="445">
        <f t="shared" si="4"/>
        <v>0.83478639481398997</v>
      </c>
      <c r="J36" s="160"/>
      <c r="K36" s="446" t="str">
        <f>IF(入力シート!$C$5=入力リスト!$C$4,"",IF(入力シート!$J$20=入力リスト!$H$10,"",IF(L36&lt;&gt;"","",IF(ISERROR(D36),"「"&amp;B36&amp;"」",IF(D36=0,"「"&amp;B36&amp;"」","")))))</f>
        <v/>
      </c>
      <c r="L36" s="447" t="str">
        <f>IF(入力シート!$C$5=入力リスト!$C$4,"",IF(入力シート!$J$20=入力リスト!$H$10,"",IF(ISERROR(E36),"「"&amp;B36&amp;"」",IF(E36=0,"「"&amp;B36&amp;"」",""))))</f>
        <v>「課長級」</v>
      </c>
      <c r="M36" s="448" t="str">
        <f>IF(入力シート!$C$5=入力リスト!$C$4,"",IF(入力シート!$J$20=入力リスト!$H$10,IF(H36=0,"「"&amp;B36&amp;"」",""),""))</f>
        <v/>
      </c>
      <c r="N36" s="446" t="str">
        <f>IF(ISERROR($F36),"「"&amp;$B36&amp;"」",IF(O36&lt;&gt;"","",IF(F36=0,"「"&amp;$B36&amp;"」","")))</f>
        <v/>
      </c>
      <c r="O36" s="558" t="str">
        <f>IF(IF(ISERROR(G36),ISERROR(G36),G36=0),"「"&amp;B36&amp;"」","")</f>
        <v/>
      </c>
      <c r="P36" s="561"/>
    </row>
    <row r="37" spans="1:16" ht="15.6" thickBot="1">
      <c r="B37" s="461" t="s">
        <v>6</v>
      </c>
      <c r="D37" s="444" t="e">
        <f>AVERAGEIFS('従業員情報(給与以外)'!$T:$T,'従業員情報(給与以外)'!$R:$R,"女",'従業員情報(給与以外)'!$S:$S,計算!$B37,'従業員情報(給与以外)'!$O:$O,"正規雇用")+AVERAGEIFS('従業員情報(給与以外)'!$U:$U,'従業員情報(給与以外)'!$R:$R,"女",'従業員情報(給与以外)'!$S:$S,計算!$B37,'従業員情報(給与以外)'!$O:$O,"正規雇用")+AVERAGEIFS('従業員情報(給与以外)'!$V:$V,'従業員情報(給与以外)'!$R:$R,"女",'従業員情報(給与以外)'!$S:$S,計算!$B37,'従業員情報(給与以外)'!$O:$O,"正規雇用")</f>
        <v>#DIV/0!</v>
      </c>
      <c r="E37" s="444" t="e">
        <f>AVERAGEIFS('従業員情報(給与以外)'!$T:$T,'従業員情報(給与以外)'!$R:$R,"男",'従業員情報(給与以外)'!$S:$S,計算!$B37,'従業員情報(給与以外)'!$O:$O,"正規雇用")+AVERAGEIFS('従業員情報(給与以外)'!$U:$U,'従業員情報(給与以外)'!$R:$R,"男",'従業員情報(給与以外)'!$S:$S,計算!$B37,'従業員情報(給与以外)'!$O:$O,"正規雇用")+AVERAGEIFS('従業員情報(給与以外)'!$V:$V,'従業員情報(給与以外)'!$R:$R,"男",'従業員情報(給与以外)'!$S:$S,計算!$B37,'従業員情報(給与以外)'!$O:$O,"正規雇用")</f>
        <v>#DIV/0!</v>
      </c>
      <c r="F37" s="426">
        <f>VLOOKUP("正規雇用"&amp;"-"&amp;$C$4&amp;"-"&amp;101,賃構DB!$A:$I,5,0)</f>
        <v>651423</v>
      </c>
      <c r="G37" s="426">
        <f>VLOOKUP("正規雇用"&amp;"-"&amp;$C$4&amp;"-"&amp;101,賃構DB!$A:$I,4,0)</f>
        <v>796152</v>
      </c>
      <c r="H37" s="445">
        <f>IF($C$3="データ未",0,IF(入力シート!$C$5=入力リスト!$C$4,0,IF(入力シート!$J$20=入力リスト!$H$10,入力シート!$J50,IF(ISERROR($D37/$E37),0,$D37/$E37))))</f>
        <v>0</v>
      </c>
      <c r="I37" s="445">
        <f t="shared" si="4"/>
        <v>0.81821436107677936</v>
      </c>
      <c r="J37" s="160"/>
      <c r="K37" s="449" t="str">
        <f>IF(入力シート!$C$5=入力リスト!$C$4,"",IF(入力シート!$J$20=入力リスト!$H$10,"",IF(L37&lt;&gt;"","",IF(ISERROR(D37),"「"&amp;B37&amp;"」",IF(D37=0,"「"&amp;B37&amp;"」","")))))</f>
        <v/>
      </c>
      <c r="L37" s="450" t="str">
        <f>IF(入力シート!$C$5=入力リスト!$C$4,"",IF(入力シート!$J$20=入力リスト!$H$10,"",IF(ISERROR(E37),"「"&amp;B37&amp;"」",IF(E37=0,"「"&amp;B37&amp;"」",""))))</f>
        <v>「部長級」</v>
      </c>
      <c r="M37" s="451" t="str">
        <f>IF(入力シート!$C$5=入力リスト!$C$4,"",IF(入力シート!$J$20=入力リスト!$H$10,IF(H37=0,"「"&amp;B37&amp;"」",""),""))</f>
        <v/>
      </c>
      <c r="N37" s="449" t="str">
        <f>IF(ISERROR($F37),"「"&amp;$B37&amp;"」",IF(O37&lt;&gt;"","",IF(F37=0,"「"&amp;$B37&amp;"」","")))</f>
        <v/>
      </c>
      <c r="O37" s="559" t="str">
        <f>IF(IF(ISERROR(G37),ISERROR(G37),G37=0),"「"&amp;B37&amp;"」","")</f>
        <v/>
      </c>
      <c r="P37" s="561"/>
    </row>
    <row r="38" spans="1:16" ht="15.6" thickTop="1">
      <c r="D38" s="160" t="s">
        <v>5217</v>
      </c>
      <c r="E38" s="160" t="s">
        <v>5218</v>
      </c>
      <c r="F38" s="156"/>
      <c r="I38" s="156"/>
      <c r="J38" s="425"/>
      <c r="K38" s="452" t="str">
        <f>K34&amp;K35&amp;K36&amp;K37</f>
        <v/>
      </c>
      <c r="L38" s="453" t="str">
        <f>L34&amp;L35&amp;L36&amp;L37</f>
        <v>「非役職」「係長級」「課長級」「部長級」</v>
      </c>
      <c r="M38" s="454" t="str">
        <f>M34&amp;M35&amp;M36&amp;M37</f>
        <v/>
      </c>
      <c r="N38" s="452" t="str">
        <f>N35&amp;N36&amp;N37</f>
        <v/>
      </c>
      <c r="O38" s="560" t="str">
        <f>O35&amp;O36&amp;O37</f>
        <v/>
      </c>
      <c r="P38" s="561"/>
    </row>
    <row r="39" spans="1:16">
      <c r="B39" s="160" t="s">
        <v>5216</v>
      </c>
      <c r="C39" s="570" t="str">
        <f>IF($C$3=入力リスト!$K$2,"","(参考)面積比 貴社：参考値=1 : "&amp;TEXT(E39/D39,"0.0"))</f>
        <v/>
      </c>
      <c r="D39" s="571">
        <f>SIN(RADIANS(90))*(H34*H35+H35*H36+H36*H37+H37*H34)/2</f>
        <v>0</v>
      </c>
      <c r="E39" s="571">
        <f>SIN(RADIANS(90))*(I34*I35+I35*I36+I36*I37+I37*I34)/2</f>
        <v>1.3479525335929545</v>
      </c>
      <c r="G39" s="160"/>
      <c r="I39" s="156"/>
      <c r="J39" s="455" t="str">
        <f>IF(OR(N39&lt;&gt;"",O39&lt;&gt;"",P39&lt;&gt;"",M39&lt;&gt;"",K39&lt;&gt;"",L39&lt;&gt;""),"「役職別」では、下記理由のためにグラフの一部が表示できていません。","")</f>
        <v>「役職別」では、下記理由のためにグラフの一部が表示できていません。</v>
      </c>
      <c r="K39" s="446" t="str">
        <f>IF(K38="","",CHAR(10)&amp;"    ・女性"&amp;K38&amp;"の役職別データが0。")</f>
        <v/>
      </c>
      <c r="L39" s="447" t="str">
        <f>IF(L38="","",CHAR(10)&amp;"    ・男性"&amp;L38&amp;"役職別データが0。")</f>
        <v xml:space="preserve">
    ・男性「非役職」「係長級」「課長級」「部長級」役職別データが0。</v>
      </c>
      <c r="M39" s="448" t="str">
        <f>IF(M38="","",CHAR(10)&amp;"    ・"&amp;M38&amp;"の入力値が0もしくは空白。")</f>
        <v/>
      </c>
      <c r="N39" s="446" t="str">
        <f>IF(N38="","",CHAR(10)&amp;"    ・女性"&amp;N38&amp;"が0もしくは不存在。")</f>
        <v/>
      </c>
      <c r="O39" s="558" t="str">
        <f>IF(O38="","",CHAR(10)&amp;"    ・男性"&amp;O38&amp;"が0もしくは不存在で計算不能。")</f>
        <v/>
      </c>
      <c r="P39" s="561"/>
    </row>
    <row r="40" spans="1:16" ht="6.45" customHeight="1" thickBot="1">
      <c r="B40" s="456"/>
      <c r="C40" s="456"/>
      <c r="D40" s="457"/>
      <c r="E40" s="457"/>
      <c r="F40" s="456"/>
      <c r="G40" s="456"/>
      <c r="H40" s="457"/>
      <c r="I40" s="457"/>
      <c r="J40" s="459"/>
      <c r="K40" s="460"/>
      <c r="L40" s="460"/>
      <c r="M40" s="460"/>
      <c r="N40" s="460"/>
      <c r="O40" s="460"/>
    </row>
    <row r="41" spans="1:16" ht="12" customHeight="1">
      <c r="E41" s="156"/>
      <c r="G41" s="160"/>
      <c r="I41" s="156"/>
      <c r="J41" s="434" t="s">
        <v>4974</v>
      </c>
    </row>
    <row r="42" spans="1:16">
      <c r="A42" s="434" t="s">
        <v>136</v>
      </c>
      <c r="D42" s="160" t="s">
        <v>119</v>
      </c>
      <c r="F42" s="443" t="s">
        <v>24</v>
      </c>
      <c r="G42" s="160"/>
      <c r="H42" s="160"/>
      <c r="I42" s="465"/>
      <c r="K42" s="437" t="s">
        <v>4972</v>
      </c>
      <c r="L42" s="439"/>
      <c r="M42" s="466"/>
      <c r="N42" s="437" t="s">
        <v>4967</v>
      </c>
      <c r="O42" s="438"/>
      <c r="P42" s="562"/>
    </row>
    <row r="43" spans="1:16">
      <c r="D43" s="160" t="s">
        <v>22</v>
      </c>
      <c r="E43" s="160" t="s">
        <v>21</v>
      </c>
      <c r="F43" s="160" t="s">
        <v>22</v>
      </c>
      <c r="G43" s="160" t="s">
        <v>21</v>
      </c>
      <c r="H43" s="461" t="s">
        <v>134</v>
      </c>
      <c r="I43" s="461" t="s">
        <v>135</v>
      </c>
      <c r="K43" s="441" t="s">
        <v>4970</v>
      </c>
      <c r="L43" s="442" t="s">
        <v>4971</v>
      </c>
      <c r="M43" s="466"/>
      <c r="N43" s="441" t="s">
        <v>4966</v>
      </c>
      <c r="O43" s="427" t="s">
        <v>4969</v>
      </c>
      <c r="P43" s="562"/>
    </row>
    <row r="44" spans="1:16">
      <c r="B44" s="426" t="str">
        <f>"(正規)"&amp;入力シート!C54</f>
        <v>(正規)直近1年間の採用者数</v>
      </c>
      <c r="C44" s="160" t="s">
        <v>1206</v>
      </c>
      <c r="D44" s="467">
        <f>IF(入力シート!$C$5=入力リスト!$C$4,0,IF(入力シート!$J$22=入力リスト!$H$10,入力シート!$J$54,IF(入力シート!$J$26=入力リスト!$H$12,COUNTIFS('従業員情報(給与以外)'!$O:$O,"正規雇用",'従業員情報(給与以外)'!$R:$R,"女"),COUNTIFS('従業員情報(給与以外)'!$O:$O,"正規雇用",'従業員情報(給与以外)'!$Q:$Q,計算!$B$19,'従業員情報(給与以外)'!$R:$R,"女"))))</f>
        <v>0</v>
      </c>
      <c r="E44" s="468">
        <f>IF(入力シート!$C$5=入力リスト!$C$4,0,IF(入力シート!$J$22=入力リスト!$H$10,入力シート!$L$54,IF(入力シート!J26=入力リスト!H12,COUNTIFS('従業員情報(給与以外)'!$O:$O,"正規雇用",'従業員情報(給与以外)'!$R:$R,"男"),COUNTIFS('従業員情報(給与以外)'!$O:$O,"正規雇用",'従業員情報(給与以外)'!$Q:$Q,計算!$B$19,'従業員情報(給与以外)'!$R:$R,"男"))))</f>
        <v>0</v>
      </c>
      <c r="F44" s="467">
        <f>IF(入力シート!$J$26=入力リスト!$H$12,VLOOKUP("正規雇用"&amp;"-"&amp;$C$4&amp;"-"&amp;$B19,賃構DB!A:I,3,0),VLOOKUP("正規雇用-"&amp;$C$4,雇動DB!$A:$C,3,0))</f>
        <v>1470.5</v>
      </c>
      <c r="G44" s="467">
        <f>IF(入力シート!$J$26=入力リスト!$H$12,VLOOKUP("正規雇用"&amp;"-"&amp;$C$4&amp;"-"&amp;$B19,賃構DB!A:I,2,0),VLOOKUP("正規雇用-"&amp;$C$4,雇動DB!$A:$C,2,0))</f>
        <v>1816</v>
      </c>
      <c r="H44" s="54">
        <f t="shared" ref="H44:H50" si="5">IF($C$3="データ未",0,IF(ISERROR(D44/E44),0,D44/E44))</f>
        <v>0</v>
      </c>
      <c r="I44" s="445">
        <f t="shared" ref="I44:I50" si="6">$F44/$G44</f>
        <v>0.8097466960352423</v>
      </c>
      <c r="K44" s="446" t="str">
        <f>IF(入力シート!$C$5=入力リスト!$C$4,"",IF(D44=0,"「"&amp;B44&amp;"」",""))</f>
        <v>「(正規)直近1年間の採用者数」</v>
      </c>
      <c r="L44" s="448" t="str">
        <f>IF(入力シート!$C$5=入力リスト!$C$4,"",IF(E44=0,"「"&amp;B44&amp;"」",""))</f>
        <v>「(正規)直近1年間の採用者数」</v>
      </c>
      <c r="M44" s="469"/>
      <c r="N44" s="446" t="str">
        <f t="shared" ref="N44:N50" si="7">IF(ISERROR($F44),"「"&amp;$B44&amp;"」",IF(F44=0,"「"&amp;$B44&amp;"」",""))</f>
        <v/>
      </c>
      <c r="O44" s="558" t="str">
        <f t="shared" ref="O44:O50" si="8">IF(IF(ISERROR(G44),ISERROR(G44),G44=0),"「"&amp;B44&amp;"」","")</f>
        <v/>
      </c>
      <c r="P44" s="561"/>
    </row>
    <row r="45" spans="1:16">
      <c r="B45" s="426" t="str">
        <f>"(正規)"&amp;入力シート!C55</f>
        <v>(正規)平均勤続年数</v>
      </c>
      <c r="C45" s="160" t="s">
        <v>1206</v>
      </c>
      <c r="D45" s="470">
        <f>IF(入力シート!$C$5=入力リスト!$C$4,0,IF(入力シート!$J$22=入力リスト!$H$10,入力シート!$J$55,IF(COUNTIFS('従業員情報(給与以外)'!$O:$O,"正規雇用",'従業員情報(給与以外)'!$R:$R,"女")=0,0,AVERAGEIFS('従業員情報(給与以外)'!$P:$P,'従業員情報(給与以外)'!$O:$O,"正規雇用",'従業員情報(給与以外)'!$R:$R,"女"))))</f>
        <v>0</v>
      </c>
      <c r="E45" s="470">
        <f>IF(入力シート!$C$5=入力リスト!$C$4,0,IF(入力シート!$J$22=入力リスト!H$10,入力シート!$L$55,IF(COUNTIFS('従業員情報(給与以外)'!$O:$O,"正規雇用",'従業員情報(給与以外)'!$R:$R,"男")=0,0,AVERAGEIFS('従業員情報(給与以外)'!$P:$P,'従業員情報(給与以外)'!$O:$O,"正規雇用",'従業員情報(給与以外)'!$R:$R,"男"))))</f>
        <v>0</v>
      </c>
      <c r="F45" s="426">
        <f>VLOOKUP($C$4&amp;"-"&amp;"正規雇用",賃構DB!$A:$I,9,0)</f>
        <v>10</v>
      </c>
      <c r="G45" s="426">
        <f>VLOOKUP($C$4&amp;"-"&amp;"正規雇用",賃構DB!$A:$I,8,0)</f>
        <v>13.7</v>
      </c>
      <c r="H45" s="54">
        <f t="shared" si="5"/>
        <v>0</v>
      </c>
      <c r="I45" s="445">
        <f t="shared" si="6"/>
        <v>0.72992700729927007</v>
      </c>
      <c r="K45" s="446" t="str">
        <f>IF(入力シート!$C$5=入力リスト!$C$4,"",IF(D45=0,"「"&amp;B45&amp;"」",""))</f>
        <v>「(正規)平均勤続年数」</v>
      </c>
      <c r="L45" s="448" t="str">
        <f>IF(入力シート!$C$5=入力リスト!$C$4,"",IF(ISERROR(E45),"",IF(E45=0,"「"&amp;B45&amp;"」","")))</f>
        <v>「(正規)平均勤続年数」</v>
      </c>
      <c r="M45" s="469"/>
      <c r="N45" s="446" t="str">
        <f t="shared" si="7"/>
        <v/>
      </c>
      <c r="O45" s="558" t="str">
        <f t="shared" si="8"/>
        <v/>
      </c>
      <c r="P45" s="561"/>
    </row>
    <row r="46" spans="1:16">
      <c r="B46" s="426" t="str">
        <f>入力シート!C56</f>
        <v>管理職数</v>
      </c>
      <c r="C46" s="160" t="s">
        <v>1206</v>
      </c>
      <c r="D46" s="467">
        <f>IF(入力シート!$C$5=入力リスト!$C$4,0,IF(入力シート!$J$22=入力リスト!$H$10,入力シート!$J$56,(COUNTIFS('従業員情報(給与以外)'!$S:$S,"部長級",'従業員情報(給与以外)'!$R:$R,"女"))+(COUNTIFS('従業員情報(給与以外)'!$S:$S,"課長級",'従業員情報(給与以外)'!$R:$R,"女"))))</f>
        <v>0</v>
      </c>
      <c r="E46" s="467">
        <f>IF(入力シート!$C$5=入力リスト!$C$4,0,IF(入力シート!$J$22=入力リスト!$H$10,入力シート!$L$56,(COUNTIFS('従業員情報(給与以外)'!$S:$S,"部長級",'従業員情報(給与以外)'!$R:$R,"男"))+(COUNTIFS('従業員情報(給与以外)'!$S:$S,"課長級",'従業員情報(給与以外)'!$R:$R,"男"))))</f>
        <v>0</v>
      </c>
      <c r="F46" s="426">
        <f>VLOOKUP("正規雇用"&amp;"-"&amp;$C$4&amp;"-"&amp;102,賃構DB!$A:$I,3,0)+VLOOKUP("正規雇用"&amp;"-"&amp;$C$4&amp;"-"&amp;101,賃構DB!$A:$I,3,0)</f>
        <v>355831</v>
      </c>
      <c r="G46" s="426">
        <f>VLOOKUP("正規雇用"&amp;"-"&amp;$C$4&amp;"-"&amp;102,賃構DB!$A:$I,2,0)+VLOOKUP("正規雇用"&amp;"-"&amp;$C$4&amp;"-"&amp;101,賃構DB!$A:$I,2,0)</f>
        <v>2434100</v>
      </c>
      <c r="H46" s="54">
        <f t="shared" si="5"/>
        <v>0</v>
      </c>
      <c r="I46" s="445">
        <f t="shared" si="6"/>
        <v>0.14618585924982538</v>
      </c>
      <c r="K46" s="446" t="str">
        <f>IF(入力シート!$C$5=入力リスト!$C$4,"",IF(D46=0,"「"&amp;B46&amp;"」",""))</f>
        <v>「管理職数」</v>
      </c>
      <c r="L46" s="448" t="str">
        <f>IF(入力シート!$C$5=入力リスト!$C$4,"",IF(ISERROR(E46),"",IF(E46=0,"「"&amp;B46&amp;"」","")))</f>
        <v>「管理職数」</v>
      </c>
      <c r="M46" s="469"/>
      <c r="N46" s="446" t="str">
        <f t="shared" si="7"/>
        <v/>
      </c>
      <c r="O46" s="558" t="str">
        <f t="shared" si="8"/>
        <v/>
      </c>
      <c r="P46" s="561"/>
    </row>
    <row r="47" spans="1:16">
      <c r="B47" s="426" t="str">
        <f>"(正規)"&amp;入力シート!C57</f>
        <v>(正規)一月当たりの平均残業時間</v>
      </c>
      <c r="C47" s="160" t="s">
        <v>1206</v>
      </c>
      <c r="D47" s="471">
        <f>IF(入力シート!$C$5=入力リスト!$C$4,0,IF(入力シート!$J$22=入力リスト!$H$10,入力シート!$J$57,IF(COUNTIFS('従業員情報(給与以外)'!$O:$O,"正規雇用",'従業員情報(給与以外)'!$R:$R,"女")=0,0,AVERAGEIFS('従業員情報(給与以外)'!$W:$W,'従業員情報(給与以外)'!$O:$O,"正規雇用",'従業員情報(給与以外)'!$R:$R,"女"))))</f>
        <v>0</v>
      </c>
      <c r="E47" s="471">
        <f>IF(入力シート!$C$5=入力リスト!$C$4,0,IF(入力シート!$J$22=入力リスト!$H$10,入力シート!$L$57,IF(COUNTIFS('従業員情報(給与以外)'!$O:$O,"正規雇用",'従業員情報(給与以外)'!$R:$R,"男")=0,0,AVERAGEIFS('従業員情報(給与以外)'!$W:$W,'従業員情報(給与以外)'!$O:$O,"正規雇用",'従業員情報(給与以外)'!$R:$R,"男"))))</f>
        <v>0</v>
      </c>
      <c r="F47" s="472">
        <f>VLOOKUP($C$4&amp;"-"&amp;"正規雇用",賃構DB!$A:$I,7,0)</f>
        <v>7.7</v>
      </c>
      <c r="G47" s="472">
        <f>VLOOKUP($C$4&amp;"-"&amp;"正規雇用",賃構DB!$A:$I,6,0)</f>
        <v>14.2</v>
      </c>
      <c r="H47" s="54">
        <f t="shared" si="5"/>
        <v>0</v>
      </c>
      <c r="I47" s="445">
        <f t="shared" si="6"/>
        <v>0.54225352112676062</v>
      </c>
      <c r="K47" s="446" t="str">
        <f>IF(入力シート!$C$5=入力リスト!$C$4,"",IF(D47=0,"「"&amp;B47&amp;"」",""))</f>
        <v>「(正規)一月当たりの平均残業時間」</v>
      </c>
      <c r="L47" s="448" t="str">
        <f>IF(入力シート!$C$5=入力リスト!$C$4,"",IF(ISERROR(E47),"",IF(E47=0,"「"&amp;B47&amp;"」","")))</f>
        <v>「(正規)一月当たりの平均残業時間」</v>
      </c>
      <c r="M47" s="469"/>
      <c r="N47" s="446" t="str">
        <f t="shared" si="7"/>
        <v/>
      </c>
      <c r="O47" s="558" t="str">
        <f t="shared" si="8"/>
        <v/>
      </c>
      <c r="P47" s="561"/>
    </row>
    <row r="48" spans="1:16">
      <c r="B48" s="426" t="str">
        <f>"(非正規)"&amp;入力シート!C54</f>
        <v>(非正規)直近1年間の採用者数</v>
      </c>
      <c r="C48" s="160" t="s">
        <v>1207</v>
      </c>
      <c r="D48" s="467">
        <f>IF(入力シート!$C$5=入力リスト!$C$4,0,IF(入力シート!$J$22=入力リスト!$H$10,入力シート!$N$54,IF(入力シート!$J$26=入力リスト!$H$12,COUNTIFS('従業員情報(給与以外)'!$O:$O,"非正規雇用",'従業員情報(給与以外)'!$R:$R,"女"),COUNTIFS('従業員情報(給与以外)'!$O:$O,"非正規雇用",'従業員情報(給与以外)'!$Q:$Q,計算!$B$19,'従業員情報(給与以外)'!$R:$R,"女"))))</f>
        <v>0</v>
      </c>
      <c r="E48" s="468">
        <f>IF(入力シート!$C$5=入力リスト!$C$4,0,IF(入力シート!$J$22=入力リスト!$H$10,入力シート!$P$54,IF(入力シート!J26=入力リスト!$H$12,COUNTIFS('従業員情報(給与以外)'!$O:$O,"非正規雇用",'従業員情報(給与以外)'!$R:$R,"男"),COUNTIFS('従業員情報(給与以外)'!$O:$O,"非正規雇用",'従業員情報(給与以外)'!$Q:$Q,計算!$B$19,'従業員情報(給与以外)'!$R:$R,"男"))))</f>
        <v>0</v>
      </c>
      <c r="F48" s="467">
        <f>IF(入力シート!$J$26=入力リスト!$H$12,VLOOKUP("非正規雇用"&amp;"-"&amp;$C$4&amp;"-"&amp;$B19,賃構DB!$A:$I,3,0),VLOOKUP("非正規雇用-"&amp;$C$4,雇動DB!$A:$C,2,0))</f>
        <v>2130.6999999999998</v>
      </c>
      <c r="G48" s="467">
        <f>IF(入力シート!$J$26=入力リスト!$H$12,VLOOKUP("非正規雇用"&amp;"-"&amp;$C$4&amp;"-"&amp;$B19,賃構DB!$A:$I,2,0),VLOOKUP("非正規雇用-"&amp;$C$4,雇動DB!$A:$C,2,0))</f>
        <v>2130.6999999999998</v>
      </c>
      <c r="H48" s="54">
        <f t="shared" si="5"/>
        <v>0</v>
      </c>
      <c r="I48" s="445">
        <f t="shared" si="6"/>
        <v>1</v>
      </c>
      <c r="K48" s="446" t="str">
        <f>IF(入力シート!$C$5=入力リスト!$C$4,"",IF(D48=0,"「"&amp;B48&amp;"」",""))</f>
        <v>「(非正規)直近1年間の採用者数」</v>
      </c>
      <c r="L48" s="448" t="str">
        <f>IF(入力シート!$C$5=入力リスト!$C$4,"",IF(E48=0,"「"&amp;B48&amp;"」",""))</f>
        <v>「(非正規)直近1年間の採用者数」</v>
      </c>
      <c r="M48" s="469"/>
      <c r="N48" s="446" t="str">
        <f t="shared" si="7"/>
        <v/>
      </c>
      <c r="O48" s="558" t="str">
        <f t="shared" si="8"/>
        <v/>
      </c>
      <c r="P48" s="561"/>
    </row>
    <row r="49" spans="1:16">
      <c r="B49" s="426" t="str">
        <f>"(非正規)"&amp;入力シート!C55</f>
        <v>(非正規)平均勤続年数</v>
      </c>
      <c r="C49" s="160" t="s">
        <v>1207</v>
      </c>
      <c r="D49" s="470">
        <f>IF(入力シート!$C$5=入力リスト!$C$4,0,IF(入力シート!$J$22=入力リスト!$H$10,入力シート!$N$55,IF(COUNTIFS('従業員情報(給与以外)'!$O:$O,"非正規雇用",'従業員情報(給与以外)'!$R:$R,"女")=0,0,AVERAGEIFS('従業員情報(給与以外)'!$P:$P,'従業員情報(給与以外)'!$O:$O,"非正規雇用",'従業員情報(給与以外)'!$R:$R,"女"))))</f>
        <v>0</v>
      </c>
      <c r="E49" s="470">
        <f>IF(入力シート!$C$5=入力リスト!$C$4,0,IF(入力シート!$J$22=入力リスト!$H$10,入力シート!$P$55,IF(COUNTIFS('従業員情報(給与以外)'!$O:$O,"非正規雇用",'従業員情報(給与以外)'!$R:$R,"男")=0,0,AVERAGEIFS('従業員情報(給与以外)'!$P:$P,'従業員情報(給与以外)'!$O:$O,"非正規雇用",'従業員情報(給与以外)'!$R:$R,"男"))))</f>
        <v>0</v>
      </c>
      <c r="F49" s="426">
        <f>VLOOKUP($C$4&amp;"-"&amp;"非正規雇用",賃構DB!$A:$I,9,0)</f>
        <v>6.5</v>
      </c>
      <c r="G49" s="426">
        <f>VLOOKUP($C$4&amp;"-"&amp;"非正規雇用",賃構DB!$A:$I,8,0)</f>
        <v>7.3</v>
      </c>
      <c r="H49" s="54">
        <f t="shared" si="5"/>
        <v>0</v>
      </c>
      <c r="I49" s="445">
        <f t="shared" si="6"/>
        <v>0.8904109589041096</v>
      </c>
      <c r="K49" s="446" t="str">
        <f>IF(入力シート!$C$5=入力リスト!$C$4,"",IF(D49=0,"「"&amp;B49&amp;"」",""))</f>
        <v>「(非正規)平均勤続年数」</v>
      </c>
      <c r="L49" s="448" t="str">
        <f>IF(入力シート!$C$5=入力リスト!$C$4,"",IF(ISERROR(E49),"",IF(E49=0,"「"&amp;B49&amp;"」","")))</f>
        <v>「(非正規)平均勤続年数」</v>
      </c>
      <c r="M49" s="469"/>
      <c r="N49" s="446" t="str">
        <f t="shared" si="7"/>
        <v/>
      </c>
      <c r="O49" s="558" t="str">
        <f t="shared" si="8"/>
        <v/>
      </c>
      <c r="P49" s="561"/>
    </row>
    <row r="50" spans="1:16" ht="15.6" thickBot="1">
      <c r="B50" s="426" t="str">
        <f>"(非正規)"&amp;入力シート!C57</f>
        <v>(非正規)一月当たりの平均残業時間</v>
      </c>
      <c r="C50" s="160" t="s">
        <v>1207</v>
      </c>
      <c r="D50" s="471">
        <f>IF(入力シート!$C$5=入力リスト!$C$4,0,IF(入力シート!$J$22=入力リスト!$H$10,入力シート!$N$57,IF(COUNTIFS('従業員情報(給与以外)'!$O:$O,"非正規雇用",'従業員情報(給与以外)'!$R:$R,"女")=0,0,AVERAGEIFS('従業員情報(給与以外)'!$W:$W,'従業員情報(給与以外)'!$O:$O,"非正規雇用",'従業員情報(給与以外)'!$R:$R,"女"))))</f>
        <v>0</v>
      </c>
      <c r="E50" s="471">
        <f>IF(入力シート!$C$5=入力リスト!$C$4,0,IF(入力シート!$J$22=入力リスト!$H$10,入力シート!$P$57,IF(COUNTIFS('従業員情報(給与以外)'!$O:$O,"非正規雇用",'従業員情報(給与以外)'!$R:$R,"男")=0,0,AVERAGEIFS('従業員情報(給与以外)'!$W:$W,'従業員情報(給与以外)'!$O:$O,"非正規雇用",'従業員情報(給与以外)'!$R:$R,"男"))))</f>
        <v>0</v>
      </c>
      <c r="F50" s="472">
        <f>VLOOKUP($C$4&amp;"-"&amp;"非正規雇用",賃構DB!$A:$I,7,0)</f>
        <v>2.6</v>
      </c>
      <c r="G50" s="472">
        <f>VLOOKUP($C$4&amp;"-"&amp;"非正規雇用",賃構DB!$A:$I,6,0)</f>
        <v>5.4</v>
      </c>
      <c r="H50" s="54">
        <f t="shared" si="5"/>
        <v>0</v>
      </c>
      <c r="I50" s="445">
        <f t="shared" si="6"/>
        <v>0.48148148148148145</v>
      </c>
      <c r="K50" s="449" t="str">
        <f>IF(入力シート!$C$5=入力リスト!$C$4,"",IF(D50=0,"「"&amp;B50&amp;"」",""))</f>
        <v>「(非正規)一月当たりの平均残業時間」</v>
      </c>
      <c r="L50" s="451" t="str">
        <f>IF(入力シート!$C$5=入力リスト!$C$4,"",IF(ISERROR(E50),"",IF(E50=0,"「"&amp;B50&amp;"」","")))</f>
        <v>「(非正規)一月当たりの平均残業時間」</v>
      </c>
      <c r="M50" s="469"/>
      <c r="N50" s="449" t="str">
        <f t="shared" si="7"/>
        <v/>
      </c>
      <c r="O50" s="559" t="str">
        <f t="shared" si="8"/>
        <v/>
      </c>
      <c r="P50" s="561"/>
    </row>
    <row r="51" spans="1:16" ht="15.6" thickTop="1">
      <c r="D51" s="426" t="s">
        <v>5219</v>
      </c>
      <c r="E51" s="426" t="s">
        <v>5220</v>
      </c>
      <c r="F51" s="183"/>
      <c r="G51" s="426" t="s">
        <v>5221</v>
      </c>
      <c r="H51" s="426" t="s">
        <v>5222</v>
      </c>
      <c r="K51" s="452" t="str">
        <f>K44&amp;K45&amp;K46&amp;K47&amp;K48&amp;K49&amp;K50</f>
        <v>「(正規)直近1年間の採用者数」「(正規)平均勤続年数」「管理職数」「(正規)一月当たりの平均残業時間」「(非正規)直近1年間の採用者数」「(非正規)平均勤続年数」「(非正規)一月当たりの平均残業時間」</v>
      </c>
      <c r="L51" s="454" t="str">
        <f>L44&amp;L45&amp;L46&amp;L47&amp;L48&amp;L49&amp;L50</f>
        <v>「(正規)直近1年間の採用者数」「(正規)平均勤続年数」「管理職数」「(正規)一月当たりの平均残業時間」「(非正規)直近1年間の採用者数」「(非正規)平均勤続年数」「(非正規)一月当たりの平均残業時間」</v>
      </c>
      <c r="M51" s="469"/>
      <c r="N51" s="452" t="str">
        <f>N44&amp;N45&amp;N46&amp;N47&amp;N48&amp;N49&amp;N50</f>
        <v/>
      </c>
      <c r="O51" s="560" t="str">
        <f>O44&amp;O45&amp;O46&amp;O47&amp;O48&amp;O49&amp;O50</f>
        <v/>
      </c>
      <c r="P51" s="561"/>
    </row>
    <row r="52" spans="1:16">
      <c r="B52" s="160" t="s">
        <v>5216</v>
      </c>
      <c r="C52" s="570" t="str">
        <f>IF($C$3=入力リスト!$K$2,"","(参考)面積比 貴社：参考値=1 : "&amp;TEXT(E52/D52,"0.0"))</f>
        <v/>
      </c>
      <c r="D52" s="472">
        <f>SIN(RADIANS(90))*(H44*H45+H45*H46+H46*H47+H47*H44)/2</f>
        <v>0</v>
      </c>
      <c r="E52" s="472">
        <f>SIN(RADIANS(90))*(I44*I45+I45*I46+I46*I47+I47*I44)/2</f>
        <v>0.60805939166110168</v>
      </c>
      <c r="F52" s="570" t="str">
        <f>IF($C$3=入力リスト!$K$2,"","(参考)面積比 貴社：参考値=1 : "&amp;TEXT(H52/G52,"0.0"))</f>
        <v/>
      </c>
      <c r="G52" s="472">
        <f>SIN(RADIANS(120))*(H48*H49+H49*H50+H50*H48)/2</f>
        <v>0</v>
      </c>
      <c r="H52" s="472">
        <f>SIN(RADIANS(120))*(I48*I49+I49*I50+I50*I48)/2</f>
        <v>0.77968649366589871</v>
      </c>
      <c r="J52" s="455" t="str">
        <f>IF(OR(N52&lt;&gt;"",O52&lt;&gt;"",P52&lt;&gt;"",K52&lt;&gt;"",L52&lt;&gt;""),"「男女間賃金差異が生じる要因」では、下記理由のため値とグラフの一部が表示できていません。","")</f>
        <v>「男女間賃金差異が生じる要因」では、下記理由のため値とグラフの一部が表示できていません。</v>
      </c>
      <c r="K52" s="446" t="str">
        <f>IF(K51="","",CHAR(10)&amp;"    ・女性"&amp;K51&amp;"が0もしくは空白(0.0%)。")</f>
        <v xml:space="preserve">
    ・女性「(正規)直近1年間の採用者数」「(正規)平均勤続年数」「管理職数」「(正規)一月当たりの平均残業時間」「(非正規)直近1年間の採用者数」「(非正規)平均勤続年数」「(非正規)一月当たりの平均残業時間」が0もしくは空白(0.0%)。</v>
      </c>
      <c r="L52" s="448" t="str">
        <f>IF(L51="","",CHAR(10)&amp;"    ・男性"&amp;L51&amp;"が0もしくは空白で計算不能。")</f>
        <v xml:space="preserve">
    ・男性「(正規)直近1年間の採用者数」「(正規)平均勤続年数」「管理職数」「(正規)一月当たりの平均残業時間」「(非正規)直近1年間の採用者数」「(非正規)平均勤続年数」「(非正規)一月当たりの平均残業時間」が0もしくは空白で計算不能。</v>
      </c>
      <c r="M52" s="469"/>
      <c r="N52" s="446" t="str">
        <f>IF(N51="","",CHAR(10)&amp;"    ・女性"&amp;N51&amp;"が0もしくは不存在(-)。")</f>
        <v/>
      </c>
      <c r="O52" s="558" t="str">
        <f>IF(O51="","",CHAR(10)&amp;"    ・男性"&amp;O51&amp;"がゼロ(0.0%)もしくは不存在(-)で計算不能。")</f>
        <v/>
      </c>
      <c r="P52" s="561"/>
    </row>
    <row r="53" spans="1:16" ht="6.45" customHeight="1" thickBot="1">
      <c r="B53" s="456"/>
      <c r="C53" s="456"/>
      <c r="D53" s="457"/>
      <c r="E53" s="457"/>
      <c r="F53" s="457"/>
      <c r="G53" s="457"/>
      <c r="H53" s="456"/>
      <c r="I53" s="473"/>
      <c r="J53" s="459"/>
      <c r="K53" s="460"/>
      <c r="L53" s="460"/>
      <c r="M53" s="460"/>
      <c r="N53" s="460"/>
      <c r="O53" s="460"/>
    </row>
    <row r="54" spans="1:16" ht="6.45" customHeight="1"/>
    <row r="55" spans="1:16">
      <c r="A55" s="434" t="s">
        <v>1148</v>
      </c>
      <c r="C55" s="474"/>
    </row>
    <row r="56" spans="1:16">
      <c r="B56" s="466" t="s">
        <v>3</v>
      </c>
      <c r="C56" s="466" t="s">
        <v>4537</v>
      </c>
      <c r="D56" s="466" t="s">
        <v>4538</v>
      </c>
      <c r="F56" s="426"/>
      <c r="H56" s="463"/>
      <c r="K56" s="54"/>
    </row>
    <row r="57" spans="1:16">
      <c r="B57" s="443" t="str">
        <f>B10</f>
        <v>全労働者</v>
      </c>
      <c r="C57" s="426" t="str">
        <f>IF(COUNTIF(K10:O10,"「*")&gt;0,"",IF(AND(H10&lt;1,IF(ISERROR(I10),"",H10&lt;I10)),"「"&amp;B57&amp;"」",""))</f>
        <v/>
      </c>
      <c r="D57" s="426" t="str">
        <f>IF(COUNTIF(K10:O10,"「*")&gt;0,"",IF(OR(H10&gt;1,H10&gt;I10),"「"&amp;B57&amp;"」",""))</f>
        <v/>
      </c>
      <c r="F57" s="426"/>
      <c r="K57" s="475"/>
    </row>
    <row r="58" spans="1:16">
      <c r="B58" s="443" t="str">
        <f>LEFT(B11,LEN(B11)-3)</f>
        <v>正規雇用</v>
      </c>
      <c r="C58" s="426" t="str">
        <f>IF(COUNTIF(K11:O11,"「*")&gt;0,"",IF(AND(H11&lt;1,IF(ISERROR(I11),"",H11&lt;I11)),"「"&amp;B58&amp;"」",""))</f>
        <v/>
      </c>
      <c r="D58" s="426" t="str">
        <f>IF(COUNTIF(K11:O11,"「*"),"",IF(OR(H11&gt;1,H11&gt;I11),"「"&amp;B58&amp;"」",""))</f>
        <v/>
      </c>
      <c r="F58" s="426"/>
      <c r="J58" s="464"/>
      <c r="K58" s="54"/>
    </row>
    <row r="59" spans="1:16">
      <c r="B59" s="443" t="str">
        <f>LEFT(B12,LEN(B12)-3)</f>
        <v>非正規雇用</v>
      </c>
      <c r="C59" s="426" t="str">
        <f>IF(COUNTIF(K12:O12,"「*")&gt;0,"",IF(AND(H12&lt;1,IF(ISERROR(I12),"",H12&lt;I12)),"「"&amp;B59&amp;"」",""))</f>
        <v/>
      </c>
      <c r="D59" s="426" t="str">
        <f>IF(COUNTIF(K12:O12,"「*"),"",IF(OR(H12&gt;1,H12&gt;I12),"「"&amp;B59&amp;"」",""))</f>
        <v/>
      </c>
      <c r="F59" s="426"/>
      <c r="J59" s="464"/>
      <c r="K59" s="54"/>
    </row>
    <row r="60" spans="1:16">
      <c r="B60" s="476"/>
      <c r="C60" s="477" t="str">
        <f>IF(COUNTIF(C57:C59,"")=3,"","　　雇用形態 : "&amp;C57&amp;C58&amp;C59)</f>
        <v/>
      </c>
      <c r="D60" s="477" t="str">
        <f>IF(COUNTIF(D57:D59,"")=3,"","　　雇用形態 : "&amp;D57&amp;D58&amp;D59)</f>
        <v/>
      </c>
      <c r="H60" s="463"/>
      <c r="J60" s="464"/>
      <c r="K60" s="54"/>
    </row>
    <row r="61" spans="1:16">
      <c r="B61" s="479" t="s">
        <v>4</v>
      </c>
      <c r="C61" s="466" t="s">
        <v>4537</v>
      </c>
      <c r="D61" s="466" t="s">
        <v>4538</v>
      </c>
      <c r="F61" s="461"/>
      <c r="K61" s="443"/>
    </row>
    <row r="62" spans="1:16">
      <c r="B62" s="54" t="str">
        <f t="shared" ref="B62:B70" si="9">B19</f>
        <v>0年</v>
      </c>
      <c r="C62" s="426" t="str">
        <f t="shared" ref="C62:C70" si="10">IF(COUNTIF(K19:O19,"「*")&gt;0,"",IF(AND(H19&lt;1,IF(ISERROR(H19&lt;I19),"",H19&lt;I19)),"「"&amp;B62&amp;"」",""))</f>
        <v/>
      </c>
      <c r="D62" s="426" t="str">
        <f t="shared" ref="D62:D70" si="11">IF(COUNTIF(K19:O19,"「*")&gt;0,"",IF(OR(H19&gt;1,IF(ISERROR(H19&gt;I19),"",H19&gt;I19)),"「"&amp;B62&amp;"」",""))</f>
        <v/>
      </c>
      <c r="K62" s="443"/>
    </row>
    <row r="63" spans="1:16">
      <c r="B63" s="54" t="str">
        <f t="shared" si="9"/>
        <v>1-2年</v>
      </c>
      <c r="C63" s="426" t="str">
        <f t="shared" si="10"/>
        <v/>
      </c>
      <c r="D63" s="426" t="str">
        <f t="shared" si="11"/>
        <v/>
      </c>
      <c r="I63" s="156"/>
      <c r="K63" s="443"/>
    </row>
    <row r="64" spans="1:16">
      <c r="B64" s="54" t="str">
        <f t="shared" si="9"/>
        <v>3-4年</v>
      </c>
      <c r="C64" s="426" t="str">
        <f t="shared" si="10"/>
        <v/>
      </c>
      <c r="D64" s="426" t="str">
        <f t="shared" si="11"/>
        <v/>
      </c>
      <c r="I64" s="156"/>
    </row>
    <row r="65" spans="2:16">
      <c r="B65" s="54" t="str">
        <f t="shared" si="9"/>
        <v>5-9年</v>
      </c>
      <c r="C65" s="426" t="str">
        <f t="shared" si="10"/>
        <v/>
      </c>
      <c r="D65" s="426" t="str">
        <f t="shared" si="11"/>
        <v/>
      </c>
    </row>
    <row r="66" spans="2:16">
      <c r="B66" s="54" t="str">
        <f t="shared" si="9"/>
        <v>10-14年</v>
      </c>
      <c r="C66" s="426" t="str">
        <f t="shared" si="10"/>
        <v/>
      </c>
      <c r="D66" s="426" t="str">
        <f t="shared" si="11"/>
        <v/>
      </c>
    </row>
    <row r="67" spans="2:16">
      <c r="B67" s="54" t="str">
        <f t="shared" si="9"/>
        <v>15-19年</v>
      </c>
      <c r="C67" s="426" t="str">
        <f t="shared" si="10"/>
        <v/>
      </c>
      <c r="D67" s="426" t="str">
        <f t="shared" si="11"/>
        <v/>
      </c>
    </row>
    <row r="68" spans="2:16">
      <c r="B68" s="54" t="str">
        <f t="shared" si="9"/>
        <v>20-24年</v>
      </c>
      <c r="C68" s="426" t="str">
        <f t="shared" si="10"/>
        <v/>
      </c>
      <c r="D68" s="426" t="str">
        <f t="shared" si="11"/>
        <v/>
      </c>
    </row>
    <row r="69" spans="2:16">
      <c r="B69" s="54" t="str">
        <f t="shared" si="9"/>
        <v>25-29年</v>
      </c>
      <c r="C69" s="426" t="str">
        <f t="shared" si="10"/>
        <v/>
      </c>
      <c r="D69" s="426" t="str">
        <f t="shared" si="11"/>
        <v/>
      </c>
    </row>
    <row r="70" spans="2:16">
      <c r="B70" s="54" t="str">
        <f t="shared" si="9"/>
        <v>30年以上</v>
      </c>
      <c r="C70" s="426" t="str">
        <f t="shared" si="10"/>
        <v/>
      </c>
      <c r="D70" s="426" t="str">
        <f t="shared" si="11"/>
        <v/>
      </c>
    </row>
    <row r="71" spans="2:16">
      <c r="B71" s="476"/>
      <c r="C71" s="480" t="str">
        <f>IF(COUNTIF(C62:C70,"")=9,"",IF(COUNTIF(C62:C70,"")=0,"　　勤続年数階級 : すべての勤続年数階級","　　勤続年数階級 : "&amp;C62&amp;C63&amp;C64&amp;C65&amp;C66&amp;C67&amp;C68&amp;C69&amp;C70))</f>
        <v/>
      </c>
      <c r="D71" s="480" t="str">
        <f>IF(COUNTIF(D62:D70,"")=9,"",IF(COUNTIF(D62:D70,"")=0,"　　勤続年数階級 : すべての勤続年数階級","　　勤続年数階級 : "&amp;D62&amp;D63&amp;D64&amp;D65&amp;D66&amp;D67&amp;D68&amp;D69&amp;D70))</f>
        <v/>
      </c>
    </row>
    <row r="72" spans="2:16">
      <c r="B72" s="466" t="s">
        <v>5</v>
      </c>
      <c r="C72" s="466" t="s">
        <v>4537</v>
      </c>
      <c r="D72" s="466" t="s">
        <v>4538</v>
      </c>
      <c r="H72" s="463"/>
      <c r="J72" s="464"/>
      <c r="K72" s="54"/>
    </row>
    <row r="73" spans="2:16">
      <c r="B73" s="54" t="str">
        <f>B37</f>
        <v>部長級</v>
      </c>
      <c r="C73" s="426" t="str">
        <f>IF(COUNTIF(K37:O37,"「*")&gt;0,"",IF(AND(H37&lt;1,IF(ISERROR(H37&lt;I37),"",H37&lt;I37)),"「"&amp;B73&amp;"」",""))</f>
        <v/>
      </c>
      <c r="D73" s="426" t="str">
        <f>IF(COUNTIF(K37:O37,"「*")&gt;0,"",IF(OR(H37&gt;1,IF(ISERROR(H37&gt;I37),"",H37&gt;I37)),"「"&amp;B73&amp;"」",""))</f>
        <v/>
      </c>
      <c r="H73" s="156" t="str">
        <f>IF(AND(D73&lt;&gt;"",OR(D74&lt;&gt;"",D75&lt;&gt;"",D76&lt;&gt;"")),"、","")</f>
        <v/>
      </c>
      <c r="J73" s="464"/>
      <c r="K73" s="54"/>
    </row>
    <row r="74" spans="2:16">
      <c r="B74" s="54" t="str">
        <f>B36</f>
        <v>課長級</v>
      </c>
      <c r="C74" s="426" t="str">
        <f>IF(COUNTIF(K36:O36,"「*")&gt;0,"",IF(AND(H36&lt;1,IF(ISERROR(H36&lt;I36),"",H36&lt;I36)),"「"&amp;B74&amp;"」",""))</f>
        <v/>
      </c>
      <c r="D74" s="426" t="str">
        <f>IF(COUNTIF(K36:O36,"「*")&gt;0,"",IF(OR(H36&gt;1,IF(ISERROR(H38&gt;I36),"",H36&gt;I36)),"「"&amp;B74&amp;"」",""))</f>
        <v/>
      </c>
      <c r="H74" s="156" t="str">
        <f>IF(AND(D74&lt;&gt;"",OR(D75&lt;&gt;"",D76&lt;&gt;"")),"、","")</f>
        <v/>
      </c>
      <c r="J74" s="464"/>
      <c r="K74" s="54"/>
    </row>
    <row r="75" spans="2:16">
      <c r="B75" s="54" t="str">
        <f>B35</f>
        <v>係長級</v>
      </c>
      <c r="C75" s="426" t="str">
        <f>IF(COUNTIF(K35:O35,"「*")&gt;0,"",IF(AND(H35&lt;1,IF(ISERROR(H35&lt;I35),"",H35&lt;I35)),"「"&amp;B75&amp;"」",""))</f>
        <v/>
      </c>
      <c r="D75" s="426" t="str">
        <f>IF(COUNTIF(K35:O35,"「*")&gt;0,"",IF(OR(H35&gt;1,IF(ISERROR(H35&gt;I35),"",H35&gt;I35)),"「"&amp;B75&amp;"」",""))</f>
        <v/>
      </c>
      <c r="H75" s="156" t="str">
        <f>IF(AND(D75&lt;&gt;"",D76&lt;&gt;""),"、","")</f>
        <v/>
      </c>
      <c r="J75" s="464"/>
      <c r="K75" s="54"/>
    </row>
    <row r="76" spans="2:16">
      <c r="B76" s="54" t="str">
        <f>B34</f>
        <v>非役職</v>
      </c>
      <c r="C76" s="426" t="str">
        <f>IF(COUNTIF(K34:O34,"「*")&gt;0,"",IF(AND(H34&lt;1,IF(ISERROR(H34&lt;I34),"",H34&lt;I34)),"「"&amp;B76&amp;"」",""))</f>
        <v/>
      </c>
      <c r="D76" s="426" t="str">
        <f>IF(COUNTIF(K34:O34,"「*")&gt;0,"",IF(OR(H34&gt;1,IF(ISERROR(H34&gt;I34),"",H34&gt;I34)),"「"&amp;B76&amp;"」",""))</f>
        <v/>
      </c>
      <c r="H76" s="156" t="str">
        <f>IF(D76=1,F76,"")</f>
        <v/>
      </c>
    </row>
    <row r="77" spans="2:16">
      <c r="B77" s="476"/>
      <c r="C77" s="478" t="str">
        <f>IF(COUNTIF($C$73:$C$76,"")=4,"",IF(COUNTIF($C$73:$C$76,"")=0,"　　役職級 : すべての役職級","　　役職級 : "&amp;C73&amp;C74&amp;C75&amp;C76))</f>
        <v/>
      </c>
      <c r="D77" s="478" t="str">
        <f>IF(COUNTIF($D$73:$D$76,"")=4,"",IF(COUNTIF($C$73:$C$76,"")=0,"　　役職級 : すべての役職級","　　役職級 : "&amp;D73&amp;D74&amp;D75&amp;D76))</f>
        <v/>
      </c>
      <c r="F77" s="461"/>
      <c r="K77" s="443"/>
    </row>
    <row r="78" spans="2:16" ht="155.4" customHeight="1">
      <c r="B78" s="481" t="s">
        <v>4996</v>
      </c>
      <c r="C78" s="1102" t="str">
        <f>IF(入力シート!$C$5=入力リスト!$C$4,"",IF(AND(C60="",D60="",C77="",D77="",C71="",D71=""),"",IF(AND(D60="",D77="",D71=""),"","・貴社の男女間賃金差異は、以下項目で参考値以上又は100%以上となっています。"&amp;IF(D60&lt;&gt;"",CHAR(10)&amp;D60,"")&amp;IF(D77&lt;&gt;"",CHAR(10)&amp;D77,"")&amp;IF(D71&lt;&gt;"",CHAR(10)&amp;D71,""))&amp;IF(AND(C60="",C77="",C71=""),CHAR(10)&amp;"※参考値と100%の両方を下回っている項目はありません。",IF(OR(D60&lt;&gt;"",D77&lt;&gt;"",D71&lt;&gt;""),CHAR(10),"")&amp;"・以下項目で参考値未満かつ100%未満となっており、男女間賃金差異が大きい可能性があります。"&amp;IF(C60&lt;&gt;"",CHAR(10),"")&amp;C60&amp;IF(C77&lt;&gt;"",CHAR(10),"")&amp;C77&amp;IF(C71&lt;&gt;"",CHAR(10),"")&amp;C71)&amp;IF(AND(C60="",C77="",C71="",D60="",D77="",D71=""),"",CHAR(10))&amp;CHAR(10)&amp;"「2.男女間賃金差異が生じる要因」では賃金差異が生じる要因について言及しているので参考にしてください。"))</f>
        <v/>
      </c>
      <c r="D78" s="1103"/>
      <c r="E78" s="1103"/>
      <c r="F78" s="1103"/>
      <c r="G78" s="1103"/>
      <c r="H78" s="1103"/>
      <c r="I78" s="1103"/>
      <c r="J78" s="1103"/>
      <c r="K78" s="1104"/>
    </row>
    <row r="79" spans="2:16" ht="9" customHeight="1" thickBot="1">
      <c r="B79" s="430"/>
      <c r="C79" s="430"/>
      <c r="D79" s="430"/>
      <c r="E79" s="430"/>
      <c r="F79" s="430"/>
      <c r="G79" s="432"/>
      <c r="H79" s="432"/>
      <c r="I79" s="433"/>
      <c r="J79" s="432"/>
      <c r="K79" s="431"/>
      <c r="L79" s="431"/>
      <c r="M79" s="431"/>
      <c r="N79" s="431"/>
      <c r="O79" s="431"/>
      <c r="P79" s="431"/>
    </row>
    <row r="80" spans="2:16" ht="11.55" customHeight="1" thickTop="1">
      <c r="D80" s="160"/>
    </row>
    <row r="81" spans="1:12">
      <c r="B81" s="466" t="s">
        <v>1147</v>
      </c>
      <c r="C81" s="466" t="s">
        <v>4965</v>
      </c>
      <c r="D81" s="466" t="s">
        <v>4537</v>
      </c>
      <c r="E81" s="466" t="s">
        <v>4538</v>
      </c>
    </row>
    <row r="82" spans="1:12">
      <c r="B82" s="428" t="s">
        <v>54</v>
      </c>
      <c r="C82" s="426" t="str">
        <f>B44</f>
        <v>(正規)直近1年間の採用者数</v>
      </c>
      <c r="D82" s="426" t="str">
        <f>IF(COUNTIF(K44:L44,"「*")&gt;0,"",IF(COUNTIFS('従業員情報(給与以外)'!$O:$O,"正規雇用")=0,"",IF(AND(D44=0,E44=0),"",IF(E82="","「"&amp;C82&amp;"」",""))))</f>
        <v/>
      </c>
      <c r="E82" s="426" t="str">
        <f>IF(COUNTIF(K44:L44,"「*")&gt;0,"",IF(AND(D44=0,E44=0),"",IF($D$93,"「"&amp;$C82&amp;"」","")))</f>
        <v/>
      </c>
    </row>
    <row r="83" spans="1:12">
      <c r="C83" s="426" t="str">
        <f>B45</f>
        <v>(正規)平均勤続年数</v>
      </c>
      <c r="D83" s="426" t="str">
        <f>IF(COUNTIF(K45:M45,"「*")&gt;0,"",IF(COUNTIFS('従業員情報(給与以外)'!$O:$O,"正規雇用")=0,"",IF(E83="","「"&amp;C83&amp;"」","")))</f>
        <v/>
      </c>
      <c r="E83" s="426" t="str">
        <f>IF(COUNTIF(K45:M45,"「*")&gt;0,"",IF(COUNTIFS('従業員情報(給与以外)'!$O:$O,"正規雇用")=0,"",IF($D$95,"「"&amp;$C83&amp;"」","")))</f>
        <v/>
      </c>
    </row>
    <row r="84" spans="1:12">
      <c r="C84" s="426" t="str">
        <f>B46</f>
        <v>管理職数</v>
      </c>
      <c r="D84" s="426" t="str">
        <f>IF(COUNTIF(K46:M46,"「*")&gt;0,"",IF(COUNTIFS('従業員情報(給与以外)'!$O:$O,"正規雇用")=0,"",IF(AND(D46=0,E46=0),"",IF(E84="","「"&amp;C84&amp;"」",""))))</f>
        <v/>
      </c>
      <c r="E84" s="426" t="str">
        <f>IF(COUNTIF(K46:M46,"「*")&gt;0,"",IF(AND(D46=0,E46=0),"",IF($D$97,"「"&amp;$C84&amp;"」","")))</f>
        <v/>
      </c>
    </row>
    <row r="85" spans="1:12">
      <c r="B85" s="428" t="s">
        <v>105</v>
      </c>
      <c r="C85" s="426" t="str">
        <f>B48</f>
        <v>(非正規)直近1年間の採用者数</v>
      </c>
      <c r="D85" s="426" t="str">
        <f>IF(COUNTIF(K47:M47,"「*")&gt;0,"",IF(AND(D48=0,E48=0),"",IF(AND(D46=0,E46=0),"",IF(E85="","「"&amp;C85&amp;"」",""))))</f>
        <v/>
      </c>
      <c r="E85" s="426" t="str">
        <f>IF(COUNTIF(K47:M47,"「*")&gt;0,"",IF(AND(D48=0,E48=0),"",IF($D$101,"「"&amp;$C85&amp;"」","")))</f>
        <v/>
      </c>
    </row>
    <row r="86" spans="1:12">
      <c r="C86" s="426" t="str">
        <f>B49</f>
        <v>(非正規)平均勤続年数</v>
      </c>
      <c r="D86" s="426" t="str">
        <f>IF(COUNTIF(K48:M48,"「*")&gt;0,"",IF(E86="","「"&amp;C86&amp;"」",""))</f>
        <v/>
      </c>
      <c r="E86" s="426" t="str">
        <f>IF(COUNTIF(K48:M48,"「*")&gt;0,"",IF($D$103,"「"&amp;$C86&amp;"」",""))</f>
        <v/>
      </c>
    </row>
    <row r="87" spans="1:12">
      <c r="B87" s="428" t="s">
        <v>54</v>
      </c>
      <c r="C87" s="426" t="str">
        <f>B47</f>
        <v>(正規)一月当たりの平均残業時間</v>
      </c>
      <c r="D87" s="426" t="str">
        <f>IF(COUNTIF(K49:M49,"「*")&gt;0,"",IF(E87="","「"&amp;C87&amp;"」",""))</f>
        <v/>
      </c>
      <c r="E87" s="426" t="str">
        <f>IF(COUNTIF(K49:M49,"「*")&gt;0,"",IF($D$99,"「"&amp;$C87&amp;"」",""))</f>
        <v/>
      </c>
    </row>
    <row r="88" spans="1:12">
      <c r="B88" s="428" t="s">
        <v>105</v>
      </c>
      <c r="C88" s="426" t="str">
        <f>B50</f>
        <v>(非正規)一月当たりの平均残業時間</v>
      </c>
      <c r="D88" s="426" t="str">
        <f>IF(COUNTIF(K50:M50,"「*")&gt;0,"",IF(E88="","「"&amp;C88&amp;"」",""))</f>
        <v/>
      </c>
      <c r="E88" s="426" t="str">
        <f>IF(COUNTIF(K50:M50,"「*")&gt;0,"",IF($D$105,"「"&amp;$C88&amp;"」",""))</f>
        <v/>
      </c>
      <c r="G88" s="160"/>
    </row>
    <row r="89" spans="1:12" ht="56.4" customHeight="1">
      <c r="B89" s="481" t="s">
        <v>4997</v>
      </c>
      <c r="C89" s="1105" t="str">
        <f>IF(入力シート!$C$5=入力リスト!$C$4,"",IF(COUNTIF(E82:E86,"")=7,"・参考値もしくは100%以上になっている項目はありませんでした。",IF(COUNTIF(E82:E86,"")=5,"","・"&amp;E82&amp;E83&amp;E84&amp;E85&amp;E86&amp;"が参考値もしくは100%以上でした。"&amp;CHAR(10))&amp;IF(COUNTIF(E87:E88,"")=2,"","・"&amp;E87&amp;E88&amp;"については男女とも参考値以下でした。"&amp;CHAR(10))&amp;IF(COUNTIF(E82:E88,"")=7,"","引き続き女性活躍の取り組みを継続しましょう！")))</f>
        <v/>
      </c>
      <c r="D89" s="1106"/>
      <c r="E89" s="1106"/>
      <c r="F89" s="1106"/>
      <c r="G89" s="1106"/>
      <c r="H89" s="1106"/>
      <c r="I89" s="1106"/>
      <c r="J89" s="1106"/>
      <c r="K89" s="1107"/>
    </row>
    <row r="90" spans="1:12" s="485" customFormat="1" ht="25.8" customHeight="1" thickBot="1">
      <c r="A90" s="482" t="s">
        <v>5018</v>
      </c>
      <c r="B90" s="483"/>
      <c r="C90" s="483"/>
      <c r="D90" s="484"/>
      <c r="E90" s="484"/>
      <c r="F90" s="484"/>
      <c r="G90" s="484"/>
      <c r="H90" s="484"/>
      <c r="I90" s="484"/>
      <c r="J90" s="484"/>
      <c r="K90" s="484"/>
    </row>
    <row r="91" spans="1:12" s="485" customFormat="1" ht="14.4">
      <c r="B91" s="486"/>
      <c r="C91" s="487"/>
      <c r="D91" s="488"/>
      <c r="E91" s="489" t="s">
        <v>1208</v>
      </c>
      <c r="F91" s="487"/>
      <c r="G91" s="487"/>
      <c r="H91" s="489" t="s">
        <v>1218</v>
      </c>
      <c r="I91" s="488"/>
      <c r="J91" s="487" t="s">
        <v>1217</v>
      </c>
      <c r="K91" s="487"/>
      <c r="L91" s="490"/>
    </row>
    <row r="92" spans="1:12" s="485" customFormat="1" ht="45.6" customHeight="1" thickBot="1">
      <c r="B92" s="491" t="s">
        <v>1223</v>
      </c>
      <c r="C92" s="492" t="s">
        <v>1224</v>
      </c>
      <c r="D92" s="493" t="s">
        <v>1210</v>
      </c>
      <c r="E92" s="494" t="s">
        <v>1209</v>
      </c>
      <c r="F92" s="495" t="s">
        <v>5019</v>
      </c>
      <c r="G92" s="496" t="s">
        <v>1210</v>
      </c>
      <c r="H92" s="494" t="s">
        <v>1209</v>
      </c>
      <c r="I92" s="497" t="s">
        <v>1210</v>
      </c>
      <c r="J92" s="498" t="s">
        <v>1209</v>
      </c>
      <c r="K92" s="499" t="s">
        <v>5196</v>
      </c>
      <c r="L92" s="500" t="s">
        <v>1219</v>
      </c>
    </row>
    <row r="93" spans="1:12" s="485" customFormat="1" ht="15.6" thickTop="1">
      <c r="B93" s="1108" t="s">
        <v>1213</v>
      </c>
      <c r="C93" s="501" t="s">
        <v>1221</v>
      </c>
      <c r="D93" s="502" t="b">
        <f>IF(AND(D44=0,E44=0),TRUE,COUNTIF(G93,TRUE)+COUNTIF(I93,TRUE)+COUNTIF(K93,TRUE)+COUNTIF(L93,TRUE)&gt;0)</f>
        <v>1</v>
      </c>
      <c r="E93" s="503" t="b">
        <f>AND(ISERROR(計算!$I$44)=FALSE,計算!$E$44&gt;0)</f>
        <v>0</v>
      </c>
      <c r="F93" s="504" t="b">
        <f>AND(計算!$D$44=0,計算!$E$44=0)</f>
        <v>1</v>
      </c>
      <c r="G93" s="505" t="b">
        <f>IF(OR(E93,F93),OR(計算!$H$44&gt;=計算!$I$44,計算!$H$44&gt;=1))</f>
        <v>0</v>
      </c>
      <c r="H93" s="503" t="b">
        <f>AND(ISERROR(計算!$I$44),計算!$E$44&gt;0)</f>
        <v>0</v>
      </c>
      <c r="I93" s="506" t="b">
        <f>IF(H93,計算!$H$44&gt;=0.4)</f>
        <v>0</v>
      </c>
      <c r="J93" s="507" t="b">
        <f>AND(計算!$E$44=0,計算!$D$44&gt;0)</f>
        <v>0</v>
      </c>
      <c r="K93" s="508" t="b">
        <f>IF(J93,IF(AND(入力シート!$J$22=入力リスト!$H$10,入力シート!$J$24=""),TRUE,COUNTIFS('従業員情報(給与以外)'!$O:$O,"正規雇用",'従業員情報(給与以外)'!$R:$R,"女")/COUNTIFS('従業員情報(給与以外)'!$O:$O,"正規雇用",'従業員情報(給与以外)'!$R:$R,"男")&gt;=0.4))</f>
        <v>0</v>
      </c>
      <c r="L93" s="509" t="b">
        <f>IF(J93,AND(COUNTIFS('従業員情報(給与以外)'!$O:$O,"正規雇用",'従業員情報(給与以外)'!$R:$R,"女")&gt;0,COUNTIFS('従業員情報(給与以外)'!$O:$O,"正規雇用",'従業員情報(給与以外)'!$R:$R,"男")=0))</f>
        <v>0</v>
      </c>
    </row>
    <row r="94" spans="1:12" s="485" customFormat="1" ht="21" customHeight="1" thickBot="1">
      <c r="B94" s="1109"/>
      <c r="C94" s="510" t="s">
        <v>1222</v>
      </c>
      <c r="D94" s="511" t="b">
        <f>IF(AND(D44=0,E44=0),FALSE,COUNTIF(G94,TRUE)+COUNTIF(I94,TRUE)+COUNTIF(K94,TRUE)+COUNTIF(L94,TRUE)&gt;0)</f>
        <v>0</v>
      </c>
      <c r="E94" s="512" t="b">
        <f>E93</f>
        <v>0</v>
      </c>
      <c r="F94" s="513" t="b">
        <f>F93</f>
        <v>1</v>
      </c>
      <c r="G94" s="514" t="b">
        <f>IF(OR(E94,F94),AND(計算!$H$44&lt;計算!$I$44,計算!$H$44&lt;1))</f>
        <v>1</v>
      </c>
      <c r="H94" s="512" t="b">
        <f>H93</f>
        <v>0</v>
      </c>
      <c r="I94" s="515" t="b">
        <f>IF(H94,計算!$H$45&lt;0.4)</f>
        <v>0</v>
      </c>
      <c r="J94" s="516" t="b">
        <f>J93</f>
        <v>0</v>
      </c>
      <c r="K94" s="517" t="b">
        <f>IF(J94,IF(AND(入力シート!$J$22=入力リスト!$H$10,入力シート!$J$24=""),FALSE,COUNTIFS('従業員情報(給与以外)'!$O:$O,"正規雇用",'従業員情報(給与以外)'!$R:$R,"女")/COUNTIFS('従業員情報(給与以外)'!$O:$O,"正規雇用",'従業員情報(給与以外)'!$R:$R,"男")&lt;0.4))</f>
        <v>0</v>
      </c>
      <c r="L94" s="518" t="b">
        <f>IF(J94,AND(COUNTIFS('従業員情報(給与以外)'!$O:$O,"正規雇用",'従業員情報(給与以外)'!$R:$R,"女")&gt;0,COUNTIFS('従業員情報(給与以外)'!$O:$O,"正規雇用",'従業員情報(給与以外)'!$R:$R,"男")=0&lt;FALSE))</f>
        <v>0</v>
      </c>
    </row>
    <row r="95" spans="1:12" s="485" customFormat="1" ht="15.6" thickTop="1">
      <c r="B95" s="1108" t="s">
        <v>1214</v>
      </c>
      <c r="C95" s="501" t="s">
        <v>1221</v>
      </c>
      <c r="D95" s="519" t="b">
        <f t="shared" ref="D95:D100" si="12">COUNTIF(G95,TRUE)+COUNTIF(I95,TRUE)+COUNTIF(K95,TRUE)&gt;0</f>
        <v>0</v>
      </c>
      <c r="E95" s="520" t="b">
        <f>AND(ISERROR(計算!$I$45)=FALSE,計算!$E$45&gt;0)</f>
        <v>0</v>
      </c>
      <c r="F95" s="521" t="b">
        <f>AND(計算!$D$45=0,計算!$E$45=0)</f>
        <v>1</v>
      </c>
      <c r="G95" s="522" t="b">
        <f>IF(OR(E95,F95),OR(計算!$H$45&gt;=計算!$I$45,計算!$H$45&gt;=1))</f>
        <v>0</v>
      </c>
      <c r="H95" s="520" t="b">
        <f>AND(ISERROR(計算!$I$45),計算!$E$45&gt;0)</f>
        <v>0</v>
      </c>
      <c r="I95" s="523" t="b">
        <f>IF(H95,計算!$H$45&gt;=0.8)</f>
        <v>0</v>
      </c>
      <c r="J95" s="524" t="b">
        <f>AND(計算!$E$45=0,計算!$D$45&gt;0)</f>
        <v>0</v>
      </c>
      <c r="K95" s="525" t="b">
        <f>IF(J95,TRUE)</f>
        <v>0</v>
      </c>
      <c r="L95" s="526"/>
    </row>
    <row r="96" spans="1:12" s="485" customFormat="1" thickBot="1">
      <c r="B96" s="1109"/>
      <c r="C96" s="527" t="s">
        <v>1222</v>
      </c>
      <c r="D96" s="511" t="b">
        <f t="shared" si="12"/>
        <v>1</v>
      </c>
      <c r="E96" s="512" t="b">
        <f>E95</f>
        <v>0</v>
      </c>
      <c r="F96" s="513" t="b">
        <f>F95</f>
        <v>1</v>
      </c>
      <c r="G96" s="514" t="b">
        <f>IF(OR(E96,F96),AND(計算!$H$45&lt;計算!$I$45,計算!$H$45&lt;1))</f>
        <v>1</v>
      </c>
      <c r="H96" s="512" t="b">
        <f>H95</f>
        <v>0</v>
      </c>
      <c r="I96" s="515" t="b">
        <f>IF(H96,計算!$H$45&lt;0.8)</f>
        <v>0</v>
      </c>
      <c r="J96" s="516" t="b">
        <f>J95</f>
        <v>0</v>
      </c>
      <c r="K96" s="517" t="b">
        <f>IF(J96,FALSE)</f>
        <v>0</v>
      </c>
      <c r="L96" s="518"/>
    </row>
    <row r="97" spans="2:37" s="485" customFormat="1" ht="15.6" thickTop="1">
      <c r="B97" s="1108" t="s">
        <v>1215</v>
      </c>
      <c r="C97" s="501" t="s">
        <v>1221</v>
      </c>
      <c r="D97" s="519" t="b">
        <f>IF(AND(D46=0,E46=0),TRUE,COUNTIF(G97,TRUE)+COUNTIF(I97,TRUE)+COUNTIF(K97,TRUE)&gt;0)</f>
        <v>1</v>
      </c>
      <c r="E97" s="520" t="b">
        <f>AND(ISERROR(計算!$I$46)=FALSE,計算!$E$46&gt;0)</f>
        <v>0</v>
      </c>
      <c r="F97" s="521" t="b">
        <f>AND(計算!$D$46=0,計算!$E$46=0)</f>
        <v>1</v>
      </c>
      <c r="G97" s="522" t="b">
        <f>IF(OR(E97,F97),OR(計算!$H$46&gt;=計算!$I$46,計算!$H$46&gt;=1))</f>
        <v>0</v>
      </c>
      <c r="H97" s="520" t="b">
        <f>AND(ISERROR(計算!$I$46),計算!$E$46&gt;0)</f>
        <v>0</v>
      </c>
      <c r="I97" s="523" t="b">
        <f>IF(H97,IF(IF(AND(入力シート!$J$22=入力リスト!$H$10,入力シート!$J$26&lt;&gt;入力リスト!$H$12),TRUE,IF(AND(入力シート!$J$22=入力リスト!$H$10,入力シート!$J$26=入力リスト!$H$12),入力シート!#REF!=0,IF(入力シート!$J$22=入力リスト!$H$9,COUNTIFS('従業員情報(給与以外)'!$O:$O,"正規雇用",'従業員情報(給与以外)'!$R:$R,"男")=0))),計算!$H$46&gt;=1,計算!$H$46&gt;=計算!$H$44))</f>
        <v>0</v>
      </c>
      <c r="J97" s="524" t="b">
        <f>AND(計算!$E$46=0,計算!$D$46&gt;0)</f>
        <v>0</v>
      </c>
      <c r="K97" s="525" t="b">
        <f>IF(J97,TRUE)</f>
        <v>0</v>
      </c>
      <c r="L97" s="526"/>
    </row>
    <row r="98" spans="2:37" s="485" customFormat="1" thickBot="1">
      <c r="B98" s="1109"/>
      <c r="C98" s="527" t="s">
        <v>1222</v>
      </c>
      <c r="D98" s="511" t="b">
        <f>IF(AND(D46=0,E46=0),FALSE,COUNTIF(G98,TRUE)+COUNTIF(I98,TRUE)+COUNTIF(K98,TRUE)&gt;0)</f>
        <v>0</v>
      </c>
      <c r="E98" s="512" t="b">
        <f>E97</f>
        <v>0</v>
      </c>
      <c r="F98" s="513" t="b">
        <f>F97</f>
        <v>1</v>
      </c>
      <c r="G98" s="514" t="b">
        <f>IF(OR(E98,F98),AND(計算!$H$46&lt;計算!$I$46,計算!$H$46&lt;1))</f>
        <v>1</v>
      </c>
      <c r="H98" s="512" t="b">
        <f>H97</f>
        <v>0</v>
      </c>
      <c r="I98" s="515" t="b">
        <f>IF(H98,IF(IF(AND(入力シート!$J$22=入力リスト!$H$10,入力シート!$J$26&lt;&gt;入力リスト!$H$12),TRUE,IF(AND(入力シート!$J$22=入力リスト!$H$10,入力シート!$J$26=入力リスト!$H$12),入力シート!#REF!=0,IF(入力シート!$J$22=入力リスト!$H$9,COUNTIFS('従業員情報(給与以外)'!$O:$O,"正規雇用",'従業員情報(給与以外)'!$R:$R,"男")=0))),計算!$H$46&lt;1,計算!#REF!&lt;計算!$H$44))</f>
        <v>0</v>
      </c>
      <c r="J98" s="516" t="b">
        <f>J97</f>
        <v>0</v>
      </c>
      <c r="K98" s="517" t="b">
        <f>IF(J98,FALSE)</f>
        <v>0</v>
      </c>
      <c r="L98" s="518"/>
    </row>
    <row r="99" spans="2:37" s="485" customFormat="1" ht="15.6" thickTop="1">
      <c r="B99" s="1108" t="s">
        <v>1216</v>
      </c>
      <c r="C99" s="501" t="s">
        <v>1221</v>
      </c>
      <c r="D99" s="519" t="b">
        <f t="shared" si="12"/>
        <v>1</v>
      </c>
      <c r="E99" s="520" t="b">
        <f>AND(ISERROR(計算!$I$47)=FALSE,計算!$E$47&gt;0)</f>
        <v>0</v>
      </c>
      <c r="F99" s="521" t="b">
        <f>AND(計算!$D$47=0,計算!$E$47=0)</f>
        <v>1</v>
      </c>
      <c r="G99" s="522" t="b">
        <f>IF(OR(E99,F99),AND(計算!$D$47&lt;=計算!$F$47,計算!$E$47&lt;=計算!$G$47))</f>
        <v>1</v>
      </c>
      <c r="H99" s="520" t="b">
        <f>AND(ISERROR(計算!$I$47),計算!$E$47&gt;0)</f>
        <v>0</v>
      </c>
      <c r="I99" s="523" t="b">
        <f>IF(H99,IF(入力シート!$J$22=入力リスト!$H$10,(入力シート!$J$57*入力シート!$J$54+入力シート!$L$57*入力シート!$L$54)/(入力シート!$J$54+入力シート!$L$54)&lt;45,AVERAGEIFS('従業員情報(給与以外)'!$W:$W,'従業員情報(給与以外)'!$O:$O,"正規雇用")&lt;45))</f>
        <v>0</v>
      </c>
      <c r="J99" s="524" t="b">
        <f>AND(計算!$E$47=0,計算!$D$47&gt;0)</f>
        <v>0</v>
      </c>
      <c r="K99" s="525" t="b">
        <f>IF(J99,IF(入力シート!$J$22=入力リスト!$H$10,入力シート!#REF!&lt;45,AVERAGEIFS('従業員情報(給与以外)'!$W:$W,'従業員情報(給与以外)'!$O:$O,"正規雇用",'従業員情報(給与以外)'!$R:$R,"女")&lt;45))</f>
        <v>0</v>
      </c>
      <c r="L99" s="526"/>
    </row>
    <row r="100" spans="2:37" s="485" customFormat="1" thickBot="1">
      <c r="B100" s="1109"/>
      <c r="C100" s="527" t="s">
        <v>1222</v>
      </c>
      <c r="D100" s="511" t="b">
        <f t="shared" si="12"/>
        <v>0</v>
      </c>
      <c r="E100" s="512" t="b">
        <f>E99</f>
        <v>0</v>
      </c>
      <c r="F100" s="513" t="b">
        <f>F99</f>
        <v>1</v>
      </c>
      <c r="G100" s="514" t="b">
        <f>IF(OR(E100,F100),OR(計算!$D$47&gt;計算!$F$47,計算!$E$47&gt;計算!$G$47))</f>
        <v>0</v>
      </c>
      <c r="H100" s="512" t="b">
        <f>H99</f>
        <v>0</v>
      </c>
      <c r="I100" s="515" t="b">
        <f>IF(H100,IF(入力シート!$J$22=入力リスト!$H$10,(入力シート!$N$57*入力シート!$N$54+入力シート!$P$57*入力シート!$P$54)/(入力シート!$N$54+入力シート!$P$54)&gt;45,AVERAGEIFS('従業員情報(給与以外)'!$W:$W,'従業員情報(給与以外)'!$O:$O,"正規雇用")&gt;=45))</f>
        <v>0</v>
      </c>
      <c r="J100" s="516" t="b">
        <f>J99</f>
        <v>0</v>
      </c>
      <c r="K100" s="517" t="b">
        <f>IF(J100,IF(K99,FALSE,TRUE))</f>
        <v>0</v>
      </c>
      <c r="L100" s="518"/>
    </row>
    <row r="101" spans="2:37" s="485" customFormat="1" ht="15.6" thickTop="1">
      <c r="B101" s="1108" t="s">
        <v>1211</v>
      </c>
      <c r="C101" s="501" t="s">
        <v>1221</v>
      </c>
      <c r="D101" s="519" t="b">
        <f>IF(AND(D48=0,E48=0),TRUE,COUNTIF(G101,TRUE)+COUNTIF(I101,TRUE)+COUNTIF(K101,TRUE)+COUNTIF(L101,TRUE)&gt;0)</f>
        <v>1</v>
      </c>
      <c r="E101" s="520" t="b">
        <f>AND(ISERROR(計算!$I$48)=FALSE,計算!$E$48&gt;0)</f>
        <v>0</v>
      </c>
      <c r="F101" s="521" t="b">
        <f>AND(計算!$D$48=0,計算!$E$48=0)</f>
        <v>1</v>
      </c>
      <c r="G101" s="522" t="b">
        <f>IF(OR(E101,F101),OR(計算!$H$48&gt;=計算!$I$48,計算!$H$48&gt;=1))</f>
        <v>0</v>
      </c>
      <c r="H101" s="520" t="b">
        <f>AND(ISERROR(計算!$I$48),計算!$E$48&gt;0)</f>
        <v>0</v>
      </c>
      <c r="I101" s="523" t="b">
        <f>IF(H101,計算!$H$48&gt;=0.4)</f>
        <v>0</v>
      </c>
      <c r="J101" s="524" t="b">
        <f>AND(計算!$E$48=0,計算!$D$48&gt;0)</f>
        <v>0</v>
      </c>
      <c r="K101" s="525" t="b">
        <f>IF(J101,COUNTIFS('従業員情報(給与以外)'!$O:$O,"正規雇用",'従業員情報(給与以外)'!$R:$R,"女")/COUNTIFS('従業員情報(給与以外)'!$O:$O,"正規雇用",'従業員情報(給与以外)'!$R:$R,"男")&gt;=0.4)</f>
        <v>0</v>
      </c>
      <c r="L101" s="528" t="b">
        <f>IF(J93,AND(COUNTIFS('従業員情報(給与以外)'!$O:$O,"正規雇用",'従業員情報(給与以外)'!$R:$R,"女")&gt;0,COUNTIFS('従業員情報(給与以外)'!$O:$O,"正規雇用",'従業員情報(給与以外)'!$R:$R,"男")=0))</f>
        <v>0</v>
      </c>
    </row>
    <row r="102" spans="2:37" s="485" customFormat="1" ht="15.6" thickBot="1">
      <c r="B102" s="1109"/>
      <c r="C102" s="527" t="s">
        <v>1222</v>
      </c>
      <c r="D102" s="511" t="b">
        <f>IF(AND(D48=0,E48=0),FALSE,COUNTIF(G102,TRUE)+COUNTIF(I102,TRUE)+COUNTIF(K102,TRUE)+COUNTIF(L102,TRUE)&gt;0)</f>
        <v>0</v>
      </c>
      <c r="E102" s="512" t="b">
        <f>E101</f>
        <v>0</v>
      </c>
      <c r="F102" s="513" t="b">
        <f>F101</f>
        <v>1</v>
      </c>
      <c r="G102" s="514" t="b">
        <f>IF(OR(E102,F102),AND(計算!$H$48&lt;計算!$I$48,計算!$H$48&lt;1))</f>
        <v>1</v>
      </c>
      <c r="H102" s="512" t="b">
        <f>H101</f>
        <v>0</v>
      </c>
      <c r="I102" s="515" t="b">
        <f>IF(H102,計算!$H$49&lt;0.4)</f>
        <v>0</v>
      </c>
      <c r="J102" s="516" t="b">
        <f>J101</f>
        <v>0</v>
      </c>
      <c r="K102" s="517" t="b">
        <f>IF(J102,FALSE)</f>
        <v>0</v>
      </c>
      <c r="L102" s="529" t="b">
        <f>IF(J102,AND(COUNTIFS('従業員情報(給与以外)'!$O:$O,"正規雇用",'従業員情報(給与以外)'!$R:$R,"女")&gt;0,COUNTIFS('従業員情報(給与以外)'!$O:$O,"正規雇用",'従業員情報(給与以外)'!$R:$R,"男")=0&lt;FALSE))</f>
        <v>0</v>
      </c>
    </row>
    <row r="103" spans="2:37" s="485" customFormat="1" thickTop="1">
      <c r="B103" s="1110" t="s">
        <v>1212</v>
      </c>
      <c r="C103" s="530" t="s">
        <v>1221</v>
      </c>
      <c r="D103" s="531" t="b">
        <f>COUNTIF(G103,TRUE)+COUNTIF(I103,TRUE)+COUNTIF(K103,TRUE)&gt;0</f>
        <v>0</v>
      </c>
      <c r="E103" s="520" t="b">
        <f>AND(ISERROR(計算!$I$49)=FALSE,計算!$E$49&gt;0)</f>
        <v>0</v>
      </c>
      <c r="F103" s="521" t="b">
        <f>AND(計算!$D$49=0,計算!$E$49=0)</f>
        <v>1</v>
      </c>
      <c r="G103" s="522" t="b">
        <f>IF(OR(E103,F103),OR(計算!$H$49&gt;=計算!$I$49,計算!$H$49&gt;=1))</f>
        <v>0</v>
      </c>
      <c r="H103" s="520" t="b">
        <f>AND(ISERROR(計算!$I$49),計算!$E$49&gt;0)</f>
        <v>0</v>
      </c>
      <c r="I103" s="523" t="b">
        <f>IF(H103,計算!$H$49&gt;=0.8)</f>
        <v>0</v>
      </c>
      <c r="J103" s="524" t="b">
        <f>AND(計算!$E$49=0,計算!$D$49&gt;0)</f>
        <v>0</v>
      </c>
      <c r="K103" s="525" t="b">
        <f>IF(J103,TRUE)</f>
        <v>0</v>
      </c>
      <c r="L103" s="526"/>
    </row>
    <row r="104" spans="2:37" s="485" customFormat="1" ht="15.6" thickBot="1">
      <c r="B104" s="1111"/>
      <c r="C104" s="532" t="s">
        <v>1222</v>
      </c>
      <c r="D104" s="533" t="b">
        <f>COUNTIF(G104,TRUE)+COUNTIF(I104,TRUE)+COUNTIF(K104,TRUE)&gt;0</f>
        <v>1</v>
      </c>
      <c r="E104" s="512" t="b">
        <f>E103</f>
        <v>0</v>
      </c>
      <c r="F104" s="513" t="b">
        <f>F103</f>
        <v>1</v>
      </c>
      <c r="G104" s="514" t="b">
        <f>IF(OR(E104,F104),AND(計算!$H$49&lt;計算!$I$49,計算!$H$49&lt;1))</f>
        <v>1</v>
      </c>
      <c r="H104" s="512" t="b">
        <f>H103</f>
        <v>0</v>
      </c>
      <c r="I104" s="515" t="b">
        <f>IF(H104,計算!$H$49&lt;0.8)</f>
        <v>0</v>
      </c>
      <c r="J104" s="516" t="b">
        <f>J103</f>
        <v>0</v>
      </c>
      <c r="K104" s="517" t="b">
        <f>IF(J104,FALSE)</f>
        <v>0</v>
      </c>
      <c r="L104" s="518"/>
    </row>
    <row r="105" spans="2:37" s="485" customFormat="1" ht="15.6" thickTop="1">
      <c r="B105" s="1108" t="s">
        <v>1220</v>
      </c>
      <c r="C105" s="501" t="s">
        <v>1221</v>
      </c>
      <c r="D105" s="519" t="b">
        <f>COUNTIF(G105,TRUE)+COUNTIF(I105,TRUE)+COUNTIF(K105,TRUE)&gt;0</f>
        <v>1</v>
      </c>
      <c r="E105" s="520" t="b">
        <f>AND(IF(ISERROR(計算!$I$50)=FALSE,計算!$E$50&gt;0))</f>
        <v>0</v>
      </c>
      <c r="F105" s="521" t="b">
        <f>AND(計算!$D$50=0,計算!$E$50=0)</f>
        <v>1</v>
      </c>
      <c r="G105" s="522" t="b">
        <f>IF(OR(E105,F105),AND(計算!$D$50&lt;=計算!$F$50,計算!$E$50&lt;=計算!$G$50))</f>
        <v>1</v>
      </c>
      <c r="H105" s="520" t="b">
        <f>AND(ISERROR(計算!$I$50),計算!$E$50&gt;0)</f>
        <v>0</v>
      </c>
      <c r="I105" s="523" t="b">
        <f>IF(H105,IF(入力シート!$J$22=入力リスト!$H$10,(入力シート!$N$57*入力シート!$N$54+入力シート!$P$57*入力シート!$P$54)/(入力シート!$N$54+入力シート!$P$54)&lt;45,AVERAGEIFS('従業員情報(給与以外)'!$W:$W,'従業員情報(給与以外)'!$O:$O,"非正規雇用")&lt;45))</f>
        <v>0</v>
      </c>
      <c r="J105" s="524" t="b">
        <f>AND(計算!$E$50=0,計算!$D$50&gt;0)</f>
        <v>0</v>
      </c>
      <c r="K105" s="525" t="b">
        <f>IF(J105,IF(入力シート!$J$22=入力リスト!$H$10,入力シート!#REF!&lt;45,AVERAGEIFS('従業員情報(給与以外)'!$W:$W,'従業員情報(給与以外)'!$O:$O,"非正規雇用",'従業員情報(給与以外)'!$R:$R,"女")&lt;45))</f>
        <v>0</v>
      </c>
      <c r="L105" s="526"/>
    </row>
    <row r="106" spans="2:37" s="485" customFormat="1" ht="15.6" thickBot="1">
      <c r="B106" s="1112"/>
      <c r="C106" s="534" t="s">
        <v>1222</v>
      </c>
      <c r="D106" s="535" t="b">
        <f>COUNTIF(G106,TRUE)+COUNTIF(I106,TRUE)+COUNTIF(K106,TRUE)&gt;0</f>
        <v>0</v>
      </c>
      <c r="E106" s="536" t="b">
        <f>E105</f>
        <v>0</v>
      </c>
      <c r="F106" s="537" t="b">
        <f>F105</f>
        <v>1</v>
      </c>
      <c r="G106" s="538" t="b">
        <f>IF(OR(E106,F106),OR(計算!$D$50&gt;計算!$F$50,計算!$E$50&gt;計算!$G$50))</f>
        <v>0</v>
      </c>
      <c r="H106" s="536" t="b">
        <f>H105</f>
        <v>0</v>
      </c>
      <c r="I106" s="539" t="b">
        <f>IF(,IF(入力シート!$J$22=入力リスト!$H$10,(入力シート!$N$57*入力シート!$N$54+入力シート!$P$57*入力シート!$P$54)/(入力シート!$N$54+入力シート!$P$54)&gt;=45,AVERAGEIFS('従業員情報(給与以外)'!$W:$W,'従業員情報(給与以外)'!$O:$O,"非正規雇用")&gt;=45))</f>
        <v>0</v>
      </c>
      <c r="J106" s="540" t="b">
        <f>J105</f>
        <v>0</v>
      </c>
      <c r="K106" s="541" t="b">
        <f>IF(J106,IF(K105,FALSE,TRUE))</f>
        <v>0</v>
      </c>
      <c r="L106" s="542"/>
    </row>
    <row r="107" spans="2:37" s="543" customFormat="1" ht="19.2" customHeight="1">
      <c r="B107" s="544" t="s">
        <v>4990</v>
      </c>
      <c r="C107" s="545">
        <f>VLOOKUP(IF(D93,"○","×")&amp;IF(D95,"○","×")&amp;IF(D97,"○","×")&amp;IF(D99,"○","×")&amp;IF(D101,"○","×")&amp;IF(D103,"○","×")&amp;IF(D105,"○","×"),入力リスト!$V:$W,2,0)</f>
        <v>94</v>
      </c>
      <c r="D107" s="546" t="str">
        <f>VLOOKUP(1,$B$109:$E$120,2,0)</f>
        <v>課題タイプ②</v>
      </c>
      <c r="E107" s="546" t="str">
        <f>VLOOKUP(1,$B$109:$E$120,3,0)</f>
        <v>-</v>
      </c>
      <c r="G107" s="547"/>
      <c r="H107" s="547"/>
      <c r="I107" s="547"/>
      <c r="J107" s="547"/>
      <c r="K107" s="547"/>
      <c r="L107" s="547"/>
      <c r="O107" s="426"/>
    </row>
    <row r="108" spans="2:37" s="543" customFormat="1" ht="19.2" customHeight="1">
      <c r="B108" s="548" t="s">
        <v>5194</v>
      </c>
      <c r="C108" s="549" t="s">
        <v>5198</v>
      </c>
      <c r="D108" s="550" t="s">
        <v>5199</v>
      </c>
      <c r="E108" s="550" t="s">
        <v>5195</v>
      </c>
      <c r="F108" s="551" t="s">
        <v>5063</v>
      </c>
      <c r="G108" s="547"/>
      <c r="H108" s="547"/>
      <c r="I108" s="547"/>
      <c r="J108" s="547"/>
      <c r="K108" s="547"/>
      <c r="L108" s="547"/>
      <c r="O108" s="426"/>
    </row>
    <row r="109" spans="2:37">
      <c r="B109" s="160">
        <f t="shared" ref="B109:B120" si="13">COUNTIF($F109:$AK109,$C$107)</f>
        <v>0</v>
      </c>
      <c r="C109" s="552" t="s">
        <v>1173</v>
      </c>
      <c r="D109" s="552" t="s">
        <v>1174</v>
      </c>
      <c r="E109" s="553" t="s">
        <v>1184</v>
      </c>
      <c r="F109" s="552">
        <v>1</v>
      </c>
      <c r="G109" s="552">
        <v>2</v>
      </c>
      <c r="H109" s="552">
        <v>3</v>
      </c>
      <c r="I109" s="552">
        <v>4</v>
      </c>
      <c r="J109" s="552">
        <v>5</v>
      </c>
      <c r="K109" s="552">
        <v>6</v>
      </c>
      <c r="L109" s="552">
        <v>7</v>
      </c>
      <c r="M109" s="552">
        <v>8</v>
      </c>
      <c r="N109" s="552">
        <v>17</v>
      </c>
      <c r="O109" s="552">
        <v>18</v>
      </c>
      <c r="P109" s="552">
        <v>19</v>
      </c>
      <c r="Q109" s="552">
        <v>20</v>
      </c>
      <c r="R109" s="552">
        <v>21</v>
      </c>
      <c r="S109" s="552">
        <v>22</v>
      </c>
      <c r="T109" s="552">
        <v>23</v>
      </c>
      <c r="U109" s="552">
        <v>24</v>
      </c>
      <c r="V109" s="552">
        <v>33</v>
      </c>
      <c r="W109" s="552">
        <v>34</v>
      </c>
      <c r="X109" s="552">
        <v>35</v>
      </c>
      <c r="Y109" s="552">
        <v>36</v>
      </c>
      <c r="Z109" s="552">
        <v>37</v>
      </c>
      <c r="AA109" s="552">
        <v>38</v>
      </c>
      <c r="AB109" s="552">
        <v>39</v>
      </c>
      <c r="AC109" s="552">
        <v>40</v>
      </c>
      <c r="AD109" s="552">
        <v>49</v>
      </c>
      <c r="AE109" s="552">
        <v>50</v>
      </c>
      <c r="AF109" s="552">
        <v>51</v>
      </c>
      <c r="AG109" s="552">
        <v>52</v>
      </c>
      <c r="AH109" s="552">
        <v>53</v>
      </c>
      <c r="AI109" s="552">
        <v>54</v>
      </c>
      <c r="AJ109" s="552">
        <v>55</v>
      </c>
      <c r="AK109" s="552">
        <v>56</v>
      </c>
    </row>
    <row r="110" spans="2:37">
      <c r="B110" s="160">
        <f t="shared" si="13"/>
        <v>0</v>
      </c>
      <c r="C110" s="552" t="s">
        <v>1173</v>
      </c>
      <c r="D110" s="554" t="s">
        <v>5192</v>
      </c>
      <c r="E110" s="553" t="s">
        <v>1185</v>
      </c>
      <c r="F110" s="552">
        <v>9</v>
      </c>
      <c r="G110" s="552">
        <v>10</v>
      </c>
      <c r="H110" s="552">
        <v>11</v>
      </c>
      <c r="I110" s="552">
        <v>12</v>
      </c>
      <c r="J110" s="552">
        <v>13</v>
      </c>
      <c r="K110" s="552">
        <v>14</v>
      </c>
      <c r="L110" s="552">
        <v>15</v>
      </c>
      <c r="M110" s="552">
        <v>16</v>
      </c>
      <c r="N110" s="552">
        <v>25</v>
      </c>
      <c r="O110" s="552">
        <v>26</v>
      </c>
      <c r="P110" s="552">
        <v>27</v>
      </c>
      <c r="Q110" s="552">
        <v>28</v>
      </c>
      <c r="R110" s="552">
        <v>29</v>
      </c>
      <c r="S110" s="552">
        <v>30</v>
      </c>
      <c r="T110" s="552">
        <v>31</v>
      </c>
      <c r="U110" s="552">
        <v>32</v>
      </c>
      <c r="V110" s="552">
        <v>41</v>
      </c>
      <c r="W110" s="552">
        <v>42</v>
      </c>
      <c r="X110" s="552">
        <v>43</v>
      </c>
      <c r="Y110" s="552">
        <v>44</v>
      </c>
      <c r="Z110" s="552">
        <v>45</v>
      </c>
      <c r="AA110" s="552">
        <v>46</v>
      </c>
      <c r="AB110" s="552">
        <v>47</v>
      </c>
      <c r="AC110" s="552">
        <v>48</v>
      </c>
      <c r="AD110" s="552">
        <v>57</v>
      </c>
      <c r="AE110" s="552">
        <v>58</v>
      </c>
      <c r="AF110" s="552">
        <v>59</v>
      </c>
      <c r="AG110" s="552">
        <v>60</v>
      </c>
      <c r="AH110" s="552">
        <v>61</v>
      </c>
      <c r="AI110" s="552">
        <v>62</v>
      </c>
      <c r="AJ110" s="552">
        <v>63</v>
      </c>
      <c r="AK110" s="552">
        <v>64</v>
      </c>
    </row>
    <row r="111" spans="2:37">
      <c r="B111" s="160">
        <f t="shared" si="13"/>
        <v>1</v>
      </c>
      <c r="C111" s="552" t="s">
        <v>1175</v>
      </c>
      <c r="D111" s="554" t="s">
        <v>5192</v>
      </c>
      <c r="E111" s="553" t="s">
        <v>1187</v>
      </c>
      <c r="F111" s="552">
        <v>73</v>
      </c>
      <c r="G111" s="552">
        <v>74</v>
      </c>
      <c r="H111" s="552">
        <v>75</v>
      </c>
      <c r="I111" s="552">
        <v>76</v>
      </c>
      <c r="J111" s="552">
        <v>77</v>
      </c>
      <c r="K111" s="552">
        <v>78</v>
      </c>
      <c r="L111" s="552">
        <v>79</v>
      </c>
      <c r="M111" s="552">
        <v>80</v>
      </c>
      <c r="N111" s="552">
        <v>89</v>
      </c>
      <c r="O111" s="552">
        <v>90</v>
      </c>
      <c r="P111" s="552">
        <v>91</v>
      </c>
      <c r="Q111" s="552">
        <v>92</v>
      </c>
      <c r="R111" s="552">
        <v>93</v>
      </c>
      <c r="S111" s="552">
        <v>94</v>
      </c>
      <c r="T111" s="552">
        <v>95</v>
      </c>
      <c r="U111" s="552">
        <v>96</v>
      </c>
      <c r="V111" s="555"/>
      <c r="W111" s="555"/>
      <c r="X111" s="555"/>
      <c r="Y111" s="555"/>
      <c r="Z111" s="555"/>
      <c r="AA111" s="555"/>
      <c r="AB111" s="555"/>
      <c r="AC111" s="555"/>
      <c r="AD111" s="555"/>
      <c r="AE111" s="555"/>
      <c r="AF111" s="555"/>
      <c r="AG111" s="555"/>
      <c r="AH111" s="555"/>
      <c r="AI111" s="555"/>
      <c r="AJ111" s="555"/>
      <c r="AK111" s="555"/>
    </row>
    <row r="112" spans="2:37">
      <c r="B112" s="160">
        <f t="shared" si="13"/>
        <v>0</v>
      </c>
      <c r="C112" s="552" t="s">
        <v>1175</v>
      </c>
      <c r="D112" s="552" t="s">
        <v>1174</v>
      </c>
      <c r="E112" s="553" t="s">
        <v>1186</v>
      </c>
      <c r="F112" s="552">
        <v>65</v>
      </c>
      <c r="G112" s="552">
        <v>66</v>
      </c>
      <c r="H112" s="552">
        <v>67</v>
      </c>
      <c r="I112" s="552">
        <v>68</v>
      </c>
      <c r="J112" s="552">
        <v>69</v>
      </c>
      <c r="K112" s="552">
        <v>70</v>
      </c>
      <c r="L112" s="552">
        <v>71</v>
      </c>
      <c r="M112" s="552">
        <v>72</v>
      </c>
      <c r="N112" s="552">
        <v>81</v>
      </c>
      <c r="O112" s="552">
        <v>82</v>
      </c>
      <c r="P112" s="552">
        <v>83</v>
      </c>
      <c r="Q112" s="552">
        <v>84</v>
      </c>
      <c r="R112" s="552">
        <v>85</v>
      </c>
      <c r="S112" s="552">
        <v>86</v>
      </c>
      <c r="T112" s="552">
        <v>87</v>
      </c>
      <c r="U112" s="552">
        <v>88</v>
      </c>
      <c r="V112" s="555"/>
      <c r="W112" s="555"/>
      <c r="X112" s="555"/>
      <c r="Y112" s="555"/>
      <c r="Z112" s="555"/>
      <c r="AA112" s="555"/>
      <c r="AB112" s="555"/>
      <c r="AC112" s="555"/>
      <c r="AD112" s="555"/>
      <c r="AE112" s="555"/>
      <c r="AF112" s="555"/>
      <c r="AG112" s="555"/>
      <c r="AH112" s="555"/>
      <c r="AI112" s="555"/>
      <c r="AJ112" s="555"/>
      <c r="AK112" s="555"/>
    </row>
    <row r="113" spans="1:37">
      <c r="B113" s="160">
        <f t="shared" si="13"/>
        <v>0</v>
      </c>
      <c r="C113" s="552" t="s">
        <v>1177</v>
      </c>
      <c r="D113" s="554" t="s">
        <v>5192</v>
      </c>
      <c r="E113" s="553" t="s">
        <v>1190</v>
      </c>
      <c r="F113" s="552">
        <v>113</v>
      </c>
      <c r="G113" s="552">
        <v>114</v>
      </c>
      <c r="H113" s="552">
        <v>115</v>
      </c>
      <c r="I113" s="552">
        <v>116</v>
      </c>
      <c r="J113" s="552">
        <v>117</v>
      </c>
      <c r="K113" s="552">
        <v>118</v>
      </c>
      <c r="L113" s="552">
        <v>119</v>
      </c>
      <c r="M113" s="552">
        <v>120</v>
      </c>
      <c r="N113" s="555"/>
      <c r="O113" s="555"/>
      <c r="P113" s="555"/>
      <c r="Q113" s="555"/>
      <c r="R113" s="555"/>
      <c r="S113" s="555"/>
      <c r="T113" s="555"/>
      <c r="U113" s="555"/>
      <c r="V113" s="555"/>
      <c r="W113" s="555"/>
      <c r="X113" s="555"/>
      <c r="Y113" s="555"/>
      <c r="Z113" s="555"/>
      <c r="AA113" s="555"/>
      <c r="AB113" s="555"/>
      <c r="AC113" s="555"/>
      <c r="AD113" s="555"/>
      <c r="AE113" s="555"/>
      <c r="AF113" s="555"/>
      <c r="AG113" s="555"/>
      <c r="AH113" s="555"/>
      <c r="AI113" s="555"/>
      <c r="AJ113" s="555"/>
      <c r="AK113" s="555"/>
    </row>
    <row r="114" spans="1:37">
      <c r="B114" s="160">
        <f t="shared" si="13"/>
        <v>0</v>
      </c>
      <c r="C114" s="552" t="s">
        <v>1176</v>
      </c>
      <c r="D114" s="554" t="s">
        <v>5192</v>
      </c>
      <c r="E114" s="553" t="s">
        <v>1189</v>
      </c>
      <c r="F114" s="552">
        <v>105</v>
      </c>
      <c r="G114" s="552">
        <v>106</v>
      </c>
      <c r="H114" s="552">
        <v>107</v>
      </c>
      <c r="I114" s="552">
        <v>108</v>
      </c>
      <c r="J114" s="552">
        <v>109</v>
      </c>
      <c r="K114" s="552">
        <v>110</v>
      </c>
      <c r="L114" s="552">
        <v>111</v>
      </c>
      <c r="M114" s="552">
        <v>112</v>
      </c>
      <c r="N114" s="555"/>
      <c r="O114" s="555"/>
      <c r="P114" s="555"/>
      <c r="Q114" s="555"/>
      <c r="R114" s="555"/>
      <c r="S114" s="555"/>
      <c r="T114" s="555"/>
      <c r="U114" s="555"/>
      <c r="V114" s="555"/>
      <c r="W114" s="555"/>
      <c r="X114" s="555"/>
      <c r="Y114" s="555"/>
      <c r="Z114" s="555"/>
      <c r="AA114" s="555"/>
      <c r="AB114" s="555"/>
      <c r="AC114" s="555"/>
      <c r="AD114" s="555"/>
      <c r="AE114" s="555"/>
      <c r="AF114" s="555"/>
      <c r="AG114" s="555"/>
      <c r="AH114" s="555"/>
      <c r="AI114" s="555"/>
      <c r="AJ114" s="555"/>
      <c r="AK114" s="555"/>
    </row>
    <row r="115" spans="1:37">
      <c r="B115" s="160">
        <f t="shared" si="13"/>
        <v>0</v>
      </c>
      <c r="C115" s="552" t="s">
        <v>1176</v>
      </c>
      <c r="D115" s="552" t="s">
        <v>1174</v>
      </c>
      <c r="E115" s="553" t="s">
        <v>1188</v>
      </c>
      <c r="F115" s="552">
        <v>97</v>
      </c>
      <c r="G115" s="552">
        <v>98</v>
      </c>
      <c r="H115" s="552">
        <v>99</v>
      </c>
      <c r="I115" s="552">
        <v>100</v>
      </c>
      <c r="J115" s="552">
        <v>101</v>
      </c>
      <c r="K115" s="552">
        <v>102</v>
      </c>
      <c r="L115" s="552">
        <v>103</v>
      </c>
      <c r="M115" s="552">
        <v>104</v>
      </c>
      <c r="N115" s="555"/>
      <c r="O115" s="555"/>
      <c r="P115" s="555"/>
      <c r="Q115" s="555"/>
      <c r="R115" s="555"/>
      <c r="S115" s="555"/>
      <c r="T115" s="555"/>
      <c r="U115" s="555"/>
      <c r="V115" s="555"/>
      <c r="W115" s="555"/>
      <c r="X115" s="555"/>
      <c r="Y115" s="555"/>
      <c r="Z115" s="555"/>
      <c r="AA115" s="555"/>
      <c r="AB115" s="555"/>
      <c r="AC115" s="555"/>
      <c r="AD115" s="555"/>
      <c r="AE115" s="555"/>
      <c r="AF115" s="555"/>
      <c r="AG115" s="555"/>
      <c r="AH115" s="555"/>
      <c r="AI115" s="555"/>
      <c r="AJ115" s="555"/>
      <c r="AK115" s="555"/>
    </row>
    <row r="116" spans="1:37">
      <c r="B116" s="160">
        <f t="shared" si="13"/>
        <v>0</v>
      </c>
      <c r="C116" s="552" t="s">
        <v>1182</v>
      </c>
      <c r="D116" s="554" t="s">
        <v>5192</v>
      </c>
      <c r="E116" s="553" t="s">
        <v>1191</v>
      </c>
      <c r="F116" s="552">
        <v>128</v>
      </c>
      <c r="G116" s="555"/>
      <c r="H116" s="555"/>
      <c r="I116" s="555"/>
      <c r="J116" s="555"/>
      <c r="K116" s="555"/>
      <c r="L116" s="555"/>
      <c r="M116" s="555"/>
      <c r="N116" s="555"/>
      <c r="O116" s="555"/>
      <c r="P116" s="555"/>
      <c r="Q116" s="555"/>
      <c r="R116" s="555"/>
      <c r="S116" s="555"/>
      <c r="T116" s="555"/>
      <c r="U116" s="555"/>
      <c r="V116" s="555"/>
      <c r="W116" s="555"/>
      <c r="X116" s="555"/>
      <c r="Y116" s="555"/>
      <c r="Z116" s="555"/>
      <c r="AA116" s="555"/>
      <c r="AB116" s="555"/>
      <c r="AC116" s="555"/>
      <c r="AD116" s="555"/>
      <c r="AE116" s="555"/>
      <c r="AF116" s="555"/>
      <c r="AG116" s="555"/>
      <c r="AH116" s="555"/>
      <c r="AI116" s="555"/>
      <c r="AJ116" s="555"/>
      <c r="AK116" s="555"/>
    </row>
    <row r="117" spans="1:37">
      <c r="B117" s="160">
        <f t="shared" si="13"/>
        <v>0</v>
      </c>
      <c r="C117" s="552" t="s">
        <v>1181</v>
      </c>
      <c r="D117" s="554" t="s">
        <v>5192</v>
      </c>
      <c r="E117" s="556" t="s">
        <v>1231</v>
      </c>
      <c r="F117" s="557">
        <v>124</v>
      </c>
      <c r="G117" s="555"/>
      <c r="H117" s="555"/>
      <c r="I117" s="555"/>
      <c r="J117" s="555"/>
      <c r="K117" s="555"/>
      <c r="L117" s="555"/>
      <c r="M117" s="555"/>
      <c r="N117" s="555"/>
      <c r="O117" s="555"/>
      <c r="P117" s="555"/>
      <c r="Q117" s="555"/>
      <c r="R117" s="555"/>
      <c r="S117" s="555"/>
      <c r="T117" s="555"/>
      <c r="U117" s="555"/>
      <c r="V117" s="555"/>
      <c r="W117" s="555"/>
      <c r="X117" s="555"/>
      <c r="Y117" s="555"/>
      <c r="AC117" s="555"/>
      <c r="AD117" s="555"/>
      <c r="AE117" s="555"/>
      <c r="AF117" s="555"/>
      <c r="AG117" s="555"/>
      <c r="AH117" s="555"/>
      <c r="AI117" s="555"/>
      <c r="AJ117" s="555"/>
      <c r="AK117" s="555"/>
    </row>
    <row r="118" spans="1:37">
      <c r="B118" s="160">
        <f t="shared" si="13"/>
        <v>0</v>
      </c>
      <c r="C118" s="552" t="s">
        <v>1180</v>
      </c>
      <c r="D118" s="554" t="s">
        <v>5192</v>
      </c>
      <c r="E118" s="556" t="s">
        <v>1232</v>
      </c>
      <c r="F118" s="552">
        <v>122</v>
      </c>
      <c r="G118" s="552">
        <v>126</v>
      </c>
      <c r="H118" s="555"/>
      <c r="I118" s="555"/>
      <c r="J118" s="555"/>
      <c r="K118" s="555"/>
      <c r="L118" s="555"/>
      <c r="M118" s="555"/>
      <c r="N118" s="555"/>
      <c r="O118" s="555"/>
      <c r="P118" s="555"/>
      <c r="Q118" s="555"/>
      <c r="R118" s="555"/>
      <c r="S118" s="555"/>
      <c r="T118" s="555"/>
      <c r="U118" s="555"/>
      <c r="V118" s="555"/>
      <c r="W118" s="555"/>
      <c r="X118" s="555"/>
      <c r="Y118" s="555"/>
      <c r="Z118" s="555"/>
      <c r="AA118" s="555"/>
      <c r="AB118" s="555"/>
      <c r="AC118" s="555"/>
      <c r="AD118" s="555"/>
      <c r="AE118" s="555"/>
      <c r="AF118" s="555"/>
      <c r="AG118" s="555"/>
      <c r="AH118" s="555"/>
      <c r="AI118" s="555"/>
      <c r="AJ118" s="555"/>
      <c r="AK118" s="555"/>
    </row>
    <row r="119" spans="1:37">
      <c r="B119" s="160">
        <f t="shared" si="13"/>
        <v>0</v>
      </c>
      <c r="C119" s="552" t="s">
        <v>1178</v>
      </c>
      <c r="D119" s="552" t="s">
        <v>1179</v>
      </c>
      <c r="E119" s="556" t="s">
        <v>1233</v>
      </c>
      <c r="F119" s="552">
        <v>121</v>
      </c>
      <c r="G119" s="552">
        <v>125</v>
      </c>
      <c r="H119" s="555"/>
      <c r="I119" s="555"/>
      <c r="J119" s="555"/>
      <c r="K119" s="555"/>
      <c r="L119" s="555"/>
      <c r="M119" s="555"/>
      <c r="N119" s="555"/>
      <c r="O119" s="555"/>
      <c r="P119" s="555"/>
      <c r="Q119" s="555"/>
      <c r="R119" s="555"/>
      <c r="S119" s="555"/>
      <c r="T119" s="555"/>
      <c r="U119" s="555"/>
      <c r="V119" s="555"/>
      <c r="W119" s="555"/>
      <c r="X119" s="555"/>
      <c r="Y119" s="555"/>
      <c r="Z119" s="555"/>
      <c r="AA119" s="555"/>
      <c r="AC119" s="555"/>
      <c r="AD119" s="555"/>
      <c r="AE119" s="555"/>
      <c r="AF119" s="555"/>
      <c r="AG119" s="555"/>
      <c r="AH119" s="555"/>
      <c r="AI119" s="555"/>
      <c r="AJ119" s="555"/>
      <c r="AK119" s="555"/>
    </row>
    <row r="120" spans="1:37">
      <c r="B120" s="160">
        <f t="shared" si="13"/>
        <v>0</v>
      </c>
      <c r="C120" s="552" t="s">
        <v>1179</v>
      </c>
      <c r="D120" s="554" t="s">
        <v>5192</v>
      </c>
      <c r="E120" s="556" t="s">
        <v>1234</v>
      </c>
      <c r="F120" s="552">
        <v>123</v>
      </c>
      <c r="G120" s="552">
        <v>127</v>
      </c>
      <c r="H120" s="555"/>
      <c r="I120" s="555"/>
      <c r="J120" s="555"/>
      <c r="K120" s="555"/>
      <c r="L120" s="555"/>
      <c r="M120" s="555"/>
      <c r="N120" s="555"/>
      <c r="O120" s="555"/>
      <c r="P120" s="555"/>
      <c r="Q120" s="555"/>
      <c r="R120" s="555"/>
      <c r="S120" s="555"/>
      <c r="T120" s="555"/>
      <c r="U120" s="555"/>
      <c r="V120" s="555"/>
      <c r="W120" s="555"/>
      <c r="X120" s="555"/>
      <c r="Y120" s="555"/>
      <c r="Z120" s="555"/>
      <c r="AA120" s="555"/>
      <c r="AB120" s="555"/>
      <c r="AC120" s="555"/>
      <c r="AD120" s="555"/>
      <c r="AE120" s="555"/>
      <c r="AF120" s="555"/>
      <c r="AG120" s="555"/>
      <c r="AH120" s="555"/>
      <c r="AI120" s="555"/>
      <c r="AJ120" s="555"/>
      <c r="AK120" s="555"/>
    </row>
    <row r="121" spans="1:37" ht="46.8" customHeight="1">
      <c r="B121" s="481" t="s">
        <v>4999</v>
      </c>
      <c r="C121" s="1105" t="str">
        <f>IF(C89="","",VLOOKUP(1,$B$109:$E$120,4,0))</f>
        <v/>
      </c>
      <c r="D121" s="1106"/>
      <c r="E121" s="1106"/>
      <c r="F121" s="1106"/>
      <c r="G121" s="1106"/>
      <c r="H121" s="1106"/>
      <c r="I121" s="1106"/>
      <c r="J121" s="1106"/>
      <c r="K121" s="1107"/>
      <c r="O121" s="156"/>
    </row>
    <row r="122" spans="1:37" ht="76.8" customHeight="1">
      <c r="B122" s="481" t="s">
        <v>4998</v>
      </c>
      <c r="C122" s="1105" t="str">
        <f>IF(C89="","",IF(COUNTIF(D82:D85,"")=4,"","・"&amp;D82&amp;D83&amp;D84&amp;D85&amp;D86&amp;"が参考値未満かつ100%未満となっており、男女間賃金差異が生じる要因の一つとなっているかもしれません。"&amp;CHAR(10))&amp;IF(COUNTIF(D87:D88,"")=2,"","・"&amp;D87&amp;D88&amp;"が参考値もしくは100％を上回っています。今後は一層残業時間に留意して女性活躍を推進しましょう！"&amp;CHAR(10)&amp;CHAR(10))&amp;"「男女間賃金差異が生じる要因」の詳細については「男女間賃金差異分析ツール活用パンフレット」の「5.見える化された課題ごとの雇用管理の見直し方法」を参照してください。")</f>
        <v/>
      </c>
      <c r="D122" s="1106"/>
      <c r="E122" s="1106"/>
      <c r="F122" s="1106"/>
      <c r="G122" s="1106"/>
      <c r="H122" s="1106"/>
      <c r="I122" s="1106"/>
      <c r="J122" s="1106"/>
      <c r="K122" s="1107"/>
    </row>
    <row r="123" spans="1:37" ht="9" customHeight="1" thickBot="1">
      <c r="B123" s="430"/>
      <c r="C123" s="430"/>
      <c r="D123" s="432"/>
      <c r="E123" s="430"/>
      <c r="F123" s="430"/>
      <c r="G123" s="432"/>
      <c r="H123" s="432"/>
      <c r="I123" s="433"/>
      <c r="J123" s="432"/>
      <c r="K123" s="431"/>
      <c r="L123" s="431"/>
      <c r="M123" s="431"/>
      <c r="N123" s="431"/>
      <c r="O123" s="431"/>
      <c r="P123" s="431"/>
    </row>
    <row r="124" spans="1:37" ht="9" customHeight="1" thickTop="1"/>
    <row r="125" spans="1:37">
      <c r="A125" s="434" t="s">
        <v>1163</v>
      </c>
      <c r="B125" s="156"/>
    </row>
    <row r="126" spans="1:37">
      <c r="B126" s="160" t="s">
        <v>17</v>
      </c>
      <c r="C126" s="425" t="s">
        <v>142</v>
      </c>
    </row>
    <row r="127" spans="1:37">
      <c r="B127" s="160" t="s">
        <v>18</v>
      </c>
      <c r="C127" s="425" t="s">
        <v>143</v>
      </c>
    </row>
    <row r="128" spans="1:37">
      <c r="B128" s="160" t="s">
        <v>13</v>
      </c>
      <c r="C128" s="425" t="s">
        <v>144</v>
      </c>
    </row>
    <row r="129" spans="2:16" ht="20.55" customHeight="1">
      <c r="B129" s="425" t="s">
        <v>1162</v>
      </c>
    </row>
    <row r="130" spans="2:16" ht="9" customHeight="1" thickBot="1">
      <c r="B130" s="430"/>
      <c r="C130" s="430"/>
      <c r="D130" s="432"/>
      <c r="E130" s="430"/>
      <c r="F130" s="430"/>
      <c r="G130" s="432"/>
      <c r="H130" s="432"/>
      <c r="I130" s="433"/>
      <c r="J130" s="432"/>
      <c r="K130" s="431"/>
      <c r="L130" s="431"/>
      <c r="M130" s="431"/>
      <c r="N130" s="431"/>
      <c r="O130" s="431"/>
      <c r="P130" s="431"/>
    </row>
    <row r="131" spans="2:16" ht="15.6" thickTop="1"/>
  </sheetData>
  <sheetProtection algorithmName="SHA-512" hashValue="nIj/eeGSolRlxgYTEVVUdjb0hBcZ92RhhlBYyIj2RjRHSCaRtbBoOFunt0dsjGXbmc/3qWIPQbJIsTjBjYBAfQ==" saltValue="mefQxmyf2wmWZGKcsLPJ/g==" spinCount="100000" sheet="1" selectLockedCells="1" selectUnlockedCells="1"/>
  <mergeCells count="11">
    <mergeCell ref="C78:K78"/>
    <mergeCell ref="C89:K89"/>
    <mergeCell ref="C122:K122"/>
    <mergeCell ref="C121:K121"/>
    <mergeCell ref="B93:B94"/>
    <mergeCell ref="B95:B96"/>
    <mergeCell ref="B97:B98"/>
    <mergeCell ref="B99:B100"/>
    <mergeCell ref="B101:B102"/>
    <mergeCell ref="B103:B104"/>
    <mergeCell ref="B105:B106"/>
  </mergeCells>
  <phoneticPr fontId="3"/>
  <conditionalFormatting sqref="A1:Q1 D2:Q2 C3:J3 O3:Q3 A3:A4 C4:K4 M4:Q4 A5:Q6 A7 C7:Q7 A8:Q41 R25 A42 C42:Q42 A43:Q54 A55 C55:Q55 A56:D77 F56:Q77 A78:Q81 A82:E88 G82:Q88 A89:Q106 M107:Q120 A107:E121 G107:G121 B109:R120 A121:N121 P121:Q121 A122:Q124 A125 C125:Q125 A126:Q1048576">
    <cfRule type="expression" dxfId="0" priority="1">
      <formula>$A$1&lt;&gt;""</formula>
    </cfRule>
  </conditionalFormatting>
  <pageMargins left="0.7" right="0.7" top="0.75" bottom="0.75" header="0.3" footer="0.3"/>
  <pageSetup paperSize="9" orientation="portrait" horizontalDpi="0" verticalDpi="0"/>
</worksheet>
</file>

<file path=customXml/_rels/item1.xml.rels>&#65279;<?xml version="1.0" encoding="utf-8" standalone="yes"?>
<Relationships xmlns="http://schemas.openxmlformats.org/package/2006/relationships">
  <Relationship Id="rId1" Target="itemProps1.xml" Type="http://schemas.openxmlformats.org/officeDocument/2006/relationships/customXmlProps" />
</Relationships>
</file>

<file path=customXml/_rels/item2.xml.rels>&#65279;<?xml version="1.0" encoding="utf-8" standalone="yes"?>
<Relationships xmlns="http://schemas.openxmlformats.org/package/2006/relationships">
  <Relationship Id="rId1" Target="itemProps2.xml" Type="http://schemas.openxmlformats.org/officeDocument/2006/relationships/customXmlProps" />
</Relationships>
</file>

<file path=customXml/_rels/item3.xml.rels>&#65279;<?xml version="1.0" encoding="utf-8" standalone="yes"?>
<Relationships xmlns="http://schemas.openxmlformats.org/package/2006/relationships">
  <Relationship Id="rId1" Target="itemProps3.xml" Type="http://schemas.openxmlformats.org/officeDocument/2006/relationships/customXmlProps" />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F88DA660FEFA140A0A9E46FC2F719F4" ma:contentTypeVersion="15" ma:contentTypeDescription="新しいドキュメントを作成します。" ma:contentTypeScope="" ma:versionID="c994a443d28af2ba44154c3aa5b7c1a5">
  <xsd:schema xmlns:xsd="http://www.w3.org/2001/XMLSchema" xmlns:xs="http://www.w3.org/2001/XMLSchema" xmlns:p="http://schemas.microsoft.com/office/2006/metadata/properties" xmlns:ns2="2d326093-c6ce-4792-805b-305f1b2e0fa9" xmlns:ns3="c8886e6d-ca38-4783-ac23-8bd097117a79" targetNamespace="http://schemas.microsoft.com/office/2006/metadata/properties" ma:root="true" ma:fieldsID="23e62869d35465590ee360290dcb9a40" ns2:_="" ns3:_="">
    <xsd:import namespace="2d326093-c6ce-4792-805b-305f1b2e0fa9"/>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326093-c6ce-4792-805b-305f1b2e0fa9"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3ab148f-a19c-44f2-bd88-be581cd97623}"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2d326093-c6ce-4792-805b-305f1b2e0fa9">
      <UserInfo>
        <DisplayName/>
        <AccountId xsi:nil="true"/>
        <AccountType/>
      </UserInfo>
    </Owner>
    <TaxCatchAll xmlns="c8886e6d-ca38-4783-ac23-8bd097117a79" xsi:nil="true"/>
    <lcf76f155ced4ddcb4097134ff3c332f xmlns="2d326093-c6ce-4792-805b-305f1b2e0f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34E98DF-106C-4554-A73F-8F345CF3C5B7}"/>
</file>

<file path=customXml/itemProps2.xml><?xml version="1.0" encoding="utf-8"?>
<ds:datastoreItem xmlns:ds="http://schemas.openxmlformats.org/officeDocument/2006/customXml" ds:itemID="{07747FF3-BE17-4B6A-992B-BEAFF864A035}"/>
</file>

<file path=customXml/itemProps3.xml><?xml version="1.0" encoding="utf-8"?>
<ds:datastoreItem xmlns:ds="http://schemas.openxmlformats.org/officeDocument/2006/customXml" ds:itemID="{E511174C-DB08-4D2D-ABE6-EF7550C20AC8}"/>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0x0101000F88DA660FEFA140A0A9E46FC2F719F4</vt:lpwstr>
  </property>
</Properties>
</file>